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3.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4.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comments/comment1.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tart" sheetId="2" state="visible" r:id="rId2"/>
    <sheet xmlns:r="http://schemas.openxmlformats.org/officeDocument/2006/relationships" name="Contents" sheetId="3" state="visible" r:id="rId3"/>
    <sheet xmlns:r="http://schemas.openxmlformats.org/officeDocument/2006/relationships" name="Investment_Summary" sheetId="4" state="visible" r:id="rId4"/>
    <sheet xmlns:r="http://schemas.openxmlformats.org/officeDocument/2006/relationships" name="Investment_Readiness" sheetId="5" state="visible" r:id="rId5"/>
    <sheet xmlns:r="http://schemas.openxmlformats.org/officeDocument/2006/relationships" name="Inputs" sheetId="6" state="visible" r:id="rId6"/>
    <sheet xmlns:r="http://schemas.openxmlformats.org/officeDocument/2006/relationships" name="Products" sheetId="7" state="visible" r:id="rId7"/>
    <sheet xmlns:r="http://schemas.openxmlformats.org/officeDocument/2006/relationships" name="Scenarios" sheetId="8" state="visible" r:id="rId8"/>
    <sheet xmlns:r="http://schemas.openxmlformats.org/officeDocument/2006/relationships" name="Credit_Assumptions" sheetId="9" state="visible" r:id="rId9"/>
    <sheet xmlns:r="http://schemas.openxmlformats.org/officeDocument/2006/relationships" name="Consumer_Risk" sheetId="10" state="visible" r:id="rId10"/>
    <sheet xmlns:r="http://schemas.openxmlformats.org/officeDocument/2006/relationships" name="Dashboard" sheetId="11" state="visible" r:id="rId11"/>
    <sheet xmlns:r="http://schemas.openxmlformats.org/officeDocument/2006/relationships" name="KPIs" sheetId="12" state="visible" r:id="rId12"/>
    <sheet xmlns:r="http://schemas.openxmlformats.org/officeDocument/2006/relationships" name="Credit_Portfolio" sheetId="13" state="visible" r:id="rId13"/>
    <sheet xmlns:r="http://schemas.openxmlformats.org/officeDocument/2006/relationships" name="Vintage_Dashboard" sheetId="14" state="visible" r:id="rId14"/>
    <sheet xmlns:r="http://schemas.openxmlformats.org/officeDocument/2006/relationships" name="PERFORM_2026" sheetId="15" state="visible" r:id="rId15"/>
    <sheet xmlns:r="http://schemas.openxmlformats.org/officeDocument/2006/relationships" name="Covenants" sheetId="16" state="visible" r:id="rId16"/>
    <sheet xmlns:r="http://schemas.openxmlformats.org/officeDocument/2006/relationships" name="Valuation" sheetId="17" state="visible" r:id="rId17"/>
    <sheet xmlns:r="http://schemas.openxmlformats.org/officeDocument/2006/relationships" name="FX_Exposure" sheetId="18" state="visible" r:id="rId18"/>
    <sheet xmlns:r="http://schemas.openxmlformats.org/officeDocument/2006/relationships" name="Unit_Economics" sheetId="19" state="visible" r:id="rId19"/>
    <sheet xmlns:r="http://schemas.openxmlformats.org/officeDocument/2006/relationships" name="Sensitivity" sheetId="20" state="visible" r:id="rId20"/>
    <sheet xmlns:r="http://schemas.openxmlformats.org/officeDocument/2006/relationships" name="Benchmark_Compare" sheetId="21" state="visible" r:id="rId21"/>
    <sheet xmlns:r="http://schemas.openxmlformats.org/officeDocument/2006/relationships" name="Benchmark_KPIs" sheetId="22" state="visible" r:id="rId22"/>
    <sheet xmlns:r="http://schemas.openxmlformats.org/officeDocument/2006/relationships" name="Market_Benchmark" sheetId="23" state="visible" r:id="rId23"/>
    <sheet xmlns:r="http://schemas.openxmlformats.org/officeDocument/2006/relationships" name="Calibration" sheetId="24" state="visible" r:id="rId24"/>
    <sheet xmlns:r="http://schemas.openxmlformats.org/officeDocument/2006/relationships" name="Company_Cases" sheetId="25" state="visible" r:id="rId25"/>
    <sheet xmlns:r="http://schemas.openxmlformats.org/officeDocument/2006/relationships" name="Source_Register" sheetId="26" state="visible" r:id="rId26"/>
    <sheet xmlns:r="http://schemas.openxmlformats.org/officeDocument/2006/relationships" name="Benchmark_Matrix" sheetId="27" state="visible" r:id="rId27"/>
    <sheet xmlns:r="http://schemas.openxmlformats.org/officeDocument/2006/relationships" name="Benchmark_DB" sheetId="28" state="visible" r:id="rId28"/>
    <sheet xmlns:r="http://schemas.openxmlformats.org/officeDocument/2006/relationships" name="Annual" sheetId="29" state="visible" r:id="rId29"/>
    <sheet xmlns:r="http://schemas.openxmlformats.org/officeDocument/2006/relationships" name="FS" sheetId="30" state="visible" r:id="rId30"/>
    <sheet xmlns:r="http://schemas.openxmlformats.org/officeDocument/2006/relationships" name="Ops" sheetId="31" state="visible" r:id="rId31"/>
    <sheet xmlns:r="http://schemas.openxmlformats.org/officeDocument/2006/relationships" name="RBF_Engine" sheetId="32" state="visible" r:id="rId32"/>
    <sheet xmlns:r="http://schemas.openxmlformats.org/officeDocument/2006/relationships" name="Credit_Engine" sheetId="33" state="visible" r:id="rId33"/>
    <sheet xmlns:r="http://schemas.openxmlformats.org/officeDocument/2006/relationships" name="Vintage_Engine" sheetId="34" state="visible" r:id="rId34"/>
    <sheet xmlns:r="http://schemas.openxmlformats.org/officeDocument/2006/relationships" name="Costs" sheetId="35" state="visible" r:id="rId35"/>
    <sheet xmlns:r="http://schemas.openxmlformats.org/officeDocument/2006/relationships" name="Financing" sheetId="36" state="visible" r:id="rId36"/>
    <sheet xmlns:r="http://schemas.openxmlformats.org/officeDocument/2006/relationships" name="Curves" sheetId="37" state="visible" r:id="rId37"/>
    <sheet xmlns:r="http://schemas.openxmlformats.org/officeDocument/2006/relationships" name="Cohort_T1" sheetId="38" state="visible" r:id="rId38"/>
    <sheet xmlns:r="http://schemas.openxmlformats.org/officeDocument/2006/relationships" name="Cohort_T2" sheetId="39" state="visible" r:id="rId39"/>
    <sheet xmlns:r="http://schemas.openxmlformats.org/officeDocument/2006/relationships" name="Cohort_T3" sheetId="40" state="visible" r:id="rId40"/>
    <sheet xmlns:r="http://schemas.openxmlformats.org/officeDocument/2006/relationships" name="Cohort_T4" sheetId="41" state="visible" r:id="rId41"/>
    <sheet xmlns:r="http://schemas.openxmlformats.org/officeDocument/2006/relationships" name="Cohort_T5" sheetId="42" state="visible" r:id="rId42"/>
    <sheet xmlns:r="http://schemas.openxmlformats.org/officeDocument/2006/relationships" name="Credit_Input" sheetId="43" state="visible" r:id="rId43"/>
    <sheet xmlns:r="http://schemas.openxmlformats.org/officeDocument/2006/relationships" name="Vintage_Input" sheetId="44" state="visible" r:id="rId44"/>
    <sheet xmlns:r="http://schemas.openxmlformats.org/officeDocument/2006/relationships" name="Timeline" sheetId="45" state="visible" r:id="rId45"/>
    <sheet xmlns:r="http://schemas.openxmlformats.org/officeDocument/2006/relationships" name="Glossary" sheetId="46" state="visible" r:id="rId46"/>
    <sheet xmlns:r="http://schemas.openxmlformats.org/officeDocument/2006/relationships" name="Checks" sheetId="47" state="visible" r:id="rId47"/>
  </sheets>
  <definedNames>
    <definedName name="_xlnm.Print_Area" localSheetId="0">'Cover'!$A$1:$M$48</definedName>
  </definedNames>
  <calcPr calcId="124519" fullCalcOnLoad="1"/>
</workbook>
</file>

<file path=xl/styles.xml><?xml version="1.0" encoding="utf-8"?>
<styleSheet xmlns="http://schemas.openxmlformats.org/spreadsheetml/2006/main">
  <numFmts count="12">
    <numFmt numFmtId="164" formatCode="#,##0.00;(#,##0.00);&quot;-&quot;"/>
    <numFmt numFmtId="165" formatCode="0.0%;(0.0%);&quot;-&quot;"/>
    <numFmt numFmtId="166" formatCode="#,##0;(#,##0);&quot;-&quot;"/>
    <numFmt numFmtId="167" formatCode="0.00&quot;x&quot;;(0.00&quot;x&quot;);&quot;-&quot;"/>
    <numFmt numFmtId="168" formatCode="#,##0.0;(#,##0.0)"/>
    <numFmt numFmtId="169" formatCode="#,##0.0;(#,##0.0);&quot;-&quot;"/>
    <numFmt numFmtId="170" formatCode="#,##0;(#,##0)"/>
    <numFmt numFmtId="171" formatCode="#,##0.0"/>
    <numFmt numFmtId="172" formatCode="#,##0.000;(#,##0.000);&quot;-&quot;"/>
    <numFmt numFmtId="173" formatCode="#,##0.0,,;(#,##0.0,,);&quot;-&quot;"/>
    <numFmt numFmtId="174" formatCode="0.00&quot;x&quot;;(0.00&quot;x&quot;)"/>
    <numFmt numFmtId="175" formatCode="0.00&quot;x&quot;"/>
  </numFmts>
  <fonts count="46">
    <font>
      <name val="Calibri"/>
      <family val="2"/>
      <color theme="1"/>
      <sz val="11"/>
      <scheme val="minor"/>
    </font>
    <font>
      <name val="Arial"/>
      <b val="1"/>
      <color rgb="001F3864"/>
      <sz val="14"/>
    </font>
    <font>
      <name val="Arial"/>
      <i val="1"/>
      <color rgb="00595959"/>
      <sz val="9"/>
    </font>
    <font>
      <name val="Arial"/>
      <b val="1"/>
      <color rgb="00FFFFFF"/>
    </font>
    <font>
      <name val="Arial"/>
      <b val="1"/>
      <color rgb="001F3864"/>
      <sz val="11"/>
    </font>
    <font>
      <name val="Arial"/>
      <color rgb="00000000"/>
      <sz val="10"/>
    </font>
    <font>
      <name val="Arial"/>
      <color rgb="00595959"/>
      <sz val="9"/>
    </font>
    <font>
      <name val="Arial"/>
      <color rgb="000000FF"/>
    </font>
    <font>
      <name val="Arial"/>
      <b val="1"/>
      <color rgb="00404040"/>
      <sz val="8"/>
    </font>
    <font>
      <name val="Arial"/>
      <color rgb="00000000"/>
    </font>
    <font>
      <name val="Arial"/>
      <b val="1"/>
      <color rgb="00000000"/>
    </font>
    <font>
      <name val="Arial"/>
      <b val="1"/>
      <color rgb="00000000"/>
      <sz val="10"/>
    </font>
    <font>
      <name val="Arial"/>
      <color rgb="00008000"/>
    </font>
    <font>
      <name val="Arial"/>
    </font>
    <font>
      <name val="Arial"/>
      <b val="1"/>
    </font>
    <font>
      <name val="Arial"/>
      <b val="1"/>
      <color rgb="001F3864"/>
    </font>
    <font>
      <name val="Arial"/>
      <b val="1"/>
      <color rgb="001F3864"/>
      <sz val="10"/>
    </font>
    <font>
      <name val="Arial"/>
      <sz val="9"/>
    </font>
    <font>
      <name val="Arial"/>
      <b val="1"/>
      <color rgb="001F3864"/>
      <sz val="9"/>
    </font>
    <font>
      <name val="Arial"/>
      <color rgb="000000FF"/>
      <sz val="9"/>
    </font>
    <font>
      <name val="Arial"/>
      <color rgb="00595959"/>
      <sz val="8"/>
    </font>
    <font>
      <name val="Arial"/>
      <color rgb="00000000"/>
      <sz val="9"/>
    </font>
    <font>
      <name val="Arial"/>
      <i val="1"/>
      <color rgb="00000000"/>
      <sz val="9"/>
    </font>
    <font>
      <name val="Arial"/>
      <b val="1"/>
      <sz val="9"/>
    </font>
    <font>
      <name val="Arial"/>
      <i val="1"/>
      <color rgb="00595959"/>
      <sz val="7"/>
    </font>
    <font>
      <name val="Arial"/>
      <b val="1"/>
      <color rgb="00C00000"/>
      <sz val="12"/>
    </font>
    <font>
      <name val="Arial"/>
      <b val="1"/>
      <color rgb="00C00000"/>
      <sz val="11"/>
    </font>
    <font>
      <name val="Arial"/>
      <b val="1"/>
      <color rgb="00008000"/>
    </font>
    <font>
      <name val="Arial"/>
      <sz val="10"/>
    </font>
    <font>
      <name val="Arial"/>
      <b val="1"/>
      <color rgb="00C00000"/>
    </font>
    <font>
      <name val="Arial"/>
      <b val="1"/>
      <color rgb="00B07C0F"/>
      <sz val="12"/>
    </font>
    <font>
      <name val="Arial"/>
      <b val="1"/>
      <color rgb="00FFFFFF"/>
      <sz val="30"/>
    </font>
    <font>
      <name val="Arial"/>
      <color rgb="00FFFFFF"/>
      <sz val="18"/>
    </font>
    <font>
      <name val="Arial"/>
      <i val="1"/>
      <color rgb="00E3C77A"/>
      <sz val="11"/>
    </font>
    <font>
      <name val="Arial"/>
      <b val="1"/>
      <color rgb="00B07C0F"/>
      <sz val="9"/>
    </font>
    <font>
      <name val="Arial"/>
      <b val="1"/>
      <color rgb="00FFFFFF"/>
      <sz val="16"/>
    </font>
    <font>
      <name val="Arial"/>
      <color rgb="00D9D9D9"/>
      <sz val="10"/>
    </font>
    <font>
      <name val="Arial"/>
      <b val="1"/>
      <color rgb="000B3020"/>
      <sz val="9"/>
    </font>
    <font>
      <name val="Arial"/>
      <color rgb="006B6B6B"/>
      <sz val="10"/>
    </font>
    <font>
      <name val="Arial"/>
      <b val="1"/>
      <color rgb="000B3020"/>
      <sz val="10"/>
    </font>
    <font>
      <name val="Arial"/>
      <b val="1"/>
      <color rgb="00B07C0F"/>
      <sz val="10"/>
      <u val="single"/>
    </font>
    <font>
      <name val="Arial"/>
      <i val="1"/>
      <color rgb="006B6B6B"/>
      <sz val="8"/>
    </font>
    <font>
      <name val="Arial"/>
      <color rgb="006B6B6B"/>
      <sz val="8"/>
    </font>
    <font>
      <name val="Arial"/>
      <color rgb="000563C1"/>
      <u val="single"/>
    </font>
    <font>
      <name val="Arial"/>
      <color rgb="000000FF"/>
      <sz val="10"/>
    </font>
    <font>
      <name val="Arial"/>
      <color rgb="00008000"/>
      <sz val="10"/>
    </font>
  </fonts>
  <fills count="15">
    <fill>
      <patternFill/>
    </fill>
    <fill>
      <patternFill patternType="gray125"/>
    </fill>
    <fill>
      <patternFill patternType="solid">
        <fgColor rgb="001F3864"/>
      </patternFill>
    </fill>
    <fill>
      <patternFill patternType="solid">
        <fgColor rgb="00FFFF00"/>
      </patternFill>
    </fill>
    <fill>
      <patternFill patternType="solid">
        <fgColor rgb="00DDEBF7"/>
      </patternFill>
    </fill>
    <fill>
      <patternFill patternType="solid">
        <fgColor rgb="00FCE4D6"/>
      </patternFill>
    </fill>
    <fill>
      <patternFill patternType="solid">
        <fgColor rgb="00FFF2CC"/>
      </patternFill>
    </fill>
    <fill>
      <patternFill patternType="solid">
        <fgColor rgb="00E2EFDA"/>
      </patternFill>
    </fill>
    <fill>
      <patternFill patternType="solid">
        <fgColor rgb="00EDEDED"/>
      </patternFill>
    </fill>
    <fill>
      <patternFill patternType="solid">
        <fgColor rgb="00F2F2F2"/>
      </patternFill>
    </fill>
    <fill>
      <patternFill patternType="solid">
        <fgColor rgb="00F8CBAD"/>
      </patternFill>
    </fill>
    <fill>
      <patternFill patternType="solid">
        <fgColor rgb="00B07C0F"/>
      </patternFill>
    </fill>
    <fill>
      <patternFill patternType="solid">
        <fgColor rgb="000B3020"/>
      </patternFill>
    </fill>
    <fill>
      <patternFill patternType="solid">
        <fgColor rgb="00F7F3E8"/>
      </patternFill>
    </fill>
    <fill>
      <patternFill patternType="solid">
        <fgColor rgb="00EDE2F6"/>
      </patternFill>
    </fill>
  </fills>
  <borders count="3">
    <border>
      <left/>
      <right/>
      <top/>
      <bottom/>
      <diagonal/>
    </border>
    <border>
      <bottom style="thin">
        <color rgb="001F3864"/>
      </bottom>
    </border>
    <border>
      <top style="thin">
        <color rgb="00808080"/>
      </top>
    </border>
  </borders>
  <cellStyleXfs count="1">
    <xf numFmtId="0" fontId="0" fillId="0" borderId="0"/>
  </cellStyleXfs>
  <cellXfs count="163">
    <xf numFmtId="0" fontId="0" fillId="0" borderId="0" pivotButton="0" quotePrefix="0" xfId="0"/>
    <xf numFmtId="0" fontId="0" fillId="11" borderId="0" pivotButton="0" quotePrefix="0" xfId="0"/>
    <xf numFmtId="0" fontId="0" fillId="12" borderId="0" pivotButton="0" quotePrefix="0" xfId="0"/>
    <xf numFmtId="0" fontId="30" fillId="12" borderId="0" applyAlignment="1" pivotButton="0" quotePrefix="0" xfId="0">
      <alignment horizontal="left" vertical="center"/>
    </xf>
    <xf numFmtId="0" fontId="31" fillId="12" borderId="0" applyAlignment="1" pivotButton="0" quotePrefix="0" xfId="0">
      <alignment horizontal="left" vertical="center"/>
    </xf>
    <xf numFmtId="0" fontId="32" fillId="12" borderId="0" applyAlignment="1" pivotButton="0" quotePrefix="0" xfId="0">
      <alignment horizontal="left" vertical="center"/>
    </xf>
    <xf numFmtId="0" fontId="33" fillId="12" borderId="0" applyAlignment="1" pivotButton="0" quotePrefix="0" xfId="0">
      <alignment horizontal="left" vertical="center"/>
    </xf>
    <xf numFmtId="0" fontId="34" fillId="12" borderId="0" applyAlignment="1" pivotButton="0" quotePrefix="0" xfId="0">
      <alignment horizontal="left" vertical="center"/>
    </xf>
    <xf numFmtId="0" fontId="35" fillId="12" borderId="0" applyAlignment="1" pivotButton="0" quotePrefix="0" xfId="0">
      <alignment horizontal="left" vertical="center"/>
    </xf>
    <xf numFmtId="0" fontId="36" fillId="12" borderId="0" applyAlignment="1" pivotButton="0" quotePrefix="0" xfId="0">
      <alignment horizontal="left" vertical="center"/>
    </xf>
    <xf numFmtId="0" fontId="0" fillId="13" borderId="0" pivotButton="0" quotePrefix="0" xfId="0"/>
    <xf numFmtId="0" fontId="37" fillId="13" borderId="0" applyAlignment="1" pivotButton="0" quotePrefix="0" xfId="0">
      <alignment horizontal="left" vertical="center"/>
    </xf>
    <xf numFmtId="0" fontId="38" fillId="13" borderId="0" applyAlignment="1" pivotButton="0" quotePrefix="0" xfId="0">
      <alignment horizontal="left" vertical="center"/>
    </xf>
    <xf numFmtId="0" fontId="39" fillId="13" borderId="0" applyAlignment="1" pivotButton="0" quotePrefix="0" xfId="0">
      <alignment horizontal="left" vertical="center"/>
    </xf>
    <xf numFmtId="0" fontId="40" fillId="13" borderId="0" pivotButton="0" quotePrefix="0" xfId="0"/>
    <xf numFmtId="0" fontId="41" fillId="0" borderId="0" applyAlignment="1" pivotButton="0" quotePrefix="0" xfId="0">
      <alignment vertical="top" wrapText="1"/>
    </xf>
    <xf numFmtId="0" fontId="42" fillId="0" borderId="0" applyAlignment="1" pivotButton="0" quotePrefix="0" xfId="0">
      <alignment horizontal="left" vertical="center"/>
    </xf>
    <xf numFmtId="0" fontId="1" fillId="0" borderId="0" pivotButton="0" quotePrefix="0" xfId="0"/>
    <xf numFmtId="0" fontId="2" fillId="0" borderId="0" pivotButton="0" quotePrefix="0" xfId="0"/>
    <xf numFmtId="0" fontId="11" fillId="0" borderId="0" pivotButton="0" quotePrefix="0" xfId="0"/>
    <xf numFmtId="49" fontId="27" fillId="0" borderId="0" pivotButton="0" quotePrefix="0" xfId="0"/>
    <xf numFmtId="0" fontId="4" fillId="0" borderId="1" pivotButton="0" quotePrefix="0" xfId="0"/>
    <xf numFmtId="0" fontId="0" fillId="0" borderId="1" pivotButton="0" quotePrefix="0" xfId="0"/>
    <xf numFmtId="1" fontId="9" fillId="0" borderId="0" pivotButton="0" quotePrefix="0" xfId="0"/>
    <xf numFmtId="0" fontId="43" fillId="0" borderId="0" pivotButton="0" quotePrefix="0" xfId="0"/>
    <xf numFmtId="0" fontId="5" fillId="0" borderId="0" applyAlignment="1" pivotButton="0" quotePrefix="0" xfId="0">
      <alignment vertical="top" wrapText="1"/>
    </xf>
    <xf numFmtId="0" fontId="8" fillId="4" borderId="0" pivotButton="0" quotePrefix="0" xfId="0"/>
    <xf numFmtId="1" fontId="10" fillId="0" borderId="0" pivotButton="0" quotePrefix="0" xfId="0"/>
    <xf numFmtId="0" fontId="8" fillId="7" borderId="0" pivotButton="0" quotePrefix="0" xfId="0"/>
    <xf numFmtId="0" fontId="8" fillId="6" borderId="0" pivotButton="0" quotePrefix="0" xfId="0"/>
    <xf numFmtId="0" fontId="8" fillId="14" borderId="0" pivotButton="0" quotePrefix="0" xfId="0"/>
    <xf numFmtId="0" fontId="8" fillId="5" borderId="0" pivotButton="0" quotePrefix="0" xfId="0"/>
    <xf numFmtId="49" fontId="29" fillId="0" borderId="0" pivotButton="0" quotePrefix="0" xfId="0"/>
    <xf numFmtId="0" fontId="4" fillId="0" borderId="0" pivotButton="0" quotePrefix="0" xfId="0"/>
    <xf numFmtId="0" fontId="5" fillId="0" borderId="0" pivotButton="0" quotePrefix="0" xfId="0"/>
    <xf numFmtId="0" fontId="44" fillId="0" borderId="0" pivotButton="0" quotePrefix="0" xfId="0"/>
    <xf numFmtId="0" fontId="7" fillId="3" borderId="0" pivotButton="0" quotePrefix="0" xfId="0"/>
    <xf numFmtId="0" fontId="45" fillId="0" borderId="0" pivotButton="0" quotePrefix="0" xfId="0"/>
    <xf numFmtId="0" fontId="17" fillId="0" borderId="0" applyAlignment="1" pivotButton="0" quotePrefix="0" xfId="0">
      <alignment vertical="top" wrapText="1"/>
    </xf>
    <xf numFmtId="49" fontId="12" fillId="0" borderId="0" pivotButton="0" quotePrefix="0" xfId="0"/>
    <xf numFmtId="0" fontId="3" fillId="2" borderId="0" applyAlignment="1" pivotButton="0" quotePrefix="0" xfId="0">
      <alignment horizontal="center" wrapText="1"/>
    </xf>
    <xf numFmtId="166" fontId="12" fillId="0" borderId="0" pivotButton="0" quotePrefix="0" xfId="0"/>
    <xf numFmtId="165" fontId="12" fillId="0" borderId="0" pivotButton="0" quotePrefix="0" xfId="0"/>
    <xf numFmtId="167" fontId="12" fillId="0" borderId="0" pivotButton="0" quotePrefix="0" xfId="0"/>
    <xf numFmtId="166" fontId="27" fillId="0" borderId="0" pivotButton="0" quotePrefix="0" xfId="0"/>
    <xf numFmtId="1" fontId="27" fillId="0" borderId="0" pivotButton="0" quotePrefix="0" xfId="0"/>
    <xf numFmtId="165" fontId="27" fillId="0" borderId="0" pivotButton="0" quotePrefix="0" xfId="0"/>
    <xf numFmtId="167" fontId="27" fillId="0" borderId="0" pivotButton="0" quotePrefix="0" xfId="0"/>
    <xf numFmtId="1" fontId="12" fillId="0" borderId="0" pivotButton="0" quotePrefix="0" xfId="0"/>
    <xf numFmtId="164" fontId="12" fillId="0" borderId="0" pivotButton="0" quotePrefix="0" xfId="0"/>
    <xf numFmtId="49" fontId="9" fillId="0" borderId="0" pivotButton="0" quotePrefix="0" xfId="0"/>
    <xf numFmtId="49" fontId="26" fillId="0" borderId="0" pivotButton="0" quotePrefix="0" xfId="0"/>
    <xf numFmtId="1" fontId="9" fillId="0" borderId="0" applyAlignment="1" pivotButton="0" quotePrefix="0" xfId="0">
      <alignment horizontal="center" vertical="center"/>
    </xf>
    <xf numFmtId="0" fontId="5" fillId="0" borderId="0" applyAlignment="1" pivotButton="0" quotePrefix="0" xfId="0">
      <alignment vertical="center"/>
    </xf>
    <xf numFmtId="0" fontId="5" fillId="0" borderId="0" applyAlignment="1" pivotButton="0" quotePrefix="0" xfId="0">
      <alignment horizontal="center" vertical="center"/>
    </xf>
    <xf numFmtId="0" fontId="0" fillId="0" borderId="0" applyAlignment="1" pivotButton="0" quotePrefix="0" xfId="0">
      <alignment vertical="center"/>
    </xf>
    <xf numFmtId="49" fontId="9" fillId="0" borderId="0" applyAlignment="1" pivotButton="0" quotePrefix="0" xfId="0">
      <alignment vertical="center"/>
    </xf>
    <xf numFmtId="1" fontId="10" fillId="0" borderId="0" applyAlignment="1" pivotButton="0" quotePrefix="0" xfId="0">
      <alignment horizontal="center" vertical="center"/>
    </xf>
    <xf numFmtId="0" fontId="22" fillId="0" borderId="0" applyAlignment="1" pivotButton="0" quotePrefix="0" xfId="0">
      <alignment vertical="center" wrapText="1"/>
    </xf>
    <xf numFmtId="0" fontId="11" fillId="0" borderId="0" applyAlignment="1" pivotButton="0" quotePrefix="0" xfId="0">
      <alignment horizontal="center" vertical="center"/>
    </xf>
    <xf numFmtId="49" fontId="9" fillId="0" borderId="0" applyAlignment="1" pivotButton="0" quotePrefix="0" xfId="0">
      <alignment vertical="center" wrapText="1"/>
    </xf>
    <xf numFmtId="49" fontId="7" fillId="0" borderId="0" applyAlignment="1" pivotButton="0" quotePrefix="0" xfId="0">
      <alignment vertical="center"/>
    </xf>
    <xf numFmtId="17" fontId="7" fillId="0" borderId="0" applyAlignment="1" pivotButton="0" quotePrefix="0" xfId="0">
      <alignment vertical="center"/>
    </xf>
    <xf numFmtId="49" fontId="25" fillId="0" borderId="0" pivotButton="0" quotePrefix="0" xfId="0"/>
    <xf numFmtId="49" fontId="10" fillId="0" borderId="0" pivotButton="0" quotePrefix="0" xfId="0"/>
    <xf numFmtId="0" fontId="6" fillId="0" borderId="0" pivotButton="0" quotePrefix="0" xfId="0"/>
    <xf numFmtId="1" fontId="7" fillId="3" borderId="0" pivotButton="0" quotePrefix="0" xfId="0"/>
    <xf numFmtId="0" fontId="8" fillId="4" borderId="0" applyAlignment="1" pivotButton="0" quotePrefix="0" xfId="0">
      <alignment horizontal="center" vertical="center"/>
    </xf>
    <xf numFmtId="17" fontId="7" fillId="0" borderId="0" pivotButton="0" quotePrefix="0" xfId="0"/>
    <xf numFmtId="49" fontId="7" fillId="0" borderId="0" pivotButton="0" quotePrefix="0" xfId="0"/>
    <xf numFmtId="164" fontId="7" fillId="3" borderId="0" pivotButton="0" quotePrefix="0" xfId="0"/>
    <xf numFmtId="165" fontId="7" fillId="0" borderId="0" pivotButton="0" quotePrefix="0" xfId="0"/>
    <xf numFmtId="165" fontId="7" fillId="3" borderId="0" pivotButton="0" quotePrefix="0" xfId="0"/>
    <xf numFmtId="166" fontId="7" fillId="3" borderId="0" pivotButton="0" quotePrefix="0" xfId="0"/>
    <xf numFmtId="166" fontId="7" fillId="0" borderId="0" pivotButton="0" quotePrefix="0" xfId="0"/>
    <xf numFmtId="1" fontId="7" fillId="0" borderId="0" pivotButton="0" quotePrefix="0" xfId="0"/>
    <xf numFmtId="164" fontId="7" fillId="0" borderId="0" pivotButton="0" quotePrefix="0" xfId="0"/>
    <xf numFmtId="167" fontId="7" fillId="0" borderId="0" pivotButton="0" quotePrefix="0" xfId="0"/>
    <xf numFmtId="49" fontId="7" fillId="0" borderId="0" applyAlignment="1" pivotButton="0" quotePrefix="0" xfId="0">
      <alignment vertical="top" wrapText="1"/>
    </xf>
    <xf numFmtId="0" fontId="8" fillId="5" borderId="0" applyAlignment="1" pivotButton="0" quotePrefix="0" xfId="0">
      <alignment horizontal="center" vertical="center"/>
    </xf>
    <xf numFmtId="166" fontId="9" fillId="0" borderId="0" pivotButton="0" quotePrefix="0" xfId="0"/>
    <xf numFmtId="165" fontId="9" fillId="0" borderId="0" pivotButton="0" quotePrefix="0" xfId="0"/>
    <xf numFmtId="164" fontId="10" fillId="0" borderId="0" pivotButton="0" quotePrefix="0" xfId="0"/>
    <xf numFmtId="165" fontId="10" fillId="0" borderId="0" pivotButton="0" quotePrefix="0" xfId="0"/>
    <xf numFmtId="49" fontId="7" fillId="3" borderId="0" pivotButton="0" quotePrefix="0" xfId="0"/>
    <xf numFmtId="0" fontId="21" fillId="0" borderId="0" pivotButton="0" quotePrefix="0" xfId="0"/>
    <xf numFmtId="167" fontId="9" fillId="0" borderId="0" pivotButton="0" quotePrefix="0" xfId="0"/>
    <xf numFmtId="0" fontId="2" fillId="0" borderId="0" applyAlignment="1" pivotButton="0" quotePrefix="0" xfId="0">
      <alignment indent="2"/>
    </xf>
    <xf numFmtId="173" fontId="12" fillId="0" borderId="0" pivotButton="0" quotePrefix="0" xfId="0"/>
    <xf numFmtId="174" fontId="12" fillId="0" borderId="0" pivotButton="0" quotePrefix="0" xfId="0"/>
    <xf numFmtId="175" fontId="12" fillId="0" borderId="0" pivotButton="0" quotePrefix="0" xfId="0"/>
    <xf numFmtId="0" fontId="3" fillId="2" borderId="0" applyAlignment="1" pivotButton="0" quotePrefix="0" xfId="0">
      <alignment horizontal="right"/>
    </xf>
    <xf numFmtId="164" fontId="9" fillId="0" borderId="0" pivotButton="0" quotePrefix="0" xfId="0"/>
    <xf numFmtId="166" fontId="10" fillId="0" borderId="0" pivotButton="0" quotePrefix="0" xfId="0"/>
    <xf numFmtId="0" fontId="3" fillId="2" borderId="0" pivotButton="0" quotePrefix="0" xfId="0"/>
    <xf numFmtId="0" fontId="0" fillId="2" borderId="0" pivotButton="0" quotePrefix="0" xfId="0"/>
    <xf numFmtId="1" fontId="3" fillId="2" borderId="0" applyAlignment="1" pivotButton="0" quotePrefix="0" xfId="0">
      <alignment horizontal="right"/>
    </xf>
    <xf numFmtId="17" fontId="3" fillId="2" borderId="0" applyAlignment="1" pivotButton="0" quotePrefix="0" xfId="0">
      <alignment horizontal="right"/>
    </xf>
    <xf numFmtId="0" fontId="13" fillId="0" borderId="0" pivotButton="0" quotePrefix="0" xfId="0"/>
    <xf numFmtId="17" fontId="9" fillId="0" borderId="0" pivotButton="0" quotePrefix="0" xfId="0"/>
    <xf numFmtId="0" fontId="14" fillId="0" borderId="2" pivotButton="0" quotePrefix="0" xfId="0"/>
    <xf numFmtId="0" fontId="6" fillId="0" borderId="2" pivotButton="0" quotePrefix="0" xfId="0"/>
    <xf numFmtId="166" fontId="14" fillId="0" borderId="2" pivotButton="0" quotePrefix="0" xfId="0"/>
    <xf numFmtId="0" fontId="0" fillId="0" borderId="2" pivotButton="0" quotePrefix="0" xfId="0"/>
    <xf numFmtId="166" fontId="10" fillId="0" borderId="2" pivotButton="0" quotePrefix="0" xfId="0"/>
    <xf numFmtId="166" fontId="14" fillId="0" borderId="0" pivotButton="0" quotePrefix="0" xfId="0"/>
    <xf numFmtId="165" fontId="14" fillId="0" borderId="0" pivotButton="0" quotePrefix="0" xfId="0"/>
    <xf numFmtId="1" fontId="14" fillId="0" borderId="2" pivotButton="0" quotePrefix="0" xfId="0"/>
    <xf numFmtId="1" fontId="10" fillId="0" borderId="2" pivotButton="0" quotePrefix="0" xfId="0"/>
    <xf numFmtId="0" fontId="16" fillId="0" borderId="0" pivotButton="0" quotePrefix="0" xfId="0"/>
    <xf numFmtId="0" fontId="20" fillId="0" borderId="0" applyAlignment="1" pivotButton="0" quotePrefix="0" xfId="0">
      <alignment vertical="top" wrapText="1"/>
    </xf>
    <xf numFmtId="0" fontId="15" fillId="0" borderId="0" pivotButton="0" quotePrefix="0" xfId="0"/>
    <xf numFmtId="17" fontId="19" fillId="0" borderId="0" pivotButton="0" quotePrefix="0" xfId="0"/>
    <xf numFmtId="166" fontId="19" fillId="0" borderId="0" pivotButton="0" quotePrefix="0" xfId="0"/>
    <xf numFmtId="1" fontId="14" fillId="0" borderId="0" pivotButton="0" quotePrefix="0" xfId="0"/>
    <xf numFmtId="167" fontId="14" fillId="0" borderId="0" pivotButton="0" quotePrefix="0" xfId="0"/>
    <xf numFmtId="167" fontId="10" fillId="0" borderId="0" pivotButton="0" quotePrefix="0" xfId="0"/>
    <xf numFmtId="0" fontId="21" fillId="0" borderId="0" applyAlignment="1" pivotButton="0" quotePrefix="0" xfId="0">
      <alignment vertical="top" wrapText="1"/>
    </xf>
    <xf numFmtId="169" fontId="12" fillId="0" borderId="0" pivotButton="0" quotePrefix="0" xfId="0"/>
    <xf numFmtId="169" fontId="10" fillId="0" borderId="0" pivotButton="0" quotePrefix="0" xfId="0"/>
    <xf numFmtId="164" fontId="14" fillId="0" borderId="0" pivotButton="0" quotePrefix="0" xfId="0"/>
    <xf numFmtId="164" fontId="13" fillId="0" borderId="0" pivotButton="0" quotePrefix="0" xfId="0"/>
    <xf numFmtId="165" fontId="13" fillId="0" borderId="0" pivotButton="0" quotePrefix="0" xfId="0"/>
    <xf numFmtId="167" fontId="13" fillId="0" borderId="0" pivotButton="0" quotePrefix="0" xfId="0"/>
    <xf numFmtId="1" fontId="13" fillId="0" borderId="0" pivotButton="0" quotePrefix="0" xfId="0"/>
    <xf numFmtId="164" fontId="27" fillId="0" borderId="0" pivotButton="0" quotePrefix="0" xfId="0"/>
    <xf numFmtId="0" fontId="22" fillId="0" borderId="0" pivotButton="0" quotePrefix="0" xfId="0"/>
    <xf numFmtId="171" fontId="12" fillId="0" borderId="0" pivotButton="0" quotePrefix="0" xfId="0"/>
    <xf numFmtId="171" fontId="9" fillId="0" borderId="0" pivotButton="0" quotePrefix="0" xfId="0"/>
    <xf numFmtId="0" fontId="22" fillId="0" borderId="0" applyAlignment="1" pivotButton="0" quotePrefix="0" xfId="0">
      <alignment vertical="top" wrapText="1"/>
    </xf>
    <xf numFmtId="170" fontId="10" fillId="0" borderId="0" pivotButton="0" quotePrefix="0" xfId="0"/>
    <xf numFmtId="49" fontId="9" fillId="0" borderId="0" applyAlignment="1" pivotButton="0" quotePrefix="0" xfId="0">
      <alignment vertical="top" wrapText="1"/>
    </xf>
    <xf numFmtId="0" fontId="23" fillId="0" borderId="0" applyAlignment="1" pivotButton="0" quotePrefix="0" xfId="0">
      <alignment vertical="top" wrapText="1"/>
    </xf>
    <xf numFmtId="0" fontId="19" fillId="0" borderId="0" applyAlignment="1" pivotButton="0" quotePrefix="0" xfId="0">
      <alignment vertical="top" wrapText="1"/>
    </xf>
    <xf numFmtId="0" fontId="21" fillId="6" borderId="0" applyAlignment="1" pivotButton="0" quotePrefix="0" xfId="0">
      <alignment vertical="top" wrapText="1"/>
    </xf>
    <xf numFmtId="168" fontId="19" fillId="0" borderId="0" applyAlignment="1" pivotButton="0" quotePrefix="0" xfId="0">
      <alignment vertical="top" wrapText="1"/>
    </xf>
    <xf numFmtId="165" fontId="19" fillId="0" borderId="0" applyAlignment="1" pivotButton="0" quotePrefix="0" xfId="0">
      <alignment vertical="top" wrapText="1"/>
    </xf>
    <xf numFmtId="0" fontId="21" fillId="7" borderId="0" applyAlignment="1" pivotButton="0" quotePrefix="0" xfId="0">
      <alignment vertical="top" wrapText="1"/>
    </xf>
    <xf numFmtId="0" fontId="21" fillId="8" borderId="0" applyAlignment="1" pivotButton="0" quotePrefix="0" xfId="0">
      <alignment vertical="top" wrapText="1"/>
    </xf>
    <xf numFmtId="0" fontId="21" fillId="9" borderId="0" applyAlignment="1" pivotButton="0" quotePrefix="0" xfId="0">
      <alignment vertical="top" wrapText="1"/>
    </xf>
    <xf numFmtId="0" fontId="21" fillId="10" borderId="0" applyAlignment="1" pivotButton="0" quotePrefix="0" xfId="0">
      <alignment vertical="top" wrapText="1"/>
    </xf>
    <xf numFmtId="0" fontId="24" fillId="0" borderId="0" applyAlignment="1" pivotButton="0" quotePrefix="0" xfId="0">
      <alignment vertical="bottom" wrapText="1"/>
    </xf>
    <xf numFmtId="169" fontId="9" fillId="0" borderId="0" pivotButton="0" quotePrefix="0" xfId="0"/>
    <xf numFmtId="0" fontId="21" fillId="5" borderId="0" pivotButton="0" quotePrefix="0" xfId="0"/>
    <xf numFmtId="0" fontId="19" fillId="5" borderId="0" pivotButton="0" quotePrefix="0" xfId="0"/>
    <xf numFmtId="0" fontId="17" fillId="5" borderId="0" pivotButton="0" quotePrefix="0" xfId="0"/>
    <xf numFmtId="172" fontId="9" fillId="5" borderId="0" pivotButton="0" quotePrefix="0" xfId="0"/>
    <xf numFmtId="0" fontId="17" fillId="0" borderId="0" pivotButton="0" quotePrefix="0" xfId="0"/>
    <xf numFmtId="49" fontId="17" fillId="0" borderId="0" pivotButton="0" quotePrefix="0" xfId="0"/>
    <xf numFmtId="0" fontId="19" fillId="0" borderId="0" pivotButton="0" quotePrefix="0" xfId="0"/>
    <xf numFmtId="172" fontId="9" fillId="0" borderId="0" pivotButton="0" quotePrefix="0" xfId="0"/>
    <xf numFmtId="0" fontId="18" fillId="0" borderId="0" pivotButton="0" quotePrefix="0" xfId="0"/>
    <xf numFmtId="165" fontId="17" fillId="0" borderId="0" pivotButton="0" quotePrefix="0" xfId="0"/>
    <xf numFmtId="166" fontId="17" fillId="0" borderId="0" pivotButton="0" quotePrefix="0" xfId="0"/>
    <xf numFmtId="17" fontId="7" fillId="6" borderId="0" pivotButton="0" quotePrefix="0" xfId="0"/>
    <xf numFmtId="166" fontId="7" fillId="6" borderId="0" pivotButton="0" quotePrefix="0" xfId="0"/>
    <xf numFmtId="49" fontId="7" fillId="6" borderId="0" pivotButton="0" quotePrefix="0" xfId="0"/>
    <xf numFmtId="166" fontId="19" fillId="6" borderId="0" pivotButton="0" quotePrefix="0" xfId="0"/>
    <xf numFmtId="165" fontId="19" fillId="6" borderId="0" pivotButton="0" quotePrefix="0" xfId="0"/>
    <xf numFmtId="49" fontId="19" fillId="6" borderId="0" pivotButton="0" quotePrefix="0" xfId="0"/>
    <xf numFmtId="1" fontId="3" fillId="2" borderId="0" pivotButton="0" quotePrefix="0" xfId="0"/>
    <xf numFmtId="17" fontId="3" fillId="2" borderId="0" pivotButton="0" quotePrefix="0" xfId="0"/>
    <xf numFmtId="0" fontId="28" fillId="0" borderId="0" applyAlignment="1" pivotButton="0" quotePrefix="0" xfId="0">
      <alignment vertical="top" wrapText="1"/>
    </xf>
  </cellXfs>
  <cellStyles count="1">
    <cellStyle name="Normal" xfId="0" builtinId="0" hidden="0"/>
  </cellStyles>
  <dxfs count="2">
    <dxf>
      <font>
        <name val="Arial"/>
        <b val="1"/>
        <color rgb="001E7B34"/>
      </font>
    </dxf>
    <dxf>
      <font>
        <name val="Arial"/>
        <b val="1"/>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Revenue &amp; EBITDA (LCY)</a:t>
            </a:r>
          </a:p>
        </rich>
      </tx>
    </title>
    <plotArea>
      <barChart>
        <barDir val="col"/>
        <grouping val="clustered"/>
        <ser>
          <idx val="0"/>
          <order val="0"/>
          <tx>
            <v>Revenue</v>
          </tx>
          <spPr>
            <a:ln xmlns:a="http://schemas.openxmlformats.org/drawingml/2006/main">
              <a:prstDash val="solid"/>
            </a:ln>
          </spPr>
          <cat>
            <numRef>
              <f>'Annual'!$E$5:$I$5</f>
            </numRef>
          </cat>
          <val>
            <numRef>
              <f>'Annual'!$E$12:$I$12</f>
            </numRef>
          </val>
        </ser>
        <ser>
          <idx val="1"/>
          <order val="1"/>
          <tx>
            <v>EBITDA</v>
          </tx>
          <spPr>
            <a:ln xmlns:a="http://schemas.openxmlformats.org/drawingml/2006/main">
              <a:prstDash val="solid"/>
            </a:ln>
          </spPr>
          <cat>
            <numRef>
              <f>'Annual'!$E$5:$I$5</f>
            </numRef>
          </cat>
          <val>
            <numRef>
              <f>'Annual'!$E$19:$I$19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Units sold by tier</a:t>
            </a:r>
          </a:p>
        </rich>
      </tx>
    </title>
    <plotArea>
      <barChart>
        <barDir val="col"/>
        <grouping val="stacked"/>
        <ser>
          <idx val="0"/>
          <order val="0"/>
          <tx>
            <v>Tier 1</v>
          </tx>
          <spPr>
            <a:ln xmlns:a="http://schemas.openxmlformats.org/drawingml/2006/main">
              <a:prstDash val="solid"/>
            </a:ln>
          </spPr>
          <cat>
            <numRef>
              <f>'KPIs'!$E$5:$I$5</f>
            </numRef>
          </cat>
          <val>
            <numRef>
              <f>'KPIs'!$E$9:$I$9</f>
            </numRef>
          </val>
        </ser>
        <ser>
          <idx val="1"/>
          <order val="1"/>
          <tx>
            <v>Tier 2</v>
          </tx>
          <spPr>
            <a:ln xmlns:a="http://schemas.openxmlformats.org/drawingml/2006/main">
              <a:prstDash val="solid"/>
            </a:ln>
          </spPr>
          <cat>
            <numRef>
              <f>'KPIs'!$E$5:$I$5</f>
            </numRef>
          </cat>
          <val>
            <numRef>
              <f>'KPIs'!$E$10:$I$10</f>
            </numRef>
          </val>
        </ser>
        <ser>
          <idx val="2"/>
          <order val="2"/>
          <tx>
            <v>Tier 3</v>
          </tx>
          <spPr>
            <a:ln xmlns:a="http://schemas.openxmlformats.org/drawingml/2006/main">
              <a:prstDash val="solid"/>
            </a:ln>
          </spPr>
          <cat>
            <numRef>
              <f>'KPIs'!$E$5:$I$5</f>
            </numRef>
          </cat>
          <val>
            <numRef>
              <f>'KPIs'!$E$11:$I$11</f>
            </numRef>
          </val>
        </ser>
        <ser>
          <idx val="3"/>
          <order val="3"/>
          <tx>
            <v>Tier 4</v>
          </tx>
          <spPr>
            <a:ln xmlns:a="http://schemas.openxmlformats.org/drawingml/2006/main">
              <a:prstDash val="solid"/>
            </a:ln>
          </spPr>
          <cat>
            <numRef>
              <f>'KPIs'!$E$5:$I$5</f>
            </numRef>
          </cat>
          <val>
            <numRef>
              <f>'KPIs'!$E$12:$I$12</f>
            </numRef>
          </val>
        </ser>
        <ser>
          <idx val="4"/>
          <order val="4"/>
          <tx>
            <v>Tier 5</v>
          </tx>
          <spPr>
            <a:ln xmlns:a="http://schemas.openxmlformats.org/drawingml/2006/main">
              <a:prstDash val="solid"/>
            </a:ln>
          </spPr>
          <cat>
            <numRef>
              <f>'KPIs'!$E$5:$I$5</f>
            </numRef>
          </cat>
          <val>
            <numRef>
              <f>'KPIs'!$E$13:$I$13</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Collection rate &amp; write-off rate</a:t>
            </a:r>
          </a:p>
        </rich>
      </tx>
    </title>
    <plotArea>
      <lineChart>
        <grouping val="standard"/>
        <ser>
          <idx val="0"/>
          <order val="0"/>
          <tx>
            <v>Operational collection rate</v>
          </tx>
          <spPr>
            <a:ln xmlns:a="http://schemas.openxmlformats.org/drawingml/2006/main">
              <a:prstDash val="solid"/>
            </a:ln>
          </spPr>
          <marker>
            <symbol val="none"/>
            <spPr>
              <a:ln xmlns:a="http://schemas.openxmlformats.org/drawingml/2006/main">
                <a:prstDash val="solid"/>
              </a:ln>
            </spPr>
          </marker>
          <cat>
            <numRef>
              <f>'KPIs'!$E$5:$I$5</f>
            </numRef>
          </cat>
          <val>
            <numRef>
              <f>'KPIs'!$E$19:$I$19</f>
            </numRef>
          </val>
        </ser>
        <ser>
          <idx val="1"/>
          <order val="1"/>
          <tx>
            <v>Write-off rate</v>
          </tx>
          <spPr>
            <a:ln xmlns:a="http://schemas.openxmlformats.org/drawingml/2006/main">
              <a:prstDash val="solid"/>
            </a:ln>
          </spPr>
          <marker>
            <symbol val="none"/>
            <spPr>
              <a:ln xmlns:a="http://schemas.openxmlformats.org/drawingml/2006/main">
                <a:prstDash val="solid"/>
              </a:ln>
            </spPr>
          </marker>
          <cat>
            <numRef>
              <f>'KPIs'!$E$5:$I$5</f>
            </numRef>
          </cat>
          <val>
            <numRef>
              <f>'KPIs'!$E$20:$I$20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Cumulative equity vs total debt (LCY)</a:t>
            </a:r>
          </a:p>
        </rich>
      </tx>
    </title>
    <plotArea>
      <lineChart>
        <grouping val="standard"/>
        <ser>
          <idx val="0"/>
          <order val="0"/>
          <tx>
            <v>Cumulative equity</v>
          </tx>
          <spPr>
            <a:ln xmlns:a="http://schemas.openxmlformats.org/drawingml/2006/main">
              <a:prstDash val="solid"/>
            </a:ln>
          </spPr>
          <marker>
            <symbol val="none"/>
            <spPr>
              <a:ln xmlns:a="http://schemas.openxmlformats.org/drawingml/2006/main">
                <a:prstDash val="solid"/>
              </a:ln>
            </spPr>
          </marker>
          <cat>
            <numRef>
              <f>'KPIs'!$E$5:$I$5</f>
            </numRef>
          </cat>
          <val>
            <numRef>
              <f>'KPIs'!$E$45:$I$45</f>
            </numRef>
          </val>
        </ser>
        <ser>
          <idx val="1"/>
          <order val="1"/>
          <tx>
            <v>Total debt</v>
          </tx>
          <spPr>
            <a:ln xmlns:a="http://schemas.openxmlformats.org/drawingml/2006/main">
              <a:prstDash val="solid"/>
            </a:ln>
          </spPr>
          <marker>
            <symbol val="none"/>
            <spPr>
              <a:ln xmlns:a="http://schemas.openxmlformats.org/drawingml/2006/main">
                <a:prstDash val="solid"/>
              </a:ln>
            </spPr>
          </marker>
          <cat>
            <numRef>
              <f>'KPIs'!$E$5:$I$5</f>
            </numRef>
          </cat>
          <val>
            <numRef>
              <f>'KPIs'!$E$47:$I$47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Portfolio vintage curve</a:t>
            </a:r>
          </a:p>
        </rich>
      </tx>
    </title>
    <plotArea>
      <lineChart>
        <grouping val="standard"/>
        <ser>
          <idx val="0"/>
          <order val="0"/>
          <tx>
            <v>Cohort repayment ratio</v>
          </tx>
          <spPr>
            <a:ln xmlns:a="http://schemas.openxmlformats.org/drawingml/2006/main">
              <a:prstDash val="solid"/>
            </a:ln>
          </spPr>
          <marker>
            <symbol val="none"/>
            <spPr>
              <a:ln xmlns:a="http://schemas.openxmlformats.org/drawingml/2006/main">
                <a:prstDash val="solid"/>
              </a:ln>
            </spPr>
          </marker>
          <cat>
            <numRef>
              <f>'Vintage_Dashboard'!$B$17:$I$17</f>
            </numRef>
          </cat>
          <val>
            <numRef>
              <f>'Vintage_Dashboard'!$B$18:$I$18</f>
            </numRef>
          </val>
        </ser>
        <ser>
          <idx val="1"/>
          <order val="1"/>
          <tx>
            <v>30+ DPD / due</v>
          </tx>
          <spPr>
            <a:ln xmlns:a="http://schemas.openxmlformats.org/drawingml/2006/main">
              <a:prstDash val="solid"/>
            </a:ln>
          </spPr>
          <marker>
            <symbol val="none"/>
            <spPr>
              <a:ln xmlns:a="http://schemas.openxmlformats.org/drawingml/2006/main">
                <a:prstDash val="solid"/>
              </a:ln>
            </spPr>
          </marker>
          <cat>
            <numRef>
              <f>'Vintage_Dashboard'!$B$17:$I$17</f>
            </numRef>
          </cat>
          <val>
            <numRef>
              <f>'Vintage_Dashboard'!$B$19:$I$19</f>
            </numRef>
          </val>
        </ser>
        <ser>
          <idx val="2"/>
          <order val="2"/>
          <tx>
            <v>90+ DPD / due</v>
          </tx>
          <spPr>
            <a:ln xmlns:a="http://schemas.openxmlformats.org/drawingml/2006/main">
              <a:prstDash val="solid"/>
            </a:ln>
          </spPr>
          <marker>
            <symbol val="none"/>
            <spPr>
              <a:ln xmlns:a="http://schemas.openxmlformats.org/drawingml/2006/main">
                <a:prstDash val="solid"/>
              </a:ln>
            </spPr>
          </marker>
          <cat>
            <numRef>
              <f>'Vintage_Dashboard'!$B$17:$I$17</f>
            </numRef>
          </cat>
          <val>
            <numRef>
              <f>'Vintage_Dashboard'!$B$20:$I$20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Investor IRR by case (static)</a:t>
            </a:r>
          </a:p>
        </rich>
      </tx>
    </title>
    <plotArea>
      <barChart>
        <barDir val="bar"/>
        <grouping val="clustered"/>
        <ser>
          <idx val="0"/>
          <order val="0"/>
          <tx>
            <v>Investor IRR (USD)</v>
          </tx>
          <spPr>
            <a:ln xmlns:a="http://schemas.openxmlformats.org/drawingml/2006/main">
              <a:prstDash val="solid"/>
            </a:ln>
          </spPr>
          <cat>
            <numRef>
              <f>'Sensitivity'!$A$6:$A$20</f>
            </numRef>
          </cat>
          <val>
            <numRef>
              <f>'Sensitivity'!$G$6:$G$20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AEF</author>
  </authors>
  <commentList>
    <comment ref="A159" authorId="0" shapeId="0">
      <text>
        <t>Cash conversion in the month. Not the PAYGo PERFORM 2026 Repayment Rate, which is computed on contract data (see PERFORM_2026).</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3.xml.rels><Relationships xmlns="http://schemas.openxmlformats.org/package/2006/relationships"><Relationship Type="http://schemas.openxmlformats.org/officeDocument/2006/relationships/chart" Target="/xl/charts/chart5.xml" Id="rId1"/></Relationships>
</file>

<file path=xl/drawings/_rels/drawing4.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oneCellAnchor>
    <from>
      <col>2</col>
      <colOff>0</colOff>
      <row>2</row>
      <rowOff>0</rowOff>
    </from>
    <ext cx="5715000" cy="2190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9</col>
      <colOff>0</colOff>
      <row>4</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18</col>
      <colOff>0</colOff>
      <row>4</row>
      <rowOff>0</rowOff>
    </from>
    <ext cx="54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9</col>
      <colOff>0</colOff>
      <row>21</row>
      <rowOff>0</rowOff>
    </from>
    <ext cx="540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18</col>
      <colOff>0</colOff>
      <row>21</row>
      <rowOff>0</rowOff>
    </from>
    <ext cx="5400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3.xml><?xml version="1.0" encoding="utf-8"?>
<wsDr xmlns="http://schemas.openxmlformats.org/drawingml/2006/spreadsheetDrawing">
  <oneCellAnchor>
    <from>
      <col>0</col>
      <colOff>0</colOff>
      <row>23</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26</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ntents'!A1" TargetMode="External" Id="rId1"/><Relationship Type="http://schemas.openxmlformats.org/officeDocument/2006/relationships/hyperlink" Target="#'Investment_Summary'!A1" TargetMode="External" Id="rId2"/><Relationship Type="http://schemas.openxmlformats.org/officeDocument/2006/relationships/hyperlink" Target="#'Investment_Readiness'!A1" TargetMode="External" Id="rId3"/><Relationship Type="http://schemas.openxmlformats.org/officeDocument/2006/relationships/drawing" Target="/xl/drawings/drawing1.xml" Id="rId4"/></Relationships>
</file>

<file path=xl/worksheets/_rels/sheet2.xml.rels><Relationships xmlns="http://schemas.openxmlformats.org/package/2006/relationships"><Relationship Type="http://schemas.openxmlformats.org/officeDocument/2006/relationships/hyperlink" Target="#'Inputs'!A1" TargetMode="External" Id="rId1"/><Relationship Type="http://schemas.openxmlformats.org/officeDocument/2006/relationships/hyperlink" Target="#'Products'!A1" TargetMode="External" Id="rId2"/><Relationship Type="http://schemas.openxmlformats.org/officeDocument/2006/relationships/hyperlink" Target="#'Credit_Assumptions'!A1" TargetMode="External" Id="rId3"/><Relationship Type="http://schemas.openxmlformats.org/officeDocument/2006/relationships/hyperlink" Target="#'Scenarios'!A1" TargetMode="External" Id="rId4"/><Relationship Type="http://schemas.openxmlformats.org/officeDocument/2006/relationships/hyperlink" Target="#'Consumer_Risk'!A1" TargetMode="External" Id="rId5"/><Relationship Type="http://schemas.openxmlformats.org/officeDocument/2006/relationships/hyperlink" Target="#'Credit_Input'!A1" TargetMode="External" Id="rId6"/><Relationship Type="http://schemas.openxmlformats.org/officeDocument/2006/relationships/hyperlink" Target="#'Vintage_Input'!A1" TargetMode="External" Id="rId7"/><Relationship Type="http://schemas.openxmlformats.org/officeDocument/2006/relationships/hyperlink" Target="#'PERFORM_2026'!A1" TargetMode="External" Id="rId8"/><Relationship Type="http://schemas.openxmlformats.org/officeDocument/2006/relationships/hyperlink" Target="#'Investment_Readiness'!A1" TargetMode="External" Id="rId9"/><Relationship Type="http://schemas.openxmlformats.org/officeDocument/2006/relationships/hyperlink" Target="#'Curves'!A1" TargetMode="External" Id="rId10"/><Relationship Type="http://schemas.openxmlformats.org/officeDocument/2006/relationships/hyperlink" Target="#'Ops'!A1" TargetMode="External" Id="rId11"/><Relationship Type="http://schemas.openxmlformats.org/officeDocument/2006/relationships/hyperlink" Target="#'FS'!A1" TargetMode="External" Id="rId12"/><Relationship Type="http://schemas.openxmlformats.org/officeDocument/2006/relationships/hyperlink" Target="#'Financing'!A1" TargetMode="External" Id="rId13"/><Relationship Type="http://schemas.openxmlformats.org/officeDocument/2006/relationships/hyperlink" Target="#'Credit_Engine'!A1" TargetMode="External" Id="rId14"/><Relationship Type="http://schemas.openxmlformats.org/officeDocument/2006/relationships/hyperlink" Target="#'RBF_Engine'!A1" TargetMode="External" Id="rId15"/><Relationship Type="http://schemas.openxmlformats.org/officeDocument/2006/relationships/hyperlink" Target="#'Valuation'!A1" TargetMode="External" Id="rId16"/><Relationship Type="http://schemas.openxmlformats.org/officeDocument/2006/relationships/hyperlink" Target="#'Investment_Summary'!A1" TargetMode="External" Id="rId17"/><Relationship Type="http://schemas.openxmlformats.org/officeDocument/2006/relationships/hyperlink" Target="#'Dashboard'!A1" TargetMode="External" Id="rId18"/><Relationship Type="http://schemas.openxmlformats.org/officeDocument/2006/relationships/hyperlink" Target="#'Investment_Readiness'!A1" TargetMode="External" Id="rId19"/><Relationship Type="http://schemas.openxmlformats.org/officeDocument/2006/relationships/hyperlink" Target="#'Sensitivity'!A1" TargetMode="External" Id="rId20"/><Relationship Type="http://schemas.openxmlformats.org/officeDocument/2006/relationships/hyperlink" Target="#'Vintage_Dashboard'!A1" TargetMode="External" Id="rId21"/><Relationship Type="http://schemas.openxmlformats.org/officeDocument/2006/relationships/hyperlink" Target="#'Covenants'!A1" TargetMode="External" Id="rId22"/><Relationship Type="http://schemas.openxmlformats.org/officeDocument/2006/relationships/hyperlink" Target="#'FX_Exposure'!A1" TargetMode="External" Id="rId23"/><Relationship Type="http://schemas.openxmlformats.org/officeDocument/2006/relationships/hyperlink" Target="#'Unit_Economics'!A1" TargetMode="External" Id="rId24"/><Relationship Type="http://schemas.openxmlformats.org/officeDocument/2006/relationships/hyperlink" Target="#'Checks'!A1" TargetMode="External" Id="rId25"/></Relationships>
</file>

<file path=xl/worksheets/_rels/sheet3.xml.rels><Relationships xmlns="http://schemas.openxmlformats.org/package/2006/relationships"><Relationship Type="http://schemas.openxmlformats.org/officeDocument/2006/relationships/hyperlink" Target="#'Cover'!A1" TargetMode="External" Id="rId1"/><Relationship Type="http://schemas.openxmlformats.org/officeDocument/2006/relationships/hyperlink" Target="#'Start'!A1" TargetMode="External" Id="rId2"/><Relationship Type="http://schemas.openxmlformats.org/officeDocument/2006/relationships/hyperlink" Target="#'Contents'!A1" TargetMode="External" Id="rId3"/><Relationship Type="http://schemas.openxmlformats.org/officeDocument/2006/relationships/hyperlink" Target="#'Investment_Summary'!A1" TargetMode="External" Id="rId4"/><Relationship Type="http://schemas.openxmlformats.org/officeDocument/2006/relationships/hyperlink" Target="#'Investment_Readiness'!A1" TargetMode="External" Id="rId5"/><Relationship Type="http://schemas.openxmlformats.org/officeDocument/2006/relationships/hyperlink" Target="#'Inputs'!A1" TargetMode="External" Id="rId6"/><Relationship Type="http://schemas.openxmlformats.org/officeDocument/2006/relationships/hyperlink" Target="#'Products'!A1" TargetMode="External" Id="rId7"/><Relationship Type="http://schemas.openxmlformats.org/officeDocument/2006/relationships/hyperlink" Target="#'Scenarios'!A1" TargetMode="External" Id="rId8"/><Relationship Type="http://schemas.openxmlformats.org/officeDocument/2006/relationships/hyperlink" Target="#'Credit_Assumptions'!A1" TargetMode="External" Id="rId9"/><Relationship Type="http://schemas.openxmlformats.org/officeDocument/2006/relationships/hyperlink" Target="#'Consumer_Risk'!A1" TargetMode="External" Id="rId10"/><Relationship Type="http://schemas.openxmlformats.org/officeDocument/2006/relationships/hyperlink" Target="#'Dashboard'!A1" TargetMode="External" Id="rId11"/><Relationship Type="http://schemas.openxmlformats.org/officeDocument/2006/relationships/hyperlink" Target="#'KPIs'!A1" TargetMode="External" Id="rId12"/><Relationship Type="http://schemas.openxmlformats.org/officeDocument/2006/relationships/hyperlink" Target="#'Credit_Portfolio'!A1" TargetMode="External" Id="rId13"/><Relationship Type="http://schemas.openxmlformats.org/officeDocument/2006/relationships/hyperlink" Target="#'Vintage_Dashboard'!A1" TargetMode="External" Id="rId14"/><Relationship Type="http://schemas.openxmlformats.org/officeDocument/2006/relationships/hyperlink" Target="#'PERFORM_2026'!A1" TargetMode="External" Id="rId15"/><Relationship Type="http://schemas.openxmlformats.org/officeDocument/2006/relationships/hyperlink" Target="#'Covenants'!A1" TargetMode="External" Id="rId16"/><Relationship Type="http://schemas.openxmlformats.org/officeDocument/2006/relationships/hyperlink" Target="#'Valuation'!A1" TargetMode="External" Id="rId17"/><Relationship Type="http://schemas.openxmlformats.org/officeDocument/2006/relationships/hyperlink" Target="#'FX_Exposure'!A1" TargetMode="External" Id="rId18"/><Relationship Type="http://schemas.openxmlformats.org/officeDocument/2006/relationships/hyperlink" Target="#'Unit_Economics'!A1" TargetMode="External" Id="rId19"/><Relationship Type="http://schemas.openxmlformats.org/officeDocument/2006/relationships/hyperlink" Target="#'Sensitivity'!A1" TargetMode="External" Id="rId20"/><Relationship Type="http://schemas.openxmlformats.org/officeDocument/2006/relationships/hyperlink" Target="#'Benchmark_Compare'!A1" TargetMode="External" Id="rId21"/><Relationship Type="http://schemas.openxmlformats.org/officeDocument/2006/relationships/hyperlink" Target="#'Benchmark_KPIs'!A1" TargetMode="External" Id="rId22"/><Relationship Type="http://schemas.openxmlformats.org/officeDocument/2006/relationships/hyperlink" Target="#'Market_Benchmark'!A1" TargetMode="External" Id="rId23"/><Relationship Type="http://schemas.openxmlformats.org/officeDocument/2006/relationships/hyperlink" Target="#'Calibration'!A1" TargetMode="External" Id="rId24"/><Relationship Type="http://schemas.openxmlformats.org/officeDocument/2006/relationships/hyperlink" Target="#'Company_Cases'!A1" TargetMode="External" Id="rId25"/><Relationship Type="http://schemas.openxmlformats.org/officeDocument/2006/relationships/hyperlink" Target="#'Source_Register'!A1" TargetMode="External" Id="rId26"/><Relationship Type="http://schemas.openxmlformats.org/officeDocument/2006/relationships/hyperlink" Target="#'Benchmark_Matrix'!A1" TargetMode="External" Id="rId27"/><Relationship Type="http://schemas.openxmlformats.org/officeDocument/2006/relationships/hyperlink" Target="#'Benchmark_DB'!A1" TargetMode="External" Id="rId28"/><Relationship Type="http://schemas.openxmlformats.org/officeDocument/2006/relationships/hyperlink" Target="#'Annual'!A1" TargetMode="External" Id="rId29"/><Relationship Type="http://schemas.openxmlformats.org/officeDocument/2006/relationships/hyperlink" Target="#'FS'!A1" TargetMode="External" Id="rId30"/><Relationship Type="http://schemas.openxmlformats.org/officeDocument/2006/relationships/hyperlink" Target="#'Ops'!A1" TargetMode="External" Id="rId31"/><Relationship Type="http://schemas.openxmlformats.org/officeDocument/2006/relationships/hyperlink" Target="#'RBF_Engine'!A1" TargetMode="External" Id="rId32"/><Relationship Type="http://schemas.openxmlformats.org/officeDocument/2006/relationships/hyperlink" Target="#'Credit_Engine'!A1" TargetMode="External" Id="rId33"/><Relationship Type="http://schemas.openxmlformats.org/officeDocument/2006/relationships/hyperlink" Target="#'Vintage_Engine'!A1" TargetMode="External" Id="rId34"/><Relationship Type="http://schemas.openxmlformats.org/officeDocument/2006/relationships/hyperlink" Target="#'Costs'!A1" TargetMode="External" Id="rId35"/><Relationship Type="http://schemas.openxmlformats.org/officeDocument/2006/relationships/hyperlink" Target="#'Financing'!A1" TargetMode="External" Id="rId36"/><Relationship Type="http://schemas.openxmlformats.org/officeDocument/2006/relationships/hyperlink" Target="#'Curves'!A1" TargetMode="External" Id="rId37"/><Relationship Type="http://schemas.openxmlformats.org/officeDocument/2006/relationships/hyperlink" Target="#'Cohort_T1'!A1" TargetMode="External" Id="rId38"/><Relationship Type="http://schemas.openxmlformats.org/officeDocument/2006/relationships/hyperlink" Target="#'Cohort_T2'!A1" TargetMode="External" Id="rId39"/><Relationship Type="http://schemas.openxmlformats.org/officeDocument/2006/relationships/hyperlink" Target="#'Cohort_T3'!A1" TargetMode="External" Id="rId40"/><Relationship Type="http://schemas.openxmlformats.org/officeDocument/2006/relationships/hyperlink" Target="#'Cohort_T4'!A1" TargetMode="External" Id="rId41"/><Relationship Type="http://schemas.openxmlformats.org/officeDocument/2006/relationships/hyperlink" Target="#'Cohort_T5'!A1" TargetMode="External" Id="rId42"/><Relationship Type="http://schemas.openxmlformats.org/officeDocument/2006/relationships/hyperlink" Target="#'Credit_Input'!A1" TargetMode="External" Id="rId43"/><Relationship Type="http://schemas.openxmlformats.org/officeDocument/2006/relationships/hyperlink" Target="#'Vintage_Input'!A1" TargetMode="External" Id="rId44"/><Relationship Type="http://schemas.openxmlformats.org/officeDocument/2006/relationships/hyperlink" Target="#'Timeline'!A1" TargetMode="External" Id="rId45"/><Relationship Type="http://schemas.openxmlformats.org/officeDocument/2006/relationships/hyperlink" Target="#'Glossary'!A1" TargetMode="External" Id="rId46"/><Relationship Type="http://schemas.openxmlformats.org/officeDocument/2006/relationships/hyperlink" Target="#'Checks'!A1" TargetMode="External" Id="rId47"/></Relationships>
</file>

<file path=xl/worksheets/_rels/sheet11.xml.rels><Relationships xmlns="http://schemas.openxmlformats.org/package/2006/relationships"><Relationship Type="http://schemas.openxmlformats.org/officeDocument/2006/relationships/drawing" Target="/xl/drawings/drawing2.xml" Id="rId1"/></Relationships>
</file>

<file path=xl/worksheets/_rels/sheet14.xml.rels><Relationships xmlns="http://schemas.openxmlformats.org/package/2006/relationships"><Relationship Type="http://schemas.openxmlformats.org/officeDocument/2006/relationships/drawing" Target="/xl/drawings/drawing3.xml" Id="rId1"/></Relationships>
</file>

<file path=xl/worksheets/_rels/sheet20.xml.rels><Relationships xmlns="http://schemas.openxmlformats.org/package/2006/relationships"><Relationship Type="http://schemas.openxmlformats.org/officeDocument/2006/relationships/drawing" Target="/xl/drawings/drawing4.xml" Id="rId1"/></Relationships>
</file>

<file path=xl/worksheets/_rels/sheet3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0B3020"/>
    <outlinePr summaryBelow="1" summaryRight="1"/>
    <pageSetUpPr fitToPage="1"/>
  </sheetPr>
  <dimension ref="A1:L47"/>
  <sheetViews>
    <sheetView showGridLines="0" zoomScale="90" workbookViewId="0">
      <selection activeCell="A1" sqref="A1"/>
    </sheetView>
  </sheetViews>
  <sheetFormatPr baseColWidth="8" defaultRowHeight="15"/>
  <cols>
    <col width="3" customWidth="1" min="1" max="1"/>
    <col width="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4" customWidth="1" min="12" max="12"/>
    <col width="3" customWidth="1" min="13" max="13"/>
  </cols>
  <sheetData>
    <row r="1" ht="18" customHeight="1"/>
    <row r="2" ht="18" customHeight="1"/>
    <row r="3" ht="18" customHeight="1"/>
    <row r="4" ht="18" customHeight="1"/>
    <row r="5" ht="18" customHeight="1"/>
    <row r="6" ht="18" customHeight="1"/>
    <row r="7" ht="18" customHeight="1"/>
    <row r="8" ht="18" customHeight="1"/>
    <row r="9" ht="18" customHeight="1"/>
    <row r="10" ht="18" customHeight="1"/>
    <row r="11" ht="18" customHeight="1"/>
    <row r="12" ht="18" customHeight="1"/>
    <row r="13" ht="18" customHeight="1"/>
    <row r="14" ht="18" customHeight="1"/>
    <row r="15" ht="5" customHeight="1">
      <c r="B15" s="1" t="n"/>
      <c r="C15" s="1" t="n"/>
      <c r="D15" s="1" t="n"/>
      <c r="E15" s="1" t="n"/>
      <c r="F15" s="1" t="n"/>
      <c r="G15" s="1" t="n"/>
      <c r="H15" s="1" t="n"/>
      <c r="I15" s="1" t="n"/>
      <c r="J15" s="1" t="n"/>
      <c r="K15" s="1" t="n"/>
      <c r="L15" s="1" t="n"/>
    </row>
    <row r="16" ht="20" customHeight="1">
      <c r="B16" s="2" t="n"/>
      <c r="C16" s="2" t="n"/>
      <c r="D16" s="2" t="n"/>
      <c r="E16" s="2" t="n"/>
      <c r="F16" s="2" t="n"/>
      <c r="G16" s="2" t="n"/>
      <c r="H16" s="2" t="n"/>
      <c r="I16" s="2" t="n"/>
      <c r="J16" s="2" t="n"/>
      <c r="K16" s="2" t="n"/>
      <c r="L16" s="2" t="n"/>
    </row>
    <row r="17" ht="20" customHeight="1">
      <c r="B17" s="2" t="n"/>
      <c r="C17" s="2" t="n"/>
      <c r="D17" s="2" t="n"/>
      <c r="E17" s="2" t="n"/>
      <c r="F17" s="2" t="n"/>
      <c r="G17" s="2" t="n"/>
      <c r="H17" s="2" t="n"/>
      <c r="I17" s="2" t="n"/>
      <c r="J17" s="2" t="n"/>
      <c r="K17" s="2" t="n"/>
      <c r="L17" s="2" t="n"/>
    </row>
    <row r="18" ht="20" customHeight="1">
      <c r="B18" s="2" t="n"/>
      <c r="C18" s="3" t="inlineStr">
        <is>
          <t>MODEL 2  |  BOOK 2, PAYGo SOLAR FINANCE</t>
        </is>
      </c>
      <c r="D18" s="2" t="n"/>
      <c r="E18" s="2" t="n"/>
      <c r="F18" s="2" t="n"/>
      <c r="G18" s="2" t="n"/>
      <c r="H18" s="2" t="n"/>
      <c r="I18" s="2" t="n"/>
      <c r="J18" s="2" t="n"/>
      <c r="K18" s="2" t="n"/>
      <c r="L18" s="2" t="n"/>
    </row>
    <row r="19" ht="20" customHeight="1">
      <c r="B19" s="2" t="n"/>
      <c r="C19" s="2" t="n"/>
      <c r="D19" s="2" t="n"/>
      <c r="E19" s="2" t="n"/>
      <c r="F19" s="2" t="n"/>
      <c r="G19" s="2" t="n"/>
      <c r="H19" s="2" t="n"/>
      <c r="I19" s="2" t="n"/>
      <c r="J19" s="2" t="n"/>
      <c r="K19" s="2" t="n"/>
      <c r="L19" s="2" t="n"/>
    </row>
    <row r="20" ht="40" customHeight="1">
      <c r="B20" s="2" t="n"/>
      <c r="C20" s="4" t="inlineStr">
        <is>
          <t>SOLAR HOME SYSTEMS</t>
        </is>
      </c>
      <c r="D20" s="2" t="n"/>
      <c r="E20" s="2" t="n"/>
      <c r="F20" s="2" t="n"/>
      <c r="G20" s="2" t="n"/>
      <c r="H20" s="2" t="n"/>
      <c r="I20" s="2" t="n"/>
      <c r="J20" s="2" t="n"/>
      <c r="K20" s="2" t="n"/>
      <c r="L20" s="2" t="n"/>
    </row>
    <row r="21" ht="20" customHeight="1">
      <c r="B21" s="2" t="n"/>
      <c r="C21" s="2" t="n"/>
      <c r="D21" s="2" t="n"/>
      <c r="E21" s="2" t="n"/>
      <c r="F21" s="2" t="n"/>
      <c r="G21" s="2" t="n"/>
      <c r="H21" s="2" t="n"/>
      <c r="I21" s="2" t="n"/>
      <c r="J21" s="2" t="n"/>
      <c r="K21" s="2" t="n"/>
      <c r="L21" s="2" t="n"/>
    </row>
    <row r="22" ht="26" customHeight="1">
      <c r="B22" s="2" t="n"/>
      <c r="C22" s="5" t="inlineStr">
        <is>
          <t>PAYGo Company Financial &amp; Investment Model</t>
        </is>
      </c>
      <c r="D22" s="2" t="n"/>
      <c r="E22" s="2" t="n"/>
      <c r="F22" s="2" t="n"/>
      <c r="G22" s="2" t="n"/>
      <c r="H22" s="2" t="n"/>
      <c r="I22" s="2" t="n"/>
      <c r="J22" s="2" t="n"/>
      <c r="K22" s="2" t="n"/>
      <c r="L22" s="2" t="n"/>
    </row>
    <row r="23" ht="20" customHeight="1">
      <c r="B23" s="2" t="n"/>
      <c r="C23" s="2" t="n"/>
      <c r="D23" s="2" t="n"/>
      <c r="E23" s="2" t="n"/>
      <c r="F23" s="2" t="n"/>
      <c r="G23" s="2" t="n"/>
      <c r="H23" s="2" t="n"/>
      <c r="I23" s="2" t="n"/>
      <c r="J23" s="2" t="n"/>
      <c r="K23" s="2" t="n"/>
      <c r="L23" s="2" t="n"/>
    </row>
    <row r="24" ht="20" customHeight="1">
      <c r="B24" s="2" t="n"/>
      <c r="C24" s="6" t="inlineStr">
        <is>
          <t>From business model to investment decision  |  MTF Tiers 1-5  |  Credit, vintage, PERFORM, RBF, FX and benchmark engines</t>
        </is>
      </c>
      <c r="D24" s="2" t="n"/>
      <c r="E24" s="2" t="n"/>
      <c r="F24" s="2" t="n"/>
      <c r="G24" s="2" t="n"/>
      <c r="H24" s="2" t="n"/>
      <c r="I24" s="2" t="n"/>
      <c r="J24" s="2" t="n"/>
      <c r="K24" s="2" t="n"/>
      <c r="L24" s="2" t="n"/>
    </row>
    <row r="25" ht="20" customHeight="1">
      <c r="B25" s="2" t="n"/>
      <c r="C25" s="2" t="n"/>
      <c r="D25" s="2" t="n"/>
      <c r="E25" s="2" t="n"/>
      <c r="F25" s="2" t="n"/>
      <c r="G25" s="2" t="n"/>
      <c r="H25" s="2" t="n"/>
      <c r="I25" s="2" t="n"/>
      <c r="J25" s="2" t="n"/>
      <c r="K25" s="2" t="n"/>
      <c r="L25" s="2" t="n"/>
    </row>
    <row r="26" ht="20" customHeight="1">
      <c r="B26" s="2" t="n"/>
      <c r="C26" s="2" t="n"/>
      <c r="D26" s="2" t="n"/>
      <c r="E26" s="2" t="n"/>
      <c r="F26" s="2" t="n"/>
      <c r="G26" s="2" t="n"/>
      <c r="H26" s="2" t="n"/>
      <c r="I26" s="2" t="n"/>
      <c r="J26" s="2" t="n"/>
      <c r="K26" s="2" t="n"/>
      <c r="L26" s="2" t="n"/>
    </row>
    <row r="27" ht="20" customHeight="1">
      <c r="B27" s="2" t="n"/>
      <c r="C27" s="7" t="inlineStr">
        <is>
          <t>AUTHOR &amp; IDEATION</t>
        </is>
      </c>
      <c r="D27" s="2" t="n"/>
      <c r="E27" s="2" t="n"/>
      <c r="F27" s="2" t="n"/>
      <c r="G27" s="2" t="n"/>
      <c r="H27" s="2" t="n"/>
      <c r="I27" s="2" t="n"/>
      <c r="J27" s="2" t="n"/>
      <c r="K27" s="2" t="n"/>
      <c r="L27" s="2" t="n"/>
    </row>
    <row r="28" ht="24" customHeight="1">
      <c r="B28" s="2" t="n"/>
      <c r="C28" s="8" t="inlineStr">
        <is>
          <t>Emmanuel Boujieka Kamga</t>
        </is>
      </c>
      <c r="D28" s="2" t="n"/>
      <c r="E28" s="2" t="n"/>
      <c r="F28" s="2" t="n"/>
      <c r="G28" s="2" t="n"/>
      <c r="H28" s="2" t="n"/>
      <c r="I28" s="2" t="n"/>
      <c r="J28" s="2" t="n"/>
      <c r="K28" s="2" t="n"/>
      <c r="L28" s="2" t="n"/>
    </row>
    <row r="29" ht="20" customHeight="1">
      <c r="B29" s="2" t="n"/>
      <c r="C29" s="2" t="n"/>
      <c r="D29" s="2" t="n"/>
      <c r="E29" s="2" t="n"/>
      <c r="F29" s="2" t="n"/>
      <c r="G29" s="2" t="n"/>
      <c r="H29" s="2" t="n"/>
      <c r="I29" s="2" t="n"/>
      <c r="J29" s="2" t="n"/>
      <c r="K29" s="2" t="n"/>
      <c r="L29" s="2" t="n"/>
    </row>
    <row r="30" ht="20" customHeight="1">
      <c r="B30" s="2" t="n"/>
      <c r="C30" s="9" t="inlineStr">
        <is>
          <t>Version v0.8-dev  |  Development build  |  03 October 2026</t>
        </is>
      </c>
      <c r="D30" s="2" t="n"/>
      <c r="E30" s="2" t="n"/>
      <c r="F30" s="2" t="n"/>
      <c r="G30" s="2" t="n"/>
      <c r="H30" s="2" t="n"/>
      <c r="I30" s="2" t="n"/>
      <c r="J30" s="2" t="n"/>
      <c r="K30" s="2" t="n"/>
      <c r="L30" s="2" t="n"/>
    </row>
    <row r="31" ht="20" customHeight="1">
      <c r="B31" s="2" t="n"/>
      <c r="C31" s="2" t="n"/>
      <c r="D31" s="2" t="n"/>
      <c r="E31" s="2" t="n"/>
      <c r="F31" s="2" t="n"/>
      <c r="G31" s="2" t="n"/>
      <c r="H31" s="2" t="n"/>
      <c r="I31" s="2" t="n"/>
      <c r="J31" s="2" t="n"/>
      <c r="K31" s="2" t="n"/>
      <c r="L31" s="2" t="n"/>
    </row>
    <row r="32" ht="5" customHeight="1">
      <c r="B32" s="1" t="n"/>
      <c r="C32" s="1" t="n"/>
      <c r="D32" s="1" t="n"/>
      <c r="E32" s="1" t="n"/>
      <c r="F32" s="1" t="n"/>
      <c r="G32" s="1" t="n"/>
      <c r="H32" s="1" t="n"/>
      <c r="I32" s="1" t="n"/>
      <c r="J32" s="1" t="n"/>
      <c r="K32" s="1" t="n"/>
      <c r="L32" s="1" t="n"/>
    </row>
    <row r="33">
      <c r="B33" s="10" t="n"/>
      <c r="C33" s="10" t="n"/>
      <c r="D33" s="10" t="n"/>
      <c r="E33" s="10" t="n"/>
      <c r="F33" s="10" t="n"/>
      <c r="G33" s="10" t="n"/>
      <c r="H33" s="10" t="n"/>
      <c r="I33" s="10" t="n"/>
      <c r="J33" s="10" t="n"/>
      <c r="K33" s="10" t="n"/>
      <c r="L33" s="10" t="n"/>
    </row>
    <row r="34">
      <c r="B34" s="10" t="n"/>
      <c r="C34" s="11" t="inlineStr">
        <is>
          <t>MODEL STATUS</t>
        </is>
      </c>
      <c r="D34" s="10" t="n"/>
      <c r="E34" s="10" t="n"/>
      <c r="F34" s="10" t="n"/>
      <c r="G34" s="10" t="n"/>
      <c r="H34" s="10" t="n"/>
      <c r="I34" s="10" t="n"/>
      <c r="J34" s="10" t="n"/>
      <c r="K34" s="10" t="n"/>
      <c r="L34" s="10" t="n"/>
    </row>
    <row r="35">
      <c r="B35" s="10" t="n"/>
      <c r="C35" s="12" t="inlineStr">
        <is>
          <t>Master check</t>
        </is>
      </c>
      <c r="D35" s="10" t="n"/>
      <c r="E35" s="13">
        <f>Checks!$C$44</f>
        <v/>
      </c>
      <c r="F35" s="10" t="n"/>
      <c r="G35" s="10" t="n"/>
      <c r="H35" s="10" t="n"/>
      <c r="I35" s="10" t="n"/>
      <c r="J35" s="10" t="n"/>
      <c r="K35" s="10" t="n"/>
      <c r="L35" s="10" t="n"/>
    </row>
    <row r="36">
      <c r="B36" s="10" t="n"/>
      <c r="C36" s="12" t="inlineStr">
        <is>
          <t>Investment readiness</t>
        </is>
      </c>
      <c r="D36" s="10" t="n"/>
      <c r="E36" s="13">
        <f>Investment_Readiness!$B$5</f>
        <v/>
      </c>
      <c r="F36" s="10" t="n"/>
      <c r="G36" s="10" t="n"/>
      <c r="H36" s="10" t="n"/>
      <c r="I36" s="10" t="n"/>
      <c r="J36" s="10" t="n"/>
      <c r="K36" s="10" t="n"/>
      <c r="L36" s="10" t="n"/>
    </row>
    <row r="37">
      <c r="B37" s="10" t="n"/>
      <c r="C37" s="12" t="inlineStr">
        <is>
          <t>Active case</t>
        </is>
      </c>
      <c r="D37" s="10" t="n"/>
      <c r="E37" s="13">
        <f>Scenarios!$G$13</f>
        <v/>
      </c>
      <c r="F37" s="10" t="n"/>
      <c r="G37" s="10" t="n"/>
      <c r="H37" s="10" t="n"/>
      <c r="I37" s="10" t="n"/>
      <c r="J37" s="10" t="n"/>
      <c r="K37" s="10" t="n"/>
      <c r="L37" s="10" t="n"/>
    </row>
    <row r="38">
      <c r="B38" s="10" t="n"/>
      <c r="C38" s="12" t="inlineStr">
        <is>
          <t>Credit data</t>
        </is>
      </c>
      <c r="D38" s="10" t="n"/>
      <c r="E38" s="13">
        <f>IF(Credit_Assumptions!$C$5=1,"Proxy (model curves)","Actual (company data)")</f>
        <v/>
      </c>
      <c r="F38" s="10" t="n"/>
      <c r="G38" s="10" t="n"/>
      <c r="H38" s="10" t="n"/>
      <c r="I38" s="10" t="n"/>
      <c r="J38" s="10" t="n"/>
      <c r="K38" s="10" t="n"/>
      <c r="L38" s="10" t="n"/>
    </row>
    <row r="39">
      <c r="B39" s="10" t="n"/>
      <c r="C39" s="12" t="inlineStr">
        <is>
          <t>Currency</t>
        </is>
      </c>
      <c r="D39" s="10" t="n"/>
      <c r="E39" s="13">
        <f>Inputs!$C$7&amp;" (local), USD for hardware, RBF and term debt"</f>
        <v/>
      </c>
      <c r="F39" s="10" t="n"/>
      <c r="G39" s="10" t="n"/>
      <c r="H39" s="10" t="n"/>
      <c r="I39" s="10" t="n"/>
      <c r="J39" s="10" t="n"/>
      <c r="K39" s="10" t="n"/>
      <c r="L39" s="10" t="n"/>
    </row>
    <row r="40">
      <c r="B40" s="10" t="n"/>
      <c r="C40" s="10" t="n"/>
      <c r="D40" s="10" t="n"/>
      <c r="E40" s="10" t="n"/>
      <c r="F40" s="10" t="n"/>
      <c r="G40" s="10" t="n"/>
      <c r="H40" s="10" t="n"/>
      <c r="I40" s="10" t="n"/>
      <c r="J40" s="10" t="n"/>
      <c r="K40" s="10" t="n"/>
      <c r="L40" s="10" t="n"/>
    </row>
    <row r="41">
      <c r="B41" s="10" t="n"/>
      <c r="C41" s="14" t="inlineStr">
        <is>
          <t>Start here: Contents  &gt;</t>
        </is>
      </c>
      <c r="D41" s="10" t="n"/>
      <c r="E41" s="14" t="inlineStr">
        <is>
          <t>Investment summary  &gt;</t>
        </is>
      </c>
      <c r="F41" s="10" t="n"/>
      <c r="G41" s="10" t="n"/>
      <c r="H41" s="14" t="inlineStr">
        <is>
          <t>Investment readiness  &gt;</t>
        </is>
      </c>
      <c r="I41" s="10" t="n"/>
      <c r="J41" s="10" t="n"/>
      <c r="K41" s="10" t="n"/>
      <c r="L41" s="10" t="n"/>
    </row>
    <row r="42"/>
    <row r="43">
      <c r="C43" s="15" t="inlineStr">
        <is>
          <t>Decision-support tool. Not investment, legal, tax or accounting advice. Default inputs are illustrative placeholders for a fictional company in a fictional market; market data are graded in Source_Register. This is an analytical modelling treatment and does not constitute a determination of the applicable accounting treatment under IFRS. Readiness is decided on evidence only (see Investment_Readiness).</t>
        </is>
      </c>
    </row>
    <row r="44"/>
    <row r="45"/>
    <row r="46"/>
    <row r="47">
      <c r="C47" s="16" t="inlineStr">
        <is>
          <t>(c) 2026 Emmanuel Boujieka Kamga. All rights reserved.  |  Africa Energy Finance: Business &amp; Financial Models</t>
        </is>
      </c>
    </row>
  </sheetData>
  <mergeCells count="1">
    <mergeCell ref="C43:K45"/>
  </mergeCells>
  <conditionalFormatting sqref="E35">
    <cfRule type="cellIs" priority="1" operator="equal" dxfId="0">
      <formula>"OK"</formula>
    </cfRule>
    <cfRule type="cellIs" priority="2" operator="equal" dxfId="1">
      <formula>"ERROR"</formula>
    </cfRule>
  </conditionalFormatting>
  <hyperlinks>
    <hyperlink xmlns:r="http://schemas.openxmlformats.org/officeDocument/2006/relationships" ref="C41" r:id="rId1"/>
    <hyperlink xmlns:r="http://schemas.openxmlformats.org/officeDocument/2006/relationships" ref="E41" r:id="rId2"/>
    <hyperlink xmlns:r="http://schemas.openxmlformats.org/officeDocument/2006/relationships" ref="H41" r:id="rId3"/>
  </hyperlinks>
  <pageMargins left="0.75" right="0.75" top="1" bottom="1" header="0.5" footer="0.5"/>
  <pageSetup orientation="landscape" fitToHeight="1" fitToWidth="1"/>
  <headerFooter>
    <oddHeader/>
    <oddFooter>&amp;L&amp;"Arial"&amp;8 Africa Energy Finance | MODEL 2 PAYGo v0.8-dev&amp;C&amp;"Arial"&amp;8 &amp;A&amp;R&amp;"Arial"&amp;8 Page &amp;P of &amp;N</oddFooter>
    <evenHeader/>
    <evenFooter/>
    <firstHeader/>
    <firstFooter/>
  </headerFooter>
  <drawing xmlns:r="http://schemas.openxmlformats.org/officeDocument/2006/relationships" r:id="rId4"/>
</worksheet>
</file>

<file path=xl/worksheets/sheet2.xml><?xml version="1.0" encoding="utf-8"?>
<worksheet xmlns="http://schemas.openxmlformats.org/spreadsheetml/2006/main">
  <sheetPr>
    <tabColor rgb="0000B050"/>
    <outlinePr summaryBelow="1" summaryRight="1"/>
    <pageSetUpPr fitToPage="1"/>
  </sheetPr>
  <dimension ref="A1:BL54"/>
  <sheetViews>
    <sheetView showGridLines="0" workbookViewId="0">
      <selection activeCell="A1" sqref="A1"/>
    </sheetView>
  </sheetViews>
  <sheetFormatPr baseColWidth="8" defaultRowHeight="15"/>
  <cols>
    <col width="6" customWidth="1" min="1" max="1"/>
    <col width="30" customWidth="1" min="2" max="2"/>
    <col width="92" customWidth="1" min="3" max="3"/>
    <col width="24" customWidth="1" min="4" max="4"/>
  </cols>
  <sheetData>
    <row r="1">
      <c r="A1" s="17" t="inlineStr">
        <is>
          <t>Start here</t>
        </is>
      </c>
    </row>
    <row r="2">
      <c r="A2" s="18" t="inlineStr">
        <is>
          <t>What to input, what the model calculates, what the results mean and what an investor should look at.</t>
        </is>
      </c>
    </row>
    <row r="3"/>
    <row r="4">
      <c r="B4" s="19" t="inlineStr">
        <is>
          <t>Master check</t>
        </is>
      </c>
      <c r="C4" s="20">
        <f>Checks!$C$44</f>
        <v/>
      </c>
    </row>
    <row r="5">
      <c r="B5" s="19" t="inlineStr">
        <is>
          <t>Active case</t>
        </is>
      </c>
      <c r="C5" s="20">
        <f>Scenarios!$G$13</f>
        <v/>
      </c>
    </row>
    <row r="6">
      <c r="B6" s="19" t="inlineStr">
        <is>
          <t>Credit data</t>
        </is>
      </c>
      <c r="C6" s="20">
        <f>IF(Credit_Assumptions!$C$5=1,"PROXY (model curves)","ACTUAL (company data)")</f>
        <v/>
      </c>
    </row>
    <row r="7">
      <c r="B7" s="19" t="inlineStr">
        <is>
          <t>Readiness decision</t>
        </is>
      </c>
      <c r="C7" s="20">
        <f>Investment_Readiness!$C$35&amp;": "&amp;Investment_Readiness!$C$36</f>
        <v/>
      </c>
    </row>
    <row r="8"/>
    <row r="9">
      <c r="A9" s="21" t="inlineStr">
        <is>
          <t>1. WHAT TO INPUT (blue cells; every input carries a provenance label)</t>
        </is>
      </c>
      <c r="B9" s="22" t="n"/>
      <c r="C9" s="22" t="n"/>
      <c r="D9" s="22" t="n"/>
      <c r="E9" s="22" t="n"/>
      <c r="F9" s="22" t="n"/>
      <c r="G9" s="22" t="n"/>
      <c r="H9" s="22" t="n"/>
      <c r="I9" s="22" t="n"/>
      <c r="J9" s="22" t="n"/>
      <c r="K9" s="22" t="n"/>
      <c r="L9" s="22" t="n"/>
      <c r="M9" s="22" t="n"/>
      <c r="N9" s="22" t="n"/>
      <c r="O9" s="22" t="n"/>
      <c r="P9" s="22" t="n"/>
      <c r="Q9" s="22" t="n"/>
      <c r="R9" s="22" t="n"/>
      <c r="S9" s="22" t="n"/>
      <c r="T9" s="22" t="n"/>
      <c r="U9" s="22" t="n"/>
      <c r="V9" s="22" t="n"/>
      <c r="W9" s="22" t="n"/>
      <c r="X9" s="22" t="n"/>
      <c r="Y9" s="22" t="n"/>
      <c r="Z9" s="22" t="n"/>
      <c r="AA9" s="22" t="n"/>
      <c r="AB9" s="22" t="n"/>
      <c r="AC9" s="22" t="n"/>
      <c r="AD9" s="22" t="n"/>
      <c r="AE9" s="22" t="n"/>
      <c r="AF9" s="22" t="n"/>
      <c r="AG9" s="22" t="n"/>
      <c r="AH9" s="22" t="n"/>
      <c r="AI9" s="22" t="n"/>
      <c r="AJ9" s="22" t="n"/>
      <c r="AK9" s="22" t="n"/>
      <c r="AL9" s="22" t="n"/>
      <c r="AM9" s="22" t="n"/>
      <c r="AN9" s="22" t="n"/>
      <c r="AO9" s="22" t="n"/>
      <c r="AP9" s="22" t="n"/>
      <c r="AQ9" s="22" t="n"/>
      <c r="AR9" s="22" t="n"/>
      <c r="AS9" s="22" t="n"/>
      <c r="AT9" s="22" t="n"/>
      <c r="AU9" s="22" t="n"/>
      <c r="AV9" s="22" t="n"/>
      <c r="AW9" s="22" t="n"/>
      <c r="AX9" s="22" t="n"/>
      <c r="AY9" s="22" t="n"/>
      <c r="AZ9" s="22" t="n"/>
      <c r="BA9" s="22" t="n"/>
      <c r="BB9" s="22" t="n"/>
      <c r="BC9" s="22" t="n"/>
      <c r="BD9" s="22" t="n"/>
      <c r="BE9" s="22" t="n"/>
      <c r="BF9" s="22" t="n"/>
      <c r="BG9" s="22" t="n"/>
      <c r="BH9" s="22" t="n"/>
      <c r="BI9" s="22" t="n"/>
      <c r="BJ9" s="22" t="n"/>
      <c r="BK9" s="22" t="n"/>
      <c r="BL9" s="22" t="n"/>
    </row>
    <row r="10">
      <c r="A10" s="23" t="n">
        <v>1</v>
      </c>
      <c r="B10" s="24" t="inlineStr">
        <is>
          <t>Inputs</t>
        </is>
      </c>
      <c r="C10" s="25" t="inlineStr">
        <is>
          <t>Scenario selector, macro and FX, volumes, operating costs, RBF design, working capital, financing, covenants, valuation.</t>
        </is>
      </c>
    </row>
    <row r="11">
      <c r="A11" s="23" t="n">
        <v>2</v>
      </c>
      <c r="B11" s="24" t="inlineStr">
        <is>
          <t>Products</t>
        </is>
      </c>
      <c r="C11" s="25" t="inlineStr">
        <is>
          <t>Five tiers: specification, price plan (cash price, deposit, daily rate, tenor), costs, credit risk, recovery, RBF, advance rate.</t>
        </is>
      </c>
    </row>
    <row r="12">
      <c r="A12" s="23" t="n">
        <v>3</v>
      </c>
      <c r="B12" s="24" t="inlineStr">
        <is>
          <t>Credit_Assumptions</t>
        </is>
      </c>
      <c r="C12" s="25" t="inlineStr">
        <is>
          <t>Default definition, staging thresholds, borrowing-base eligibility, recovery cost, proxy DPD distribution.</t>
        </is>
      </c>
    </row>
    <row r="13">
      <c r="A13" s="23" t="n">
        <v>4</v>
      </c>
      <c r="B13" s="24" t="inlineStr">
        <is>
          <t>Scenarios</t>
        </is>
      </c>
      <c r="C13" s="25" t="inlineStr">
        <is>
          <t>Base, Downside and Severe levers, and which input set is loaded (management or calibrated).</t>
        </is>
      </c>
    </row>
    <row r="14">
      <c r="A14" s="23" t="n">
        <v>5</v>
      </c>
      <c r="B14" s="24" t="inlineStr">
        <is>
          <t>Consumer_Risk</t>
        </is>
      </c>
      <c r="C14" s="25" t="inlineStr">
        <is>
          <t>Affordability review switch and the status of consumer-protection and PERFORM evidence.</t>
        </is>
      </c>
    </row>
    <row r="15">
      <c r="A15" s="23" t="n">
        <v>6</v>
      </c>
      <c r="B15" s="24" t="inlineStr">
        <is>
          <t>Credit_Input</t>
        </is>
      </c>
      <c r="C15" s="25" t="inlineStr">
        <is>
          <t>ACTUAL: monthly portfolio history by tier (DPD buckets, write-offs, unlocks). Set the credit data mode to 2.</t>
        </is>
      </c>
    </row>
    <row r="16">
      <c r="A16" s="23" t="n">
        <v>7</v>
      </c>
      <c r="B16" s="24" t="inlineStr">
        <is>
          <t>Vintage_Input</t>
        </is>
      </c>
      <c r="C16" s="25" t="inlineStr">
        <is>
          <t>ACTUAL: cohort checkpoints (collections and instalments due) and validated ownership at 2x if available.</t>
        </is>
      </c>
    </row>
    <row r="17">
      <c r="A17" s="23" t="n">
        <v>8</v>
      </c>
      <c r="B17" s="24" t="inlineStr">
        <is>
          <t>PERFORM_2026</t>
        </is>
      </c>
      <c r="C17" s="25" t="inlineStr">
        <is>
          <t>ACTUAL: PAYGo PERFORM 2026 results computed by the company on contract-level data (section C).</t>
        </is>
      </c>
    </row>
    <row r="18">
      <c r="A18" s="23" t="n">
        <v>9</v>
      </c>
      <c r="B18" s="24" t="inlineStr">
        <is>
          <t>Investment_Readiness</t>
        </is>
      </c>
      <c r="C18" s="25" t="inlineStr">
        <is>
          <t>Manual gates: status, where the evidence is held, who signed it off and when.</t>
        </is>
      </c>
    </row>
    <row r="19"/>
    <row r="20">
      <c r="A20" s="21" t="inlineStr">
        <is>
          <t>2. WHAT THE MODEL CALCULATES</t>
        </is>
      </c>
      <c r="B20" s="22" t="n"/>
      <c r="C20" s="22" t="n"/>
      <c r="D20" s="22" t="n"/>
      <c r="E20" s="22" t="n"/>
      <c r="F20" s="22"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c r="AA20" s="22" t="n"/>
      <c r="AB20" s="22" t="n"/>
      <c r="AC20" s="22" t="n"/>
      <c r="AD20" s="22" t="n"/>
      <c r="AE20" s="22" t="n"/>
      <c r="AF20" s="22" t="n"/>
      <c r="AG20" s="22" t="n"/>
      <c r="AH20" s="22" t="n"/>
      <c r="AI20" s="22" t="n"/>
      <c r="AJ20" s="22" t="n"/>
      <c r="AK20" s="22" t="n"/>
      <c r="AL20" s="22" t="n"/>
      <c r="AM20" s="22" t="n"/>
      <c r="AN20" s="22" t="n"/>
      <c r="AO20" s="22" t="n"/>
      <c r="AP20" s="22" t="n"/>
      <c r="AQ20" s="22" t="n"/>
      <c r="AR20" s="22" t="n"/>
      <c r="AS20" s="22" t="n"/>
      <c r="AT20" s="22" t="n"/>
      <c r="AU20" s="22" t="n"/>
      <c r="AV20" s="22" t="n"/>
      <c r="AW20" s="22" t="n"/>
      <c r="AX20" s="22" t="n"/>
      <c r="AY20" s="22" t="n"/>
      <c r="AZ20" s="22" t="n"/>
      <c r="BA20" s="22" t="n"/>
      <c r="BB20" s="22" t="n"/>
      <c r="BC20" s="22" t="n"/>
      <c r="BD20" s="22" t="n"/>
      <c r="BE20" s="22" t="n"/>
      <c r="BF20" s="22" t="n"/>
      <c r="BG20" s="22" t="n"/>
      <c r="BH20" s="22" t="n"/>
      <c r="BI20" s="22" t="n"/>
      <c r="BJ20" s="22" t="n"/>
      <c r="BK20" s="22" t="n"/>
      <c r="BL20" s="22" t="n"/>
    </row>
    <row r="21">
      <c r="A21" s="23" t="n">
        <v>1</v>
      </c>
      <c r="B21" s="24" t="inlineStr">
        <is>
          <t>Curves</t>
        </is>
      </c>
      <c r="C21" s="25" t="inlineStr">
        <is>
          <t>Per-unit repayment, default and recovery by account age for each tier.</t>
        </is>
      </c>
    </row>
    <row r="22">
      <c r="A22" s="23" t="n">
        <v>2</v>
      </c>
      <c r="B22" s="24" t="inlineStr">
        <is>
          <t>Ops</t>
        </is>
      </c>
      <c r="C22" s="25" t="inlineStr">
        <is>
          <t>Cohorts by month of sale (Cohort_T1..T5): collections, write-offs, receivables, active accounts, RBF.</t>
        </is>
      </c>
    </row>
    <row r="23">
      <c r="A23" s="23" t="n">
        <v>3</v>
      </c>
      <c r="B23" s="24" t="inlineStr">
        <is>
          <t>FS</t>
        </is>
      </c>
      <c r="C23" s="25" t="inlineStr">
        <is>
          <t>Monthly income statement, balance sheet and cash flow; Annual rolls them up. The balance sheet balances every month (Checks).</t>
        </is>
      </c>
    </row>
    <row r="24">
      <c r="A24" s="23" t="n">
        <v>4</v>
      </c>
      <c r="B24" s="24" t="inlineStr">
        <is>
          <t>Financing</t>
        </is>
      </c>
      <c r="C24" s="25" t="inlineStr">
        <is>
          <t>Receivables facility drawn within the borrowing base, USD term loan, automatic equity top-up to hold minimum cash.</t>
        </is>
      </c>
    </row>
    <row r="25">
      <c r="A25" s="23" t="n">
        <v>5</v>
      </c>
      <c r="B25" s="24" t="inlineStr">
        <is>
          <t>Credit_Engine</t>
        </is>
      </c>
      <c r="C25" s="25" t="inlineStr">
        <is>
          <t>DPD buckets, default, PD and LGD proxies, indicative ECL, borrowing-base eligibility.</t>
        </is>
      </c>
    </row>
    <row r="26">
      <c r="A26" s="23" t="n">
        <v>6</v>
      </c>
      <c r="B26" s="24" t="inlineStr">
        <is>
          <t>RBF_Engine</t>
        </is>
      </c>
      <c r="C26" s="25" t="inlineStr">
        <is>
          <t>RBF under the selected design, and the claim cycle from eligibility to disbursement.</t>
        </is>
      </c>
    </row>
    <row r="27">
      <c r="A27" s="23" t="n">
        <v>7</v>
      </c>
      <c r="B27" s="24" t="inlineStr">
        <is>
          <t>Valuation</t>
        </is>
      </c>
      <c r="C27" s="25" t="inlineStr">
        <is>
          <t>DCF and the investor's USD IRR and MOIC; Covenants tests the facility terms monthly; FX_Exposure isolates FX effects.</t>
        </is>
      </c>
    </row>
    <row r="28"/>
    <row r="29">
      <c r="A29" s="21" t="inlineStr">
        <is>
          <t>3. WHAT THE RESULTS MEAN (read before quoting any number)</t>
        </is>
      </c>
      <c r="B29" s="22" t="n"/>
      <c r="C29" s="22" t="n"/>
      <c r="D29" s="22" t="n"/>
      <c r="E29" s="22" t="n"/>
      <c r="F29" s="22"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c r="AA29" s="22" t="n"/>
      <c r="AB29" s="22" t="n"/>
      <c r="AC29" s="22" t="n"/>
      <c r="AD29" s="22" t="n"/>
      <c r="AE29" s="22" t="n"/>
      <c r="AF29" s="22" t="n"/>
      <c r="AG29" s="22" t="n"/>
      <c r="AH29" s="22" t="n"/>
      <c r="AI29" s="22" t="n"/>
      <c r="AJ29" s="22" t="n"/>
      <c r="AK29" s="22" t="n"/>
      <c r="AL29" s="22" t="n"/>
      <c r="AM29" s="22" t="n"/>
      <c r="AN29" s="22" t="n"/>
      <c r="AO29" s="22" t="n"/>
      <c r="AP29" s="22" t="n"/>
      <c r="AQ29" s="22" t="n"/>
      <c r="AR29" s="22" t="n"/>
      <c r="AS29" s="22" t="n"/>
      <c r="AT29" s="22" t="n"/>
      <c r="AU29" s="22" t="n"/>
      <c r="AV29" s="22" t="n"/>
      <c r="AW29" s="22" t="n"/>
      <c r="AX29" s="22" t="n"/>
      <c r="AY29" s="22" t="n"/>
      <c r="AZ29" s="22" t="n"/>
      <c r="BA29" s="22" t="n"/>
      <c r="BB29" s="22" t="n"/>
      <c r="BC29" s="22" t="n"/>
      <c r="BD29" s="22" t="n"/>
      <c r="BE29" s="22" t="n"/>
      <c r="BF29" s="22" t="n"/>
      <c r="BG29" s="22" t="n"/>
      <c r="BH29" s="22" t="n"/>
      <c r="BI29" s="22" t="n"/>
      <c r="BJ29" s="22" t="n"/>
      <c r="BK29" s="22" t="n"/>
      <c r="BL29" s="22" t="n"/>
    </row>
    <row r="30">
      <c r="A30" s="23" t="n">
        <v>1</v>
      </c>
      <c r="C30" s="25" t="inlineStr">
        <is>
          <t>Revenue is not cash. A PAYGo sale books revenue at once and collects over the tenor: read cash conversion and the funding requirement.</t>
        </is>
      </c>
    </row>
    <row r="31">
      <c r="A31" s="23" t="n">
        <v>2</v>
      </c>
      <c r="C31" s="25" t="inlineStr">
        <is>
          <t>The operational collection rate is a cash measure. It is not the PAYGo PERFORM Repayment Rate, which only company data can produce.</t>
        </is>
      </c>
    </row>
    <row r="32">
      <c r="A32" s="23" t="n">
        <v>3</v>
      </c>
      <c r="C32" s="25" t="inlineStr">
        <is>
          <t>ECL, PD and staging are analytical proxies. This is an analytical modelling treatment and does not constitute a determination of the applicable accounting treatment under IFRS.</t>
        </is>
      </c>
    </row>
    <row r="33">
      <c r="A33" s="23" t="n">
        <v>4</v>
      </c>
      <c r="C33" s="25" t="inlineStr">
        <is>
          <t>Every input is labelled: MODEL ASSUMPTION, COMPANY DATA, EXTERNAL EVIDENCE, CALIBRATED ASSUMPTION or UNVERIFIED (counts below).</t>
        </is>
      </c>
    </row>
    <row r="34">
      <c r="A34" s="23" t="n">
        <v>5</v>
      </c>
      <c r="C34" s="25" t="inlineStr">
        <is>
          <t>The readiness decision measures the evidence file. GO is never an investment recommendation; STOP on incomplete evidence is not a verdict on the business.</t>
        </is>
      </c>
    </row>
    <row r="35"/>
    <row r="36">
      <c r="A36" s="21" t="inlineStr">
        <is>
          <t>4. WHAT AN INVESTOR SHOULD LOOK AT, IN THIS ORDER</t>
        </is>
      </c>
      <c r="B36" s="22" t="n"/>
      <c r="C36" s="22" t="n"/>
      <c r="D36" s="22" t="n"/>
      <c r="E36" s="22" t="n"/>
      <c r="F36" s="22"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c r="AA36" s="22" t="n"/>
      <c r="AB36" s="22" t="n"/>
      <c r="AC36" s="22" t="n"/>
      <c r="AD36" s="22" t="n"/>
      <c r="AE36" s="22" t="n"/>
      <c r="AF36" s="22" t="n"/>
      <c r="AG36" s="22" t="n"/>
      <c r="AH36" s="22" t="n"/>
      <c r="AI36" s="22" t="n"/>
      <c r="AJ36" s="22" t="n"/>
      <c r="AK36" s="22" t="n"/>
      <c r="AL36" s="22" t="n"/>
      <c r="AM36" s="22" t="n"/>
      <c r="AN36" s="22" t="n"/>
      <c r="AO36" s="22" t="n"/>
      <c r="AP36" s="22" t="n"/>
      <c r="AQ36" s="22" t="n"/>
      <c r="AR36" s="22" t="n"/>
      <c r="AS36" s="22" t="n"/>
      <c r="AT36" s="22" t="n"/>
      <c r="AU36" s="22" t="n"/>
      <c r="AV36" s="22" t="n"/>
      <c r="AW36" s="22" t="n"/>
      <c r="AX36" s="22" t="n"/>
      <c r="AY36" s="22" t="n"/>
      <c r="AZ36" s="22" t="n"/>
      <c r="BA36" s="22" t="n"/>
      <c r="BB36" s="22" t="n"/>
      <c r="BC36" s="22" t="n"/>
      <c r="BD36" s="22" t="n"/>
      <c r="BE36" s="22" t="n"/>
      <c r="BF36" s="22" t="n"/>
      <c r="BG36" s="22" t="n"/>
      <c r="BH36" s="22" t="n"/>
      <c r="BI36" s="22" t="n"/>
      <c r="BJ36" s="22" t="n"/>
      <c r="BK36" s="22" t="n"/>
      <c r="BL36" s="22" t="n"/>
    </row>
    <row r="37">
      <c r="A37" s="23" t="n">
        <v>1</v>
      </c>
      <c r="B37" s="24" t="inlineStr">
        <is>
          <t>Investment_Summary</t>
        </is>
      </c>
      <c r="C37" s="25" t="inlineStr">
        <is>
          <t>Trajectory, funding requirement, returns, lender view and unit economics on one page.</t>
        </is>
      </c>
    </row>
    <row r="38">
      <c r="A38" s="23" t="n">
        <v>2</v>
      </c>
      <c r="B38" s="24" t="inlineStr">
        <is>
          <t>Dashboard</t>
        </is>
      </c>
      <c r="C38" s="25" t="inlineStr">
        <is>
          <t>Key metrics by year, labelled and rounded.</t>
        </is>
      </c>
    </row>
    <row r="39">
      <c r="A39" s="23" t="n">
        <v>3</v>
      </c>
      <c r="B39" s="24" t="inlineStr">
        <is>
          <t>Investment_Readiness</t>
        </is>
      </c>
      <c r="C39" s="25" t="inlineStr">
        <is>
          <t>Gates met, missing evidence and the decision with its reason.</t>
        </is>
      </c>
    </row>
    <row r="40">
      <c r="A40" s="23" t="n">
        <v>4</v>
      </c>
      <c r="B40" s="24" t="inlineStr">
        <is>
          <t>Sensitivity</t>
        </is>
      </c>
      <c r="C40" s="25" t="inlineStr">
        <is>
          <t>Downside and Severe, and the single levers that move peak equity and IRR the most.</t>
        </is>
      </c>
    </row>
    <row r="41">
      <c r="A41" s="23" t="n">
        <v>5</v>
      </c>
      <c r="B41" s="24" t="inlineStr">
        <is>
          <t>Vintage_Dashboard</t>
        </is>
      </c>
      <c r="C41" s="25" t="inlineStr">
        <is>
          <t>Cohort behaviour by tier; then PERFORM_2026 for company-reported KPIs.</t>
        </is>
      </c>
    </row>
    <row r="42">
      <c r="A42" s="23" t="n">
        <v>6</v>
      </c>
      <c r="B42" s="24" t="inlineStr">
        <is>
          <t>Covenants</t>
        </is>
      </c>
      <c r="C42" s="25" t="inlineStr">
        <is>
          <t>Months with a breach and the tightest covenant.</t>
        </is>
      </c>
    </row>
    <row r="43">
      <c r="A43" s="23" t="n">
        <v>7</v>
      </c>
      <c r="B43" s="24" t="inlineStr">
        <is>
          <t>FX_Exposure</t>
        </is>
      </c>
      <c r="C43" s="25" t="inlineStr">
        <is>
          <t>Which items sit in USD, the hedge position and the transaction effect on cash.</t>
        </is>
      </c>
    </row>
    <row r="44">
      <c r="A44" s="23" t="n">
        <v>8</v>
      </c>
      <c r="B44" s="24" t="inlineStr">
        <is>
          <t>Unit_Economics</t>
        </is>
      </c>
      <c r="C44" s="25" t="inlineStr">
        <is>
          <t>Lifetime contribution, LTV / CAC and payback by tier.</t>
        </is>
      </c>
    </row>
    <row r="45">
      <c r="A45" s="23" t="n">
        <v>9</v>
      </c>
      <c r="B45" s="24" t="inlineStr">
        <is>
          <t>Checks</t>
        </is>
      </c>
      <c r="C45" s="25" t="inlineStr">
        <is>
          <t>Master check OK and the readiness flags.</t>
        </is>
      </c>
    </row>
    <row r="46"/>
    <row r="47">
      <c r="A47" s="21" t="inlineStr">
        <is>
          <t>5. PROVENANCE OF INPUTS (count of labelled inputs)</t>
        </is>
      </c>
      <c r="B47" s="22" t="n"/>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c r="AA47" s="22" t="n"/>
      <c r="AB47" s="22" t="n"/>
      <c r="AC47" s="22" t="n"/>
      <c r="AD47" s="22" t="n"/>
      <c r="AE47" s="22" t="n"/>
      <c r="AF47" s="22" t="n"/>
      <c r="AG47" s="22" t="n"/>
      <c r="AH47" s="22" t="n"/>
      <c r="AI47" s="22" t="n"/>
      <c r="AJ47" s="22" t="n"/>
      <c r="AK47" s="22" t="n"/>
      <c r="AL47" s="22" t="n"/>
      <c r="AM47" s="22" t="n"/>
      <c r="AN47" s="22" t="n"/>
      <c r="AO47" s="22" t="n"/>
      <c r="AP47" s="22" t="n"/>
      <c r="AQ47" s="22" t="n"/>
      <c r="AR47" s="22" t="n"/>
      <c r="AS47" s="22" t="n"/>
      <c r="AT47" s="22" t="n"/>
      <c r="AU47" s="22" t="n"/>
      <c r="AV47" s="22" t="n"/>
      <c r="AW47" s="22" t="n"/>
      <c r="AX47" s="22" t="n"/>
      <c r="AY47" s="22" t="n"/>
      <c r="AZ47" s="22" t="n"/>
      <c r="BA47" s="22" t="n"/>
      <c r="BB47" s="22" t="n"/>
      <c r="BC47" s="22" t="n"/>
      <c r="BD47" s="22" t="n"/>
      <c r="BE47" s="22" t="n"/>
      <c r="BF47" s="22" t="n"/>
      <c r="BG47" s="22" t="n"/>
      <c r="BH47" s="22" t="n"/>
      <c r="BI47" s="22" t="n"/>
      <c r="BJ47" s="22" t="n"/>
      <c r="BK47" s="22" t="n"/>
      <c r="BL47" s="22" t="n"/>
    </row>
    <row r="48">
      <c r="B48" s="26" t="inlineStr">
        <is>
          <t>MODEL ASSUMPTION</t>
        </is>
      </c>
      <c r="D48" s="27">
        <f>COUNTIF(Credit_Assumptions!$E$1:$E$200,"MODEL ASSUMPTION")+COUNTIF(Inputs!$E$1:$E$200,"MODEL ASSUMPTION")+COUNTIF(Products!$I$1:$I$200,"MODEL ASSUMPTION")+COUNTIF(Scenarios!$I$1:$I$200,"MODEL ASSUMPTION")</f>
        <v/>
      </c>
    </row>
    <row r="49">
      <c r="B49" s="28" t="inlineStr">
        <is>
          <t>COMPANY DATA</t>
        </is>
      </c>
      <c r="D49" s="27">
        <f>COUNTIF(Credit_Assumptions!$E$1:$E$200,"COMPANY DATA")+COUNTIF(Inputs!$E$1:$E$200,"COMPANY DATA")+COUNTIF(Products!$I$1:$I$200,"COMPANY DATA")+COUNTIF(Scenarios!$I$1:$I$200,"COMPANY DATA")</f>
        <v/>
      </c>
    </row>
    <row r="50">
      <c r="B50" s="29" t="inlineStr">
        <is>
          <t>EXTERNAL EVIDENCE</t>
        </is>
      </c>
      <c r="D50" s="27">
        <f>COUNTIF(Credit_Assumptions!$E$1:$E$200,"EXTERNAL EVIDENCE")+COUNTIF(Inputs!$E$1:$E$200,"EXTERNAL EVIDENCE")+COUNTIF(Products!$I$1:$I$200,"EXTERNAL EVIDENCE")+COUNTIF(Scenarios!$I$1:$I$200,"EXTERNAL EVIDENCE")</f>
        <v/>
      </c>
    </row>
    <row r="51">
      <c r="B51" s="30" t="inlineStr">
        <is>
          <t>CALIBRATED ASSUMPTION</t>
        </is>
      </c>
      <c r="D51" s="27">
        <f>COUNTIF(Credit_Assumptions!$E$1:$E$200,"CALIBRATED ASSUMPTION")+COUNTIF(Inputs!$E$1:$E$200,"CALIBRATED ASSUMPTION")+COUNTIF(Products!$I$1:$I$200,"CALIBRATED ASSUMPTION")+COUNTIF(Scenarios!$I$1:$I$200,"CALIBRATED ASSUMPTION")</f>
        <v/>
      </c>
    </row>
    <row r="52">
      <c r="B52" s="31" t="inlineStr">
        <is>
          <t>UNVERIFIED</t>
        </is>
      </c>
      <c r="D52" s="27">
        <f>COUNTIF(Credit_Assumptions!$E$1:$E$200,"UNVERIFIED")+COUNTIF(Inputs!$E$1:$E$200,"UNVERIFIED")+COUNTIF(Products!$I$1:$I$200,"UNVERIFIED")+COUNTIF(Scenarios!$I$1:$I$200,"UNVERIFIED")</f>
        <v/>
      </c>
    </row>
    <row r="53"/>
    <row r="54">
      <c r="C54" s="18" t="inlineStr">
        <is>
          <t>Labels describe where a value comes from. Change the label when you replace a value (for example, from MODEL ASSUMPTION to COMPANY DATA).</t>
        </is>
      </c>
    </row>
  </sheetData>
  <hyperlinks>
    <hyperlink xmlns:r="http://schemas.openxmlformats.org/officeDocument/2006/relationships" ref="B10" r:id="rId1"/>
    <hyperlink xmlns:r="http://schemas.openxmlformats.org/officeDocument/2006/relationships" ref="B11" r:id="rId2"/>
    <hyperlink xmlns:r="http://schemas.openxmlformats.org/officeDocument/2006/relationships" ref="B12" r:id="rId3"/>
    <hyperlink xmlns:r="http://schemas.openxmlformats.org/officeDocument/2006/relationships" ref="B13" r:id="rId4"/>
    <hyperlink xmlns:r="http://schemas.openxmlformats.org/officeDocument/2006/relationships" ref="B14" r:id="rId5"/>
    <hyperlink xmlns:r="http://schemas.openxmlformats.org/officeDocument/2006/relationships" ref="B15" r:id="rId6"/>
    <hyperlink xmlns:r="http://schemas.openxmlformats.org/officeDocument/2006/relationships" ref="B16" r:id="rId7"/>
    <hyperlink xmlns:r="http://schemas.openxmlformats.org/officeDocument/2006/relationships" ref="B17" r:id="rId8"/>
    <hyperlink xmlns:r="http://schemas.openxmlformats.org/officeDocument/2006/relationships" ref="B18" r:id="rId9"/>
    <hyperlink xmlns:r="http://schemas.openxmlformats.org/officeDocument/2006/relationships" ref="B21" r:id="rId10"/>
    <hyperlink xmlns:r="http://schemas.openxmlformats.org/officeDocument/2006/relationships" ref="B22" r:id="rId11"/>
    <hyperlink xmlns:r="http://schemas.openxmlformats.org/officeDocument/2006/relationships" ref="B23" r:id="rId12"/>
    <hyperlink xmlns:r="http://schemas.openxmlformats.org/officeDocument/2006/relationships" ref="B24" r:id="rId13"/>
    <hyperlink xmlns:r="http://schemas.openxmlformats.org/officeDocument/2006/relationships" ref="B25" r:id="rId14"/>
    <hyperlink xmlns:r="http://schemas.openxmlformats.org/officeDocument/2006/relationships" ref="B26" r:id="rId15"/>
    <hyperlink xmlns:r="http://schemas.openxmlformats.org/officeDocument/2006/relationships" ref="B27" r:id="rId16"/>
    <hyperlink xmlns:r="http://schemas.openxmlformats.org/officeDocument/2006/relationships" ref="B37" r:id="rId17"/>
    <hyperlink xmlns:r="http://schemas.openxmlformats.org/officeDocument/2006/relationships" ref="B38" r:id="rId18"/>
    <hyperlink xmlns:r="http://schemas.openxmlformats.org/officeDocument/2006/relationships" ref="B39" r:id="rId19"/>
    <hyperlink xmlns:r="http://schemas.openxmlformats.org/officeDocument/2006/relationships" ref="B40" r:id="rId20"/>
    <hyperlink xmlns:r="http://schemas.openxmlformats.org/officeDocument/2006/relationships" ref="B41" r:id="rId21"/>
    <hyperlink xmlns:r="http://schemas.openxmlformats.org/officeDocument/2006/relationships" ref="B42" r:id="rId22"/>
    <hyperlink xmlns:r="http://schemas.openxmlformats.org/officeDocument/2006/relationships" ref="B43" r:id="rId23"/>
    <hyperlink xmlns:r="http://schemas.openxmlformats.org/officeDocument/2006/relationships" ref="B44" r:id="rId24"/>
    <hyperlink xmlns:r="http://schemas.openxmlformats.org/officeDocument/2006/relationships" ref="B45" r:id="rId25"/>
  </hyperlinks>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3.xml><?xml version="1.0" encoding="utf-8"?>
<worksheet xmlns="http://schemas.openxmlformats.org/spreadsheetml/2006/main">
  <sheetPr>
    <tabColor rgb="001F3864"/>
    <outlinePr summaryBelow="1" summaryRight="1"/>
    <pageSetUpPr fitToPage="1"/>
  </sheetPr>
  <dimension ref="A1:B80"/>
  <sheetViews>
    <sheetView showGridLines="0" workbookViewId="0">
      <selection activeCell="A1" sqref="A1"/>
    </sheetView>
  </sheetViews>
  <sheetFormatPr baseColWidth="8" defaultRowHeight="15"/>
  <cols>
    <col width="30" customWidth="1" min="1" max="1"/>
    <col width="100" customWidth="1" min="2" max="2"/>
    <col width="16" customWidth="1" min="3" max="3"/>
  </cols>
  <sheetData>
    <row r="1">
      <c r="A1" s="17" t="inlineStr">
        <is>
          <t>Contents: how to use this model</t>
        </is>
      </c>
    </row>
    <row r="2">
      <c r="A2" s="18" t="inlineStr">
        <is>
          <t>MODEL 2  |  PAYGo Company Financial &amp; Investment Model  |  Book 2, PAYGo Solar Finance</t>
        </is>
      </c>
    </row>
    <row r="3"/>
    <row r="4">
      <c r="A4" s="19" t="inlineStr">
        <is>
          <t>Model</t>
        </is>
      </c>
      <c r="B4" s="25" t="inlineStr">
        <is>
          <t>MODEL 2: PAYGo Company Financial &amp; Investment Model (solar home systems, MTF Tiers 1-5), companion to Book 2, PAYGo Solar Finance</t>
        </is>
      </c>
    </row>
    <row r="5">
      <c r="A5" s="19" t="inlineStr">
        <is>
          <t>Version</t>
        </is>
      </c>
      <c r="B5" s="25" t="inlineStr">
        <is>
          <t>v0.8-dev: development build, generated 2026-10-03</t>
        </is>
      </c>
    </row>
    <row r="6">
      <c r="A6" s="19" t="inlineStr">
        <is>
          <t>Status</t>
        </is>
      </c>
      <c r="B6" s="25" t="inlineStr">
        <is>
          <t>Draft for expert review. Default inputs are illustrative. Readiness and decision: see Investment_Readiness.</t>
        </is>
      </c>
    </row>
    <row r="7">
      <c r="A7" s="19" t="inlineStr">
        <is>
          <t>Accounting</t>
        </is>
      </c>
      <c r="B7" s="25" t="inlineStr">
        <is>
          <t>This is an analytical modelling treatment and does not constitute a determination of the applicable accounting treatment under IFRS.</t>
        </is>
      </c>
    </row>
    <row r="8">
      <c r="A8" s="19" t="inlineStr">
        <is>
          <t>Currency</t>
        </is>
      </c>
      <c r="B8" s="25" t="inlineStr">
        <is>
          <t>Model currency = LCY. Hardware, RBF and term debt in USD, converted at the Timeline FX path (FX_Exposure).</t>
        </is>
      </c>
    </row>
    <row r="9">
      <c r="A9" s="19" t="inlineStr">
        <is>
          <t>Periodicity</t>
        </is>
      </c>
      <c r="B9" s="25" t="inlineStr">
        <is>
          <t>Monthly over 60 months; annual roll-ups on Annual, KPIs and Valuation.</t>
        </is>
      </c>
    </row>
    <row r="10">
      <c r="A10" s="19" t="inlineStr">
        <is>
          <t>Master check</t>
        </is>
      </c>
      <c r="B10" s="32">
        <f>Checks!$C$44</f>
        <v/>
      </c>
    </row>
    <row r="11"/>
    <row r="12">
      <c r="A12" s="33" t="inlineStr">
        <is>
          <t>How to use</t>
        </is>
      </c>
    </row>
    <row r="13">
      <c r="B13" s="34" t="inlineStr">
        <is>
          <t>1. Start: what to input, what the model calculates, what it means and what an investor should look at.</t>
        </is>
      </c>
    </row>
    <row r="14">
      <c r="B14" s="34" t="inlineStr">
        <is>
          <t>2. Inputs, Products, Credit_Assumptions, Scenarios (blue cells; yellow = review first; provenance label on every input).</t>
        </is>
      </c>
    </row>
    <row r="15">
      <c r="B15" s="34" t="inlineStr">
        <is>
          <t>3. Company history (ACTUAL): Credit_Input, Vintage_Input and PERFORM_2026 section C. Scenario levers never change history.</t>
        </is>
      </c>
    </row>
    <row r="16">
      <c r="B16" s="34" t="inlineStr">
        <is>
          <t>4. Read Investment_Summary, Dashboard and Investment_Readiness, then KPIs, Valuation, Covenants, FX_Exposure and Unit_Economics.</t>
        </is>
      </c>
    </row>
    <row r="17">
      <c r="B17" s="34" t="inlineStr">
        <is>
          <t>5. Audit trail: FS &gt; Ops &gt; Cohort_T1..T5 &gt; Curves. Every number traces back to an input.</t>
        </is>
      </c>
    </row>
    <row r="18">
      <c r="B18" s="34" t="inlineStr">
        <is>
          <t>6. The master check must read OK before any output is used.</t>
        </is>
      </c>
    </row>
    <row r="19"/>
    <row r="20">
      <c r="A20" s="33" t="inlineStr">
        <is>
          <t>Sheet index (tab order)</t>
        </is>
      </c>
    </row>
    <row r="21">
      <c r="A21" s="24" t="inlineStr">
        <is>
          <t>01  Cover</t>
        </is>
      </c>
      <c r="B21" s="34" t="inlineStr">
        <is>
          <t>Title page and model status</t>
        </is>
      </c>
    </row>
    <row r="22">
      <c r="A22" s="24" t="inlineStr">
        <is>
          <t>02  Start</t>
        </is>
      </c>
      <c r="B22" s="34" t="inlineStr">
        <is>
          <t>Start here: inputs, calculations, meaning, what to look at</t>
        </is>
      </c>
    </row>
    <row r="23">
      <c r="A23" s="24" t="inlineStr">
        <is>
          <t>03  Contents</t>
        </is>
      </c>
      <c r="B23" s="34" t="inlineStr">
        <is>
          <t>This page: all sheets in tab order</t>
        </is>
      </c>
    </row>
    <row r="24">
      <c r="A24" s="24" t="inlineStr">
        <is>
          <t>04  Investment_Summary</t>
        </is>
      </c>
      <c r="B24" s="34" t="inlineStr">
        <is>
          <t>One-page investment committee and lender summary</t>
        </is>
      </c>
    </row>
    <row r="25">
      <c r="A25" s="24" t="inlineStr">
        <is>
          <t>05  Investment_Readiness</t>
        </is>
      </c>
      <c r="B25" s="34" t="inlineStr">
        <is>
          <t>23 evidence-based gates and the GO / CONDITIONAL GO / STOP rule</t>
        </is>
      </c>
    </row>
    <row r="26">
      <c r="A26" s="24" t="inlineStr">
        <is>
          <t>06  Inputs</t>
        </is>
      </c>
      <c r="B26" s="34" t="inlineStr">
        <is>
          <t>Global inputs with provenance labels</t>
        </is>
      </c>
    </row>
    <row r="27">
      <c r="A27" s="24" t="inlineStr">
        <is>
          <t>07  Products</t>
        </is>
      </c>
      <c r="B27" s="34" t="inlineStr">
        <is>
          <t>Tiers 1-5: specification, price plans, risk, with provenance</t>
        </is>
      </c>
    </row>
    <row r="28">
      <c r="A28" s="24" t="inlineStr">
        <is>
          <t>08  Scenarios</t>
        </is>
      </c>
      <c r="B28" s="34" t="inlineStr">
        <is>
          <t>Stress levers, input set loaded and the scenario architecture</t>
        </is>
      </c>
    </row>
    <row r="29">
      <c r="A29" s="24" t="inlineStr">
        <is>
          <t>09  Credit_Assumptions</t>
        </is>
      </c>
      <c r="B29" s="34" t="inlineStr">
        <is>
          <t>DPD buckets, stages, default definition, recovery, eligibility</t>
        </is>
      </c>
    </row>
    <row r="30">
      <c r="A30" s="24" t="inlineStr">
        <is>
          <t>10  Consumer_Risk</t>
        </is>
      </c>
      <c r="B30" s="34" t="inlineStr">
        <is>
          <t>Affordability, APR, consumer-protection evidence</t>
        </is>
      </c>
    </row>
    <row r="31">
      <c r="A31" s="24" t="inlineStr">
        <is>
          <t>11  Dashboard</t>
        </is>
      </c>
      <c r="B31" s="34" t="inlineStr">
        <is>
          <t>Key metrics by year, labelled and rounded, with charts</t>
        </is>
      </c>
    </row>
    <row r="32">
      <c r="A32" s="24" t="inlineStr">
        <is>
          <t>12  KPIs</t>
        </is>
      </c>
      <c r="B32" s="34" t="inlineStr">
        <is>
          <t>Portfolio, financial and lender KPIs</t>
        </is>
      </c>
    </row>
    <row r="33">
      <c r="A33" s="24" t="inlineStr">
        <is>
          <t>13  Credit_Portfolio</t>
        </is>
      </c>
      <c r="B33" s="34" t="inlineStr">
        <is>
          <t>Credit dashboard (selected data mode)</t>
        </is>
      </c>
    </row>
    <row r="34">
      <c r="A34" s="24" t="inlineStr">
        <is>
          <t>14  Vintage_Dashboard</t>
        </is>
      </c>
      <c r="B34" s="34" t="inlineStr">
        <is>
          <t>Cohort coverage, M12 summary, vintage curve</t>
        </is>
      </c>
    </row>
    <row r="35">
      <c r="A35" s="24" t="inlineStr">
        <is>
          <t>15  PERFORM_2026</t>
        </is>
      </c>
      <c r="B35" s="34" t="inlineStr">
        <is>
          <t>PAYGo PERFORM 2026 KPIs: company-reported results and labelled approximations</t>
        </is>
      </c>
    </row>
    <row r="36">
      <c r="A36" s="24" t="inlineStr">
        <is>
          <t>16  Covenants</t>
        </is>
      </c>
      <c r="B36" s="34" t="inlineStr">
        <is>
          <t>Monthly covenant tests</t>
        </is>
      </c>
    </row>
    <row r="37">
      <c r="A37" s="24" t="inlineStr">
        <is>
          <t>17  Valuation</t>
        </is>
      </c>
      <c r="B37" s="34" t="inlineStr">
        <is>
          <t>DCF and investor IRR / MOIC</t>
        </is>
      </c>
    </row>
    <row r="38">
      <c r="A38" s="24" t="inlineStr">
        <is>
          <t>18  FX_Exposure</t>
        </is>
      </c>
      <c r="B38" s="34" t="inlineStr">
        <is>
          <t>Currency map, hedging, transaction and translation effects</t>
        </is>
      </c>
    </row>
    <row r="39">
      <c r="A39" s="24" t="inlineStr">
        <is>
          <t>19  Unit_Economics</t>
        </is>
      </c>
      <c r="B39" s="34" t="inlineStr">
        <is>
          <t>Per-unit economics by tier</t>
        </is>
      </c>
    </row>
    <row r="40">
      <c r="A40" s="24" t="inlineStr">
        <is>
          <t>20  Sensitivity</t>
        </is>
      </c>
      <c r="B40" s="34" t="inlineStr">
        <is>
          <t>Static scenario and sensitivity table, plus the live active case</t>
        </is>
      </c>
    </row>
    <row r="41">
      <c r="A41" s="24" t="inlineStr">
        <is>
          <t>21  Benchmark_Compare</t>
        </is>
      </c>
      <c r="B41" s="34" t="inlineStr">
        <is>
          <t>Model against graded peers, with comparability warnings</t>
        </is>
      </c>
    </row>
    <row r="42">
      <c r="A42" s="24" t="inlineStr">
        <is>
          <t>22  Benchmark_KPIs</t>
        </is>
      </c>
      <c r="B42" s="34" t="inlineStr">
        <is>
          <t>Derived financial and operational ratios</t>
        </is>
      </c>
    </row>
    <row r="43">
      <c r="A43" s="24" t="inlineStr">
        <is>
          <t>23  Market_Benchmark</t>
        </is>
      </c>
      <c r="B43" s="34" t="inlineStr">
        <is>
          <t>Scaled PAYGo companies against this model (context)</t>
        </is>
      </c>
    </row>
    <row r="44">
      <c r="A44" s="24" t="inlineStr">
        <is>
          <t>24  Calibration</t>
        </is>
      </c>
      <c r="B44" s="34" t="inlineStr">
        <is>
          <t>Diagnostics against VERIFIED references only</t>
        </is>
      </c>
    </row>
    <row r="45">
      <c r="A45" s="24" t="inlineStr">
        <is>
          <t>25  Company_Cases</t>
        </is>
      </c>
      <c r="B45" s="34" t="inlineStr">
        <is>
          <t>Lessons from scaled PAYGo companies</t>
        </is>
      </c>
    </row>
    <row r="46">
      <c r="A46" s="24" t="inlineStr">
        <is>
          <t>26  Source_Register</t>
        </is>
      </c>
      <c r="B46" s="34" t="inlineStr">
        <is>
          <t>Graded sources with verification status</t>
        </is>
      </c>
    </row>
    <row r="47">
      <c r="A47" s="24" t="inlineStr">
        <is>
          <t>27  Benchmark_Matrix</t>
        </is>
      </c>
      <c r="B47" s="34" t="inlineStr">
        <is>
          <t>Company-year by line item</t>
        </is>
      </c>
    </row>
    <row r="48">
      <c r="A48" s="24" t="inlineStr">
        <is>
          <t>28  Benchmark_DB</t>
        </is>
      </c>
      <c r="B48" s="34" t="inlineStr">
        <is>
          <t>Raw benchmark records with period, definition, page and status</t>
        </is>
      </c>
    </row>
    <row r="49">
      <c r="A49" s="24" t="inlineStr">
        <is>
          <t>29  Annual</t>
        </is>
      </c>
      <c r="B49" s="34" t="inlineStr">
        <is>
          <t>Annual statements</t>
        </is>
      </c>
    </row>
    <row r="50">
      <c r="A50" s="24" t="inlineStr">
        <is>
          <t>30  FS</t>
        </is>
      </c>
      <c r="B50" s="34" t="inlineStr">
        <is>
          <t>Monthly statements</t>
        </is>
      </c>
    </row>
    <row r="51">
      <c r="A51" s="24" t="inlineStr">
        <is>
          <t>31  Ops</t>
        </is>
      </c>
      <c r="B51" s="34" t="inlineStr">
        <is>
          <t>Portfolio engine</t>
        </is>
      </c>
    </row>
    <row r="52">
      <c r="A52" s="24" t="inlineStr">
        <is>
          <t>32  RBF_Engine</t>
        </is>
      </c>
      <c r="B52" s="34" t="inlineStr">
        <is>
          <t>RBF designs and the claim cycle (eligibility to disbursement, working capital gap)</t>
        </is>
      </c>
    </row>
    <row r="53">
      <c r="A53" s="24" t="inlineStr">
        <is>
          <t>33  Credit_Engine</t>
        </is>
      </c>
      <c r="B53" s="34" t="inlineStr">
        <is>
          <t>Proxy and selected credit metrics by tier</t>
        </is>
      </c>
    </row>
    <row r="54">
      <c r="A54" s="24" t="inlineStr">
        <is>
          <t>34  Vintage_Engine</t>
        </is>
      </c>
      <c r="B54" s="34" t="inlineStr">
        <is>
          <t>Cohort KPIs by checkpoint</t>
        </is>
      </c>
    </row>
    <row r="55">
      <c r="A55" s="24" t="inlineStr">
        <is>
          <t>35  Costs</t>
        </is>
      </c>
      <c r="B55" s="34" t="inlineStr">
        <is>
          <t>Costs, working capital, capex</t>
        </is>
      </c>
    </row>
    <row r="56">
      <c r="A56" s="24" t="inlineStr">
        <is>
          <t>36  Financing</t>
        </is>
      </c>
      <c r="B56" s="34" t="inlineStr">
        <is>
          <t>Equity, term loan, receivables facility</t>
        </is>
      </c>
    </row>
    <row r="57">
      <c r="A57" s="24" t="inlineStr">
        <is>
          <t>37  Curves</t>
        </is>
      </c>
      <c r="B57" s="34" t="inlineStr">
        <is>
          <t>Per-unit repayment curves</t>
        </is>
      </c>
    </row>
    <row r="58">
      <c r="A58" s="24" t="inlineStr">
        <is>
          <t>38  Cohort_T1</t>
        </is>
      </c>
      <c r="B58" s="34" t="inlineStr">
        <is>
          <t>Vintage matrices, Tier 1</t>
        </is>
      </c>
    </row>
    <row r="59">
      <c r="A59" s="24" t="inlineStr">
        <is>
          <t>39  Cohort_T2</t>
        </is>
      </c>
      <c r="B59" s="34" t="inlineStr">
        <is>
          <t>Vintage matrices, Tier 2</t>
        </is>
      </c>
    </row>
    <row r="60">
      <c r="A60" s="24" t="inlineStr">
        <is>
          <t>40  Cohort_T3</t>
        </is>
      </c>
      <c r="B60" s="34" t="inlineStr">
        <is>
          <t>Vintage matrices, Tier 3</t>
        </is>
      </c>
    </row>
    <row r="61">
      <c r="A61" s="24" t="inlineStr">
        <is>
          <t>41  Cohort_T4</t>
        </is>
      </c>
      <c r="B61" s="34" t="inlineStr">
        <is>
          <t>Vintage matrices, Tier 4</t>
        </is>
      </c>
    </row>
    <row r="62">
      <c r="A62" s="24" t="inlineStr">
        <is>
          <t>42  Cohort_T5</t>
        </is>
      </c>
      <c r="B62" s="34" t="inlineStr">
        <is>
          <t>Vintage matrices, Tier 5</t>
        </is>
      </c>
    </row>
    <row r="63">
      <c r="A63" s="24" t="inlineStr">
        <is>
          <t>43  Credit_Input</t>
        </is>
      </c>
      <c r="B63" s="34" t="inlineStr">
        <is>
          <t>Company portfolio data template (ACTUAL)</t>
        </is>
      </c>
    </row>
    <row r="64">
      <c r="A64" s="24" t="inlineStr">
        <is>
          <t>44  Vintage_Input</t>
        </is>
      </c>
      <c r="B64" s="34" t="inlineStr">
        <is>
          <t>Company cohort data template (ACTUAL)</t>
        </is>
      </c>
    </row>
    <row r="65">
      <c r="A65" s="24" t="inlineStr">
        <is>
          <t>45  Timeline</t>
        </is>
      </c>
      <c r="B65" s="34" t="inlineStr">
        <is>
          <t>Dates, FX path, indices and monthly FX effects</t>
        </is>
      </c>
    </row>
    <row r="66">
      <c r="A66" s="24" t="inlineStr">
        <is>
          <t>46  Glossary</t>
        </is>
      </c>
      <c r="B66" s="34" t="inlineStr">
        <is>
          <t>Terms as implemented in the model</t>
        </is>
      </c>
    </row>
    <row r="67">
      <c r="A67" s="24" t="inlineStr">
        <is>
          <t>47  Checks</t>
        </is>
      </c>
      <c r="B67" s="34" t="inlineStr">
        <is>
          <t>Integrity checks and readiness flags</t>
        </is>
      </c>
    </row>
    <row r="68"/>
    <row r="69">
      <c r="A69" s="33" t="inlineStr">
        <is>
          <t>Colour code</t>
        </is>
      </c>
    </row>
    <row r="70">
      <c r="A70" s="35" t="inlineStr">
        <is>
          <t>1,000</t>
        </is>
      </c>
      <c r="B70" s="34" t="inlineStr">
        <is>
          <t>Blue = hard-coded input</t>
        </is>
      </c>
    </row>
    <row r="71">
      <c r="A71" s="36" t="inlineStr">
        <is>
          <t>1,000</t>
        </is>
      </c>
      <c r="B71" s="34" t="inlineStr">
        <is>
          <t>Yellow fill = key assumption</t>
        </is>
      </c>
    </row>
    <row r="72">
      <c r="A72" s="34" t="inlineStr">
        <is>
          <t>1,000</t>
        </is>
      </c>
      <c r="B72" s="34" t="inlineStr">
        <is>
          <t>Black = formula</t>
        </is>
      </c>
    </row>
    <row r="73">
      <c r="A73" s="37" t="inlineStr">
        <is>
          <t>1,000</t>
        </is>
      </c>
      <c r="B73" s="34" t="inlineStr">
        <is>
          <t>Green = link from another sheet</t>
        </is>
      </c>
    </row>
    <row r="74">
      <c r="A74" s="26" t="inlineStr">
        <is>
          <t>MODEL ASSUMPTION</t>
        </is>
      </c>
      <c r="B74" s="34" t="inlineStr">
        <is>
          <t>Provenance label (see Start and Glossary)</t>
        </is>
      </c>
    </row>
    <row r="75">
      <c r="A75" s="28" t="inlineStr">
        <is>
          <t>COMPANY DATA</t>
        </is>
      </c>
      <c r="B75" s="34" t="inlineStr">
        <is>
          <t>Provenance label (see Start and Glossary)</t>
        </is>
      </c>
    </row>
    <row r="76">
      <c r="A76" s="29" t="inlineStr">
        <is>
          <t>EXTERNAL EVIDENCE</t>
        </is>
      </c>
      <c r="B76" s="34" t="inlineStr">
        <is>
          <t>Provenance label (see Start and Glossary)</t>
        </is>
      </c>
    </row>
    <row r="77">
      <c r="A77" s="30" t="inlineStr">
        <is>
          <t>CALIBRATED ASSUMPTION</t>
        </is>
      </c>
      <c r="B77" s="34" t="inlineStr">
        <is>
          <t>Provenance label (see Start and Glossary)</t>
        </is>
      </c>
    </row>
    <row r="78">
      <c r="A78" s="31" t="inlineStr">
        <is>
          <t>UNVERIFIED</t>
        </is>
      </c>
      <c r="B78" s="34" t="inlineStr">
        <is>
          <t>Provenance label (see Start and Glossary)</t>
        </is>
      </c>
    </row>
    <row r="79"/>
    <row r="80" ht="40" customHeight="1">
      <c r="A80" s="33" t="inlineStr">
        <is>
          <t>Disclaimer</t>
        </is>
      </c>
      <c r="B80" s="38" t="inlineStr">
        <is>
          <t>Decision-support tool. Not investment, legal, tax or accounting advice. Default inputs are illustrative. This is an analytical modelling treatment and does not constitute a determination of the applicable accounting treatment under IFRS. Users are responsible for their inputs and conclusions.</t>
        </is>
      </c>
    </row>
  </sheetData>
  <hyperlinks>
    <hyperlink xmlns:r="http://schemas.openxmlformats.org/officeDocument/2006/relationships" ref="A21" r:id="rId1"/>
    <hyperlink xmlns:r="http://schemas.openxmlformats.org/officeDocument/2006/relationships" ref="A22" r:id="rId2"/>
    <hyperlink xmlns:r="http://schemas.openxmlformats.org/officeDocument/2006/relationships" ref="A23" r:id="rId3"/>
    <hyperlink xmlns:r="http://schemas.openxmlformats.org/officeDocument/2006/relationships" ref="A24" r:id="rId4"/>
    <hyperlink xmlns:r="http://schemas.openxmlformats.org/officeDocument/2006/relationships" ref="A25" r:id="rId5"/>
    <hyperlink xmlns:r="http://schemas.openxmlformats.org/officeDocument/2006/relationships" ref="A26" r:id="rId6"/>
    <hyperlink xmlns:r="http://schemas.openxmlformats.org/officeDocument/2006/relationships" ref="A27" r:id="rId7"/>
    <hyperlink xmlns:r="http://schemas.openxmlformats.org/officeDocument/2006/relationships" ref="A28" r:id="rId8"/>
    <hyperlink xmlns:r="http://schemas.openxmlformats.org/officeDocument/2006/relationships" ref="A29" r:id="rId9"/>
    <hyperlink xmlns:r="http://schemas.openxmlformats.org/officeDocument/2006/relationships" ref="A30" r:id="rId10"/>
    <hyperlink xmlns:r="http://schemas.openxmlformats.org/officeDocument/2006/relationships" ref="A31" r:id="rId11"/>
    <hyperlink xmlns:r="http://schemas.openxmlformats.org/officeDocument/2006/relationships" ref="A32" r:id="rId12"/>
    <hyperlink xmlns:r="http://schemas.openxmlformats.org/officeDocument/2006/relationships" ref="A33" r:id="rId13"/>
    <hyperlink xmlns:r="http://schemas.openxmlformats.org/officeDocument/2006/relationships" ref="A34" r:id="rId14"/>
    <hyperlink xmlns:r="http://schemas.openxmlformats.org/officeDocument/2006/relationships" ref="A35" r:id="rId15"/>
    <hyperlink xmlns:r="http://schemas.openxmlformats.org/officeDocument/2006/relationships" ref="A36" r:id="rId16"/>
    <hyperlink xmlns:r="http://schemas.openxmlformats.org/officeDocument/2006/relationships" ref="A37" r:id="rId17"/>
    <hyperlink xmlns:r="http://schemas.openxmlformats.org/officeDocument/2006/relationships" ref="A38" r:id="rId18"/>
    <hyperlink xmlns:r="http://schemas.openxmlformats.org/officeDocument/2006/relationships" ref="A39" r:id="rId19"/>
    <hyperlink xmlns:r="http://schemas.openxmlformats.org/officeDocument/2006/relationships" ref="A40" r:id="rId20"/>
    <hyperlink xmlns:r="http://schemas.openxmlformats.org/officeDocument/2006/relationships" ref="A41" r:id="rId21"/>
    <hyperlink xmlns:r="http://schemas.openxmlformats.org/officeDocument/2006/relationships" ref="A42" r:id="rId22"/>
    <hyperlink xmlns:r="http://schemas.openxmlformats.org/officeDocument/2006/relationships" ref="A43" r:id="rId23"/>
    <hyperlink xmlns:r="http://schemas.openxmlformats.org/officeDocument/2006/relationships" ref="A44" r:id="rId24"/>
    <hyperlink xmlns:r="http://schemas.openxmlformats.org/officeDocument/2006/relationships" ref="A45" r:id="rId25"/>
    <hyperlink xmlns:r="http://schemas.openxmlformats.org/officeDocument/2006/relationships" ref="A46" r:id="rId26"/>
    <hyperlink xmlns:r="http://schemas.openxmlformats.org/officeDocument/2006/relationships" ref="A47" r:id="rId27"/>
    <hyperlink xmlns:r="http://schemas.openxmlformats.org/officeDocument/2006/relationships" ref="A48" r:id="rId28"/>
    <hyperlink xmlns:r="http://schemas.openxmlformats.org/officeDocument/2006/relationships" ref="A49" r:id="rId29"/>
    <hyperlink xmlns:r="http://schemas.openxmlformats.org/officeDocument/2006/relationships" ref="A50" r:id="rId30"/>
    <hyperlink xmlns:r="http://schemas.openxmlformats.org/officeDocument/2006/relationships" ref="A51" r:id="rId31"/>
    <hyperlink xmlns:r="http://schemas.openxmlformats.org/officeDocument/2006/relationships" ref="A52" r:id="rId32"/>
    <hyperlink xmlns:r="http://schemas.openxmlformats.org/officeDocument/2006/relationships" ref="A53" r:id="rId33"/>
    <hyperlink xmlns:r="http://schemas.openxmlformats.org/officeDocument/2006/relationships" ref="A54" r:id="rId34"/>
    <hyperlink xmlns:r="http://schemas.openxmlformats.org/officeDocument/2006/relationships" ref="A55" r:id="rId35"/>
    <hyperlink xmlns:r="http://schemas.openxmlformats.org/officeDocument/2006/relationships" ref="A56" r:id="rId36"/>
    <hyperlink xmlns:r="http://schemas.openxmlformats.org/officeDocument/2006/relationships" ref="A57" r:id="rId37"/>
    <hyperlink xmlns:r="http://schemas.openxmlformats.org/officeDocument/2006/relationships" ref="A58" r:id="rId38"/>
    <hyperlink xmlns:r="http://schemas.openxmlformats.org/officeDocument/2006/relationships" ref="A59" r:id="rId39"/>
    <hyperlink xmlns:r="http://schemas.openxmlformats.org/officeDocument/2006/relationships" ref="A60" r:id="rId40"/>
    <hyperlink xmlns:r="http://schemas.openxmlformats.org/officeDocument/2006/relationships" ref="A61" r:id="rId41"/>
    <hyperlink xmlns:r="http://schemas.openxmlformats.org/officeDocument/2006/relationships" ref="A62" r:id="rId42"/>
    <hyperlink xmlns:r="http://schemas.openxmlformats.org/officeDocument/2006/relationships" ref="A63" r:id="rId43"/>
    <hyperlink xmlns:r="http://schemas.openxmlformats.org/officeDocument/2006/relationships" ref="A64" r:id="rId44"/>
    <hyperlink xmlns:r="http://schemas.openxmlformats.org/officeDocument/2006/relationships" ref="A65" r:id="rId45"/>
    <hyperlink xmlns:r="http://schemas.openxmlformats.org/officeDocument/2006/relationships" ref="A66" r:id="rId46"/>
    <hyperlink xmlns:r="http://schemas.openxmlformats.org/officeDocument/2006/relationships" ref="A67" r:id="rId47"/>
  </hyperlinks>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4.xml><?xml version="1.0" encoding="utf-8"?>
<worksheet xmlns="http://schemas.openxmlformats.org/spreadsheetml/2006/main">
  <sheetPr>
    <tabColor rgb="0000B050"/>
    <outlinePr summaryBelow="1" summaryRight="1"/>
    <pageSetUpPr fitToPage="1"/>
  </sheetPr>
  <dimension ref="A1:BL63"/>
  <sheetViews>
    <sheetView showGridLines="0" workbookViewId="0">
      <selection activeCell="A1" sqref="A1"/>
    </sheetView>
  </sheetViews>
  <sheetFormatPr baseColWidth="8" defaultRowHeight="15"/>
  <cols>
    <col width="52" customWidth="1" min="1" max="1"/>
    <col width="17" customWidth="1" min="2" max="2"/>
    <col width="17" customWidth="1" min="3" max="3"/>
    <col width="17" customWidth="1" min="4" max="4"/>
    <col width="17" customWidth="1" min="5" max="5"/>
    <col width="17" customWidth="1" min="6" max="6"/>
    <col width="17" customWidth="1" min="7" max="7"/>
  </cols>
  <sheetData>
    <row r="1">
      <c r="A1" s="17" t="inlineStr">
        <is>
          <t>Investment summary</t>
        </is>
      </c>
    </row>
    <row r="2">
      <c r="A2" s="18" t="inlineStr">
        <is>
          <t>One-page view for investment committees and lenders. Active scenario, LCY unless stated.</t>
        </is>
      </c>
    </row>
    <row r="3"/>
    <row r="4">
      <c r="A4" s="34" t="inlineStr">
        <is>
          <t>Active case</t>
        </is>
      </c>
      <c r="B4" s="20">
        <f>Scenarios!$G$13</f>
        <v/>
      </c>
      <c r="D4" s="34" t="inlineStr">
        <is>
          <t>Model version</t>
        </is>
      </c>
      <c r="E4" s="19" t="inlineStr">
        <is>
          <t>v0.8-dev</t>
        </is>
      </c>
    </row>
    <row r="5">
      <c r="A5" s="34" t="inlineStr">
        <is>
          <t>Master check</t>
        </is>
      </c>
      <c r="B5" s="20">
        <f>Checks!$C$44</f>
        <v/>
      </c>
      <c r="D5" s="34" t="inlineStr">
        <is>
          <t>Currency</t>
        </is>
      </c>
      <c r="E5" s="39">
        <f>Inputs!$C$7</f>
        <v/>
      </c>
    </row>
    <row r="6">
      <c r="A6" s="32">
        <f>Investment_Readiness!$B$5</f>
        <v/>
      </c>
      <c r="D6" s="34" t="inlineStr">
        <is>
          <t>Credit data</t>
        </is>
      </c>
      <c r="E6" s="20">
        <f>IF(Credit_Assumptions!$C$5=1,"PROXY","ACTUAL")</f>
        <v/>
      </c>
    </row>
    <row r="7">
      <c r="A7" s="21" t="inlineStr">
        <is>
          <t>1. Operating &amp; financial trajectory</t>
        </is>
      </c>
      <c r="B7" s="22" t="n"/>
      <c r="C7" s="22" t="n"/>
      <c r="D7" s="22" t="n"/>
      <c r="E7" s="22" t="n"/>
      <c r="F7" s="22" t="n"/>
      <c r="G7" s="22" t="n"/>
      <c r="H7" s="22" t="n"/>
      <c r="I7" s="22" t="n"/>
      <c r="J7" s="22" t="n"/>
      <c r="K7" s="22" t="n"/>
      <c r="L7" s="22" t="n"/>
      <c r="M7" s="22" t="n"/>
      <c r="N7" s="22" t="n"/>
      <c r="O7" s="22" t="n"/>
      <c r="P7" s="22" t="n"/>
      <c r="Q7" s="22" t="n"/>
      <c r="R7" s="22" t="n"/>
      <c r="S7" s="22" t="n"/>
      <c r="T7" s="22" t="n"/>
      <c r="U7" s="22" t="n"/>
      <c r="V7" s="22" t="n"/>
      <c r="W7" s="22" t="n"/>
      <c r="X7" s="22" t="n"/>
      <c r="Y7" s="22" t="n"/>
      <c r="Z7" s="22" t="n"/>
      <c r="AA7" s="22" t="n"/>
      <c r="AB7" s="22" t="n"/>
      <c r="AC7" s="22" t="n"/>
      <c r="AD7" s="22" t="n"/>
      <c r="AE7" s="22" t="n"/>
      <c r="AF7" s="22" t="n"/>
      <c r="AG7" s="22" t="n"/>
      <c r="AH7" s="22" t="n"/>
      <c r="AI7" s="22" t="n"/>
      <c r="AJ7" s="22" t="n"/>
      <c r="AK7" s="22" t="n"/>
      <c r="AL7" s="22" t="n"/>
      <c r="AM7" s="22" t="n"/>
      <c r="AN7" s="22" t="n"/>
      <c r="AO7" s="22" t="n"/>
      <c r="AP7" s="22" t="n"/>
      <c r="AQ7" s="22" t="n"/>
      <c r="AR7" s="22" t="n"/>
      <c r="AS7" s="22" t="n"/>
      <c r="AT7" s="22" t="n"/>
      <c r="AU7" s="22" t="n"/>
      <c r="AV7" s="22" t="n"/>
      <c r="AW7" s="22" t="n"/>
      <c r="AX7" s="22" t="n"/>
      <c r="AY7" s="22" t="n"/>
      <c r="AZ7" s="22" t="n"/>
      <c r="BA7" s="22" t="n"/>
      <c r="BB7" s="22" t="n"/>
      <c r="BC7" s="22" t="n"/>
      <c r="BD7" s="22" t="n"/>
      <c r="BE7" s="22" t="n"/>
      <c r="BF7" s="22" t="n"/>
      <c r="BG7" s="22" t="n"/>
      <c r="BH7" s="22" t="n"/>
      <c r="BI7" s="22" t="n"/>
      <c r="BJ7" s="22" t="n"/>
      <c r="BK7" s="22" t="n"/>
      <c r="BL7" s="22" t="n"/>
    </row>
    <row r="8">
      <c r="A8" s="40" t="inlineStr">
        <is>
          <t>Metric</t>
        </is>
      </c>
      <c r="B8" s="40" t="inlineStr">
        <is>
          <t>Year 1</t>
        </is>
      </c>
      <c r="C8" s="40" t="inlineStr">
        <is>
          <t>Year 2</t>
        </is>
      </c>
      <c r="D8" s="40" t="inlineStr">
        <is>
          <t>Year 3</t>
        </is>
      </c>
      <c r="E8" s="40" t="inlineStr">
        <is>
          <t>Year 4</t>
        </is>
      </c>
      <c r="F8" s="40" t="inlineStr">
        <is>
          <t>Year 5</t>
        </is>
      </c>
    </row>
    <row r="9">
      <c r="A9" s="34" t="inlineStr">
        <is>
          <t>Units sold</t>
        </is>
      </c>
      <c r="B9" s="41">
        <f>KPIs!E14</f>
        <v/>
      </c>
      <c r="C9" s="41">
        <f>KPIs!F14</f>
        <v/>
      </c>
      <c r="D9" s="41">
        <f>KPIs!G14</f>
        <v/>
      </c>
      <c r="E9" s="41">
        <f>KPIs!H14</f>
        <v/>
      </c>
      <c r="F9" s="41">
        <f>KPIs!I14</f>
        <v/>
      </c>
    </row>
    <row r="10">
      <c r="A10" s="34" t="inlineStr">
        <is>
          <t>Active PAYGo accounts (year end)</t>
        </is>
      </c>
      <c r="B10" s="41">
        <f>KPIs!E16</f>
        <v/>
      </c>
      <c r="C10" s="41">
        <f>KPIs!F16</f>
        <v/>
      </c>
      <c r="D10" s="41">
        <f>KPIs!G16</f>
        <v/>
      </c>
      <c r="E10" s="41">
        <f>KPIs!H16</f>
        <v/>
      </c>
      <c r="F10" s="41">
        <f>KPIs!I16</f>
        <v/>
      </c>
    </row>
    <row r="11">
      <c r="A11" s="34" t="inlineStr">
        <is>
          <t>Average cash price per unit (USD)</t>
        </is>
      </c>
      <c r="B11" s="41">
        <f>KPIs!E15</f>
        <v/>
      </c>
      <c r="C11" s="41">
        <f>KPIs!F15</f>
        <v/>
      </c>
      <c r="D11" s="41">
        <f>KPIs!G15</f>
        <v/>
      </c>
      <c r="E11" s="41">
        <f>KPIs!H15</f>
        <v/>
      </c>
      <c r="F11" s="41">
        <f>KPIs!I15</f>
        <v/>
      </c>
    </row>
    <row r="12">
      <c r="A12" s="34" t="inlineStr">
        <is>
          <t>Revenue (USD, average FX)</t>
        </is>
      </c>
      <c r="B12" s="41">
        <f>KPIs!E35</f>
        <v/>
      </c>
      <c r="C12" s="41">
        <f>KPIs!F35</f>
        <v/>
      </c>
      <c r="D12" s="41">
        <f>KPIs!G35</f>
        <v/>
      </c>
      <c r="E12" s="41">
        <f>KPIs!H35</f>
        <v/>
      </c>
      <c r="F12" s="41">
        <f>KPIs!I35</f>
        <v/>
      </c>
    </row>
    <row r="13">
      <c r="A13" s="34" t="inlineStr">
        <is>
          <t>Gross margin</t>
        </is>
      </c>
      <c r="B13" s="42">
        <f>KPIs!E36</f>
        <v/>
      </c>
      <c r="C13" s="42">
        <f>KPIs!F36</f>
        <v/>
      </c>
      <c r="D13" s="42">
        <f>KPIs!G36</f>
        <v/>
      </c>
      <c r="E13" s="42">
        <f>KPIs!H36</f>
        <v/>
      </c>
      <c r="F13" s="42">
        <f>KPIs!I36</f>
        <v/>
      </c>
    </row>
    <row r="14">
      <c r="A14" s="34" t="inlineStr">
        <is>
          <t>EBITDA margin</t>
        </is>
      </c>
      <c r="B14" s="42">
        <f>KPIs!E38</f>
        <v/>
      </c>
      <c r="C14" s="42">
        <f>KPIs!F38</f>
        <v/>
      </c>
      <c r="D14" s="42">
        <f>KPIs!G38</f>
        <v/>
      </c>
      <c r="E14" s="42">
        <f>KPIs!H38</f>
        <v/>
      </c>
      <c r="F14" s="42">
        <f>KPIs!I38</f>
        <v/>
      </c>
    </row>
    <row r="15">
      <c r="A15" s="34" t="inlineStr">
        <is>
          <t>Net income (LCY)</t>
        </is>
      </c>
      <c r="B15" s="41">
        <f>KPIs!E42</f>
        <v/>
      </c>
      <c r="C15" s="41">
        <f>KPIs!F42</f>
        <v/>
      </c>
      <c r="D15" s="41">
        <f>KPIs!G42</f>
        <v/>
      </c>
      <c r="E15" s="41">
        <f>KPIs!H42</f>
        <v/>
      </c>
      <c r="F15" s="41">
        <f>KPIs!I42</f>
        <v/>
      </c>
    </row>
    <row r="16">
      <c r="A16" s="34" t="inlineStr">
        <is>
          <t>Operational collection rate</t>
        </is>
      </c>
      <c r="B16" s="42">
        <f>KPIs!E19</f>
        <v/>
      </c>
      <c r="C16" s="42">
        <f>KPIs!F19</f>
        <v/>
      </c>
      <c r="D16" s="42">
        <f>KPIs!G19</f>
        <v/>
      </c>
      <c r="E16" s="42">
        <f>KPIs!H19</f>
        <v/>
      </c>
      <c r="F16" s="42">
        <f>KPIs!I19</f>
        <v/>
      </c>
    </row>
    <row r="17">
      <c r="A17" s="34" t="inlineStr">
        <is>
          <t>Receivables at risk / gross receivables</t>
        </is>
      </c>
      <c r="B17" s="42">
        <f>KPIs!E21</f>
        <v/>
      </c>
      <c r="C17" s="42">
        <f>KPIs!F21</f>
        <v/>
      </c>
      <c r="D17" s="42">
        <f>KPIs!G21</f>
        <v/>
      </c>
      <c r="E17" s="42">
        <f>KPIs!H21</f>
        <v/>
      </c>
      <c r="F17" s="42">
        <f>KPIs!I21</f>
        <v/>
      </c>
    </row>
    <row r="18">
      <c r="A18" s="34" t="inlineStr">
        <is>
          <t>Total debt (LCY, year end)</t>
        </is>
      </c>
      <c r="B18" s="41">
        <f>KPIs!E47</f>
        <v/>
      </c>
      <c r="C18" s="41">
        <f>KPIs!F47</f>
        <v/>
      </c>
      <c r="D18" s="41">
        <f>KPIs!G47</f>
        <v/>
      </c>
      <c r="E18" s="41">
        <f>KPIs!H47</f>
        <v/>
      </c>
      <c r="F18" s="41">
        <f>KPIs!I47</f>
        <v/>
      </c>
    </row>
    <row r="19">
      <c r="A19" s="34" t="inlineStr">
        <is>
          <t>DSCR</t>
        </is>
      </c>
      <c r="B19" s="43">
        <f>KPIs!E50</f>
        <v/>
      </c>
      <c r="C19" s="43">
        <f>KPIs!F50</f>
        <v/>
      </c>
      <c r="D19" s="43">
        <f>KPIs!G50</f>
        <v/>
      </c>
      <c r="E19" s="43">
        <f>KPIs!H50</f>
        <v/>
      </c>
      <c r="F19" s="43">
        <f>KPIs!I50</f>
        <v/>
      </c>
    </row>
    <row r="20"/>
    <row r="21">
      <c r="A21" s="21" t="inlineStr">
        <is>
          <t>2. Funding requirement</t>
        </is>
      </c>
      <c r="B21" s="22" t="n"/>
      <c r="C21" s="22" t="n"/>
      <c r="D21" s="22" t="n"/>
      <c r="E21" s="22" t="n"/>
      <c r="F21" s="22"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c r="AA21" s="22" t="n"/>
      <c r="AB21" s="22" t="n"/>
      <c r="AC21" s="22" t="n"/>
      <c r="AD21" s="22" t="n"/>
      <c r="AE21" s="22" t="n"/>
      <c r="AF21" s="22" t="n"/>
      <c r="AG21" s="22" t="n"/>
      <c r="AH21" s="22" t="n"/>
      <c r="AI21" s="22" t="n"/>
      <c r="AJ21" s="22" t="n"/>
      <c r="AK21" s="22" t="n"/>
      <c r="AL21" s="22" t="n"/>
      <c r="AM21" s="22" t="n"/>
      <c r="AN21" s="22" t="n"/>
      <c r="AO21" s="22" t="n"/>
      <c r="AP21" s="22" t="n"/>
      <c r="AQ21" s="22" t="n"/>
      <c r="AR21" s="22" t="n"/>
      <c r="AS21" s="22" t="n"/>
      <c r="AT21" s="22" t="n"/>
      <c r="AU21" s="22" t="n"/>
      <c r="AV21" s="22" t="n"/>
      <c r="AW21" s="22" t="n"/>
      <c r="AX21" s="22" t="n"/>
      <c r="AY21" s="22" t="n"/>
      <c r="AZ21" s="22" t="n"/>
      <c r="BA21" s="22" t="n"/>
      <c r="BB21" s="22" t="n"/>
      <c r="BC21" s="22" t="n"/>
      <c r="BD21" s="22" t="n"/>
      <c r="BE21" s="22" t="n"/>
      <c r="BF21" s="22" t="n"/>
      <c r="BG21" s="22" t="n"/>
      <c r="BH21" s="22" t="n"/>
      <c r="BI21" s="22" t="n"/>
      <c r="BJ21" s="22" t="n"/>
      <c r="BK21" s="22" t="n"/>
      <c r="BL21" s="22" t="n"/>
    </row>
    <row r="22">
      <c r="A22" s="34" t="inlineStr">
        <is>
          <t>Peak equity requirement (USD, opening FX; includes the initial injection: see KPIs for the additional need)</t>
        </is>
      </c>
      <c r="B22" s="44">
        <f>KPIs!$C$57</f>
        <v/>
      </c>
    </row>
    <row r="23">
      <c r="A23" s="34" t="inlineStr">
        <is>
          <t>Peak equity requirement (LCY)</t>
        </is>
      </c>
      <c r="B23" s="44">
        <f>KPIs!$C$56</f>
        <v/>
      </c>
    </row>
    <row r="24">
      <c r="A24" s="34" t="inlineStr">
        <is>
          <t>Peak total debt (LCY)</t>
        </is>
      </c>
      <c r="B24" s="44">
        <f>KPIs!$C$58</f>
        <v/>
      </c>
    </row>
    <row r="25">
      <c r="A25" s="34" t="inlineStr">
        <is>
          <t>Total RBF received (USD)</t>
        </is>
      </c>
      <c r="B25" s="44">
        <f>KPIs!$C$59</f>
        <v/>
      </c>
    </row>
    <row r="26">
      <c r="A26" s="34" t="inlineStr">
        <is>
          <t>First month with positive EBITDA</t>
        </is>
      </c>
      <c r="B26" s="45">
        <f>KPIs!$C$60</f>
        <v/>
      </c>
    </row>
    <row r="27">
      <c r="A27" s="34" t="inlineStr">
        <is>
          <t>Month from which operating cash flow stays positive</t>
        </is>
      </c>
      <c r="B27" s="45">
        <f>KPIs!$C$61</f>
        <v/>
      </c>
    </row>
    <row r="28"/>
    <row r="29">
      <c r="A29" s="21" t="inlineStr">
        <is>
          <t>3. Valuation &amp; equity returns</t>
        </is>
      </c>
      <c r="B29" s="22" t="n"/>
      <c r="C29" s="22" t="n"/>
      <c r="D29" s="22" t="n"/>
      <c r="E29" s="22" t="n"/>
      <c r="F29" s="22"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c r="AA29" s="22" t="n"/>
      <c r="AB29" s="22" t="n"/>
      <c r="AC29" s="22" t="n"/>
      <c r="AD29" s="22" t="n"/>
      <c r="AE29" s="22" t="n"/>
      <c r="AF29" s="22" t="n"/>
      <c r="AG29" s="22" t="n"/>
      <c r="AH29" s="22" t="n"/>
      <c r="AI29" s="22" t="n"/>
      <c r="AJ29" s="22" t="n"/>
      <c r="AK29" s="22" t="n"/>
      <c r="AL29" s="22" t="n"/>
      <c r="AM29" s="22" t="n"/>
      <c r="AN29" s="22" t="n"/>
      <c r="AO29" s="22" t="n"/>
      <c r="AP29" s="22" t="n"/>
      <c r="AQ29" s="22" t="n"/>
      <c r="AR29" s="22" t="n"/>
      <c r="AS29" s="22" t="n"/>
      <c r="AT29" s="22" t="n"/>
      <c r="AU29" s="22" t="n"/>
      <c r="AV29" s="22" t="n"/>
      <c r="AW29" s="22" t="n"/>
      <c r="AX29" s="22" t="n"/>
      <c r="AY29" s="22" t="n"/>
      <c r="AZ29" s="22" t="n"/>
      <c r="BA29" s="22" t="n"/>
      <c r="BB29" s="22" t="n"/>
      <c r="BC29" s="22" t="n"/>
      <c r="BD29" s="22" t="n"/>
      <c r="BE29" s="22" t="n"/>
      <c r="BF29" s="22" t="n"/>
      <c r="BG29" s="22" t="n"/>
      <c r="BH29" s="22" t="n"/>
      <c r="BI29" s="22" t="n"/>
      <c r="BJ29" s="22" t="n"/>
      <c r="BK29" s="22" t="n"/>
      <c r="BL29" s="22" t="n"/>
    </row>
    <row r="30">
      <c r="A30" s="34" t="inlineStr">
        <is>
          <t>DCF enterprise value at start (USD)</t>
        </is>
      </c>
      <c r="B30" s="44">
        <f>Valuation!$C$28</f>
        <v/>
      </c>
    </row>
    <row r="31">
      <c r="A31" s="34" t="inlineStr">
        <is>
          <t>Terminal value share of EV</t>
        </is>
      </c>
      <c r="B31" s="46">
        <f>Valuation!$C$29</f>
        <v/>
      </c>
    </row>
    <row r="32">
      <c r="A32" s="34" t="inlineStr">
        <is>
          <t>Exit equity value, 100% (USD, end Year 5)</t>
        </is>
      </c>
      <c r="B32" s="44">
        <f>Valuation!$C$36</f>
        <v/>
      </c>
    </row>
    <row r="33">
      <c r="A33" s="34" t="inlineStr">
        <is>
          <t>Investor stake</t>
        </is>
      </c>
      <c r="B33" s="46">
        <f>Valuation!$C$38</f>
        <v/>
      </c>
    </row>
    <row r="34">
      <c r="A34" s="34" t="inlineStr">
        <is>
          <t>Investor IRR (USD)</t>
        </is>
      </c>
      <c r="B34" s="46">
        <f>Valuation!$C$39</f>
        <v/>
      </c>
    </row>
    <row r="35">
      <c r="A35" s="34" t="inlineStr">
        <is>
          <t>Investor MOIC (USD)</t>
        </is>
      </c>
      <c r="B35" s="47">
        <f>Valuation!$C$40</f>
        <v/>
      </c>
    </row>
    <row r="36"/>
    <row r="37">
      <c r="A37" s="21" t="inlineStr">
        <is>
          <t>4. Lender view</t>
        </is>
      </c>
      <c r="B37" s="22" t="n"/>
      <c r="C37" s="22" t="n"/>
      <c r="D37" s="22" t="n"/>
      <c r="E37" s="22" t="n"/>
      <c r="F37" s="22"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c r="AA37" s="22" t="n"/>
      <c r="AB37" s="22" t="n"/>
      <c r="AC37" s="22" t="n"/>
      <c r="AD37" s="22" t="n"/>
      <c r="AE37" s="22" t="n"/>
      <c r="AF37" s="22" t="n"/>
      <c r="AG37" s="22" t="n"/>
      <c r="AH37" s="22" t="n"/>
      <c r="AI37" s="22" t="n"/>
      <c r="AJ37" s="22" t="n"/>
      <c r="AK37" s="22" t="n"/>
      <c r="AL37" s="22" t="n"/>
      <c r="AM37" s="22" t="n"/>
      <c r="AN37" s="22" t="n"/>
      <c r="AO37" s="22" t="n"/>
      <c r="AP37" s="22" t="n"/>
      <c r="AQ37" s="22" t="n"/>
      <c r="AR37" s="22" t="n"/>
      <c r="AS37" s="22" t="n"/>
      <c r="AT37" s="22" t="n"/>
      <c r="AU37" s="22" t="n"/>
      <c r="AV37" s="22" t="n"/>
      <c r="AW37" s="22" t="n"/>
      <c r="AX37" s="22" t="n"/>
      <c r="AY37" s="22" t="n"/>
      <c r="AZ37" s="22" t="n"/>
      <c r="BA37" s="22" t="n"/>
      <c r="BB37" s="22" t="n"/>
      <c r="BC37" s="22" t="n"/>
      <c r="BD37" s="22" t="n"/>
      <c r="BE37" s="22" t="n"/>
      <c r="BF37" s="22" t="n"/>
      <c r="BG37" s="22" t="n"/>
      <c r="BH37" s="22" t="n"/>
      <c r="BI37" s="22" t="n"/>
      <c r="BJ37" s="22" t="n"/>
      <c r="BK37" s="22" t="n"/>
      <c r="BL37" s="22" t="n"/>
    </row>
    <row r="38">
      <c r="A38" s="34" t="inlineStr">
        <is>
          <t>Lowest trailing-3-month collection rate</t>
        </is>
      </c>
      <c r="B38" s="46">
        <f>KPIs!$C$62</f>
        <v/>
      </c>
    </row>
    <row r="39">
      <c r="A39" s="34" t="inlineStr">
        <is>
          <t>Highest receivables-at-risk ratio</t>
        </is>
      </c>
      <c r="B39" s="46">
        <f>KPIs!$C$63</f>
        <v/>
      </c>
    </row>
    <row r="40">
      <c r="A40" s="34" t="inlineStr">
        <is>
          <t>Highest 30+ DPD ratio (projection)</t>
        </is>
      </c>
      <c r="B40" s="46">
        <f>Covenants!$C$17</f>
        <v/>
      </c>
    </row>
    <row r="41">
      <c r="A41" s="34" t="inlineStr">
        <is>
          <t>Highest 90+ DPD ratio (projection)</t>
        </is>
      </c>
      <c r="B41" s="46">
        <f>Covenants!$C$19</f>
        <v/>
      </c>
    </row>
    <row r="42">
      <c r="A42" s="34" t="inlineStr">
        <is>
          <t>RBF design mode</t>
        </is>
      </c>
      <c r="B42" s="20">
        <f>RBF_Engine!$C$8</f>
        <v/>
      </c>
    </row>
    <row r="43">
      <c r="A43" s="34" t="inlineStr">
        <is>
          <t>Receivables financing structure</t>
        </is>
      </c>
      <c r="B43" s="20">
        <f>IF(Inputs!$C$60=1,"Warehouse facility","Securitisation")</f>
        <v/>
      </c>
    </row>
    <row r="44">
      <c r="A44" s="34" t="inlineStr">
        <is>
          <t>Months with any monthly covenant breach (DSCR is tested annually: next line)</t>
        </is>
      </c>
      <c r="B44" s="45">
        <f>KPIs!$C$64</f>
        <v/>
      </c>
    </row>
    <row r="45">
      <c r="A45" s="34" t="inlineStr">
        <is>
          <t>Years with DSCR below minimum</t>
        </is>
      </c>
      <c r="B45" s="45">
        <f>KPIs!$C$65</f>
        <v/>
      </c>
    </row>
    <row r="46">
      <c r="A46" s="34" t="inlineStr">
        <is>
          <t>Peak facility utilisation</t>
        </is>
      </c>
      <c r="B46" s="46">
        <f>Financing!$C$27</f>
        <v/>
      </c>
    </row>
    <row r="47"/>
    <row r="48">
      <c r="A48" s="21" t="inlineStr">
        <is>
          <t>5. Unit economics by tier</t>
        </is>
      </c>
      <c r="B48" s="22" t="n"/>
      <c r="C48" s="22" t="n"/>
      <c r="D48" s="22" t="n"/>
      <c r="E48" s="22" t="n"/>
      <c r="F48" s="22"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c r="AA48" s="22" t="n"/>
      <c r="AB48" s="22" t="n"/>
      <c r="AC48" s="22" t="n"/>
      <c r="AD48" s="22" t="n"/>
      <c r="AE48" s="22" t="n"/>
      <c r="AF48" s="22" t="n"/>
      <c r="AG48" s="22" t="n"/>
      <c r="AH48" s="22" t="n"/>
      <c r="AI48" s="22" t="n"/>
      <c r="AJ48" s="22" t="n"/>
      <c r="AK48" s="22" t="n"/>
      <c r="AL48" s="22" t="n"/>
      <c r="AM48" s="22" t="n"/>
      <c r="AN48" s="22" t="n"/>
      <c r="AO48" s="22" t="n"/>
      <c r="AP48" s="22" t="n"/>
      <c r="AQ48" s="22" t="n"/>
      <c r="AR48" s="22" t="n"/>
      <c r="AS48" s="22" t="n"/>
      <c r="AT48" s="22" t="n"/>
      <c r="AU48" s="22" t="n"/>
      <c r="AV48" s="22" t="n"/>
      <c r="AW48" s="22" t="n"/>
      <c r="AX48" s="22" t="n"/>
      <c r="AY48" s="22" t="n"/>
      <c r="AZ48" s="22" t="n"/>
      <c r="BA48" s="22" t="n"/>
      <c r="BB48" s="22" t="n"/>
      <c r="BC48" s="22" t="n"/>
      <c r="BD48" s="22" t="n"/>
      <c r="BE48" s="22" t="n"/>
      <c r="BF48" s="22" t="n"/>
      <c r="BG48" s="22" t="n"/>
      <c r="BH48" s="22" t="n"/>
      <c r="BI48" s="22" t="n"/>
      <c r="BJ48" s="22" t="n"/>
      <c r="BK48" s="22" t="n"/>
      <c r="BL48" s="22" t="n"/>
    </row>
    <row r="49">
      <c r="A49" s="40" t="inlineStr">
        <is>
          <t>Metric</t>
        </is>
      </c>
      <c r="B49" s="40" t="inlineStr">
        <is>
          <t>Tier 1</t>
        </is>
      </c>
      <c r="C49" s="40" t="inlineStr">
        <is>
          <t>Tier 2</t>
        </is>
      </c>
      <c r="D49" s="40" t="inlineStr">
        <is>
          <t>Tier 3</t>
        </is>
      </c>
      <c r="E49" s="40" t="inlineStr">
        <is>
          <t>Tier 4</t>
        </is>
      </c>
      <c r="F49" s="40" t="inlineStr">
        <is>
          <t>Tier 5</t>
        </is>
      </c>
    </row>
    <row r="50">
      <c r="A50" s="34" t="inlineStr">
        <is>
          <t>Cash price (LCY)</t>
        </is>
      </c>
      <c r="B50" s="41">
        <f>Unit_Economics!C5</f>
        <v/>
      </c>
      <c r="C50" s="41">
        <f>Unit_Economics!D5</f>
        <v/>
      </c>
      <c r="D50" s="41">
        <f>Unit_Economics!E5</f>
        <v/>
      </c>
      <c r="E50" s="41">
        <f>Unit_Economics!F5</f>
        <v/>
      </c>
      <c r="F50" s="41">
        <f>Unit_Economics!G5</f>
        <v/>
      </c>
    </row>
    <row r="51">
      <c r="A51" s="34" t="inlineStr">
        <is>
          <t>Implied APR</t>
        </is>
      </c>
      <c r="B51" s="42">
        <f>Unit_Economics!C7</f>
        <v/>
      </c>
      <c r="C51" s="42">
        <f>Unit_Economics!D7</f>
        <v/>
      </c>
      <c r="D51" s="42">
        <f>Unit_Economics!E7</f>
        <v/>
      </c>
      <c r="E51" s="42">
        <f>Unit_Economics!F7</f>
        <v/>
      </c>
      <c r="F51" s="42">
        <f>Unit_Economics!G7</f>
        <v/>
      </c>
    </row>
    <row r="52">
      <c r="A52" s="34" t="inlineStr">
        <is>
          <t>Expected loss rate</t>
        </is>
      </c>
      <c r="B52" s="42">
        <f>Unit_Economics!C11</f>
        <v/>
      </c>
      <c r="C52" s="42">
        <f>Unit_Economics!D11</f>
        <v/>
      </c>
      <c r="D52" s="42">
        <f>Unit_Economics!E11</f>
        <v/>
      </c>
      <c r="E52" s="42">
        <f>Unit_Economics!F11</f>
        <v/>
      </c>
      <c r="F52" s="42">
        <f>Unit_Economics!G11</f>
        <v/>
      </c>
    </row>
    <row r="53">
      <c r="A53" s="34" t="inlineStr">
        <is>
          <t>LTV / CAC</t>
        </is>
      </c>
      <c r="B53" s="43">
        <f>Unit_Economics!C21</f>
        <v/>
      </c>
      <c r="C53" s="43">
        <f>Unit_Economics!D21</f>
        <v/>
      </c>
      <c r="D53" s="43">
        <f>Unit_Economics!E21</f>
        <v/>
      </c>
      <c r="E53" s="43">
        <f>Unit_Economics!F21</f>
        <v/>
      </c>
      <c r="F53" s="43">
        <f>Unit_Economics!G21</f>
        <v/>
      </c>
    </row>
    <row r="54">
      <c r="A54" s="34" t="inlineStr">
        <is>
          <t>Cash payback (months)</t>
        </is>
      </c>
      <c r="B54" s="48">
        <f>Unit_Economics!C22</f>
        <v/>
      </c>
      <c r="C54" s="48">
        <f>Unit_Economics!D22</f>
        <v/>
      </c>
      <c r="D54" s="48">
        <f>Unit_Economics!E22</f>
        <v/>
      </c>
      <c r="E54" s="48">
        <f>Unit_Economics!F22</f>
        <v/>
      </c>
      <c r="F54" s="48">
        <f>Unit_Economics!G22</f>
        <v/>
      </c>
    </row>
    <row r="55">
      <c r="A55" s="34" t="inlineStr">
        <is>
          <t>Unit IRR</t>
        </is>
      </c>
      <c r="B55" s="42">
        <f>Unit_Economics!C23</f>
        <v/>
      </c>
      <c r="C55" s="42">
        <f>Unit_Economics!D23</f>
        <v/>
      </c>
      <c r="D55" s="42">
        <f>Unit_Economics!E23</f>
        <v/>
      </c>
      <c r="E55" s="42">
        <f>Unit_Economics!F23</f>
        <v/>
      </c>
      <c r="F55" s="42">
        <f>Unit_Economics!G23</f>
        <v/>
      </c>
    </row>
    <row r="56"/>
    <row r="57">
      <c r="A57" s="21" t="inlineStr">
        <is>
          <t>6. Scenario snapshot (static, default inputs: see Sensitivity)</t>
        </is>
      </c>
      <c r="B57" s="22" t="n"/>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c r="AA57" s="22" t="n"/>
      <c r="AB57" s="22" t="n"/>
      <c r="AC57" s="22" t="n"/>
      <c r="AD57" s="22" t="n"/>
      <c r="AE57" s="22" t="n"/>
      <c r="AF57" s="22" t="n"/>
      <c r="AG57" s="22" t="n"/>
      <c r="AH57" s="22" t="n"/>
      <c r="AI57" s="22" t="n"/>
      <c r="AJ57" s="22" t="n"/>
      <c r="AK57" s="22" t="n"/>
      <c r="AL57" s="22" t="n"/>
      <c r="AM57" s="22" t="n"/>
      <c r="AN57" s="22" t="n"/>
      <c r="AO57" s="22" t="n"/>
      <c r="AP57" s="22" t="n"/>
      <c r="AQ57" s="22" t="n"/>
      <c r="AR57" s="22" t="n"/>
      <c r="AS57" s="22" t="n"/>
      <c r="AT57" s="22" t="n"/>
      <c r="AU57" s="22" t="n"/>
      <c r="AV57" s="22" t="n"/>
      <c r="AW57" s="22" t="n"/>
      <c r="AX57" s="22" t="n"/>
      <c r="AY57" s="22" t="n"/>
      <c r="AZ57" s="22" t="n"/>
      <c r="BA57" s="22" t="n"/>
      <c r="BB57" s="22" t="n"/>
      <c r="BC57" s="22" t="n"/>
      <c r="BD57" s="22" t="n"/>
      <c r="BE57" s="22" t="n"/>
      <c r="BF57" s="22" t="n"/>
      <c r="BG57" s="22" t="n"/>
      <c r="BH57" s="22" t="n"/>
      <c r="BI57" s="22" t="n"/>
      <c r="BJ57" s="22" t="n"/>
      <c r="BK57" s="22" t="n"/>
      <c r="BL57" s="22" t="n"/>
    </row>
    <row r="58">
      <c r="A58" s="40" t="inlineStr">
        <is>
          <t>Case</t>
        </is>
      </c>
      <c r="B58" s="40" t="inlineStr">
        <is>
          <t>Peak equity (USD m)</t>
        </is>
      </c>
      <c r="C58" s="40" t="inlineStr">
        <is>
          <t>Investor IRR</t>
        </is>
      </c>
      <c r="D58" s="40" t="inlineStr">
        <is>
          <t>MOIC</t>
        </is>
      </c>
      <c r="E58" s="40" t="inlineStr">
        <is>
          <t>Breach months</t>
        </is>
      </c>
    </row>
    <row r="59">
      <c r="A59" s="39">
        <f>IF(Sensitivity!A6="","",Sensitivity!A6)</f>
        <v/>
      </c>
      <c r="B59" s="49">
        <f>IF(Sensitivity!B6="","",Sensitivity!B6)</f>
        <v/>
      </c>
      <c r="C59" s="42">
        <f>IF(Sensitivity!G6="","",Sensitivity!G6)</f>
        <v/>
      </c>
      <c r="D59" s="43">
        <f>IF(Sensitivity!H6="","",Sensitivity!H6)</f>
        <v/>
      </c>
      <c r="E59" s="48">
        <f>IF(Sensitivity!I6="","",Sensitivity!I6)</f>
        <v/>
      </c>
    </row>
    <row r="60">
      <c r="A60" s="39">
        <f>IF(Sensitivity!A7="","",Sensitivity!A7)</f>
        <v/>
      </c>
      <c r="B60" s="49">
        <f>IF(Sensitivity!B7="","",Sensitivity!B7)</f>
        <v/>
      </c>
      <c r="C60" s="42">
        <f>IF(Sensitivity!G7="","",Sensitivity!G7)</f>
        <v/>
      </c>
      <c r="D60" s="43">
        <f>IF(Sensitivity!H7="","",Sensitivity!H7)</f>
        <v/>
      </c>
      <c r="E60" s="48">
        <f>IF(Sensitivity!I7="","",Sensitivity!I7)</f>
        <v/>
      </c>
    </row>
    <row r="61">
      <c r="A61" s="39">
        <f>IF(Sensitivity!A8="","",Sensitivity!A8)</f>
        <v/>
      </c>
      <c r="B61" s="49">
        <f>IF(Sensitivity!B8="","",Sensitivity!B8)</f>
        <v/>
      </c>
      <c r="C61" s="42">
        <f>IF(Sensitivity!G8="","",Sensitivity!G8)</f>
        <v/>
      </c>
      <c r="D61" s="43">
        <f>IF(Sensitivity!H8="","",Sensitivity!H8)</f>
        <v/>
      </c>
      <c r="E61" s="48">
        <f>IF(Sensitivity!I8="","",Sensitivity!I8)</f>
        <v/>
      </c>
    </row>
    <row r="62"/>
    <row r="63">
      <c r="A63" s="18" t="inlineStr">
        <is>
          <t>All default inputs are illustrative. Not investment advice. See Cover for the disclaimer.</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5.xml><?xml version="1.0" encoding="utf-8"?>
<worksheet xmlns="http://schemas.openxmlformats.org/spreadsheetml/2006/main">
  <sheetPr>
    <tabColor rgb="00C00000"/>
    <outlinePr summaryBelow="1" summaryRight="1"/>
    <pageSetUpPr fitToPage="1"/>
  </sheetPr>
  <dimension ref="A1:BL41"/>
  <sheetViews>
    <sheetView showGridLines="0" workbookViewId="0">
      <selection activeCell="A1" sqref="A1"/>
    </sheetView>
  </sheetViews>
  <sheetFormatPr baseColWidth="8" defaultRowHeight="15"/>
  <cols>
    <col width="5" customWidth="1" min="1" max="1"/>
    <col width="50" customWidth="1" min="2" max="2"/>
    <col width="9" customWidth="1" min="3" max="3"/>
    <col width="14" customWidth="1" min="4" max="4"/>
    <col width="12" customWidth="1" min="5" max="5"/>
    <col width="6" customWidth="1" min="6" max="6"/>
    <col width="46" customWidth="1" min="7" max="7"/>
    <col width="10" customWidth="1" min="8" max="8"/>
    <col width="26" customWidth="1" min="9" max="9"/>
    <col width="20" customWidth="1" min="10" max="10"/>
    <col width="12" customWidth="1" min="11" max="11"/>
    <col width="34" customWidth="1" min="12" max="12"/>
  </cols>
  <sheetData>
    <row r="1">
      <c r="A1" s="17" t="inlineStr">
        <is>
          <t>Investment readiness gates and evidence-based decision</t>
        </is>
      </c>
    </row>
    <row r="2">
      <c r="A2" s="18" t="inlineStr">
        <is>
          <t>Each gate counts only on evidence: automatic gates are computed by the model; a manual gate counts only when marked Met with the place the evidence is held and the person who signed it off. The decision rule below uses these results only. It is not an investment recommendation, a credit rating or an opinion on the company.</t>
        </is>
      </c>
    </row>
    <row r="3"/>
    <row r="4">
      <c r="B4" s="34" t="inlineStr">
        <is>
          <t>Gates met</t>
        </is>
      </c>
      <c r="C4" s="27">
        <f>SUM(F7:F29)</f>
        <v/>
      </c>
      <c r="D4" s="50">
        <f>"of 23"</f>
        <v/>
      </c>
    </row>
    <row r="5">
      <c r="B5" s="51">
        <f>"INVESTMENT READINESS: "&amp;C4&amp;"/23 gates met. Decision: "&amp;Investment_Readiness!$C$35&amp;" ("&amp;Investment_Readiness!$C$36&amp;")"</f>
        <v/>
      </c>
    </row>
    <row r="6" ht="30" customHeight="1">
      <c r="A6" s="40" t="inlineStr">
        <is>
          <t>#</t>
        </is>
      </c>
      <c r="B6" s="40" t="inlineStr">
        <is>
          <t>Gate</t>
        </is>
      </c>
      <c r="C6" s="40" t="inlineStr">
        <is>
          <t>Type</t>
        </is>
      </c>
      <c r="D6" s="40" t="inlineStr">
        <is>
          <t>Manual status</t>
        </is>
      </c>
      <c r="E6" s="40" t="inlineStr">
        <is>
          <t>Auto result</t>
        </is>
      </c>
      <c r="F6" s="40" t="inlineStr">
        <is>
          <t>Met</t>
        </is>
      </c>
      <c r="G6" s="40" t="inlineStr">
        <is>
          <t>Evidence required</t>
        </is>
      </c>
      <c r="H6" s="40" t="inlineStr">
        <is>
          <t>Critical</t>
        </is>
      </c>
      <c r="I6" s="40" t="inlineStr">
        <is>
          <t>Where the evidence is held</t>
        </is>
      </c>
      <c r="J6" s="40" t="inlineStr">
        <is>
          <t>Signed off by</t>
        </is>
      </c>
      <c r="K6" s="40" t="inlineStr">
        <is>
          <t>Date</t>
        </is>
      </c>
      <c r="L6" s="40" t="inlineStr">
        <is>
          <t>Evidence check</t>
        </is>
      </c>
    </row>
    <row r="7" ht="30" customHeight="1">
      <c r="A7" s="52" t="n">
        <v>1</v>
      </c>
      <c r="B7" s="53" t="inlineStr">
        <is>
          <t>Model integrity (master check OK)</t>
        </is>
      </c>
      <c r="C7" s="54" t="inlineStr">
        <is>
          <t>Auto</t>
        </is>
      </c>
      <c r="D7" s="55" t="n"/>
      <c r="E7" s="56">
        <f>IFERROR(IF(Checks!$C$44="OK","Met","Not met"),"Not met")</f>
        <v/>
      </c>
      <c r="F7" s="57">
        <f>IF(E7="Met",1,0)</f>
        <v/>
      </c>
      <c r="G7" s="58" t="inlineStr">
        <is>
          <t>Automatic: Checks sheet, master check.</t>
        </is>
      </c>
      <c r="H7" s="59" t="inlineStr">
        <is>
          <t>Yes</t>
        </is>
      </c>
      <c r="I7" s="55" t="n"/>
      <c r="J7" s="55" t="n"/>
      <c r="K7" s="55" t="n"/>
      <c r="L7" s="60">
        <f>"Computed in the model"</f>
        <v/>
      </c>
    </row>
    <row r="8" ht="30" customHeight="1">
      <c r="A8" s="52" t="n">
        <v>2</v>
      </c>
      <c r="B8" s="53" t="inlineStr">
        <is>
          <t>Inputs reviewed and signed off by management</t>
        </is>
      </c>
      <c r="C8" s="54" t="inlineStr">
        <is>
          <t>Manual</t>
        </is>
      </c>
      <c r="D8" s="61" t="inlineStr">
        <is>
          <t>Not started</t>
        </is>
      </c>
      <c r="E8" s="55" t="n"/>
      <c r="F8" s="57">
        <f>IF(AND(EXACT(D8,"Met"),LEN(TRIM(I8))&gt;1,LEN(TRIM(J8))&gt;1),1,0)</f>
        <v/>
      </c>
      <c r="G8" s="58" t="inlineStr">
        <is>
          <t>Signed input sheet or board paper approving the plan inputs.</t>
        </is>
      </c>
      <c r="H8" s="59" t="inlineStr">
        <is>
          <t>Yes</t>
        </is>
      </c>
      <c r="I8" s="61" t="n"/>
      <c r="J8" s="61" t="n"/>
      <c r="K8" s="62" t="n"/>
      <c r="L8" s="60">
        <f>IF(D8&lt;&gt;"Met","",IF(F8=1,"Evidenced","Marked Met without evidence location or sign-off: not counted"))</f>
        <v/>
      </c>
    </row>
    <row r="9" ht="30" customHeight="1">
      <c r="A9" s="52" t="n">
        <v>3</v>
      </c>
      <c r="B9" s="53" t="inlineStr">
        <is>
          <t>Product specifications and MTF tier labels verified</t>
        </is>
      </c>
      <c r="C9" s="54" t="inlineStr">
        <is>
          <t>Manual</t>
        </is>
      </c>
      <c r="D9" s="61" t="inlineStr">
        <is>
          <t>Not started</t>
        </is>
      </c>
      <c r="E9" s="55" t="n"/>
      <c r="F9" s="57">
        <f>IF(AND(EXACT(D9,"Met"),LEN(TRIM(I9))&gt;1,LEN(TRIM(J9))&gt;1),1,0)</f>
        <v/>
      </c>
      <c r="G9" s="58" t="inlineStr">
        <is>
          <t>Datasheets; ESMAP MTF report (Source_Register E3-01, pending).</t>
        </is>
      </c>
      <c r="H9" s="54" t="inlineStr">
        <is>
          <t>No</t>
        </is>
      </c>
      <c r="I9" s="61" t="n"/>
      <c r="J9" s="61" t="n"/>
      <c r="K9" s="62" t="n"/>
      <c r="L9" s="60">
        <f>IF(D9&lt;&gt;"Met","",IF(F9=1,"Evidenced","Marked Met without evidence location or sign-off: not counted"))</f>
        <v/>
      </c>
    </row>
    <row r="10" ht="30" customHeight="1">
      <c r="A10" s="52" t="n">
        <v>4</v>
      </c>
      <c r="B10" s="53" t="inlineStr">
        <is>
          <t>Pricing, deposits and APR disclosures reviewed</t>
        </is>
      </c>
      <c r="C10" s="54" t="inlineStr">
        <is>
          <t>Manual</t>
        </is>
      </c>
      <c r="D10" s="61" t="inlineStr">
        <is>
          <t>Not started</t>
        </is>
      </c>
      <c r="E10" s="55" t="n"/>
      <c r="F10" s="57">
        <f>IF(AND(EXACT(D10,"Met"),LEN(TRIM(I10))&gt;1,LEN(TRIM(J10))&gt;1),1,0)</f>
        <v/>
      </c>
      <c r="G10" s="58" t="inlineStr">
        <is>
          <t>Price list, customer contract and APR disclosure (Consumer_Risk, Products).</t>
        </is>
      </c>
      <c r="H10" s="54" t="inlineStr">
        <is>
          <t>No</t>
        </is>
      </c>
      <c r="I10" s="61" t="n"/>
      <c r="J10" s="61" t="n"/>
      <c r="K10" s="62" t="n"/>
      <c r="L10" s="60">
        <f>IF(D10&lt;&gt;"Met","",IF(F10=1,"Evidenced","Marked Met without evidence location or sign-off: not counted"))</f>
        <v/>
      </c>
    </row>
    <row r="11" ht="30" customHeight="1">
      <c r="A11" s="52" t="n">
        <v>5</v>
      </c>
      <c r="B11" s="53" t="inlineStr">
        <is>
          <t>Sales plan supported by pipeline / channel evidence</t>
        </is>
      </c>
      <c r="C11" s="54" t="inlineStr">
        <is>
          <t>Manual</t>
        </is>
      </c>
      <c r="D11" s="61" t="inlineStr">
        <is>
          <t>Not started</t>
        </is>
      </c>
      <c r="E11" s="55" t="n"/>
      <c r="F11" s="57">
        <f>IF(AND(EXACT(D11,"Met"),LEN(TRIM(I11))&gt;1,LEN(TRIM(J11))&gt;1),1,0)</f>
        <v/>
      </c>
      <c r="G11" s="58" t="inlineStr">
        <is>
          <t>Agent network data, sales history, channel contracts.</t>
        </is>
      </c>
      <c r="H11" s="54" t="inlineStr">
        <is>
          <t>No</t>
        </is>
      </c>
      <c r="I11" s="61" t="n"/>
      <c r="J11" s="61" t="n"/>
      <c r="K11" s="62" t="n"/>
      <c r="L11" s="60">
        <f>IF(D11&lt;&gt;"Met","",IF(F11=1,"Evidenced","Marked Met without evidence location or sign-off: not counted"))</f>
        <v/>
      </c>
    </row>
    <row r="12" ht="30" customHeight="1">
      <c r="A12" s="52" t="n">
        <v>6</v>
      </c>
      <c r="B12" s="53" t="inlineStr">
        <is>
          <t>Cost base benchmarked</t>
        </is>
      </c>
      <c r="C12" s="54" t="inlineStr">
        <is>
          <t>Manual</t>
        </is>
      </c>
      <c r="D12" s="61" t="inlineStr">
        <is>
          <t>Not started</t>
        </is>
      </c>
      <c r="E12" s="55" t="n"/>
      <c r="F12" s="57">
        <f>IF(AND(EXACT(D12,"Met"),LEN(TRIM(I12))&gt;1,LEN(TRIM(J12))&gt;1),1,0)</f>
        <v/>
      </c>
      <c r="G12" s="58" t="inlineStr">
        <is>
          <t>Management accounts and peer cost data with sources.</t>
        </is>
      </c>
      <c r="H12" s="54" t="inlineStr">
        <is>
          <t>No</t>
        </is>
      </c>
      <c r="I12" s="61" t="n"/>
      <c r="J12" s="61" t="n"/>
      <c r="K12" s="62" t="n"/>
      <c r="L12" s="60">
        <f>IF(D12&lt;&gt;"Met","",IF(F12=1,"Evidenced","Marked Met without evidence location or sign-off: not counted"))</f>
        <v/>
      </c>
    </row>
    <row r="13" ht="30" customHeight="1">
      <c r="A13" s="52" t="n">
        <v>7</v>
      </c>
      <c r="B13" s="53" t="inlineStr">
        <is>
          <t>Stress tests run and documented</t>
        </is>
      </c>
      <c r="C13" s="54" t="inlineStr">
        <is>
          <t>Manual</t>
        </is>
      </c>
      <c r="D13" s="61" t="inlineStr">
        <is>
          <t>Not started</t>
        </is>
      </c>
      <c r="E13" s="55" t="n"/>
      <c r="F13" s="57">
        <f>IF(AND(EXACT(D13,"Met"),LEN(TRIM(I13))&gt;1,LEN(TRIM(J13))&gt;1),1,0)</f>
        <v/>
      </c>
      <c r="G13" s="58" t="inlineStr">
        <is>
          <t>Downside and Severe results and the Sensitivity table, reviewed and minuted.</t>
        </is>
      </c>
      <c r="H13" s="59" t="inlineStr">
        <is>
          <t>Yes</t>
        </is>
      </c>
      <c r="I13" s="61" t="n"/>
      <c r="J13" s="61" t="n"/>
      <c r="K13" s="62" t="n"/>
      <c r="L13" s="60">
        <f>IF(D13&lt;&gt;"Met","",IF(F13=1,"Evidenced","Marked Met without evidence location or sign-off: not counted"))</f>
        <v/>
      </c>
    </row>
    <row r="14" ht="30" customHeight="1">
      <c r="A14" s="52" t="n">
        <v>8</v>
      </c>
      <c r="B14" s="53" t="inlineStr">
        <is>
          <t>FX and pass-through assumptions validated</t>
        </is>
      </c>
      <c r="C14" s="54" t="inlineStr">
        <is>
          <t>Manual</t>
        </is>
      </c>
      <c r="D14" s="61" t="inlineStr">
        <is>
          <t>Not started</t>
        </is>
      </c>
      <c r="E14" s="55" t="n"/>
      <c r="F14" s="57">
        <f>IF(AND(EXACT(D14,"Met"),LEN(TRIM(I14))&gt;1,LEN(TRIM(J14))&gt;1),1,0)</f>
        <v/>
      </c>
      <c r="G14" s="58" t="inlineStr">
        <is>
          <t>Pricing history after past depreciation; FX_Exposure reviewed.</t>
        </is>
      </c>
      <c r="H14" s="54" t="inlineStr">
        <is>
          <t>No</t>
        </is>
      </c>
      <c r="I14" s="61" t="n"/>
      <c r="J14" s="61" t="n"/>
      <c r="K14" s="62" t="n"/>
      <c r="L14" s="60">
        <f>IF(D14&lt;&gt;"Met","",IF(F14=1,"Evidenced","Marked Met without evidence location or sign-off: not counted"))</f>
        <v/>
      </c>
    </row>
    <row r="15" ht="30" customHeight="1">
      <c r="A15" s="52" t="n">
        <v>9</v>
      </c>
      <c r="B15" s="53" t="inlineStr">
        <is>
          <t>Funding plan supported by term sheets</t>
        </is>
      </c>
      <c r="C15" s="54" t="inlineStr">
        <is>
          <t>Manual</t>
        </is>
      </c>
      <c r="D15" s="61" t="inlineStr">
        <is>
          <t>Not started</t>
        </is>
      </c>
      <c r="E15" s="55" t="n"/>
      <c r="F15" s="57">
        <f>IF(AND(EXACT(D15,"Met"),LEN(TRIM(I15))&gt;1,LEN(TRIM(J15))&gt;1),1,0)</f>
        <v/>
      </c>
      <c r="G15" s="58" t="inlineStr">
        <is>
          <t>Signed term sheets or commitment letters for equity and debt.</t>
        </is>
      </c>
      <c r="H15" s="59" t="inlineStr">
        <is>
          <t>Yes</t>
        </is>
      </c>
      <c r="I15" s="61" t="n"/>
      <c r="J15" s="61" t="n"/>
      <c r="K15" s="62" t="n"/>
      <c r="L15" s="60">
        <f>IF(D15&lt;&gt;"Met","",IF(F15=1,"Evidenced","Marked Met without evidence location or sign-off: not counted"))</f>
        <v/>
      </c>
    </row>
    <row r="16" ht="30" customHeight="1">
      <c r="A16" s="52" t="n">
        <v>10</v>
      </c>
      <c r="B16" s="53" t="inlineStr">
        <is>
          <t>No covenant breach in the active scenario (monthly covenants and annual DSCR)</t>
        </is>
      </c>
      <c r="C16" s="54" t="inlineStr">
        <is>
          <t>Auto</t>
        </is>
      </c>
      <c r="D16" s="55" t="n"/>
      <c r="E16" s="56">
        <f>IFERROR(IF(AND(KPIs!$C$64=0,KPIs!$C$65=0),"Met","Not met"),"Not met")</f>
        <v/>
      </c>
      <c r="F16" s="57">
        <f>IF(E16="Met",1,0)</f>
        <v/>
      </c>
      <c r="G16" s="58" t="inlineStr">
        <is>
          <t>Automatic: no month in breach on the Covenants sheet and no year with DSCR below the minimum (KPIs).</t>
        </is>
      </c>
      <c r="H16" s="59" t="inlineStr">
        <is>
          <t>Yes</t>
        </is>
      </c>
      <c r="I16" s="55" t="n"/>
      <c r="J16" s="55" t="n"/>
      <c r="K16" s="55" t="n"/>
      <c r="L16" s="60">
        <f>"Computed in the model"</f>
        <v/>
      </c>
    </row>
    <row r="17" ht="30" customHeight="1">
      <c r="A17" s="52" t="n">
        <v>11</v>
      </c>
      <c r="B17" s="53" t="inlineStr">
        <is>
          <t>Downside survivable without unplanned equity</t>
        </is>
      </c>
      <c r="C17" s="54" t="inlineStr">
        <is>
          <t>Manual</t>
        </is>
      </c>
      <c r="D17" s="61" t="inlineStr">
        <is>
          <t>Not started</t>
        </is>
      </c>
      <c r="E17" s="55" t="n"/>
      <c r="F17" s="57">
        <f>IF(AND(EXACT(D17,"Met"),LEN(TRIM(I17))&gt;1,LEN(TRIM(J17))&gt;1),1,0)</f>
        <v/>
      </c>
      <c r="G17" s="58" t="inlineStr">
        <is>
          <t>Downside peak equity compared with committed funding, documented.</t>
        </is>
      </c>
      <c r="H17" s="59" t="inlineStr">
        <is>
          <t>Yes</t>
        </is>
      </c>
      <c r="I17" s="61" t="n"/>
      <c r="J17" s="61" t="n"/>
      <c r="K17" s="62" t="n"/>
      <c r="L17" s="60">
        <f>IF(D17&lt;&gt;"Met","",IF(F17=1,"Evidenced","Marked Met without evidence location or sign-off: not counted"))</f>
        <v/>
      </c>
    </row>
    <row r="18" ht="30" customHeight="1">
      <c r="A18" s="52" t="n">
        <v>12</v>
      </c>
      <c r="B18" s="53" t="inlineStr">
        <is>
          <t>Valuation assumptions reviewed</t>
        </is>
      </c>
      <c r="C18" s="54" t="inlineStr">
        <is>
          <t>Manual</t>
        </is>
      </c>
      <c r="D18" s="61" t="inlineStr">
        <is>
          <t>Not started</t>
        </is>
      </c>
      <c r="E18" s="55" t="n"/>
      <c r="F18" s="57">
        <f>IF(AND(EXACT(D18,"Met"),LEN(TRIM(I18))&gt;1,LEN(TRIM(J18))&gt;1),1,0)</f>
        <v/>
      </c>
      <c r="G18" s="58" t="inlineStr">
        <is>
          <t>Discount rate, terminal growth and exit multiple justified in writing.</t>
        </is>
      </c>
      <c r="H18" s="54" t="inlineStr">
        <is>
          <t>No</t>
        </is>
      </c>
      <c r="I18" s="61" t="n"/>
      <c r="J18" s="61" t="n"/>
      <c r="K18" s="62" t="n"/>
      <c r="L18" s="60">
        <f>IF(D18&lt;&gt;"Met","",IF(F18=1,"Evidenced","Marked Met without evidence location or sign-off: not counted"))</f>
        <v/>
      </c>
    </row>
    <row r="19" ht="30" customHeight="1">
      <c r="A19" s="52" t="n">
        <v>13</v>
      </c>
      <c r="B19" s="53" t="inlineStr">
        <is>
          <t>Positive lifetime contribution in every tier</t>
        </is>
      </c>
      <c r="C19" s="54" t="inlineStr">
        <is>
          <t>Auto</t>
        </is>
      </c>
      <c r="D19" s="55" t="n"/>
      <c r="E19" s="56">
        <f>IFERROR(IF(MIN(Unit_Economics!C20,Unit_Economics!D20,Unit_Economics!E20,Unit_Economics!F20,Unit_Economics!G20)&gt;0,"Met","Not met"),"Not met")</f>
        <v/>
      </c>
      <c r="F19" s="57">
        <f>IF(E19="Met",1,0)</f>
        <v/>
      </c>
      <c r="G19" s="58" t="inlineStr">
        <is>
          <t>Automatic: Unit_Economics.</t>
        </is>
      </c>
      <c r="H19" s="59" t="inlineStr">
        <is>
          <t>Yes</t>
        </is>
      </c>
      <c r="I19" s="55" t="n"/>
      <c r="J19" s="55" t="n"/>
      <c r="K19" s="55" t="n"/>
      <c r="L19" s="60">
        <f>"Computed in the model"</f>
        <v/>
      </c>
    </row>
    <row r="20" ht="30" customHeight="1">
      <c r="A20" s="52" t="n">
        <v>14</v>
      </c>
      <c r="B20" s="53" t="inlineStr">
        <is>
          <t>Market data sourced and graded (Source_Register)</t>
        </is>
      </c>
      <c r="C20" s="54" t="inlineStr">
        <is>
          <t>Manual</t>
        </is>
      </c>
      <c r="D20" s="61" t="inlineStr">
        <is>
          <t>Not started</t>
        </is>
      </c>
      <c r="E20" s="55" t="n"/>
      <c r="F20" s="57">
        <f>IF(AND(EXACT(D20,"Met"),LEN(TRIM(I20))&gt;1,LEN(TRIM(J20))&gt;1),1,0)</f>
        <v/>
      </c>
      <c r="G20" s="58" t="inlineStr">
        <is>
          <t>Every market figure used has a VERIFIED status (Source_Register).</t>
        </is>
      </c>
      <c r="H20" s="54" t="inlineStr">
        <is>
          <t>No</t>
        </is>
      </c>
      <c r="I20" s="61" t="n"/>
      <c r="J20" s="61" t="n"/>
      <c r="K20" s="62" t="n"/>
      <c r="L20" s="60">
        <f>IF(D20&lt;&gt;"Met","",IF(F20=1,"Evidenced","Marked Met without evidence location or sign-off: not counted"))</f>
        <v/>
      </c>
    </row>
    <row r="21" ht="30" customHeight="1">
      <c r="A21" s="52" t="n">
        <v>15</v>
      </c>
      <c r="B21" s="53" t="inlineStr">
        <is>
          <t>Tax and accounting treatment reviewed</t>
        </is>
      </c>
      <c r="C21" s="54" t="inlineStr">
        <is>
          <t>Manual</t>
        </is>
      </c>
      <c r="D21" s="61" t="inlineStr">
        <is>
          <t>Not started</t>
        </is>
      </c>
      <c r="E21" s="55" t="n"/>
      <c r="F21" s="57">
        <f>IF(AND(EXACT(D21,"Met"),LEN(TRIM(I21))&gt;1,LEN(TRIM(J21))&gt;1),1,0)</f>
        <v/>
      </c>
      <c r="G21" s="58" t="inlineStr">
        <is>
          <t>Written review by an accountant of revenue recognition, ECL and tax (the model treatment is not an IFRS determination).</t>
        </is>
      </c>
      <c r="H21" s="59" t="inlineStr">
        <is>
          <t>Yes</t>
        </is>
      </c>
      <c r="I21" s="61" t="n"/>
      <c r="J21" s="61" t="n"/>
      <c r="K21" s="62" t="n"/>
      <c r="L21" s="60">
        <f>IF(D21&lt;&gt;"Met","",IF(F21=1,"Evidenced","Marked Met without evidence location or sign-off: not counted"))</f>
        <v/>
      </c>
    </row>
    <row r="22" ht="30" customHeight="1">
      <c r="A22" s="52" t="n">
        <v>16</v>
      </c>
      <c r="B22" s="53" t="inlineStr">
        <is>
          <t>Legal and regulatory review (consumer credit, data, mobile money)</t>
        </is>
      </c>
      <c r="C22" s="54" t="inlineStr">
        <is>
          <t>Manual</t>
        </is>
      </c>
      <c r="D22" s="61" t="inlineStr">
        <is>
          <t>Not started</t>
        </is>
      </c>
      <c r="E22" s="55" t="n"/>
      <c r="F22" s="57">
        <f>IF(AND(EXACT(D22,"Met"),LEN(TRIM(I22))&gt;1,LEN(TRIM(J22))&gt;1),1,0)</f>
        <v/>
      </c>
      <c r="G22" s="58" t="inlineStr">
        <is>
          <t>Legal opinion or regulatory checklist signed by counsel.</t>
        </is>
      </c>
      <c r="H22" s="59" t="inlineStr">
        <is>
          <t>Yes</t>
        </is>
      </c>
      <c r="I22" s="61" t="n"/>
      <c r="J22" s="61" t="n"/>
      <c r="K22" s="62" t="n"/>
      <c r="L22" s="60">
        <f>IF(D22&lt;&gt;"Met","",IF(F22=1,"Evidenced","Marked Met without evidence location or sign-off: not counted"))</f>
        <v/>
      </c>
    </row>
    <row r="23" ht="30" customHeight="1">
      <c r="A23" s="52" t="n">
        <v>17</v>
      </c>
      <c r="B23" s="53" t="inlineStr">
        <is>
          <t>Workbook tested in Microsoft Excel</t>
        </is>
      </c>
      <c r="C23" s="54" t="inlineStr">
        <is>
          <t>Manual</t>
        </is>
      </c>
      <c r="D23" s="61" t="inlineStr">
        <is>
          <t>Not started</t>
        </is>
      </c>
      <c r="E23" s="55" t="n"/>
      <c r="F23" s="57">
        <f>IF(AND(EXACT(D23,"Met"),LEN(TRIM(I23))&gt;1,LEN(TRIM(J23))&gt;1),1,0)</f>
        <v/>
      </c>
      <c r="G23" s="58" t="inlineStr">
        <is>
          <t>Test log: opens, recalculates, master check OK, no circular references.</t>
        </is>
      </c>
      <c r="H23" s="59" t="inlineStr">
        <is>
          <t>Yes</t>
        </is>
      </c>
      <c r="I23" s="61" t="n"/>
      <c r="J23" s="61" t="n"/>
      <c r="K23" s="62" t="n"/>
      <c r="L23" s="60">
        <f>IF(D23&lt;&gt;"Met","",IF(F23=1,"Evidenced","Marked Met without evidence location or sign-off: not counted"))</f>
        <v/>
      </c>
    </row>
    <row r="24" ht="30" customHeight="1">
      <c r="A24" s="52" t="n">
        <v>18</v>
      </c>
      <c r="B24" s="53" t="inlineStr">
        <is>
          <t>Credit engine running on actual company data</t>
        </is>
      </c>
      <c r="C24" s="54" t="inlineStr">
        <is>
          <t>Auto</t>
        </is>
      </c>
      <c r="D24" s="55" t="n"/>
      <c r="E24" s="56">
        <f>IFERROR(IF(AND(Credit_Assumptions!$C$5=2,Checks!$C$50=0,MAX(COUNT(Credit_Input!$D$8:$D$67),COUNT(Credit_Input!$D$72:$D$131),COUNT(Credit_Input!$D$136:$D$195),COUNT(Credit_Input!$D$200:$D$259),COUNT(Credit_Input!$D$264:$D$323))&gt;=12),"Met","Not met"),"Not met")</f>
        <v/>
      </c>
      <c r="F24" s="57">
        <f>IF(E24="Met",1,0)</f>
        <v/>
      </c>
      <c r="G24" s="58" t="inlineStr">
        <is>
          <t>Automatic: Actual mode with at least 12 months of Credit_Input history in one tier.</t>
        </is>
      </c>
      <c r="H24" s="59" t="inlineStr">
        <is>
          <t>Yes</t>
        </is>
      </c>
      <c r="I24" s="55" t="n"/>
      <c r="J24" s="55" t="n"/>
      <c r="K24" s="55" t="n"/>
      <c r="L24" s="60">
        <f>"Computed in the model"</f>
        <v/>
      </c>
    </row>
    <row r="25" ht="30" customHeight="1">
      <c r="A25" s="52" t="n">
        <v>19</v>
      </c>
      <c r="B25" s="53" t="inlineStr">
        <is>
          <t>IFRS 9 / ECL validated by auditor or independent reviewer</t>
        </is>
      </c>
      <c r="C25" s="54" t="inlineStr">
        <is>
          <t>Manual</t>
        </is>
      </c>
      <c r="D25" s="61" t="inlineStr">
        <is>
          <t>Not started</t>
        </is>
      </c>
      <c r="E25" s="55" t="n"/>
      <c r="F25" s="57">
        <f>IF(AND(EXACT(D25,"Met"),LEN(TRIM(I25))&gt;1,LEN(TRIM(J25))&gt;1),1,0)</f>
        <v/>
      </c>
      <c r="G25" s="58" t="inlineStr">
        <is>
          <t>Auditor's or reviewer's report; indicative ECL and PD proxies are not IFRS 9 measures.</t>
        </is>
      </c>
      <c r="H25" s="54" t="inlineStr">
        <is>
          <t>No</t>
        </is>
      </c>
      <c r="I25" s="61" t="n"/>
      <c r="J25" s="61" t="n"/>
      <c r="K25" s="62" t="n"/>
      <c r="L25" s="60">
        <f>IF(D25&lt;&gt;"Met","",IF(F25=1,"Evidenced","Marked Met without evidence location or sign-off: not counted"))</f>
        <v/>
      </c>
    </row>
    <row r="26" ht="30" customHeight="1">
      <c r="A26" s="52" t="n">
        <v>20</v>
      </c>
      <c r="B26" s="53" t="inlineStr">
        <is>
          <t>Consumer protection evidenced</t>
        </is>
      </c>
      <c r="C26" s="54" t="inlineStr">
        <is>
          <t>Auto</t>
        </is>
      </c>
      <c r="D26" s="55" t="n"/>
      <c r="E26" s="56">
        <f>IFERROR(IF(AND(Consumer_Risk!$C$5=1,Checks!$C$49=0,AND(Consumer_Risk!$C$14="Validated",Consumer_Risk!$C$15="Validated",Consumer_Risk!$D$14="Validated",Consumer_Risk!$D$15="Validated",Consumer_Risk!$E$14="Validated",Consumer_Risk!$E$15="Validated",Consumer_Risk!$F$14="Validated",Consumer_Risk!$F$15="Validated",Consumer_Risk!$G$14="Validated",Consumer_Risk!$G$15="Validated"),Checks!$C$53=0),"Met","Not met"),"Not met")</f>
        <v/>
      </c>
      <c r="F26" s="57">
        <f>IF(E26="Met",1,0)</f>
        <v/>
      </c>
      <c r="G26" s="58" t="inlineStr">
        <is>
          <t>Automatic: affordability reviewed, no flags, PERFORM and consumer-protection evidence validated, PERFORM_2026 results loaded.</t>
        </is>
      </c>
      <c r="H26" s="59" t="inlineStr">
        <is>
          <t>Yes</t>
        </is>
      </c>
      <c r="I26" s="55" t="n"/>
      <c r="J26" s="55" t="n"/>
      <c r="K26" s="55" t="n"/>
      <c r="L26" s="60">
        <f>"Computed in the model"</f>
        <v/>
      </c>
    </row>
    <row r="27" ht="30" customHeight="1">
      <c r="A27" s="52" t="n">
        <v>21</v>
      </c>
      <c r="B27" s="53" t="inlineStr">
        <is>
          <t>Outcome-linked RBF supported by data</t>
        </is>
      </c>
      <c r="C27" s="54" t="inlineStr">
        <is>
          <t>Auto</t>
        </is>
      </c>
      <c r="D27" s="55" t="n"/>
      <c r="E27" s="56">
        <f>IFERROR(IF(Vintage_Dashboard!$Q$6=1,"Met","Not met"),"Not met")</f>
        <v/>
      </c>
      <c r="F27" s="57">
        <f>IF(E27="Met",1,0)</f>
        <v/>
      </c>
      <c r="G27" s="58" t="inlineStr">
        <is>
          <t>Automatic: validated ownership-at-2x data.</t>
        </is>
      </c>
      <c r="H27" s="54" t="inlineStr">
        <is>
          <t>No</t>
        </is>
      </c>
      <c r="I27" s="55" t="n"/>
      <c r="J27" s="55" t="n"/>
      <c r="K27" s="55" t="n"/>
      <c r="L27" s="60">
        <f>"Computed in the model"</f>
        <v/>
      </c>
    </row>
    <row r="28" ht="30" customHeight="1">
      <c r="A28" s="52" t="n">
        <v>22</v>
      </c>
      <c r="B28" s="53" t="inlineStr">
        <is>
          <t>Data reconciliation (actual DPD buckets = gross receivables)</t>
        </is>
      </c>
      <c r="C28" s="54" t="inlineStr">
        <is>
          <t>Auto</t>
        </is>
      </c>
      <c r="D28" s="55" t="n"/>
      <c r="E28" s="56">
        <f>IFERROR(IF(AND(Credit_Assumptions!$C$5=2,Checks!$C$50=0,Checks!$C$19=0),"Met","Not met"),"Not met")</f>
        <v/>
      </c>
      <c r="F28" s="57">
        <f>IF(E28="Met",1,0)</f>
        <v/>
      </c>
      <c r="G28" s="58" t="inlineStr">
        <is>
          <t>Automatic: Actual mode, data supplied, buckets reconcile.</t>
        </is>
      </c>
      <c r="H28" s="59" t="inlineStr">
        <is>
          <t>Yes</t>
        </is>
      </c>
      <c r="I28" s="55" t="n"/>
      <c r="J28" s="55" t="n"/>
      <c r="K28" s="55" t="n"/>
      <c r="L28" s="60">
        <f>"Computed in the model"</f>
        <v/>
      </c>
    </row>
    <row r="29" ht="30" customHeight="1">
      <c r="A29" s="52" t="n">
        <v>23</v>
      </c>
      <c r="B29" s="53" t="inlineStr">
        <is>
          <t>Lender underwriting pack assembled</t>
        </is>
      </c>
      <c r="C29" s="54" t="inlineStr">
        <is>
          <t>Manual</t>
        </is>
      </c>
      <c r="D29" s="61" t="inlineStr">
        <is>
          <t>Not started</t>
        </is>
      </c>
      <c r="E29" s="55" t="n"/>
      <c r="F29" s="57">
        <f>IF(AND(EXACT(D29,"Met"),LEN(TRIM(I29))&gt;1,LEN(TRIM(J29))&gt;1),1,0)</f>
        <v/>
      </c>
      <c r="G29" s="58" t="inlineStr">
        <is>
          <t>Cohort tables, PAYGo PERFORM 2026 KPIs (PERFORM_2026), covenant history, borrowing-base reports.</t>
        </is>
      </c>
      <c r="H29" s="54" t="inlineStr">
        <is>
          <t>No</t>
        </is>
      </c>
      <c r="I29" s="61" t="n"/>
      <c r="J29" s="61" t="n"/>
      <c r="K29" s="62" t="n"/>
      <c r="L29" s="60">
        <f>IF(D29&lt;&gt;"Met","",IF(F29=1,"Evidenced","Marked Met without evidence location or sign-off: not counted"))</f>
        <v/>
      </c>
    </row>
    <row r="30"/>
    <row r="31">
      <c r="A31" s="21" t="inlineStr">
        <is>
          <t>DECISION RULE (evidence only; no judgement enters these cells)</t>
        </is>
      </c>
      <c r="B31" s="22" t="n"/>
      <c r="C31" s="22" t="n"/>
      <c r="D31" s="22" t="n"/>
      <c r="E31" s="22" t="n"/>
      <c r="F31" s="22" t="n"/>
      <c r="G31" s="22" t="n"/>
      <c r="H31" s="22" t="n"/>
      <c r="I31" s="22" t="n"/>
      <c r="J31" s="22" t="n"/>
      <c r="K31" s="22" t="n"/>
      <c r="L31" s="22" t="n"/>
      <c r="M31" s="22" t="n"/>
      <c r="N31" s="22" t="n"/>
      <c r="O31" s="22" t="n"/>
      <c r="P31" s="22" t="n"/>
      <c r="Q31" s="22" t="n"/>
      <c r="R31" s="22" t="n"/>
      <c r="S31" s="22" t="n"/>
      <c r="T31" s="22" t="n"/>
      <c r="U31" s="22" t="n"/>
      <c r="V31" s="22" t="n"/>
      <c r="W31" s="22" t="n"/>
      <c r="X31" s="22" t="n"/>
      <c r="Y31" s="22" t="n"/>
      <c r="Z31" s="22" t="n"/>
      <c r="AA31" s="22" t="n"/>
      <c r="AB31" s="22" t="n"/>
      <c r="AC31" s="22" t="n"/>
      <c r="AD31" s="22" t="n"/>
      <c r="AE31" s="22" t="n"/>
      <c r="AF31" s="22" t="n"/>
      <c r="AG31" s="22" t="n"/>
      <c r="AH31" s="22" t="n"/>
      <c r="AI31" s="22" t="n"/>
      <c r="AJ31" s="22" t="n"/>
      <c r="AK31" s="22" t="n"/>
      <c r="AL31" s="22" t="n"/>
      <c r="AM31" s="22" t="n"/>
      <c r="AN31" s="22" t="n"/>
      <c r="AO31" s="22" t="n"/>
      <c r="AP31" s="22" t="n"/>
      <c r="AQ31" s="22" t="n"/>
      <c r="AR31" s="22" t="n"/>
      <c r="AS31" s="22" t="n"/>
      <c r="AT31" s="22" t="n"/>
      <c r="AU31" s="22" t="n"/>
      <c r="AV31" s="22" t="n"/>
      <c r="AW31" s="22" t="n"/>
      <c r="AX31" s="22" t="n"/>
      <c r="AY31" s="22" t="n"/>
      <c r="AZ31" s="22" t="n"/>
      <c r="BA31" s="22" t="n"/>
      <c r="BB31" s="22" t="n"/>
      <c r="BC31" s="22" t="n"/>
      <c r="BD31" s="22" t="n"/>
      <c r="BE31" s="22" t="n"/>
      <c r="BF31" s="22" t="n"/>
      <c r="BG31" s="22" t="n"/>
      <c r="BH31" s="22" t="n"/>
      <c r="BI31" s="22" t="n"/>
      <c r="BJ31" s="22" t="n"/>
      <c r="BK31" s="22" t="n"/>
      <c r="BL31" s="22" t="n"/>
    </row>
    <row r="32">
      <c r="B32" s="34" t="inlineStr">
        <is>
          <t>Critical gates met</t>
        </is>
      </c>
      <c r="C32" s="27">
        <f>SUMPRODUCT((H7:H29="Yes")*(F7:F29=1))</f>
        <v/>
      </c>
    </row>
    <row r="33">
      <c r="B33" s="34" t="inlineStr">
        <is>
          <t>Critical gates</t>
        </is>
      </c>
      <c r="C33" s="27">
        <f>13</f>
        <v/>
      </c>
    </row>
    <row r="34">
      <c r="B34" s="34" t="inlineStr">
        <is>
          <t>Failed tests (automatic gates that measure the business or the model)</t>
        </is>
      </c>
      <c r="C34" s="27">
        <f>IF(F7=0,1,0)+IF(F16=0,1,0)+IF(F19=0,1,0)</f>
        <v/>
      </c>
    </row>
    <row r="35">
      <c r="B35" s="19" t="inlineStr">
        <is>
          <t>Decision</t>
        </is>
      </c>
      <c r="C35" s="63">
        <f>IF(C34&gt;0,"STOP",IF(C4=23,"GO",IF(C32=C33,"CONDITIONAL GO","STOP")))</f>
        <v/>
      </c>
    </row>
    <row r="36">
      <c r="B36" s="19" t="inlineStr">
        <is>
          <t>Reason</t>
        </is>
      </c>
      <c r="C36" s="64">
        <f>IF(C34&gt;0,"Failed test: "&amp;LEFT(IF(F7=0,"Model integrity (master check OK); ","")&amp;IF(F16=0,"No covenant breach in the active scenario (monthly covenants and annual DSCR); ","")&amp;IF(F19=0,"Positive lifetime contribution in every tier; ",""),LEN(IF(F7=0,"Model integrity (master check OK); ","")&amp;IF(F16=0,"No covenant breach in the active scenario (monthly covenants and annual DSCR); ","")&amp;IF(F19=0,"Positive lifetime contribution in every tier; ",""))-2),IF(C4=23,"All 23 gates met with evidence",IF(C32=C33,"All critical gates met; open gates to set as conditions: "&amp;(23-C4),"Evidence incomplete: "&amp;(C33-C32)&amp;" of "&amp;C33&amp;" critical gates not met")))</f>
        <v/>
      </c>
    </row>
    <row r="37"/>
    <row r="38">
      <c r="B38" s="18" t="inlineStr">
        <is>
          <t>STOP when any failed test exists (master check, a monthly covenant breach or a year with DSCR below the minimum in the active scenario, negative lifetime contribution in a tier).</t>
        </is>
      </c>
    </row>
    <row r="39">
      <c r="B39" s="18" t="inlineStr">
        <is>
          <t>GO only when all gates are met with evidence. CONDITIONAL GO when every critical gate is met; the open gates become conditions.</t>
        </is>
      </c>
    </row>
    <row r="40">
      <c r="B40" s="18" t="inlineStr">
        <is>
          <t>Otherwise STOP: evidence incomplete. A STOP on incomplete evidence says the file is not ready for a decision, not that the business fails.</t>
        </is>
      </c>
    </row>
    <row r="41">
      <c r="B41" s="18" t="inlineStr">
        <is>
          <t>GO is a statement about the completeness of the evidence for an investment committee. It is never an investment recommendation.</t>
        </is>
      </c>
    </row>
  </sheetData>
  <dataValidations count="1">
    <dataValidation sqref="D8 D9 D10 D11 D12 D13 D14 D15 D17 D18 D20 D21 D22 D23 D25 D29" showDropDown="0" showInputMessage="0" showErrorMessage="1" allowBlank="0" type="list" errorStyle="stop">
      <formula1>"Not started,In progress,Met"</formula1>
    </dataValidation>
  </dataValidations>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6.xml><?xml version="1.0" encoding="utf-8"?>
<worksheet xmlns="http://schemas.openxmlformats.org/spreadsheetml/2006/main">
  <sheetPr>
    <tabColor rgb="000000FF"/>
    <outlinePr summaryBelow="1" summaryRight="1"/>
    <pageSetUpPr fitToPage="1"/>
  </sheetPr>
  <dimension ref="A1:BL88"/>
  <sheetViews>
    <sheetView showGridLines="0" workbookViewId="0">
      <selection activeCell="A1" sqref="A1"/>
    </sheetView>
  </sheetViews>
  <sheetFormatPr baseColWidth="8" defaultRowHeight="15"/>
  <cols>
    <col width="58" customWidth="1" min="1" max="1"/>
    <col width="12" customWidth="1" min="2" max="2"/>
    <col width="18" customWidth="1" min="3" max="3"/>
    <col width="70" customWidth="1" min="4" max="4"/>
    <col width="24" customWidth="1" min="5" max="5"/>
  </cols>
  <sheetData>
    <row r="1">
      <c r="A1" s="17" t="inlineStr">
        <is>
          <t>Inputs</t>
        </is>
      </c>
    </row>
    <row r="2">
      <c r="A2" s="18" t="inlineStr">
        <is>
          <t>[ASSUMPTION]  Blue = input. Yellow = key assumption to review first. All defaults illustrative.</t>
        </is>
      </c>
    </row>
    <row r="3">
      <c r="A3" s="40" t="inlineStr">
        <is>
          <t>Input</t>
        </is>
      </c>
      <c r="B3" s="40" t="inlineStr">
        <is>
          <t>Unit</t>
        </is>
      </c>
      <c r="C3" s="40" t="inlineStr">
        <is>
          <t>Value</t>
        </is>
      </c>
      <c r="D3" s="40" t="inlineStr">
        <is>
          <t>Note</t>
        </is>
      </c>
      <c r="E3" s="40" t="inlineStr">
        <is>
          <t>Provenance</t>
        </is>
      </c>
    </row>
    <row r="4">
      <c r="A4" s="21" t="inlineStr">
        <is>
          <t>Scenario &amp; settings</t>
        </is>
      </c>
      <c r="B4" s="22" t="n"/>
      <c r="C4" s="22" t="n"/>
      <c r="D4" s="22" t="n"/>
      <c r="E4" s="22" t="n"/>
      <c r="F4" s="22" t="n"/>
      <c r="G4" s="22" t="n"/>
      <c r="H4" s="22" t="n"/>
      <c r="I4" s="22" t="n"/>
      <c r="J4" s="22" t="n"/>
      <c r="K4" s="22" t="n"/>
      <c r="L4" s="22" t="n"/>
      <c r="M4" s="22" t="n"/>
      <c r="N4" s="22" t="n"/>
      <c r="O4" s="22" t="n"/>
      <c r="P4" s="22" t="n"/>
      <c r="Q4" s="22" t="n"/>
      <c r="R4" s="22" t="n"/>
      <c r="S4" s="22" t="n"/>
      <c r="T4" s="22" t="n"/>
      <c r="U4" s="22" t="n"/>
      <c r="V4" s="22" t="n"/>
      <c r="W4" s="22" t="n"/>
      <c r="X4" s="22" t="n"/>
      <c r="Y4" s="22" t="n"/>
      <c r="Z4" s="22" t="n"/>
      <c r="AA4" s="22" t="n"/>
      <c r="AB4" s="22" t="n"/>
      <c r="AC4" s="22" t="n"/>
      <c r="AD4" s="22" t="n"/>
      <c r="AE4" s="22" t="n"/>
      <c r="AF4" s="22" t="n"/>
      <c r="AG4" s="22" t="n"/>
      <c r="AH4" s="22" t="n"/>
      <c r="AI4" s="22" t="n"/>
      <c r="AJ4" s="22" t="n"/>
      <c r="AK4" s="22" t="n"/>
      <c r="AL4" s="22" t="n"/>
      <c r="AM4" s="22" t="n"/>
      <c r="AN4" s="22" t="n"/>
      <c r="AO4" s="22" t="n"/>
      <c r="AP4" s="22" t="n"/>
      <c r="AQ4" s="22" t="n"/>
      <c r="AR4" s="22" t="n"/>
      <c r="AS4" s="22" t="n"/>
      <c r="AT4" s="22" t="n"/>
      <c r="AU4" s="22" t="n"/>
      <c r="AV4" s="22" t="n"/>
      <c r="AW4" s="22" t="n"/>
      <c r="AX4" s="22" t="n"/>
      <c r="AY4" s="22" t="n"/>
      <c r="AZ4" s="22" t="n"/>
      <c r="BA4" s="22" t="n"/>
      <c r="BB4" s="22" t="n"/>
      <c r="BC4" s="22" t="n"/>
      <c r="BD4" s="22" t="n"/>
      <c r="BE4" s="22" t="n"/>
      <c r="BF4" s="22" t="n"/>
      <c r="BG4" s="22" t="n"/>
      <c r="BH4" s="22" t="n"/>
      <c r="BI4" s="22" t="n"/>
      <c r="BJ4" s="22" t="n"/>
      <c r="BK4" s="22" t="n"/>
      <c r="BL4" s="22" t="n"/>
    </row>
    <row r="5">
      <c r="A5" s="34" t="inlineStr">
        <is>
          <t>Active scenario (1 = Base, 2 = Downside, 3 = Severe)</t>
        </is>
      </c>
      <c r="B5" s="65" t="inlineStr">
        <is>
          <t>#</t>
        </is>
      </c>
      <c r="C5" s="66" t="n">
        <v>1</v>
      </c>
      <c r="D5" s="18" t="inlineStr">
        <is>
          <t>Drives the levers on the Scenarios sheet.</t>
        </is>
      </c>
      <c r="E5" s="67" t="inlineStr">
        <is>
          <t>MODEL ASSUMPTION</t>
        </is>
      </c>
    </row>
    <row r="6">
      <c r="A6" s="34" t="inlineStr">
        <is>
          <t>First model month (period end)</t>
        </is>
      </c>
      <c r="B6" s="65" t="inlineStr">
        <is>
          <t>date</t>
        </is>
      </c>
      <c r="C6" s="68">
        <f>DATE(2027,1,31)</f>
        <v/>
      </c>
      <c r="D6" s="18" t="inlineStr">
        <is>
          <t>Period-end date of month 1.</t>
        </is>
      </c>
      <c r="E6" s="67" t="inlineStr">
        <is>
          <t>MODEL ASSUMPTION</t>
        </is>
      </c>
    </row>
    <row r="7">
      <c r="A7" s="34" t="inlineStr">
        <is>
          <t>Local currency label</t>
        </is>
      </c>
      <c r="B7" s="65" t="inlineStr">
        <is>
          <t>text</t>
        </is>
      </c>
      <c r="C7" s="69" t="inlineStr">
        <is>
          <t>LCY</t>
        </is>
      </c>
      <c r="D7" s="18" t="inlineStr">
        <is>
          <t>Display only.</t>
        </is>
      </c>
      <c r="E7" s="67" t="inlineStr">
        <is>
          <t>MODEL ASSUMPTION</t>
        </is>
      </c>
    </row>
    <row r="8"/>
    <row r="9">
      <c r="A9" s="21" t="inlineStr">
        <is>
          <t>Macro</t>
        </is>
      </c>
      <c r="B9" s="22" t="n"/>
      <c r="C9" s="22" t="n"/>
      <c r="D9" s="22" t="n"/>
      <c r="E9" s="22" t="n"/>
      <c r="F9" s="22" t="n"/>
      <c r="G9" s="22" t="n"/>
      <c r="H9" s="22" t="n"/>
      <c r="I9" s="22" t="n"/>
      <c r="J9" s="22" t="n"/>
      <c r="K9" s="22" t="n"/>
      <c r="L9" s="22" t="n"/>
      <c r="M9" s="22" t="n"/>
      <c r="N9" s="22" t="n"/>
      <c r="O9" s="22" t="n"/>
      <c r="P9" s="22" t="n"/>
      <c r="Q9" s="22" t="n"/>
      <c r="R9" s="22" t="n"/>
      <c r="S9" s="22" t="n"/>
      <c r="T9" s="22" t="n"/>
      <c r="U9" s="22" t="n"/>
      <c r="V9" s="22" t="n"/>
      <c r="W9" s="22" t="n"/>
      <c r="X9" s="22" t="n"/>
      <c r="Y9" s="22" t="n"/>
      <c r="Z9" s="22" t="n"/>
      <c r="AA9" s="22" t="n"/>
      <c r="AB9" s="22" t="n"/>
      <c r="AC9" s="22" t="n"/>
      <c r="AD9" s="22" t="n"/>
      <c r="AE9" s="22" t="n"/>
      <c r="AF9" s="22" t="n"/>
      <c r="AG9" s="22" t="n"/>
      <c r="AH9" s="22" t="n"/>
      <c r="AI9" s="22" t="n"/>
      <c r="AJ9" s="22" t="n"/>
      <c r="AK9" s="22" t="n"/>
      <c r="AL9" s="22" t="n"/>
      <c r="AM9" s="22" t="n"/>
      <c r="AN9" s="22" t="n"/>
      <c r="AO9" s="22" t="n"/>
      <c r="AP9" s="22" t="n"/>
      <c r="AQ9" s="22" t="n"/>
      <c r="AR9" s="22" t="n"/>
      <c r="AS9" s="22" t="n"/>
      <c r="AT9" s="22" t="n"/>
      <c r="AU9" s="22" t="n"/>
      <c r="AV9" s="22" t="n"/>
      <c r="AW9" s="22" t="n"/>
      <c r="AX9" s="22" t="n"/>
      <c r="AY9" s="22" t="n"/>
      <c r="AZ9" s="22" t="n"/>
      <c r="BA9" s="22" t="n"/>
      <c r="BB9" s="22" t="n"/>
      <c r="BC9" s="22" t="n"/>
      <c r="BD9" s="22" t="n"/>
      <c r="BE9" s="22" t="n"/>
      <c r="BF9" s="22" t="n"/>
      <c r="BG9" s="22" t="n"/>
      <c r="BH9" s="22" t="n"/>
      <c r="BI9" s="22" t="n"/>
      <c r="BJ9" s="22" t="n"/>
      <c r="BK9" s="22" t="n"/>
      <c r="BL9" s="22" t="n"/>
    </row>
    <row r="10">
      <c r="A10" s="34" t="inlineStr">
        <is>
          <t>Opening FX rate</t>
        </is>
      </c>
      <c r="B10" s="65" t="inlineStr">
        <is>
          <t>LCY per USD</t>
        </is>
      </c>
      <c r="C10" s="70" t="n">
        <v>130</v>
      </c>
      <c r="D10" s="18" t="inlineStr">
        <is>
          <t>Illustrative placeholder: replace with company data.</t>
        </is>
      </c>
      <c r="E10" s="67" t="inlineStr">
        <is>
          <t>MODEL ASSUMPTION</t>
        </is>
      </c>
    </row>
    <row r="11">
      <c r="A11" s="34" t="inlineStr">
        <is>
          <t>Local inflation (opex indexation)</t>
        </is>
      </c>
      <c r="B11" s="65" t="inlineStr">
        <is>
          <t>% p.a.</t>
        </is>
      </c>
      <c r="C11" s="71" t="n">
        <v>0.06</v>
      </c>
      <c r="D11" s="18" t="inlineStr">
        <is>
          <t>Illustrative placeholder: replace with company data.</t>
        </is>
      </c>
      <c r="E11" s="67" t="inlineStr">
        <is>
          <t>MODEL ASSUMPTION</t>
        </is>
      </c>
    </row>
    <row r="12">
      <c r="A12" s="34" t="inlineStr">
        <is>
          <t>Corporate income tax rate</t>
        </is>
      </c>
      <c r="B12" s="65" t="inlineStr">
        <is>
          <t>%</t>
        </is>
      </c>
      <c r="C12" s="71" t="n">
        <v>0.3</v>
      </c>
      <c r="D12" s="18" t="inlineStr">
        <is>
          <t>Simplified: unlimited loss carry-forward, tax paid in the month it arises.</t>
        </is>
      </c>
      <c r="E12" s="67" t="inlineStr">
        <is>
          <t>MODEL ASSUMPTION</t>
        </is>
      </c>
    </row>
    <row r="13">
      <c r="A13" s="34" t="inlineStr">
        <is>
          <t>Annual price increase on NEW PAYGo contracts</t>
        </is>
      </c>
      <c r="B13" s="65" t="inlineStr">
        <is>
          <t>% p.a.</t>
        </is>
      </c>
      <c r="C13" s="72" t="n">
        <v>0.05</v>
      </c>
      <c r="D13" s="18" t="inlineStr">
        <is>
          <t>Existing contracts keep their price plan.</t>
        </is>
      </c>
      <c r="E13" s="67" t="inlineStr">
        <is>
          <t>MODEL ASSUMPTION</t>
        </is>
      </c>
    </row>
    <row r="14">
      <c r="A14" s="34" t="inlineStr">
        <is>
          <t>Pass-through of LCY depreciation into new-contract prices</t>
        </is>
      </c>
      <c r="B14" s="65" t="inlineStr">
        <is>
          <t>%</t>
        </is>
      </c>
      <c r="C14" s="72" t="n">
        <v>0.5</v>
      </c>
      <c r="D14" s="18" t="inlineStr">
        <is>
          <t>Share of cumulative FX depreciation passed into prices of NEW contracts (0% = none, 100% = USD-indexed).</t>
        </is>
      </c>
      <c r="E14" s="67" t="inlineStr">
        <is>
          <t>MODEL ASSUMPTION</t>
        </is>
      </c>
    </row>
    <row r="15"/>
    <row r="16">
      <c r="A16" s="21" t="inlineStr">
        <is>
          <t>Sales volume: all tiers (Base, before scenario multiplier; split by Products mix)</t>
        </is>
      </c>
      <c r="B16" s="22" t="n"/>
      <c r="C16" s="22" t="n"/>
      <c r="D16" s="22" t="n"/>
      <c r="E16" s="22" t="n"/>
      <c r="F16" s="22"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c r="AA16" s="22" t="n"/>
      <c r="AB16" s="22" t="n"/>
      <c r="AC16" s="22" t="n"/>
      <c r="AD16" s="22" t="n"/>
      <c r="AE16" s="22" t="n"/>
      <c r="AF16" s="22" t="n"/>
      <c r="AG16" s="22" t="n"/>
      <c r="AH16" s="22" t="n"/>
      <c r="AI16" s="22" t="n"/>
      <c r="AJ16" s="22" t="n"/>
      <c r="AK16" s="22" t="n"/>
      <c r="AL16" s="22" t="n"/>
      <c r="AM16" s="22" t="n"/>
      <c r="AN16" s="22" t="n"/>
      <c r="AO16" s="22" t="n"/>
      <c r="AP16" s="22" t="n"/>
      <c r="AQ16" s="22" t="n"/>
      <c r="AR16" s="22" t="n"/>
      <c r="AS16" s="22" t="n"/>
      <c r="AT16" s="22" t="n"/>
      <c r="AU16" s="22" t="n"/>
      <c r="AV16" s="22" t="n"/>
      <c r="AW16" s="22" t="n"/>
      <c r="AX16" s="22" t="n"/>
      <c r="AY16" s="22" t="n"/>
      <c r="AZ16" s="22" t="n"/>
      <c r="BA16" s="22" t="n"/>
      <c r="BB16" s="22" t="n"/>
      <c r="BC16" s="22" t="n"/>
      <c r="BD16" s="22" t="n"/>
      <c r="BE16" s="22" t="n"/>
      <c r="BF16" s="22" t="n"/>
      <c r="BG16" s="22" t="n"/>
      <c r="BH16" s="22" t="n"/>
      <c r="BI16" s="22" t="n"/>
      <c r="BJ16" s="22" t="n"/>
      <c r="BK16" s="22" t="n"/>
      <c r="BL16" s="22" t="n"/>
    </row>
    <row r="17">
      <c r="A17" s="34" t="inlineStr">
        <is>
          <t>Units sold: Year 1</t>
        </is>
      </c>
      <c r="B17" s="65" t="inlineStr">
        <is>
          <t>units</t>
        </is>
      </c>
      <c r="C17" s="73" t="n">
        <v>12000</v>
      </c>
      <c r="D17" s="18" t="inlineStr">
        <is>
          <t>Illustrative placeholder: replace with company data.</t>
        </is>
      </c>
      <c r="E17" s="67" t="inlineStr">
        <is>
          <t>MODEL ASSUMPTION</t>
        </is>
      </c>
    </row>
    <row r="18">
      <c r="A18" s="34" t="inlineStr">
        <is>
          <t>Units sold: Year 2</t>
        </is>
      </c>
      <c r="B18" s="65" t="inlineStr">
        <is>
          <t>units</t>
        </is>
      </c>
      <c r="C18" s="74" t="n">
        <v>24000</v>
      </c>
      <c r="D18" s="18" t="inlineStr">
        <is>
          <t>Illustrative placeholder: replace with company data.</t>
        </is>
      </c>
      <c r="E18" s="67" t="inlineStr">
        <is>
          <t>MODEL ASSUMPTION</t>
        </is>
      </c>
    </row>
    <row r="19">
      <c r="A19" s="34" t="inlineStr">
        <is>
          <t>Units sold: Year 3</t>
        </is>
      </c>
      <c r="B19" s="65" t="inlineStr">
        <is>
          <t>units</t>
        </is>
      </c>
      <c r="C19" s="74" t="n">
        <v>36000</v>
      </c>
      <c r="D19" s="18" t="inlineStr">
        <is>
          <t>Illustrative placeholder: replace with company data.</t>
        </is>
      </c>
      <c r="E19" s="67" t="inlineStr">
        <is>
          <t>MODEL ASSUMPTION</t>
        </is>
      </c>
    </row>
    <row r="20">
      <c r="A20" s="34" t="inlineStr">
        <is>
          <t>Units sold: Year 4</t>
        </is>
      </c>
      <c r="B20" s="65" t="inlineStr">
        <is>
          <t>units</t>
        </is>
      </c>
      <c r="C20" s="74" t="n">
        <v>45000</v>
      </c>
      <c r="D20" s="18" t="inlineStr">
        <is>
          <t>Illustrative placeholder: replace with company data.</t>
        </is>
      </c>
      <c r="E20" s="67" t="inlineStr">
        <is>
          <t>MODEL ASSUMPTION</t>
        </is>
      </c>
    </row>
    <row r="21">
      <c r="A21" s="34" t="inlineStr">
        <is>
          <t>Units sold: Year 5</t>
        </is>
      </c>
      <c r="B21" s="65" t="inlineStr">
        <is>
          <t>units</t>
        </is>
      </c>
      <c r="C21" s="74" t="n">
        <v>50000</v>
      </c>
      <c r="D21" s="18" t="inlineStr">
        <is>
          <t>Illustrative placeholder: replace with company data.</t>
        </is>
      </c>
      <c r="E21" s="67" t="inlineStr">
        <is>
          <t>MODEL ASSUMPTION</t>
        </is>
      </c>
    </row>
    <row r="22"/>
    <row r="23">
      <c r="A23" s="21" t="inlineStr">
        <is>
          <t>Operating costs</t>
        </is>
      </c>
      <c r="B23" s="22" t="n"/>
      <c r="C23" s="22" t="n"/>
      <c r="D23" s="22" t="n"/>
      <c r="E23" s="22" t="n"/>
      <c r="F23" s="22"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c r="AA23" s="22" t="n"/>
      <c r="AB23" s="22" t="n"/>
      <c r="AC23" s="22" t="n"/>
      <c r="AD23" s="22" t="n"/>
      <c r="AE23" s="22" t="n"/>
      <c r="AF23" s="22" t="n"/>
      <c r="AG23" s="22" t="n"/>
      <c r="AH23" s="22" t="n"/>
      <c r="AI23" s="22" t="n"/>
      <c r="AJ23" s="22" t="n"/>
      <c r="AK23" s="22" t="n"/>
      <c r="AL23" s="22" t="n"/>
      <c r="AM23" s="22" t="n"/>
      <c r="AN23" s="22" t="n"/>
      <c r="AO23" s="22" t="n"/>
      <c r="AP23" s="22" t="n"/>
      <c r="AQ23" s="22" t="n"/>
      <c r="AR23" s="22" t="n"/>
      <c r="AS23" s="22" t="n"/>
      <c r="AT23" s="22" t="n"/>
      <c r="AU23" s="22" t="n"/>
      <c r="AV23" s="22" t="n"/>
      <c r="AW23" s="22" t="n"/>
      <c r="AX23" s="22" t="n"/>
      <c r="AY23" s="22" t="n"/>
      <c r="AZ23" s="22" t="n"/>
      <c r="BA23" s="22" t="n"/>
      <c r="BB23" s="22" t="n"/>
      <c r="BC23" s="22" t="n"/>
      <c r="BD23" s="22" t="n"/>
      <c r="BE23" s="22" t="n"/>
      <c r="BF23" s="22" t="n"/>
      <c r="BG23" s="22" t="n"/>
      <c r="BH23" s="22" t="n"/>
      <c r="BI23" s="22" t="n"/>
      <c r="BJ23" s="22" t="n"/>
      <c r="BK23" s="22" t="n"/>
      <c r="BL23" s="22" t="n"/>
    </row>
    <row r="24">
      <c r="A24" s="34" t="inlineStr">
        <is>
          <t>Mobile-money / payment processing fees</t>
        </is>
      </c>
      <c r="B24" s="65" t="inlineStr">
        <is>
          <t>% of cash collected</t>
        </is>
      </c>
      <c r="C24" s="71" t="n">
        <v>0.02</v>
      </c>
      <c r="D24" s="18" t="inlineStr">
        <is>
          <t>Illustrative placeholder: replace with company data.</t>
        </is>
      </c>
      <c r="E24" s="67" t="inlineStr">
        <is>
          <t>MODEL ASSUMPTION</t>
        </is>
      </c>
    </row>
    <row r="25">
      <c r="A25" s="34" t="inlineStr">
        <is>
          <t>Customer service &amp; collections cost</t>
        </is>
      </c>
      <c r="B25" s="65" t="inlineStr">
        <is>
          <t>LCY / active account / month</t>
        </is>
      </c>
      <c r="C25" s="74" t="n">
        <v>150</v>
      </c>
      <c r="D25" s="18" t="inlineStr">
        <is>
          <t>Illustrative placeholder: replace with company data.</t>
        </is>
      </c>
      <c r="E25" s="67" t="inlineStr">
        <is>
          <t>MODEL ASSUMPTION</t>
        </is>
      </c>
    </row>
    <row r="26">
      <c r="A26" s="34" t="inlineStr">
        <is>
          <t>Staff costs (fixed, month-1 level)</t>
        </is>
      </c>
      <c r="B26" s="65" t="inlineStr">
        <is>
          <t>LCY / month</t>
        </is>
      </c>
      <c r="C26" s="73" t="n">
        <v>26000000</v>
      </c>
      <c r="D26" s="18" t="inlineStr">
        <is>
          <t>Illustrative placeholder: replace with company data.</t>
        </is>
      </c>
      <c r="E26" s="67" t="inlineStr">
        <is>
          <t>MODEL ASSUMPTION</t>
        </is>
      </c>
    </row>
    <row r="27">
      <c r="A27" s="34" t="inlineStr">
        <is>
          <t>G&amp;A, rent, IT, licences (fixed, month-1 level)</t>
        </is>
      </c>
      <c r="B27" s="65" t="inlineStr">
        <is>
          <t>LCY / month</t>
        </is>
      </c>
      <c r="C27" s="74" t="n">
        <v>10400000</v>
      </c>
      <c r="D27" s="18" t="inlineStr">
        <is>
          <t>Illustrative placeholder: replace with company data.</t>
        </is>
      </c>
      <c r="E27" s="67" t="inlineStr">
        <is>
          <t>MODEL ASSUMPTION</t>
        </is>
      </c>
    </row>
    <row r="28">
      <c r="A28" s="34" t="inlineStr">
        <is>
          <t>Freight, duty &amp; clearing on hardware</t>
        </is>
      </c>
      <c r="B28" s="65" t="inlineStr">
        <is>
          <t>% of USD FOB cost</t>
        </is>
      </c>
      <c r="C28" s="71" t="n">
        <v>0.2</v>
      </c>
      <c r="D28" s="18" t="inlineStr">
        <is>
          <t>Illustrative placeholder: replace with company data.</t>
        </is>
      </c>
      <c r="E28" s="67" t="inlineStr">
        <is>
          <t>MODEL ASSUMPTION</t>
        </is>
      </c>
    </row>
    <row r="29"/>
    <row r="30">
      <c r="A30" s="21" t="inlineStr">
        <is>
          <t>Repossession &amp; results-based financing (RBF)</t>
        </is>
      </c>
      <c r="B30" s="22" t="n"/>
      <c r="C30" s="22" t="n"/>
      <c r="D30" s="22" t="n"/>
      <c r="E30" s="22" t="n"/>
      <c r="F30" s="22"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c r="AA30" s="22" t="n"/>
      <c r="AB30" s="22" t="n"/>
      <c r="AC30" s="22" t="n"/>
      <c r="AD30" s="22" t="n"/>
      <c r="AE30" s="22" t="n"/>
      <c r="AF30" s="22" t="n"/>
      <c r="AG30" s="22" t="n"/>
      <c r="AH30" s="22" t="n"/>
      <c r="AI30" s="22" t="n"/>
      <c r="AJ30" s="22" t="n"/>
      <c r="AK30" s="22" t="n"/>
      <c r="AL30" s="22" t="n"/>
      <c r="AM30" s="22" t="n"/>
      <c r="AN30" s="22" t="n"/>
      <c r="AO30" s="22" t="n"/>
      <c r="AP30" s="22" t="n"/>
      <c r="AQ30" s="22" t="n"/>
      <c r="AR30" s="22" t="n"/>
      <c r="AS30" s="22" t="n"/>
      <c r="AT30" s="22" t="n"/>
      <c r="AU30" s="22" t="n"/>
      <c r="AV30" s="22" t="n"/>
      <c r="AW30" s="22" t="n"/>
      <c r="AX30" s="22" t="n"/>
      <c r="AY30" s="22" t="n"/>
      <c r="AZ30" s="22" t="n"/>
      <c r="BA30" s="22" t="n"/>
      <c r="BB30" s="22" t="n"/>
      <c r="BC30" s="22" t="n"/>
      <c r="BD30" s="22" t="n"/>
      <c r="BE30" s="22" t="n"/>
      <c r="BF30" s="22" t="n"/>
      <c r="BG30" s="22" t="n"/>
      <c r="BH30" s="22" t="n"/>
      <c r="BI30" s="22" t="n"/>
      <c r="BJ30" s="22" t="n"/>
      <c r="BK30" s="22" t="n"/>
      <c r="BL30" s="22" t="n"/>
    </row>
    <row r="31">
      <c r="A31" s="34" t="inlineStr">
        <is>
          <t>Months from default to resale of repossessed unit</t>
        </is>
      </c>
      <c r="B31" s="65" t="inlineStr">
        <is>
          <t>months</t>
        </is>
      </c>
      <c r="C31" s="75" t="n">
        <v>3</v>
      </c>
      <c r="D31" s="18" t="inlineStr">
        <is>
          <t>Illustrative placeholder: replace with company data.</t>
        </is>
      </c>
      <c r="E31" s="67" t="inlineStr">
        <is>
          <t>MODEL ASSUMPTION</t>
        </is>
      </c>
    </row>
    <row r="32">
      <c r="A32" s="34" t="inlineStr">
        <is>
          <t>RBF programme active (1 = yes, 0 = no)</t>
        </is>
      </c>
      <c r="B32" s="65" t="inlineStr">
        <is>
          <t>switch</t>
        </is>
      </c>
      <c r="C32" s="66" t="n">
        <v>1</v>
      </c>
      <c r="D32" s="18" t="inlineStr">
        <is>
          <t>RBF per unit is set by tier on Products. Recognised as other income when received (cash basis).</t>
        </is>
      </c>
      <c r="E32" s="67" t="inlineStr">
        <is>
          <t>MODEL ASSUMPTION</t>
        </is>
      </c>
    </row>
    <row r="33">
      <c r="A33" s="34" t="inlineStr">
        <is>
          <t>Months from sale to RBF disbursement (verification lag)</t>
        </is>
      </c>
      <c r="B33" s="65" t="inlineStr">
        <is>
          <t>months</t>
        </is>
      </c>
      <c r="C33" s="75" t="n">
        <v>6</v>
      </c>
      <c r="D33" s="18" t="inlineStr">
        <is>
          <t>Illustrative placeholder: replace with company data.</t>
        </is>
      </c>
      <c r="E33" s="67" t="inlineStr">
        <is>
          <t>MODEL ASSUMPTION</t>
        </is>
      </c>
    </row>
    <row r="34">
      <c r="A34" s="34" t="inlineStr">
        <is>
          <t>RBF design mode (1 sales, 2 repayment-linked, 3 ownership-linked, 4 hybrid)</t>
        </is>
      </c>
      <c r="B34" s="65" t="inlineStr">
        <is>
          <t>#</t>
        </is>
      </c>
      <c r="C34" s="66" t="n">
        <v>1</v>
      </c>
      <c r="D34" s="18" t="inlineStr">
        <is>
          <t>See RBF_Engine. Ownership-linked RBF pays nothing until validated ownership-at-2x data exist.</t>
        </is>
      </c>
      <c r="E34" s="67" t="inlineStr">
        <is>
          <t>MODEL ASSUMPTION</t>
        </is>
      </c>
    </row>
    <row r="35">
      <c r="A35" s="34" t="inlineStr">
        <is>
          <t>Repayment rate at verification for 100% of repayment-linked RBF</t>
        </is>
      </c>
      <c r="B35" s="65" t="inlineStr">
        <is>
          <t>%</t>
        </is>
      </c>
      <c r="C35" s="71" t="n">
        <v>0.8</v>
      </c>
      <c r="D35" s="18" t="inlineStr">
        <is>
          <t>Illustrative placeholder: replace with company data.</t>
        </is>
      </c>
      <c r="E35" s="67" t="inlineStr">
        <is>
          <t>MODEL ASSUMPTION</t>
        </is>
      </c>
    </row>
    <row r="36">
      <c r="A36" s="34" t="inlineStr">
        <is>
          <t>Hybrid weight: sales-based</t>
        </is>
      </c>
      <c r="B36" s="65" t="inlineStr">
        <is>
          <t>%</t>
        </is>
      </c>
      <c r="C36" s="71" t="n">
        <v>0.5</v>
      </c>
      <c r="D36" s="18" t="inlineStr">
        <is>
          <t>Hybrid weights must sum to 100% (Checks).</t>
        </is>
      </c>
      <c r="E36" s="67" t="inlineStr">
        <is>
          <t>MODEL ASSUMPTION</t>
        </is>
      </c>
    </row>
    <row r="37">
      <c r="A37" s="34" t="inlineStr">
        <is>
          <t>Hybrid weight: repayment-linked</t>
        </is>
      </c>
      <c r="B37" s="65" t="inlineStr">
        <is>
          <t>%</t>
        </is>
      </c>
      <c r="C37" s="71" t="n">
        <v>0.5</v>
      </c>
      <c r="D37" s="18" t="inlineStr">
        <is>
          <t>Hybrid weights must sum to 100% (Checks).</t>
        </is>
      </c>
      <c r="E37" s="67" t="inlineStr">
        <is>
          <t>MODEL ASSUMPTION</t>
        </is>
      </c>
    </row>
    <row r="38">
      <c r="A38" s="34" t="inlineStr">
        <is>
          <t>Hybrid weight: ownership-linked</t>
        </is>
      </c>
      <c r="B38" s="65" t="inlineStr">
        <is>
          <t>%</t>
        </is>
      </c>
      <c r="C38" s="71" t="n">
        <v>0</v>
      </c>
      <c r="D38" s="18" t="inlineStr">
        <is>
          <t>Hybrid weights must sum to 100% (Checks).</t>
        </is>
      </c>
      <c r="E38" s="67" t="inlineStr">
        <is>
          <t>MODEL ASSUMPTION</t>
        </is>
      </c>
    </row>
    <row r="39">
      <c r="A39" s="34" t="inlineStr">
        <is>
          <t>Validated ownership-at-2x evidence available (1 = yes)</t>
        </is>
      </c>
      <c r="B39" s="65" t="inlineStr">
        <is>
          <t>switch</t>
        </is>
      </c>
      <c r="C39" s="66" t="n">
        <v>0</v>
      </c>
      <c r="D39" s="18" t="inlineStr">
        <is>
          <t>Set to 1 ONLY when Vintage_Input holds validated ownership-at-2x data. Never infer this KPI.</t>
        </is>
      </c>
      <c r="E39" s="67" t="inlineStr">
        <is>
          <t>MODEL ASSUMPTION</t>
        </is>
      </c>
    </row>
    <row r="40"/>
    <row r="41">
      <c r="A41" s="21" t="inlineStr">
        <is>
          <t>Working capital &amp; capex</t>
        </is>
      </c>
      <c r="B41" s="22" t="n"/>
      <c r="C41" s="22" t="n"/>
      <c r="D41" s="22" t="n"/>
      <c r="E41" s="22"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c r="AA41" s="22" t="n"/>
      <c r="AB41" s="22" t="n"/>
      <c r="AC41" s="22" t="n"/>
      <c r="AD41" s="22" t="n"/>
      <c r="AE41" s="22" t="n"/>
      <c r="AF41" s="22" t="n"/>
      <c r="AG41" s="22" t="n"/>
      <c r="AH41" s="22" t="n"/>
      <c r="AI41" s="22" t="n"/>
      <c r="AJ41" s="22" t="n"/>
      <c r="AK41" s="22" t="n"/>
      <c r="AL41" s="22" t="n"/>
      <c r="AM41" s="22" t="n"/>
      <c r="AN41" s="22" t="n"/>
      <c r="AO41" s="22" t="n"/>
      <c r="AP41" s="22" t="n"/>
      <c r="AQ41" s="22" t="n"/>
      <c r="AR41" s="22" t="n"/>
      <c r="AS41" s="22" t="n"/>
      <c r="AT41" s="22" t="n"/>
      <c r="AU41" s="22" t="n"/>
      <c r="AV41" s="22" t="n"/>
      <c r="AW41" s="22" t="n"/>
      <c r="AX41" s="22" t="n"/>
      <c r="AY41" s="22" t="n"/>
      <c r="AZ41" s="22" t="n"/>
      <c r="BA41" s="22" t="n"/>
      <c r="BB41" s="22" t="n"/>
      <c r="BC41" s="22" t="n"/>
      <c r="BD41" s="22" t="n"/>
      <c r="BE41" s="22" t="n"/>
      <c r="BF41" s="22" t="n"/>
      <c r="BG41" s="22" t="n"/>
      <c r="BH41" s="22" t="n"/>
      <c r="BI41" s="22" t="n"/>
      <c r="BJ41" s="22" t="n"/>
      <c r="BK41" s="22" t="n"/>
      <c r="BL41" s="22" t="n"/>
    </row>
    <row r="42">
      <c r="A42" s="34" t="inlineStr">
        <is>
          <t>Inventory cover</t>
        </is>
      </c>
      <c r="B42" s="65" t="inlineStr">
        <is>
          <t>months of hardware COGS</t>
        </is>
      </c>
      <c r="C42" s="76" t="n">
        <v>2</v>
      </c>
      <c r="D42" s="18" t="inlineStr">
        <is>
          <t>Illustrative placeholder: replace with company data.</t>
        </is>
      </c>
      <c r="E42" s="67" t="inlineStr">
        <is>
          <t>MODEL ASSUMPTION</t>
        </is>
      </c>
    </row>
    <row r="43">
      <c r="A43" s="34" t="inlineStr">
        <is>
          <t>Supplier credit on hardware</t>
        </is>
      </c>
      <c r="B43" s="65" t="inlineStr">
        <is>
          <t>days</t>
        </is>
      </c>
      <c r="C43" s="75" t="n">
        <v>60</v>
      </c>
      <c r="D43" s="18" t="inlineStr">
        <is>
          <t>Illustrative placeholder: replace with company data.</t>
        </is>
      </c>
      <c r="E43" s="67" t="inlineStr">
        <is>
          <t>MODEL ASSUMPTION</t>
        </is>
      </c>
    </row>
    <row r="44">
      <c r="A44" s="34" t="inlineStr">
        <is>
          <t>Fixed capex (vehicles, IT, depots, month-1 level)</t>
        </is>
      </c>
      <c r="B44" s="65" t="inlineStr">
        <is>
          <t>LCY / month</t>
        </is>
      </c>
      <c r="C44" s="74" t="n">
        <v>900000</v>
      </c>
      <c r="D44" s="18" t="inlineStr">
        <is>
          <t>Illustrative placeholder: replace with company data.</t>
        </is>
      </c>
      <c r="E44" s="67" t="inlineStr">
        <is>
          <t>MODEL ASSUMPTION</t>
        </is>
      </c>
    </row>
    <row r="45">
      <c r="A45" s="34" t="inlineStr">
        <is>
          <t>Depreciation life of fixed capex</t>
        </is>
      </c>
      <c r="B45" s="65" t="inlineStr">
        <is>
          <t>months</t>
        </is>
      </c>
      <c r="C45" s="75" t="n">
        <v>36</v>
      </c>
      <c r="D45" s="18" t="inlineStr">
        <is>
          <t>Illustrative placeholder: replace with company data.</t>
        </is>
      </c>
      <c r="E45" s="67" t="inlineStr">
        <is>
          <t>MODEL ASSUMPTION</t>
        </is>
      </c>
    </row>
    <row r="46">
      <c r="A46" s="34" t="inlineStr">
        <is>
          <t>Minimum operating cash balance</t>
        </is>
      </c>
      <c r="B46" s="65" t="inlineStr">
        <is>
          <t>LCY</t>
        </is>
      </c>
      <c r="C46" s="73" t="n">
        <v>100000000</v>
      </c>
      <c r="D46" s="18" t="inlineStr">
        <is>
          <t>Any shortfall is covered by an automatic equity top-up = funding requirement.</t>
        </is>
      </c>
      <c r="E46" s="67" t="inlineStr">
        <is>
          <t>MODEL ASSUMPTION</t>
        </is>
      </c>
    </row>
    <row r="47"/>
    <row r="48">
      <c r="A48" s="21" t="inlineStr">
        <is>
          <t>Financing</t>
        </is>
      </c>
      <c r="B48" s="22" t="n"/>
      <c r="C48" s="22" t="n"/>
      <c r="D48" s="22" t="n"/>
      <c r="E48" s="22" t="n"/>
      <c r="F48" s="22"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c r="AA48" s="22" t="n"/>
      <c r="AB48" s="22" t="n"/>
      <c r="AC48" s="22" t="n"/>
      <c r="AD48" s="22" t="n"/>
      <c r="AE48" s="22" t="n"/>
      <c r="AF48" s="22" t="n"/>
      <c r="AG48" s="22" t="n"/>
      <c r="AH48" s="22" t="n"/>
      <c r="AI48" s="22" t="n"/>
      <c r="AJ48" s="22" t="n"/>
      <c r="AK48" s="22" t="n"/>
      <c r="AL48" s="22" t="n"/>
      <c r="AM48" s="22" t="n"/>
      <c r="AN48" s="22" t="n"/>
      <c r="AO48" s="22" t="n"/>
      <c r="AP48" s="22" t="n"/>
      <c r="AQ48" s="22" t="n"/>
      <c r="AR48" s="22" t="n"/>
      <c r="AS48" s="22" t="n"/>
      <c r="AT48" s="22" t="n"/>
      <c r="AU48" s="22" t="n"/>
      <c r="AV48" s="22" t="n"/>
      <c r="AW48" s="22" t="n"/>
      <c r="AX48" s="22" t="n"/>
      <c r="AY48" s="22" t="n"/>
      <c r="AZ48" s="22" t="n"/>
      <c r="BA48" s="22" t="n"/>
      <c r="BB48" s="22" t="n"/>
      <c r="BC48" s="22" t="n"/>
      <c r="BD48" s="22" t="n"/>
      <c r="BE48" s="22" t="n"/>
      <c r="BF48" s="22" t="n"/>
      <c r="BG48" s="22" t="n"/>
      <c r="BH48" s="22" t="n"/>
      <c r="BI48" s="22" t="n"/>
      <c r="BJ48" s="22" t="n"/>
      <c r="BK48" s="22" t="n"/>
      <c r="BL48" s="22" t="n"/>
    </row>
    <row r="49">
      <c r="A49" s="34" t="inlineStr">
        <is>
          <t>Initial equity (month 1, all shareholders)</t>
        </is>
      </c>
      <c r="B49" s="65" t="inlineStr">
        <is>
          <t>LCY</t>
        </is>
      </c>
      <c r="C49" s="73" t="n">
        <v>1300000000</v>
      </c>
      <c r="D49" s="18" t="inlineStr">
        <is>
          <t>Illustrative placeholder: replace with company data.</t>
        </is>
      </c>
      <c r="E49" s="67" t="inlineStr">
        <is>
          <t>MODEL ASSUMPTION</t>
        </is>
      </c>
    </row>
    <row r="50">
      <c r="A50" s="34" t="inlineStr">
        <is>
          <t>USD term loan: amount</t>
        </is>
      </c>
      <c r="B50" s="65" t="inlineStr">
        <is>
          <t>USD</t>
        </is>
      </c>
      <c r="C50" s="73" t="n">
        <v>5000000</v>
      </c>
      <c r="D50" s="18" t="inlineStr">
        <is>
          <t>Illustrative placeholder: replace with company data.</t>
        </is>
      </c>
      <c r="E50" s="67" t="inlineStr">
        <is>
          <t>MODEL ASSUMPTION</t>
        </is>
      </c>
    </row>
    <row r="51">
      <c r="A51" s="34" t="inlineStr">
        <is>
          <t>USD term loan: drawdown month</t>
        </is>
      </c>
      <c r="B51" s="65" t="inlineStr">
        <is>
          <t>month #</t>
        </is>
      </c>
      <c r="C51" s="75" t="n">
        <v>6</v>
      </c>
      <c r="D51" s="18" t="inlineStr">
        <is>
          <t>Illustrative placeholder: replace with company data.</t>
        </is>
      </c>
      <c r="E51" s="67" t="inlineStr">
        <is>
          <t>MODEL ASSUMPTION</t>
        </is>
      </c>
    </row>
    <row r="52">
      <c r="A52" s="34" t="inlineStr">
        <is>
          <t>USD term loan: interest rate</t>
        </is>
      </c>
      <c r="B52" s="65" t="inlineStr">
        <is>
          <t>% p.a.</t>
        </is>
      </c>
      <c r="C52" s="71" t="n">
        <v>0.1</v>
      </c>
      <c r="D52" s="18" t="inlineStr">
        <is>
          <t>Illustrative placeholder: replace with company data.</t>
        </is>
      </c>
      <c r="E52" s="67" t="inlineStr">
        <is>
          <t>MODEL ASSUMPTION</t>
        </is>
      </c>
    </row>
    <row r="53">
      <c r="A53" s="34" t="inlineStr">
        <is>
          <t>USD term loan: grace period after drawdown</t>
        </is>
      </c>
      <c r="B53" s="65" t="inlineStr">
        <is>
          <t>months</t>
        </is>
      </c>
      <c r="C53" s="75" t="n">
        <v>12</v>
      </c>
      <c r="D53" s="18" t="inlineStr">
        <is>
          <t>Illustrative placeholder: replace with company data.</t>
        </is>
      </c>
      <c r="E53" s="67" t="inlineStr">
        <is>
          <t>MODEL ASSUMPTION</t>
        </is>
      </c>
    </row>
    <row r="54">
      <c r="A54" s="34" t="inlineStr">
        <is>
          <t>USD term loan: amortisation period</t>
        </is>
      </c>
      <c r="B54" s="65" t="inlineStr">
        <is>
          <t>months</t>
        </is>
      </c>
      <c r="C54" s="75" t="n">
        <v>36</v>
      </c>
      <c r="D54" s="18" t="inlineStr">
        <is>
          <t>Illustrative placeholder: replace with company data.</t>
        </is>
      </c>
      <c r="E54" s="67" t="inlineStr">
        <is>
          <t>MODEL ASSUMPTION</t>
        </is>
      </c>
    </row>
    <row r="55">
      <c r="A55" s="34" t="inlineStr">
        <is>
          <t>Receivables facility (LCY): limit</t>
        </is>
      </c>
      <c r="B55" s="65" t="inlineStr">
        <is>
          <t>LCY</t>
        </is>
      </c>
      <c r="C55" s="73" t="n">
        <v>6500000000</v>
      </c>
      <c r="D55" s="18" t="inlineStr">
        <is>
          <t>Drawn as needed to hold minimum cash (cash sweep), capped at the borrowing base and the limit. Borrowing base = sum over tiers of advance rate x eligible receivables.</t>
        </is>
      </c>
      <c r="E55" s="67" t="inlineStr">
        <is>
          <t>MODEL ASSUMPTION</t>
        </is>
      </c>
    </row>
    <row r="56">
      <c r="A56" s="34" t="inlineStr">
        <is>
          <t>Receivables facility: interest rate</t>
        </is>
      </c>
      <c r="B56" s="65" t="inlineStr">
        <is>
          <t>% p.a.</t>
        </is>
      </c>
      <c r="C56" s="71" t="n">
        <v>0.16</v>
      </c>
      <c r="D56" s="18" t="inlineStr">
        <is>
          <t>Illustrative placeholder: replace with company data.</t>
        </is>
      </c>
      <c r="E56" s="67" t="inlineStr">
        <is>
          <t>MODEL ASSUMPTION</t>
        </is>
      </c>
    </row>
    <row r="57">
      <c r="A57" s="34" t="inlineStr">
        <is>
          <t>Receivables facility: first available month</t>
        </is>
      </c>
      <c r="B57" s="65" t="inlineStr">
        <is>
          <t>month #</t>
        </is>
      </c>
      <c r="C57" s="75" t="n">
        <v>7</v>
      </c>
      <c r="D57" s="18" t="inlineStr">
        <is>
          <t>Illustrative placeholder: replace with company data.</t>
        </is>
      </c>
      <c r="E57" s="67" t="inlineStr">
        <is>
          <t>MODEL ASSUMPTION</t>
        </is>
      </c>
    </row>
    <row r="58"/>
    <row r="59">
      <c r="A59" s="21" t="inlineStr">
        <is>
          <t>Receivables financing structure</t>
        </is>
      </c>
      <c r="B59" s="22" t="n"/>
      <c r="C59" s="22" t="n"/>
      <c r="D59" s="22" t="n"/>
      <c r="E59" s="22" t="n"/>
      <c r="F59" s="22"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c r="AA59" s="22" t="n"/>
      <c r="AB59" s="22" t="n"/>
      <c r="AC59" s="22" t="n"/>
      <c r="AD59" s="22" t="n"/>
      <c r="AE59" s="22" t="n"/>
      <c r="AF59" s="22" t="n"/>
      <c r="AG59" s="22" t="n"/>
      <c r="AH59" s="22" t="n"/>
      <c r="AI59" s="22" t="n"/>
      <c r="AJ59" s="22" t="n"/>
      <c r="AK59" s="22" t="n"/>
      <c r="AL59" s="22" t="n"/>
      <c r="AM59" s="22" t="n"/>
      <c r="AN59" s="22" t="n"/>
      <c r="AO59" s="22" t="n"/>
      <c r="AP59" s="22" t="n"/>
      <c r="AQ59" s="22" t="n"/>
      <c r="AR59" s="22" t="n"/>
      <c r="AS59" s="22" t="n"/>
      <c r="AT59" s="22" t="n"/>
      <c r="AU59" s="22" t="n"/>
      <c r="AV59" s="22" t="n"/>
      <c r="AW59" s="22" t="n"/>
      <c r="AX59" s="22" t="n"/>
      <c r="AY59" s="22" t="n"/>
      <c r="AZ59" s="22" t="n"/>
      <c r="BA59" s="22" t="n"/>
      <c r="BB59" s="22" t="n"/>
      <c r="BC59" s="22" t="n"/>
      <c r="BD59" s="22" t="n"/>
      <c r="BE59" s="22" t="n"/>
      <c r="BF59" s="22" t="n"/>
      <c r="BG59" s="22" t="n"/>
      <c r="BH59" s="22" t="n"/>
      <c r="BI59" s="22" t="n"/>
      <c r="BJ59" s="22" t="n"/>
      <c r="BK59" s="22" t="n"/>
      <c r="BL59" s="22" t="n"/>
    </row>
    <row r="60">
      <c r="A60" s="34" t="inlineStr">
        <is>
          <t>Structure (1 = warehouse facility, 2 = securitisation / term ABS)</t>
        </is>
      </c>
      <c r="B60" s="65" t="inlineStr">
        <is>
          <t>#</t>
        </is>
      </c>
      <c r="C60" s="66" t="n">
        <v>1</v>
      </c>
      <c r="D60" s="18" t="inlineStr">
        <is>
          <t>Both are modelled on balance sheet. Option 2 applies the rate, advance-rate haircut and upfront fee below.</t>
        </is>
      </c>
      <c r="E60" s="67" t="inlineStr">
        <is>
          <t>MODEL ASSUMPTION</t>
        </is>
      </c>
    </row>
    <row r="61">
      <c r="A61" s="34" t="inlineStr">
        <is>
          <t>Securitisation: all-in interest rate</t>
        </is>
      </c>
      <c r="B61" s="65" t="inlineStr">
        <is>
          <t>% p.a.</t>
        </is>
      </c>
      <c r="C61" s="71" t="n">
        <v>0.13</v>
      </c>
      <c r="D61" s="18" t="inlineStr">
        <is>
          <t>Illustrative placeholder: replace with company data.</t>
        </is>
      </c>
      <c r="E61" s="67" t="inlineStr">
        <is>
          <t>MODEL ASSUMPTION</t>
        </is>
      </c>
    </row>
    <row r="62">
      <c r="A62" s="34" t="inlineStr">
        <is>
          <t>Securitisation: advance-rate multiplier vs warehouse</t>
        </is>
      </c>
      <c r="B62" s="65" t="inlineStr">
        <is>
          <t>x</t>
        </is>
      </c>
      <c r="C62" s="76" t="n">
        <v>0.95</v>
      </c>
      <c r="D62" s="18" t="inlineStr">
        <is>
          <t>Illustrative placeholder: replace with company data.</t>
        </is>
      </c>
      <c r="E62" s="67" t="inlineStr">
        <is>
          <t>MODEL ASSUMPTION</t>
        </is>
      </c>
    </row>
    <row r="63">
      <c r="A63" s="34" t="inlineStr">
        <is>
          <t>Securitisation: upfront structuring fee on new drawings</t>
        </is>
      </c>
      <c r="B63" s="65" t="inlineStr">
        <is>
          <t>%</t>
        </is>
      </c>
      <c r="C63" s="71" t="n">
        <v>0.02</v>
      </c>
      <c r="D63" s="18" t="inlineStr">
        <is>
          <t>Paid the month after the drawing (avoids a circular reference).</t>
        </is>
      </c>
      <c r="E63" s="67" t="inlineStr">
        <is>
          <t>MODEL ASSUMPTION</t>
        </is>
      </c>
    </row>
    <row r="64"/>
    <row r="65">
      <c r="A65" s="21" t="inlineStr">
        <is>
          <t>Other revenue streams (digital loans, other services)</t>
        </is>
      </c>
      <c r="B65" s="22" t="n"/>
      <c r="C65" s="22" t="n"/>
      <c r="D65" s="22" t="n"/>
      <c r="E65" s="22" t="n"/>
      <c r="F65" s="22"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c r="AA65" s="22" t="n"/>
      <c r="AB65" s="22" t="n"/>
      <c r="AC65" s="22" t="n"/>
      <c r="AD65" s="22" t="n"/>
      <c r="AE65" s="22" t="n"/>
      <c r="AF65" s="22" t="n"/>
      <c r="AG65" s="22" t="n"/>
      <c r="AH65" s="22" t="n"/>
      <c r="AI65" s="22" t="n"/>
      <c r="AJ65" s="22" t="n"/>
      <c r="AK65" s="22" t="n"/>
      <c r="AL65" s="22" t="n"/>
      <c r="AM65" s="22" t="n"/>
      <c r="AN65" s="22" t="n"/>
      <c r="AO65" s="22" t="n"/>
      <c r="AP65" s="22" t="n"/>
      <c r="AQ65" s="22" t="n"/>
      <c r="AR65" s="22" t="n"/>
      <c r="AS65" s="22" t="n"/>
      <c r="AT65" s="22" t="n"/>
      <c r="AU65" s="22" t="n"/>
      <c r="AV65" s="22" t="n"/>
      <c r="AW65" s="22" t="n"/>
      <c r="AX65" s="22" t="n"/>
      <c r="AY65" s="22" t="n"/>
      <c r="AZ65" s="22" t="n"/>
      <c r="BA65" s="22" t="n"/>
      <c r="BB65" s="22" t="n"/>
      <c r="BC65" s="22" t="n"/>
      <c r="BD65" s="22" t="n"/>
      <c r="BE65" s="22" t="n"/>
      <c r="BF65" s="22" t="n"/>
      <c r="BG65" s="22" t="n"/>
      <c r="BH65" s="22" t="n"/>
      <c r="BI65" s="22" t="n"/>
      <c r="BJ65" s="22" t="n"/>
      <c r="BK65" s="22" t="n"/>
      <c r="BL65" s="22" t="n"/>
    </row>
    <row r="66">
      <c r="A66" s="34" t="inlineStr">
        <is>
          <t>Net revenue per active PAYGo account (month-1 level)</t>
        </is>
      </c>
      <c r="B66" s="65" t="inlineStr">
        <is>
          <t>LCY / account / month</t>
        </is>
      </c>
      <c r="C66" s="74" t="n">
        <v>0</v>
      </c>
      <c r="D66" s="18" t="inlineStr">
        <is>
          <t>Simplification: take-rate revenue only, no on-balance-sheet lending. 0 = switched off.</t>
        </is>
      </c>
      <c r="E66" s="67" t="inlineStr">
        <is>
          <t>MODEL ASSUMPTION</t>
        </is>
      </c>
    </row>
    <row r="67">
      <c r="A67" s="34" t="inlineStr">
        <is>
          <t>Gross margin on other revenue</t>
        </is>
      </c>
      <c r="B67" s="65" t="inlineStr">
        <is>
          <t>%</t>
        </is>
      </c>
      <c r="C67" s="71" t="n">
        <v>0.6</v>
      </c>
      <c r="D67" s="18" t="inlineStr">
        <is>
          <t>Illustrative placeholder: replace with company data.</t>
        </is>
      </c>
      <c r="E67" s="67" t="inlineStr">
        <is>
          <t>MODEL ASSUMPTION</t>
        </is>
      </c>
    </row>
    <row r="68"/>
    <row r="69">
      <c r="A69" s="21" t="inlineStr">
        <is>
          <t>Lender covenants (tested on Covenants sheet)</t>
        </is>
      </c>
      <c r="B69" s="22" t="n"/>
      <c r="C69" s="22" t="n"/>
      <c r="D69" s="22" t="n"/>
      <c r="E69" s="22" t="n"/>
      <c r="F69" s="22"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c r="AA69" s="22" t="n"/>
      <c r="AB69" s="22" t="n"/>
      <c r="AC69" s="22" t="n"/>
      <c r="AD69" s="22" t="n"/>
      <c r="AE69" s="22" t="n"/>
      <c r="AF69" s="22" t="n"/>
      <c r="AG69" s="22" t="n"/>
      <c r="AH69" s="22" t="n"/>
      <c r="AI69" s="22" t="n"/>
      <c r="AJ69" s="22" t="n"/>
      <c r="AK69" s="22" t="n"/>
      <c r="AL69" s="22" t="n"/>
      <c r="AM69" s="22" t="n"/>
      <c r="AN69" s="22" t="n"/>
      <c r="AO69" s="22" t="n"/>
      <c r="AP69" s="22" t="n"/>
      <c r="AQ69" s="22" t="n"/>
      <c r="AR69" s="22" t="n"/>
      <c r="AS69" s="22" t="n"/>
      <c r="AT69" s="22" t="n"/>
      <c r="AU69" s="22" t="n"/>
      <c r="AV69" s="22" t="n"/>
      <c r="AW69" s="22" t="n"/>
      <c r="AX69" s="22" t="n"/>
      <c r="AY69" s="22" t="n"/>
      <c r="AZ69" s="22" t="n"/>
      <c r="BA69" s="22" t="n"/>
      <c r="BB69" s="22" t="n"/>
      <c r="BC69" s="22" t="n"/>
      <c r="BD69" s="22" t="n"/>
      <c r="BE69" s="22" t="n"/>
      <c r="BF69" s="22" t="n"/>
      <c r="BG69" s="22" t="n"/>
      <c r="BH69" s="22" t="n"/>
      <c r="BI69" s="22" t="n"/>
      <c r="BJ69" s="22" t="n"/>
      <c r="BK69" s="22" t="n"/>
      <c r="BL69" s="22" t="n"/>
    </row>
    <row r="70">
      <c r="A70" s="34" t="inlineStr">
        <is>
          <t>Minimum trailing-3-month collection rate</t>
        </is>
      </c>
      <c r="B70" s="65" t="inlineStr">
        <is>
          <t>%</t>
        </is>
      </c>
      <c r="C70" s="72" t="n">
        <v>0.7</v>
      </c>
      <c r="D70" s="18" t="inlineStr">
        <is>
          <t>Illustrative placeholder: replace with company data.</t>
        </is>
      </c>
      <c r="E70" s="67" t="inlineStr">
        <is>
          <t>MODEL ASSUMPTION</t>
        </is>
      </c>
    </row>
    <row r="71">
      <c r="A71" s="34" t="inlineStr">
        <is>
          <t>Maximum receivables at risk / gross receivables</t>
        </is>
      </c>
      <c r="B71" s="65" t="inlineStr">
        <is>
          <t>%</t>
        </is>
      </c>
      <c r="C71" s="72" t="n">
        <v>0.15</v>
      </c>
      <c r="D71" s="18" t="inlineStr">
        <is>
          <t>Illustrative placeholder: replace with company data.</t>
        </is>
      </c>
      <c r="E71" s="67" t="inlineStr">
        <is>
          <t>MODEL ASSUMPTION</t>
        </is>
      </c>
    </row>
    <row r="72">
      <c r="A72" s="34" t="inlineStr">
        <is>
          <t>Maximum debt / book equity</t>
        </is>
      </c>
      <c r="B72" s="65" t="inlineStr">
        <is>
          <t>x</t>
        </is>
      </c>
      <c r="C72" s="77" t="n">
        <v>3</v>
      </c>
      <c r="D72" s="18" t="inlineStr">
        <is>
          <t>Illustrative placeholder: replace with company data.</t>
        </is>
      </c>
      <c r="E72" s="67" t="inlineStr">
        <is>
          <t>MODEL ASSUMPTION</t>
        </is>
      </c>
    </row>
    <row r="73">
      <c r="A73" s="34" t="inlineStr">
        <is>
          <t>Minimum annual DSCR (years with debt service)</t>
        </is>
      </c>
      <c r="B73" s="65" t="inlineStr">
        <is>
          <t>x</t>
        </is>
      </c>
      <c r="C73" s="77" t="n">
        <v>1.2</v>
      </c>
      <c r="D73" s="18" t="inlineStr">
        <is>
          <t>Illustrative placeholder: replace with company data.</t>
        </is>
      </c>
      <c r="E73" s="67" t="inlineStr">
        <is>
          <t>MODEL ASSUMPTION</t>
        </is>
      </c>
    </row>
    <row r="74">
      <c r="A74" s="34" t="inlineStr">
        <is>
          <t>Minimum liquidity: cash before equity top-up</t>
        </is>
      </c>
      <c r="B74" s="65" t="inlineStr">
        <is>
          <t>LCY</t>
        </is>
      </c>
      <c r="C74" s="74" t="n">
        <v>50000000</v>
      </c>
      <c r="D74" s="18" t="inlineStr">
        <is>
          <t>Illustrative placeholder: replace with company data.</t>
        </is>
      </c>
      <c r="E74" s="67" t="inlineStr">
        <is>
          <t>MODEL ASSUMPTION</t>
        </is>
      </c>
    </row>
    <row r="75">
      <c r="A75" s="34" t="inlineStr">
        <is>
          <t>Maximum 30+ DPD receivables / gross receivables</t>
        </is>
      </c>
      <c r="B75" s="65" t="inlineStr">
        <is>
          <t>%</t>
        </is>
      </c>
      <c r="C75" s="71" t="n">
        <v>0.25</v>
      </c>
      <c r="D75" s="18" t="inlineStr">
        <is>
          <t>Illustrative placeholder: replace with company data.</t>
        </is>
      </c>
      <c r="E75" s="67" t="inlineStr">
        <is>
          <t>MODEL ASSUMPTION</t>
        </is>
      </c>
    </row>
    <row r="76">
      <c r="A76" s="34" t="inlineStr">
        <is>
          <t>Maximum 90+ DPD receivables / gross receivables</t>
        </is>
      </c>
      <c r="B76" s="65" t="inlineStr">
        <is>
          <t>%</t>
        </is>
      </c>
      <c r="C76" s="71" t="n">
        <v>0.18</v>
      </c>
      <c r="D76" s="18" t="inlineStr">
        <is>
          <t>Illustrative placeholder: replace with company data.</t>
        </is>
      </c>
      <c r="E76" s="67" t="inlineStr">
        <is>
          <t>MODEL ASSUMPTION</t>
        </is>
      </c>
    </row>
    <row r="77"/>
    <row r="78">
      <c r="A78" s="21" t="inlineStr">
        <is>
          <t>Valuation &amp; transaction</t>
        </is>
      </c>
      <c r="B78" s="22" t="n"/>
      <c r="C78" s="22" t="n"/>
      <c r="D78" s="22" t="n"/>
      <c r="E78" s="22" t="n"/>
      <c r="F78" s="22"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c r="AA78" s="22" t="n"/>
      <c r="AB78" s="22" t="n"/>
      <c r="AC78" s="22" t="n"/>
      <c r="AD78" s="22" t="n"/>
      <c r="AE78" s="22" t="n"/>
      <c r="AF78" s="22" t="n"/>
      <c r="AG78" s="22" t="n"/>
      <c r="AH78" s="22" t="n"/>
      <c r="AI78" s="22" t="n"/>
      <c r="AJ78" s="22" t="n"/>
      <c r="AK78" s="22" t="n"/>
      <c r="AL78" s="22" t="n"/>
      <c r="AM78" s="22" t="n"/>
      <c r="AN78" s="22" t="n"/>
      <c r="AO78" s="22" t="n"/>
      <c r="AP78" s="22" t="n"/>
      <c r="AQ78" s="22" t="n"/>
      <c r="AR78" s="22" t="n"/>
      <c r="AS78" s="22" t="n"/>
      <c r="AT78" s="22" t="n"/>
      <c r="AU78" s="22" t="n"/>
      <c r="AV78" s="22" t="n"/>
      <c r="AW78" s="22" t="n"/>
      <c r="AX78" s="22" t="n"/>
      <c r="AY78" s="22" t="n"/>
      <c r="AZ78" s="22" t="n"/>
      <c r="BA78" s="22" t="n"/>
      <c r="BB78" s="22" t="n"/>
      <c r="BC78" s="22" t="n"/>
      <c r="BD78" s="22" t="n"/>
      <c r="BE78" s="22" t="n"/>
      <c r="BF78" s="22" t="n"/>
      <c r="BG78" s="22" t="n"/>
      <c r="BH78" s="22" t="n"/>
      <c r="BI78" s="22" t="n"/>
      <c r="BJ78" s="22" t="n"/>
      <c r="BK78" s="22" t="n"/>
      <c r="BL78" s="22" t="n"/>
    </row>
    <row r="79">
      <c r="A79" s="34" t="inlineStr">
        <is>
          <t>Discount rate for DCF (LCY, nominal)</t>
        </is>
      </c>
      <c r="B79" s="65" t="inlineStr">
        <is>
          <t>% p.a.</t>
        </is>
      </c>
      <c r="C79" s="72" t="n">
        <v>0.22</v>
      </c>
      <c r="D79" s="18" t="inlineStr">
        <is>
          <t>Should reflect LCY risk-free rate, country and company risk premia.</t>
        </is>
      </c>
      <c r="E79" s="67" t="inlineStr">
        <is>
          <t>MODEL ASSUMPTION</t>
        </is>
      </c>
    </row>
    <row r="80">
      <c r="A80" s="34" t="inlineStr">
        <is>
          <t>Terminal growth rate (LCY, nominal)</t>
        </is>
      </c>
      <c r="B80" s="65" t="inlineStr">
        <is>
          <t>% p.a.</t>
        </is>
      </c>
      <c r="C80" s="71" t="n">
        <v>0.05</v>
      </c>
      <c r="D80" s="18" t="inlineStr">
        <is>
          <t>Illustrative placeholder: replace with company data.</t>
        </is>
      </c>
      <c r="E80" s="67" t="inlineStr">
        <is>
          <t>MODEL ASSUMPTION</t>
        </is>
      </c>
    </row>
    <row r="81">
      <c r="A81" s="34" t="inlineStr">
        <is>
          <t>Investor ticket (part of initial equity)</t>
        </is>
      </c>
      <c r="B81" s="65" t="inlineStr">
        <is>
          <t>USD</t>
        </is>
      </c>
      <c r="C81" s="73" t="n">
        <v>4000000</v>
      </c>
      <c r="D81" s="18" t="inlineStr">
        <is>
          <t>Illustrative placeholder: replace with company data.</t>
        </is>
      </c>
      <c r="E81" s="67" t="inlineStr">
        <is>
          <t>MODEL ASSUMPTION</t>
        </is>
      </c>
    </row>
    <row r="82">
      <c r="A82" s="34" t="inlineStr">
        <is>
          <t>Pre-money equity valuation</t>
        </is>
      </c>
      <c r="B82" s="65" t="inlineStr">
        <is>
          <t>USD</t>
        </is>
      </c>
      <c r="C82" s="73" t="n">
        <v>8000000</v>
      </c>
      <c r="D82" s="18" t="inlineStr">
        <is>
          <t>Illustrative placeholder: replace with company data.</t>
        </is>
      </c>
      <c r="E82" s="67" t="inlineStr">
        <is>
          <t>MODEL ASSUMPTION</t>
        </is>
      </c>
    </row>
    <row r="83">
      <c r="A83" s="34" t="inlineStr">
        <is>
          <t>Exit valuation method (1 = EV/EBITDA, 2 = Price/Book)</t>
        </is>
      </c>
      <c r="B83" s="65" t="inlineStr">
        <is>
          <t>#</t>
        </is>
      </c>
      <c r="C83" s="75" t="n">
        <v>1</v>
      </c>
      <c r="D83" s="18" t="inlineStr">
        <is>
          <t>Illustrative placeholder: replace with company data.</t>
        </is>
      </c>
      <c r="E83" s="67" t="inlineStr">
        <is>
          <t>MODEL ASSUMPTION</t>
        </is>
      </c>
    </row>
    <row r="84">
      <c r="A84" s="34" t="inlineStr">
        <is>
          <t>Exit EV / EBITDA multiple (end of Year 5)</t>
        </is>
      </c>
      <c r="B84" s="65" t="inlineStr">
        <is>
          <t>x</t>
        </is>
      </c>
      <c r="C84" s="77" t="n">
        <v>6</v>
      </c>
      <c r="D84" s="18" t="inlineStr">
        <is>
          <t>Illustrative placeholder: replace with company data.</t>
        </is>
      </c>
      <c r="E84" s="67" t="inlineStr">
        <is>
          <t>MODEL ASSUMPTION</t>
        </is>
      </c>
    </row>
    <row r="85">
      <c r="A85" s="34" t="inlineStr">
        <is>
          <t>Exit price / book equity multiple (end of Year 5)</t>
        </is>
      </c>
      <c r="B85" s="65" t="inlineStr">
        <is>
          <t>x</t>
        </is>
      </c>
      <c r="C85" s="77" t="n">
        <v>1.5</v>
      </c>
      <c r="D85" s="18" t="inlineStr">
        <is>
          <t>Illustrative placeholder: replace with company data.</t>
        </is>
      </c>
      <c r="E85" s="67" t="inlineStr">
        <is>
          <t>MODEL ASSUMPTION</t>
        </is>
      </c>
    </row>
    <row r="86"/>
    <row r="87">
      <c r="A87" s="21" t="inlineStr">
        <is>
          <t>Covenant definition</t>
        </is>
      </c>
      <c r="B87" s="22" t="n"/>
      <c r="C87" s="22" t="n"/>
      <c r="D87" s="22" t="n"/>
      <c r="E87" s="22" t="n"/>
      <c r="F87" s="22"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c r="AA87" s="22" t="n"/>
      <c r="AB87" s="22" t="n"/>
      <c r="AC87" s="22" t="n"/>
      <c r="AD87" s="22" t="n"/>
      <c r="AE87" s="22" t="n"/>
      <c r="AF87" s="22" t="n"/>
      <c r="AG87" s="22" t="n"/>
      <c r="AH87" s="22" t="n"/>
      <c r="AI87" s="22" t="n"/>
      <c r="AJ87" s="22" t="n"/>
      <c r="AK87" s="22" t="n"/>
      <c r="AL87" s="22" t="n"/>
      <c r="AM87" s="22" t="n"/>
      <c r="AN87" s="22" t="n"/>
      <c r="AO87" s="22" t="n"/>
      <c r="AP87" s="22" t="n"/>
      <c r="AQ87" s="22" t="n"/>
      <c r="AR87" s="22" t="n"/>
      <c r="AS87" s="22" t="n"/>
      <c r="AT87" s="22" t="n"/>
      <c r="AU87" s="22" t="n"/>
      <c r="AV87" s="22" t="n"/>
      <c r="AW87" s="22" t="n"/>
      <c r="AX87" s="22" t="n"/>
      <c r="AY87" s="22" t="n"/>
      <c r="AZ87" s="22" t="n"/>
      <c r="BA87" s="22" t="n"/>
      <c r="BB87" s="22" t="n"/>
      <c r="BC87" s="22" t="n"/>
      <c r="BD87" s="22" t="n"/>
      <c r="BE87" s="22" t="n"/>
      <c r="BF87" s="22" t="n"/>
      <c r="BG87" s="22" t="n"/>
      <c r="BH87" s="22" t="n"/>
      <c r="BI87" s="22" t="n"/>
      <c r="BJ87" s="22" t="n"/>
      <c r="BK87" s="22" t="n"/>
      <c r="BL87" s="22" t="n"/>
    </row>
    <row r="88">
      <c r="A88" s="34" t="inlineStr">
        <is>
          <t>DSCR covenant in the facility terms (0 = none, 1 = operating cash flow basis, 2 = cash basis excluding growth in PAYGo receivables)</t>
        </is>
      </c>
      <c r="B88" s="65" t="inlineStr">
        <is>
          <t>#</t>
        </is>
      </c>
      <c r="C88" s="66" t="n">
        <v>1</v>
      </c>
      <c r="D88" s="18" t="inlineStr">
        <is>
          <t>1 keeps the test as drafted: operating cash flow absorbs the growth of the receivables book, so a growing PAYGo company fails it. 2 treats the funding of new receivables as investment (financed by the facility). 0 = the facility has no DSCR test. Use the facility's own definition.</t>
        </is>
      </c>
      <c r="E88" s="67" t="inlineStr">
        <is>
          <t>MODEL ASSUMPTION</t>
        </is>
      </c>
    </row>
  </sheetData>
  <dataValidations count="8">
    <dataValidation sqref="C5" showDropDown="0" showInputMessage="0" showErrorMessage="1" allowBlank="0" error="Enter a whole number from 1 to 3." type="whole" errorStyle="stop" operator="between">
      <formula1>1</formula1>
      <formula2>3</formula2>
    </dataValidation>
    <dataValidation sqref="C34" showDropDown="0" showInputMessage="0" showErrorMessage="1" allowBlank="0" error="Enter a whole number from 1 to 4." type="whole" errorStyle="stop" operator="between">
      <formula1>1</formula1>
      <formula2>4</formula2>
    </dataValidation>
    <dataValidation sqref="C60" showDropDown="0" showInputMessage="0" showErrorMessage="1" allowBlank="0" error="Enter 1 or 2." type="whole" errorStyle="stop" operator="between">
      <formula1>1</formula1>
      <formula2>2</formula2>
    </dataValidation>
    <dataValidation sqref="C32" showDropDown="0" showInputMessage="0" showErrorMessage="1" allowBlank="0" error="Enter a whole number from 0 to 1." type="whole" errorStyle="stop" operator="between">
      <formula1>0</formula1>
      <formula2>1</formula2>
    </dataValidation>
    <dataValidation sqref="C39" showDropDown="0" showInputMessage="0" showErrorMessage="1" allowBlank="0" error="Enter a whole number from 0 to 1." type="whole" errorStyle="stop" operator="between">
      <formula1>0</formula1>
      <formula2>1</formula2>
    </dataValidation>
    <dataValidation sqref="C83" showDropDown="0" showInputMessage="0" showErrorMessage="1" allowBlank="0" error="Enter a whole number from 1 to 2." type="whole" errorStyle="stop" operator="between">
      <formula1>1</formula1>
      <formula2>2</formula2>
    </dataValidation>
    <dataValidation sqref="C88" showDropDown="0" showInputMessage="0" showErrorMessage="1" allowBlank="0" error="Enter a whole number from 0 to 2." type="whole" errorStyle="stop" operator="between">
      <formula1>0</formula1>
      <formula2>2</formula2>
    </dataValidation>
    <dataValidation sqref="E5 E6 E7 E10 E11 E12 E13 E14 E17 E18 E19 E20 E21 E24 E25 E26 E27 E28 E31 E32 E33 E34 E35 E36 E37 E38 E39 E42 E43 E44 E45 E46 E49 E50 E51 E52 E53 E54 E55 E56 E57 E60 E61 E62 E63 E66 E67 E70 E71 E72 E73 E74 E75 E76 E79 E80 E81 E82 E83 E84 E85 E88" showDropDown="0" showInputMessage="0" showErrorMessage="1" allowBlank="0" type="list" errorStyle="stop">
      <formula1>"MODEL ASSUMPTION,COMPANY DATA,EXTERNAL EVIDENCE,CALIBRATED ASSUMPTION,UNVERIFIED"</formula1>
    </dataValidation>
  </dataValidations>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7.xml><?xml version="1.0" encoding="utf-8"?>
<worksheet xmlns="http://schemas.openxmlformats.org/spreadsheetml/2006/main">
  <sheetPr>
    <tabColor rgb="000000FF"/>
    <outlinePr summaryBelow="1" summaryRight="1"/>
    <pageSetUpPr fitToPage="1"/>
  </sheetPr>
  <dimension ref="A1:BL46"/>
  <sheetViews>
    <sheetView showGridLines="0" workbookViewId="0">
      <selection activeCell="A1" sqref="A1"/>
    </sheetView>
  </sheetViews>
  <sheetFormatPr baseColWidth="8" defaultRowHeight="15"/>
  <cols>
    <col width="54" customWidth="1" min="1" max="1"/>
    <col width="16" customWidth="1" min="2" max="2"/>
    <col width="24" customWidth="1" min="3" max="3"/>
    <col width="24" customWidth="1" min="4" max="4"/>
    <col width="24" customWidth="1" min="5" max="5"/>
    <col width="24" customWidth="1" min="6" max="6"/>
    <col width="24" customWidth="1" min="7" max="7"/>
    <col width="60" customWidth="1" min="8" max="8"/>
    <col width="24" customWidth="1" min="9" max="9"/>
  </cols>
  <sheetData>
    <row r="1">
      <c r="A1" s="17" t="inlineStr">
        <is>
          <t>Product range &amp; PAYGo price plans: MTF Tiers 1-5</t>
        </is>
      </c>
    </row>
    <row r="2">
      <c r="A2" s="18" t="inlineStr">
        <is>
          <t>[ASSUMPTION]  One column per tier. Tier labels follow the MTF capacity attribute only (indicative). Blue = input.</t>
        </is>
      </c>
    </row>
    <row r="3"/>
    <row r="4">
      <c r="A4" s="40" t="inlineStr">
        <is>
          <t>Parameter</t>
        </is>
      </c>
      <c r="B4" s="40" t="inlineStr">
        <is>
          <t>Unit</t>
        </is>
      </c>
      <c r="C4" s="40" t="inlineStr">
        <is>
          <t>Tier 1</t>
        </is>
      </c>
      <c r="D4" s="40" t="inlineStr">
        <is>
          <t>Tier 2</t>
        </is>
      </c>
      <c r="E4" s="40" t="inlineStr">
        <is>
          <t>Tier 3</t>
        </is>
      </c>
      <c r="F4" s="40" t="inlineStr">
        <is>
          <t>Tier 4</t>
        </is>
      </c>
      <c r="G4" s="40" t="inlineStr">
        <is>
          <t>Tier 5</t>
        </is>
      </c>
      <c r="H4" s="40" t="inlineStr">
        <is>
          <t>Notes</t>
        </is>
      </c>
      <c r="I4" s="40" t="inlineStr">
        <is>
          <t>Provenance</t>
        </is>
      </c>
    </row>
    <row r="5">
      <c r="A5" s="21" t="inlineStr">
        <is>
          <t>Product specification</t>
        </is>
      </c>
      <c r="B5" s="22" t="n"/>
      <c r="C5" s="22" t="n"/>
      <c r="D5" s="22" t="n"/>
      <c r="E5" s="22" t="n"/>
      <c r="F5" s="22" t="n"/>
      <c r="G5" s="22" t="n"/>
      <c r="H5" s="22" t="n"/>
      <c r="I5" s="22" t="n"/>
      <c r="J5" s="22" t="n"/>
      <c r="K5" s="22" t="n"/>
      <c r="L5" s="22" t="n"/>
      <c r="M5" s="22" t="n"/>
      <c r="N5" s="22" t="n"/>
      <c r="O5" s="22" t="n"/>
      <c r="P5" s="22" t="n"/>
      <c r="Q5" s="22" t="n"/>
      <c r="R5" s="22" t="n"/>
      <c r="S5" s="22" t="n"/>
      <c r="T5" s="22" t="n"/>
      <c r="U5" s="22" t="n"/>
      <c r="V5" s="22" t="n"/>
      <c r="W5" s="22" t="n"/>
      <c r="X5" s="22" t="n"/>
      <c r="Y5" s="22" t="n"/>
      <c r="Z5" s="22" t="n"/>
      <c r="AA5" s="22" t="n"/>
      <c r="AB5" s="22" t="n"/>
      <c r="AC5" s="22" t="n"/>
      <c r="AD5" s="22" t="n"/>
      <c r="AE5" s="22" t="n"/>
      <c r="AF5" s="22" t="n"/>
      <c r="AG5" s="22" t="n"/>
      <c r="AH5" s="22" t="n"/>
      <c r="AI5" s="22" t="n"/>
      <c r="AJ5" s="22" t="n"/>
      <c r="AK5" s="22" t="n"/>
      <c r="AL5" s="22" t="n"/>
      <c r="AM5" s="22" t="n"/>
      <c r="AN5" s="22" t="n"/>
      <c r="AO5" s="22" t="n"/>
      <c r="AP5" s="22" t="n"/>
      <c r="AQ5" s="22" t="n"/>
      <c r="AR5" s="22" t="n"/>
      <c r="AS5" s="22" t="n"/>
      <c r="AT5" s="22" t="n"/>
      <c r="AU5" s="22" t="n"/>
      <c r="AV5" s="22" t="n"/>
      <c r="AW5" s="22" t="n"/>
      <c r="AX5" s="22" t="n"/>
      <c r="AY5" s="22" t="n"/>
      <c r="AZ5" s="22" t="n"/>
      <c r="BA5" s="22" t="n"/>
      <c r="BB5" s="22" t="n"/>
      <c r="BC5" s="22" t="n"/>
      <c r="BD5" s="22" t="n"/>
      <c r="BE5" s="22" t="n"/>
      <c r="BF5" s="22" t="n"/>
      <c r="BG5" s="22" t="n"/>
      <c r="BH5" s="22" t="n"/>
      <c r="BI5" s="22" t="n"/>
      <c r="BJ5" s="22" t="n"/>
      <c r="BK5" s="22" t="n"/>
      <c r="BL5" s="22" t="n"/>
    </row>
    <row r="6" ht="30" customHeight="1">
      <c r="A6" s="34" t="inlineStr">
        <is>
          <t>Product name</t>
        </is>
      </c>
      <c r="B6" s="65" t="inlineStr">
        <is>
          <t>text</t>
        </is>
      </c>
      <c r="C6" s="78" t="inlineStr">
        <is>
          <t>Tier 1: Pico solar kit</t>
        </is>
      </c>
      <c r="D6" s="78" t="inlineStr">
        <is>
          <t>Tier 2: SHS with TV</t>
        </is>
      </c>
      <c r="E6" s="78" t="inlineStr">
        <is>
          <t>Tier 3: Large SHS + DC fridge</t>
        </is>
      </c>
      <c r="F6" s="78" t="inlineStr">
        <is>
          <t>Tier 4: Solar inverter + lithium (~1.2 kWp / 5 kWh)</t>
        </is>
      </c>
      <c r="G6" s="78" t="inlineStr">
        <is>
          <t>Tier 5: Solar inverter + lithium (~3 kWp / 10 kWh)</t>
        </is>
      </c>
      <c r="H6" s="18" t="inlineStr">
        <is>
          <t>Illustrative placeholder: replace with company data.</t>
        </is>
      </c>
      <c r="I6" s="67" t="inlineStr">
        <is>
          <t>MODEL ASSUMPTION</t>
        </is>
      </c>
    </row>
    <row r="7">
      <c r="A7" s="34" t="inlineStr">
        <is>
          <t>MTF capacity tier (indicative)</t>
        </is>
      </c>
      <c r="B7" s="65" t="inlineStr">
        <is>
          <t>tier</t>
        </is>
      </c>
      <c r="C7" s="75" t="n">
        <v>1</v>
      </c>
      <c r="D7" s="75" t="n">
        <v>2</v>
      </c>
      <c r="E7" s="75" t="n">
        <v>3</v>
      </c>
      <c r="F7" s="75" t="n">
        <v>4</v>
      </c>
      <c r="G7" s="75" t="n">
        <v>5</v>
      </c>
      <c r="H7" s="18" t="inlineStr">
        <is>
          <t>Capacity minimums: T1 ≥3 W and ≥12 Wh/day; T2 ≥50 W and ≥200 Wh/day; T3 ≥200 W and ≥1.0 kWh/day; T4 ≥800 W and ≥3.4 kWh/day; T5 ≥2 kW and ≥8.2 kWh/day (ESMAP MTF; to be checked against the framework report).</t>
        </is>
      </c>
      <c r="I7" s="79" t="inlineStr">
        <is>
          <t>UNVERIFIED</t>
        </is>
      </c>
    </row>
    <row r="8">
      <c r="A8" s="34" t="inlineStr">
        <is>
          <t>PV array size</t>
        </is>
      </c>
      <c r="B8" s="65" t="inlineStr">
        <is>
          <t>Wp</t>
        </is>
      </c>
      <c r="C8" s="74" t="n">
        <v>10</v>
      </c>
      <c r="D8" s="74" t="n">
        <v>80</v>
      </c>
      <c r="E8" s="74" t="n">
        <v>300</v>
      </c>
      <c r="F8" s="74" t="n">
        <v>1200</v>
      </c>
      <c r="G8" s="74" t="n">
        <v>3000</v>
      </c>
      <c r="H8" s="18" t="inlineStr">
        <is>
          <t>Illustrative placeholder: replace with company data.</t>
        </is>
      </c>
      <c r="I8" s="67" t="inlineStr">
        <is>
          <t>MODEL ASSUMPTION</t>
        </is>
      </c>
    </row>
    <row r="9">
      <c r="A9" s="34" t="inlineStr">
        <is>
          <t>Battery capacity</t>
        </is>
      </c>
      <c r="B9" s="65" t="inlineStr">
        <is>
          <t>Wh</t>
        </is>
      </c>
      <c r="C9" s="74" t="n">
        <v>40</v>
      </c>
      <c r="D9" s="74" t="n">
        <v>300</v>
      </c>
      <c r="E9" s="74" t="n">
        <v>1500</v>
      </c>
      <c r="F9" s="74" t="n">
        <v>5000</v>
      </c>
      <c r="G9" s="74" t="n">
        <v>10000</v>
      </c>
      <c r="H9" s="18" t="inlineStr">
        <is>
          <t>Illustrative placeholder: replace with company data.</t>
        </is>
      </c>
      <c r="I9" s="67" t="inlineStr">
        <is>
          <t>MODEL ASSUMPTION</t>
        </is>
      </c>
    </row>
    <row r="10" ht="30" customHeight="1">
      <c r="A10" s="34" t="inlineStr">
        <is>
          <t>Typical loads / appliances</t>
        </is>
      </c>
      <c r="B10" s="65" t="inlineStr">
        <is>
          <t>text</t>
        </is>
      </c>
      <c r="C10" s="78" t="inlineStr">
        <is>
          <t>1-3 lamps, phone charging, radio</t>
        </is>
      </c>
      <c r="D10" s="78" t="inlineStr">
        <is>
          <t>4-6 lamps, radio, phone, 24-32" DC TV</t>
        </is>
      </c>
      <c r="E10" s="78" t="inlineStr">
        <is>
          <t>Lighting, TV, DC fridge, fan</t>
        </is>
      </c>
      <c r="F10" s="78" t="inlineStr">
        <is>
          <t>AC loads: TV, fridge, fans, small tools</t>
        </is>
      </c>
      <c r="G10" s="78" t="inlineStr">
        <is>
          <t>Full household AC loads, freezer, productive-use equipment</t>
        </is>
      </c>
      <c r="H10" s="18" t="inlineStr">
        <is>
          <t>Illustrative placeholder: replace with company data.</t>
        </is>
      </c>
      <c r="I10" s="67" t="inlineStr">
        <is>
          <t>MODEL ASSUMPTION</t>
        </is>
      </c>
    </row>
    <row r="11" ht="30" customHeight="1">
      <c r="A11" s="34" t="inlineStr">
        <is>
          <t>Target customer segment</t>
        </is>
      </c>
      <c r="B11" s="65" t="inlineStr">
        <is>
          <t>text</t>
        </is>
      </c>
      <c r="C11" s="78" t="inlineStr">
        <is>
          <t>Rural, low income, first-time PAYGo</t>
        </is>
      </c>
      <c r="D11" s="78" t="inlineStr">
        <is>
          <t>Rural / peri-urban households</t>
        </is>
      </c>
      <c r="E11" s="78" t="inlineStr">
        <is>
          <t>Peri-urban households, kiosks</t>
        </is>
      </c>
      <c r="F11" s="78" t="inlineStr">
        <is>
          <t>Urban households &amp; SMEs with weak grid</t>
        </is>
      </c>
      <c r="G11" s="78" t="inlineStr">
        <is>
          <t>Upper-income households, SMEs, productive use</t>
        </is>
      </c>
      <c r="H11" s="18" t="inlineStr">
        <is>
          <t>Illustrative placeholder: replace with company data.</t>
        </is>
      </c>
      <c r="I11" s="67" t="inlineStr">
        <is>
          <t>MODEL ASSUMPTION</t>
        </is>
      </c>
    </row>
    <row r="12">
      <c r="A12" s="21" t="inlineStr">
        <is>
          <t>PAYGo price plan</t>
        </is>
      </c>
      <c r="B12" s="22" t="n"/>
      <c r="C12" s="22" t="n"/>
      <c r="D12" s="22" t="n"/>
      <c r="E12" s="22" t="n"/>
      <c r="F12" s="22"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c r="AA12" s="22" t="n"/>
      <c r="AB12" s="22" t="n"/>
      <c r="AC12" s="22" t="n"/>
      <c r="AD12" s="22" t="n"/>
      <c r="AE12" s="22" t="n"/>
      <c r="AF12" s="22" t="n"/>
      <c r="AG12" s="22" t="n"/>
      <c r="AH12" s="22" t="n"/>
      <c r="AI12" s="22" t="n"/>
      <c r="AJ12" s="22" t="n"/>
      <c r="AK12" s="22" t="n"/>
      <c r="AL12" s="22" t="n"/>
      <c r="AM12" s="22" t="n"/>
      <c r="AN12" s="22" t="n"/>
      <c r="AO12" s="22" t="n"/>
      <c r="AP12" s="22" t="n"/>
      <c r="AQ12" s="22" t="n"/>
      <c r="AR12" s="22" t="n"/>
      <c r="AS12" s="22" t="n"/>
      <c r="AT12" s="22" t="n"/>
      <c r="AU12" s="22" t="n"/>
      <c r="AV12" s="22" t="n"/>
      <c r="AW12" s="22" t="n"/>
      <c r="AX12" s="22" t="n"/>
      <c r="AY12" s="22" t="n"/>
      <c r="AZ12" s="22" t="n"/>
      <c r="BA12" s="22" t="n"/>
      <c r="BB12" s="22" t="n"/>
      <c r="BC12" s="22" t="n"/>
      <c r="BD12" s="22" t="n"/>
      <c r="BE12" s="22" t="n"/>
      <c r="BF12" s="22" t="n"/>
      <c r="BG12" s="22" t="n"/>
      <c r="BH12" s="22" t="n"/>
      <c r="BI12" s="22" t="n"/>
      <c r="BJ12" s="22" t="n"/>
      <c r="BK12" s="22" t="n"/>
      <c r="BL12" s="22" t="n"/>
    </row>
    <row r="13">
      <c r="A13" s="34" t="inlineStr">
        <is>
          <t>Cash (list) price</t>
        </is>
      </c>
      <c r="B13" s="65" t="inlineStr">
        <is>
          <t>LCY</t>
        </is>
      </c>
      <c r="C13" s="73" t="n">
        <v>6500</v>
      </c>
      <c r="D13" s="73" t="n">
        <v>39000</v>
      </c>
      <c r="E13" s="73" t="n">
        <v>117000</v>
      </c>
      <c r="F13" s="73" t="n">
        <v>390000</v>
      </c>
      <c r="G13" s="73" t="n">
        <v>845000</v>
      </c>
      <c r="H13" s="18" t="inlineStr">
        <is>
          <t>Price if paid upfront. Basis of hardware revenue.</t>
        </is>
      </c>
      <c r="I13" s="67" t="inlineStr">
        <is>
          <t>MODEL ASSUMPTION</t>
        </is>
      </c>
    </row>
    <row r="14">
      <c r="A14" s="34" t="inlineStr">
        <is>
          <t>Down payment (deposit)</t>
        </is>
      </c>
      <c r="B14" s="65" t="inlineStr">
        <is>
          <t>LCY</t>
        </is>
      </c>
      <c r="C14" s="73" t="n">
        <v>1000</v>
      </c>
      <c r="D14" s="73" t="n">
        <v>4000</v>
      </c>
      <c r="E14" s="73" t="n">
        <v>17550</v>
      </c>
      <c r="F14" s="73" t="n">
        <v>78000</v>
      </c>
      <c r="G14" s="73" t="n">
        <v>211250</v>
      </c>
      <c r="H14" s="18" t="inlineStr">
        <is>
          <t>Illustrative placeholder: replace with company data.</t>
        </is>
      </c>
      <c r="I14" s="67" t="inlineStr">
        <is>
          <t>MODEL ASSUMPTION</t>
        </is>
      </c>
    </row>
    <row r="15">
      <c r="A15" s="34" t="inlineStr">
        <is>
          <t>PAYGo daily rate</t>
        </is>
      </c>
      <c r="B15" s="65" t="inlineStr">
        <is>
          <t>LCY / day</t>
        </is>
      </c>
      <c r="C15" s="73" t="n">
        <v>25</v>
      </c>
      <c r="D15" s="73" t="n">
        <v>77</v>
      </c>
      <c r="E15" s="73" t="n">
        <v>173</v>
      </c>
      <c r="F15" s="73" t="n">
        <v>445</v>
      </c>
      <c r="G15" s="73" t="n">
        <v>694</v>
      </c>
      <c r="H15" s="18" t="inlineStr">
        <is>
          <t>Illustrative placeholder: replace with company data.</t>
        </is>
      </c>
      <c r="I15" s="67" t="inlineStr">
        <is>
          <t>MODEL ASSUMPTION</t>
        </is>
      </c>
    </row>
    <row r="16">
      <c r="A16" s="34" t="inlineStr">
        <is>
          <t>PAYGo tenor</t>
        </is>
      </c>
      <c r="B16" s="65" t="inlineStr">
        <is>
          <t>months</t>
        </is>
      </c>
      <c r="C16" s="66" t="n">
        <v>12</v>
      </c>
      <c r="D16" s="66" t="n">
        <v>24</v>
      </c>
      <c r="E16" s="66" t="n">
        <v>30</v>
      </c>
      <c r="F16" s="66" t="n">
        <v>36</v>
      </c>
      <c r="G16" s="66" t="n">
        <v>48</v>
      </c>
      <c r="H16" s="18" t="inlineStr">
        <is>
          <t>Maximum 60 months (horizon of the curves).</t>
        </is>
      </c>
      <c r="I16" s="67" t="inlineStr">
        <is>
          <t>MODEL ASSUMPTION</t>
        </is>
      </c>
    </row>
    <row r="17">
      <c r="A17" s="21" t="inlineStr">
        <is>
          <t>Cost to serve &amp; acquisition</t>
        </is>
      </c>
      <c r="B17" s="22" t="n"/>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c r="AA17" s="22" t="n"/>
      <c r="AB17" s="22" t="n"/>
      <c r="AC17" s="22" t="n"/>
      <c r="AD17" s="22" t="n"/>
      <c r="AE17" s="22" t="n"/>
      <c r="AF17" s="22" t="n"/>
      <c r="AG17" s="22" t="n"/>
      <c r="AH17" s="22" t="n"/>
      <c r="AI17" s="22" t="n"/>
      <c r="AJ17" s="22" t="n"/>
      <c r="AK17" s="22" t="n"/>
      <c r="AL17" s="22" t="n"/>
      <c r="AM17" s="22" t="n"/>
      <c r="AN17" s="22" t="n"/>
      <c r="AO17" s="22" t="n"/>
      <c r="AP17" s="22" t="n"/>
      <c r="AQ17" s="22" t="n"/>
      <c r="AR17" s="22" t="n"/>
      <c r="AS17" s="22" t="n"/>
      <c r="AT17" s="22" t="n"/>
      <c r="AU17" s="22" t="n"/>
      <c r="AV17" s="22" t="n"/>
      <c r="AW17" s="22" t="n"/>
      <c r="AX17" s="22" t="n"/>
      <c r="AY17" s="22" t="n"/>
      <c r="AZ17" s="22" t="n"/>
      <c r="BA17" s="22" t="n"/>
      <c r="BB17" s="22" t="n"/>
      <c r="BC17" s="22" t="n"/>
      <c r="BD17" s="22" t="n"/>
      <c r="BE17" s="22" t="n"/>
      <c r="BF17" s="22" t="n"/>
      <c r="BG17" s="22" t="n"/>
      <c r="BH17" s="22" t="n"/>
      <c r="BI17" s="22" t="n"/>
      <c r="BJ17" s="22" t="n"/>
      <c r="BK17" s="22" t="n"/>
      <c r="BL17" s="22" t="n"/>
    </row>
    <row r="18">
      <c r="A18" s="34" t="inlineStr">
        <is>
          <t>Hardware FOB cost</t>
        </is>
      </c>
      <c r="B18" s="65" t="inlineStr">
        <is>
          <t>USD / unit</t>
        </is>
      </c>
      <c r="C18" s="73" t="n">
        <v>25</v>
      </c>
      <c r="D18" s="73" t="n">
        <v>150</v>
      </c>
      <c r="E18" s="73" t="n">
        <v>450</v>
      </c>
      <c r="F18" s="73" t="n">
        <v>1400</v>
      </c>
      <c r="G18" s="73" t="n">
        <v>3200</v>
      </c>
      <c r="H18" s="18" t="inlineStr">
        <is>
          <t>Illustrative placeholder: replace with company data.</t>
        </is>
      </c>
      <c r="I18" s="67" t="inlineStr">
        <is>
          <t>MODEL ASSUMPTION</t>
        </is>
      </c>
    </row>
    <row r="19">
      <c r="A19" s="34" t="inlineStr">
        <is>
          <t>Installation &amp; last-mile logistics</t>
        </is>
      </c>
      <c r="B19" s="65" t="inlineStr">
        <is>
          <t>LCY / unit</t>
        </is>
      </c>
      <c r="C19" s="74" t="n">
        <v>0</v>
      </c>
      <c r="D19" s="74" t="n">
        <v>500</v>
      </c>
      <c r="E19" s="74" t="n">
        <v>2500</v>
      </c>
      <c r="F19" s="74" t="n">
        <v>15000</v>
      </c>
      <c r="G19" s="74" t="n">
        <v>30000</v>
      </c>
      <c r="H19" s="18" t="inlineStr">
        <is>
          <t>Indexed to local inflation.</t>
        </is>
      </c>
      <c r="I19" s="67" t="inlineStr">
        <is>
          <t>MODEL ASSUMPTION</t>
        </is>
      </c>
    </row>
    <row r="20">
      <c r="A20" s="34" t="inlineStr">
        <is>
          <t>Agent / installer commission per sale</t>
        </is>
      </c>
      <c r="B20" s="65" t="inlineStr">
        <is>
          <t>LCY / unit</t>
        </is>
      </c>
      <c r="C20" s="74" t="n">
        <v>500</v>
      </c>
      <c r="D20" s="74" t="n">
        <v>2000</v>
      </c>
      <c r="E20" s="74" t="n">
        <v>5000</v>
      </c>
      <c r="F20" s="74" t="n">
        <v>12000</v>
      </c>
      <c r="G20" s="74" t="n">
        <v>20000</v>
      </c>
      <c r="H20" s="18" t="inlineStr">
        <is>
          <t>Indexed to local inflation.</t>
        </is>
      </c>
      <c r="I20" s="67" t="inlineStr">
        <is>
          <t>MODEL ASSUMPTION</t>
        </is>
      </c>
    </row>
    <row r="21">
      <c r="A21" s="34" t="inlineStr">
        <is>
          <t>Marketing &amp; other acquisition cost per sale</t>
        </is>
      </c>
      <c r="B21" s="65" t="inlineStr">
        <is>
          <t>LCY / unit</t>
        </is>
      </c>
      <c r="C21" s="74" t="n">
        <v>300</v>
      </c>
      <c r="D21" s="74" t="n">
        <v>1000</v>
      </c>
      <c r="E21" s="74" t="n">
        <v>2500</v>
      </c>
      <c r="F21" s="74" t="n">
        <v>6000</v>
      </c>
      <c r="G21" s="74" t="n">
        <v>10000</v>
      </c>
      <c r="H21" s="18" t="inlineStr">
        <is>
          <t>Indexed to local inflation.</t>
        </is>
      </c>
      <c r="I21" s="67" t="inlineStr">
        <is>
          <t>MODEL ASSUMPTION</t>
        </is>
      </c>
    </row>
    <row r="22">
      <c r="A22" s="34" t="inlineStr">
        <is>
          <t>Warranty &amp; after-sales provision</t>
        </is>
      </c>
      <c r="B22" s="65" t="inlineStr">
        <is>
          <t>% of landed HW cost</t>
        </is>
      </c>
      <c r="C22" s="71" t="n">
        <v>0.03</v>
      </c>
      <c r="D22" s="71" t="n">
        <v>0.05</v>
      </c>
      <c r="E22" s="71" t="n">
        <v>0.05</v>
      </c>
      <c r="F22" s="71" t="n">
        <v>0.06</v>
      </c>
      <c r="G22" s="71" t="n">
        <v>0.06</v>
      </c>
      <c r="H22" s="18" t="inlineStr">
        <is>
          <t>Illustrative placeholder: replace with company data.</t>
        </is>
      </c>
      <c r="I22" s="67" t="inlineStr">
        <is>
          <t>MODEL ASSUMPTION</t>
        </is>
      </c>
    </row>
    <row r="23">
      <c r="A23" s="34" t="inlineStr">
        <is>
          <t>Sales mix</t>
        </is>
      </c>
      <c r="B23" s="65" t="inlineStr">
        <is>
          <t>% of units</t>
        </is>
      </c>
      <c r="C23" s="72" t="n">
        <v>0.3</v>
      </c>
      <c r="D23" s="72" t="n">
        <v>0.35</v>
      </c>
      <c r="E23" s="72" t="n">
        <v>0.2</v>
      </c>
      <c r="F23" s="72" t="n">
        <v>0.1</v>
      </c>
      <c r="G23" s="72" t="n">
        <v>0.05</v>
      </c>
      <c r="H23" s="18" t="inlineStr">
        <is>
          <t>Must sum to 100% (see Checks).</t>
        </is>
      </c>
      <c r="I23" s="67" t="inlineStr">
        <is>
          <t>MODEL ASSUMPTION</t>
        </is>
      </c>
    </row>
    <row r="24">
      <c r="A24" s="21" t="inlineStr">
        <is>
          <t>Credit risk &amp; recovery</t>
        </is>
      </c>
      <c r="B24" s="22" t="n"/>
      <c r="C24" s="22" t="n"/>
      <c r="D24" s="22" t="n"/>
      <c r="E24" s="22" t="n"/>
      <c r="F24" s="22"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c r="AA24" s="22" t="n"/>
      <c r="AB24" s="22" t="n"/>
      <c r="AC24" s="22" t="n"/>
      <c r="AD24" s="22" t="n"/>
      <c r="AE24" s="22" t="n"/>
      <c r="AF24" s="22" t="n"/>
      <c r="AG24" s="22" t="n"/>
      <c r="AH24" s="22" t="n"/>
      <c r="AI24" s="22" t="n"/>
      <c r="AJ24" s="22" t="n"/>
      <c r="AK24" s="22" t="n"/>
      <c r="AL24" s="22" t="n"/>
      <c r="AM24" s="22" t="n"/>
      <c r="AN24" s="22" t="n"/>
      <c r="AO24" s="22" t="n"/>
      <c r="AP24" s="22" t="n"/>
      <c r="AQ24" s="22" t="n"/>
      <c r="AR24" s="22" t="n"/>
      <c r="AS24" s="22" t="n"/>
      <c r="AT24" s="22" t="n"/>
      <c r="AU24" s="22" t="n"/>
      <c r="AV24" s="22" t="n"/>
      <c r="AW24" s="22" t="n"/>
      <c r="AX24" s="22" t="n"/>
      <c r="AY24" s="22" t="n"/>
      <c r="AZ24" s="22" t="n"/>
      <c r="BA24" s="22" t="n"/>
      <c r="BB24" s="22" t="n"/>
      <c r="BC24" s="22" t="n"/>
      <c r="BD24" s="22" t="n"/>
      <c r="BE24" s="22" t="n"/>
      <c r="BF24" s="22" t="n"/>
      <c r="BG24" s="22" t="n"/>
      <c r="BH24" s="22" t="n"/>
      <c r="BI24" s="22" t="n"/>
      <c r="BJ24" s="22" t="n"/>
      <c r="BK24" s="22" t="n"/>
      <c r="BL24" s="22" t="n"/>
    </row>
    <row r="25">
      <c r="A25" s="34" t="inlineStr">
        <is>
          <t>Base monthly default hazard</t>
        </is>
      </c>
      <c r="B25" s="65" t="inlineStr">
        <is>
          <t>% of paying accounts / month</t>
        </is>
      </c>
      <c r="C25" s="72" t="n">
        <v>0.035</v>
      </c>
      <c r="D25" s="72" t="n">
        <v>0.026</v>
      </c>
      <c r="E25" s="72" t="n">
        <v>0.019</v>
      </c>
      <c r="F25" s="72" t="n">
        <v>0.013</v>
      </c>
      <c r="G25" s="72" t="n">
        <v>0.01</v>
      </c>
      <c r="H25" s="18" t="inlineStr">
        <is>
          <t>Share of still-paying accounts that stop paying each month. Calibrate to the company's own cohort curves.</t>
        </is>
      </c>
      <c r="I25" s="67" t="inlineStr">
        <is>
          <t>MODEL ASSUMPTION</t>
        </is>
      </c>
    </row>
    <row r="26">
      <c r="A26" s="34" t="inlineStr">
        <is>
          <t>Base collection rate on paying accounts</t>
        </is>
      </c>
      <c r="B26" s="65" t="inlineStr">
        <is>
          <t>% of instalment</t>
        </is>
      </c>
      <c r="C26" s="72" t="n">
        <v>0.88</v>
      </c>
      <c r="D26" s="72" t="n">
        <v>0.88</v>
      </c>
      <c r="E26" s="72" t="n">
        <v>0.9</v>
      </c>
      <c r="F26" s="72" t="n">
        <v>0.92</v>
      </c>
      <c r="G26" s="72" t="n">
        <v>0.93</v>
      </c>
      <c r="H26" s="18" t="inlineStr">
        <is>
          <t>Captures partial / late payment by accounts that keep paying.</t>
        </is>
      </c>
      <c r="I26" s="67" t="inlineStr">
        <is>
          <t>MODEL ASSUMPTION</t>
        </is>
      </c>
    </row>
    <row r="27">
      <c r="A27" s="34" t="inlineStr">
        <is>
          <t>Repossession rate of defaulted units</t>
        </is>
      </c>
      <c r="B27" s="65" t="inlineStr">
        <is>
          <t>% of defaults</t>
        </is>
      </c>
      <c r="C27" s="71" t="n">
        <v>0</v>
      </c>
      <c r="D27" s="71" t="n">
        <v>0.2</v>
      </c>
      <c r="E27" s="71" t="n">
        <v>0.4</v>
      </c>
      <c r="F27" s="71" t="n">
        <v>0.6</v>
      </c>
      <c r="G27" s="71" t="n">
        <v>0.7</v>
      </c>
      <c r="H27" s="18" t="inlineStr">
        <is>
          <t>Illustrative placeholder: replace with company data.</t>
        </is>
      </c>
      <c r="I27" s="67" t="inlineStr">
        <is>
          <t>MODEL ASSUMPTION</t>
        </is>
      </c>
    </row>
    <row r="28">
      <c r="A28" s="34" t="inlineStr">
        <is>
          <t>Gross resale value of repossessed unit</t>
        </is>
      </c>
      <c r="B28" s="65" t="inlineStr">
        <is>
          <t>% of cash price</t>
        </is>
      </c>
      <c r="C28" s="71" t="n">
        <v>0.2</v>
      </c>
      <c r="D28" s="71" t="n">
        <v>0.25</v>
      </c>
      <c r="E28" s="71" t="n">
        <v>0.35</v>
      </c>
      <c r="F28" s="71" t="n">
        <v>0.45</v>
      </c>
      <c r="G28" s="71" t="n">
        <v>0.5</v>
      </c>
      <c r="H28" s="18" t="inlineStr">
        <is>
          <t>Before recovery costs (Credit_Assumptions). Net proceeds are recognised as recoveries against credit losses.</t>
        </is>
      </c>
      <c r="I28" s="67" t="inlineStr">
        <is>
          <t>MODEL ASSUMPTION</t>
        </is>
      </c>
    </row>
    <row r="29">
      <c r="A29" s="21" t="inlineStr">
        <is>
          <t>Subsidy &amp; funding</t>
        </is>
      </c>
      <c r="B29" s="22" t="n"/>
      <c r="C29" s="22" t="n"/>
      <c r="D29" s="22" t="n"/>
      <c r="E29" s="22" t="n"/>
      <c r="F29" s="22"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c r="AA29" s="22" t="n"/>
      <c r="AB29" s="22" t="n"/>
      <c r="AC29" s="22" t="n"/>
      <c r="AD29" s="22" t="n"/>
      <c r="AE29" s="22" t="n"/>
      <c r="AF29" s="22" t="n"/>
      <c r="AG29" s="22" t="n"/>
      <c r="AH29" s="22" t="n"/>
      <c r="AI29" s="22" t="n"/>
      <c r="AJ29" s="22" t="n"/>
      <c r="AK29" s="22" t="n"/>
      <c r="AL29" s="22" t="n"/>
      <c r="AM29" s="22" t="n"/>
      <c r="AN29" s="22" t="n"/>
      <c r="AO29" s="22" t="n"/>
      <c r="AP29" s="22" t="n"/>
      <c r="AQ29" s="22" t="n"/>
      <c r="AR29" s="22" t="n"/>
      <c r="AS29" s="22" t="n"/>
      <c r="AT29" s="22" t="n"/>
      <c r="AU29" s="22" t="n"/>
      <c r="AV29" s="22" t="n"/>
      <c r="AW29" s="22" t="n"/>
      <c r="AX29" s="22" t="n"/>
      <c r="AY29" s="22" t="n"/>
      <c r="AZ29" s="22" t="n"/>
      <c r="BA29" s="22" t="n"/>
      <c r="BB29" s="22" t="n"/>
      <c r="BC29" s="22" t="n"/>
      <c r="BD29" s="22" t="n"/>
      <c r="BE29" s="22" t="n"/>
      <c r="BF29" s="22" t="n"/>
      <c r="BG29" s="22" t="n"/>
      <c r="BH29" s="22" t="n"/>
      <c r="BI29" s="22" t="n"/>
      <c r="BJ29" s="22" t="n"/>
      <c r="BK29" s="22" t="n"/>
      <c r="BL29" s="22" t="n"/>
    </row>
    <row r="30">
      <c r="A30" s="34" t="inlineStr">
        <is>
          <t>RBF per unit sold</t>
        </is>
      </c>
      <c r="B30" s="65" t="inlineStr">
        <is>
          <t>USD / unit</t>
        </is>
      </c>
      <c r="C30" s="74" t="n">
        <v>5</v>
      </c>
      <c r="D30" s="74" t="n">
        <v>15</v>
      </c>
      <c r="E30" s="74" t="n">
        <v>25</v>
      </c>
      <c r="F30" s="74" t="n">
        <v>0</v>
      </c>
      <c r="G30" s="74" t="n">
        <v>0</v>
      </c>
      <c r="H30" s="18" t="inlineStr">
        <is>
          <t>Set to 0 for tiers outside the programme.</t>
        </is>
      </c>
      <c r="I30" s="67" t="inlineStr">
        <is>
          <t>MODEL ASSUMPTION</t>
        </is>
      </c>
    </row>
    <row r="31">
      <c r="A31" s="34" t="inlineStr">
        <is>
          <t>Receivables facility advance rate</t>
        </is>
      </c>
      <c r="B31" s="65" t="inlineStr">
        <is>
          <t>% of eligible receivables</t>
        </is>
      </c>
      <c r="C31" s="72" t="n">
        <v>0.5</v>
      </c>
      <c r="D31" s="72" t="n">
        <v>0.7</v>
      </c>
      <c r="E31" s="72" t="n">
        <v>0.7</v>
      </c>
      <c r="F31" s="72" t="n">
        <v>0.75</v>
      </c>
      <c r="G31" s="72" t="n">
        <v>0.75</v>
      </c>
      <c r="H31" s="18" t="inlineStr">
        <is>
          <t>Lenders often apply different advance rates by product.</t>
        </is>
      </c>
      <c r="I31" s="67" t="inlineStr">
        <is>
          <t>MODEL ASSUMPTION</t>
        </is>
      </c>
    </row>
    <row r="32">
      <c r="A32" s="21" t="inlineStr">
        <is>
          <t>Derived price-plan metrics (do not edit)</t>
        </is>
      </c>
      <c r="B32" s="22" t="n"/>
      <c r="C32" s="22" t="n"/>
      <c r="D32" s="22" t="n"/>
      <c r="E32" s="22" t="n"/>
      <c r="F32" s="22"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c r="AA32" s="22" t="n"/>
      <c r="AB32" s="22" t="n"/>
      <c r="AC32" s="22" t="n"/>
      <c r="AD32" s="22" t="n"/>
      <c r="AE32" s="22" t="n"/>
      <c r="AF32" s="22" t="n"/>
      <c r="AG32" s="22" t="n"/>
      <c r="AH32" s="22" t="n"/>
      <c r="AI32" s="22" t="n"/>
      <c r="AJ32" s="22" t="n"/>
      <c r="AK32" s="22" t="n"/>
      <c r="AL32" s="22" t="n"/>
      <c r="AM32" s="22" t="n"/>
      <c r="AN32" s="22" t="n"/>
      <c r="AO32" s="22" t="n"/>
      <c r="AP32" s="22" t="n"/>
      <c r="AQ32" s="22" t="n"/>
      <c r="AR32" s="22" t="n"/>
      <c r="AS32" s="22" t="n"/>
      <c r="AT32" s="22" t="n"/>
      <c r="AU32" s="22" t="n"/>
      <c r="AV32" s="22" t="n"/>
      <c r="AW32" s="22" t="n"/>
      <c r="AX32" s="22" t="n"/>
      <c r="AY32" s="22" t="n"/>
      <c r="AZ32" s="22" t="n"/>
      <c r="BA32" s="22" t="n"/>
      <c r="BB32" s="22" t="n"/>
      <c r="BC32" s="22" t="n"/>
      <c r="BD32" s="22" t="n"/>
      <c r="BE32" s="22" t="n"/>
      <c r="BF32" s="22" t="n"/>
      <c r="BG32" s="22" t="n"/>
      <c r="BH32" s="22" t="n"/>
      <c r="BI32" s="22" t="n"/>
      <c r="BJ32" s="22" t="n"/>
      <c r="BK32" s="22" t="n"/>
      <c r="BL32" s="22" t="n"/>
    </row>
    <row r="33">
      <c r="A33" s="34" t="inlineStr">
        <is>
          <t>Monthly instalment (daily rate x 365/12)</t>
        </is>
      </c>
      <c r="B33" s="65" t="inlineStr">
        <is>
          <t>LCY / month</t>
        </is>
      </c>
      <c r="C33" s="80">
        <f>Products!$C$15*365/12</f>
        <v/>
      </c>
      <c r="D33" s="80">
        <f>Products!$D$15*365/12</f>
        <v/>
      </c>
      <c r="E33" s="80">
        <f>Products!$E$15*365/12</f>
        <v/>
      </c>
      <c r="F33" s="80">
        <f>Products!$F$15*365/12</f>
        <v/>
      </c>
      <c r="G33" s="80">
        <f>Products!$G$15*365/12</f>
        <v/>
      </c>
    </row>
    <row r="34">
      <c r="A34" s="34" t="inlineStr">
        <is>
          <t>Total PAYGo contract value</t>
        </is>
      </c>
      <c r="B34" s="65" t="inlineStr">
        <is>
          <t>LCY</t>
        </is>
      </c>
      <c r="C34" s="80">
        <f>Products!$C$14+Products!$C$33*Products!$C$16</f>
        <v/>
      </c>
      <c r="D34" s="80">
        <f>Products!$D$14+Products!$D$33*Products!$D$16</f>
        <v/>
      </c>
      <c r="E34" s="80">
        <f>Products!$E$14+Products!$E$33*Products!$E$16</f>
        <v/>
      </c>
      <c r="F34" s="80">
        <f>Products!$F$14+Products!$F$33*Products!$F$16</f>
        <v/>
      </c>
      <c r="G34" s="80">
        <f>Products!$G$14+Products!$G$33*Products!$G$16</f>
        <v/>
      </c>
    </row>
    <row r="35">
      <c r="A35" s="34" t="inlineStr">
        <is>
          <t>PAYGo price premium over cash price</t>
        </is>
      </c>
      <c r="B35" s="65" t="inlineStr">
        <is>
          <t>LCY</t>
        </is>
      </c>
      <c r="C35" s="80">
        <f>Products!$C$34-Products!$C$13</f>
        <v/>
      </c>
      <c r="D35" s="80">
        <f>Products!$D$34-Products!$D$13</f>
        <v/>
      </c>
      <c r="E35" s="80">
        <f>Products!$E$34-Products!$E$13</f>
        <v/>
      </c>
      <c r="F35" s="80">
        <f>Products!$F$34-Products!$F$13</f>
        <v/>
      </c>
      <c r="G35" s="80">
        <f>Products!$G$34-Products!$G$13</f>
        <v/>
      </c>
    </row>
    <row r="36">
      <c r="A36" s="34" t="inlineStr">
        <is>
          <t>PAYGo premium as % of cash price</t>
        </is>
      </c>
      <c r="B36" s="65" t="inlineStr">
        <is>
          <t>%</t>
        </is>
      </c>
      <c r="C36" s="81">
        <f>IF(Products!$C$13=0,0,Products!$C$35/Products!$C$13)</f>
        <v/>
      </c>
      <c r="D36" s="81">
        <f>IF(Products!$D$13=0,0,Products!$D$35/Products!$D$13)</f>
        <v/>
      </c>
      <c r="E36" s="81">
        <f>IF(Products!$E$13=0,0,Products!$E$35/Products!$E$13)</f>
        <v/>
      </c>
      <c r="F36" s="81">
        <f>IF(Products!$F$13=0,0,Products!$F$35/Products!$F$13)</f>
        <v/>
      </c>
      <c r="G36" s="81">
        <f>IF(Products!$G$13=0,0,Products!$G$35/Products!$G$13)</f>
        <v/>
      </c>
    </row>
    <row r="37">
      <c r="A37" s="34" t="inlineStr">
        <is>
          <t>Down payment as % of cash price</t>
        </is>
      </c>
      <c r="B37" s="65" t="inlineStr">
        <is>
          <t>%</t>
        </is>
      </c>
      <c r="C37" s="81">
        <f>IF(Products!$C$13=0,0,Products!$C$14/Products!$C$13)</f>
        <v/>
      </c>
      <c r="D37" s="81">
        <f>IF(Products!$D$13=0,0,Products!$D$14/Products!$D$13)</f>
        <v/>
      </c>
      <c r="E37" s="81">
        <f>IF(Products!$E$13=0,0,Products!$E$14/Products!$E$13)</f>
        <v/>
      </c>
      <c r="F37" s="81">
        <f>IF(Products!$F$13=0,0,Products!$F$14/Products!$F$13)</f>
        <v/>
      </c>
      <c r="G37" s="81">
        <f>IF(Products!$G$13=0,0,Products!$G$14/Products!$G$13)</f>
        <v/>
      </c>
    </row>
    <row r="38">
      <c r="A38" s="34" t="inlineStr">
        <is>
          <t>Amount financed at sale (cash price: deposit)</t>
        </is>
      </c>
      <c r="B38" s="65" t="inlineStr">
        <is>
          <t>LCY</t>
        </is>
      </c>
      <c r="C38" s="80">
        <f>Products!$C$13-Products!$C$14</f>
        <v/>
      </c>
      <c r="D38" s="80">
        <f>Products!$D$13-Products!$D$14</f>
        <v/>
      </c>
      <c r="E38" s="80">
        <f>Products!$E$13-Products!$E$14</f>
        <v/>
      </c>
      <c r="F38" s="80">
        <f>Products!$F$13-Products!$F$14</f>
        <v/>
      </c>
      <c r="G38" s="80">
        <f>Products!$G$13-Products!$G$14</f>
        <v/>
      </c>
    </row>
    <row r="39">
      <c r="A39" s="34" t="inlineStr">
        <is>
          <t>Implied annual financing rate (nominal APR)</t>
        </is>
      </c>
      <c r="B39" s="65" t="inlineStr">
        <is>
          <t>% p.a.</t>
        </is>
      </c>
      <c r="C39" s="81">
        <f>IFERROR(RATE(Products!$C$16,-Products!$C$33,Products!$C$38)*12,0)</f>
        <v/>
      </c>
      <c r="D39" s="81">
        <f>IFERROR(RATE(Products!$D$16,-Products!$D$33,Products!$D$38)*12,0)</f>
        <v/>
      </c>
      <c r="E39" s="81">
        <f>IFERROR(RATE(Products!$E$16,-Products!$E$33,Products!$E$38)*12,0)</f>
        <v/>
      </c>
      <c r="F39" s="81">
        <f>IFERROR(RATE(Products!$F$16,-Products!$F$33,Products!$F$38)*12,0)</f>
        <v/>
      </c>
      <c r="G39" s="81">
        <f>IFERROR(RATE(Products!$G$16,-Products!$G$33,Products!$G$38)*12,0)</f>
        <v/>
      </c>
      <c r="H39" s="18" t="inlineStr">
        <is>
          <t>Rate equating the financed amount with the instalment stream (consumer-protection disclosure).</t>
        </is>
      </c>
    </row>
    <row r="40">
      <c r="A40" s="34" t="inlineStr">
        <is>
          <t>Cash price in USD at opening FX</t>
        </is>
      </c>
      <c r="B40" s="65" t="inlineStr">
        <is>
          <t>USD</t>
        </is>
      </c>
      <c r="C40" s="80">
        <f>Products!$C$13/Inputs!$C$10</f>
        <v/>
      </c>
      <c r="D40" s="80">
        <f>Products!$D$13/Inputs!$C$10</f>
        <v/>
      </c>
      <c r="E40" s="80">
        <f>Products!$E$13/Inputs!$C$10</f>
        <v/>
      </c>
      <c r="F40" s="80">
        <f>Products!$F$13/Inputs!$C$10</f>
        <v/>
      </c>
      <c r="G40" s="80">
        <f>Products!$G$13/Inputs!$C$10</f>
        <v/>
      </c>
    </row>
    <row r="41">
      <c r="A41" s="34" t="inlineStr">
        <is>
          <t>Scenario monthly default hazard</t>
        </is>
      </c>
      <c r="B41" s="65" t="inlineStr">
        <is>
          <t>%</t>
        </is>
      </c>
      <c r="C41" s="81">
        <f>Products!$C$25*Scenarios!$G$6</f>
        <v/>
      </c>
      <c r="D41" s="81">
        <f>Products!$D$25*Scenarios!$G$6</f>
        <v/>
      </c>
      <c r="E41" s="81">
        <f>Products!$E$25*Scenarios!$G$6</f>
        <v/>
      </c>
      <c r="F41" s="81">
        <f>Products!$F$25*Scenarios!$G$6</f>
        <v/>
      </c>
      <c r="G41" s="81">
        <f>Products!$G$25*Scenarios!$G$6</f>
        <v/>
      </c>
    </row>
    <row r="42">
      <c r="A42" s="34" t="inlineStr">
        <is>
          <t>Scenario collection rate on paying accounts</t>
        </is>
      </c>
      <c r="B42" s="65" t="inlineStr">
        <is>
          <t>%</t>
        </is>
      </c>
      <c r="C42" s="81">
        <f>MIN(1,Products!$C$26*Scenarios!$G$7)</f>
        <v/>
      </c>
      <c r="D42" s="81">
        <f>MIN(1,Products!$D$26*Scenarios!$G$7)</f>
        <v/>
      </c>
      <c r="E42" s="81">
        <f>MIN(1,Products!$E$26*Scenarios!$G$7)</f>
        <v/>
      </c>
      <c r="F42" s="81">
        <f>MIN(1,Products!$F$26*Scenarios!$G$7)</f>
        <v/>
      </c>
      <c r="G42" s="81">
        <f>MIN(1,Products!$G$26*Scenarios!$G$7)</f>
        <v/>
      </c>
    </row>
    <row r="43">
      <c r="A43" s="34" t="inlineStr">
        <is>
          <t>Landed hardware cost at opening FX (scenario)</t>
        </is>
      </c>
      <c r="B43" s="65" t="inlineStr">
        <is>
          <t>LCY / unit</t>
        </is>
      </c>
      <c r="C43" s="80">
        <f>Products!$C$18*(1+Inputs!$C$28)*Inputs!$C$10*Scenarios!$G$9</f>
        <v/>
      </c>
      <c r="D43" s="80">
        <f>Products!$D$18*(1+Inputs!$C$28)*Inputs!$C$10*Scenarios!$G$9</f>
        <v/>
      </c>
      <c r="E43" s="80">
        <f>Products!$E$18*(1+Inputs!$C$28)*Inputs!$C$10*Scenarios!$G$9</f>
        <v/>
      </c>
      <c r="F43" s="80">
        <f>Products!$F$18*(1+Inputs!$C$28)*Inputs!$C$10*Scenarios!$G$9</f>
        <v/>
      </c>
      <c r="G43" s="80">
        <f>Products!$G$18*(1+Inputs!$C$28)*Inputs!$C$10*Scenarios!$G$9</f>
        <v/>
      </c>
    </row>
    <row r="44">
      <c r="A44" s="34" t="inlineStr">
        <is>
          <t>Customer acquisition cost (commission + marketing)</t>
        </is>
      </c>
      <c r="B44" s="65" t="inlineStr">
        <is>
          <t>LCY / unit</t>
        </is>
      </c>
      <c r="C44" s="80">
        <f>Products!$C$20+Products!$C$21</f>
        <v/>
      </c>
      <c r="D44" s="80">
        <f>Products!$D$20+Products!$D$21</f>
        <v/>
      </c>
      <c r="E44" s="80">
        <f>Products!$E$20+Products!$E$21</f>
        <v/>
      </c>
      <c r="F44" s="80">
        <f>Products!$F$20+Products!$F$21</f>
        <v/>
      </c>
      <c r="G44" s="80">
        <f>Products!$G$20+Products!$G$21</f>
        <v/>
      </c>
    </row>
    <row r="45">
      <c r="A45" s="34" t="inlineStr">
        <is>
          <t>PERFORM ownership horizon (2 x tenor)</t>
        </is>
      </c>
      <c r="B45" s="65" t="inlineStr">
        <is>
          <t>months</t>
        </is>
      </c>
      <c r="C45" s="23">
        <f>2*Products!$C$16</f>
        <v/>
      </c>
      <c r="D45" s="23">
        <f>2*Products!$D$16</f>
        <v/>
      </c>
      <c r="E45" s="23">
        <f>2*Products!$E$16</f>
        <v/>
      </c>
      <c r="F45" s="23">
        <f>2*Products!$F$16</f>
        <v/>
      </c>
      <c r="G45" s="23">
        <f>2*Products!$G$16</f>
        <v/>
      </c>
      <c r="H45" s="18" t="inlineStr">
        <is>
          <t>Each tier references its own tenor (avoids the cross-tier reference error found in an earlier workbook).</t>
        </is>
      </c>
    </row>
    <row r="46">
      <c r="A46" s="34" t="inlineStr">
        <is>
          <t>Hardware gross margin on cash price (month 1)</t>
        </is>
      </c>
      <c r="B46" s="65" t="inlineStr">
        <is>
          <t>%</t>
        </is>
      </c>
      <c r="C46" s="81">
        <f>IF(Products!$C$13=0,0,1-(Products!$C$43+Products!$C$19)/Products!$C$13)</f>
        <v/>
      </c>
      <c r="D46" s="81">
        <f>IF(Products!$D$13=0,0,1-(Products!$D$43+Products!$D$19)/Products!$D$13)</f>
        <v/>
      </c>
      <c r="E46" s="81">
        <f>IF(Products!$E$13=0,0,1-(Products!$E$43+Products!$E$19)/Products!$E$13)</f>
        <v/>
      </c>
      <c r="F46" s="81">
        <f>IF(Products!$F$13=0,0,1-(Products!$F$43+Products!$F$19)/Products!$F$13)</f>
        <v/>
      </c>
      <c r="G46" s="81">
        <f>IF(Products!$G$13=0,0,1-(Products!$G$43+Products!$G$19)/Products!$G$13)</f>
        <v/>
      </c>
    </row>
  </sheetData>
  <dataValidations count="1">
    <dataValidation sqref="I6 I7 I8 I9 I10 I11 I13 I14 I15 I16 I18 I19 I20 I21 I22 I23 I25 I26 I27 I28 I30 I31" showDropDown="0" showInputMessage="0" showErrorMessage="1" allowBlank="0" type="list" errorStyle="stop">
      <formula1>"MODEL ASSUMPTION,COMPANY DATA,EXTERNAL EVIDENCE,CALIBRATED ASSUMPTION,UNVERIFIED"</formula1>
    </dataValidation>
  </dataValidations>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8.xml><?xml version="1.0" encoding="utf-8"?>
<worksheet xmlns="http://schemas.openxmlformats.org/spreadsheetml/2006/main">
  <sheetPr>
    <tabColor rgb="000000FF"/>
    <outlinePr summaryBelow="1" summaryRight="1"/>
    <pageSetUpPr fitToPage="1"/>
  </sheetPr>
  <dimension ref="A1:BL27"/>
  <sheetViews>
    <sheetView showGridLines="0" workbookViewId="0">
      <selection activeCell="A1" sqref="A1"/>
    </sheetView>
  </sheetViews>
  <sheetFormatPr baseColWidth="8" defaultRowHeight="15"/>
  <cols>
    <col width="50" customWidth="1" min="1" max="1"/>
    <col width="12" customWidth="1" min="2" max="2"/>
    <col width="14" customWidth="1" min="3" max="3"/>
    <col width="14" customWidth="1" min="4" max="4"/>
    <col width="14" customWidth="1" min="5" max="5"/>
    <col width="14" customWidth="1" min="6" max="6"/>
    <col width="14" customWidth="1" min="7" max="7"/>
    <col width="24" customWidth="1" min="9" max="9"/>
  </cols>
  <sheetData>
    <row r="1">
      <c r="A1" s="17" t="inlineStr">
        <is>
          <t>Scenario levers</t>
        </is>
      </c>
    </row>
    <row r="2">
      <c r="A2" s="18" t="inlineStr">
        <is>
          <t>[ASSUMPTION]  Multipliers / overrides on Base inputs. ACTIVE column follows the selector on Inputs.</t>
        </is>
      </c>
    </row>
    <row r="3"/>
    <row r="4"/>
    <row r="5">
      <c r="A5" s="40" t="inlineStr">
        <is>
          <t>Lever</t>
        </is>
      </c>
      <c r="B5" s="40" t="inlineStr">
        <is>
          <t>Unit</t>
        </is>
      </c>
      <c r="C5" s="40" t="inlineStr">
        <is>
          <t>Base</t>
        </is>
      </c>
      <c r="D5" s="40" t="inlineStr">
        <is>
          <t>Downside</t>
        </is>
      </c>
      <c r="E5" s="40" t="inlineStr">
        <is>
          <t>Severe</t>
        </is>
      </c>
      <c r="F5" s="40" t="inlineStr"/>
      <c r="G5" s="40" t="inlineStr">
        <is>
          <t>ACTIVE</t>
        </is>
      </c>
      <c r="I5" s="19" t="inlineStr">
        <is>
          <t>Provenance</t>
        </is>
      </c>
    </row>
    <row r="6">
      <c r="A6" s="34" t="inlineStr">
        <is>
          <t>Default hazard multiplier</t>
        </is>
      </c>
      <c r="B6" s="65" t="inlineStr">
        <is>
          <t>x</t>
        </is>
      </c>
      <c r="C6" s="76" t="n">
        <v>1</v>
      </c>
      <c r="D6" s="76" t="n">
        <v>1.3</v>
      </c>
      <c r="E6" s="76" t="n">
        <v>1.75</v>
      </c>
      <c r="G6" s="82">
        <f>CHOOSE(MAX(1,MIN(3,INT(N(Inputs!$C$5)))),C6,D6,E6)</f>
        <v/>
      </c>
      <c r="I6" s="67" t="inlineStr">
        <is>
          <t>MODEL ASSUMPTION</t>
        </is>
      </c>
    </row>
    <row r="7">
      <c r="A7" s="34" t="inlineStr">
        <is>
          <t>Collection-rate multiplier (paying accounts)</t>
        </is>
      </c>
      <c r="B7" s="65" t="inlineStr">
        <is>
          <t>x</t>
        </is>
      </c>
      <c r="C7" s="76" t="n">
        <v>1</v>
      </c>
      <c r="D7" s="76" t="n">
        <v>0.97</v>
      </c>
      <c r="E7" s="76" t="n">
        <v>0.92</v>
      </c>
      <c r="G7" s="82">
        <f>CHOOSE(MAX(1,MIN(3,INT(N(Inputs!$C$5)))),C7,D7,E7)</f>
        <v/>
      </c>
      <c r="I7" s="67" t="inlineStr">
        <is>
          <t>MODEL ASSUMPTION</t>
        </is>
      </c>
    </row>
    <row r="8">
      <c r="A8" s="34" t="inlineStr">
        <is>
          <t>Sales volume multiplier</t>
        </is>
      </c>
      <c r="B8" s="65" t="inlineStr">
        <is>
          <t>x</t>
        </is>
      </c>
      <c r="C8" s="76" t="n">
        <v>1</v>
      </c>
      <c r="D8" s="76" t="n">
        <v>0.9</v>
      </c>
      <c r="E8" s="76" t="n">
        <v>0.75</v>
      </c>
      <c r="G8" s="82">
        <f>CHOOSE(MAX(1,MIN(3,INT(N(Inputs!$C$5)))),C8,D8,E8)</f>
        <v/>
      </c>
      <c r="I8" s="67" t="inlineStr">
        <is>
          <t>MODEL ASSUMPTION</t>
        </is>
      </c>
    </row>
    <row r="9">
      <c r="A9" s="34" t="inlineStr">
        <is>
          <t>Hardware cost multiplier (USD)</t>
        </is>
      </c>
      <c r="B9" s="65" t="inlineStr">
        <is>
          <t>x</t>
        </is>
      </c>
      <c r="C9" s="76" t="n">
        <v>1</v>
      </c>
      <c r="D9" s="76" t="n">
        <v>1.05</v>
      </c>
      <c r="E9" s="76" t="n">
        <v>1.1</v>
      </c>
      <c r="G9" s="82">
        <f>CHOOSE(MAX(1,MIN(3,INT(N(Inputs!$C$5)))),C9,D9,E9)</f>
        <v/>
      </c>
      <c r="I9" s="67" t="inlineStr">
        <is>
          <t>MODEL ASSUMPTION</t>
        </is>
      </c>
    </row>
    <row r="10">
      <c r="A10" s="34" t="inlineStr">
        <is>
          <t>LCY depreciation vs USD</t>
        </is>
      </c>
      <c r="B10" s="65" t="inlineStr">
        <is>
          <t>% p.a.</t>
        </is>
      </c>
      <c r="C10" s="71" t="n">
        <v>0.05</v>
      </c>
      <c r="D10" s="71" t="n">
        <v>0.12</v>
      </c>
      <c r="E10" s="71" t="n">
        <v>0.25</v>
      </c>
      <c r="G10" s="83">
        <f>CHOOSE(MAX(1,MIN(3,INT(N(Inputs!$C$5)))),C10,D10,E10)</f>
        <v/>
      </c>
      <c r="I10" s="67" t="inlineStr">
        <is>
          <t>MODEL ASSUMPTION</t>
        </is>
      </c>
    </row>
    <row r="11"/>
    <row r="12">
      <c r="A12" s="19" t="inlineStr">
        <is>
          <t>Scenario name</t>
        </is>
      </c>
      <c r="C12" s="69" t="inlineStr">
        <is>
          <t>Base</t>
        </is>
      </c>
      <c r="D12" s="69" t="inlineStr">
        <is>
          <t>Downside</t>
        </is>
      </c>
      <c r="E12" s="69" t="inlineStr">
        <is>
          <t>Severe</t>
        </is>
      </c>
      <c r="G12" s="64">
        <f>IF(IFERROR(AND(ISNUMBER(Inputs!$C$5),Inputs!$C$5=INT(Inputs!$C$5),Inputs!$C$5&gt;=1,Inputs!$C$5&lt;=3),FALSE),CHOOSE(Inputs!$C$5,C12,D12,E12),"INVALID SCENARIO SELECTOR")</f>
        <v/>
      </c>
    </row>
    <row r="13">
      <c r="A13" s="19" t="inlineStr">
        <is>
          <t>Input set loaded on Inputs, Products and Credit_Assumptions</t>
        </is>
      </c>
      <c r="C13" s="84" t="inlineStr">
        <is>
          <t>Illustrative (model assumptions)</t>
        </is>
      </c>
      <c r="F13" s="34" t="inlineStr">
        <is>
          <t>Active case</t>
        </is>
      </c>
      <c r="G13" s="64">
        <f>C13&amp;", "&amp;G12</f>
        <v/>
      </c>
    </row>
    <row r="14">
      <c r="A14" s="18" t="inlineStr">
        <is>
          <t>Downside / Severe are illustrative stress settings. Calibrate to the company's cohort history and sector data.</t>
        </is>
      </c>
    </row>
    <row r="15">
      <c r="A15" s="18" t="inlineStr">
        <is>
          <t>Context: the ESMAP Off-Grid Solar Market Trends Report 2024 is reported to give an average PAYGo collection rate of about 62% for 2021-2023 (Source_Register E1-14, PENDING PRIMARY DOCUMENT). A collection rate, not the PERFORM Repayment Rate.</t>
        </is>
      </c>
    </row>
    <row r="16"/>
    <row r="17"/>
    <row r="18">
      <c r="A18" s="21" t="inlineStr">
        <is>
          <t>Scenario architecture: ACTUAL is never changed by levers; ASSUMPTION is the input set; FORECAST is computed</t>
        </is>
      </c>
      <c r="B18" s="22" t="n"/>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c r="AA18" s="22" t="n"/>
      <c r="AB18" s="22" t="n"/>
      <c r="AC18" s="22" t="n"/>
      <c r="AD18" s="22" t="n"/>
      <c r="AE18" s="22" t="n"/>
      <c r="AF18" s="22" t="n"/>
      <c r="AG18" s="22" t="n"/>
      <c r="AH18" s="22" t="n"/>
      <c r="AI18" s="22" t="n"/>
      <c r="AJ18" s="22" t="n"/>
      <c r="AK18" s="22" t="n"/>
      <c r="AL18" s="22" t="n"/>
      <c r="AM18" s="22" t="n"/>
      <c r="AN18" s="22" t="n"/>
      <c r="AO18" s="22" t="n"/>
      <c r="AP18" s="22" t="n"/>
      <c r="AQ18" s="22" t="n"/>
      <c r="AR18" s="22" t="n"/>
      <c r="AS18" s="22" t="n"/>
      <c r="AT18" s="22" t="n"/>
      <c r="AU18" s="22" t="n"/>
      <c r="AV18" s="22" t="n"/>
      <c r="AW18" s="22" t="n"/>
      <c r="AX18" s="22" t="n"/>
      <c r="AY18" s="22" t="n"/>
      <c r="AZ18" s="22" t="n"/>
      <c r="BA18" s="22" t="n"/>
      <c r="BB18" s="22" t="n"/>
      <c r="BC18" s="22" t="n"/>
      <c r="BD18" s="22" t="n"/>
      <c r="BE18" s="22" t="n"/>
      <c r="BF18" s="22" t="n"/>
      <c r="BG18" s="22" t="n"/>
      <c r="BH18" s="22" t="n"/>
      <c r="BI18" s="22" t="n"/>
      <c r="BJ18" s="22" t="n"/>
      <c r="BK18" s="22" t="n"/>
      <c r="BL18" s="22" t="n"/>
    </row>
    <row r="19">
      <c r="A19" s="40" t="inlineStr">
        <is>
          <t>Layer</t>
        </is>
      </c>
      <c r="B19" s="40" t="inlineStr">
        <is>
          <t>Type</t>
        </is>
      </c>
      <c r="C19" s="40" t="inlineStr">
        <is>
          <t>Where it lives</t>
        </is>
      </c>
      <c r="D19" s="40" t="inlineStr"/>
      <c r="E19" s="40" t="inlineStr"/>
      <c r="F19" s="40" t="inlineStr"/>
      <c r="G19" s="40" t="inlineStr">
        <is>
          <t>Status in this workbook</t>
        </is>
      </c>
    </row>
    <row r="20">
      <c r="A20" s="19" t="inlineStr">
        <is>
          <t>Actual (history)</t>
        </is>
      </c>
      <c r="B20" s="85" t="inlineStr">
        <is>
          <t>ACTUAL</t>
        </is>
      </c>
      <c r="C20" s="85" t="inlineStr">
        <is>
          <t>Credit_Input, Vintage_Input, PERFORM_2026 section C; read on Credit_Portfolio and Vintage_Dashboard</t>
        </is>
      </c>
      <c r="G20" s="64">
        <f>IF((COUNT(Credit_Input!$D$8:$D$67)+COUNT(Credit_Input!$D$72:$D$131)+COUNT(Credit_Input!$D$136:$D$195)+COUNT(Credit_Input!$D$200:$D$259)+COUNT(Credit_Input!$D$264:$D$323)+COUNT(Vintage_Input!$C$9:$C$68)+COUNT(Vintage_Input!$C$74:$C$133)+COUNT(Vintage_Input!$C$139:$C$198)+COUNT(Vintage_Input!$C$204:$C$263)+COUNT(Vintage_Input!$C$269:$C$328)+PERFORM_2026!$C$13+PERFORM_2026!$D$13+PERFORM_2026!$E$13+PERFORM_2026!$F$13+PERFORM_2026!$G$13)&gt;0,"Loaded ("&amp;(COUNT(Credit_Input!$D$8:$D$67)+COUNT(Credit_Input!$D$72:$D$131)+COUNT(Credit_Input!$D$136:$D$195)+COUNT(Credit_Input!$D$200:$D$259)+COUNT(Credit_Input!$D$264:$D$323)+COUNT(Vintage_Input!$C$9:$C$68)+COUNT(Vintage_Input!$C$74:$C$133)+COUNT(Vintage_Input!$C$139:$C$198)+COUNT(Vintage_Input!$C$204:$C$263)+COUNT(Vintage_Input!$C$269:$C$328)+PERFORM_2026!$C$13+PERFORM_2026!$D$13+PERFORM_2026!$E$13+PERFORM_2026!$F$13+PERFORM_2026!$G$13)&amp;" records; levers do not apply)","Not loaded")</f>
        <v/>
      </c>
    </row>
    <row r="21">
      <c r="A21" s="19" t="inlineStr">
        <is>
          <t>Management case</t>
        </is>
      </c>
      <c r="B21" s="85" t="inlineStr">
        <is>
          <t>ASSUMPTION</t>
        </is>
      </c>
      <c r="C21" s="85" t="inlineStr">
        <is>
          <t>Inputs, Products, Credit_Assumptions as submitted by management</t>
        </is>
      </c>
      <c r="G21" s="64">
        <f>IF(Scenarios!$C$13="Management case","Loaded on the input sheets","Not loaded")</f>
        <v/>
      </c>
    </row>
    <row r="22">
      <c r="A22" s="19" t="inlineStr">
        <is>
          <t>Calibrated case</t>
        </is>
      </c>
      <c r="B22" s="85" t="inlineStr">
        <is>
          <t>ASSUMPTION (calibrated)</t>
        </is>
      </c>
      <c r="C22" s="85" t="inlineStr">
        <is>
          <t>Same input sheets after re-estimation against actual data and VERIFIED sources (Calibration)</t>
        </is>
      </c>
      <c r="G22" s="64">
        <f>IF(Scenarios!$C$13="Calibrated case","Loaded on the input sheets","Not loaded")</f>
        <v/>
      </c>
    </row>
    <row r="23">
      <c r="A23" s="19" t="inlineStr">
        <is>
          <t>Base</t>
        </is>
      </c>
      <c r="B23" s="85" t="inlineStr">
        <is>
          <t>FORECAST</t>
        </is>
      </c>
      <c r="C23" s="85" t="inlineStr">
        <is>
          <t>Loaded input set with Base levers (column C)</t>
        </is>
      </c>
      <c r="G23" s="64">
        <f>IF(Inputs!$C$5=1,"Active","")</f>
        <v/>
      </c>
    </row>
    <row r="24">
      <c r="A24" s="19" t="inlineStr">
        <is>
          <t>Downside</t>
        </is>
      </c>
      <c r="B24" s="85" t="inlineStr">
        <is>
          <t>FORECAST</t>
        </is>
      </c>
      <c r="C24" s="85" t="inlineStr">
        <is>
          <t>Loaded input set with Downside levers (column D)</t>
        </is>
      </c>
      <c r="G24" s="64">
        <f>IF(Inputs!$C$5=2,"Active","")</f>
        <v/>
      </c>
    </row>
    <row r="25">
      <c r="A25" s="19" t="inlineStr">
        <is>
          <t>Severe stress</t>
        </is>
      </c>
      <c r="B25" s="85" t="inlineStr">
        <is>
          <t>FORECAST</t>
        </is>
      </c>
      <c r="C25" s="85" t="inlineStr">
        <is>
          <t>Loaded input set with Severe levers (column E)</t>
        </is>
      </c>
      <c r="G25" s="64">
        <f>IF(Inputs!$C$5=3,"Active","")</f>
        <v/>
      </c>
    </row>
    <row r="26"/>
    <row r="27">
      <c r="A27" s="18" t="inlineStr">
        <is>
          <t>One input set is loaded at a time. The other set is kept outside the workbook (for the worked case: the case file and the book's comparison table). History is entered on the input templates only and is never overwritten by forecast levers.</t>
        </is>
      </c>
    </row>
  </sheetData>
  <dataValidations count="2">
    <dataValidation sqref="C13" showDropDown="0" showInputMessage="0" showErrorMessage="1" allowBlank="0" type="list" errorStyle="stop">
      <formula1>"Illustrative (model assumptions),Management case,Calibrated case"</formula1>
    </dataValidation>
    <dataValidation sqref="I6 I7 I8 I9 I10" showDropDown="0" showInputMessage="0" showErrorMessage="1" allowBlank="0" type="list" errorStyle="stop">
      <formula1>"MODEL ASSUMPTION,COMPANY DATA,EXTERNAL EVIDENCE,CALIBRATED ASSUMPTION,UNVERIFIED"</formula1>
    </dataValidation>
  </dataValidations>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9.xml><?xml version="1.0" encoding="utf-8"?>
<worksheet xmlns="http://schemas.openxmlformats.org/spreadsheetml/2006/main">
  <sheetPr>
    <tabColor rgb="000000FF"/>
    <outlinePr summaryBelow="1" summaryRight="1"/>
    <pageSetUpPr fitToPage="1"/>
  </sheetPr>
  <dimension ref="A1:BL37"/>
  <sheetViews>
    <sheetView showGridLines="0" workbookViewId="0">
      <selection activeCell="A1" sqref="A1"/>
    </sheetView>
  </sheetViews>
  <sheetFormatPr baseColWidth="8" defaultRowHeight="15"/>
  <cols>
    <col width="58" customWidth="1" min="1" max="1"/>
    <col width="12" customWidth="1" min="2" max="2"/>
    <col width="16" customWidth="1" min="3" max="3"/>
    <col width="70" customWidth="1" min="4" max="4"/>
    <col width="24" customWidth="1" min="5" max="5"/>
    <col width="12" customWidth="1" min="6" max="6"/>
    <col width="12" customWidth="1" min="7" max="7"/>
    <col width="12" customWidth="1" min="8" max="8"/>
    <col width="12" customWidth="1" min="9" max="9"/>
  </cols>
  <sheetData>
    <row r="1">
      <c r="A1" s="17" t="inlineStr">
        <is>
          <t>Credit assumptions: DPD buckets, stages, recovery, eligibility</t>
        </is>
      </c>
    </row>
    <row r="2">
      <c r="A2" s="18" t="inlineStr">
        <is>
          <t>[ASSUMPTION]  Drives Credit_Engine. Proxy = projection from the model's repayment curves; Actual = company data in Credit_Input. This is an analytical modelling treatment and does not constitute a determination of the applicable accounting treatment under IFRS.</t>
        </is>
      </c>
    </row>
    <row r="3"/>
    <row r="4">
      <c r="A4" s="21" t="inlineStr">
        <is>
          <t>Data mode</t>
        </is>
      </c>
      <c r="B4" s="22" t="n"/>
      <c r="C4" s="22" t="n"/>
      <c r="D4" s="22" t="n"/>
      <c r="E4" s="22" t="n"/>
      <c r="F4" s="22" t="n"/>
      <c r="G4" s="22" t="n"/>
      <c r="H4" s="22" t="n"/>
      <c r="I4" s="22" t="n"/>
      <c r="J4" s="22" t="n"/>
      <c r="K4" s="22" t="n"/>
      <c r="L4" s="22" t="n"/>
      <c r="M4" s="22" t="n"/>
      <c r="N4" s="22" t="n"/>
      <c r="O4" s="22" t="n"/>
      <c r="P4" s="22" t="n"/>
      <c r="Q4" s="22" t="n"/>
      <c r="R4" s="22" t="n"/>
      <c r="S4" s="22" t="n"/>
      <c r="T4" s="22" t="n"/>
      <c r="U4" s="22" t="n"/>
      <c r="V4" s="22" t="n"/>
      <c r="W4" s="22" t="n"/>
      <c r="X4" s="22" t="n"/>
      <c r="Y4" s="22" t="n"/>
      <c r="Z4" s="22" t="n"/>
      <c r="AA4" s="22" t="n"/>
      <c r="AB4" s="22" t="n"/>
      <c r="AC4" s="22" t="n"/>
      <c r="AD4" s="22" t="n"/>
      <c r="AE4" s="22" t="n"/>
      <c r="AF4" s="22" t="n"/>
      <c r="AG4" s="22" t="n"/>
      <c r="AH4" s="22" t="n"/>
      <c r="AI4" s="22" t="n"/>
      <c r="AJ4" s="22" t="n"/>
      <c r="AK4" s="22" t="n"/>
      <c r="AL4" s="22" t="n"/>
      <c r="AM4" s="22" t="n"/>
      <c r="AN4" s="22" t="n"/>
      <c r="AO4" s="22" t="n"/>
      <c r="AP4" s="22" t="n"/>
      <c r="AQ4" s="22" t="n"/>
      <c r="AR4" s="22" t="n"/>
      <c r="AS4" s="22" t="n"/>
      <c r="AT4" s="22" t="n"/>
      <c r="AU4" s="22" t="n"/>
      <c r="AV4" s="22" t="n"/>
      <c r="AW4" s="22" t="n"/>
      <c r="AX4" s="22" t="n"/>
      <c r="AY4" s="22" t="n"/>
      <c r="AZ4" s="22" t="n"/>
      <c r="BA4" s="22" t="n"/>
      <c r="BB4" s="22" t="n"/>
      <c r="BC4" s="22" t="n"/>
      <c r="BD4" s="22" t="n"/>
      <c r="BE4" s="22" t="n"/>
      <c r="BF4" s="22" t="n"/>
      <c r="BG4" s="22" t="n"/>
      <c r="BH4" s="22" t="n"/>
      <c r="BI4" s="22" t="n"/>
      <c r="BJ4" s="22" t="n"/>
      <c r="BK4" s="22" t="n"/>
      <c r="BL4" s="22" t="n"/>
    </row>
    <row r="5">
      <c r="A5" s="34" t="inlineStr">
        <is>
          <t>Credit data mode (1 = Proxy, 2 = Actual)</t>
        </is>
      </c>
      <c r="B5" s="65" t="inlineStr">
        <is>
          <t>#</t>
        </is>
      </c>
      <c r="C5" s="66" t="n">
        <v>1</v>
      </c>
      <c r="D5" s="18" t="inlineStr">
        <is>
          <t>Actual mode reads Credit_Input (company history) for reporting. Projections and the facility always use the proxy engine.</t>
        </is>
      </c>
      <c r="E5" s="67" t="inlineStr">
        <is>
          <t>MODEL ASSUMPTION</t>
        </is>
      </c>
    </row>
    <row r="6"/>
    <row r="7">
      <c r="A7" s="21" t="inlineStr">
        <is>
          <t>Definitions</t>
        </is>
      </c>
      <c r="B7" s="22" t="n"/>
      <c r="C7" s="22" t="n"/>
      <c r="D7" s="22" t="n"/>
      <c r="E7" s="22" t="n"/>
      <c r="F7" s="22" t="n"/>
      <c r="G7" s="22" t="n"/>
      <c r="H7" s="22" t="n"/>
      <c r="I7" s="22" t="n"/>
      <c r="J7" s="22" t="n"/>
      <c r="K7" s="22" t="n"/>
      <c r="L7" s="22" t="n"/>
      <c r="M7" s="22" t="n"/>
      <c r="N7" s="22" t="n"/>
      <c r="O7" s="22" t="n"/>
      <c r="P7" s="22" t="n"/>
      <c r="Q7" s="22" t="n"/>
      <c r="R7" s="22" t="n"/>
      <c r="S7" s="22" t="n"/>
      <c r="T7" s="22" t="n"/>
      <c r="U7" s="22" t="n"/>
      <c r="V7" s="22" t="n"/>
      <c r="W7" s="22" t="n"/>
      <c r="X7" s="22" t="n"/>
      <c r="Y7" s="22" t="n"/>
      <c r="Z7" s="22" t="n"/>
      <c r="AA7" s="22" t="n"/>
      <c r="AB7" s="22" t="n"/>
      <c r="AC7" s="22" t="n"/>
      <c r="AD7" s="22" t="n"/>
      <c r="AE7" s="22" t="n"/>
      <c r="AF7" s="22" t="n"/>
      <c r="AG7" s="22" t="n"/>
      <c r="AH7" s="22" t="n"/>
      <c r="AI7" s="22" t="n"/>
      <c r="AJ7" s="22" t="n"/>
      <c r="AK7" s="22" t="n"/>
      <c r="AL7" s="22" t="n"/>
      <c r="AM7" s="22" t="n"/>
      <c r="AN7" s="22" t="n"/>
      <c r="AO7" s="22" t="n"/>
      <c r="AP7" s="22" t="n"/>
      <c r="AQ7" s="22" t="n"/>
      <c r="AR7" s="22" t="n"/>
      <c r="AS7" s="22" t="n"/>
      <c r="AT7" s="22" t="n"/>
      <c r="AU7" s="22" t="n"/>
      <c r="AV7" s="22" t="n"/>
      <c r="AW7" s="22" t="n"/>
      <c r="AX7" s="22" t="n"/>
      <c r="AY7" s="22" t="n"/>
      <c r="AZ7" s="22" t="n"/>
      <c r="BA7" s="22" t="n"/>
      <c r="BB7" s="22" t="n"/>
      <c r="BC7" s="22" t="n"/>
      <c r="BD7" s="22" t="n"/>
      <c r="BE7" s="22" t="n"/>
      <c r="BF7" s="22" t="n"/>
      <c r="BG7" s="22" t="n"/>
      <c r="BH7" s="22" t="n"/>
      <c r="BI7" s="22" t="n"/>
      <c r="BJ7" s="22" t="n"/>
      <c r="BK7" s="22" t="n"/>
      <c r="BL7" s="22" t="n"/>
    </row>
    <row r="8">
      <c r="A8" s="34" t="inlineStr">
        <is>
          <t>Default definition</t>
        </is>
      </c>
      <c r="B8" s="65" t="inlineStr">
        <is>
          <t>days past due</t>
        </is>
      </c>
      <c r="C8" s="66" t="n">
        <v>180</v>
      </c>
      <c r="D8" s="18" t="inlineStr">
        <is>
          <t>Common PAYGo / lender convention; confirm against facility documents.</t>
        </is>
      </c>
      <c r="E8" s="67" t="inlineStr">
        <is>
          <t>MODEL ASSUMPTION</t>
        </is>
      </c>
    </row>
    <row r="9">
      <c r="A9" s="34" t="inlineStr">
        <is>
          <t>Stage 2 threshold (significant increase in credit risk)</t>
        </is>
      </c>
      <c r="B9" s="65" t="inlineStr">
        <is>
          <t>DPD</t>
        </is>
      </c>
      <c r="C9" s="75" t="n">
        <v>30</v>
      </c>
      <c r="D9" s="18" t="inlineStr">
        <is>
          <t>Indicative IFRS 9-style staging.</t>
        </is>
      </c>
      <c r="E9" s="67" t="inlineStr">
        <is>
          <t>MODEL ASSUMPTION</t>
        </is>
      </c>
    </row>
    <row r="10">
      <c r="A10" s="34" t="inlineStr">
        <is>
          <t>Stage 3 threshold (credit-impaired)</t>
        </is>
      </c>
      <c r="B10" s="65" t="inlineStr">
        <is>
          <t>DPD</t>
        </is>
      </c>
      <c r="C10" s="75" t="n">
        <v>90</v>
      </c>
      <c r="D10" s="18" t="inlineStr">
        <is>
          <t>Indicative IFRS 9-style staging.</t>
        </is>
      </c>
      <c r="E10" s="67" t="inlineStr">
        <is>
          <t>MODEL ASSUMPTION</t>
        </is>
      </c>
    </row>
    <row r="11">
      <c r="A11" s="34" t="inlineStr">
        <is>
          <t>Borrowing-base eligibility: maximum DPD</t>
        </is>
      </c>
      <c r="B11" s="65" t="inlineStr">
        <is>
          <t>DPD</t>
        </is>
      </c>
      <c r="C11" s="66" t="n">
        <v>30</v>
      </c>
      <c r="D11" s="18" t="inlineStr">
        <is>
          <t>Receivables in buckets starting above this DPD are ineligible.</t>
        </is>
      </c>
      <c r="E11" s="67" t="inlineStr">
        <is>
          <t>MODEL ASSUMPTION</t>
        </is>
      </c>
    </row>
    <row r="12"/>
    <row r="13">
      <c r="A13" s="21" t="inlineStr">
        <is>
          <t>Recovery, cures and ECL</t>
        </is>
      </c>
      <c r="B13" s="22" t="n"/>
      <c r="C13" s="22" t="n"/>
      <c r="D13" s="22" t="n"/>
      <c r="E13" s="22" t="n"/>
      <c r="F13" s="22" t="n"/>
      <c r="G13" s="22" t="n"/>
      <c r="H13" s="22" t="n"/>
      <c r="I13" s="22" t="n"/>
      <c r="J13" s="22" t="n"/>
      <c r="K13" s="22" t="n"/>
      <c r="L13" s="22" t="n"/>
      <c r="M13" s="22" t="n"/>
      <c r="N13" s="22" t="n"/>
      <c r="O13" s="22" t="n"/>
      <c r="P13" s="22" t="n"/>
      <c r="Q13" s="22" t="n"/>
      <c r="R13" s="22" t="n"/>
      <c r="S13" s="22" t="n"/>
      <c r="T13" s="22" t="n"/>
      <c r="U13" s="22" t="n"/>
      <c r="V13" s="22" t="n"/>
      <c r="W13" s="22" t="n"/>
      <c r="X13" s="22" t="n"/>
      <c r="Y13" s="22" t="n"/>
      <c r="Z13" s="22" t="n"/>
      <c r="AA13" s="22" t="n"/>
      <c r="AB13" s="22" t="n"/>
      <c r="AC13" s="22" t="n"/>
      <c r="AD13" s="22" t="n"/>
      <c r="AE13" s="22" t="n"/>
      <c r="AF13" s="22" t="n"/>
      <c r="AG13" s="22" t="n"/>
      <c r="AH13" s="22" t="n"/>
      <c r="AI13" s="22" t="n"/>
      <c r="AJ13" s="22" t="n"/>
      <c r="AK13" s="22" t="n"/>
      <c r="AL13" s="22" t="n"/>
      <c r="AM13" s="22" t="n"/>
      <c r="AN13" s="22" t="n"/>
      <c r="AO13" s="22" t="n"/>
      <c r="AP13" s="22" t="n"/>
      <c r="AQ13" s="22" t="n"/>
      <c r="AR13" s="22" t="n"/>
      <c r="AS13" s="22" t="n"/>
      <c r="AT13" s="22" t="n"/>
      <c r="AU13" s="22" t="n"/>
      <c r="AV13" s="22" t="n"/>
      <c r="AW13" s="22" t="n"/>
      <c r="AX13" s="22" t="n"/>
      <c r="AY13" s="22" t="n"/>
      <c r="AZ13" s="22" t="n"/>
      <c r="BA13" s="22" t="n"/>
      <c r="BB13" s="22" t="n"/>
      <c r="BC13" s="22" t="n"/>
      <c r="BD13" s="22" t="n"/>
      <c r="BE13" s="22" t="n"/>
      <c r="BF13" s="22" t="n"/>
      <c r="BG13" s="22" t="n"/>
      <c r="BH13" s="22" t="n"/>
      <c r="BI13" s="22" t="n"/>
      <c r="BJ13" s="22" t="n"/>
      <c r="BK13" s="22" t="n"/>
      <c r="BL13" s="22" t="n"/>
    </row>
    <row r="14">
      <c r="A14" s="34" t="inlineStr">
        <is>
          <t>Repossession lag (link to Inputs)</t>
        </is>
      </c>
      <c r="B14" s="65" t="inlineStr">
        <is>
          <t>months</t>
        </is>
      </c>
      <c r="C14" s="48">
        <f>Inputs!$C$31</f>
        <v/>
      </c>
    </row>
    <row r="15">
      <c r="A15" s="34" t="inlineStr">
        <is>
          <t>Recovery cost (retrieval, refurbishment, resale)</t>
        </is>
      </c>
      <c r="B15" s="65" t="inlineStr">
        <is>
          <t>% of gross resale</t>
        </is>
      </c>
      <c r="C15" s="72" t="n">
        <v>0.15</v>
      </c>
      <c r="D15" s="18" t="inlineStr">
        <is>
          <t>Illustrative placeholder: replace with company data.</t>
        </is>
      </c>
      <c r="E15" s="67" t="inlineStr">
        <is>
          <t>MODEL ASSUMPTION</t>
        </is>
      </c>
    </row>
    <row r="16">
      <c r="A16" s="34" t="inlineStr">
        <is>
          <t>Cure rate of Stage-2 balances (ECL only)</t>
        </is>
      </c>
      <c r="B16" s="65" t="inlineStr">
        <is>
          <t>%</t>
        </is>
      </c>
      <c r="C16" s="71" t="n">
        <v>0.3</v>
      </c>
      <c r="D16" s="18" t="inlineStr">
        <is>
          <t>The proxy engine assumes accounts that stop paying do not resume; cures enter only the indicative ECL.</t>
        </is>
      </c>
      <c r="E16" s="67" t="inlineStr">
        <is>
          <t>MODEL ASSUMPTION</t>
        </is>
      </c>
    </row>
    <row r="17">
      <c r="A17" s="34" t="inlineStr">
        <is>
          <t>Discount rate for indicative ECL</t>
        </is>
      </c>
      <c r="B17" s="65" t="inlineStr">
        <is>
          <t>% p.a.</t>
        </is>
      </c>
      <c r="C17" s="71" t="n">
        <v>0.2</v>
      </c>
      <c r="D17" s="18" t="inlineStr">
        <is>
          <t>Illustrative placeholder: replace with company data.</t>
        </is>
      </c>
      <c r="E17" s="67" t="inlineStr">
        <is>
          <t>MODEL ASSUMPTION</t>
        </is>
      </c>
    </row>
    <row r="18"/>
    <row r="19">
      <c r="A19" s="21" t="inlineStr">
        <is>
          <t>Proxy DPD distribution</t>
        </is>
      </c>
      <c r="B19" s="22" t="n"/>
      <c r="C19" s="22" t="n"/>
      <c r="D19" s="22" t="n"/>
      <c r="E19" s="22" t="n"/>
      <c r="F19" s="22"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c r="AA19" s="22" t="n"/>
      <c r="AB19" s="22" t="n"/>
      <c r="AC19" s="22" t="n"/>
      <c r="AD19" s="22" t="n"/>
      <c r="AE19" s="22" t="n"/>
      <c r="AF19" s="22" t="n"/>
      <c r="AG19" s="22" t="n"/>
      <c r="AH19" s="22" t="n"/>
      <c r="AI19" s="22" t="n"/>
      <c r="AJ19" s="22" t="n"/>
      <c r="AK19" s="22" t="n"/>
      <c r="AL19" s="22" t="n"/>
      <c r="AM19" s="22" t="n"/>
      <c r="AN19" s="22" t="n"/>
      <c r="AO19" s="22" t="n"/>
      <c r="AP19" s="22" t="n"/>
      <c r="AQ19" s="22" t="n"/>
      <c r="AR19" s="22" t="n"/>
      <c r="AS19" s="22" t="n"/>
      <c r="AT19" s="22" t="n"/>
      <c r="AU19" s="22" t="n"/>
      <c r="AV19" s="22" t="n"/>
      <c r="AW19" s="22" t="n"/>
      <c r="AX19" s="22" t="n"/>
      <c r="AY19" s="22" t="n"/>
      <c r="AZ19" s="22" t="n"/>
      <c r="BA19" s="22" t="n"/>
      <c r="BB19" s="22" t="n"/>
      <c r="BC19" s="22" t="n"/>
      <c r="BD19" s="22" t="n"/>
      <c r="BE19" s="22" t="n"/>
      <c r="BF19" s="22" t="n"/>
      <c r="BG19" s="22" t="n"/>
      <c r="BH19" s="22" t="n"/>
      <c r="BI19" s="22" t="n"/>
      <c r="BJ19" s="22" t="n"/>
      <c r="BK19" s="22" t="n"/>
      <c r="BL19" s="22" t="n"/>
    </row>
    <row r="20">
      <c r="A20" s="34" t="inlineStr">
        <is>
          <t>Paying accounts: share of balances current</t>
        </is>
      </c>
      <c r="B20" s="65" t="inlineStr">
        <is>
          <t>%</t>
        </is>
      </c>
      <c r="C20" s="71" t="n">
        <v>0.85</v>
      </c>
      <c r="D20" s="18" t="inlineStr">
        <is>
          <t>Remainder is 1-30 DPD.</t>
        </is>
      </c>
      <c r="E20" s="67" t="inlineStr">
        <is>
          <t>MODEL ASSUMPTION</t>
        </is>
      </c>
    </row>
    <row r="21">
      <c r="A21" s="34" t="inlineStr">
        <is>
          <t>Receivables at risk: share 31-60 DPD</t>
        </is>
      </c>
      <c r="B21" s="65" t="inlineStr">
        <is>
          <t>%</t>
        </is>
      </c>
      <c r="C21" s="71" t="n">
        <v>0.25</v>
      </c>
      <c r="D21" s="18" t="inlineStr">
        <is>
          <t>Shares of receivables at risk must sum to 100% (Checks).</t>
        </is>
      </c>
      <c r="E21" s="67" t="inlineStr">
        <is>
          <t>MODEL ASSUMPTION</t>
        </is>
      </c>
    </row>
    <row r="22">
      <c r="A22" s="34" t="inlineStr">
        <is>
          <t>Receivables at risk: share 61-90 DPD</t>
        </is>
      </c>
      <c r="B22" s="65" t="inlineStr">
        <is>
          <t>%</t>
        </is>
      </c>
      <c r="C22" s="71" t="n">
        <v>0.2</v>
      </c>
      <c r="D22" s="18" t="inlineStr">
        <is>
          <t>Shares of receivables at risk must sum to 100% (Checks).</t>
        </is>
      </c>
      <c r="E22" s="67" t="inlineStr">
        <is>
          <t>MODEL ASSUMPTION</t>
        </is>
      </c>
    </row>
    <row r="23">
      <c r="A23" s="34" t="inlineStr">
        <is>
          <t>Receivables at risk: share 91-180 DPD</t>
        </is>
      </c>
      <c r="B23" s="65" t="inlineStr">
        <is>
          <t>%</t>
        </is>
      </c>
      <c r="C23" s="71" t="n">
        <v>0.25</v>
      </c>
      <c r="D23" s="18" t="inlineStr">
        <is>
          <t>Shares of receivables at risk must sum to 100% (Checks).</t>
        </is>
      </c>
      <c r="E23" s="67" t="inlineStr">
        <is>
          <t>MODEL ASSUMPTION</t>
        </is>
      </c>
    </row>
    <row r="24">
      <c r="A24" s="34" t="inlineStr">
        <is>
          <t>Receivables at risk: share 180+ DPD</t>
        </is>
      </c>
      <c r="B24" s="65" t="inlineStr">
        <is>
          <t>%</t>
        </is>
      </c>
      <c r="C24" s="71" t="n">
        <v>0.3</v>
      </c>
      <c r="D24" s="18" t="inlineStr">
        <is>
          <t>Shares of receivables at risk must sum to 100% (Checks).</t>
        </is>
      </c>
      <c r="E24" s="67" t="inlineStr">
        <is>
          <t>MODEL ASSUMPTION</t>
        </is>
      </c>
    </row>
    <row r="25"/>
    <row r="26">
      <c r="A26" s="21" t="inlineStr">
        <is>
          <t>Bucket table (derived: do not edit)</t>
        </is>
      </c>
      <c r="B26" s="22" t="n"/>
      <c r="C26" s="22" t="n"/>
      <c r="D26" s="22" t="n"/>
      <c r="E26" s="22" t="n"/>
      <c r="F26" s="22"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c r="AA26" s="22" t="n"/>
      <c r="AB26" s="22" t="n"/>
      <c r="AC26" s="22" t="n"/>
      <c r="AD26" s="22" t="n"/>
      <c r="AE26" s="22" t="n"/>
      <c r="AF26" s="22" t="n"/>
      <c r="AG26" s="22" t="n"/>
      <c r="AH26" s="22" t="n"/>
      <c r="AI26" s="22" t="n"/>
      <c r="AJ26" s="22" t="n"/>
      <c r="AK26" s="22" t="n"/>
      <c r="AL26" s="22" t="n"/>
      <c r="AM26" s="22" t="n"/>
      <c r="AN26" s="22" t="n"/>
      <c r="AO26" s="22" t="n"/>
      <c r="AP26" s="22" t="n"/>
      <c r="AQ26" s="22" t="n"/>
      <c r="AR26" s="22" t="n"/>
      <c r="AS26" s="22" t="n"/>
      <c r="AT26" s="22" t="n"/>
      <c r="AU26" s="22" t="n"/>
      <c r="AV26" s="22" t="n"/>
      <c r="AW26" s="22" t="n"/>
      <c r="AX26" s="22" t="n"/>
      <c r="AY26" s="22" t="n"/>
      <c r="AZ26" s="22" t="n"/>
      <c r="BA26" s="22" t="n"/>
      <c r="BB26" s="22" t="n"/>
      <c r="BC26" s="22" t="n"/>
      <c r="BD26" s="22" t="n"/>
      <c r="BE26" s="22" t="n"/>
      <c r="BF26" s="22" t="n"/>
      <c r="BG26" s="22" t="n"/>
      <c r="BH26" s="22" t="n"/>
      <c r="BI26" s="22" t="n"/>
      <c r="BJ26" s="22" t="n"/>
      <c r="BK26" s="22" t="n"/>
      <c r="BL26" s="22" t="n"/>
    </row>
    <row r="27">
      <c r="A27" s="40" t="inlineStr">
        <is>
          <t>DPD bucket</t>
        </is>
      </c>
      <c r="B27" s="40" t="inlineStr">
        <is>
          <t>Lower DPD</t>
        </is>
      </c>
      <c r="C27" s="40" t="inlineStr">
        <is>
          <t>Upper DPD</t>
        </is>
      </c>
      <c r="D27" s="40" t="inlineStr">
        <is>
          <t>Stage</t>
        </is>
      </c>
      <c r="E27" s="40" t="inlineStr">
        <is>
          <t>BB eligible</t>
        </is>
      </c>
      <c r="F27" s="40" t="inlineStr">
        <is>
          <t>In default</t>
        </is>
      </c>
      <c r="G27" s="40" t="inlineStr">
        <is>
          <t>30+ DPD</t>
        </is>
      </c>
      <c r="H27" s="40" t="inlineStr">
        <is>
          <t>90+ DPD</t>
        </is>
      </c>
      <c r="I27" s="40" t="inlineStr">
        <is>
          <t>Proxy share</t>
        </is>
      </c>
    </row>
    <row r="28">
      <c r="A28" s="34" t="inlineStr">
        <is>
          <t>Current</t>
        </is>
      </c>
      <c r="B28" s="23" t="n">
        <v>0</v>
      </c>
      <c r="C28" s="23" t="n">
        <v>0</v>
      </c>
      <c r="D28" s="23">
        <f>IF(B28&gt;Credit_Assumptions!$C$10,3,IF(B28&gt;Credit_Assumptions!$C$9,2,1))</f>
        <v/>
      </c>
      <c r="E28" s="23">
        <f>IF(B28&lt;=Credit_Assumptions!$C$11,1,0)</f>
        <v/>
      </c>
      <c r="F28" s="23">
        <f>IF(B28&gt;Credit_Assumptions!$C$8,1,0)</f>
        <v/>
      </c>
      <c r="G28" s="23">
        <f>IF(B28&gt;30,1,0)</f>
        <v/>
      </c>
      <c r="H28" s="23">
        <f>IF(B28&gt;90,1,0)</f>
        <v/>
      </c>
      <c r="I28" s="81">
        <f>Credit_Assumptions!$C$20</f>
        <v/>
      </c>
    </row>
    <row r="29">
      <c r="A29" s="34" t="inlineStr">
        <is>
          <t>1-30</t>
        </is>
      </c>
      <c r="B29" s="23" t="n">
        <v>1</v>
      </c>
      <c r="C29" s="23" t="n">
        <v>30</v>
      </c>
      <c r="D29" s="23">
        <f>IF(B29&gt;Credit_Assumptions!$C$10,3,IF(B29&gt;Credit_Assumptions!$C$9,2,1))</f>
        <v/>
      </c>
      <c r="E29" s="23">
        <f>IF(B29&lt;=Credit_Assumptions!$C$11,1,0)</f>
        <v/>
      </c>
      <c r="F29" s="23">
        <f>IF(B29&gt;Credit_Assumptions!$C$8,1,0)</f>
        <v/>
      </c>
      <c r="G29" s="23">
        <f>IF(B29&gt;30,1,0)</f>
        <v/>
      </c>
      <c r="H29" s="23">
        <f>IF(B29&gt;90,1,0)</f>
        <v/>
      </c>
      <c r="I29" s="81">
        <f>1-Credit_Assumptions!$C$20</f>
        <v/>
      </c>
    </row>
    <row r="30">
      <c r="A30" s="34" t="inlineStr">
        <is>
          <t>31-60</t>
        </is>
      </c>
      <c r="B30" s="23" t="n">
        <v>31</v>
      </c>
      <c r="C30" s="23" t="n">
        <v>60</v>
      </c>
      <c r="D30" s="23">
        <f>IF(B30&gt;Credit_Assumptions!$C$10,3,IF(B30&gt;Credit_Assumptions!$C$9,2,1))</f>
        <v/>
      </c>
      <c r="E30" s="23">
        <f>IF(B30&lt;=Credit_Assumptions!$C$11,1,0)</f>
        <v/>
      </c>
      <c r="F30" s="23">
        <f>IF(B30&gt;Credit_Assumptions!$C$8,1,0)</f>
        <v/>
      </c>
      <c r="G30" s="23">
        <f>IF(B30&gt;30,1,0)</f>
        <v/>
      </c>
      <c r="H30" s="23">
        <f>IF(B30&gt;90,1,0)</f>
        <v/>
      </c>
      <c r="I30" s="81">
        <f>Credit_Assumptions!$C$21</f>
        <v/>
      </c>
    </row>
    <row r="31">
      <c r="A31" s="34" t="inlineStr">
        <is>
          <t>61-90</t>
        </is>
      </c>
      <c r="B31" s="23" t="n">
        <v>61</v>
      </c>
      <c r="C31" s="23" t="n">
        <v>90</v>
      </c>
      <c r="D31" s="23">
        <f>IF(B31&gt;Credit_Assumptions!$C$10,3,IF(B31&gt;Credit_Assumptions!$C$9,2,1))</f>
        <v/>
      </c>
      <c r="E31" s="23">
        <f>IF(B31&lt;=Credit_Assumptions!$C$11,1,0)</f>
        <v/>
      </c>
      <c r="F31" s="23">
        <f>IF(B31&gt;Credit_Assumptions!$C$8,1,0)</f>
        <v/>
      </c>
      <c r="G31" s="23">
        <f>IF(B31&gt;30,1,0)</f>
        <v/>
      </c>
      <c r="H31" s="23">
        <f>IF(B31&gt;90,1,0)</f>
        <v/>
      </c>
      <c r="I31" s="81">
        <f>Credit_Assumptions!$C$22</f>
        <v/>
      </c>
    </row>
    <row r="32">
      <c r="A32" s="34" t="inlineStr">
        <is>
          <t>91-180</t>
        </is>
      </c>
      <c r="B32" s="23" t="n">
        <v>91</v>
      </c>
      <c r="C32" s="23" t="n">
        <v>180</v>
      </c>
      <c r="D32" s="23">
        <f>IF(B32&gt;Credit_Assumptions!$C$10,3,IF(B32&gt;Credit_Assumptions!$C$9,2,1))</f>
        <v/>
      </c>
      <c r="E32" s="23">
        <f>IF(B32&lt;=Credit_Assumptions!$C$11,1,0)</f>
        <v/>
      </c>
      <c r="F32" s="23">
        <f>IF(B32&gt;Credit_Assumptions!$C$8,1,0)</f>
        <v/>
      </c>
      <c r="G32" s="23">
        <f>IF(B32&gt;30,1,0)</f>
        <v/>
      </c>
      <c r="H32" s="23">
        <f>IF(B32&gt;90,1,0)</f>
        <v/>
      </c>
      <c r="I32" s="81">
        <f>Credit_Assumptions!$C$23</f>
        <v/>
      </c>
    </row>
    <row r="33">
      <c r="A33" s="34" t="inlineStr">
        <is>
          <t>180+</t>
        </is>
      </c>
      <c r="B33" s="23" t="n">
        <v>181</v>
      </c>
      <c r="C33" s="23" t="n">
        <v>9999</v>
      </c>
      <c r="D33" s="23">
        <f>IF(B33&gt;Credit_Assumptions!$C$10,3,IF(B33&gt;Credit_Assumptions!$C$9,2,1))</f>
        <v/>
      </c>
      <c r="E33" s="23">
        <f>IF(B33&lt;=Credit_Assumptions!$C$11,1,0)</f>
        <v/>
      </c>
      <c r="F33" s="23">
        <f>IF(B33&gt;Credit_Assumptions!$C$8,1,0)</f>
        <v/>
      </c>
      <c r="G33" s="23">
        <f>IF(B33&gt;30,1,0)</f>
        <v/>
      </c>
      <c r="H33" s="23">
        <f>IF(B33&gt;90,1,0)</f>
        <v/>
      </c>
      <c r="I33" s="81">
        <f>Credit_Assumptions!$C$24</f>
        <v/>
      </c>
    </row>
    <row r="34"/>
    <row r="35">
      <c r="A35" s="18" t="inlineStr">
        <is>
          <t>Current and 1-30 shares apply to balances of paying accounts; 31+ shares apply to receivables at risk (accounts that stopped paying). The 30+/90+ flags use fixed market definitions; stage, eligibility and default follow the thresholds above.</t>
        </is>
      </c>
    </row>
    <row r="36">
      <c r="A36" s="18" t="inlineStr">
        <is>
          <t>The 12-month PD shown by Credit_Engine is a proxy derived from the repayment curve or from observed loss rates. It is NOT an audited IFRS 9 PD.</t>
        </is>
      </c>
    </row>
    <row r="37">
      <c r="A37" s="18" t="inlineStr">
        <is>
          <t>This is an analytical modelling treatment and does not constitute a determination of the applicable accounting treatment under IFRS.</t>
        </is>
      </c>
    </row>
  </sheetData>
  <dataValidations count="2">
    <dataValidation sqref="C5" showDropDown="0" showInputMessage="0" showErrorMessage="1" allowBlank="0" error="Enter 1 or 2." type="whole" errorStyle="stop" operator="between">
      <formula1>1</formula1>
      <formula2>2</formula2>
    </dataValidation>
    <dataValidation sqref="E5 E8 E9 E10 E11 E15 E16 E17 E20 E21 E22 E23 E24" showDropDown="0" showInputMessage="0" showErrorMessage="1" allowBlank="0" type="list" errorStyle="stop">
      <formula1>"MODEL ASSUMPTION,COMPANY DATA,EXTERNAL EVIDENCE,CALIBRATED ASSUMPTION,UNVERIFIED"</formula1>
    </dataValidation>
  </dataValidations>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10.xml><?xml version="1.0" encoding="utf-8"?>
<worksheet xmlns="http://schemas.openxmlformats.org/spreadsheetml/2006/main">
  <sheetPr>
    <tabColor rgb="000000FF"/>
    <outlinePr summaryBelow="1" summaryRight="1"/>
    <pageSetUpPr fitToPage="1"/>
  </sheetPr>
  <dimension ref="A1:G17"/>
  <sheetViews>
    <sheetView showGridLines="0" workbookViewId="0">
      <selection activeCell="A1" sqref="A1"/>
    </sheetView>
  </sheetViews>
  <sheetFormatPr baseColWidth="8" defaultRowHeight="15"/>
  <cols>
    <col width="58" customWidth="1" min="1" max="1"/>
    <col width="12" customWidth="1" min="2" max="2"/>
    <col width="18" customWidth="1" min="3" max="3"/>
    <col width="18" customWidth="1" min="4" max="4"/>
    <col width="18" customWidth="1" min="5" max="5"/>
    <col width="18" customWidth="1" min="6" max="6"/>
    <col width="18" customWidth="1" min="7" max="7"/>
  </cols>
  <sheetData>
    <row r="1">
      <c r="A1" s="17" t="inlineStr">
        <is>
          <t>Consumer risk: affordability, APR, evidence of consumer protection</t>
        </is>
      </c>
    </row>
    <row r="2">
      <c r="A2" s="18" t="inlineStr">
        <is>
          <t>[ASSUMPTION]  Household incomes are ILLUSTRATIVE: TO BE REPLACED BY COUNTRY / CUSTOMER DATA. Not market data.</t>
        </is>
      </c>
    </row>
    <row r="3"/>
    <row r="4">
      <c r="A4" s="34" t="inlineStr">
        <is>
          <t>Maximum payment burden (instalment / monthly household income)</t>
        </is>
      </c>
      <c r="C4" s="72" t="n">
        <v>0.1</v>
      </c>
      <c r="D4" s="18" t="inlineStr">
        <is>
          <t>Illustrative policy threshold: set from the company's credit policy or regulator guidance.</t>
        </is>
      </c>
    </row>
    <row r="5">
      <c r="A5" s="34" t="inlineStr">
        <is>
          <t>Affordability assumptions reviewed by management (1 = yes)</t>
        </is>
      </c>
      <c r="C5" s="66" t="n">
        <v>0</v>
      </c>
    </row>
    <row r="6"/>
    <row r="7">
      <c r="A7" s="40" t="inlineStr">
        <is>
          <t>Metric</t>
        </is>
      </c>
      <c r="B7" s="40" t="inlineStr">
        <is>
          <t>Unit</t>
        </is>
      </c>
      <c r="C7" s="40" t="inlineStr">
        <is>
          <t>Tier 1</t>
        </is>
      </c>
      <c r="D7" s="40" t="inlineStr">
        <is>
          <t>Tier 2</t>
        </is>
      </c>
      <c r="E7" s="40" t="inlineStr">
        <is>
          <t>Tier 3</t>
        </is>
      </c>
      <c r="F7" s="40" t="inlineStr">
        <is>
          <t>Tier 4</t>
        </is>
      </c>
      <c r="G7" s="40" t="inlineStr">
        <is>
          <t>Tier 5</t>
        </is>
      </c>
    </row>
    <row r="8">
      <c r="A8" s="34" t="inlineStr">
        <is>
          <t>Household monthly income: ILLUSTRATIVE, TO BE REPLACED</t>
        </is>
      </c>
      <c r="B8" s="65" t="inlineStr">
        <is>
          <t>LCY / month</t>
        </is>
      </c>
      <c r="C8" s="73" t="n">
        <v>9000</v>
      </c>
      <c r="D8" s="73" t="n">
        <v>18000</v>
      </c>
      <c r="E8" s="73" t="n">
        <v>40000</v>
      </c>
      <c r="F8" s="73" t="n">
        <v>120000</v>
      </c>
      <c r="G8" s="73" t="n">
        <v>300000</v>
      </c>
    </row>
    <row r="9">
      <c r="A9" s="34" t="inlineStr">
        <is>
          <t>PAYGo monthly instalment</t>
        </is>
      </c>
      <c r="B9" s="65" t="inlineStr">
        <is>
          <t>LCY / month</t>
        </is>
      </c>
      <c r="C9" s="80">
        <f>Products!$C$33</f>
        <v/>
      </c>
      <c r="D9" s="80">
        <f>Products!$D$33</f>
        <v/>
      </c>
      <c r="E9" s="80">
        <f>Products!$E$33</f>
        <v/>
      </c>
      <c r="F9" s="80">
        <f>Products!$F$33</f>
        <v/>
      </c>
      <c r="G9" s="80">
        <f>Products!$G$33</f>
        <v/>
      </c>
    </row>
    <row r="10">
      <c r="A10" s="19" t="inlineStr">
        <is>
          <t>Payment burden (instalment / income)</t>
        </is>
      </c>
      <c r="B10" s="65" t="inlineStr">
        <is>
          <t>%</t>
        </is>
      </c>
      <c r="C10" s="81">
        <f>IFERROR(C9/C8,0)</f>
        <v/>
      </c>
      <c r="D10" s="81">
        <f>IFERROR(D9/D8,0)</f>
        <v/>
      </c>
      <c r="E10" s="81">
        <f>IFERROR(E9/E8,0)</f>
        <v/>
      </c>
      <c r="F10" s="81">
        <f>IFERROR(F9/F8,0)</f>
        <v/>
      </c>
      <c r="G10" s="81">
        <f>IFERROR(G9/G8,0)</f>
        <v/>
      </c>
    </row>
    <row r="11">
      <c r="A11" s="34" t="inlineStr">
        <is>
          <t>Down payment / monthly income</t>
        </is>
      </c>
      <c r="B11" s="65" t="inlineStr">
        <is>
          <t>x</t>
        </is>
      </c>
      <c r="C11" s="86">
        <f>IFERROR(Products!$C$14/C8,0)</f>
        <v/>
      </c>
      <c r="D11" s="86">
        <f>IFERROR(Products!$D$14/D8,0)</f>
        <v/>
      </c>
      <c r="E11" s="86">
        <f>IFERROR(Products!$E$14/E8,0)</f>
        <v/>
      </c>
      <c r="F11" s="86">
        <f>IFERROR(Products!$F$14/F8,0)</f>
        <v/>
      </c>
      <c r="G11" s="86">
        <f>IFERROR(Products!$G$14/G8,0)</f>
        <v/>
      </c>
    </row>
    <row r="12">
      <c r="A12" s="34" t="inlineStr">
        <is>
          <t>Implied consumer APR</t>
        </is>
      </c>
      <c r="B12" s="65" t="inlineStr">
        <is>
          <t>% p.a.</t>
        </is>
      </c>
      <c r="C12" s="81">
        <f>Products!$C$39</f>
        <v/>
      </c>
      <c r="D12" s="81">
        <f>Products!$D$39</f>
        <v/>
      </c>
      <c r="E12" s="81">
        <f>Products!$E$39</f>
        <v/>
      </c>
      <c r="F12" s="81">
        <f>Products!$F$39</f>
        <v/>
      </c>
      <c r="G12" s="81">
        <f>Products!$G$39</f>
        <v/>
      </c>
    </row>
    <row r="13">
      <c r="A13" s="19" t="inlineStr">
        <is>
          <t>Affordability flag (burden above threshold)</t>
        </is>
      </c>
      <c r="B13" s="65" t="inlineStr">
        <is>
          <t>flag</t>
        </is>
      </c>
      <c r="C13" s="23">
        <f>IF(C10&gt;Consumer_Risk!$C$4,1,0)</f>
        <v/>
      </c>
      <c r="D13" s="23">
        <f>IF(D10&gt;Consumer_Risk!$C$4,1,0)</f>
        <v/>
      </c>
      <c r="E13" s="23">
        <f>IF(E10&gt;Consumer_Risk!$C$4,1,0)</f>
        <v/>
      </c>
      <c r="F13" s="23">
        <f>IF(F10&gt;Consumer_Risk!$C$4,1,0)</f>
        <v/>
      </c>
      <c r="G13" s="23">
        <f>IF(G10&gt;Consumer_Risk!$C$4,1,0)</f>
        <v/>
      </c>
    </row>
    <row r="14">
      <c r="A14" s="34" t="inlineStr">
        <is>
          <t>PAYGo PERFORM KPI evidence status</t>
        </is>
      </c>
      <c r="B14" s="65" t="inlineStr">
        <is>
          <t>status</t>
        </is>
      </c>
      <c r="C14" s="69" t="inlineStr">
        <is>
          <t>Not provided</t>
        </is>
      </c>
      <c r="D14" s="69" t="inlineStr">
        <is>
          <t>Not provided</t>
        </is>
      </c>
      <c r="E14" s="69" t="inlineStr">
        <is>
          <t>Not provided</t>
        </is>
      </c>
      <c r="F14" s="69" t="inlineStr">
        <is>
          <t>Not provided</t>
        </is>
      </c>
      <c r="G14" s="69" t="inlineStr">
        <is>
          <t>Not provided</t>
        </is>
      </c>
    </row>
    <row r="15">
      <c r="A15" s="34" t="inlineStr">
        <is>
          <t>Consumer-protection evidence status (pricing disclosure, collections conduct, complaints)</t>
        </is>
      </c>
      <c r="B15" s="65" t="inlineStr">
        <is>
          <t>status</t>
        </is>
      </c>
      <c r="C15" s="69" t="inlineStr">
        <is>
          <t>Not provided</t>
        </is>
      </c>
      <c r="D15" s="69" t="inlineStr">
        <is>
          <t>Not provided</t>
        </is>
      </c>
      <c r="E15" s="69" t="inlineStr">
        <is>
          <t>Not provided</t>
        </is>
      </c>
      <c r="F15" s="69" t="inlineStr">
        <is>
          <t>Not provided</t>
        </is>
      </c>
      <c r="G15" s="69" t="inlineStr">
        <is>
          <t>Not provided</t>
        </is>
      </c>
    </row>
    <row r="16"/>
    <row r="17">
      <c r="A17" s="18" t="inlineStr">
        <is>
          <t>Consumer protection is treated as a financial risk: affordability, collections practices, pricing transparency and ownership outcomes affect repayment, default, reputation, RBF eligibility and investor risk.</t>
        </is>
      </c>
    </row>
  </sheetData>
  <dataValidations count="2">
    <dataValidation sqref="C14 C15 D14 D15 E14 E15 F14 F15 G14 G15" showDropDown="0" showInputMessage="0" showErrorMessage="1" allowBlank="0" type="list" errorStyle="stop">
      <formula1>"Not provided,Provided,Validated"</formula1>
    </dataValidation>
    <dataValidation sqref="C5" showDropDown="0" showInputMessage="0" showErrorMessage="1" allowBlank="0" error="Enter a whole number from 0 to 1." type="whole" errorStyle="stop" operator="between">
      <formula1>0</formula1>
      <formula2>1</formula2>
    </dataValidation>
  </dataValidations>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11.xml><?xml version="1.0" encoding="utf-8"?>
<worksheet xmlns="http://schemas.openxmlformats.org/spreadsheetml/2006/main">
  <sheetPr>
    <tabColor rgb="0000B050"/>
    <outlinePr summaryBelow="1" summaryRight="1"/>
    <pageSetUpPr fitToPage="1"/>
  </sheetPr>
  <dimension ref="A1:BL53"/>
  <sheetViews>
    <sheetView showGridLines="0" workbookViewId="0">
      <selection activeCell="A1" sqref="A1"/>
    </sheetView>
  </sheetViews>
  <sheetFormatPr baseColWidth="8" defaultRowHeight="15"/>
  <cols>
    <col width="58" customWidth="1" min="1" max="1"/>
    <col width="12" customWidth="1" min="2" max="2"/>
    <col width="12" customWidth="1" min="3" max="3"/>
    <col width="12" customWidth="1" min="4" max="4"/>
    <col width="12" customWidth="1" min="5" max="5"/>
    <col width="12" customWidth="1" min="6" max="6"/>
    <col width="12" customWidth="1" min="7" max="7"/>
    <col width="48" customWidth="1" min="8" max="8"/>
  </cols>
  <sheetData>
    <row r="1">
      <c r="A1" s="17" t="inlineStr">
        <is>
          <t>Dashboard: key metrics</t>
        </is>
      </c>
    </row>
    <row r="2">
      <c r="A2" s="18" t="inlineStr">
        <is>
          <t>[FORECAST]  Active case. Each metric is labelled with its unit and source and rounded for reading; full precision stays on the source sheets.</t>
        </is>
      </c>
    </row>
    <row r="3">
      <c r="A3" s="34" t="inlineStr">
        <is>
          <t>Active case</t>
        </is>
      </c>
      <c r="B3" s="20">
        <f>Scenarios!$G$13</f>
        <v/>
      </c>
      <c r="D3" s="34" t="inlineStr">
        <is>
          <t>Master check</t>
        </is>
      </c>
      <c r="E3" s="20">
        <f>Checks!$C$44</f>
        <v/>
      </c>
    </row>
    <row r="4"/>
    <row r="5">
      <c r="A5" s="40" t="inlineStr">
        <is>
          <t>Metric</t>
        </is>
      </c>
      <c r="B5" s="40" t="inlineStr">
        <is>
          <t>Unit</t>
        </is>
      </c>
      <c r="C5" s="40" t="inlineStr">
        <is>
          <t>Year 1</t>
        </is>
      </c>
      <c r="D5" s="40" t="inlineStr">
        <is>
          <t>Year 2</t>
        </is>
      </c>
      <c r="E5" s="40" t="inlineStr">
        <is>
          <t>Year 3</t>
        </is>
      </c>
      <c r="F5" s="40" t="inlineStr">
        <is>
          <t>Year 4</t>
        </is>
      </c>
      <c r="G5" s="40" t="inlineStr">
        <is>
          <t>Year 5</t>
        </is>
      </c>
      <c r="H5" s="40" t="inlineStr">
        <is>
          <t>Source / how to read</t>
        </is>
      </c>
    </row>
    <row r="6">
      <c r="A6" s="21" t="inlineStr">
        <is>
          <t>Scale and customers</t>
        </is>
      </c>
      <c r="B6" s="22" t="n"/>
      <c r="C6" s="22" t="n"/>
      <c r="D6" s="22" t="n"/>
      <c r="E6" s="22" t="n"/>
      <c r="F6" s="22" t="n"/>
      <c r="G6" s="22" t="n"/>
      <c r="H6" s="22" t="n"/>
      <c r="I6" s="22" t="n"/>
      <c r="J6" s="22" t="n"/>
      <c r="K6" s="22" t="n"/>
      <c r="L6" s="22" t="n"/>
      <c r="M6" s="22" t="n"/>
      <c r="N6" s="22" t="n"/>
      <c r="O6" s="22" t="n"/>
      <c r="P6" s="22" t="n"/>
      <c r="Q6" s="22" t="n"/>
      <c r="R6" s="22" t="n"/>
      <c r="S6" s="22" t="n"/>
      <c r="T6" s="22" t="n"/>
      <c r="U6" s="22" t="n"/>
      <c r="V6" s="22" t="n"/>
      <c r="W6" s="22" t="n"/>
      <c r="X6" s="22" t="n"/>
      <c r="Y6" s="22" t="n"/>
      <c r="Z6" s="22" t="n"/>
      <c r="AA6" s="22" t="n"/>
      <c r="AB6" s="22" t="n"/>
      <c r="AC6" s="22" t="n"/>
      <c r="AD6" s="22" t="n"/>
      <c r="AE6" s="22" t="n"/>
      <c r="AF6" s="22" t="n"/>
      <c r="AG6" s="22" t="n"/>
      <c r="AH6" s="22" t="n"/>
      <c r="AI6" s="22" t="n"/>
      <c r="AJ6" s="22" t="n"/>
      <c r="AK6" s="22" t="n"/>
      <c r="AL6" s="22" t="n"/>
      <c r="AM6" s="22" t="n"/>
      <c r="AN6" s="22" t="n"/>
      <c r="AO6" s="22" t="n"/>
      <c r="AP6" s="22" t="n"/>
      <c r="AQ6" s="22" t="n"/>
      <c r="AR6" s="22" t="n"/>
      <c r="AS6" s="22" t="n"/>
      <c r="AT6" s="22" t="n"/>
      <c r="AU6" s="22" t="n"/>
      <c r="AV6" s="22" t="n"/>
      <c r="AW6" s="22" t="n"/>
      <c r="AX6" s="22" t="n"/>
      <c r="AY6" s="22" t="n"/>
      <c r="AZ6" s="22" t="n"/>
      <c r="BA6" s="22" t="n"/>
      <c r="BB6" s="22" t="n"/>
      <c r="BC6" s="22" t="n"/>
      <c r="BD6" s="22" t="n"/>
      <c r="BE6" s="22" t="n"/>
      <c r="BF6" s="22" t="n"/>
      <c r="BG6" s="22" t="n"/>
      <c r="BH6" s="22" t="n"/>
      <c r="BI6" s="22" t="n"/>
      <c r="BJ6" s="22" t="n"/>
      <c r="BK6" s="22" t="n"/>
      <c r="BL6" s="22" t="n"/>
    </row>
    <row r="7">
      <c r="A7" s="34" t="inlineStr">
        <is>
          <t>New customers (contracts originated in the year)</t>
        </is>
      </c>
      <c r="B7" s="65" t="inlineStr">
        <is>
          <t>#</t>
        </is>
      </c>
      <c r="C7" s="41">
        <f>KPIs!E14</f>
        <v/>
      </c>
      <c r="D7" s="41">
        <f>KPIs!F14</f>
        <v/>
      </c>
      <c r="E7" s="41">
        <f>KPIs!G14</f>
        <v/>
      </c>
      <c r="F7" s="41">
        <f>KPIs!H14</f>
        <v/>
      </c>
      <c r="G7" s="41">
        <f>KPIs!I14</f>
        <v/>
      </c>
      <c r="H7" s="87" t="inlineStr">
        <is>
          <t>KPIs. One unit sold = one contract.</t>
        </is>
      </c>
    </row>
    <row r="8">
      <c r="A8" s="34" t="inlineStr">
        <is>
          <t>Customers: cumulative contracts originated</t>
        </is>
      </c>
      <c r="B8" s="65" t="inlineStr">
        <is>
          <t>#</t>
        </is>
      </c>
      <c r="C8" s="41">
        <f>SUMIFS(Ops!$E$134:$BL$134,Timeline!$E$4:$BL$4,"&lt;="&amp;12)</f>
        <v/>
      </c>
      <c r="D8" s="41">
        <f>SUMIFS(Ops!$E$134:$BL$134,Timeline!$E$4:$BL$4,"&lt;="&amp;24)</f>
        <v/>
      </c>
      <c r="E8" s="41">
        <f>SUMIFS(Ops!$E$134:$BL$134,Timeline!$E$4:$BL$4,"&lt;="&amp;36)</f>
        <v/>
      </c>
      <c r="F8" s="41">
        <f>SUMIFS(Ops!$E$134:$BL$134,Timeline!$E$4:$BL$4,"&lt;="&amp;48)</f>
        <v/>
      </c>
      <c r="G8" s="41">
        <f>SUMIFS(Ops!$E$134:$BL$134,Timeline!$E$4:$BL$4,"&lt;="&amp;60)</f>
        <v/>
      </c>
      <c r="H8" s="87" t="inlineStr">
        <is>
          <t>Ops.</t>
        </is>
      </c>
    </row>
    <row r="9">
      <c r="A9" s="34" t="inlineStr">
        <is>
          <t>Active customers (accounts still paying, year end)</t>
        </is>
      </c>
      <c r="B9" s="65" t="inlineStr">
        <is>
          <t>#</t>
        </is>
      </c>
      <c r="C9" s="41">
        <f>KPIs!E16</f>
        <v/>
      </c>
      <c r="D9" s="41">
        <f>KPIs!F16</f>
        <v/>
      </c>
      <c r="E9" s="41">
        <f>KPIs!G16</f>
        <v/>
      </c>
      <c r="F9" s="41">
        <f>KPIs!H16</f>
        <v/>
      </c>
      <c r="G9" s="41">
        <f>KPIs!I16</f>
        <v/>
      </c>
      <c r="H9" s="87" t="inlineStr">
        <is>
          <t>KPIs.</t>
        </is>
      </c>
    </row>
    <row r="10">
      <c r="A10" s="34" t="inlineStr">
        <is>
          <t>ARPU: revenue per average active account per month</t>
        </is>
      </c>
      <c r="B10" s="65" t="inlineStr">
        <is>
          <t>LCY</t>
        </is>
      </c>
      <c r="C10" s="41">
        <f>IFERROR(KPIs!E34/((0+KPIs!E16)/2)/12,"n/a")</f>
        <v/>
      </c>
      <c r="D10" s="41">
        <f>IFERROR(KPIs!F34/((KPIs!E16+KPIs!F16)/2)/12,"n/a")</f>
        <v/>
      </c>
      <c r="E10" s="41">
        <f>IFERROR(KPIs!G34/((KPIs!F16+KPIs!G16)/2)/12,"n/a")</f>
        <v/>
      </c>
      <c r="F10" s="41">
        <f>IFERROR(KPIs!H34/((KPIs!G16+KPIs!H16)/2)/12,"n/a")</f>
        <v/>
      </c>
      <c r="G10" s="41">
        <f>IFERROR(KPIs!I34/((KPIs!H16+KPIs!I16)/2)/12,"n/a")</f>
        <v/>
      </c>
      <c r="H10" s="87" t="inlineStr">
        <is>
          <t>Includes hardware revenue recognised at sale, so it is high in growth years.</t>
        </is>
      </c>
    </row>
    <row r="11">
      <c r="A11" s="21" t="inlineStr">
        <is>
          <t>Profitability</t>
        </is>
      </c>
      <c r="B11" s="22" t="n"/>
      <c r="C11" s="22" t="n"/>
      <c r="D11" s="22" t="n"/>
      <c r="E11" s="22" t="n"/>
      <c r="F11" s="22"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c r="AA11" s="22" t="n"/>
      <c r="AB11" s="22" t="n"/>
      <c r="AC11" s="22" t="n"/>
      <c r="AD11" s="22" t="n"/>
      <c r="AE11" s="22" t="n"/>
      <c r="AF11" s="22" t="n"/>
      <c r="AG11" s="22" t="n"/>
      <c r="AH11" s="22" t="n"/>
      <c r="AI11" s="22" t="n"/>
      <c r="AJ11" s="22" t="n"/>
      <c r="AK11" s="22" t="n"/>
      <c r="AL11" s="22" t="n"/>
      <c r="AM11" s="22" t="n"/>
      <c r="AN11" s="22" t="n"/>
      <c r="AO11" s="22" t="n"/>
      <c r="AP11" s="22" t="n"/>
      <c r="AQ11" s="22" t="n"/>
      <c r="AR11" s="22" t="n"/>
      <c r="AS11" s="22" t="n"/>
      <c r="AT11" s="22" t="n"/>
      <c r="AU11" s="22" t="n"/>
      <c r="AV11" s="22" t="n"/>
      <c r="AW11" s="22" t="n"/>
      <c r="AX11" s="22" t="n"/>
      <c r="AY11" s="22" t="n"/>
      <c r="AZ11" s="22" t="n"/>
      <c r="BA11" s="22" t="n"/>
      <c r="BB11" s="22" t="n"/>
      <c r="BC11" s="22" t="n"/>
      <c r="BD11" s="22" t="n"/>
      <c r="BE11" s="22" t="n"/>
      <c r="BF11" s="22" t="n"/>
      <c r="BG11" s="22" t="n"/>
      <c r="BH11" s="22" t="n"/>
      <c r="BI11" s="22" t="n"/>
      <c r="BJ11" s="22" t="n"/>
      <c r="BK11" s="22" t="n"/>
      <c r="BL11" s="22" t="n"/>
    </row>
    <row r="12">
      <c r="A12" s="34" t="inlineStr">
        <is>
          <t>Revenue</t>
        </is>
      </c>
      <c r="B12" s="65" t="inlineStr">
        <is>
          <t>LCY m</t>
        </is>
      </c>
      <c r="C12" s="88">
        <f>KPIs!E34</f>
        <v/>
      </c>
      <c r="D12" s="88">
        <f>KPIs!F34</f>
        <v/>
      </c>
      <c r="E12" s="88">
        <f>KPIs!G34</f>
        <v/>
      </c>
      <c r="F12" s="88">
        <f>KPIs!H34</f>
        <v/>
      </c>
      <c r="G12" s="88">
        <f>KPIs!I34</f>
        <v/>
      </c>
      <c r="H12" s="87" t="inlineStr">
        <is>
          <t>KPIs. Revenue is not cash: see cash conversion.</t>
        </is>
      </c>
    </row>
    <row r="13">
      <c r="A13" s="34" t="inlineStr">
        <is>
          <t>Revenue</t>
        </is>
      </c>
      <c r="B13" s="65" t="inlineStr">
        <is>
          <t>USD m</t>
        </is>
      </c>
      <c r="C13" s="88">
        <f>KPIs!E35</f>
        <v/>
      </c>
      <c r="D13" s="88">
        <f>KPIs!F35</f>
        <v/>
      </c>
      <c r="E13" s="88">
        <f>KPIs!G35</f>
        <v/>
      </c>
      <c r="F13" s="88">
        <f>KPIs!H35</f>
        <v/>
      </c>
      <c r="G13" s="88">
        <f>KPIs!I35</f>
        <v/>
      </c>
      <c r="H13" s="87" t="inlineStr">
        <is>
          <t>At average FX (FX_Exposure for translation).</t>
        </is>
      </c>
    </row>
    <row r="14">
      <c r="A14" s="34" t="inlineStr">
        <is>
          <t>Gross margin</t>
        </is>
      </c>
      <c r="B14" s="65" t="inlineStr">
        <is>
          <t>%</t>
        </is>
      </c>
      <c r="C14" s="42">
        <f>KPIs!E36</f>
        <v/>
      </c>
      <c r="D14" s="42">
        <f>KPIs!F36</f>
        <v/>
      </c>
      <c r="E14" s="42">
        <f>KPIs!G36</f>
        <v/>
      </c>
      <c r="F14" s="42">
        <f>KPIs!H36</f>
        <v/>
      </c>
      <c r="G14" s="42">
        <f>KPIs!I36</f>
        <v/>
      </c>
      <c r="H14" s="87" t="inlineStr">
        <is>
          <t>KPIs.</t>
        </is>
      </c>
    </row>
    <row r="15">
      <c r="A15" s="34" t="inlineStr">
        <is>
          <t>EBITDA</t>
        </is>
      </c>
      <c r="B15" s="65" t="inlineStr">
        <is>
          <t>LCY m</t>
        </is>
      </c>
      <c r="C15" s="88">
        <f>KPIs!E37</f>
        <v/>
      </c>
      <c r="D15" s="88">
        <f>KPIs!F37</f>
        <v/>
      </c>
      <c r="E15" s="88">
        <f>KPIs!G37</f>
        <v/>
      </c>
      <c r="F15" s="88">
        <f>KPIs!H37</f>
        <v/>
      </c>
      <c r="G15" s="88">
        <f>KPIs!I37</f>
        <v/>
      </c>
      <c r="H15" s="87" t="inlineStr">
        <is>
          <t>KPIs. After expected credit losses and RBF income.</t>
        </is>
      </c>
    </row>
    <row r="16">
      <c r="A16" s="34" t="inlineStr">
        <is>
          <t>EBITDA margin</t>
        </is>
      </c>
      <c r="B16" s="65" t="inlineStr">
        <is>
          <t>%</t>
        </is>
      </c>
      <c r="C16" s="42">
        <f>KPIs!E38</f>
        <v/>
      </c>
      <c r="D16" s="42">
        <f>KPIs!F38</f>
        <v/>
      </c>
      <c r="E16" s="42">
        <f>KPIs!G38</f>
        <v/>
      </c>
      <c r="F16" s="42">
        <f>KPIs!H38</f>
        <v/>
      </c>
      <c r="G16" s="42">
        <f>KPIs!I38</f>
        <v/>
      </c>
      <c r="H16" s="87" t="inlineStr">
        <is>
          <t>KPIs.</t>
        </is>
      </c>
    </row>
    <row r="17">
      <c r="A17" s="34" t="inlineStr">
        <is>
          <t>Net income</t>
        </is>
      </c>
      <c r="B17" s="65" t="inlineStr">
        <is>
          <t>LCY m</t>
        </is>
      </c>
      <c r="C17" s="88">
        <f>KPIs!E42</f>
        <v/>
      </c>
      <c r="D17" s="88">
        <f>KPIs!F42</f>
        <v/>
      </c>
      <c r="E17" s="88">
        <f>KPIs!G42</f>
        <v/>
      </c>
      <c r="F17" s="88">
        <f>KPIs!H42</f>
        <v/>
      </c>
      <c r="G17" s="88">
        <f>KPIs!I42</f>
        <v/>
      </c>
      <c r="H17" s="87" t="inlineStr">
        <is>
          <t>KPIs.</t>
        </is>
      </c>
    </row>
    <row r="18">
      <c r="A18" s="21" t="inlineStr">
        <is>
          <t>Cash and portfolio</t>
        </is>
      </c>
      <c r="B18" s="22" t="n"/>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c r="AA18" s="22" t="n"/>
      <c r="AB18" s="22" t="n"/>
      <c r="AC18" s="22" t="n"/>
      <c r="AD18" s="22" t="n"/>
      <c r="AE18" s="22" t="n"/>
      <c r="AF18" s="22" t="n"/>
      <c r="AG18" s="22" t="n"/>
      <c r="AH18" s="22" t="n"/>
      <c r="AI18" s="22" t="n"/>
      <c r="AJ18" s="22" t="n"/>
      <c r="AK18" s="22" t="n"/>
      <c r="AL18" s="22" t="n"/>
      <c r="AM18" s="22" t="n"/>
      <c r="AN18" s="22" t="n"/>
      <c r="AO18" s="22" t="n"/>
      <c r="AP18" s="22" t="n"/>
      <c r="AQ18" s="22" t="n"/>
      <c r="AR18" s="22" t="n"/>
      <c r="AS18" s="22" t="n"/>
      <c r="AT18" s="22" t="n"/>
      <c r="AU18" s="22" t="n"/>
      <c r="AV18" s="22" t="n"/>
      <c r="AW18" s="22" t="n"/>
      <c r="AX18" s="22" t="n"/>
      <c r="AY18" s="22" t="n"/>
      <c r="AZ18" s="22" t="n"/>
      <c r="BA18" s="22" t="n"/>
      <c r="BB18" s="22" t="n"/>
      <c r="BC18" s="22" t="n"/>
      <c r="BD18" s="22" t="n"/>
      <c r="BE18" s="22" t="n"/>
      <c r="BF18" s="22" t="n"/>
      <c r="BG18" s="22" t="n"/>
      <c r="BH18" s="22" t="n"/>
      <c r="BI18" s="22" t="n"/>
      <c r="BJ18" s="22" t="n"/>
      <c r="BK18" s="22" t="n"/>
      <c r="BL18" s="22" t="n"/>
    </row>
    <row r="19">
      <c r="A19" s="34" t="inlineStr">
        <is>
          <t>Cash balance (year end)</t>
        </is>
      </c>
      <c r="B19" s="65" t="inlineStr">
        <is>
          <t>LCY m</t>
        </is>
      </c>
      <c r="C19" s="88">
        <f>KPIs!E44</f>
        <v/>
      </c>
      <c r="D19" s="88">
        <f>KPIs!F44</f>
        <v/>
      </c>
      <c r="E19" s="88">
        <f>KPIs!G44</f>
        <v/>
      </c>
      <c r="F19" s="88">
        <f>KPIs!H44</f>
        <v/>
      </c>
      <c r="G19" s="88">
        <f>KPIs!I44</f>
        <v/>
      </c>
      <c r="H19" s="87" t="inlineStr">
        <is>
          <t>Held at the minimum by equity top-ups when needed.</t>
        </is>
      </c>
    </row>
    <row r="20">
      <c r="A20" s="34" t="inlineStr">
        <is>
          <t>PAYGo receivables, gross (year end)</t>
        </is>
      </c>
      <c r="B20" s="65" t="inlineStr">
        <is>
          <t>LCY m</t>
        </is>
      </c>
      <c r="C20" s="88">
        <f>Annual!E32</f>
        <v/>
      </c>
      <c r="D20" s="88">
        <f>Annual!F32</f>
        <v/>
      </c>
      <c r="E20" s="88">
        <f>Annual!G32</f>
        <v/>
      </c>
      <c r="F20" s="88">
        <f>Annual!H32</f>
        <v/>
      </c>
      <c r="G20" s="88">
        <f>Annual!I32</f>
        <v/>
      </c>
      <c r="H20" s="87" t="inlineStr">
        <is>
          <t>Annual.</t>
        </is>
      </c>
    </row>
    <row r="21">
      <c r="A21" s="34" t="inlineStr">
        <is>
          <t>PAYGo receivables, net of allowance (year end)</t>
        </is>
      </c>
      <c r="B21" s="65" t="inlineStr">
        <is>
          <t>LCY m</t>
        </is>
      </c>
      <c r="C21" s="88">
        <f>Annual!E34</f>
        <v/>
      </c>
      <c r="D21" s="88">
        <f>Annual!F34</f>
        <v/>
      </c>
      <c r="E21" s="88">
        <f>Annual!G34</f>
        <v/>
      </c>
      <c r="F21" s="88">
        <f>Annual!H34</f>
        <v/>
      </c>
      <c r="G21" s="88">
        <f>Annual!I34</f>
        <v/>
      </c>
      <c r="H21" s="87" t="inlineStr">
        <is>
          <t>Annual.</t>
        </is>
      </c>
    </row>
    <row r="22">
      <c r="A22" s="34" t="inlineStr">
        <is>
          <t>Operational collection rate (not a PERFORM KPI)</t>
        </is>
      </c>
      <c r="B22" s="65" t="inlineStr">
        <is>
          <t>%</t>
        </is>
      </c>
      <c r="C22" s="42">
        <f>KPIs!E19</f>
        <v/>
      </c>
      <c r="D22" s="42">
        <f>KPIs!F19</f>
        <v/>
      </c>
      <c r="E22" s="42">
        <f>KPIs!G19</f>
        <v/>
      </c>
      <c r="F22" s="42">
        <f>KPIs!H19</f>
        <v/>
      </c>
      <c r="G22" s="42">
        <f>KPIs!I19</f>
        <v/>
      </c>
      <c r="H22" s="87" t="inlineStr">
        <is>
          <t>Collected / due, excluding deposits. Never the PERFORM Repayment Rate.</t>
        </is>
      </c>
    </row>
    <row r="23">
      <c r="A23" s="34" t="inlineStr">
        <is>
          <t>PAYGo PERFORM RR PvP, company-reported (portfolio, latest)</t>
        </is>
      </c>
      <c r="B23" s="65" t="inlineStr">
        <is>
          <t>%</t>
        </is>
      </c>
      <c r="C23" s="42">
        <f>PERFORM_2026!$H$7</f>
        <v/>
      </c>
      <c r="H23" s="87" t="inlineStr">
        <is>
          <t>PERFORM_2026. Blank in the model's own forecast; only company results count.</t>
        </is>
      </c>
    </row>
    <row r="24">
      <c r="A24" s="34" t="inlineStr">
        <is>
          <t>Receivables at risk / gross receivables (year end)</t>
        </is>
      </c>
      <c r="B24" s="65" t="inlineStr">
        <is>
          <t>%</t>
        </is>
      </c>
      <c r="C24" s="42">
        <f>KPIs!E21</f>
        <v/>
      </c>
      <c r="D24" s="42">
        <f>KPIs!F21</f>
        <v/>
      </c>
      <c r="E24" s="42">
        <f>KPIs!G21</f>
        <v/>
      </c>
      <c r="F24" s="42">
        <f>KPIs!H21</f>
        <v/>
      </c>
      <c r="G24" s="42">
        <f>KPIs!I21</f>
        <v/>
      </c>
      <c r="H24" s="87" t="inlineStr">
        <is>
          <t>Proxy; 2021 PERFORM logic (historical).</t>
        </is>
      </c>
    </row>
    <row r="25">
      <c r="A25" s="34" t="inlineStr">
        <is>
          <t>30+ DPD / gross receivables (year end)</t>
        </is>
      </c>
      <c r="B25" s="65" t="inlineStr">
        <is>
          <t>%</t>
        </is>
      </c>
      <c r="C25" s="42">
        <f>KPIs!E24</f>
        <v/>
      </c>
      <c r="D25" s="42">
        <f>KPIs!F24</f>
        <v/>
      </c>
      <c r="E25" s="42">
        <f>KPIs!G24</f>
        <v/>
      </c>
      <c r="F25" s="42">
        <f>KPIs!H24</f>
        <v/>
      </c>
      <c r="G25" s="42">
        <f>KPIs!I24</f>
        <v/>
      </c>
      <c r="H25" s="87" t="inlineStr">
        <is>
          <t>Projection (Credit_Engine).</t>
        </is>
      </c>
    </row>
    <row r="26">
      <c r="A26" s="34" t="inlineStr">
        <is>
          <t>90+ DPD / gross receivables (year end)</t>
        </is>
      </c>
      <c r="B26" s="65" t="inlineStr">
        <is>
          <t>%</t>
        </is>
      </c>
      <c r="C26" s="42">
        <f>KPIs!E25</f>
        <v/>
      </c>
      <c r="D26" s="42">
        <f>KPIs!F25</f>
        <v/>
      </c>
      <c r="E26" s="42">
        <f>KPIs!G25</f>
        <v/>
      </c>
      <c r="F26" s="42">
        <f>KPIs!H25</f>
        <v/>
      </c>
      <c r="G26" s="42">
        <f>KPIs!I25</f>
        <v/>
      </c>
      <c r="H26" s="87" t="inlineStr">
        <is>
          <t>Projection (Credit_Engine).</t>
        </is>
      </c>
    </row>
    <row r="27">
      <c r="A27" s="34" t="inlineStr">
        <is>
          <t>Write-off rate (missed / due)</t>
        </is>
      </c>
      <c r="B27" s="65" t="inlineStr">
        <is>
          <t>%</t>
        </is>
      </c>
      <c r="C27" s="42">
        <f>KPIs!E20</f>
        <v/>
      </c>
      <c r="D27" s="42">
        <f>KPIs!F20</f>
        <v/>
      </c>
      <c r="E27" s="42">
        <f>KPIs!G20</f>
        <v/>
      </c>
      <c r="F27" s="42">
        <f>KPIs!H20</f>
        <v/>
      </c>
      <c r="G27" s="42">
        <f>KPIs!I20</f>
        <v/>
      </c>
      <c r="H27" s="87" t="inlineStr">
        <is>
          <t>KPIs.</t>
        </is>
      </c>
    </row>
    <row r="28">
      <c r="A28" s="34" t="inlineStr">
        <is>
          <t>Write-offs</t>
        </is>
      </c>
      <c r="B28" s="65" t="inlineStr">
        <is>
          <t>LCY m</t>
        </is>
      </c>
      <c r="C28" s="88">
        <f>SUMIFS(Ops!$E$141:$BL$141,Timeline!$E$6:$BL$6,1)</f>
        <v/>
      </c>
      <c r="D28" s="88">
        <f>SUMIFS(Ops!$E$141:$BL$141,Timeline!$E$6:$BL$6,2)</f>
        <v/>
      </c>
      <c r="E28" s="88">
        <f>SUMIFS(Ops!$E$141:$BL$141,Timeline!$E$6:$BL$6,3)</f>
        <v/>
      </c>
      <c r="F28" s="88">
        <f>SUMIFS(Ops!$E$141:$BL$141,Timeline!$E$6:$BL$6,4)</f>
        <v/>
      </c>
      <c r="G28" s="88">
        <f>SUMIFS(Ops!$E$141:$BL$141,Timeline!$E$6:$BL$6,5)</f>
        <v/>
      </c>
      <c r="H28" s="87" t="inlineStr">
        <is>
          <t>Ops: missed instalments written off.</t>
        </is>
      </c>
    </row>
    <row r="29">
      <c r="A29" s="34" t="inlineStr">
        <is>
          <t>Cash conversion: operating cash flow / EBITDA</t>
        </is>
      </c>
      <c r="B29" s="65" t="inlineStr">
        <is>
          <t>x</t>
        </is>
      </c>
      <c r="C29" s="89">
        <f>IF(Annual!E19&lt;=0,"n/a",Annual!E55/Annual!E19)</f>
        <v/>
      </c>
      <c r="D29" s="89">
        <f>IF(Annual!F19&lt;=0,"n/a",Annual!F55/Annual!F19)</f>
        <v/>
      </c>
      <c r="E29" s="89">
        <f>IF(Annual!G19&lt;=0,"n/a",Annual!G55/Annual!G19)</f>
        <v/>
      </c>
      <c r="F29" s="89">
        <f>IF(Annual!H19&lt;=0,"n/a",Annual!H55/Annual!H19)</f>
        <v/>
      </c>
      <c r="G29" s="89">
        <f>IF(Annual!I19&lt;=0,"n/a",Annual!I55/Annual!I19)</f>
        <v/>
      </c>
      <c r="H29" s="87" t="inlineStr">
        <is>
          <t>Below 1x while receivables grow; n/a when EBITDA is not positive.</t>
        </is>
      </c>
    </row>
    <row r="30">
      <c r="A30" s="21" t="inlineStr">
        <is>
          <t>Funding</t>
        </is>
      </c>
      <c r="B30" s="22" t="n"/>
      <c r="C30" s="22" t="n"/>
      <c r="D30" s="22" t="n"/>
      <c r="E30" s="22" t="n"/>
      <c r="F30" s="22"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c r="AA30" s="22" t="n"/>
      <c r="AB30" s="22" t="n"/>
      <c r="AC30" s="22" t="n"/>
      <c r="AD30" s="22" t="n"/>
      <c r="AE30" s="22" t="n"/>
      <c r="AF30" s="22" t="n"/>
      <c r="AG30" s="22" t="n"/>
      <c r="AH30" s="22" t="n"/>
      <c r="AI30" s="22" t="n"/>
      <c r="AJ30" s="22" t="n"/>
      <c r="AK30" s="22" t="n"/>
      <c r="AL30" s="22" t="n"/>
      <c r="AM30" s="22" t="n"/>
      <c r="AN30" s="22" t="n"/>
      <c r="AO30" s="22" t="n"/>
      <c r="AP30" s="22" t="n"/>
      <c r="AQ30" s="22" t="n"/>
      <c r="AR30" s="22" t="n"/>
      <c r="AS30" s="22" t="n"/>
      <c r="AT30" s="22" t="n"/>
      <c r="AU30" s="22" t="n"/>
      <c r="AV30" s="22" t="n"/>
      <c r="AW30" s="22" t="n"/>
      <c r="AX30" s="22" t="n"/>
      <c r="AY30" s="22" t="n"/>
      <c r="AZ30" s="22" t="n"/>
      <c r="BA30" s="22" t="n"/>
      <c r="BB30" s="22" t="n"/>
      <c r="BC30" s="22" t="n"/>
      <c r="BD30" s="22" t="n"/>
      <c r="BE30" s="22" t="n"/>
      <c r="BF30" s="22" t="n"/>
      <c r="BG30" s="22" t="n"/>
      <c r="BH30" s="22" t="n"/>
      <c r="BI30" s="22" t="n"/>
      <c r="BJ30" s="22" t="n"/>
      <c r="BK30" s="22" t="n"/>
      <c r="BL30" s="22" t="n"/>
    </row>
    <row r="31">
      <c r="A31" s="34" t="inlineStr">
        <is>
          <t>Total debt (year end)</t>
        </is>
      </c>
      <c r="B31" s="65" t="inlineStr">
        <is>
          <t>LCY m</t>
        </is>
      </c>
      <c r="C31" s="88">
        <f>KPIs!E47</f>
        <v/>
      </c>
      <c r="D31" s="88">
        <f>KPIs!F47</f>
        <v/>
      </c>
      <c r="E31" s="88">
        <f>KPIs!G47</f>
        <v/>
      </c>
      <c r="F31" s="88">
        <f>KPIs!H47</f>
        <v/>
      </c>
      <c r="G31" s="88">
        <f>KPIs!I47</f>
        <v/>
      </c>
      <c r="H31" s="87" t="inlineStr">
        <is>
          <t>Term loan and receivables facility.</t>
        </is>
      </c>
    </row>
    <row r="32">
      <c r="A32" s="34" t="inlineStr">
        <is>
          <t>Book equity (year end)</t>
        </is>
      </c>
      <c r="B32" s="65" t="inlineStr">
        <is>
          <t>LCY m</t>
        </is>
      </c>
      <c r="C32" s="88">
        <f>Annual!E44</f>
        <v/>
      </c>
      <c r="D32" s="88">
        <f>Annual!F44</f>
        <v/>
      </c>
      <c r="E32" s="88">
        <f>Annual!G44</f>
        <v/>
      </c>
      <c r="F32" s="88">
        <f>Annual!H44</f>
        <v/>
      </c>
      <c r="G32" s="88">
        <f>Annual!I44</f>
        <v/>
      </c>
      <c r="H32" s="87" t="inlineStr">
        <is>
          <t>Annual.</t>
        </is>
      </c>
    </row>
    <row r="33">
      <c r="A33" s="34" t="inlineStr">
        <is>
          <t>Cumulative equity invested</t>
        </is>
      </c>
      <c r="B33" s="65" t="inlineStr">
        <is>
          <t>LCY m</t>
        </is>
      </c>
      <c r="C33" s="88">
        <f>KPIs!E45</f>
        <v/>
      </c>
      <c r="D33" s="88">
        <f>KPIs!F45</f>
        <v/>
      </c>
      <c r="E33" s="88">
        <f>KPIs!G45</f>
        <v/>
      </c>
      <c r="F33" s="88">
        <f>KPIs!H45</f>
        <v/>
      </c>
      <c r="G33" s="88">
        <f>KPIs!I45</f>
        <v/>
      </c>
      <c r="H33" s="87" t="inlineStr">
        <is>
          <t>Initial equity plus top-ups.</t>
        </is>
      </c>
    </row>
    <row r="34">
      <c r="A34" s="34" t="inlineStr">
        <is>
          <t>Funding requirement: equity top-ups in the year</t>
        </is>
      </c>
      <c r="B34" s="65" t="inlineStr">
        <is>
          <t>LCY m</t>
        </is>
      </c>
      <c r="C34" s="88">
        <f>KPIs!E46</f>
        <v/>
      </c>
      <c r="D34" s="88">
        <f>KPIs!F46</f>
        <v/>
      </c>
      <c r="E34" s="88">
        <f>KPIs!G46</f>
        <v/>
      </c>
      <c r="F34" s="88">
        <f>KPIs!H46</f>
        <v/>
      </c>
      <c r="G34" s="88">
        <f>KPIs!I46</f>
        <v/>
      </c>
      <c r="H34" s="87" t="inlineStr">
        <is>
          <t>Automatic top-up to hold minimum cash.</t>
        </is>
      </c>
    </row>
    <row r="35">
      <c r="A35" s="34" t="inlineStr">
        <is>
          <t>Peak equity requirement</t>
        </is>
      </c>
      <c r="B35" s="65" t="inlineStr">
        <is>
          <t>USD m</t>
        </is>
      </c>
      <c r="C35" s="88">
        <f>KPIs!$C$57</f>
        <v/>
      </c>
      <c r="H35" s="87" t="inlineStr">
        <is>
          <t>At opening FX (KPIs).</t>
        </is>
      </c>
    </row>
    <row r="36">
      <c r="A36" s="34" t="inlineStr">
        <is>
          <t>RBF received</t>
        </is>
      </c>
      <c r="B36" s="65" t="inlineStr">
        <is>
          <t>LCY m</t>
        </is>
      </c>
      <c r="C36" s="88">
        <f>Annual!E15</f>
        <v/>
      </c>
      <c r="D36" s="88">
        <f>Annual!F15</f>
        <v/>
      </c>
      <c r="E36" s="88">
        <f>Annual!G15</f>
        <v/>
      </c>
      <c r="F36" s="88">
        <f>Annual!H15</f>
        <v/>
      </c>
      <c r="G36" s="88">
        <f>Annual!I15</f>
        <v/>
      </c>
      <c r="H36" s="87" t="inlineStr">
        <is>
          <t>RBF_Engine, selected design; claim cycle and working capital gap there.</t>
        </is>
      </c>
    </row>
    <row r="37">
      <c r="A37" s="34" t="inlineStr">
        <is>
          <t>RBF dependency (RBF income / revenue)</t>
        </is>
      </c>
      <c r="B37" s="65" t="inlineStr">
        <is>
          <t>%</t>
        </is>
      </c>
      <c r="C37" s="42">
        <f>KPIs!E41</f>
        <v/>
      </c>
      <c r="D37" s="42">
        <f>KPIs!F41</f>
        <v/>
      </c>
      <c r="E37" s="42">
        <f>KPIs!G41</f>
        <v/>
      </c>
      <c r="F37" s="42">
        <f>KPIs!H41</f>
        <v/>
      </c>
      <c r="G37" s="42">
        <f>KPIs!I41</f>
        <v/>
      </c>
      <c r="H37" s="87" t="inlineStr">
        <is>
          <t>KPIs.</t>
        </is>
      </c>
    </row>
    <row r="38">
      <c r="A38" s="21" t="inlineStr">
        <is>
          <t>Returns and timing</t>
        </is>
      </c>
      <c r="B38" s="22" t="n"/>
      <c r="C38" s="22" t="n"/>
      <c r="D38" s="22" t="n"/>
      <c r="E38" s="22" t="n"/>
      <c r="F38" s="22"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c r="AA38" s="22" t="n"/>
      <c r="AB38" s="22" t="n"/>
      <c r="AC38" s="22" t="n"/>
      <c r="AD38" s="22" t="n"/>
      <c r="AE38" s="22" t="n"/>
      <c r="AF38" s="22" t="n"/>
      <c r="AG38" s="22" t="n"/>
      <c r="AH38" s="22" t="n"/>
      <c r="AI38" s="22" t="n"/>
      <c r="AJ38" s="22" t="n"/>
      <c r="AK38" s="22" t="n"/>
      <c r="AL38" s="22" t="n"/>
      <c r="AM38" s="22" t="n"/>
      <c r="AN38" s="22" t="n"/>
      <c r="AO38" s="22" t="n"/>
      <c r="AP38" s="22" t="n"/>
      <c r="AQ38" s="22" t="n"/>
      <c r="AR38" s="22" t="n"/>
      <c r="AS38" s="22" t="n"/>
      <c r="AT38" s="22" t="n"/>
      <c r="AU38" s="22" t="n"/>
      <c r="AV38" s="22" t="n"/>
      <c r="AW38" s="22" t="n"/>
      <c r="AX38" s="22" t="n"/>
      <c r="AY38" s="22" t="n"/>
      <c r="AZ38" s="22" t="n"/>
      <c r="BA38" s="22" t="n"/>
      <c r="BB38" s="22" t="n"/>
      <c r="BC38" s="22" t="n"/>
      <c r="BD38" s="22" t="n"/>
      <c r="BE38" s="22" t="n"/>
      <c r="BF38" s="22" t="n"/>
      <c r="BG38" s="22" t="n"/>
      <c r="BH38" s="22" t="n"/>
      <c r="BI38" s="22" t="n"/>
      <c r="BJ38" s="22" t="n"/>
      <c r="BK38" s="22" t="n"/>
      <c r="BL38" s="22" t="n"/>
    </row>
    <row r="39">
      <c r="A39" s="34" t="inlineStr">
        <is>
          <t>Investor IRR (USD)</t>
        </is>
      </c>
      <c r="B39" s="65" t="inlineStr">
        <is>
          <t>%</t>
        </is>
      </c>
      <c r="C39" s="42">
        <f>Valuation!$C$39</f>
        <v/>
      </c>
      <c r="H39" s="87" t="inlineStr">
        <is>
          <t>Valuation. Text when no IRR exists.</t>
        </is>
      </c>
    </row>
    <row r="40">
      <c r="A40" s="34" t="inlineStr">
        <is>
          <t>Investor MOIC (USD)</t>
        </is>
      </c>
      <c r="B40" s="65" t="inlineStr">
        <is>
          <t>x</t>
        </is>
      </c>
      <c r="C40" s="90">
        <f>Valuation!$C$40</f>
        <v/>
      </c>
      <c r="H40" s="87" t="inlineStr">
        <is>
          <t>Valuation.</t>
        </is>
      </c>
    </row>
    <row r="41">
      <c r="A41" s="34" t="inlineStr">
        <is>
          <t>NPV: DCF enterprise value at the discount rate</t>
        </is>
      </c>
      <c r="B41" s="65" t="inlineStr">
        <is>
          <t>USD m</t>
        </is>
      </c>
      <c r="C41" s="88">
        <f>Valuation!$C$28</f>
        <v/>
      </c>
      <c r="H41" s="87" t="inlineStr">
        <is>
          <t>Valuation. Check the terminal value share.</t>
        </is>
      </c>
    </row>
    <row r="42">
      <c r="A42" s="34" t="inlineStr">
        <is>
          <t>Break-even: first month with positive EBITDA</t>
        </is>
      </c>
      <c r="B42" s="65" t="inlineStr">
        <is>
          <t>month #</t>
        </is>
      </c>
      <c r="C42" s="41">
        <f>KPIs!$C$60</f>
        <v/>
      </c>
      <c r="H42" s="87" t="inlineStr">
        <is>
          <t>KPIs.</t>
        </is>
      </c>
    </row>
    <row r="43">
      <c r="A43" s="34" t="inlineStr">
        <is>
          <t>Month from which operating cash flow stays positive</t>
        </is>
      </c>
      <c r="B43" s="65" t="inlineStr">
        <is>
          <t>month #</t>
        </is>
      </c>
      <c r="C43" s="41">
        <f>KPIs!$C$61</f>
        <v/>
      </c>
      <c r="H43" s="87" t="inlineStr">
        <is>
          <t>KPIs.</t>
        </is>
      </c>
    </row>
    <row r="44">
      <c r="A44" s="34" t="inlineStr">
        <is>
          <t>Runway: months before the first equity top-up</t>
        </is>
      </c>
      <c r="B44" s="65" t="inlineStr">
        <is>
          <t>months</t>
        </is>
      </c>
      <c r="C44" s="41">
        <f>IFERROR(MATCH(1,FS!$E$71:$BL$71,0)-1,"No top-up in horizon")</f>
        <v/>
      </c>
      <c r="H44" s="87" t="inlineStr">
        <is>
          <t>On initial equity and the debt modelled; 0 = top-up in month 1.</t>
        </is>
      </c>
    </row>
    <row r="45">
      <c r="A45" s="21" t="inlineStr">
        <is>
          <t>FX and readiness</t>
        </is>
      </c>
      <c r="B45" s="22" t="n"/>
      <c r="C45" s="22" t="n"/>
      <c r="D45" s="22" t="n"/>
      <c r="E45" s="22" t="n"/>
      <c r="F45" s="22"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c r="AA45" s="22" t="n"/>
      <c r="AB45" s="22" t="n"/>
      <c r="AC45" s="22" t="n"/>
      <c r="AD45" s="22" t="n"/>
      <c r="AE45" s="22" t="n"/>
      <c r="AF45" s="22" t="n"/>
      <c r="AG45" s="22" t="n"/>
      <c r="AH45" s="22" t="n"/>
      <c r="AI45" s="22" t="n"/>
      <c r="AJ45" s="22" t="n"/>
      <c r="AK45" s="22" t="n"/>
      <c r="AL45" s="22" t="n"/>
      <c r="AM45" s="22" t="n"/>
      <c r="AN45" s="22" t="n"/>
      <c r="AO45" s="22" t="n"/>
      <c r="AP45" s="22" t="n"/>
      <c r="AQ45" s="22" t="n"/>
      <c r="AR45" s="22" t="n"/>
      <c r="AS45" s="22" t="n"/>
      <c r="AT45" s="22" t="n"/>
      <c r="AU45" s="22" t="n"/>
      <c r="AV45" s="22" t="n"/>
      <c r="AW45" s="22" t="n"/>
      <c r="AX45" s="22" t="n"/>
      <c r="AY45" s="22" t="n"/>
      <c r="AZ45" s="22" t="n"/>
      <c r="BA45" s="22" t="n"/>
      <c r="BB45" s="22" t="n"/>
      <c r="BC45" s="22" t="n"/>
      <c r="BD45" s="22" t="n"/>
      <c r="BE45" s="22" t="n"/>
      <c r="BF45" s="22" t="n"/>
      <c r="BG45" s="22" t="n"/>
      <c r="BH45" s="22" t="n"/>
      <c r="BI45" s="22" t="n"/>
      <c r="BJ45" s="22" t="n"/>
      <c r="BK45" s="22" t="n"/>
      <c r="BL45" s="22" t="n"/>
    </row>
    <row r="46">
      <c r="A46" s="34" t="inlineStr">
        <is>
          <t>LCY depreciation against USD (active scenario)</t>
        </is>
      </c>
      <c r="B46" s="65" t="inlineStr">
        <is>
          <t>% p.a.</t>
        </is>
      </c>
      <c r="C46" s="42">
        <f>Scenarios!$G$10</f>
        <v/>
      </c>
      <c r="H46" s="87" t="inlineStr">
        <is>
          <t>Scenarios.</t>
        </is>
      </c>
    </row>
    <row r="47">
      <c r="A47" s="34" t="inlineStr">
        <is>
          <t>Share of debt in USD (year end)</t>
        </is>
      </c>
      <c r="B47" s="65" t="inlineStr">
        <is>
          <t>%</t>
        </is>
      </c>
      <c r="C47" s="42">
        <f>FX_Exposure!C22</f>
        <v/>
      </c>
      <c r="D47" s="42">
        <f>FX_Exposure!D22</f>
        <v/>
      </c>
      <c r="E47" s="42">
        <f>FX_Exposure!E22</f>
        <v/>
      </c>
      <c r="F47" s="42">
        <f>FX_Exposure!F22</f>
        <v/>
      </c>
      <c r="G47" s="42">
        <f>FX_Exposure!G22</f>
        <v/>
      </c>
      <c r="H47" s="87" t="inlineStr">
        <is>
          <t>FX_Exposure.</t>
        </is>
      </c>
    </row>
    <row r="48">
      <c r="A48" s="34" t="inlineStr">
        <is>
          <t>Net FX transaction effect on costs and RBF (before price pass-through)</t>
        </is>
      </c>
      <c r="B48" s="65" t="inlineStr">
        <is>
          <t>LCY m</t>
        </is>
      </c>
      <c r="C48" s="88">
        <f>FX_Exposure!C27*1000000</f>
        <v/>
      </c>
      <c r="D48" s="88">
        <f>FX_Exposure!D27*1000000</f>
        <v/>
      </c>
      <c r="E48" s="88">
        <f>FX_Exposure!E27*1000000</f>
        <v/>
      </c>
      <c r="F48" s="88">
        <f>FX_Exposure!F27*1000000</f>
        <v/>
      </c>
      <c r="G48" s="88">
        <f>FX_Exposure!G27*1000000</f>
        <v/>
      </c>
      <c r="H48" s="87" t="inlineStr">
        <is>
          <t>FX_Exposure. Negative = cost.</t>
        </is>
      </c>
    </row>
    <row r="49">
      <c r="A49" s="34" t="inlineStr">
        <is>
          <t>Investment readiness: gates met</t>
        </is>
      </c>
      <c r="B49" s="65" t="inlineStr">
        <is>
          <t>of 23</t>
        </is>
      </c>
      <c r="C49" s="41">
        <f>Investment_Readiness!$C$4</f>
        <v/>
      </c>
      <c r="H49" s="87" t="inlineStr">
        <is>
          <t>Investment_Readiness.</t>
        </is>
      </c>
    </row>
    <row r="50">
      <c r="A50" s="34" t="inlineStr">
        <is>
          <t>Investment readiness: decision (evidence only)</t>
        </is>
      </c>
      <c r="B50" s="65" t="inlineStr"/>
      <c r="C50" s="39">
        <f>Investment_Readiness!$C$35</f>
        <v/>
      </c>
      <c r="H50" s="87" t="inlineStr">
        <is>
          <t>GO / CONDITIONAL GO / STOP; never a recommendation.</t>
        </is>
      </c>
    </row>
    <row r="51"/>
    <row r="52">
      <c r="A52" s="18" t="inlineStr">
        <is>
          <t>Rounded for reading: money in millions to one decimal, ratios to one decimal place, counts to the unit. Single values (returns, peaks, timing, readiness) are shown under Year 1.</t>
        </is>
      </c>
    </row>
    <row r="53">
      <c r="A53" s="18" t="inlineStr">
        <is>
          <t>Charts, series order: Revenue, EBITDA | Tier 1..5 | Collection, Write-off | Equity, Debt.</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drawing xmlns:r="http://schemas.openxmlformats.org/officeDocument/2006/relationships" r:id="rId1"/>
</worksheet>
</file>

<file path=xl/worksheets/sheet12.xml><?xml version="1.0" encoding="utf-8"?>
<worksheet xmlns="http://schemas.openxmlformats.org/spreadsheetml/2006/main">
  <sheetPr>
    <outlinePr summaryBelow="1" summaryRight="1"/>
    <pageSetUpPr fitToPage="1"/>
  </sheetPr>
  <dimension ref="A1:BL69"/>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62" customWidth="1" min="1" max="1"/>
    <col width="12" customWidth="1" min="2" max="2"/>
    <col width="16" customWidth="1" min="3" max="3"/>
    <col width="16" customWidth="1" min="5" max="5"/>
    <col width="16" customWidth="1" min="6" max="6"/>
    <col width="16" customWidth="1" min="7" max="7"/>
    <col width="16" customWidth="1" min="8" max="8"/>
    <col width="16" customWidth="1" min="9" max="9"/>
  </cols>
  <sheetData>
    <row r="1">
      <c r="A1" s="17" t="inlineStr">
        <is>
          <t>Key performance indicators</t>
        </is>
      </c>
    </row>
    <row r="2">
      <c r="A2" s="18" t="inlineStr">
        <is>
          <t>[FORECAST]  Portfolio, financial and lender KPIs. PAYGo PERFORM 2026 KPIs are on PERFORM_2026.</t>
        </is>
      </c>
    </row>
    <row r="3"/>
    <row r="4"/>
    <row r="5">
      <c r="E5" s="91" t="inlineStr">
        <is>
          <t>Year 1</t>
        </is>
      </c>
      <c r="F5" s="91" t="inlineStr">
        <is>
          <t>Year 2</t>
        </is>
      </c>
      <c r="G5" s="91" t="inlineStr">
        <is>
          <t>Year 3</t>
        </is>
      </c>
      <c r="H5" s="91" t="inlineStr">
        <is>
          <t>Year 4</t>
        </is>
      </c>
      <c r="I5" s="91" t="inlineStr">
        <is>
          <t>Year 5</t>
        </is>
      </c>
    </row>
    <row r="6">
      <c r="E6" s="91" t="n">
        <v>1</v>
      </c>
      <c r="F6" s="91" t="n">
        <v>2</v>
      </c>
      <c r="G6" s="91" t="n">
        <v>3</v>
      </c>
      <c r="H6" s="91" t="n">
        <v>4</v>
      </c>
      <c r="I6" s="91" t="n">
        <v>5</v>
      </c>
    </row>
    <row r="7"/>
    <row r="8">
      <c r="A8" s="21" t="inlineStr">
        <is>
          <t>Sales &amp; customers</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34" t="inlineStr">
        <is>
          <t>Units sold: Tier 1: Pico solar kit</t>
        </is>
      </c>
      <c r="E9" s="80">
        <f>SUMIFS(Ops!$E$9:$BL$9,Timeline!$E$6:$BL$6,E$6)</f>
        <v/>
      </c>
      <c r="F9" s="80">
        <f>SUMIFS(Ops!$E$9:$BL$9,Timeline!$E$6:$BL$6,F$6)</f>
        <v/>
      </c>
      <c r="G9" s="80">
        <f>SUMIFS(Ops!$E$9:$BL$9,Timeline!$E$6:$BL$6,G$6)</f>
        <v/>
      </c>
      <c r="H9" s="80">
        <f>SUMIFS(Ops!$E$9:$BL$9,Timeline!$E$6:$BL$6,H$6)</f>
        <v/>
      </c>
      <c r="I9" s="80">
        <f>SUMIFS(Ops!$E$9:$BL$9,Timeline!$E$6:$BL$6,I$6)</f>
        <v/>
      </c>
    </row>
    <row r="10">
      <c r="A10" s="34" t="inlineStr">
        <is>
          <t>Units sold: Tier 2: SHS with TV</t>
        </is>
      </c>
      <c r="E10" s="80">
        <f>SUMIFS(Ops!$E$34:$BL$34,Timeline!$E$6:$BL$6,E$6)</f>
        <v/>
      </c>
      <c r="F10" s="80">
        <f>SUMIFS(Ops!$E$34:$BL$34,Timeline!$E$6:$BL$6,F$6)</f>
        <v/>
      </c>
      <c r="G10" s="80">
        <f>SUMIFS(Ops!$E$34:$BL$34,Timeline!$E$6:$BL$6,G$6)</f>
        <v/>
      </c>
      <c r="H10" s="80">
        <f>SUMIFS(Ops!$E$34:$BL$34,Timeline!$E$6:$BL$6,H$6)</f>
        <v/>
      </c>
      <c r="I10" s="80">
        <f>SUMIFS(Ops!$E$34:$BL$34,Timeline!$E$6:$BL$6,I$6)</f>
        <v/>
      </c>
    </row>
    <row r="11">
      <c r="A11" s="34" t="inlineStr">
        <is>
          <t>Units sold: Tier 3: Large SHS + DC fridge</t>
        </is>
      </c>
      <c r="E11" s="80">
        <f>SUMIFS(Ops!$E$59:$BL$59,Timeline!$E$6:$BL$6,E$6)</f>
        <v/>
      </c>
      <c r="F11" s="80">
        <f>SUMIFS(Ops!$E$59:$BL$59,Timeline!$E$6:$BL$6,F$6)</f>
        <v/>
      </c>
      <c r="G11" s="80">
        <f>SUMIFS(Ops!$E$59:$BL$59,Timeline!$E$6:$BL$6,G$6)</f>
        <v/>
      </c>
      <c r="H11" s="80">
        <f>SUMIFS(Ops!$E$59:$BL$59,Timeline!$E$6:$BL$6,H$6)</f>
        <v/>
      </c>
      <c r="I11" s="80">
        <f>SUMIFS(Ops!$E$59:$BL$59,Timeline!$E$6:$BL$6,I$6)</f>
        <v/>
      </c>
    </row>
    <row r="12">
      <c r="A12" s="34" t="inlineStr">
        <is>
          <t>Units sold: Tier 4: Solar inverter + lithium (~1.2 kWp / 5 kWh)</t>
        </is>
      </c>
      <c r="E12" s="80">
        <f>SUMIFS(Ops!$E$84:$BL$84,Timeline!$E$6:$BL$6,E$6)</f>
        <v/>
      </c>
      <c r="F12" s="80">
        <f>SUMIFS(Ops!$E$84:$BL$84,Timeline!$E$6:$BL$6,F$6)</f>
        <v/>
      </c>
      <c r="G12" s="80">
        <f>SUMIFS(Ops!$E$84:$BL$84,Timeline!$E$6:$BL$6,G$6)</f>
        <v/>
      </c>
      <c r="H12" s="80">
        <f>SUMIFS(Ops!$E$84:$BL$84,Timeline!$E$6:$BL$6,H$6)</f>
        <v/>
      </c>
      <c r="I12" s="80">
        <f>SUMIFS(Ops!$E$84:$BL$84,Timeline!$E$6:$BL$6,I$6)</f>
        <v/>
      </c>
    </row>
    <row r="13">
      <c r="A13" s="34" t="inlineStr">
        <is>
          <t>Units sold: Tier 5: Solar inverter + lithium (~3 kWp / 10 kWh)</t>
        </is>
      </c>
      <c r="E13" s="80">
        <f>SUMIFS(Ops!$E$109:$BL$109,Timeline!$E$6:$BL$6,E$6)</f>
        <v/>
      </c>
      <c r="F13" s="80">
        <f>SUMIFS(Ops!$E$109:$BL$109,Timeline!$E$6:$BL$6,F$6)</f>
        <v/>
      </c>
      <c r="G13" s="80">
        <f>SUMIFS(Ops!$E$109:$BL$109,Timeline!$E$6:$BL$6,G$6)</f>
        <v/>
      </c>
      <c r="H13" s="80">
        <f>SUMIFS(Ops!$E$109:$BL$109,Timeline!$E$6:$BL$6,H$6)</f>
        <v/>
      </c>
      <c r="I13" s="80">
        <f>SUMIFS(Ops!$E$109:$BL$109,Timeline!$E$6:$BL$6,I$6)</f>
        <v/>
      </c>
    </row>
    <row r="14">
      <c r="A14" s="19" t="inlineStr">
        <is>
          <t>Units sold: total</t>
        </is>
      </c>
      <c r="E14" s="80">
        <f>SUMIFS(Ops!$E$134:$BL$134,Timeline!$E$6:$BL$6,E$6)</f>
        <v/>
      </c>
      <c r="F14" s="80">
        <f>SUMIFS(Ops!$E$134:$BL$134,Timeline!$E$6:$BL$6,F$6)</f>
        <v/>
      </c>
      <c r="G14" s="80">
        <f>SUMIFS(Ops!$E$134:$BL$134,Timeline!$E$6:$BL$6,G$6)</f>
        <v/>
      </c>
      <c r="H14" s="80">
        <f>SUMIFS(Ops!$E$134:$BL$134,Timeline!$E$6:$BL$6,H$6)</f>
        <v/>
      </c>
      <c r="I14" s="80">
        <f>SUMIFS(Ops!$E$134:$BL$134,Timeline!$E$6:$BL$6,I$6)</f>
        <v/>
      </c>
    </row>
    <row r="15">
      <c r="A15" s="34" t="inlineStr">
        <is>
          <t>Average cash price per unit sold (USD, opening FX)</t>
        </is>
      </c>
      <c r="E15" s="80">
        <f>IFERROR(SUMIFS(Ops!$E$137:$BL$137,Timeline!$E$6:$BL$6,E$6)/SUMIFS(Ops!$E$134:$BL$134,Timeline!$E$6:$BL$6,E$6)/Inputs!$C$10,0)</f>
        <v/>
      </c>
      <c r="F15" s="80">
        <f>IFERROR(SUMIFS(Ops!$E$137:$BL$137,Timeline!$E$6:$BL$6,F$6)/SUMIFS(Ops!$E$134:$BL$134,Timeline!$E$6:$BL$6,F$6)/Inputs!$C$10,0)</f>
        <v/>
      </c>
      <c r="G15" s="80">
        <f>IFERROR(SUMIFS(Ops!$E$137:$BL$137,Timeline!$E$6:$BL$6,G$6)/SUMIFS(Ops!$E$134:$BL$134,Timeline!$E$6:$BL$6,G$6)/Inputs!$C$10,0)</f>
        <v/>
      </c>
      <c r="H15" s="80">
        <f>IFERROR(SUMIFS(Ops!$E$137:$BL$137,Timeline!$E$6:$BL$6,H$6)/SUMIFS(Ops!$E$134:$BL$134,Timeline!$E$6:$BL$6,H$6)/Inputs!$C$10,0)</f>
        <v/>
      </c>
      <c r="I15" s="80">
        <f>IFERROR(SUMIFS(Ops!$E$137:$BL$137,Timeline!$E$6:$BL$6,I$6)/SUMIFS(Ops!$E$134:$BL$134,Timeline!$E$6:$BL$6,I$6)/Inputs!$C$10,0)</f>
        <v/>
      </c>
    </row>
    <row r="16">
      <c r="A16" s="34" t="inlineStr">
        <is>
          <t>Active PAYGo accounts (year end)</t>
        </is>
      </c>
      <c r="E16" s="80">
        <f>INDEX(Ops!$E$146:$BL$146,1,E$6*12)</f>
        <v/>
      </c>
      <c r="F16" s="80">
        <f>INDEX(Ops!$E$146:$BL$146,1,F$6*12)</f>
        <v/>
      </c>
      <c r="G16" s="80">
        <f>INDEX(Ops!$E$146:$BL$146,1,G$6*12)</f>
        <v/>
      </c>
      <c r="H16" s="80">
        <f>INDEX(Ops!$E$146:$BL$146,1,H$6*12)</f>
        <v/>
      </c>
      <c r="I16" s="80">
        <f>INDEX(Ops!$E$146:$BL$146,1,I$6*12)</f>
        <v/>
      </c>
    </row>
    <row r="17">
      <c r="A17" s="34" t="inlineStr">
        <is>
          <t>Cumulative unlocked accounts (customer ownership)</t>
        </is>
      </c>
      <c r="E17" s="80">
        <f>INDEX(Ops!$E$158:$BL$158,1,E$6*12)</f>
        <v/>
      </c>
      <c r="F17" s="80">
        <f>INDEX(Ops!$E$158:$BL$158,1,F$6*12)</f>
        <v/>
      </c>
      <c r="G17" s="80">
        <f>INDEX(Ops!$E$158:$BL$158,1,G$6*12)</f>
        <v/>
      </c>
      <c r="H17" s="80">
        <f>INDEX(Ops!$E$158:$BL$158,1,H$6*12)</f>
        <v/>
      </c>
      <c r="I17" s="80">
        <f>INDEX(Ops!$E$158:$BL$158,1,I$6*12)</f>
        <v/>
      </c>
    </row>
    <row r="18">
      <c r="A18" s="21" t="inlineStr">
        <is>
          <t>Portfolio quality</t>
        </is>
      </c>
      <c r="B18" s="22" t="n"/>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c r="AA18" s="22" t="n"/>
      <c r="AB18" s="22" t="n"/>
      <c r="AC18" s="22" t="n"/>
      <c r="AD18" s="22" t="n"/>
      <c r="AE18" s="22" t="n"/>
      <c r="AF18" s="22" t="n"/>
      <c r="AG18" s="22" t="n"/>
      <c r="AH18" s="22" t="n"/>
      <c r="AI18" s="22" t="n"/>
      <c r="AJ18" s="22" t="n"/>
      <c r="AK18" s="22" t="n"/>
      <c r="AL18" s="22" t="n"/>
      <c r="AM18" s="22" t="n"/>
      <c r="AN18" s="22" t="n"/>
      <c r="AO18" s="22" t="n"/>
      <c r="AP18" s="22" t="n"/>
      <c r="AQ18" s="22" t="n"/>
      <c r="AR18" s="22" t="n"/>
      <c r="AS18" s="22" t="n"/>
      <c r="AT18" s="22" t="n"/>
      <c r="AU18" s="22" t="n"/>
      <c r="AV18" s="22" t="n"/>
      <c r="AW18" s="22" t="n"/>
      <c r="AX18" s="22" t="n"/>
      <c r="AY18" s="22" t="n"/>
      <c r="AZ18" s="22" t="n"/>
      <c r="BA18" s="22" t="n"/>
      <c r="BB18" s="22" t="n"/>
      <c r="BC18" s="22" t="n"/>
      <c r="BD18" s="22" t="n"/>
      <c r="BE18" s="22" t="n"/>
      <c r="BF18" s="22" t="n"/>
      <c r="BG18" s="22" t="n"/>
      <c r="BH18" s="22" t="n"/>
      <c r="BI18" s="22" t="n"/>
      <c r="BJ18" s="22" t="n"/>
      <c r="BK18" s="22" t="n"/>
      <c r="BL18" s="22" t="n"/>
    </row>
    <row r="19">
      <c r="A19" s="19" t="inlineStr">
        <is>
          <t>Operational collection rate (collected / due, excl. down payments; not a PERFORM KPI)</t>
        </is>
      </c>
      <c r="E19" s="81">
        <f>IFERROR(SUMIFS(Ops!$E$140:$BL$140,Timeline!$E$6:$BL$6,E$6)/SUMIFS(Ops!$E$139:$BL$139,Timeline!$E$6:$BL$6,E$6),0)</f>
        <v/>
      </c>
      <c r="F19" s="81">
        <f>IFERROR(SUMIFS(Ops!$E$140:$BL$140,Timeline!$E$6:$BL$6,F$6)/SUMIFS(Ops!$E$139:$BL$139,Timeline!$E$6:$BL$6,F$6),0)</f>
        <v/>
      </c>
      <c r="G19" s="81">
        <f>IFERROR(SUMIFS(Ops!$E$140:$BL$140,Timeline!$E$6:$BL$6,G$6)/SUMIFS(Ops!$E$139:$BL$139,Timeline!$E$6:$BL$6,G$6),0)</f>
        <v/>
      </c>
      <c r="H19" s="81">
        <f>IFERROR(SUMIFS(Ops!$E$140:$BL$140,Timeline!$E$6:$BL$6,H$6)/SUMIFS(Ops!$E$139:$BL$139,Timeline!$E$6:$BL$6,H$6),0)</f>
        <v/>
      </c>
      <c r="I19" s="81">
        <f>IFERROR(SUMIFS(Ops!$E$140:$BL$140,Timeline!$E$6:$BL$6,I$6)/SUMIFS(Ops!$E$139:$BL$139,Timeline!$E$6:$BL$6,I$6),0)</f>
        <v/>
      </c>
    </row>
    <row r="20">
      <c r="A20" s="34" t="inlineStr">
        <is>
          <t>Write-off rate (missed / due)</t>
        </is>
      </c>
      <c r="E20" s="81">
        <f>IFERROR(SUMIFS(Ops!$E$141:$BL$141,Timeline!$E$6:$BL$6,E$6)/SUMIFS(Ops!$E$139:$BL$139,Timeline!$E$6:$BL$6,E$6),0)</f>
        <v/>
      </c>
      <c r="F20" s="81">
        <f>IFERROR(SUMIFS(Ops!$E$141:$BL$141,Timeline!$E$6:$BL$6,F$6)/SUMIFS(Ops!$E$139:$BL$139,Timeline!$E$6:$BL$6,F$6),0)</f>
        <v/>
      </c>
      <c r="G20" s="81">
        <f>IFERROR(SUMIFS(Ops!$E$141:$BL$141,Timeline!$E$6:$BL$6,G$6)/SUMIFS(Ops!$E$139:$BL$139,Timeline!$E$6:$BL$6,G$6),0)</f>
        <v/>
      </c>
      <c r="H20" s="81">
        <f>IFERROR(SUMIFS(Ops!$E$141:$BL$141,Timeline!$E$6:$BL$6,H$6)/SUMIFS(Ops!$E$139:$BL$139,Timeline!$E$6:$BL$6,H$6),0)</f>
        <v/>
      </c>
      <c r="I20" s="81">
        <f>IFERROR(SUMIFS(Ops!$E$141:$BL$141,Timeline!$E$6:$BL$6,I$6)/SUMIFS(Ops!$E$139:$BL$139,Timeline!$E$6:$BL$6,I$6),0)</f>
        <v/>
      </c>
    </row>
    <row r="21">
      <c r="A21" s="34" t="inlineStr">
        <is>
          <t>Receivables at risk / gross receivables (year end)</t>
        </is>
      </c>
      <c r="E21" s="81">
        <f>IFERROR(INDEX(Ops!$E$148:$BL$148,1,E$6*12)/INDEX(Ops!$E$149:$BL$149,1,E$6*12),0)</f>
        <v/>
      </c>
      <c r="F21" s="81">
        <f>IFERROR(INDEX(Ops!$E$148:$BL$148,1,F$6*12)/INDEX(Ops!$E$149:$BL$149,1,F$6*12),0)</f>
        <v/>
      </c>
      <c r="G21" s="81">
        <f>IFERROR(INDEX(Ops!$E$148:$BL$148,1,G$6*12)/INDEX(Ops!$E$149:$BL$149,1,G$6*12),0)</f>
        <v/>
      </c>
      <c r="H21" s="81">
        <f>IFERROR(INDEX(Ops!$E$148:$BL$148,1,H$6*12)/INDEX(Ops!$E$149:$BL$149,1,H$6*12),0)</f>
        <v/>
      </c>
      <c r="I21" s="81">
        <f>IFERROR(INDEX(Ops!$E$148:$BL$148,1,I$6*12)/INDEX(Ops!$E$149:$BL$149,1,I$6*12),0)</f>
        <v/>
      </c>
    </row>
    <row r="22">
      <c r="A22" s="34" t="inlineStr">
        <is>
          <t>Loss allowance coverage (allowance / gross receivables)</t>
        </is>
      </c>
      <c r="E22" s="81">
        <f>IFERROR(-INDEX(FS!$E$35:$BL$35,1,E$6*12)/INDEX(FS!$E$34:$BL$34,1,E$6*12),0)</f>
        <v/>
      </c>
      <c r="F22" s="81">
        <f>IFERROR(-INDEX(FS!$E$35:$BL$35,1,F$6*12)/INDEX(FS!$E$34:$BL$34,1,F$6*12),0)</f>
        <v/>
      </c>
      <c r="G22" s="81">
        <f>IFERROR(-INDEX(FS!$E$35:$BL$35,1,G$6*12)/INDEX(FS!$E$34:$BL$34,1,G$6*12),0)</f>
        <v/>
      </c>
      <c r="H22" s="81">
        <f>IFERROR(-INDEX(FS!$E$35:$BL$35,1,H$6*12)/INDEX(FS!$E$34:$BL$34,1,H$6*12),0)</f>
        <v/>
      </c>
      <c r="I22" s="81">
        <f>IFERROR(-INDEX(FS!$E$35:$BL$35,1,I$6*12)/INDEX(FS!$E$34:$BL$34,1,I$6*12),0)</f>
        <v/>
      </c>
    </row>
    <row r="23">
      <c r="A23" s="34" t="inlineStr">
        <is>
          <t>Net recoveries / write-offs</t>
        </is>
      </c>
      <c r="E23" s="81">
        <f>IFERROR(SUMIFS(Ops!$E$144:$BL$144,Timeline!$E$6:$BL$6,E$6)/SUMIFS(Ops!$E$141:$BL$141,Timeline!$E$6:$BL$6,E$6),0)</f>
        <v/>
      </c>
      <c r="F23" s="81">
        <f>IFERROR(SUMIFS(Ops!$E$144:$BL$144,Timeline!$E$6:$BL$6,F$6)/SUMIFS(Ops!$E$141:$BL$141,Timeline!$E$6:$BL$6,F$6),0)</f>
        <v/>
      </c>
      <c r="G23" s="81">
        <f>IFERROR(SUMIFS(Ops!$E$144:$BL$144,Timeline!$E$6:$BL$6,G$6)/SUMIFS(Ops!$E$141:$BL$141,Timeline!$E$6:$BL$6,G$6),0)</f>
        <v/>
      </c>
      <c r="H23" s="81">
        <f>IFERROR(SUMIFS(Ops!$E$144:$BL$144,Timeline!$E$6:$BL$6,H$6)/SUMIFS(Ops!$E$141:$BL$141,Timeline!$E$6:$BL$6,H$6),0)</f>
        <v/>
      </c>
      <c r="I23" s="81">
        <f>IFERROR(SUMIFS(Ops!$E$144:$BL$144,Timeline!$E$6:$BL$6,I$6)/SUMIFS(Ops!$E$141:$BL$141,Timeline!$E$6:$BL$6,I$6),0)</f>
        <v/>
      </c>
    </row>
    <row r="24">
      <c r="A24" s="34" t="inlineStr">
        <is>
          <t>30+ DPD / gross receivables (year end, projection)</t>
        </is>
      </c>
      <c r="E24" s="81">
        <f>INDEX(Covenants!$E$17:$BL$17,1,E$6*12)</f>
        <v/>
      </c>
      <c r="F24" s="81">
        <f>INDEX(Covenants!$E$17:$BL$17,1,F$6*12)</f>
        <v/>
      </c>
      <c r="G24" s="81">
        <f>INDEX(Covenants!$E$17:$BL$17,1,G$6*12)</f>
        <v/>
      </c>
      <c r="H24" s="81">
        <f>INDEX(Covenants!$E$17:$BL$17,1,H$6*12)</f>
        <v/>
      </c>
      <c r="I24" s="81">
        <f>INDEX(Covenants!$E$17:$BL$17,1,I$6*12)</f>
        <v/>
      </c>
    </row>
    <row r="25">
      <c r="A25" s="34" t="inlineStr">
        <is>
          <t>90+ DPD / gross receivables (year end, projection)</t>
        </is>
      </c>
      <c r="E25" s="81">
        <f>INDEX(Covenants!$E$19:$BL$19,1,E$6*12)</f>
        <v/>
      </c>
      <c r="F25" s="81">
        <f>INDEX(Covenants!$E$19:$BL$19,1,F$6*12)</f>
        <v/>
      </c>
      <c r="G25" s="81">
        <f>INDEX(Covenants!$E$19:$BL$19,1,G$6*12)</f>
        <v/>
      </c>
      <c r="H25" s="81">
        <f>INDEX(Covenants!$E$19:$BL$19,1,H$6*12)</f>
        <v/>
      </c>
      <c r="I25" s="81">
        <f>INDEX(Covenants!$E$19:$BL$19,1,I$6*12)</f>
        <v/>
      </c>
    </row>
    <row r="26">
      <c r="A26" s="34" t="inlineStr">
        <is>
          <t>Indicative stage-based ECL / gross receivables (year end)</t>
        </is>
      </c>
      <c r="E26" s="81">
        <f>INDEX(Covenants!$E$24:$BL$24,1,E$6*12)</f>
        <v/>
      </c>
      <c r="F26" s="81">
        <f>INDEX(Covenants!$E$24:$BL$24,1,F$6*12)</f>
        <v/>
      </c>
      <c r="G26" s="81">
        <f>INDEX(Covenants!$E$24:$BL$24,1,G$6*12)</f>
        <v/>
      </c>
      <c r="H26" s="81">
        <f>INDEX(Covenants!$E$24:$BL$24,1,H$6*12)</f>
        <v/>
      </c>
      <c r="I26" s="81">
        <f>INDEX(Covenants!$E$24:$BL$24,1,I$6*12)</f>
        <v/>
      </c>
    </row>
    <row r="27">
      <c r="A27" s="21" t="inlineStr">
        <is>
          <t>Revenue mix</t>
        </is>
      </c>
      <c r="B27" s="22" t="n"/>
      <c r="C27" s="22" t="n"/>
      <c r="D27" s="22" t="n"/>
      <c r="E27" s="22" t="n"/>
      <c r="F27" s="22"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c r="AA27" s="22" t="n"/>
      <c r="AB27" s="22" t="n"/>
      <c r="AC27" s="22" t="n"/>
      <c r="AD27" s="22" t="n"/>
      <c r="AE27" s="22" t="n"/>
      <c r="AF27" s="22" t="n"/>
      <c r="AG27" s="22" t="n"/>
      <c r="AH27" s="22" t="n"/>
      <c r="AI27" s="22" t="n"/>
      <c r="AJ27" s="22" t="n"/>
      <c r="AK27" s="22" t="n"/>
      <c r="AL27" s="22" t="n"/>
      <c r="AM27" s="22" t="n"/>
      <c r="AN27" s="22" t="n"/>
      <c r="AO27" s="22" t="n"/>
      <c r="AP27" s="22" t="n"/>
      <c r="AQ27" s="22" t="n"/>
      <c r="AR27" s="22" t="n"/>
      <c r="AS27" s="22" t="n"/>
      <c r="AT27" s="22" t="n"/>
      <c r="AU27" s="22" t="n"/>
      <c r="AV27" s="22" t="n"/>
      <c r="AW27" s="22" t="n"/>
      <c r="AX27" s="22" t="n"/>
      <c r="AY27" s="22" t="n"/>
      <c r="AZ27" s="22" t="n"/>
      <c r="BA27" s="22" t="n"/>
      <c r="BB27" s="22" t="n"/>
      <c r="BC27" s="22" t="n"/>
      <c r="BD27" s="22" t="n"/>
      <c r="BE27" s="22" t="n"/>
      <c r="BF27" s="22" t="n"/>
      <c r="BG27" s="22" t="n"/>
      <c r="BH27" s="22" t="n"/>
      <c r="BI27" s="22" t="n"/>
      <c r="BJ27" s="22" t="n"/>
      <c r="BK27" s="22" t="n"/>
      <c r="BL27" s="22" t="n"/>
    </row>
    <row r="28">
      <c r="A28" s="34" t="inlineStr">
        <is>
          <t>Revenue share: Tier 1: Pico solar kit</t>
        </is>
      </c>
      <c r="E28" s="81">
        <f>IFERROR((SUMIFS(Ops!$E$12:$BL$12,Timeline!$E$6:$BL$6,E$6)+SUMIFS(Ops!$E$17:$BL$17,Timeline!$E$6:$BL$6,E$6))/SUMIFS(FS!$E$12:$BL$12,Timeline!$E$6:$BL$6,E$6),0)</f>
        <v/>
      </c>
      <c r="F28" s="81">
        <f>IFERROR((SUMIFS(Ops!$E$12:$BL$12,Timeline!$E$6:$BL$6,F$6)+SUMIFS(Ops!$E$17:$BL$17,Timeline!$E$6:$BL$6,F$6))/SUMIFS(FS!$E$12:$BL$12,Timeline!$E$6:$BL$6,F$6),0)</f>
        <v/>
      </c>
      <c r="G28" s="81">
        <f>IFERROR((SUMIFS(Ops!$E$12:$BL$12,Timeline!$E$6:$BL$6,G$6)+SUMIFS(Ops!$E$17:$BL$17,Timeline!$E$6:$BL$6,G$6))/SUMIFS(FS!$E$12:$BL$12,Timeline!$E$6:$BL$6,G$6),0)</f>
        <v/>
      </c>
      <c r="H28" s="81">
        <f>IFERROR((SUMIFS(Ops!$E$12:$BL$12,Timeline!$E$6:$BL$6,H$6)+SUMIFS(Ops!$E$17:$BL$17,Timeline!$E$6:$BL$6,H$6))/SUMIFS(FS!$E$12:$BL$12,Timeline!$E$6:$BL$6,H$6),0)</f>
        <v/>
      </c>
      <c r="I28" s="81">
        <f>IFERROR((SUMIFS(Ops!$E$12:$BL$12,Timeline!$E$6:$BL$6,I$6)+SUMIFS(Ops!$E$17:$BL$17,Timeline!$E$6:$BL$6,I$6))/SUMIFS(FS!$E$12:$BL$12,Timeline!$E$6:$BL$6,I$6),0)</f>
        <v/>
      </c>
    </row>
    <row r="29">
      <c r="A29" s="34" t="inlineStr">
        <is>
          <t>Revenue share: Tier 2: SHS with TV</t>
        </is>
      </c>
      <c r="E29" s="81">
        <f>IFERROR((SUMIFS(Ops!$E$37:$BL$37,Timeline!$E$6:$BL$6,E$6)+SUMIFS(Ops!$E$42:$BL$42,Timeline!$E$6:$BL$6,E$6))/SUMIFS(FS!$E$12:$BL$12,Timeline!$E$6:$BL$6,E$6),0)</f>
        <v/>
      </c>
      <c r="F29" s="81">
        <f>IFERROR((SUMIFS(Ops!$E$37:$BL$37,Timeline!$E$6:$BL$6,F$6)+SUMIFS(Ops!$E$42:$BL$42,Timeline!$E$6:$BL$6,F$6))/SUMIFS(FS!$E$12:$BL$12,Timeline!$E$6:$BL$6,F$6),0)</f>
        <v/>
      </c>
      <c r="G29" s="81">
        <f>IFERROR((SUMIFS(Ops!$E$37:$BL$37,Timeline!$E$6:$BL$6,G$6)+SUMIFS(Ops!$E$42:$BL$42,Timeline!$E$6:$BL$6,G$6))/SUMIFS(FS!$E$12:$BL$12,Timeline!$E$6:$BL$6,G$6),0)</f>
        <v/>
      </c>
      <c r="H29" s="81">
        <f>IFERROR((SUMIFS(Ops!$E$37:$BL$37,Timeline!$E$6:$BL$6,H$6)+SUMIFS(Ops!$E$42:$BL$42,Timeline!$E$6:$BL$6,H$6))/SUMIFS(FS!$E$12:$BL$12,Timeline!$E$6:$BL$6,H$6),0)</f>
        <v/>
      </c>
      <c r="I29" s="81">
        <f>IFERROR((SUMIFS(Ops!$E$37:$BL$37,Timeline!$E$6:$BL$6,I$6)+SUMIFS(Ops!$E$42:$BL$42,Timeline!$E$6:$BL$6,I$6))/SUMIFS(FS!$E$12:$BL$12,Timeline!$E$6:$BL$6,I$6),0)</f>
        <v/>
      </c>
    </row>
    <row r="30">
      <c r="A30" s="34" t="inlineStr">
        <is>
          <t>Revenue share: Tier 3: Large SHS + DC fridge</t>
        </is>
      </c>
      <c r="E30" s="81">
        <f>IFERROR((SUMIFS(Ops!$E$62:$BL$62,Timeline!$E$6:$BL$6,E$6)+SUMIFS(Ops!$E$67:$BL$67,Timeline!$E$6:$BL$6,E$6))/SUMIFS(FS!$E$12:$BL$12,Timeline!$E$6:$BL$6,E$6),0)</f>
        <v/>
      </c>
      <c r="F30" s="81">
        <f>IFERROR((SUMIFS(Ops!$E$62:$BL$62,Timeline!$E$6:$BL$6,F$6)+SUMIFS(Ops!$E$67:$BL$67,Timeline!$E$6:$BL$6,F$6))/SUMIFS(FS!$E$12:$BL$12,Timeline!$E$6:$BL$6,F$6),0)</f>
        <v/>
      </c>
      <c r="G30" s="81">
        <f>IFERROR((SUMIFS(Ops!$E$62:$BL$62,Timeline!$E$6:$BL$6,G$6)+SUMIFS(Ops!$E$67:$BL$67,Timeline!$E$6:$BL$6,G$6))/SUMIFS(FS!$E$12:$BL$12,Timeline!$E$6:$BL$6,G$6),0)</f>
        <v/>
      </c>
      <c r="H30" s="81">
        <f>IFERROR((SUMIFS(Ops!$E$62:$BL$62,Timeline!$E$6:$BL$6,H$6)+SUMIFS(Ops!$E$67:$BL$67,Timeline!$E$6:$BL$6,H$6))/SUMIFS(FS!$E$12:$BL$12,Timeline!$E$6:$BL$6,H$6),0)</f>
        <v/>
      </c>
      <c r="I30" s="81">
        <f>IFERROR((SUMIFS(Ops!$E$62:$BL$62,Timeline!$E$6:$BL$6,I$6)+SUMIFS(Ops!$E$67:$BL$67,Timeline!$E$6:$BL$6,I$6))/SUMIFS(FS!$E$12:$BL$12,Timeline!$E$6:$BL$6,I$6),0)</f>
        <v/>
      </c>
    </row>
    <row r="31">
      <c r="A31" s="34" t="inlineStr">
        <is>
          <t>Revenue share: Tier 4: Solar inverter + lithium (~1.2 kWp / 5 kWh)</t>
        </is>
      </c>
      <c r="E31" s="81">
        <f>IFERROR((SUMIFS(Ops!$E$87:$BL$87,Timeline!$E$6:$BL$6,E$6)+SUMIFS(Ops!$E$92:$BL$92,Timeline!$E$6:$BL$6,E$6))/SUMIFS(FS!$E$12:$BL$12,Timeline!$E$6:$BL$6,E$6),0)</f>
        <v/>
      </c>
      <c r="F31" s="81">
        <f>IFERROR((SUMIFS(Ops!$E$87:$BL$87,Timeline!$E$6:$BL$6,F$6)+SUMIFS(Ops!$E$92:$BL$92,Timeline!$E$6:$BL$6,F$6))/SUMIFS(FS!$E$12:$BL$12,Timeline!$E$6:$BL$6,F$6),0)</f>
        <v/>
      </c>
      <c r="G31" s="81">
        <f>IFERROR((SUMIFS(Ops!$E$87:$BL$87,Timeline!$E$6:$BL$6,G$6)+SUMIFS(Ops!$E$92:$BL$92,Timeline!$E$6:$BL$6,G$6))/SUMIFS(FS!$E$12:$BL$12,Timeline!$E$6:$BL$6,G$6),0)</f>
        <v/>
      </c>
      <c r="H31" s="81">
        <f>IFERROR((SUMIFS(Ops!$E$87:$BL$87,Timeline!$E$6:$BL$6,H$6)+SUMIFS(Ops!$E$92:$BL$92,Timeline!$E$6:$BL$6,H$6))/SUMIFS(FS!$E$12:$BL$12,Timeline!$E$6:$BL$6,H$6),0)</f>
        <v/>
      </c>
      <c r="I31" s="81">
        <f>IFERROR((SUMIFS(Ops!$E$87:$BL$87,Timeline!$E$6:$BL$6,I$6)+SUMIFS(Ops!$E$92:$BL$92,Timeline!$E$6:$BL$6,I$6))/SUMIFS(FS!$E$12:$BL$12,Timeline!$E$6:$BL$6,I$6),0)</f>
        <v/>
      </c>
    </row>
    <row r="32">
      <c r="A32" s="34" t="inlineStr">
        <is>
          <t>Revenue share: Tier 5: Solar inverter + lithium (~3 kWp / 10 kWh)</t>
        </is>
      </c>
      <c r="E32" s="81">
        <f>IFERROR((SUMIFS(Ops!$E$112:$BL$112,Timeline!$E$6:$BL$6,E$6)+SUMIFS(Ops!$E$117:$BL$117,Timeline!$E$6:$BL$6,E$6))/SUMIFS(FS!$E$12:$BL$12,Timeline!$E$6:$BL$6,E$6),0)</f>
        <v/>
      </c>
      <c r="F32" s="81">
        <f>IFERROR((SUMIFS(Ops!$E$112:$BL$112,Timeline!$E$6:$BL$6,F$6)+SUMIFS(Ops!$E$117:$BL$117,Timeline!$E$6:$BL$6,F$6))/SUMIFS(FS!$E$12:$BL$12,Timeline!$E$6:$BL$6,F$6),0)</f>
        <v/>
      </c>
      <c r="G32" s="81">
        <f>IFERROR((SUMIFS(Ops!$E$112:$BL$112,Timeline!$E$6:$BL$6,G$6)+SUMIFS(Ops!$E$117:$BL$117,Timeline!$E$6:$BL$6,G$6))/SUMIFS(FS!$E$12:$BL$12,Timeline!$E$6:$BL$6,G$6),0)</f>
        <v/>
      </c>
      <c r="H32" s="81">
        <f>IFERROR((SUMIFS(Ops!$E$112:$BL$112,Timeline!$E$6:$BL$6,H$6)+SUMIFS(Ops!$E$117:$BL$117,Timeline!$E$6:$BL$6,H$6))/SUMIFS(FS!$E$12:$BL$12,Timeline!$E$6:$BL$6,H$6),0)</f>
        <v/>
      </c>
      <c r="I32" s="81">
        <f>IFERROR((SUMIFS(Ops!$E$112:$BL$112,Timeline!$E$6:$BL$6,I$6)+SUMIFS(Ops!$E$117:$BL$117,Timeline!$E$6:$BL$6,I$6))/SUMIFS(FS!$E$12:$BL$12,Timeline!$E$6:$BL$6,I$6),0)</f>
        <v/>
      </c>
    </row>
    <row r="33">
      <c r="A33" s="21" t="inlineStr">
        <is>
          <t>Profitability</t>
        </is>
      </c>
      <c r="B33" s="22" t="n"/>
      <c r="C33" s="22" t="n"/>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c r="AA33" s="22" t="n"/>
      <c r="AB33" s="22" t="n"/>
      <c r="AC33" s="22" t="n"/>
      <c r="AD33" s="22" t="n"/>
      <c r="AE33" s="22" t="n"/>
      <c r="AF33" s="22" t="n"/>
      <c r="AG33" s="22" t="n"/>
      <c r="AH33" s="22" t="n"/>
      <c r="AI33" s="22" t="n"/>
      <c r="AJ33" s="22" t="n"/>
      <c r="AK33" s="22" t="n"/>
      <c r="AL33" s="22" t="n"/>
      <c r="AM33" s="22" t="n"/>
      <c r="AN33" s="22" t="n"/>
      <c r="AO33" s="22" t="n"/>
      <c r="AP33" s="22" t="n"/>
      <c r="AQ33" s="22" t="n"/>
      <c r="AR33" s="22" t="n"/>
      <c r="AS33" s="22" t="n"/>
      <c r="AT33" s="22" t="n"/>
      <c r="AU33" s="22" t="n"/>
      <c r="AV33" s="22" t="n"/>
      <c r="AW33" s="22" t="n"/>
      <c r="AX33" s="22" t="n"/>
      <c r="AY33" s="22" t="n"/>
      <c r="AZ33" s="22" t="n"/>
      <c r="BA33" s="22" t="n"/>
      <c r="BB33" s="22" t="n"/>
      <c r="BC33" s="22" t="n"/>
      <c r="BD33" s="22" t="n"/>
      <c r="BE33" s="22" t="n"/>
      <c r="BF33" s="22" t="n"/>
      <c r="BG33" s="22" t="n"/>
      <c r="BH33" s="22" t="n"/>
      <c r="BI33" s="22" t="n"/>
      <c r="BJ33" s="22" t="n"/>
      <c r="BK33" s="22" t="n"/>
      <c r="BL33" s="22" t="n"/>
    </row>
    <row r="34">
      <c r="A34" s="19" t="inlineStr">
        <is>
          <t>Revenue (LCY)</t>
        </is>
      </c>
      <c r="E34" s="80">
        <f>SUMIFS(FS!$E$12:$BL$12,Timeline!$E$6:$BL$6,E$6)</f>
        <v/>
      </c>
      <c r="F34" s="80">
        <f>SUMIFS(FS!$E$12:$BL$12,Timeline!$E$6:$BL$6,F$6)</f>
        <v/>
      </c>
      <c r="G34" s="80">
        <f>SUMIFS(FS!$E$12:$BL$12,Timeline!$E$6:$BL$6,G$6)</f>
        <v/>
      </c>
      <c r="H34" s="80">
        <f>SUMIFS(FS!$E$12:$BL$12,Timeline!$E$6:$BL$6,H$6)</f>
        <v/>
      </c>
      <c r="I34" s="80">
        <f>SUMIFS(FS!$E$12:$BL$12,Timeline!$E$6:$BL$6,I$6)</f>
        <v/>
      </c>
    </row>
    <row r="35">
      <c r="A35" s="34" t="inlineStr">
        <is>
          <t>Revenue (USD, average FX)</t>
        </is>
      </c>
      <c r="E35" s="80">
        <f>IFERROR(SUMIFS(FS!$E$12:$BL$12,Timeline!$E$6:$BL$6,E$6)/AVERAGEIFS(Timeline!$E$8:$BL$8,Timeline!$E$6:$BL$6,E$6),0)</f>
        <v/>
      </c>
      <c r="F35" s="80">
        <f>IFERROR(SUMIFS(FS!$E$12:$BL$12,Timeline!$E$6:$BL$6,F$6)/AVERAGEIFS(Timeline!$E$8:$BL$8,Timeline!$E$6:$BL$6,F$6),0)</f>
        <v/>
      </c>
      <c r="G35" s="80">
        <f>IFERROR(SUMIFS(FS!$E$12:$BL$12,Timeline!$E$6:$BL$6,G$6)/AVERAGEIFS(Timeline!$E$8:$BL$8,Timeline!$E$6:$BL$6,G$6),0)</f>
        <v/>
      </c>
      <c r="H35" s="80">
        <f>IFERROR(SUMIFS(FS!$E$12:$BL$12,Timeline!$E$6:$BL$6,H$6)/AVERAGEIFS(Timeline!$E$8:$BL$8,Timeline!$E$6:$BL$6,H$6),0)</f>
        <v/>
      </c>
      <c r="I35" s="80">
        <f>IFERROR(SUMIFS(FS!$E$12:$BL$12,Timeline!$E$6:$BL$6,I$6)/AVERAGEIFS(Timeline!$E$8:$BL$8,Timeline!$E$6:$BL$6,I$6),0)</f>
        <v/>
      </c>
    </row>
    <row r="36">
      <c r="A36" s="34" t="inlineStr">
        <is>
          <t>Gross margin</t>
        </is>
      </c>
      <c r="E36" s="81">
        <f>IFERROR(SUMIFS(FS!$E$14:$BL$14,Timeline!$E$6:$BL$6,E$6)/SUMIFS(FS!$E$12:$BL$12,Timeline!$E$6:$BL$6,E$6),0)</f>
        <v/>
      </c>
      <c r="F36" s="81">
        <f>IFERROR(SUMIFS(FS!$E$14:$BL$14,Timeline!$E$6:$BL$6,F$6)/SUMIFS(FS!$E$12:$BL$12,Timeline!$E$6:$BL$6,F$6),0)</f>
        <v/>
      </c>
      <c r="G36" s="81">
        <f>IFERROR(SUMIFS(FS!$E$14:$BL$14,Timeline!$E$6:$BL$6,G$6)/SUMIFS(FS!$E$12:$BL$12,Timeline!$E$6:$BL$6,G$6),0)</f>
        <v/>
      </c>
      <c r="H36" s="81">
        <f>IFERROR(SUMIFS(FS!$E$14:$BL$14,Timeline!$E$6:$BL$6,H$6)/SUMIFS(FS!$E$12:$BL$12,Timeline!$E$6:$BL$6,H$6),0)</f>
        <v/>
      </c>
      <c r="I36" s="81">
        <f>IFERROR(SUMIFS(FS!$E$14:$BL$14,Timeline!$E$6:$BL$6,I$6)/SUMIFS(FS!$E$12:$BL$12,Timeline!$E$6:$BL$6,I$6),0)</f>
        <v/>
      </c>
    </row>
    <row r="37">
      <c r="A37" s="19" t="inlineStr">
        <is>
          <t>EBITDA (LCY)</t>
        </is>
      </c>
      <c r="E37" s="80">
        <f>SUMIFS(FS!$E$19:$BL$19,Timeline!$E$6:$BL$6,E$6)</f>
        <v/>
      </c>
      <c r="F37" s="80">
        <f>SUMIFS(FS!$E$19:$BL$19,Timeline!$E$6:$BL$6,F$6)</f>
        <v/>
      </c>
      <c r="G37" s="80">
        <f>SUMIFS(FS!$E$19:$BL$19,Timeline!$E$6:$BL$6,G$6)</f>
        <v/>
      </c>
      <c r="H37" s="80">
        <f>SUMIFS(FS!$E$19:$BL$19,Timeline!$E$6:$BL$6,H$6)</f>
        <v/>
      </c>
      <c r="I37" s="80">
        <f>SUMIFS(FS!$E$19:$BL$19,Timeline!$E$6:$BL$6,I$6)</f>
        <v/>
      </c>
    </row>
    <row r="38">
      <c r="A38" s="34" t="inlineStr">
        <is>
          <t>EBITDA margin</t>
        </is>
      </c>
      <c r="E38" s="81">
        <f>IFERROR(SUMIFS(FS!$E$19:$BL$19,Timeline!$E$6:$BL$6,E$6)/SUMIFS(FS!$E$12:$BL$12,Timeline!$E$6:$BL$6,E$6),0)</f>
        <v/>
      </c>
      <c r="F38" s="81">
        <f>IFERROR(SUMIFS(FS!$E$19:$BL$19,Timeline!$E$6:$BL$6,F$6)/SUMIFS(FS!$E$12:$BL$12,Timeline!$E$6:$BL$6,F$6),0)</f>
        <v/>
      </c>
      <c r="G38" s="81">
        <f>IFERROR(SUMIFS(FS!$E$19:$BL$19,Timeline!$E$6:$BL$6,G$6)/SUMIFS(FS!$E$12:$BL$12,Timeline!$E$6:$BL$6,G$6),0)</f>
        <v/>
      </c>
      <c r="H38" s="81">
        <f>IFERROR(SUMIFS(FS!$E$19:$BL$19,Timeline!$E$6:$BL$6,H$6)/SUMIFS(FS!$E$12:$BL$12,Timeline!$E$6:$BL$6,H$6),0)</f>
        <v/>
      </c>
      <c r="I38" s="81">
        <f>IFERROR(SUMIFS(FS!$E$19:$BL$19,Timeline!$E$6:$BL$6,I$6)/SUMIFS(FS!$E$12:$BL$12,Timeline!$E$6:$BL$6,I$6),0)</f>
        <v/>
      </c>
    </row>
    <row r="39">
      <c r="A39" s="34" t="inlineStr">
        <is>
          <t>Net credit losses / revenue</t>
        </is>
      </c>
      <c r="E39" s="81">
        <f>IFERROR(-(SUMIFS(FS!$E$17:$BL$17,Timeline!$E$6:$BL$6,E$6)+SUMIFS(FS!$E$18:$BL$18,Timeline!$E$6:$BL$6,E$6))/SUMIFS(FS!$E$12:$BL$12,Timeline!$E$6:$BL$6,E$6),0)</f>
        <v/>
      </c>
      <c r="F39" s="81">
        <f>IFERROR(-(SUMIFS(FS!$E$17:$BL$17,Timeline!$E$6:$BL$6,F$6)+SUMIFS(FS!$E$18:$BL$18,Timeline!$E$6:$BL$6,F$6))/SUMIFS(FS!$E$12:$BL$12,Timeline!$E$6:$BL$6,F$6),0)</f>
        <v/>
      </c>
      <c r="G39" s="81">
        <f>IFERROR(-(SUMIFS(FS!$E$17:$BL$17,Timeline!$E$6:$BL$6,G$6)+SUMIFS(FS!$E$18:$BL$18,Timeline!$E$6:$BL$6,G$6))/SUMIFS(FS!$E$12:$BL$12,Timeline!$E$6:$BL$6,G$6),0)</f>
        <v/>
      </c>
      <c r="H39" s="81">
        <f>IFERROR(-(SUMIFS(FS!$E$17:$BL$17,Timeline!$E$6:$BL$6,H$6)+SUMIFS(FS!$E$18:$BL$18,Timeline!$E$6:$BL$6,H$6))/SUMIFS(FS!$E$12:$BL$12,Timeline!$E$6:$BL$6,H$6),0)</f>
        <v/>
      </c>
      <c r="I39" s="81">
        <f>IFERROR(-(SUMIFS(FS!$E$17:$BL$17,Timeline!$E$6:$BL$6,I$6)+SUMIFS(FS!$E$18:$BL$18,Timeline!$E$6:$BL$6,I$6))/SUMIFS(FS!$E$12:$BL$12,Timeline!$E$6:$BL$6,I$6),0)</f>
        <v/>
      </c>
    </row>
    <row r="40">
      <c r="A40" s="34" t="inlineStr">
        <is>
          <t>Other revenue share (digital loans &amp; services)</t>
        </is>
      </c>
      <c r="E40" s="81">
        <f>IFERROR(SUMIFS(FS!$E$11:$BL$11,Timeline!$E$6:$BL$6,E$6)/SUMIFS(FS!$E$12:$BL$12,Timeline!$E$6:$BL$6,E$6),0)</f>
        <v/>
      </c>
      <c r="F40" s="81">
        <f>IFERROR(SUMIFS(FS!$E$11:$BL$11,Timeline!$E$6:$BL$6,F$6)/SUMIFS(FS!$E$12:$BL$12,Timeline!$E$6:$BL$6,F$6),0)</f>
        <v/>
      </c>
      <c r="G40" s="81">
        <f>IFERROR(SUMIFS(FS!$E$11:$BL$11,Timeline!$E$6:$BL$6,G$6)/SUMIFS(FS!$E$12:$BL$12,Timeline!$E$6:$BL$6,G$6),0)</f>
        <v/>
      </c>
      <c r="H40" s="81">
        <f>IFERROR(SUMIFS(FS!$E$11:$BL$11,Timeline!$E$6:$BL$6,H$6)/SUMIFS(FS!$E$12:$BL$12,Timeline!$E$6:$BL$6,H$6),0)</f>
        <v/>
      </c>
      <c r="I40" s="81">
        <f>IFERROR(SUMIFS(FS!$E$11:$BL$11,Timeline!$E$6:$BL$6,I$6)/SUMIFS(FS!$E$12:$BL$12,Timeline!$E$6:$BL$6,I$6),0)</f>
        <v/>
      </c>
    </row>
    <row r="41">
      <c r="A41" s="34" t="inlineStr">
        <is>
          <t>RBF dependency (RBF income / revenue)</t>
        </is>
      </c>
      <c r="E41" s="81">
        <f>IFERROR(SUMIFS(FS!$E$15:$BL$15,Timeline!$E$6:$BL$6,E$6)/SUMIFS(FS!$E$12:$BL$12,Timeline!$E$6:$BL$6,E$6),0)</f>
        <v/>
      </c>
      <c r="F41" s="81">
        <f>IFERROR(SUMIFS(FS!$E$15:$BL$15,Timeline!$E$6:$BL$6,F$6)/SUMIFS(FS!$E$12:$BL$12,Timeline!$E$6:$BL$6,F$6),0)</f>
        <v/>
      </c>
      <c r="G41" s="81">
        <f>IFERROR(SUMIFS(FS!$E$15:$BL$15,Timeline!$E$6:$BL$6,G$6)/SUMIFS(FS!$E$12:$BL$12,Timeline!$E$6:$BL$6,G$6),0)</f>
        <v/>
      </c>
      <c r="H41" s="81">
        <f>IFERROR(SUMIFS(FS!$E$15:$BL$15,Timeline!$E$6:$BL$6,H$6)/SUMIFS(FS!$E$12:$BL$12,Timeline!$E$6:$BL$6,H$6),0)</f>
        <v/>
      </c>
      <c r="I41" s="81">
        <f>IFERROR(SUMIFS(FS!$E$15:$BL$15,Timeline!$E$6:$BL$6,I$6)/SUMIFS(FS!$E$12:$BL$12,Timeline!$E$6:$BL$6,I$6),0)</f>
        <v/>
      </c>
    </row>
    <row r="42">
      <c r="A42" s="19" t="inlineStr">
        <is>
          <t>Net income (LCY)</t>
        </is>
      </c>
      <c r="E42" s="80">
        <f>SUMIFS(FS!$E$30:$BL$30,Timeline!$E$6:$BL$6,E$6)</f>
        <v/>
      </c>
      <c r="F42" s="80">
        <f>SUMIFS(FS!$E$30:$BL$30,Timeline!$E$6:$BL$6,F$6)</f>
        <v/>
      </c>
      <c r="G42" s="80">
        <f>SUMIFS(FS!$E$30:$BL$30,Timeline!$E$6:$BL$6,G$6)</f>
        <v/>
      </c>
      <c r="H42" s="80">
        <f>SUMIFS(FS!$E$30:$BL$30,Timeline!$E$6:$BL$6,H$6)</f>
        <v/>
      </c>
      <c r="I42" s="80">
        <f>SUMIFS(FS!$E$30:$BL$30,Timeline!$E$6:$BL$6,I$6)</f>
        <v/>
      </c>
    </row>
    <row r="43">
      <c r="A43" s="21" t="inlineStr">
        <is>
          <t>Funding, leverage &amp; coverage</t>
        </is>
      </c>
      <c r="B43" s="22" t="n"/>
      <c r="C43" s="22" t="n"/>
      <c r="D43" s="22" t="n"/>
      <c r="E43" s="22" t="n"/>
      <c r="F43" s="22"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c r="AA43" s="22" t="n"/>
      <c r="AB43" s="22" t="n"/>
      <c r="AC43" s="22" t="n"/>
      <c r="AD43" s="22" t="n"/>
      <c r="AE43" s="22" t="n"/>
      <c r="AF43" s="22" t="n"/>
      <c r="AG43" s="22" t="n"/>
      <c r="AH43" s="22" t="n"/>
      <c r="AI43" s="22" t="n"/>
      <c r="AJ43" s="22" t="n"/>
      <c r="AK43" s="22" t="n"/>
      <c r="AL43" s="22" t="n"/>
      <c r="AM43" s="22" t="n"/>
      <c r="AN43" s="22" t="n"/>
      <c r="AO43" s="22" t="n"/>
      <c r="AP43" s="22" t="n"/>
      <c r="AQ43" s="22" t="n"/>
      <c r="AR43" s="22" t="n"/>
      <c r="AS43" s="22" t="n"/>
      <c r="AT43" s="22" t="n"/>
      <c r="AU43" s="22" t="n"/>
      <c r="AV43" s="22" t="n"/>
      <c r="AW43" s="22" t="n"/>
      <c r="AX43" s="22" t="n"/>
      <c r="AY43" s="22" t="n"/>
      <c r="AZ43" s="22" t="n"/>
      <c r="BA43" s="22" t="n"/>
      <c r="BB43" s="22" t="n"/>
      <c r="BC43" s="22" t="n"/>
      <c r="BD43" s="22" t="n"/>
      <c r="BE43" s="22" t="n"/>
      <c r="BF43" s="22" t="n"/>
      <c r="BG43" s="22" t="n"/>
      <c r="BH43" s="22" t="n"/>
      <c r="BI43" s="22" t="n"/>
      <c r="BJ43" s="22" t="n"/>
      <c r="BK43" s="22" t="n"/>
      <c r="BL43" s="22" t="n"/>
    </row>
    <row r="44">
      <c r="A44" s="34" t="inlineStr">
        <is>
          <t>Closing cash (LCY)</t>
        </is>
      </c>
      <c r="E44" s="80">
        <f>INDEX(FS!$E$65:$BL$65,1,E$6*12)</f>
        <v/>
      </c>
      <c r="F44" s="80">
        <f>INDEX(FS!$E$65:$BL$65,1,F$6*12)</f>
        <v/>
      </c>
      <c r="G44" s="80">
        <f>INDEX(FS!$E$65:$BL$65,1,G$6*12)</f>
        <v/>
      </c>
      <c r="H44" s="80">
        <f>INDEX(FS!$E$65:$BL$65,1,H$6*12)</f>
        <v/>
      </c>
      <c r="I44" s="80">
        <f>INDEX(FS!$E$65:$BL$65,1,I$6*12)</f>
        <v/>
      </c>
    </row>
    <row r="45">
      <c r="A45" s="34" t="inlineStr">
        <is>
          <t>Cumulative equity invested (LCY)</t>
        </is>
      </c>
      <c r="E45" s="80">
        <f>INDEX(Financing!$E$11:$BL$11,1,E$6*12)</f>
        <v/>
      </c>
      <c r="F45" s="80">
        <f>INDEX(Financing!$E$11:$BL$11,1,F$6*12)</f>
        <v/>
      </c>
      <c r="G45" s="80">
        <f>INDEX(Financing!$E$11:$BL$11,1,G$6*12)</f>
        <v/>
      </c>
      <c r="H45" s="80">
        <f>INDEX(Financing!$E$11:$BL$11,1,H$6*12)</f>
        <v/>
      </c>
      <c r="I45" s="80">
        <f>INDEX(Financing!$E$11:$BL$11,1,I$6*12)</f>
        <v/>
      </c>
    </row>
    <row r="46">
      <c r="A46" s="34" t="inlineStr">
        <is>
          <t>Equity top-ups in year (funding gap, LCY)</t>
        </is>
      </c>
      <c r="E46" s="80">
        <f>SUMIFS(FS!$E$64:$BL$64,Timeline!$E$6:$BL$6,E$6)</f>
        <v/>
      </c>
      <c r="F46" s="80">
        <f>SUMIFS(FS!$E$64:$BL$64,Timeline!$E$6:$BL$6,F$6)</f>
        <v/>
      </c>
      <c r="G46" s="80">
        <f>SUMIFS(FS!$E$64:$BL$64,Timeline!$E$6:$BL$6,G$6)</f>
        <v/>
      </c>
      <c r="H46" s="80">
        <f>SUMIFS(FS!$E$64:$BL$64,Timeline!$E$6:$BL$6,H$6)</f>
        <v/>
      </c>
      <c r="I46" s="80">
        <f>SUMIFS(FS!$E$64:$BL$64,Timeline!$E$6:$BL$6,I$6)</f>
        <v/>
      </c>
    </row>
    <row r="47">
      <c r="A47" s="34" t="inlineStr">
        <is>
          <t>Total debt (year end, LCY)</t>
        </is>
      </c>
      <c r="E47" s="80">
        <f>INDEX(FS!$E$41:$BL$41,1,E$6*12)+INDEX(FS!$E$42:$BL$42,1,E$6*12)</f>
        <v/>
      </c>
      <c r="F47" s="80">
        <f>INDEX(FS!$E$41:$BL$41,1,F$6*12)+INDEX(FS!$E$42:$BL$42,1,F$6*12)</f>
        <v/>
      </c>
      <c r="G47" s="80">
        <f>INDEX(FS!$E$41:$BL$41,1,G$6*12)+INDEX(FS!$E$42:$BL$42,1,G$6*12)</f>
        <v/>
      </c>
      <c r="H47" s="80">
        <f>INDEX(FS!$E$41:$BL$41,1,H$6*12)+INDEX(FS!$E$42:$BL$42,1,H$6*12)</f>
        <v/>
      </c>
      <c r="I47" s="80">
        <f>INDEX(FS!$E$41:$BL$41,1,I$6*12)+INDEX(FS!$E$42:$BL$42,1,I$6*12)</f>
        <v/>
      </c>
    </row>
    <row r="48">
      <c r="A48" s="34" t="inlineStr">
        <is>
          <t>Debt / book equity</t>
        </is>
      </c>
      <c r="E48" s="86">
        <f>IFERROR((INDEX(FS!$E$41:$BL$41,1,E$6*12)+INDEX(FS!$E$42:$BL$42,1,E$6*12))/INDEX(FS!$E$46:$BL$46,1,E$6*12),0)</f>
        <v/>
      </c>
      <c r="F48" s="86">
        <f>IFERROR((INDEX(FS!$E$41:$BL$41,1,F$6*12)+INDEX(FS!$E$42:$BL$42,1,F$6*12))/INDEX(FS!$E$46:$BL$46,1,F$6*12),0)</f>
        <v/>
      </c>
      <c r="G48" s="86">
        <f>IFERROR((INDEX(FS!$E$41:$BL$41,1,G$6*12)+INDEX(FS!$E$42:$BL$42,1,G$6*12))/INDEX(FS!$E$46:$BL$46,1,G$6*12),0)</f>
        <v/>
      </c>
      <c r="H48" s="86">
        <f>IFERROR((INDEX(FS!$E$41:$BL$41,1,H$6*12)+INDEX(FS!$E$42:$BL$42,1,H$6*12))/INDEX(FS!$E$46:$BL$46,1,H$6*12),0)</f>
        <v/>
      </c>
      <c r="I48" s="86">
        <f>IFERROR((INDEX(FS!$E$41:$BL$41,1,I$6*12)+INDEX(FS!$E$42:$BL$42,1,I$6*12))/INDEX(FS!$E$46:$BL$46,1,I$6*12),0)</f>
        <v/>
      </c>
    </row>
    <row r="49">
      <c r="A49" s="34" t="inlineStr">
        <is>
          <t>Debt service (interest + term-loan principal, LCY)</t>
        </is>
      </c>
      <c r="E49" s="80">
        <f>SUMIFS(Financing!$E$16:$BL$16,Timeline!$E$6:$BL$6,E$6)+SUMIFS(Financing!$E$18:$BL$18,Timeline!$E$6:$BL$6,E$6)+SUMIFS(Financing!$E$25:$BL$25,Timeline!$E$6:$BL$6,E$6)</f>
        <v/>
      </c>
      <c r="F49" s="80">
        <f>SUMIFS(Financing!$E$16:$BL$16,Timeline!$E$6:$BL$6,F$6)+SUMIFS(Financing!$E$18:$BL$18,Timeline!$E$6:$BL$6,F$6)+SUMIFS(Financing!$E$25:$BL$25,Timeline!$E$6:$BL$6,F$6)</f>
        <v/>
      </c>
      <c r="G49" s="80">
        <f>SUMIFS(Financing!$E$16:$BL$16,Timeline!$E$6:$BL$6,G$6)+SUMIFS(Financing!$E$18:$BL$18,Timeline!$E$6:$BL$6,G$6)+SUMIFS(Financing!$E$25:$BL$25,Timeline!$E$6:$BL$6,G$6)</f>
        <v/>
      </c>
      <c r="H49" s="80">
        <f>SUMIFS(Financing!$E$16:$BL$16,Timeline!$E$6:$BL$6,H$6)+SUMIFS(Financing!$E$18:$BL$18,Timeline!$E$6:$BL$6,H$6)+SUMIFS(Financing!$E$25:$BL$25,Timeline!$E$6:$BL$6,H$6)</f>
        <v/>
      </c>
      <c r="I49" s="80">
        <f>SUMIFS(Financing!$E$16:$BL$16,Timeline!$E$6:$BL$6,I$6)+SUMIFS(Financing!$E$18:$BL$18,Timeline!$E$6:$BL$6,I$6)+SUMIFS(Financing!$E$25:$BL$25,Timeline!$E$6:$BL$6,I$6)</f>
        <v/>
      </c>
    </row>
    <row r="50">
      <c r="A50" s="34" t="inlineStr">
        <is>
          <t>DSCR ((cash flow + interest) / debt service; basis per Inputs, covenant definition)</t>
        </is>
      </c>
      <c r="E50" s="86">
        <f>IFERROR((SUMIFS(FS!$E$57:$BL$57,Timeline!$E$6:$BL$6,E$6)-SUMIFS(FS!$E$22:$BL$22,Timeline!$E$6:$BL$6,E$6)-SUMIFS(FS!$E$23:$BL$23,Timeline!$E$6:$BL$6,E$6)-IF(Inputs!$C$88=2,SUMIFS(FS!$E$54:$BL$54,Timeline!$E$6:$BL$6,E$6),0))/E49,0)</f>
        <v/>
      </c>
      <c r="F50" s="86">
        <f>IFERROR((SUMIFS(FS!$E$57:$BL$57,Timeline!$E$6:$BL$6,F$6)-SUMIFS(FS!$E$22:$BL$22,Timeline!$E$6:$BL$6,F$6)-SUMIFS(FS!$E$23:$BL$23,Timeline!$E$6:$BL$6,F$6)-IF(Inputs!$C$88=2,SUMIFS(FS!$E$54:$BL$54,Timeline!$E$6:$BL$6,F$6),0))/F49,0)</f>
        <v/>
      </c>
      <c r="G50" s="86">
        <f>IFERROR((SUMIFS(FS!$E$57:$BL$57,Timeline!$E$6:$BL$6,G$6)-SUMIFS(FS!$E$22:$BL$22,Timeline!$E$6:$BL$6,G$6)-SUMIFS(FS!$E$23:$BL$23,Timeline!$E$6:$BL$6,G$6)-IF(Inputs!$C$88=2,SUMIFS(FS!$E$54:$BL$54,Timeline!$E$6:$BL$6,G$6),0))/G49,0)</f>
        <v/>
      </c>
      <c r="H50" s="86">
        <f>IFERROR((SUMIFS(FS!$E$57:$BL$57,Timeline!$E$6:$BL$6,H$6)-SUMIFS(FS!$E$22:$BL$22,Timeline!$E$6:$BL$6,H$6)-SUMIFS(FS!$E$23:$BL$23,Timeline!$E$6:$BL$6,H$6)-IF(Inputs!$C$88=2,SUMIFS(FS!$E$54:$BL$54,Timeline!$E$6:$BL$6,H$6),0))/H49,0)</f>
        <v/>
      </c>
      <c r="I50" s="86">
        <f>IFERROR((SUMIFS(FS!$E$57:$BL$57,Timeline!$E$6:$BL$6,I$6)-SUMIFS(FS!$E$22:$BL$22,Timeline!$E$6:$BL$6,I$6)-SUMIFS(FS!$E$23:$BL$23,Timeline!$E$6:$BL$6,I$6)-IF(Inputs!$C$88=2,SUMIFS(FS!$E$54:$BL$54,Timeline!$E$6:$BL$6,I$6),0))/I49,0)</f>
        <v/>
      </c>
    </row>
    <row r="51">
      <c r="A51" s="34" t="inlineStr">
        <is>
          <t>Breach: DSCR below minimum (years with debt service; 0 when the facility has no DSCR test)</t>
        </is>
      </c>
      <c r="E51" s="23">
        <f>IF(AND(Inputs!$C$88&gt;0,E49&gt;0,E50&lt;Inputs!$C$73),1,0)</f>
        <v/>
      </c>
      <c r="F51" s="23">
        <f>IF(AND(Inputs!$C$88&gt;0,F49&gt;0,F50&lt;Inputs!$C$73),1,0)</f>
        <v/>
      </c>
      <c r="G51" s="23">
        <f>IF(AND(Inputs!$C$88&gt;0,G49&gt;0,G50&lt;Inputs!$C$73),1,0)</f>
        <v/>
      </c>
      <c r="H51" s="23">
        <f>IF(AND(Inputs!$C$88&gt;0,H49&gt;0,H50&lt;Inputs!$C$73),1,0)</f>
        <v/>
      </c>
      <c r="I51" s="23">
        <f>IF(AND(Inputs!$C$88&gt;0,I49&gt;0,I50&lt;Inputs!$C$73),1,0)</f>
        <v/>
      </c>
    </row>
    <row r="52">
      <c r="A52" s="34" t="inlineStr">
        <is>
          <t>Months with any monthly covenant breach</t>
        </is>
      </c>
      <c r="E52" s="23">
        <f>SUMIFS(Covenants!$E$26:$BL$26,Timeline!$E$6:$BL$6,E$6)</f>
        <v/>
      </c>
      <c r="F52" s="23">
        <f>SUMIFS(Covenants!$E$26:$BL$26,Timeline!$E$6:$BL$6,F$6)</f>
        <v/>
      </c>
      <c r="G52" s="23">
        <f>SUMIFS(Covenants!$E$26:$BL$26,Timeline!$E$6:$BL$6,G$6)</f>
        <v/>
      </c>
      <c r="H52" s="23">
        <f>SUMIFS(Covenants!$E$26:$BL$26,Timeline!$E$6:$BL$6,H$6)</f>
        <v/>
      </c>
      <c r="I52" s="23">
        <f>SUMIFS(Covenants!$E$26:$BL$26,Timeline!$E$6:$BL$6,I$6)</f>
        <v/>
      </c>
    </row>
    <row r="53">
      <c r="A53" s="34" t="inlineStr">
        <is>
          <t>FX rate (year end, LCY / USD)</t>
        </is>
      </c>
      <c r="E53" s="92">
        <f>INDEX(Timeline!$E$8:$BL$8,1,E$6*12)</f>
        <v/>
      </c>
      <c r="F53" s="92">
        <f>INDEX(Timeline!$E$8:$BL$8,1,F$6*12)</f>
        <v/>
      </c>
      <c r="G53" s="92">
        <f>INDEX(Timeline!$E$8:$BL$8,1,G$6*12)</f>
        <v/>
      </c>
      <c r="H53" s="92">
        <f>INDEX(Timeline!$E$8:$BL$8,1,H$6*12)</f>
        <v/>
      </c>
      <c r="I53" s="92">
        <f>INDEX(Timeline!$E$8:$BL$8,1,I$6*12)</f>
        <v/>
      </c>
    </row>
    <row r="54"/>
    <row r="55">
      <c r="A55" s="21" t="inlineStr">
        <is>
          <t>Headline metrics</t>
        </is>
      </c>
      <c r="B55" s="22" t="n"/>
      <c r="C55" s="22" t="n"/>
      <c r="D55" s="22" t="n"/>
      <c r="E55" s="22" t="n"/>
      <c r="F55" s="22"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c r="AA55" s="22" t="n"/>
      <c r="AB55" s="22" t="n"/>
      <c r="AC55" s="22" t="n"/>
      <c r="AD55" s="22" t="n"/>
      <c r="AE55" s="22" t="n"/>
      <c r="AF55" s="22" t="n"/>
      <c r="AG55" s="22" t="n"/>
      <c r="AH55" s="22" t="n"/>
      <c r="AI55" s="22" t="n"/>
      <c r="AJ55" s="22" t="n"/>
      <c r="AK55" s="22" t="n"/>
      <c r="AL55" s="22" t="n"/>
      <c r="AM55" s="22" t="n"/>
      <c r="AN55" s="22" t="n"/>
      <c r="AO55" s="22" t="n"/>
      <c r="AP55" s="22" t="n"/>
      <c r="AQ55" s="22" t="n"/>
      <c r="AR55" s="22" t="n"/>
      <c r="AS55" s="22" t="n"/>
      <c r="AT55" s="22" t="n"/>
      <c r="AU55" s="22" t="n"/>
      <c r="AV55" s="22" t="n"/>
      <c r="AW55" s="22" t="n"/>
      <c r="AX55" s="22" t="n"/>
      <c r="AY55" s="22" t="n"/>
      <c r="AZ55" s="22" t="n"/>
      <c r="BA55" s="22" t="n"/>
      <c r="BB55" s="22" t="n"/>
      <c r="BC55" s="22" t="n"/>
      <c r="BD55" s="22" t="n"/>
      <c r="BE55" s="22" t="n"/>
      <c r="BF55" s="22" t="n"/>
      <c r="BG55" s="22" t="n"/>
      <c r="BH55" s="22" t="n"/>
      <c r="BI55" s="22" t="n"/>
      <c r="BJ55" s="22" t="n"/>
      <c r="BK55" s="22" t="n"/>
      <c r="BL55" s="22" t="n"/>
    </row>
    <row r="56">
      <c r="A56" s="19" t="inlineStr">
        <is>
          <t>Peak cumulative equity requirement (LCY)</t>
        </is>
      </c>
      <c r="C56" s="93">
        <f>MAX(Financing!$E$11:$BL$11)</f>
        <v/>
      </c>
    </row>
    <row r="57">
      <c r="A57" s="19" t="inlineStr">
        <is>
          <t>Peak cumulative equity requirement (USD, opening FX)</t>
        </is>
      </c>
      <c r="C57" s="93">
        <f>C56/Inputs!$C$10</f>
        <v/>
      </c>
    </row>
    <row r="58">
      <c r="A58" s="19" t="inlineStr">
        <is>
          <t>Peak total debt (LCY)</t>
        </is>
      </c>
      <c r="C58" s="93">
        <f>MAX(Covenants!$E$12:$BL$12)</f>
        <v/>
      </c>
    </row>
    <row r="59">
      <c r="A59" s="19" t="inlineStr">
        <is>
          <t>Total RBF received (USD, opening FX)</t>
        </is>
      </c>
      <c r="C59" s="93">
        <f>SUM(Ops!$E$145:$BL$145)/Inputs!$C$10</f>
        <v/>
      </c>
    </row>
    <row r="60">
      <c r="A60" s="19" t="inlineStr">
        <is>
          <t>First month with positive EBITDA</t>
        </is>
      </c>
      <c r="C60" s="27">
        <f>IFERROR(MATCH(1,FS!$E$68:$BL$68,0),"Not reached")</f>
        <v/>
      </c>
    </row>
    <row r="61">
      <c r="A61" s="19" t="inlineStr">
        <is>
          <t>Month from which operating cash flow stays positive</t>
        </is>
      </c>
      <c r="C61" s="27">
        <f>IFERROR(MATCH(1,FS!$E$70:$BL$70,0),"Not reached")</f>
        <v/>
      </c>
    </row>
    <row r="62">
      <c r="A62" s="19" t="inlineStr">
        <is>
          <t>Lowest trailing-3-month collection rate (from month 3)</t>
        </is>
      </c>
      <c r="C62" s="83">
        <f>MIN(Covenants!G8:BL8)</f>
        <v/>
      </c>
    </row>
    <row r="63">
      <c r="A63" s="19" t="inlineStr">
        <is>
          <t>Highest receivables-at-risk ratio</t>
        </is>
      </c>
      <c r="C63" s="83">
        <f>MAX(Ops!$E$161:$BL$161)</f>
        <v/>
      </c>
    </row>
    <row r="64">
      <c r="A64" s="19" t="inlineStr">
        <is>
          <t>Total months with a monthly covenant breach (annual DSCR not included: next row)</t>
        </is>
      </c>
      <c r="C64" s="27">
        <f>SUM(Covenants!$E$26:$BL$26)</f>
        <v/>
      </c>
    </row>
    <row r="65">
      <c r="A65" s="19" t="inlineStr">
        <is>
          <t>Years with DSCR below minimum</t>
        </is>
      </c>
      <c r="C65" s="27">
        <f>SUM(E51:I51)</f>
        <v/>
      </c>
    </row>
    <row r="66">
      <c r="A66" s="19" t="inlineStr">
        <is>
          <t>Additional equity required beyond the initial injection (USD, opening FX)</t>
        </is>
      </c>
      <c r="C66" s="93">
        <f>MAX(0,MAX(Financing!$E$11:$BL$11)-Inputs!$C$49)/Inputs!$C$10</f>
        <v/>
      </c>
    </row>
    <row r="67">
      <c r="A67" s="19" t="inlineStr">
        <is>
          <t>Lowest cash before equity top-up (LCY; negative = funding gap)</t>
        </is>
      </c>
      <c r="C67" s="93">
        <f>MIN(FS!$E$63:$BL$63)</f>
        <v/>
      </c>
    </row>
    <row r="68"/>
    <row r="69">
      <c r="A69" s="18" t="inlineStr">
        <is>
          <t>Receivables at risk follows the logic of the 2021 PAYGo PERFORM guide (historical) with a curve-based proxy. Covenant definitions are illustrative; use those in the actual facility agreement.</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13.xml><?xml version="1.0" encoding="utf-8"?>
<worksheet xmlns="http://schemas.openxmlformats.org/spreadsheetml/2006/main">
  <sheetPr>
    <tabColor rgb="0000B050"/>
    <outlinePr summaryBelow="1" summaryRight="1"/>
    <pageSetUpPr fitToPage="1"/>
  </sheetPr>
  <dimension ref="A1:BL41"/>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5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Credit portfolio dashboard: all tiers (selected data mode)</t>
        </is>
      </c>
    </row>
    <row r="2">
      <c r="A2" s="18" t="inlineStr">
        <is>
          <t>[FORECAST or ACTUAL (selected data mode)]  Proxy = projection; Actual = Credit_Input history. Facility headroom always reflects the projection.  This is an analytical modelling treatment and does not constitute a determination of the applicable accounting treatment under IFRS.</t>
        </is>
      </c>
    </row>
    <row r="3"/>
    <row r="4">
      <c r="A4" s="94" t="inlineStr">
        <is>
          <t>Month #</t>
        </is>
      </c>
      <c r="B4" s="95" t="n"/>
      <c r="C4" s="95" t="n"/>
      <c r="D4" s="94" t="inlineStr">
        <is>
          <t>Opening</t>
        </is>
      </c>
      <c r="E4" s="96">
        <f>Timeline!E4</f>
        <v/>
      </c>
      <c r="F4" s="96">
        <f>Timeline!F4</f>
        <v/>
      </c>
      <c r="G4" s="96">
        <f>Timeline!G4</f>
        <v/>
      </c>
      <c r="H4" s="96">
        <f>Timeline!H4</f>
        <v/>
      </c>
      <c r="I4" s="96">
        <f>Timeline!I4</f>
        <v/>
      </c>
      <c r="J4" s="96">
        <f>Timeline!J4</f>
        <v/>
      </c>
      <c r="K4" s="96">
        <f>Timeline!K4</f>
        <v/>
      </c>
      <c r="L4" s="96">
        <f>Timeline!L4</f>
        <v/>
      </c>
      <c r="M4" s="96">
        <f>Timeline!M4</f>
        <v/>
      </c>
      <c r="N4" s="96">
        <f>Timeline!N4</f>
        <v/>
      </c>
      <c r="O4" s="96">
        <f>Timeline!O4</f>
        <v/>
      </c>
      <c r="P4" s="96">
        <f>Timeline!P4</f>
        <v/>
      </c>
      <c r="Q4" s="96">
        <f>Timeline!Q4</f>
        <v/>
      </c>
      <c r="R4" s="96">
        <f>Timeline!R4</f>
        <v/>
      </c>
      <c r="S4" s="96">
        <f>Timeline!S4</f>
        <v/>
      </c>
      <c r="T4" s="96">
        <f>Timeline!T4</f>
        <v/>
      </c>
      <c r="U4" s="96">
        <f>Timeline!U4</f>
        <v/>
      </c>
      <c r="V4" s="96">
        <f>Timeline!V4</f>
        <v/>
      </c>
      <c r="W4" s="96">
        <f>Timeline!W4</f>
        <v/>
      </c>
      <c r="X4" s="96">
        <f>Timeline!X4</f>
        <v/>
      </c>
      <c r="Y4" s="96">
        <f>Timeline!Y4</f>
        <v/>
      </c>
      <c r="Z4" s="96">
        <f>Timeline!Z4</f>
        <v/>
      </c>
      <c r="AA4" s="96">
        <f>Timeline!AA4</f>
        <v/>
      </c>
      <c r="AB4" s="96">
        <f>Timeline!AB4</f>
        <v/>
      </c>
      <c r="AC4" s="96">
        <f>Timeline!AC4</f>
        <v/>
      </c>
      <c r="AD4" s="96">
        <f>Timeline!AD4</f>
        <v/>
      </c>
      <c r="AE4" s="96">
        <f>Timeline!AE4</f>
        <v/>
      </c>
      <c r="AF4" s="96">
        <f>Timeline!AF4</f>
        <v/>
      </c>
      <c r="AG4" s="96">
        <f>Timeline!AG4</f>
        <v/>
      </c>
      <c r="AH4" s="96">
        <f>Timeline!AH4</f>
        <v/>
      </c>
      <c r="AI4" s="96">
        <f>Timeline!AI4</f>
        <v/>
      </c>
      <c r="AJ4" s="96">
        <f>Timeline!AJ4</f>
        <v/>
      </c>
      <c r="AK4" s="96">
        <f>Timeline!AK4</f>
        <v/>
      </c>
      <c r="AL4" s="96">
        <f>Timeline!AL4</f>
        <v/>
      </c>
      <c r="AM4" s="96">
        <f>Timeline!AM4</f>
        <v/>
      </c>
      <c r="AN4" s="96">
        <f>Timeline!AN4</f>
        <v/>
      </c>
      <c r="AO4" s="96">
        <f>Timeline!AO4</f>
        <v/>
      </c>
      <c r="AP4" s="96">
        <f>Timeline!AP4</f>
        <v/>
      </c>
      <c r="AQ4" s="96">
        <f>Timeline!AQ4</f>
        <v/>
      </c>
      <c r="AR4" s="96">
        <f>Timeline!AR4</f>
        <v/>
      </c>
      <c r="AS4" s="96">
        <f>Timeline!AS4</f>
        <v/>
      </c>
      <c r="AT4" s="96">
        <f>Timeline!AT4</f>
        <v/>
      </c>
      <c r="AU4" s="96">
        <f>Timeline!AU4</f>
        <v/>
      </c>
      <c r="AV4" s="96">
        <f>Timeline!AV4</f>
        <v/>
      </c>
      <c r="AW4" s="96">
        <f>Timeline!AW4</f>
        <v/>
      </c>
      <c r="AX4" s="96">
        <f>Timeline!AX4</f>
        <v/>
      </c>
      <c r="AY4" s="96">
        <f>Timeline!AY4</f>
        <v/>
      </c>
      <c r="AZ4" s="96">
        <f>Timeline!AZ4</f>
        <v/>
      </c>
      <c r="BA4" s="96">
        <f>Timeline!BA4</f>
        <v/>
      </c>
      <c r="BB4" s="96">
        <f>Timeline!BB4</f>
        <v/>
      </c>
      <c r="BC4" s="96">
        <f>Timeline!BC4</f>
        <v/>
      </c>
      <c r="BD4" s="96">
        <f>Timeline!BD4</f>
        <v/>
      </c>
      <c r="BE4" s="96">
        <f>Timeline!BE4</f>
        <v/>
      </c>
      <c r="BF4" s="96">
        <f>Timeline!BF4</f>
        <v/>
      </c>
      <c r="BG4" s="96">
        <f>Timeline!BG4</f>
        <v/>
      </c>
      <c r="BH4" s="96">
        <f>Timeline!BH4</f>
        <v/>
      </c>
      <c r="BI4" s="96">
        <f>Timeline!BI4</f>
        <v/>
      </c>
      <c r="BJ4" s="96">
        <f>Timeline!BJ4</f>
        <v/>
      </c>
      <c r="BK4" s="96">
        <f>Timeline!BK4</f>
        <v/>
      </c>
      <c r="BL4" s="96">
        <f>Timeline!BL4</f>
        <v/>
      </c>
    </row>
    <row r="5">
      <c r="A5" s="94" t="inlineStr">
        <is>
          <t>Period end</t>
        </is>
      </c>
      <c r="B5" s="95" t="n"/>
      <c r="C5" s="95" t="n"/>
      <c r="D5" s="94" t="n"/>
      <c r="E5" s="97">
        <f>Timeline!E5</f>
        <v/>
      </c>
      <c r="F5" s="97">
        <f>Timeline!F5</f>
        <v/>
      </c>
      <c r="G5" s="97">
        <f>Timeline!G5</f>
        <v/>
      </c>
      <c r="H5" s="97">
        <f>Timeline!H5</f>
        <v/>
      </c>
      <c r="I5" s="97">
        <f>Timeline!I5</f>
        <v/>
      </c>
      <c r="J5" s="97">
        <f>Timeline!J5</f>
        <v/>
      </c>
      <c r="K5" s="97">
        <f>Timeline!K5</f>
        <v/>
      </c>
      <c r="L5" s="97">
        <f>Timeline!L5</f>
        <v/>
      </c>
      <c r="M5" s="97">
        <f>Timeline!M5</f>
        <v/>
      </c>
      <c r="N5" s="97">
        <f>Timeline!N5</f>
        <v/>
      </c>
      <c r="O5" s="97">
        <f>Timeline!O5</f>
        <v/>
      </c>
      <c r="P5" s="97">
        <f>Timeline!P5</f>
        <v/>
      </c>
      <c r="Q5" s="97">
        <f>Timeline!Q5</f>
        <v/>
      </c>
      <c r="R5" s="97">
        <f>Timeline!R5</f>
        <v/>
      </c>
      <c r="S5" s="97">
        <f>Timeline!S5</f>
        <v/>
      </c>
      <c r="T5" s="97">
        <f>Timeline!T5</f>
        <v/>
      </c>
      <c r="U5" s="97">
        <f>Timeline!U5</f>
        <v/>
      </c>
      <c r="V5" s="97">
        <f>Timeline!V5</f>
        <v/>
      </c>
      <c r="W5" s="97">
        <f>Timeline!W5</f>
        <v/>
      </c>
      <c r="X5" s="97">
        <f>Timeline!X5</f>
        <v/>
      </c>
      <c r="Y5" s="97">
        <f>Timeline!Y5</f>
        <v/>
      </c>
      <c r="Z5" s="97">
        <f>Timeline!Z5</f>
        <v/>
      </c>
      <c r="AA5" s="97">
        <f>Timeline!AA5</f>
        <v/>
      </c>
      <c r="AB5" s="97">
        <f>Timeline!AB5</f>
        <v/>
      </c>
      <c r="AC5" s="97">
        <f>Timeline!AC5</f>
        <v/>
      </c>
      <c r="AD5" s="97">
        <f>Timeline!AD5</f>
        <v/>
      </c>
      <c r="AE5" s="97">
        <f>Timeline!AE5</f>
        <v/>
      </c>
      <c r="AF5" s="97">
        <f>Timeline!AF5</f>
        <v/>
      </c>
      <c r="AG5" s="97">
        <f>Timeline!AG5</f>
        <v/>
      </c>
      <c r="AH5" s="97">
        <f>Timeline!AH5</f>
        <v/>
      </c>
      <c r="AI5" s="97">
        <f>Timeline!AI5</f>
        <v/>
      </c>
      <c r="AJ5" s="97">
        <f>Timeline!AJ5</f>
        <v/>
      </c>
      <c r="AK5" s="97">
        <f>Timeline!AK5</f>
        <v/>
      </c>
      <c r="AL5" s="97">
        <f>Timeline!AL5</f>
        <v/>
      </c>
      <c r="AM5" s="97">
        <f>Timeline!AM5</f>
        <v/>
      </c>
      <c r="AN5" s="97">
        <f>Timeline!AN5</f>
        <v/>
      </c>
      <c r="AO5" s="97">
        <f>Timeline!AO5</f>
        <v/>
      </c>
      <c r="AP5" s="97">
        <f>Timeline!AP5</f>
        <v/>
      </c>
      <c r="AQ5" s="97">
        <f>Timeline!AQ5</f>
        <v/>
      </c>
      <c r="AR5" s="97">
        <f>Timeline!AR5</f>
        <v/>
      </c>
      <c r="AS5" s="97">
        <f>Timeline!AS5</f>
        <v/>
      </c>
      <c r="AT5" s="97">
        <f>Timeline!AT5</f>
        <v/>
      </c>
      <c r="AU5" s="97">
        <f>Timeline!AU5</f>
        <v/>
      </c>
      <c r="AV5" s="97">
        <f>Timeline!AV5</f>
        <v/>
      </c>
      <c r="AW5" s="97">
        <f>Timeline!AW5</f>
        <v/>
      </c>
      <c r="AX5" s="97">
        <f>Timeline!AX5</f>
        <v/>
      </c>
      <c r="AY5" s="97">
        <f>Timeline!AY5</f>
        <v/>
      </c>
      <c r="AZ5" s="97">
        <f>Timeline!AZ5</f>
        <v/>
      </c>
      <c r="BA5" s="97">
        <f>Timeline!BA5</f>
        <v/>
      </c>
      <c r="BB5" s="97">
        <f>Timeline!BB5</f>
        <v/>
      </c>
      <c r="BC5" s="97">
        <f>Timeline!BC5</f>
        <v/>
      </c>
      <c r="BD5" s="97">
        <f>Timeline!BD5</f>
        <v/>
      </c>
      <c r="BE5" s="97">
        <f>Timeline!BE5</f>
        <v/>
      </c>
      <c r="BF5" s="97">
        <f>Timeline!BF5</f>
        <v/>
      </c>
      <c r="BG5" s="97">
        <f>Timeline!BG5</f>
        <v/>
      </c>
      <c r="BH5" s="97">
        <f>Timeline!BH5</f>
        <v/>
      </c>
      <c r="BI5" s="97">
        <f>Timeline!BI5</f>
        <v/>
      </c>
      <c r="BJ5" s="97">
        <f>Timeline!BJ5</f>
        <v/>
      </c>
      <c r="BK5" s="97">
        <f>Timeline!BK5</f>
        <v/>
      </c>
      <c r="BL5" s="97">
        <f>Timeline!BL5</f>
        <v/>
      </c>
    </row>
    <row r="6">
      <c r="A6" s="94" t="inlineStr">
        <is>
          <t>Year #</t>
        </is>
      </c>
      <c r="B6" s="95" t="n"/>
      <c r="C6" s="95" t="n"/>
      <c r="D6" s="94" t="n"/>
      <c r="E6" s="96">
        <f>Timeline!E6</f>
        <v/>
      </c>
      <c r="F6" s="96">
        <f>Timeline!F6</f>
        <v/>
      </c>
      <c r="G6" s="96">
        <f>Timeline!G6</f>
        <v/>
      </c>
      <c r="H6" s="96">
        <f>Timeline!H6</f>
        <v/>
      </c>
      <c r="I6" s="96">
        <f>Timeline!I6</f>
        <v/>
      </c>
      <c r="J6" s="96">
        <f>Timeline!J6</f>
        <v/>
      </c>
      <c r="K6" s="96">
        <f>Timeline!K6</f>
        <v/>
      </c>
      <c r="L6" s="96">
        <f>Timeline!L6</f>
        <v/>
      </c>
      <c r="M6" s="96">
        <f>Timeline!M6</f>
        <v/>
      </c>
      <c r="N6" s="96">
        <f>Timeline!N6</f>
        <v/>
      </c>
      <c r="O6" s="96">
        <f>Timeline!O6</f>
        <v/>
      </c>
      <c r="P6" s="96">
        <f>Timeline!P6</f>
        <v/>
      </c>
      <c r="Q6" s="96">
        <f>Timeline!Q6</f>
        <v/>
      </c>
      <c r="R6" s="96">
        <f>Timeline!R6</f>
        <v/>
      </c>
      <c r="S6" s="96">
        <f>Timeline!S6</f>
        <v/>
      </c>
      <c r="T6" s="96">
        <f>Timeline!T6</f>
        <v/>
      </c>
      <c r="U6" s="96">
        <f>Timeline!U6</f>
        <v/>
      </c>
      <c r="V6" s="96">
        <f>Timeline!V6</f>
        <v/>
      </c>
      <c r="W6" s="96">
        <f>Timeline!W6</f>
        <v/>
      </c>
      <c r="X6" s="96">
        <f>Timeline!X6</f>
        <v/>
      </c>
      <c r="Y6" s="96">
        <f>Timeline!Y6</f>
        <v/>
      </c>
      <c r="Z6" s="96">
        <f>Timeline!Z6</f>
        <v/>
      </c>
      <c r="AA6" s="96">
        <f>Timeline!AA6</f>
        <v/>
      </c>
      <c r="AB6" s="96">
        <f>Timeline!AB6</f>
        <v/>
      </c>
      <c r="AC6" s="96">
        <f>Timeline!AC6</f>
        <v/>
      </c>
      <c r="AD6" s="96">
        <f>Timeline!AD6</f>
        <v/>
      </c>
      <c r="AE6" s="96">
        <f>Timeline!AE6</f>
        <v/>
      </c>
      <c r="AF6" s="96">
        <f>Timeline!AF6</f>
        <v/>
      </c>
      <c r="AG6" s="96">
        <f>Timeline!AG6</f>
        <v/>
      </c>
      <c r="AH6" s="96">
        <f>Timeline!AH6</f>
        <v/>
      </c>
      <c r="AI6" s="96">
        <f>Timeline!AI6</f>
        <v/>
      </c>
      <c r="AJ6" s="96">
        <f>Timeline!AJ6</f>
        <v/>
      </c>
      <c r="AK6" s="96">
        <f>Timeline!AK6</f>
        <v/>
      </c>
      <c r="AL6" s="96">
        <f>Timeline!AL6</f>
        <v/>
      </c>
      <c r="AM6" s="96">
        <f>Timeline!AM6</f>
        <v/>
      </c>
      <c r="AN6" s="96">
        <f>Timeline!AN6</f>
        <v/>
      </c>
      <c r="AO6" s="96">
        <f>Timeline!AO6</f>
        <v/>
      </c>
      <c r="AP6" s="96">
        <f>Timeline!AP6</f>
        <v/>
      </c>
      <c r="AQ6" s="96">
        <f>Timeline!AQ6</f>
        <v/>
      </c>
      <c r="AR6" s="96">
        <f>Timeline!AR6</f>
        <v/>
      </c>
      <c r="AS6" s="96">
        <f>Timeline!AS6</f>
        <v/>
      </c>
      <c r="AT6" s="96">
        <f>Timeline!AT6</f>
        <v/>
      </c>
      <c r="AU6" s="96">
        <f>Timeline!AU6</f>
        <v/>
      </c>
      <c r="AV6" s="96">
        <f>Timeline!AV6</f>
        <v/>
      </c>
      <c r="AW6" s="96">
        <f>Timeline!AW6</f>
        <v/>
      </c>
      <c r="AX6" s="96">
        <f>Timeline!AX6</f>
        <v/>
      </c>
      <c r="AY6" s="96">
        <f>Timeline!AY6</f>
        <v/>
      </c>
      <c r="AZ6" s="96">
        <f>Timeline!AZ6</f>
        <v/>
      </c>
      <c r="BA6" s="96">
        <f>Timeline!BA6</f>
        <v/>
      </c>
      <c r="BB6" s="96">
        <f>Timeline!BB6</f>
        <v/>
      </c>
      <c r="BC6" s="96">
        <f>Timeline!BC6</f>
        <v/>
      </c>
      <c r="BD6" s="96">
        <f>Timeline!BD6</f>
        <v/>
      </c>
      <c r="BE6" s="96">
        <f>Timeline!BE6</f>
        <v/>
      </c>
      <c r="BF6" s="96">
        <f>Timeline!BF6</f>
        <v/>
      </c>
      <c r="BG6" s="96">
        <f>Timeline!BG6</f>
        <v/>
      </c>
      <c r="BH6" s="96">
        <f>Timeline!BH6</f>
        <v/>
      </c>
      <c r="BI6" s="96">
        <f>Timeline!BI6</f>
        <v/>
      </c>
      <c r="BJ6" s="96">
        <f>Timeline!BJ6</f>
        <v/>
      </c>
      <c r="BK6" s="96">
        <f>Timeline!BK6</f>
        <v/>
      </c>
      <c r="BL6" s="96">
        <f>Timeline!BL6</f>
        <v/>
      </c>
    </row>
    <row r="7"/>
    <row r="8">
      <c r="A8" s="34" t="inlineStr">
        <is>
          <t>Credit data mode</t>
        </is>
      </c>
      <c r="C8" s="64">
        <f>IF(Credit_Assumptions!$C$5=1,"PROXY (model curves)","ACTUAL (Credit_Input)")</f>
        <v/>
      </c>
    </row>
    <row r="9">
      <c r="A9" s="98" t="inlineStr">
        <is>
          <t>Period end of the data shown (Actual mode: company observation dates, not model months)</t>
        </is>
      </c>
      <c r="B9" s="65" t="inlineStr">
        <is>
          <t>date</t>
        </is>
      </c>
      <c r="E9" s="99">
        <f>IF(Credit_Assumptions!$C$5=1,Timeline!E$5,IF(ISNUMBER(INDEX(Credit_Input!$B$8:$B$67,E$4)),INDEX(Credit_Input!$B$8:$B$67,E$4),""))</f>
        <v/>
      </c>
      <c r="F9" s="99">
        <f>IF(Credit_Assumptions!$C$5=1,Timeline!F$5,IF(ISNUMBER(INDEX(Credit_Input!$B$8:$B$67,F$4)),INDEX(Credit_Input!$B$8:$B$67,F$4),""))</f>
        <v/>
      </c>
      <c r="G9" s="99">
        <f>IF(Credit_Assumptions!$C$5=1,Timeline!G$5,IF(ISNUMBER(INDEX(Credit_Input!$B$8:$B$67,G$4)),INDEX(Credit_Input!$B$8:$B$67,G$4),""))</f>
        <v/>
      </c>
      <c r="H9" s="99">
        <f>IF(Credit_Assumptions!$C$5=1,Timeline!H$5,IF(ISNUMBER(INDEX(Credit_Input!$B$8:$B$67,H$4)),INDEX(Credit_Input!$B$8:$B$67,H$4),""))</f>
        <v/>
      </c>
      <c r="I9" s="99">
        <f>IF(Credit_Assumptions!$C$5=1,Timeline!I$5,IF(ISNUMBER(INDEX(Credit_Input!$B$8:$B$67,I$4)),INDEX(Credit_Input!$B$8:$B$67,I$4),""))</f>
        <v/>
      </c>
      <c r="J9" s="99">
        <f>IF(Credit_Assumptions!$C$5=1,Timeline!J$5,IF(ISNUMBER(INDEX(Credit_Input!$B$8:$B$67,J$4)),INDEX(Credit_Input!$B$8:$B$67,J$4),""))</f>
        <v/>
      </c>
      <c r="K9" s="99">
        <f>IF(Credit_Assumptions!$C$5=1,Timeline!K$5,IF(ISNUMBER(INDEX(Credit_Input!$B$8:$B$67,K$4)),INDEX(Credit_Input!$B$8:$B$67,K$4),""))</f>
        <v/>
      </c>
      <c r="L9" s="99">
        <f>IF(Credit_Assumptions!$C$5=1,Timeline!L$5,IF(ISNUMBER(INDEX(Credit_Input!$B$8:$B$67,L$4)),INDEX(Credit_Input!$B$8:$B$67,L$4),""))</f>
        <v/>
      </c>
      <c r="M9" s="99">
        <f>IF(Credit_Assumptions!$C$5=1,Timeline!M$5,IF(ISNUMBER(INDEX(Credit_Input!$B$8:$B$67,M$4)),INDEX(Credit_Input!$B$8:$B$67,M$4),""))</f>
        <v/>
      </c>
      <c r="N9" s="99">
        <f>IF(Credit_Assumptions!$C$5=1,Timeline!N$5,IF(ISNUMBER(INDEX(Credit_Input!$B$8:$B$67,N$4)),INDEX(Credit_Input!$B$8:$B$67,N$4),""))</f>
        <v/>
      </c>
      <c r="O9" s="99">
        <f>IF(Credit_Assumptions!$C$5=1,Timeline!O$5,IF(ISNUMBER(INDEX(Credit_Input!$B$8:$B$67,O$4)),INDEX(Credit_Input!$B$8:$B$67,O$4),""))</f>
        <v/>
      </c>
      <c r="P9" s="99">
        <f>IF(Credit_Assumptions!$C$5=1,Timeline!P$5,IF(ISNUMBER(INDEX(Credit_Input!$B$8:$B$67,P$4)),INDEX(Credit_Input!$B$8:$B$67,P$4),""))</f>
        <v/>
      </c>
      <c r="Q9" s="99">
        <f>IF(Credit_Assumptions!$C$5=1,Timeline!Q$5,IF(ISNUMBER(INDEX(Credit_Input!$B$8:$B$67,Q$4)),INDEX(Credit_Input!$B$8:$B$67,Q$4),""))</f>
        <v/>
      </c>
      <c r="R9" s="99">
        <f>IF(Credit_Assumptions!$C$5=1,Timeline!R$5,IF(ISNUMBER(INDEX(Credit_Input!$B$8:$B$67,R$4)),INDEX(Credit_Input!$B$8:$B$67,R$4),""))</f>
        <v/>
      </c>
      <c r="S9" s="99">
        <f>IF(Credit_Assumptions!$C$5=1,Timeline!S$5,IF(ISNUMBER(INDEX(Credit_Input!$B$8:$B$67,S$4)),INDEX(Credit_Input!$B$8:$B$67,S$4),""))</f>
        <v/>
      </c>
      <c r="T9" s="99">
        <f>IF(Credit_Assumptions!$C$5=1,Timeline!T$5,IF(ISNUMBER(INDEX(Credit_Input!$B$8:$B$67,T$4)),INDEX(Credit_Input!$B$8:$B$67,T$4),""))</f>
        <v/>
      </c>
      <c r="U9" s="99">
        <f>IF(Credit_Assumptions!$C$5=1,Timeline!U$5,IF(ISNUMBER(INDEX(Credit_Input!$B$8:$B$67,U$4)),INDEX(Credit_Input!$B$8:$B$67,U$4),""))</f>
        <v/>
      </c>
      <c r="V9" s="99">
        <f>IF(Credit_Assumptions!$C$5=1,Timeline!V$5,IF(ISNUMBER(INDEX(Credit_Input!$B$8:$B$67,V$4)),INDEX(Credit_Input!$B$8:$B$67,V$4),""))</f>
        <v/>
      </c>
      <c r="W9" s="99">
        <f>IF(Credit_Assumptions!$C$5=1,Timeline!W$5,IF(ISNUMBER(INDEX(Credit_Input!$B$8:$B$67,W$4)),INDEX(Credit_Input!$B$8:$B$67,W$4),""))</f>
        <v/>
      </c>
      <c r="X9" s="99">
        <f>IF(Credit_Assumptions!$C$5=1,Timeline!X$5,IF(ISNUMBER(INDEX(Credit_Input!$B$8:$B$67,X$4)),INDEX(Credit_Input!$B$8:$B$67,X$4),""))</f>
        <v/>
      </c>
      <c r="Y9" s="99">
        <f>IF(Credit_Assumptions!$C$5=1,Timeline!Y$5,IF(ISNUMBER(INDEX(Credit_Input!$B$8:$B$67,Y$4)),INDEX(Credit_Input!$B$8:$B$67,Y$4),""))</f>
        <v/>
      </c>
      <c r="Z9" s="99">
        <f>IF(Credit_Assumptions!$C$5=1,Timeline!Z$5,IF(ISNUMBER(INDEX(Credit_Input!$B$8:$B$67,Z$4)),INDEX(Credit_Input!$B$8:$B$67,Z$4),""))</f>
        <v/>
      </c>
      <c r="AA9" s="99">
        <f>IF(Credit_Assumptions!$C$5=1,Timeline!AA$5,IF(ISNUMBER(INDEX(Credit_Input!$B$8:$B$67,AA$4)),INDEX(Credit_Input!$B$8:$B$67,AA$4),""))</f>
        <v/>
      </c>
      <c r="AB9" s="99">
        <f>IF(Credit_Assumptions!$C$5=1,Timeline!AB$5,IF(ISNUMBER(INDEX(Credit_Input!$B$8:$B$67,AB$4)),INDEX(Credit_Input!$B$8:$B$67,AB$4),""))</f>
        <v/>
      </c>
      <c r="AC9" s="99">
        <f>IF(Credit_Assumptions!$C$5=1,Timeline!AC$5,IF(ISNUMBER(INDEX(Credit_Input!$B$8:$B$67,AC$4)),INDEX(Credit_Input!$B$8:$B$67,AC$4),""))</f>
        <v/>
      </c>
      <c r="AD9" s="99">
        <f>IF(Credit_Assumptions!$C$5=1,Timeline!AD$5,IF(ISNUMBER(INDEX(Credit_Input!$B$8:$B$67,AD$4)),INDEX(Credit_Input!$B$8:$B$67,AD$4),""))</f>
        <v/>
      </c>
      <c r="AE9" s="99">
        <f>IF(Credit_Assumptions!$C$5=1,Timeline!AE$5,IF(ISNUMBER(INDEX(Credit_Input!$B$8:$B$67,AE$4)),INDEX(Credit_Input!$B$8:$B$67,AE$4),""))</f>
        <v/>
      </c>
      <c r="AF9" s="99">
        <f>IF(Credit_Assumptions!$C$5=1,Timeline!AF$5,IF(ISNUMBER(INDEX(Credit_Input!$B$8:$B$67,AF$4)),INDEX(Credit_Input!$B$8:$B$67,AF$4),""))</f>
        <v/>
      </c>
      <c r="AG9" s="99">
        <f>IF(Credit_Assumptions!$C$5=1,Timeline!AG$5,IF(ISNUMBER(INDEX(Credit_Input!$B$8:$B$67,AG$4)),INDEX(Credit_Input!$B$8:$B$67,AG$4),""))</f>
        <v/>
      </c>
      <c r="AH9" s="99">
        <f>IF(Credit_Assumptions!$C$5=1,Timeline!AH$5,IF(ISNUMBER(INDEX(Credit_Input!$B$8:$B$67,AH$4)),INDEX(Credit_Input!$B$8:$B$67,AH$4),""))</f>
        <v/>
      </c>
      <c r="AI9" s="99">
        <f>IF(Credit_Assumptions!$C$5=1,Timeline!AI$5,IF(ISNUMBER(INDEX(Credit_Input!$B$8:$B$67,AI$4)),INDEX(Credit_Input!$B$8:$B$67,AI$4),""))</f>
        <v/>
      </c>
      <c r="AJ9" s="99">
        <f>IF(Credit_Assumptions!$C$5=1,Timeline!AJ$5,IF(ISNUMBER(INDEX(Credit_Input!$B$8:$B$67,AJ$4)),INDEX(Credit_Input!$B$8:$B$67,AJ$4),""))</f>
        <v/>
      </c>
      <c r="AK9" s="99">
        <f>IF(Credit_Assumptions!$C$5=1,Timeline!AK$5,IF(ISNUMBER(INDEX(Credit_Input!$B$8:$B$67,AK$4)),INDEX(Credit_Input!$B$8:$B$67,AK$4),""))</f>
        <v/>
      </c>
      <c r="AL9" s="99">
        <f>IF(Credit_Assumptions!$C$5=1,Timeline!AL$5,IF(ISNUMBER(INDEX(Credit_Input!$B$8:$B$67,AL$4)),INDEX(Credit_Input!$B$8:$B$67,AL$4),""))</f>
        <v/>
      </c>
      <c r="AM9" s="99">
        <f>IF(Credit_Assumptions!$C$5=1,Timeline!AM$5,IF(ISNUMBER(INDEX(Credit_Input!$B$8:$B$67,AM$4)),INDEX(Credit_Input!$B$8:$B$67,AM$4),""))</f>
        <v/>
      </c>
      <c r="AN9" s="99">
        <f>IF(Credit_Assumptions!$C$5=1,Timeline!AN$5,IF(ISNUMBER(INDEX(Credit_Input!$B$8:$B$67,AN$4)),INDEX(Credit_Input!$B$8:$B$67,AN$4),""))</f>
        <v/>
      </c>
      <c r="AO9" s="99">
        <f>IF(Credit_Assumptions!$C$5=1,Timeline!AO$5,IF(ISNUMBER(INDEX(Credit_Input!$B$8:$B$67,AO$4)),INDEX(Credit_Input!$B$8:$B$67,AO$4),""))</f>
        <v/>
      </c>
      <c r="AP9" s="99">
        <f>IF(Credit_Assumptions!$C$5=1,Timeline!AP$5,IF(ISNUMBER(INDEX(Credit_Input!$B$8:$B$67,AP$4)),INDEX(Credit_Input!$B$8:$B$67,AP$4),""))</f>
        <v/>
      </c>
      <c r="AQ9" s="99">
        <f>IF(Credit_Assumptions!$C$5=1,Timeline!AQ$5,IF(ISNUMBER(INDEX(Credit_Input!$B$8:$B$67,AQ$4)),INDEX(Credit_Input!$B$8:$B$67,AQ$4),""))</f>
        <v/>
      </c>
      <c r="AR9" s="99">
        <f>IF(Credit_Assumptions!$C$5=1,Timeline!AR$5,IF(ISNUMBER(INDEX(Credit_Input!$B$8:$B$67,AR$4)),INDEX(Credit_Input!$B$8:$B$67,AR$4),""))</f>
        <v/>
      </c>
      <c r="AS9" s="99">
        <f>IF(Credit_Assumptions!$C$5=1,Timeline!AS$5,IF(ISNUMBER(INDEX(Credit_Input!$B$8:$B$67,AS$4)),INDEX(Credit_Input!$B$8:$B$67,AS$4),""))</f>
        <v/>
      </c>
      <c r="AT9" s="99">
        <f>IF(Credit_Assumptions!$C$5=1,Timeline!AT$5,IF(ISNUMBER(INDEX(Credit_Input!$B$8:$B$67,AT$4)),INDEX(Credit_Input!$B$8:$B$67,AT$4),""))</f>
        <v/>
      </c>
      <c r="AU9" s="99">
        <f>IF(Credit_Assumptions!$C$5=1,Timeline!AU$5,IF(ISNUMBER(INDEX(Credit_Input!$B$8:$B$67,AU$4)),INDEX(Credit_Input!$B$8:$B$67,AU$4),""))</f>
        <v/>
      </c>
      <c r="AV9" s="99">
        <f>IF(Credit_Assumptions!$C$5=1,Timeline!AV$5,IF(ISNUMBER(INDEX(Credit_Input!$B$8:$B$67,AV$4)),INDEX(Credit_Input!$B$8:$B$67,AV$4),""))</f>
        <v/>
      </c>
      <c r="AW9" s="99">
        <f>IF(Credit_Assumptions!$C$5=1,Timeline!AW$5,IF(ISNUMBER(INDEX(Credit_Input!$B$8:$B$67,AW$4)),INDEX(Credit_Input!$B$8:$B$67,AW$4),""))</f>
        <v/>
      </c>
      <c r="AX9" s="99">
        <f>IF(Credit_Assumptions!$C$5=1,Timeline!AX$5,IF(ISNUMBER(INDEX(Credit_Input!$B$8:$B$67,AX$4)),INDEX(Credit_Input!$B$8:$B$67,AX$4),""))</f>
        <v/>
      </c>
      <c r="AY9" s="99">
        <f>IF(Credit_Assumptions!$C$5=1,Timeline!AY$5,IF(ISNUMBER(INDEX(Credit_Input!$B$8:$B$67,AY$4)),INDEX(Credit_Input!$B$8:$B$67,AY$4),""))</f>
        <v/>
      </c>
      <c r="AZ9" s="99">
        <f>IF(Credit_Assumptions!$C$5=1,Timeline!AZ$5,IF(ISNUMBER(INDEX(Credit_Input!$B$8:$B$67,AZ$4)),INDEX(Credit_Input!$B$8:$B$67,AZ$4),""))</f>
        <v/>
      </c>
      <c r="BA9" s="99">
        <f>IF(Credit_Assumptions!$C$5=1,Timeline!BA$5,IF(ISNUMBER(INDEX(Credit_Input!$B$8:$B$67,BA$4)),INDEX(Credit_Input!$B$8:$B$67,BA$4),""))</f>
        <v/>
      </c>
      <c r="BB9" s="99">
        <f>IF(Credit_Assumptions!$C$5=1,Timeline!BB$5,IF(ISNUMBER(INDEX(Credit_Input!$B$8:$B$67,BB$4)),INDEX(Credit_Input!$B$8:$B$67,BB$4),""))</f>
        <v/>
      </c>
      <c r="BC9" s="99">
        <f>IF(Credit_Assumptions!$C$5=1,Timeline!BC$5,IF(ISNUMBER(INDEX(Credit_Input!$B$8:$B$67,BC$4)),INDEX(Credit_Input!$B$8:$B$67,BC$4),""))</f>
        <v/>
      </c>
      <c r="BD9" s="99">
        <f>IF(Credit_Assumptions!$C$5=1,Timeline!BD$5,IF(ISNUMBER(INDEX(Credit_Input!$B$8:$B$67,BD$4)),INDEX(Credit_Input!$B$8:$B$67,BD$4),""))</f>
        <v/>
      </c>
      <c r="BE9" s="99">
        <f>IF(Credit_Assumptions!$C$5=1,Timeline!BE$5,IF(ISNUMBER(INDEX(Credit_Input!$B$8:$B$67,BE$4)),INDEX(Credit_Input!$B$8:$B$67,BE$4),""))</f>
        <v/>
      </c>
      <c r="BF9" s="99">
        <f>IF(Credit_Assumptions!$C$5=1,Timeline!BF$5,IF(ISNUMBER(INDEX(Credit_Input!$B$8:$B$67,BF$4)),INDEX(Credit_Input!$B$8:$B$67,BF$4),""))</f>
        <v/>
      </c>
      <c r="BG9" s="99">
        <f>IF(Credit_Assumptions!$C$5=1,Timeline!BG$5,IF(ISNUMBER(INDEX(Credit_Input!$B$8:$B$67,BG$4)),INDEX(Credit_Input!$B$8:$B$67,BG$4),""))</f>
        <v/>
      </c>
      <c r="BH9" s="99">
        <f>IF(Credit_Assumptions!$C$5=1,Timeline!BH$5,IF(ISNUMBER(INDEX(Credit_Input!$B$8:$B$67,BH$4)),INDEX(Credit_Input!$B$8:$B$67,BH$4),""))</f>
        <v/>
      </c>
      <c r="BI9" s="99">
        <f>IF(Credit_Assumptions!$C$5=1,Timeline!BI$5,IF(ISNUMBER(INDEX(Credit_Input!$B$8:$B$67,BI$4)),INDEX(Credit_Input!$B$8:$B$67,BI$4),""))</f>
        <v/>
      </c>
      <c r="BJ9" s="99">
        <f>IF(Credit_Assumptions!$C$5=1,Timeline!BJ$5,IF(ISNUMBER(INDEX(Credit_Input!$B$8:$B$67,BJ$4)),INDEX(Credit_Input!$B$8:$B$67,BJ$4),""))</f>
        <v/>
      </c>
      <c r="BK9" s="99">
        <f>IF(Credit_Assumptions!$C$5=1,Timeline!BK$5,IF(ISNUMBER(INDEX(Credit_Input!$B$8:$B$67,BK$4)),INDEX(Credit_Input!$B$8:$B$67,BK$4),""))</f>
        <v/>
      </c>
      <c r="BL9" s="99">
        <f>IF(Credit_Assumptions!$C$5=1,Timeline!BL$5,IF(ISNUMBER(INDEX(Credit_Input!$B$8:$B$67,BL$4)),INDEX(Credit_Input!$B$8:$B$67,BL$4),""))</f>
        <v/>
      </c>
    </row>
    <row r="10">
      <c r="A10" s="100" t="inlineStr">
        <is>
          <t>Gross receivables</t>
        </is>
      </c>
      <c r="B10" s="101" t="inlineStr"/>
      <c r="C10" s="102">
        <f>BL10</f>
        <v/>
      </c>
      <c r="D10" s="103" t="n"/>
      <c r="E10" s="104">
        <f>Credit_Engine!E38+Credit_Engine!E94+Credit_Engine!E150+Credit_Engine!E206+Credit_Engine!E262</f>
        <v/>
      </c>
      <c r="F10" s="104">
        <f>Credit_Engine!F38+Credit_Engine!F94+Credit_Engine!F150+Credit_Engine!F206+Credit_Engine!F262</f>
        <v/>
      </c>
      <c r="G10" s="104">
        <f>Credit_Engine!G38+Credit_Engine!G94+Credit_Engine!G150+Credit_Engine!G206+Credit_Engine!G262</f>
        <v/>
      </c>
      <c r="H10" s="104">
        <f>Credit_Engine!H38+Credit_Engine!H94+Credit_Engine!H150+Credit_Engine!H206+Credit_Engine!H262</f>
        <v/>
      </c>
      <c r="I10" s="104">
        <f>Credit_Engine!I38+Credit_Engine!I94+Credit_Engine!I150+Credit_Engine!I206+Credit_Engine!I262</f>
        <v/>
      </c>
      <c r="J10" s="104">
        <f>Credit_Engine!J38+Credit_Engine!J94+Credit_Engine!J150+Credit_Engine!J206+Credit_Engine!J262</f>
        <v/>
      </c>
      <c r="K10" s="104">
        <f>Credit_Engine!K38+Credit_Engine!K94+Credit_Engine!K150+Credit_Engine!K206+Credit_Engine!K262</f>
        <v/>
      </c>
      <c r="L10" s="104">
        <f>Credit_Engine!L38+Credit_Engine!L94+Credit_Engine!L150+Credit_Engine!L206+Credit_Engine!L262</f>
        <v/>
      </c>
      <c r="M10" s="104">
        <f>Credit_Engine!M38+Credit_Engine!M94+Credit_Engine!M150+Credit_Engine!M206+Credit_Engine!M262</f>
        <v/>
      </c>
      <c r="N10" s="104">
        <f>Credit_Engine!N38+Credit_Engine!N94+Credit_Engine!N150+Credit_Engine!N206+Credit_Engine!N262</f>
        <v/>
      </c>
      <c r="O10" s="104">
        <f>Credit_Engine!O38+Credit_Engine!O94+Credit_Engine!O150+Credit_Engine!O206+Credit_Engine!O262</f>
        <v/>
      </c>
      <c r="P10" s="104">
        <f>Credit_Engine!P38+Credit_Engine!P94+Credit_Engine!P150+Credit_Engine!P206+Credit_Engine!P262</f>
        <v/>
      </c>
      <c r="Q10" s="104">
        <f>Credit_Engine!Q38+Credit_Engine!Q94+Credit_Engine!Q150+Credit_Engine!Q206+Credit_Engine!Q262</f>
        <v/>
      </c>
      <c r="R10" s="104">
        <f>Credit_Engine!R38+Credit_Engine!R94+Credit_Engine!R150+Credit_Engine!R206+Credit_Engine!R262</f>
        <v/>
      </c>
      <c r="S10" s="104">
        <f>Credit_Engine!S38+Credit_Engine!S94+Credit_Engine!S150+Credit_Engine!S206+Credit_Engine!S262</f>
        <v/>
      </c>
      <c r="T10" s="104">
        <f>Credit_Engine!T38+Credit_Engine!T94+Credit_Engine!T150+Credit_Engine!T206+Credit_Engine!T262</f>
        <v/>
      </c>
      <c r="U10" s="104">
        <f>Credit_Engine!U38+Credit_Engine!U94+Credit_Engine!U150+Credit_Engine!U206+Credit_Engine!U262</f>
        <v/>
      </c>
      <c r="V10" s="104">
        <f>Credit_Engine!V38+Credit_Engine!V94+Credit_Engine!V150+Credit_Engine!V206+Credit_Engine!V262</f>
        <v/>
      </c>
      <c r="W10" s="104">
        <f>Credit_Engine!W38+Credit_Engine!W94+Credit_Engine!W150+Credit_Engine!W206+Credit_Engine!W262</f>
        <v/>
      </c>
      <c r="X10" s="104">
        <f>Credit_Engine!X38+Credit_Engine!X94+Credit_Engine!X150+Credit_Engine!X206+Credit_Engine!X262</f>
        <v/>
      </c>
      <c r="Y10" s="104">
        <f>Credit_Engine!Y38+Credit_Engine!Y94+Credit_Engine!Y150+Credit_Engine!Y206+Credit_Engine!Y262</f>
        <v/>
      </c>
      <c r="Z10" s="104">
        <f>Credit_Engine!Z38+Credit_Engine!Z94+Credit_Engine!Z150+Credit_Engine!Z206+Credit_Engine!Z262</f>
        <v/>
      </c>
      <c r="AA10" s="104">
        <f>Credit_Engine!AA38+Credit_Engine!AA94+Credit_Engine!AA150+Credit_Engine!AA206+Credit_Engine!AA262</f>
        <v/>
      </c>
      <c r="AB10" s="104">
        <f>Credit_Engine!AB38+Credit_Engine!AB94+Credit_Engine!AB150+Credit_Engine!AB206+Credit_Engine!AB262</f>
        <v/>
      </c>
      <c r="AC10" s="104">
        <f>Credit_Engine!AC38+Credit_Engine!AC94+Credit_Engine!AC150+Credit_Engine!AC206+Credit_Engine!AC262</f>
        <v/>
      </c>
      <c r="AD10" s="104">
        <f>Credit_Engine!AD38+Credit_Engine!AD94+Credit_Engine!AD150+Credit_Engine!AD206+Credit_Engine!AD262</f>
        <v/>
      </c>
      <c r="AE10" s="104">
        <f>Credit_Engine!AE38+Credit_Engine!AE94+Credit_Engine!AE150+Credit_Engine!AE206+Credit_Engine!AE262</f>
        <v/>
      </c>
      <c r="AF10" s="104">
        <f>Credit_Engine!AF38+Credit_Engine!AF94+Credit_Engine!AF150+Credit_Engine!AF206+Credit_Engine!AF262</f>
        <v/>
      </c>
      <c r="AG10" s="104">
        <f>Credit_Engine!AG38+Credit_Engine!AG94+Credit_Engine!AG150+Credit_Engine!AG206+Credit_Engine!AG262</f>
        <v/>
      </c>
      <c r="AH10" s="104">
        <f>Credit_Engine!AH38+Credit_Engine!AH94+Credit_Engine!AH150+Credit_Engine!AH206+Credit_Engine!AH262</f>
        <v/>
      </c>
      <c r="AI10" s="104">
        <f>Credit_Engine!AI38+Credit_Engine!AI94+Credit_Engine!AI150+Credit_Engine!AI206+Credit_Engine!AI262</f>
        <v/>
      </c>
      <c r="AJ10" s="104">
        <f>Credit_Engine!AJ38+Credit_Engine!AJ94+Credit_Engine!AJ150+Credit_Engine!AJ206+Credit_Engine!AJ262</f>
        <v/>
      </c>
      <c r="AK10" s="104">
        <f>Credit_Engine!AK38+Credit_Engine!AK94+Credit_Engine!AK150+Credit_Engine!AK206+Credit_Engine!AK262</f>
        <v/>
      </c>
      <c r="AL10" s="104">
        <f>Credit_Engine!AL38+Credit_Engine!AL94+Credit_Engine!AL150+Credit_Engine!AL206+Credit_Engine!AL262</f>
        <v/>
      </c>
      <c r="AM10" s="104">
        <f>Credit_Engine!AM38+Credit_Engine!AM94+Credit_Engine!AM150+Credit_Engine!AM206+Credit_Engine!AM262</f>
        <v/>
      </c>
      <c r="AN10" s="104">
        <f>Credit_Engine!AN38+Credit_Engine!AN94+Credit_Engine!AN150+Credit_Engine!AN206+Credit_Engine!AN262</f>
        <v/>
      </c>
      <c r="AO10" s="104">
        <f>Credit_Engine!AO38+Credit_Engine!AO94+Credit_Engine!AO150+Credit_Engine!AO206+Credit_Engine!AO262</f>
        <v/>
      </c>
      <c r="AP10" s="104">
        <f>Credit_Engine!AP38+Credit_Engine!AP94+Credit_Engine!AP150+Credit_Engine!AP206+Credit_Engine!AP262</f>
        <v/>
      </c>
      <c r="AQ10" s="104">
        <f>Credit_Engine!AQ38+Credit_Engine!AQ94+Credit_Engine!AQ150+Credit_Engine!AQ206+Credit_Engine!AQ262</f>
        <v/>
      </c>
      <c r="AR10" s="104">
        <f>Credit_Engine!AR38+Credit_Engine!AR94+Credit_Engine!AR150+Credit_Engine!AR206+Credit_Engine!AR262</f>
        <v/>
      </c>
      <c r="AS10" s="104">
        <f>Credit_Engine!AS38+Credit_Engine!AS94+Credit_Engine!AS150+Credit_Engine!AS206+Credit_Engine!AS262</f>
        <v/>
      </c>
      <c r="AT10" s="104">
        <f>Credit_Engine!AT38+Credit_Engine!AT94+Credit_Engine!AT150+Credit_Engine!AT206+Credit_Engine!AT262</f>
        <v/>
      </c>
      <c r="AU10" s="104">
        <f>Credit_Engine!AU38+Credit_Engine!AU94+Credit_Engine!AU150+Credit_Engine!AU206+Credit_Engine!AU262</f>
        <v/>
      </c>
      <c r="AV10" s="104">
        <f>Credit_Engine!AV38+Credit_Engine!AV94+Credit_Engine!AV150+Credit_Engine!AV206+Credit_Engine!AV262</f>
        <v/>
      </c>
      <c r="AW10" s="104">
        <f>Credit_Engine!AW38+Credit_Engine!AW94+Credit_Engine!AW150+Credit_Engine!AW206+Credit_Engine!AW262</f>
        <v/>
      </c>
      <c r="AX10" s="104">
        <f>Credit_Engine!AX38+Credit_Engine!AX94+Credit_Engine!AX150+Credit_Engine!AX206+Credit_Engine!AX262</f>
        <v/>
      </c>
      <c r="AY10" s="104">
        <f>Credit_Engine!AY38+Credit_Engine!AY94+Credit_Engine!AY150+Credit_Engine!AY206+Credit_Engine!AY262</f>
        <v/>
      </c>
      <c r="AZ10" s="104">
        <f>Credit_Engine!AZ38+Credit_Engine!AZ94+Credit_Engine!AZ150+Credit_Engine!AZ206+Credit_Engine!AZ262</f>
        <v/>
      </c>
      <c r="BA10" s="104">
        <f>Credit_Engine!BA38+Credit_Engine!BA94+Credit_Engine!BA150+Credit_Engine!BA206+Credit_Engine!BA262</f>
        <v/>
      </c>
      <c r="BB10" s="104">
        <f>Credit_Engine!BB38+Credit_Engine!BB94+Credit_Engine!BB150+Credit_Engine!BB206+Credit_Engine!BB262</f>
        <v/>
      </c>
      <c r="BC10" s="104">
        <f>Credit_Engine!BC38+Credit_Engine!BC94+Credit_Engine!BC150+Credit_Engine!BC206+Credit_Engine!BC262</f>
        <v/>
      </c>
      <c r="BD10" s="104">
        <f>Credit_Engine!BD38+Credit_Engine!BD94+Credit_Engine!BD150+Credit_Engine!BD206+Credit_Engine!BD262</f>
        <v/>
      </c>
      <c r="BE10" s="104">
        <f>Credit_Engine!BE38+Credit_Engine!BE94+Credit_Engine!BE150+Credit_Engine!BE206+Credit_Engine!BE262</f>
        <v/>
      </c>
      <c r="BF10" s="104">
        <f>Credit_Engine!BF38+Credit_Engine!BF94+Credit_Engine!BF150+Credit_Engine!BF206+Credit_Engine!BF262</f>
        <v/>
      </c>
      <c r="BG10" s="104">
        <f>Credit_Engine!BG38+Credit_Engine!BG94+Credit_Engine!BG150+Credit_Engine!BG206+Credit_Engine!BG262</f>
        <v/>
      </c>
      <c r="BH10" s="104">
        <f>Credit_Engine!BH38+Credit_Engine!BH94+Credit_Engine!BH150+Credit_Engine!BH206+Credit_Engine!BH262</f>
        <v/>
      </c>
      <c r="BI10" s="104">
        <f>Credit_Engine!BI38+Credit_Engine!BI94+Credit_Engine!BI150+Credit_Engine!BI206+Credit_Engine!BI262</f>
        <v/>
      </c>
      <c r="BJ10" s="104">
        <f>Credit_Engine!BJ38+Credit_Engine!BJ94+Credit_Engine!BJ150+Credit_Engine!BJ206+Credit_Engine!BJ262</f>
        <v/>
      </c>
      <c r="BK10" s="104">
        <f>Credit_Engine!BK38+Credit_Engine!BK94+Credit_Engine!BK150+Credit_Engine!BK206+Credit_Engine!BK262</f>
        <v/>
      </c>
      <c r="BL10" s="104">
        <f>Credit_Engine!BL38+Credit_Engine!BL94+Credit_Engine!BL150+Credit_Engine!BL206+Credit_Engine!BL262</f>
        <v/>
      </c>
    </row>
    <row r="11">
      <c r="A11" s="98" t="inlineStr">
        <is>
          <t>Current</t>
        </is>
      </c>
      <c r="B11" s="65" t="inlineStr"/>
      <c r="C11" s="105">
        <f>BL11</f>
        <v/>
      </c>
      <c r="E11" s="80">
        <f>Credit_Engine!E39+Credit_Engine!E95+Credit_Engine!E151+Credit_Engine!E207+Credit_Engine!E263</f>
        <v/>
      </c>
      <c r="F11" s="80">
        <f>Credit_Engine!F39+Credit_Engine!F95+Credit_Engine!F151+Credit_Engine!F207+Credit_Engine!F263</f>
        <v/>
      </c>
      <c r="G11" s="80">
        <f>Credit_Engine!G39+Credit_Engine!G95+Credit_Engine!G151+Credit_Engine!G207+Credit_Engine!G263</f>
        <v/>
      </c>
      <c r="H11" s="80">
        <f>Credit_Engine!H39+Credit_Engine!H95+Credit_Engine!H151+Credit_Engine!H207+Credit_Engine!H263</f>
        <v/>
      </c>
      <c r="I11" s="80">
        <f>Credit_Engine!I39+Credit_Engine!I95+Credit_Engine!I151+Credit_Engine!I207+Credit_Engine!I263</f>
        <v/>
      </c>
      <c r="J11" s="80">
        <f>Credit_Engine!J39+Credit_Engine!J95+Credit_Engine!J151+Credit_Engine!J207+Credit_Engine!J263</f>
        <v/>
      </c>
      <c r="K11" s="80">
        <f>Credit_Engine!K39+Credit_Engine!K95+Credit_Engine!K151+Credit_Engine!K207+Credit_Engine!K263</f>
        <v/>
      </c>
      <c r="L11" s="80">
        <f>Credit_Engine!L39+Credit_Engine!L95+Credit_Engine!L151+Credit_Engine!L207+Credit_Engine!L263</f>
        <v/>
      </c>
      <c r="M11" s="80">
        <f>Credit_Engine!M39+Credit_Engine!M95+Credit_Engine!M151+Credit_Engine!M207+Credit_Engine!M263</f>
        <v/>
      </c>
      <c r="N11" s="80">
        <f>Credit_Engine!N39+Credit_Engine!N95+Credit_Engine!N151+Credit_Engine!N207+Credit_Engine!N263</f>
        <v/>
      </c>
      <c r="O11" s="80">
        <f>Credit_Engine!O39+Credit_Engine!O95+Credit_Engine!O151+Credit_Engine!O207+Credit_Engine!O263</f>
        <v/>
      </c>
      <c r="P11" s="80">
        <f>Credit_Engine!P39+Credit_Engine!P95+Credit_Engine!P151+Credit_Engine!P207+Credit_Engine!P263</f>
        <v/>
      </c>
      <c r="Q11" s="80">
        <f>Credit_Engine!Q39+Credit_Engine!Q95+Credit_Engine!Q151+Credit_Engine!Q207+Credit_Engine!Q263</f>
        <v/>
      </c>
      <c r="R11" s="80">
        <f>Credit_Engine!R39+Credit_Engine!R95+Credit_Engine!R151+Credit_Engine!R207+Credit_Engine!R263</f>
        <v/>
      </c>
      <c r="S11" s="80">
        <f>Credit_Engine!S39+Credit_Engine!S95+Credit_Engine!S151+Credit_Engine!S207+Credit_Engine!S263</f>
        <v/>
      </c>
      <c r="T11" s="80">
        <f>Credit_Engine!T39+Credit_Engine!T95+Credit_Engine!T151+Credit_Engine!T207+Credit_Engine!T263</f>
        <v/>
      </c>
      <c r="U11" s="80">
        <f>Credit_Engine!U39+Credit_Engine!U95+Credit_Engine!U151+Credit_Engine!U207+Credit_Engine!U263</f>
        <v/>
      </c>
      <c r="V11" s="80">
        <f>Credit_Engine!V39+Credit_Engine!V95+Credit_Engine!V151+Credit_Engine!V207+Credit_Engine!V263</f>
        <v/>
      </c>
      <c r="W11" s="80">
        <f>Credit_Engine!W39+Credit_Engine!W95+Credit_Engine!W151+Credit_Engine!W207+Credit_Engine!W263</f>
        <v/>
      </c>
      <c r="X11" s="80">
        <f>Credit_Engine!X39+Credit_Engine!X95+Credit_Engine!X151+Credit_Engine!X207+Credit_Engine!X263</f>
        <v/>
      </c>
      <c r="Y11" s="80">
        <f>Credit_Engine!Y39+Credit_Engine!Y95+Credit_Engine!Y151+Credit_Engine!Y207+Credit_Engine!Y263</f>
        <v/>
      </c>
      <c r="Z11" s="80">
        <f>Credit_Engine!Z39+Credit_Engine!Z95+Credit_Engine!Z151+Credit_Engine!Z207+Credit_Engine!Z263</f>
        <v/>
      </c>
      <c r="AA11" s="80">
        <f>Credit_Engine!AA39+Credit_Engine!AA95+Credit_Engine!AA151+Credit_Engine!AA207+Credit_Engine!AA263</f>
        <v/>
      </c>
      <c r="AB11" s="80">
        <f>Credit_Engine!AB39+Credit_Engine!AB95+Credit_Engine!AB151+Credit_Engine!AB207+Credit_Engine!AB263</f>
        <v/>
      </c>
      <c r="AC11" s="80">
        <f>Credit_Engine!AC39+Credit_Engine!AC95+Credit_Engine!AC151+Credit_Engine!AC207+Credit_Engine!AC263</f>
        <v/>
      </c>
      <c r="AD11" s="80">
        <f>Credit_Engine!AD39+Credit_Engine!AD95+Credit_Engine!AD151+Credit_Engine!AD207+Credit_Engine!AD263</f>
        <v/>
      </c>
      <c r="AE11" s="80">
        <f>Credit_Engine!AE39+Credit_Engine!AE95+Credit_Engine!AE151+Credit_Engine!AE207+Credit_Engine!AE263</f>
        <v/>
      </c>
      <c r="AF11" s="80">
        <f>Credit_Engine!AF39+Credit_Engine!AF95+Credit_Engine!AF151+Credit_Engine!AF207+Credit_Engine!AF263</f>
        <v/>
      </c>
      <c r="AG11" s="80">
        <f>Credit_Engine!AG39+Credit_Engine!AG95+Credit_Engine!AG151+Credit_Engine!AG207+Credit_Engine!AG263</f>
        <v/>
      </c>
      <c r="AH11" s="80">
        <f>Credit_Engine!AH39+Credit_Engine!AH95+Credit_Engine!AH151+Credit_Engine!AH207+Credit_Engine!AH263</f>
        <v/>
      </c>
      <c r="AI11" s="80">
        <f>Credit_Engine!AI39+Credit_Engine!AI95+Credit_Engine!AI151+Credit_Engine!AI207+Credit_Engine!AI263</f>
        <v/>
      </c>
      <c r="AJ11" s="80">
        <f>Credit_Engine!AJ39+Credit_Engine!AJ95+Credit_Engine!AJ151+Credit_Engine!AJ207+Credit_Engine!AJ263</f>
        <v/>
      </c>
      <c r="AK11" s="80">
        <f>Credit_Engine!AK39+Credit_Engine!AK95+Credit_Engine!AK151+Credit_Engine!AK207+Credit_Engine!AK263</f>
        <v/>
      </c>
      <c r="AL11" s="80">
        <f>Credit_Engine!AL39+Credit_Engine!AL95+Credit_Engine!AL151+Credit_Engine!AL207+Credit_Engine!AL263</f>
        <v/>
      </c>
      <c r="AM11" s="80">
        <f>Credit_Engine!AM39+Credit_Engine!AM95+Credit_Engine!AM151+Credit_Engine!AM207+Credit_Engine!AM263</f>
        <v/>
      </c>
      <c r="AN11" s="80">
        <f>Credit_Engine!AN39+Credit_Engine!AN95+Credit_Engine!AN151+Credit_Engine!AN207+Credit_Engine!AN263</f>
        <v/>
      </c>
      <c r="AO11" s="80">
        <f>Credit_Engine!AO39+Credit_Engine!AO95+Credit_Engine!AO151+Credit_Engine!AO207+Credit_Engine!AO263</f>
        <v/>
      </c>
      <c r="AP11" s="80">
        <f>Credit_Engine!AP39+Credit_Engine!AP95+Credit_Engine!AP151+Credit_Engine!AP207+Credit_Engine!AP263</f>
        <v/>
      </c>
      <c r="AQ11" s="80">
        <f>Credit_Engine!AQ39+Credit_Engine!AQ95+Credit_Engine!AQ151+Credit_Engine!AQ207+Credit_Engine!AQ263</f>
        <v/>
      </c>
      <c r="AR11" s="80">
        <f>Credit_Engine!AR39+Credit_Engine!AR95+Credit_Engine!AR151+Credit_Engine!AR207+Credit_Engine!AR263</f>
        <v/>
      </c>
      <c r="AS11" s="80">
        <f>Credit_Engine!AS39+Credit_Engine!AS95+Credit_Engine!AS151+Credit_Engine!AS207+Credit_Engine!AS263</f>
        <v/>
      </c>
      <c r="AT11" s="80">
        <f>Credit_Engine!AT39+Credit_Engine!AT95+Credit_Engine!AT151+Credit_Engine!AT207+Credit_Engine!AT263</f>
        <v/>
      </c>
      <c r="AU11" s="80">
        <f>Credit_Engine!AU39+Credit_Engine!AU95+Credit_Engine!AU151+Credit_Engine!AU207+Credit_Engine!AU263</f>
        <v/>
      </c>
      <c r="AV11" s="80">
        <f>Credit_Engine!AV39+Credit_Engine!AV95+Credit_Engine!AV151+Credit_Engine!AV207+Credit_Engine!AV263</f>
        <v/>
      </c>
      <c r="AW11" s="80">
        <f>Credit_Engine!AW39+Credit_Engine!AW95+Credit_Engine!AW151+Credit_Engine!AW207+Credit_Engine!AW263</f>
        <v/>
      </c>
      <c r="AX11" s="80">
        <f>Credit_Engine!AX39+Credit_Engine!AX95+Credit_Engine!AX151+Credit_Engine!AX207+Credit_Engine!AX263</f>
        <v/>
      </c>
      <c r="AY11" s="80">
        <f>Credit_Engine!AY39+Credit_Engine!AY95+Credit_Engine!AY151+Credit_Engine!AY207+Credit_Engine!AY263</f>
        <v/>
      </c>
      <c r="AZ11" s="80">
        <f>Credit_Engine!AZ39+Credit_Engine!AZ95+Credit_Engine!AZ151+Credit_Engine!AZ207+Credit_Engine!AZ263</f>
        <v/>
      </c>
      <c r="BA11" s="80">
        <f>Credit_Engine!BA39+Credit_Engine!BA95+Credit_Engine!BA151+Credit_Engine!BA207+Credit_Engine!BA263</f>
        <v/>
      </c>
      <c r="BB11" s="80">
        <f>Credit_Engine!BB39+Credit_Engine!BB95+Credit_Engine!BB151+Credit_Engine!BB207+Credit_Engine!BB263</f>
        <v/>
      </c>
      <c r="BC11" s="80">
        <f>Credit_Engine!BC39+Credit_Engine!BC95+Credit_Engine!BC151+Credit_Engine!BC207+Credit_Engine!BC263</f>
        <v/>
      </c>
      <c r="BD11" s="80">
        <f>Credit_Engine!BD39+Credit_Engine!BD95+Credit_Engine!BD151+Credit_Engine!BD207+Credit_Engine!BD263</f>
        <v/>
      </c>
      <c r="BE11" s="80">
        <f>Credit_Engine!BE39+Credit_Engine!BE95+Credit_Engine!BE151+Credit_Engine!BE207+Credit_Engine!BE263</f>
        <v/>
      </c>
      <c r="BF11" s="80">
        <f>Credit_Engine!BF39+Credit_Engine!BF95+Credit_Engine!BF151+Credit_Engine!BF207+Credit_Engine!BF263</f>
        <v/>
      </c>
      <c r="BG11" s="80">
        <f>Credit_Engine!BG39+Credit_Engine!BG95+Credit_Engine!BG151+Credit_Engine!BG207+Credit_Engine!BG263</f>
        <v/>
      </c>
      <c r="BH11" s="80">
        <f>Credit_Engine!BH39+Credit_Engine!BH95+Credit_Engine!BH151+Credit_Engine!BH207+Credit_Engine!BH263</f>
        <v/>
      </c>
      <c r="BI11" s="80">
        <f>Credit_Engine!BI39+Credit_Engine!BI95+Credit_Engine!BI151+Credit_Engine!BI207+Credit_Engine!BI263</f>
        <v/>
      </c>
      <c r="BJ11" s="80">
        <f>Credit_Engine!BJ39+Credit_Engine!BJ95+Credit_Engine!BJ151+Credit_Engine!BJ207+Credit_Engine!BJ263</f>
        <v/>
      </c>
      <c r="BK11" s="80">
        <f>Credit_Engine!BK39+Credit_Engine!BK95+Credit_Engine!BK151+Credit_Engine!BK207+Credit_Engine!BK263</f>
        <v/>
      </c>
      <c r="BL11" s="80">
        <f>Credit_Engine!BL39+Credit_Engine!BL95+Credit_Engine!BL151+Credit_Engine!BL207+Credit_Engine!BL263</f>
        <v/>
      </c>
    </row>
    <row r="12">
      <c r="A12" s="98" t="inlineStr">
        <is>
          <t>1-30 DPD</t>
        </is>
      </c>
      <c r="B12" s="65" t="inlineStr"/>
      <c r="C12" s="105">
        <f>BL12</f>
        <v/>
      </c>
      <c r="E12" s="80">
        <f>Credit_Engine!E40+Credit_Engine!E96+Credit_Engine!E152+Credit_Engine!E208+Credit_Engine!E264</f>
        <v/>
      </c>
      <c r="F12" s="80">
        <f>Credit_Engine!F40+Credit_Engine!F96+Credit_Engine!F152+Credit_Engine!F208+Credit_Engine!F264</f>
        <v/>
      </c>
      <c r="G12" s="80">
        <f>Credit_Engine!G40+Credit_Engine!G96+Credit_Engine!G152+Credit_Engine!G208+Credit_Engine!G264</f>
        <v/>
      </c>
      <c r="H12" s="80">
        <f>Credit_Engine!H40+Credit_Engine!H96+Credit_Engine!H152+Credit_Engine!H208+Credit_Engine!H264</f>
        <v/>
      </c>
      <c r="I12" s="80">
        <f>Credit_Engine!I40+Credit_Engine!I96+Credit_Engine!I152+Credit_Engine!I208+Credit_Engine!I264</f>
        <v/>
      </c>
      <c r="J12" s="80">
        <f>Credit_Engine!J40+Credit_Engine!J96+Credit_Engine!J152+Credit_Engine!J208+Credit_Engine!J264</f>
        <v/>
      </c>
      <c r="K12" s="80">
        <f>Credit_Engine!K40+Credit_Engine!K96+Credit_Engine!K152+Credit_Engine!K208+Credit_Engine!K264</f>
        <v/>
      </c>
      <c r="L12" s="80">
        <f>Credit_Engine!L40+Credit_Engine!L96+Credit_Engine!L152+Credit_Engine!L208+Credit_Engine!L264</f>
        <v/>
      </c>
      <c r="M12" s="80">
        <f>Credit_Engine!M40+Credit_Engine!M96+Credit_Engine!M152+Credit_Engine!M208+Credit_Engine!M264</f>
        <v/>
      </c>
      <c r="N12" s="80">
        <f>Credit_Engine!N40+Credit_Engine!N96+Credit_Engine!N152+Credit_Engine!N208+Credit_Engine!N264</f>
        <v/>
      </c>
      <c r="O12" s="80">
        <f>Credit_Engine!O40+Credit_Engine!O96+Credit_Engine!O152+Credit_Engine!O208+Credit_Engine!O264</f>
        <v/>
      </c>
      <c r="P12" s="80">
        <f>Credit_Engine!P40+Credit_Engine!P96+Credit_Engine!P152+Credit_Engine!P208+Credit_Engine!P264</f>
        <v/>
      </c>
      <c r="Q12" s="80">
        <f>Credit_Engine!Q40+Credit_Engine!Q96+Credit_Engine!Q152+Credit_Engine!Q208+Credit_Engine!Q264</f>
        <v/>
      </c>
      <c r="R12" s="80">
        <f>Credit_Engine!R40+Credit_Engine!R96+Credit_Engine!R152+Credit_Engine!R208+Credit_Engine!R264</f>
        <v/>
      </c>
      <c r="S12" s="80">
        <f>Credit_Engine!S40+Credit_Engine!S96+Credit_Engine!S152+Credit_Engine!S208+Credit_Engine!S264</f>
        <v/>
      </c>
      <c r="T12" s="80">
        <f>Credit_Engine!T40+Credit_Engine!T96+Credit_Engine!T152+Credit_Engine!T208+Credit_Engine!T264</f>
        <v/>
      </c>
      <c r="U12" s="80">
        <f>Credit_Engine!U40+Credit_Engine!U96+Credit_Engine!U152+Credit_Engine!U208+Credit_Engine!U264</f>
        <v/>
      </c>
      <c r="V12" s="80">
        <f>Credit_Engine!V40+Credit_Engine!V96+Credit_Engine!V152+Credit_Engine!V208+Credit_Engine!V264</f>
        <v/>
      </c>
      <c r="W12" s="80">
        <f>Credit_Engine!W40+Credit_Engine!W96+Credit_Engine!W152+Credit_Engine!W208+Credit_Engine!W264</f>
        <v/>
      </c>
      <c r="X12" s="80">
        <f>Credit_Engine!X40+Credit_Engine!X96+Credit_Engine!X152+Credit_Engine!X208+Credit_Engine!X264</f>
        <v/>
      </c>
      <c r="Y12" s="80">
        <f>Credit_Engine!Y40+Credit_Engine!Y96+Credit_Engine!Y152+Credit_Engine!Y208+Credit_Engine!Y264</f>
        <v/>
      </c>
      <c r="Z12" s="80">
        <f>Credit_Engine!Z40+Credit_Engine!Z96+Credit_Engine!Z152+Credit_Engine!Z208+Credit_Engine!Z264</f>
        <v/>
      </c>
      <c r="AA12" s="80">
        <f>Credit_Engine!AA40+Credit_Engine!AA96+Credit_Engine!AA152+Credit_Engine!AA208+Credit_Engine!AA264</f>
        <v/>
      </c>
      <c r="AB12" s="80">
        <f>Credit_Engine!AB40+Credit_Engine!AB96+Credit_Engine!AB152+Credit_Engine!AB208+Credit_Engine!AB264</f>
        <v/>
      </c>
      <c r="AC12" s="80">
        <f>Credit_Engine!AC40+Credit_Engine!AC96+Credit_Engine!AC152+Credit_Engine!AC208+Credit_Engine!AC264</f>
        <v/>
      </c>
      <c r="AD12" s="80">
        <f>Credit_Engine!AD40+Credit_Engine!AD96+Credit_Engine!AD152+Credit_Engine!AD208+Credit_Engine!AD264</f>
        <v/>
      </c>
      <c r="AE12" s="80">
        <f>Credit_Engine!AE40+Credit_Engine!AE96+Credit_Engine!AE152+Credit_Engine!AE208+Credit_Engine!AE264</f>
        <v/>
      </c>
      <c r="AF12" s="80">
        <f>Credit_Engine!AF40+Credit_Engine!AF96+Credit_Engine!AF152+Credit_Engine!AF208+Credit_Engine!AF264</f>
        <v/>
      </c>
      <c r="AG12" s="80">
        <f>Credit_Engine!AG40+Credit_Engine!AG96+Credit_Engine!AG152+Credit_Engine!AG208+Credit_Engine!AG264</f>
        <v/>
      </c>
      <c r="AH12" s="80">
        <f>Credit_Engine!AH40+Credit_Engine!AH96+Credit_Engine!AH152+Credit_Engine!AH208+Credit_Engine!AH264</f>
        <v/>
      </c>
      <c r="AI12" s="80">
        <f>Credit_Engine!AI40+Credit_Engine!AI96+Credit_Engine!AI152+Credit_Engine!AI208+Credit_Engine!AI264</f>
        <v/>
      </c>
      <c r="AJ12" s="80">
        <f>Credit_Engine!AJ40+Credit_Engine!AJ96+Credit_Engine!AJ152+Credit_Engine!AJ208+Credit_Engine!AJ264</f>
        <v/>
      </c>
      <c r="AK12" s="80">
        <f>Credit_Engine!AK40+Credit_Engine!AK96+Credit_Engine!AK152+Credit_Engine!AK208+Credit_Engine!AK264</f>
        <v/>
      </c>
      <c r="AL12" s="80">
        <f>Credit_Engine!AL40+Credit_Engine!AL96+Credit_Engine!AL152+Credit_Engine!AL208+Credit_Engine!AL264</f>
        <v/>
      </c>
      <c r="AM12" s="80">
        <f>Credit_Engine!AM40+Credit_Engine!AM96+Credit_Engine!AM152+Credit_Engine!AM208+Credit_Engine!AM264</f>
        <v/>
      </c>
      <c r="AN12" s="80">
        <f>Credit_Engine!AN40+Credit_Engine!AN96+Credit_Engine!AN152+Credit_Engine!AN208+Credit_Engine!AN264</f>
        <v/>
      </c>
      <c r="AO12" s="80">
        <f>Credit_Engine!AO40+Credit_Engine!AO96+Credit_Engine!AO152+Credit_Engine!AO208+Credit_Engine!AO264</f>
        <v/>
      </c>
      <c r="AP12" s="80">
        <f>Credit_Engine!AP40+Credit_Engine!AP96+Credit_Engine!AP152+Credit_Engine!AP208+Credit_Engine!AP264</f>
        <v/>
      </c>
      <c r="AQ12" s="80">
        <f>Credit_Engine!AQ40+Credit_Engine!AQ96+Credit_Engine!AQ152+Credit_Engine!AQ208+Credit_Engine!AQ264</f>
        <v/>
      </c>
      <c r="AR12" s="80">
        <f>Credit_Engine!AR40+Credit_Engine!AR96+Credit_Engine!AR152+Credit_Engine!AR208+Credit_Engine!AR264</f>
        <v/>
      </c>
      <c r="AS12" s="80">
        <f>Credit_Engine!AS40+Credit_Engine!AS96+Credit_Engine!AS152+Credit_Engine!AS208+Credit_Engine!AS264</f>
        <v/>
      </c>
      <c r="AT12" s="80">
        <f>Credit_Engine!AT40+Credit_Engine!AT96+Credit_Engine!AT152+Credit_Engine!AT208+Credit_Engine!AT264</f>
        <v/>
      </c>
      <c r="AU12" s="80">
        <f>Credit_Engine!AU40+Credit_Engine!AU96+Credit_Engine!AU152+Credit_Engine!AU208+Credit_Engine!AU264</f>
        <v/>
      </c>
      <c r="AV12" s="80">
        <f>Credit_Engine!AV40+Credit_Engine!AV96+Credit_Engine!AV152+Credit_Engine!AV208+Credit_Engine!AV264</f>
        <v/>
      </c>
      <c r="AW12" s="80">
        <f>Credit_Engine!AW40+Credit_Engine!AW96+Credit_Engine!AW152+Credit_Engine!AW208+Credit_Engine!AW264</f>
        <v/>
      </c>
      <c r="AX12" s="80">
        <f>Credit_Engine!AX40+Credit_Engine!AX96+Credit_Engine!AX152+Credit_Engine!AX208+Credit_Engine!AX264</f>
        <v/>
      </c>
      <c r="AY12" s="80">
        <f>Credit_Engine!AY40+Credit_Engine!AY96+Credit_Engine!AY152+Credit_Engine!AY208+Credit_Engine!AY264</f>
        <v/>
      </c>
      <c r="AZ12" s="80">
        <f>Credit_Engine!AZ40+Credit_Engine!AZ96+Credit_Engine!AZ152+Credit_Engine!AZ208+Credit_Engine!AZ264</f>
        <v/>
      </c>
      <c r="BA12" s="80">
        <f>Credit_Engine!BA40+Credit_Engine!BA96+Credit_Engine!BA152+Credit_Engine!BA208+Credit_Engine!BA264</f>
        <v/>
      </c>
      <c r="BB12" s="80">
        <f>Credit_Engine!BB40+Credit_Engine!BB96+Credit_Engine!BB152+Credit_Engine!BB208+Credit_Engine!BB264</f>
        <v/>
      </c>
      <c r="BC12" s="80">
        <f>Credit_Engine!BC40+Credit_Engine!BC96+Credit_Engine!BC152+Credit_Engine!BC208+Credit_Engine!BC264</f>
        <v/>
      </c>
      <c r="BD12" s="80">
        <f>Credit_Engine!BD40+Credit_Engine!BD96+Credit_Engine!BD152+Credit_Engine!BD208+Credit_Engine!BD264</f>
        <v/>
      </c>
      <c r="BE12" s="80">
        <f>Credit_Engine!BE40+Credit_Engine!BE96+Credit_Engine!BE152+Credit_Engine!BE208+Credit_Engine!BE264</f>
        <v/>
      </c>
      <c r="BF12" s="80">
        <f>Credit_Engine!BF40+Credit_Engine!BF96+Credit_Engine!BF152+Credit_Engine!BF208+Credit_Engine!BF264</f>
        <v/>
      </c>
      <c r="BG12" s="80">
        <f>Credit_Engine!BG40+Credit_Engine!BG96+Credit_Engine!BG152+Credit_Engine!BG208+Credit_Engine!BG264</f>
        <v/>
      </c>
      <c r="BH12" s="80">
        <f>Credit_Engine!BH40+Credit_Engine!BH96+Credit_Engine!BH152+Credit_Engine!BH208+Credit_Engine!BH264</f>
        <v/>
      </c>
      <c r="BI12" s="80">
        <f>Credit_Engine!BI40+Credit_Engine!BI96+Credit_Engine!BI152+Credit_Engine!BI208+Credit_Engine!BI264</f>
        <v/>
      </c>
      <c r="BJ12" s="80">
        <f>Credit_Engine!BJ40+Credit_Engine!BJ96+Credit_Engine!BJ152+Credit_Engine!BJ208+Credit_Engine!BJ264</f>
        <v/>
      </c>
      <c r="BK12" s="80">
        <f>Credit_Engine!BK40+Credit_Engine!BK96+Credit_Engine!BK152+Credit_Engine!BK208+Credit_Engine!BK264</f>
        <v/>
      </c>
      <c r="BL12" s="80">
        <f>Credit_Engine!BL40+Credit_Engine!BL96+Credit_Engine!BL152+Credit_Engine!BL208+Credit_Engine!BL264</f>
        <v/>
      </c>
    </row>
    <row r="13">
      <c r="A13" s="98" t="inlineStr">
        <is>
          <t>31-60 DPD</t>
        </is>
      </c>
      <c r="B13" s="65" t="inlineStr"/>
      <c r="C13" s="105">
        <f>BL13</f>
        <v/>
      </c>
      <c r="E13" s="80">
        <f>Credit_Engine!E41+Credit_Engine!E97+Credit_Engine!E153+Credit_Engine!E209+Credit_Engine!E265</f>
        <v/>
      </c>
      <c r="F13" s="80">
        <f>Credit_Engine!F41+Credit_Engine!F97+Credit_Engine!F153+Credit_Engine!F209+Credit_Engine!F265</f>
        <v/>
      </c>
      <c r="G13" s="80">
        <f>Credit_Engine!G41+Credit_Engine!G97+Credit_Engine!G153+Credit_Engine!G209+Credit_Engine!G265</f>
        <v/>
      </c>
      <c r="H13" s="80">
        <f>Credit_Engine!H41+Credit_Engine!H97+Credit_Engine!H153+Credit_Engine!H209+Credit_Engine!H265</f>
        <v/>
      </c>
      <c r="I13" s="80">
        <f>Credit_Engine!I41+Credit_Engine!I97+Credit_Engine!I153+Credit_Engine!I209+Credit_Engine!I265</f>
        <v/>
      </c>
      <c r="J13" s="80">
        <f>Credit_Engine!J41+Credit_Engine!J97+Credit_Engine!J153+Credit_Engine!J209+Credit_Engine!J265</f>
        <v/>
      </c>
      <c r="K13" s="80">
        <f>Credit_Engine!K41+Credit_Engine!K97+Credit_Engine!K153+Credit_Engine!K209+Credit_Engine!K265</f>
        <v/>
      </c>
      <c r="L13" s="80">
        <f>Credit_Engine!L41+Credit_Engine!L97+Credit_Engine!L153+Credit_Engine!L209+Credit_Engine!L265</f>
        <v/>
      </c>
      <c r="M13" s="80">
        <f>Credit_Engine!M41+Credit_Engine!M97+Credit_Engine!M153+Credit_Engine!M209+Credit_Engine!M265</f>
        <v/>
      </c>
      <c r="N13" s="80">
        <f>Credit_Engine!N41+Credit_Engine!N97+Credit_Engine!N153+Credit_Engine!N209+Credit_Engine!N265</f>
        <v/>
      </c>
      <c r="O13" s="80">
        <f>Credit_Engine!O41+Credit_Engine!O97+Credit_Engine!O153+Credit_Engine!O209+Credit_Engine!O265</f>
        <v/>
      </c>
      <c r="P13" s="80">
        <f>Credit_Engine!P41+Credit_Engine!P97+Credit_Engine!P153+Credit_Engine!P209+Credit_Engine!P265</f>
        <v/>
      </c>
      <c r="Q13" s="80">
        <f>Credit_Engine!Q41+Credit_Engine!Q97+Credit_Engine!Q153+Credit_Engine!Q209+Credit_Engine!Q265</f>
        <v/>
      </c>
      <c r="R13" s="80">
        <f>Credit_Engine!R41+Credit_Engine!R97+Credit_Engine!R153+Credit_Engine!R209+Credit_Engine!R265</f>
        <v/>
      </c>
      <c r="S13" s="80">
        <f>Credit_Engine!S41+Credit_Engine!S97+Credit_Engine!S153+Credit_Engine!S209+Credit_Engine!S265</f>
        <v/>
      </c>
      <c r="T13" s="80">
        <f>Credit_Engine!T41+Credit_Engine!T97+Credit_Engine!T153+Credit_Engine!T209+Credit_Engine!T265</f>
        <v/>
      </c>
      <c r="U13" s="80">
        <f>Credit_Engine!U41+Credit_Engine!U97+Credit_Engine!U153+Credit_Engine!U209+Credit_Engine!U265</f>
        <v/>
      </c>
      <c r="V13" s="80">
        <f>Credit_Engine!V41+Credit_Engine!V97+Credit_Engine!V153+Credit_Engine!V209+Credit_Engine!V265</f>
        <v/>
      </c>
      <c r="W13" s="80">
        <f>Credit_Engine!W41+Credit_Engine!W97+Credit_Engine!W153+Credit_Engine!W209+Credit_Engine!W265</f>
        <v/>
      </c>
      <c r="X13" s="80">
        <f>Credit_Engine!X41+Credit_Engine!X97+Credit_Engine!X153+Credit_Engine!X209+Credit_Engine!X265</f>
        <v/>
      </c>
      <c r="Y13" s="80">
        <f>Credit_Engine!Y41+Credit_Engine!Y97+Credit_Engine!Y153+Credit_Engine!Y209+Credit_Engine!Y265</f>
        <v/>
      </c>
      <c r="Z13" s="80">
        <f>Credit_Engine!Z41+Credit_Engine!Z97+Credit_Engine!Z153+Credit_Engine!Z209+Credit_Engine!Z265</f>
        <v/>
      </c>
      <c r="AA13" s="80">
        <f>Credit_Engine!AA41+Credit_Engine!AA97+Credit_Engine!AA153+Credit_Engine!AA209+Credit_Engine!AA265</f>
        <v/>
      </c>
      <c r="AB13" s="80">
        <f>Credit_Engine!AB41+Credit_Engine!AB97+Credit_Engine!AB153+Credit_Engine!AB209+Credit_Engine!AB265</f>
        <v/>
      </c>
      <c r="AC13" s="80">
        <f>Credit_Engine!AC41+Credit_Engine!AC97+Credit_Engine!AC153+Credit_Engine!AC209+Credit_Engine!AC265</f>
        <v/>
      </c>
      <c r="AD13" s="80">
        <f>Credit_Engine!AD41+Credit_Engine!AD97+Credit_Engine!AD153+Credit_Engine!AD209+Credit_Engine!AD265</f>
        <v/>
      </c>
      <c r="AE13" s="80">
        <f>Credit_Engine!AE41+Credit_Engine!AE97+Credit_Engine!AE153+Credit_Engine!AE209+Credit_Engine!AE265</f>
        <v/>
      </c>
      <c r="AF13" s="80">
        <f>Credit_Engine!AF41+Credit_Engine!AF97+Credit_Engine!AF153+Credit_Engine!AF209+Credit_Engine!AF265</f>
        <v/>
      </c>
      <c r="AG13" s="80">
        <f>Credit_Engine!AG41+Credit_Engine!AG97+Credit_Engine!AG153+Credit_Engine!AG209+Credit_Engine!AG265</f>
        <v/>
      </c>
      <c r="AH13" s="80">
        <f>Credit_Engine!AH41+Credit_Engine!AH97+Credit_Engine!AH153+Credit_Engine!AH209+Credit_Engine!AH265</f>
        <v/>
      </c>
      <c r="AI13" s="80">
        <f>Credit_Engine!AI41+Credit_Engine!AI97+Credit_Engine!AI153+Credit_Engine!AI209+Credit_Engine!AI265</f>
        <v/>
      </c>
      <c r="AJ13" s="80">
        <f>Credit_Engine!AJ41+Credit_Engine!AJ97+Credit_Engine!AJ153+Credit_Engine!AJ209+Credit_Engine!AJ265</f>
        <v/>
      </c>
      <c r="AK13" s="80">
        <f>Credit_Engine!AK41+Credit_Engine!AK97+Credit_Engine!AK153+Credit_Engine!AK209+Credit_Engine!AK265</f>
        <v/>
      </c>
      <c r="AL13" s="80">
        <f>Credit_Engine!AL41+Credit_Engine!AL97+Credit_Engine!AL153+Credit_Engine!AL209+Credit_Engine!AL265</f>
        <v/>
      </c>
      <c r="AM13" s="80">
        <f>Credit_Engine!AM41+Credit_Engine!AM97+Credit_Engine!AM153+Credit_Engine!AM209+Credit_Engine!AM265</f>
        <v/>
      </c>
      <c r="AN13" s="80">
        <f>Credit_Engine!AN41+Credit_Engine!AN97+Credit_Engine!AN153+Credit_Engine!AN209+Credit_Engine!AN265</f>
        <v/>
      </c>
      <c r="AO13" s="80">
        <f>Credit_Engine!AO41+Credit_Engine!AO97+Credit_Engine!AO153+Credit_Engine!AO209+Credit_Engine!AO265</f>
        <v/>
      </c>
      <c r="AP13" s="80">
        <f>Credit_Engine!AP41+Credit_Engine!AP97+Credit_Engine!AP153+Credit_Engine!AP209+Credit_Engine!AP265</f>
        <v/>
      </c>
      <c r="AQ13" s="80">
        <f>Credit_Engine!AQ41+Credit_Engine!AQ97+Credit_Engine!AQ153+Credit_Engine!AQ209+Credit_Engine!AQ265</f>
        <v/>
      </c>
      <c r="AR13" s="80">
        <f>Credit_Engine!AR41+Credit_Engine!AR97+Credit_Engine!AR153+Credit_Engine!AR209+Credit_Engine!AR265</f>
        <v/>
      </c>
      <c r="AS13" s="80">
        <f>Credit_Engine!AS41+Credit_Engine!AS97+Credit_Engine!AS153+Credit_Engine!AS209+Credit_Engine!AS265</f>
        <v/>
      </c>
      <c r="AT13" s="80">
        <f>Credit_Engine!AT41+Credit_Engine!AT97+Credit_Engine!AT153+Credit_Engine!AT209+Credit_Engine!AT265</f>
        <v/>
      </c>
      <c r="AU13" s="80">
        <f>Credit_Engine!AU41+Credit_Engine!AU97+Credit_Engine!AU153+Credit_Engine!AU209+Credit_Engine!AU265</f>
        <v/>
      </c>
      <c r="AV13" s="80">
        <f>Credit_Engine!AV41+Credit_Engine!AV97+Credit_Engine!AV153+Credit_Engine!AV209+Credit_Engine!AV265</f>
        <v/>
      </c>
      <c r="AW13" s="80">
        <f>Credit_Engine!AW41+Credit_Engine!AW97+Credit_Engine!AW153+Credit_Engine!AW209+Credit_Engine!AW265</f>
        <v/>
      </c>
      <c r="AX13" s="80">
        <f>Credit_Engine!AX41+Credit_Engine!AX97+Credit_Engine!AX153+Credit_Engine!AX209+Credit_Engine!AX265</f>
        <v/>
      </c>
      <c r="AY13" s="80">
        <f>Credit_Engine!AY41+Credit_Engine!AY97+Credit_Engine!AY153+Credit_Engine!AY209+Credit_Engine!AY265</f>
        <v/>
      </c>
      <c r="AZ13" s="80">
        <f>Credit_Engine!AZ41+Credit_Engine!AZ97+Credit_Engine!AZ153+Credit_Engine!AZ209+Credit_Engine!AZ265</f>
        <v/>
      </c>
      <c r="BA13" s="80">
        <f>Credit_Engine!BA41+Credit_Engine!BA97+Credit_Engine!BA153+Credit_Engine!BA209+Credit_Engine!BA265</f>
        <v/>
      </c>
      <c r="BB13" s="80">
        <f>Credit_Engine!BB41+Credit_Engine!BB97+Credit_Engine!BB153+Credit_Engine!BB209+Credit_Engine!BB265</f>
        <v/>
      </c>
      <c r="BC13" s="80">
        <f>Credit_Engine!BC41+Credit_Engine!BC97+Credit_Engine!BC153+Credit_Engine!BC209+Credit_Engine!BC265</f>
        <v/>
      </c>
      <c r="BD13" s="80">
        <f>Credit_Engine!BD41+Credit_Engine!BD97+Credit_Engine!BD153+Credit_Engine!BD209+Credit_Engine!BD265</f>
        <v/>
      </c>
      <c r="BE13" s="80">
        <f>Credit_Engine!BE41+Credit_Engine!BE97+Credit_Engine!BE153+Credit_Engine!BE209+Credit_Engine!BE265</f>
        <v/>
      </c>
      <c r="BF13" s="80">
        <f>Credit_Engine!BF41+Credit_Engine!BF97+Credit_Engine!BF153+Credit_Engine!BF209+Credit_Engine!BF265</f>
        <v/>
      </c>
      <c r="BG13" s="80">
        <f>Credit_Engine!BG41+Credit_Engine!BG97+Credit_Engine!BG153+Credit_Engine!BG209+Credit_Engine!BG265</f>
        <v/>
      </c>
      <c r="BH13" s="80">
        <f>Credit_Engine!BH41+Credit_Engine!BH97+Credit_Engine!BH153+Credit_Engine!BH209+Credit_Engine!BH265</f>
        <v/>
      </c>
      <c r="BI13" s="80">
        <f>Credit_Engine!BI41+Credit_Engine!BI97+Credit_Engine!BI153+Credit_Engine!BI209+Credit_Engine!BI265</f>
        <v/>
      </c>
      <c r="BJ13" s="80">
        <f>Credit_Engine!BJ41+Credit_Engine!BJ97+Credit_Engine!BJ153+Credit_Engine!BJ209+Credit_Engine!BJ265</f>
        <v/>
      </c>
      <c r="BK13" s="80">
        <f>Credit_Engine!BK41+Credit_Engine!BK97+Credit_Engine!BK153+Credit_Engine!BK209+Credit_Engine!BK265</f>
        <v/>
      </c>
      <c r="BL13" s="80">
        <f>Credit_Engine!BL41+Credit_Engine!BL97+Credit_Engine!BL153+Credit_Engine!BL209+Credit_Engine!BL265</f>
        <v/>
      </c>
    </row>
    <row r="14">
      <c r="A14" s="98" t="inlineStr">
        <is>
          <t>61-90 DPD</t>
        </is>
      </c>
      <c r="B14" s="65" t="inlineStr"/>
      <c r="C14" s="105">
        <f>BL14</f>
        <v/>
      </c>
      <c r="E14" s="80">
        <f>Credit_Engine!E42+Credit_Engine!E98+Credit_Engine!E154+Credit_Engine!E210+Credit_Engine!E266</f>
        <v/>
      </c>
      <c r="F14" s="80">
        <f>Credit_Engine!F42+Credit_Engine!F98+Credit_Engine!F154+Credit_Engine!F210+Credit_Engine!F266</f>
        <v/>
      </c>
      <c r="G14" s="80">
        <f>Credit_Engine!G42+Credit_Engine!G98+Credit_Engine!G154+Credit_Engine!G210+Credit_Engine!G266</f>
        <v/>
      </c>
      <c r="H14" s="80">
        <f>Credit_Engine!H42+Credit_Engine!H98+Credit_Engine!H154+Credit_Engine!H210+Credit_Engine!H266</f>
        <v/>
      </c>
      <c r="I14" s="80">
        <f>Credit_Engine!I42+Credit_Engine!I98+Credit_Engine!I154+Credit_Engine!I210+Credit_Engine!I266</f>
        <v/>
      </c>
      <c r="J14" s="80">
        <f>Credit_Engine!J42+Credit_Engine!J98+Credit_Engine!J154+Credit_Engine!J210+Credit_Engine!J266</f>
        <v/>
      </c>
      <c r="K14" s="80">
        <f>Credit_Engine!K42+Credit_Engine!K98+Credit_Engine!K154+Credit_Engine!K210+Credit_Engine!K266</f>
        <v/>
      </c>
      <c r="L14" s="80">
        <f>Credit_Engine!L42+Credit_Engine!L98+Credit_Engine!L154+Credit_Engine!L210+Credit_Engine!L266</f>
        <v/>
      </c>
      <c r="M14" s="80">
        <f>Credit_Engine!M42+Credit_Engine!M98+Credit_Engine!M154+Credit_Engine!M210+Credit_Engine!M266</f>
        <v/>
      </c>
      <c r="N14" s="80">
        <f>Credit_Engine!N42+Credit_Engine!N98+Credit_Engine!N154+Credit_Engine!N210+Credit_Engine!N266</f>
        <v/>
      </c>
      <c r="O14" s="80">
        <f>Credit_Engine!O42+Credit_Engine!O98+Credit_Engine!O154+Credit_Engine!O210+Credit_Engine!O266</f>
        <v/>
      </c>
      <c r="P14" s="80">
        <f>Credit_Engine!P42+Credit_Engine!P98+Credit_Engine!P154+Credit_Engine!P210+Credit_Engine!P266</f>
        <v/>
      </c>
      <c r="Q14" s="80">
        <f>Credit_Engine!Q42+Credit_Engine!Q98+Credit_Engine!Q154+Credit_Engine!Q210+Credit_Engine!Q266</f>
        <v/>
      </c>
      <c r="R14" s="80">
        <f>Credit_Engine!R42+Credit_Engine!R98+Credit_Engine!R154+Credit_Engine!R210+Credit_Engine!R266</f>
        <v/>
      </c>
      <c r="S14" s="80">
        <f>Credit_Engine!S42+Credit_Engine!S98+Credit_Engine!S154+Credit_Engine!S210+Credit_Engine!S266</f>
        <v/>
      </c>
      <c r="T14" s="80">
        <f>Credit_Engine!T42+Credit_Engine!T98+Credit_Engine!T154+Credit_Engine!T210+Credit_Engine!T266</f>
        <v/>
      </c>
      <c r="U14" s="80">
        <f>Credit_Engine!U42+Credit_Engine!U98+Credit_Engine!U154+Credit_Engine!U210+Credit_Engine!U266</f>
        <v/>
      </c>
      <c r="V14" s="80">
        <f>Credit_Engine!V42+Credit_Engine!V98+Credit_Engine!V154+Credit_Engine!V210+Credit_Engine!V266</f>
        <v/>
      </c>
      <c r="W14" s="80">
        <f>Credit_Engine!W42+Credit_Engine!W98+Credit_Engine!W154+Credit_Engine!W210+Credit_Engine!W266</f>
        <v/>
      </c>
      <c r="X14" s="80">
        <f>Credit_Engine!X42+Credit_Engine!X98+Credit_Engine!X154+Credit_Engine!X210+Credit_Engine!X266</f>
        <v/>
      </c>
      <c r="Y14" s="80">
        <f>Credit_Engine!Y42+Credit_Engine!Y98+Credit_Engine!Y154+Credit_Engine!Y210+Credit_Engine!Y266</f>
        <v/>
      </c>
      <c r="Z14" s="80">
        <f>Credit_Engine!Z42+Credit_Engine!Z98+Credit_Engine!Z154+Credit_Engine!Z210+Credit_Engine!Z266</f>
        <v/>
      </c>
      <c r="AA14" s="80">
        <f>Credit_Engine!AA42+Credit_Engine!AA98+Credit_Engine!AA154+Credit_Engine!AA210+Credit_Engine!AA266</f>
        <v/>
      </c>
      <c r="AB14" s="80">
        <f>Credit_Engine!AB42+Credit_Engine!AB98+Credit_Engine!AB154+Credit_Engine!AB210+Credit_Engine!AB266</f>
        <v/>
      </c>
      <c r="AC14" s="80">
        <f>Credit_Engine!AC42+Credit_Engine!AC98+Credit_Engine!AC154+Credit_Engine!AC210+Credit_Engine!AC266</f>
        <v/>
      </c>
      <c r="AD14" s="80">
        <f>Credit_Engine!AD42+Credit_Engine!AD98+Credit_Engine!AD154+Credit_Engine!AD210+Credit_Engine!AD266</f>
        <v/>
      </c>
      <c r="AE14" s="80">
        <f>Credit_Engine!AE42+Credit_Engine!AE98+Credit_Engine!AE154+Credit_Engine!AE210+Credit_Engine!AE266</f>
        <v/>
      </c>
      <c r="AF14" s="80">
        <f>Credit_Engine!AF42+Credit_Engine!AF98+Credit_Engine!AF154+Credit_Engine!AF210+Credit_Engine!AF266</f>
        <v/>
      </c>
      <c r="AG14" s="80">
        <f>Credit_Engine!AG42+Credit_Engine!AG98+Credit_Engine!AG154+Credit_Engine!AG210+Credit_Engine!AG266</f>
        <v/>
      </c>
      <c r="AH14" s="80">
        <f>Credit_Engine!AH42+Credit_Engine!AH98+Credit_Engine!AH154+Credit_Engine!AH210+Credit_Engine!AH266</f>
        <v/>
      </c>
      <c r="AI14" s="80">
        <f>Credit_Engine!AI42+Credit_Engine!AI98+Credit_Engine!AI154+Credit_Engine!AI210+Credit_Engine!AI266</f>
        <v/>
      </c>
      <c r="AJ14" s="80">
        <f>Credit_Engine!AJ42+Credit_Engine!AJ98+Credit_Engine!AJ154+Credit_Engine!AJ210+Credit_Engine!AJ266</f>
        <v/>
      </c>
      <c r="AK14" s="80">
        <f>Credit_Engine!AK42+Credit_Engine!AK98+Credit_Engine!AK154+Credit_Engine!AK210+Credit_Engine!AK266</f>
        <v/>
      </c>
      <c r="AL14" s="80">
        <f>Credit_Engine!AL42+Credit_Engine!AL98+Credit_Engine!AL154+Credit_Engine!AL210+Credit_Engine!AL266</f>
        <v/>
      </c>
      <c r="AM14" s="80">
        <f>Credit_Engine!AM42+Credit_Engine!AM98+Credit_Engine!AM154+Credit_Engine!AM210+Credit_Engine!AM266</f>
        <v/>
      </c>
      <c r="AN14" s="80">
        <f>Credit_Engine!AN42+Credit_Engine!AN98+Credit_Engine!AN154+Credit_Engine!AN210+Credit_Engine!AN266</f>
        <v/>
      </c>
      <c r="AO14" s="80">
        <f>Credit_Engine!AO42+Credit_Engine!AO98+Credit_Engine!AO154+Credit_Engine!AO210+Credit_Engine!AO266</f>
        <v/>
      </c>
      <c r="AP14" s="80">
        <f>Credit_Engine!AP42+Credit_Engine!AP98+Credit_Engine!AP154+Credit_Engine!AP210+Credit_Engine!AP266</f>
        <v/>
      </c>
      <c r="AQ14" s="80">
        <f>Credit_Engine!AQ42+Credit_Engine!AQ98+Credit_Engine!AQ154+Credit_Engine!AQ210+Credit_Engine!AQ266</f>
        <v/>
      </c>
      <c r="AR14" s="80">
        <f>Credit_Engine!AR42+Credit_Engine!AR98+Credit_Engine!AR154+Credit_Engine!AR210+Credit_Engine!AR266</f>
        <v/>
      </c>
      <c r="AS14" s="80">
        <f>Credit_Engine!AS42+Credit_Engine!AS98+Credit_Engine!AS154+Credit_Engine!AS210+Credit_Engine!AS266</f>
        <v/>
      </c>
      <c r="AT14" s="80">
        <f>Credit_Engine!AT42+Credit_Engine!AT98+Credit_Engine!AT154+Credit_Engine!AT210+Credit_Engine!AT266</f>
        <v/>
      </c>
      <c r="AU14" s="80">
        <f>Credit_Engine!AU42+Credit_Engine!AU98+Credit_Engine!AU154+Credit_Engine!AU210+Credit_Engine!AU266</f>
        <v/>
      </c>
      <c r="AV14" s="80">
        <f>Credit_Engine!AV42+Credit_Engine!AV98+Credit_Engine!AV154+Credit_Engine!AV210+Credit_Engine!AV266</f>
        <v/>
      </c>
      <c r="AW14" s="80">
        <f>Credit_Engine!AW42+Credit_Engine!AW98+Credit_Engine!AW154+Credit_Engine!AW210+Credit_Engine!AW266</f>
        <v/>
      </c>
      <c r="AX14" s="80">
        <f>Credit_Engine!AX42+Credit_Engine!AX98+Credit_Engine!AX154+Credit_Engine!AX210+Credit_Engine!AX266</f>
        <v/>
      </c>
      <c r="AY14" s="80">
        <f>Credit_Engine!AY42+Credit_Engine!AY98+Credit_Engine!AY154+Credit_Engine!AY210+Credit_Engine!AY266</f>
        <v/>
      </c>
      <c r="AZ14" s="80">
        <f>Credit_Engine!AZ42+Credit_Engine!AZ98+Credit_Engine!AZ154+Credit_Engine!AZ210+Credit_Engine!AZ266</f>
        <v/>
      </c>
      <c r="BA14" s="80">
        <f>Credit_Engine!BA42+Credit_Engine!BA98+Credit_Engine!BA154+Credit_Engine!BA210+Credit_Engine!BA266</f>
        <v/>
      </c>
      <c r="BB14" s="80">
        <f>Credit_Engine!BB42+Credit_Engine!BB98+Credit_Engine!BB154+Credit_Engine!BB210+Credit_Engine!BB266</f>
        <v/>
      </c>
      <c r="BC14" s="80">
        <f>Credit_Engine!BC42+Credit_Engine!BC98+Credit_Engine!BC154+Credit_Engine!BC210+Credit_Engine!BC266</f>
        <v/>
      </c>
      <c r="BD14" s="80">
        <f>Credit_Engine!BD42+Credit_Engine!BD98+Credit_Engine!BD154+Credit_Engine!BD210+Credit_Engine!BD266</f>
        <v/>
      </c>
      <c r="BE14" s="80">
        <f>Credit_Engine!BE42+Credit_Engine!BE98+Credit_Engine!BE154+Credit_Engine!BE210+Credit_Engine!BE266</f>
        <v/>
      </c>
      <c r="BF14" s="80">
        <f>Credit_Engine!BF42+Credit_Engine!BF98+Credit_Engine!BF154+Credit_Engine!BF210+Credit_Engine!BF266</f>
        <v/>
      </c>
      <c r="BG14" s="80">
        <f>Credit_Engine!BG42+Credit_Engine!BG98+Credit_Engine!BG154+Credit_Engine!BG210+Credit_Engine!BG266</f>
        <v/>
      </c>
      <c r="BH14" s="80">
        <f>Credit_Engine!BH42+Credit_Engine!BH98+Credit_Engine!BH154+Credit_Engine!BH210+Credit_Engine!BH266</f>
        <v/>
      </c>
      <c r="BI14" s="80">
        <f>Credit_Engine!BI42+Credit_Engine!BI98+Credit_Engine!BI154+Credit_Engine!BI210+Credit_Engine!BI266</f>
        <v/>
      </c>
      <c r="BJ14" s="80">
        <f>Credit_Engine!BJ42+Credit_Engine!BJ98+Credit_Engine!BJ154+Credit_Engine!BJ210+Credit_Engine!BJ266</f>
        <v/>
      </c>
      <c r="BK14" s="80">
        <f>Credit_Engine!BK42+Credit_Engine!BK98+Credit_Engine!BK154+Credit_Engine!BK210+Credit_Engine!BK266</f>
        <v/>
      </c>
      <c r="BL14" s="80">
        <f>Credit_Engine!BL42+Credit_Engine!BL98+Credit_Engine!BL154+Credit_Engine!BL210+Credit_Engine!BL266</f>
        <v/>
      </c>
    </row>
    <row r="15">
      <c r="A15" s="98" t="inlineStr">
        <is>
          <t>91-180 DPD</t>
        </is>
      </c>
      <c r="B15" s="65" t="inlineStr"/>
      <c r="C15" s="105">
        <f>BL15</f>
        <v/>
      </c>
      <c r="E15" s="80">
        <f>Credit_Engine!E43+Credit_Engine!E99+Credit_Engine!E155+Credit_Engine!E211+Credit_Engine!E267</f>
        <v/>
      </c>
      <c r="F15" s="80">
        <f>Credit_Engine!F43+Credit_Engine!F99+Credit_Engine!F155+Credit_Engine!F211+Credit_Engine!F267</f>
        <v/>
      </c>
      <c r="G15" s="80">
        <f>Credit_Engine!G43+Credit_Engine!G99+Credit_Engine!G155+Credit_Engine!G211+Credit_Engine!G267</f>
        <v/>
      </c>
      <c r="H15" s="80">
        <f>Credit_Engine!H43+Credit_Engine!H99+Credit_Engine!H155+Credit_Engine!H211+Credit_Engine!H267</f>
        <v/>
      </c>
      <c r="I15" s="80">
        <f>Credit_Engine!I43+Credit_Engine!I99+Credit_Engine!I155+Credit_Engine!I211+Credit_Engine!I267</f>
        <v/>
      </c>
      <c r="J15" s="80">
        <f>Credit_Engine!J43+Credit_Engine!J99+Credit_Engine!J155+Credit_Engine!J211+Credit_Engine!J267</f>
        <v/>
      </c>
      <c r="K15" s="80">
        <f>Credit_Engine!K43+Credit_Engine!K99+Credit_Engine!K155+Credit_Engine!K211+Credit_Engine!K267</f>
        <v/>
      </c>
      <c r="L15" s="80">
        <f>Credit_Engine!L43+Credit_Engine!L99+Credit_Engine!L155+Credit_Engine!L211+Credit_Engine!L267</f>
        <v/>
      </c>
      <c r="M15" s="80">
        <f>Credit_Engine!M43+Credit_Engine!M99+Credit_Engine!M155+Credit_Engine!M211+Credit_Engine!M267</f>
        <v/>
      </c>
      <c r="N15" s="80">
        <f>Credit_Engine!N43+Credit_Engine!N99+Credit_Engine!N155+Credit_Engine!N211+Credit_Engine!N267</f>
        <v/>
      </c>
      <c r="O15" s="80">
        <f>Credit_Engine!O43+Credit_Engine!O99+Credit_Engine!O155+Credit_Engine!O211+Credit_Engine!O267</f>
        <v/>
      </c>
      <c r="P15" s="80">
        <f>Credit_Engine!P43+Credit_Engine!P99+Credit_Engine!P155+Credit_Engine!P211+Credit_Engine!P267</f>
        <v/>
      </c>
      <c r="Q15" s="80">
        <f>Credit_Engine!Q43+Credit_Engine!Q99+Credit_Engine!Q155+Credit_Engine!Q211+Credit_Engine!Q267</f>
        <v/>
      </c>
      <c r="R15" s="80">
        <f>Credit_Engine!R43+Credit_Engine!R99+Credit_Engine!R155+Credit_Engine!R211+Credit_Engine!R267</f>
        <v/>
      </c>
      <c r="S15" s="80">
        <f>Credit_Engine!S43+Credit_Engine!S99+Credit_Engine!S155+Credit_Engine!S211+Credit_Engine!S267</f>
        <v/>
      </c>
      <c r="T15" s="80">
        <f>Credit_Engine!T43+Credit_Engine!T99+Credit_Engine!T155+Credit_Engine!T211+Credit_Engine!T267</f>
        <v/>
      </c>
      <c r="U15" s="80">
        <f>Credit_Engine!U43+Credit_Engine!U99+Credit_Engine!U155+Credit_Engine!U211+Credit_Engine!U267</f>
        <v/>
      </c>
      <c r="V15" s="80">
        <f>Credit_Engine!V43+Credit_Engine!V99+Credit_Engine!V155+Credit_Engine!V211+Credit_Engine!V267</f>
        <v/>
      </c>
      <c r="W15" s="80">
        <f>Credit_Engine!W43+Credit_Engine!W99+Credit_Engine!W155+Credit_Engine!W211+Credit_Engine!W267</f>
        <v/>
      </c>
      <c r="X15" s="80">
        <f>Credit_Engine!X43+Credit_Engine!X99+Credit_Engine!X155+Credit_Engine!X211+Credit_Engine!X267</f>
        <v/>
      </c>
      <c r="Y15" s="80">
        <f>Credit_Engine!Y43+Credit_Engine!Y99+Credit_Engine!Y155+Credit_Engine!Y211+Credit_Engine!Y267</f>
        <v/>
      </c>
      <c r="Z15" s="80">
        <f>Credit_Engine!Z43+Credit_Engine!Z99+Credit_Engine!Z155+Credit_Engine!Z211+Credit_Engine!Z267</f>
        <v/>
      </c>
      <c r="AA15" s="80">
        <f>Credit_Engine!AA43+Credit_Engine!AA99+Credit_Engine!AA155+Credit_Engine!AA211+Credit_Engine!AA267</f>
        <v/>
      </c>
      <c r="AB15" s="80">
        <f>Credit_Engine!AB43+Credit_Engine!AB99+Credit_Engine!AB155+Credit_Engine!AB211+Credit_Engine!AB267</f>
        <v/>
      </c>
      <c r="AC15" s="80">
        <f>Credit_Engine!AC43+Credit_Engine!AC99+Credit_Engine!AC155+Credit_Engine!AC211+Credit_Engine!AC267</f>
        <v/>
      </c>
      <c r="AD15" s="80">
        <f>Credit_Engine!AD43+Credit_Engine!AD99+Credit_Engine!AD155+Credit_Engine!AD211+Credit_Engine!AD267</f>
        <v/>
      </c>
      <c r="AE15" s="80">
        <f>Credit_Engine!AE43+Credit_Engine!AE99+Credit_Engine!AE155+Credit_Engine!AE211+Credit_Engine!AE267</f>
        <v/>
      </c>
      <c r="AF15" s="80">
        <f>Credit_Engine!AF43+Credit_Engine!AF99+Credit_Engine!AF155+Credit_Engine!AF211+Credit_Engine!AF267</f>
        <v/>
      </c>
      <c r="AG15" s="80">
        <f>Credit_Engine!AG43+Credit_Engine!AG99+Credit_Engine!AG155+Credit_Engine!AG211+Credit_Engine!AG267</f>
        <v/>
      </c>
      <c r="AH15" s="80">
        <f>Credit_Engine!AH43+Credit_Engine!AH99+Credit_Engine!AH155+Credit_Engine!AH211+Credit_Engine!AH267</f>
        <v/>
      </c>
      <c r="AI15" s="80">
        <f>Credit_Engine!AI43+Credit_Engine!AI99+Credit_Engine!AI155+Credit_Engine!AI211+Credit_Engine!AI267</f>
        <v/>
      </c>
      <c r="AJ15" s="80">
        <f>Credit_Engine!AJ43+Credit_Engine!AJ99+Credit_Engine!AJ155+Credit_Engine!AJ211+Credit_Engine!AJ267</f>
        <v/>
      </c>
      <c r="AK15" s="80">
        <f>Credit_Engine!AK43+Credit_Engine!AK99+Credit_Engine!AK155+Credit_Engine!AK211+Credit_Engine!AK267</f>
        <v/>
      </c>
      <c r="AL15" s="80">
        <f>Credit_Engine!AL43+Credit_Engine!AL99+Credit_Engine!AL155+Credit_Engine!AL211+Credit_Engine!AL267</f>
        <v/>
      </c>
      <c r="AM15" s="80">
        <f>Credit_Engine!AM43+Credit_Engine!AM99+Credit_Engine!AM155+Credit_Engine!AM211+Credit_Engine!AM267</f>
        <v/>
      </c>
      <c r="AN15" s="80">
        <f>Credit_Engine!AN43+Credit_Engine!AN99+Credit_Engine!AN155+Credit_Engine!AN211+Credit_Engine!AN267</f>
        <v/>
      </c>
      <c r="AO15" s="80">
        <f>Credit_Engine!AO43+Credit_Engine!AO99+Credit_Engine!AO155+Credit_Engine!AO211+Credit_Engine!AO267</f>
        <v/>
      </c>
      <c r="AP15" s="80">
        <f>Credit_Engine!AP43+Credit_Engine!AP99+Credit_Engine!AP155+Credit_Engine!AP211+Credit_Engine!AP267</f>
        <v/>
      </c>
      <c r="AQ15" s="80">
        <f>Credit_Engine!AQ43+Credit_Engine!AQ99+Credit_Engine!AQ155+Credit_Engine!AQ211+Credit_Engine!AQ267</f>
        <v/>
      </c>
      <c r="AR15" s="80">
        <f>Credit_Engine!AR43+Credit_Engine!AR99+Credit_Engine!AR155+Credit_Engine!AR211+Credit_Engine!AR267</f>
        <v/>
      </c>
      <c r="AS15" s="80">
        <f>Credit_Engine!AS43+Credit_Engine!AS99+Credit_Engine!AS155+Credit_Engine!AS211+Credit_Engine!AS267</f>
        <v/>
      </c>
      <c r="AT15" s="80">
        <f>Credit_Engine!AT43+Credit_Engine!AT99+Credit_Engine!AT155+Credit_Engine!AT211+Credit_Engine!AT267</f>
        <v/>
      </c>
      <c r="AU15" s="80">
        <f>Credit_Engine!AU43+Credit_Engine!AU99+Credit_Engine!AU155+Credit_Engine!AU211+Credit_Engine!AU267</f>
        <v/>
      </c>
      <c r="AV15" s="80">
        <f>Credit_Engine!AV43+Credit_Engine!AV99+Credit_Engine!AV155+Credit_Engine!AV211+Credit_Engine!AV267</f>
        <v/>
      </c>
      <c r="AW15" s="80">
        <f>Credit_Engine!AW43+Credit_Engine!AW99+Credit_Engine!AW155+Credit_Engine!AW211+Credit_Engine!AW267</f>
        <v/>
      </c>
      <c r="AX15" s="80">
        <f>Credit_Engine!AX43+Credit_Engine!AX99+Credit_Engine!AX155+Credit_Engine!AX211+Credit_Engine!AX267</f>
        <v/>
      </c>
      <c r="AY15" s="80">
        <f>Credit_Engine!AY43+Credit_Engine!AY99+Credit_Engine!AY155+Credit_Engine!AY211+Credit_Engine!AY267</f>
        <v/>
      </c>
      <c r="AZ15" s="80">
        <f>Credit_Engine!AZ43+Credit_Engine!AZ99+Credit_Engine!AZ155+Credit_Engine!AZ211+Credit_Engine!AZ267</f>
        <v/>
      </c>
      <c r="BA15" s="80">
        <f>Credit_Engine!BA43+Credit_Engine!BA99+Credit_Engine!BA155+Credit_Engine!BA211+Credit_Engine!BA267</f>
        <v/>
      </c>
      <c r="BB15" s="80">
        <f>Credit_Engine!BB43+Credit_Engine!BB99+Credit_Engine!BB155+Credit_Engine!BB211+Credit_Engine!BB267</f>
        <v/>
      </c>
      <c r="BC15" s="80">
        <f>Credit_Engine!BC43+Credit_Engine!BC99+Credit_Engine!BC155+Credit_Engine!BC211+Credit_Engine!BC267</f>
        <v/>
      </c>
      <c r="BD15" s="80">
        <f>Credit_Engine!BD43+Credit_Engine!BD99+Credit_Engine!BD155+Credit_Engine!BD211+Credit_Engine!BD267</f>
        <v/>
      </c>
      <c r="BE15" s="80">
        <f>Credit_Engine!BE43+Credit_Engine!BE99+Credit_Engine!BE155+Credit_Engine!BE211+Credit_Engine!BE267</f>
        <v/>
      </c>
      <c r="BF15" s="80">
        <f>Credit_Engine!BF43+Credit_Engine!BF99+Credit_Engine!BF155+Credit_Engine!BF211+Credit_Engine!BF267</f>
        <v/>
      </c>
      <c r="BG15" s="80">
        <f>Credit_Engine!BG43+Credit_Engine!BG99+Credit_Engine!BG155+Credit_Engine!BG211+Credit_Engine!BG267</f>
        <v/>
      </c>
      <c r="BH15" s="80">
        <f>Credit_Engine!BH43+Credit_Engine!BH99+Credit_Engine!BH155+Credit_Engine!BH211+Credit_Engine!BH267</f>
        <v/>
      </c>
      <c r="BI15" s="80">
        <f>Credit_Engine!BI43+Credit_Engine!BI99+Credit_Engine!BI155+Credit_Engine!BI211+Credit_Engine!BI267</f>
        <v/>
      </c>
      <c r="BJ15" s="80">
        <f>Credit_Engine!BJ43+Credit_Engine!BJ99+Credit_Engine!BJ155+Credit_Engine!BJ211+Credit_Engine!BJ267</f>
        <v/>
      </c>
      <c r="BK15" s="80">
        <f>Credit_Engine!BK43+Credit_Engine!BK99+Credit_Engine!BK155+Credit_Engine!BK211+Credit_Engine!BK267</f>
        <v/>
      </c>
      <c r="BL15" s="80">
        <f>Credit_Engine!BL43+Credit_Engine!BL99+Credit_Engine!BL155+Credit_Engine!BL211+Credit_Engine!BL267</f>
        <v/>
      </c>
    </row>
    <row r="16">
      <c r="A16" s="98" t="inlineStr">
        <is>
          <t>180+ DPD</t>
        </is>
      </c>
      <c r="B16" s="65" t="inlineStr"/>
      <c r="C16" s="105">
        <f>BL16</f>
        <v/>
      </c>
      <c r="E16" s="80">
        <f>Credit_Engine!E44+Credit_Engine!E100+Credit_Engine!E156+Credit_Engine!E212+Credit_Engine!E268</f>
        <v/>
      </c>
      <c r="F16" s="80">
        <f>Credit_Engine!F44+Credit_Engine!F100+Credit_Engine!F156+Credit_Engine!F212+Credit_Engine!F268</f>
        <v/>
      </c>
      <c r="G16" s="80">
        <f>Credit_Engine!G44+Credit_Engine!G100+Credit_Engine!G156+Credit_Engine!G212+Credit_Engine!G268</f>
        <v/>
      </c>
      <c r="H16" s="80">
        <f>Credit_Engine!H44+Credit_Engine!H100+Credit_Engine!H156+Credit_Engine!H212+Credit_Engine!H268</f>
        <v/>
      </c>
      <c r="I16" s="80">
        <f>Credit_Engine!I44+Credit_Engine!I100+Credit_Engine!I156+Credit_Engine!I212+Credit_Engine!I268</f>
        <v/>
      </c>
      <c r="J16" s="80">
        <f>Credit_Engine!J44+Credit_Engine!J100+Credit_Engine!J156+Credit_Engine!J212+Credit_Engine!J268</f>
        <v/>
      </c>
      <c r="K16" s="80">
        <f>Credit_Engine!K44+Credit_Engine!K100+Credit_Engine!K156+Credit_Engine!K212+Credit_Engine!K268</f>
        <v/>
      </c>
      <c r="L16" s="80">
        <f>Credit_Engine!L44+Credit_Engine!L100+Credit_Engine!L156+Credit_Engine!L212+Credit_Engine!L268</f>
        <v/>
      </c>
      <c r="M16" s="80">
        <f>Credit_Engine!M44+Credit_Engine!M100+Credit_Engine!M156+Credit_Engine!M212+Credit_Engine!M268</f>
        <v/>
      </c>
      <c r="N16" s="80">
        <f>Credit_Engine!N44+Credit_Engine!N100+Credit_Engine!N156+Credit_Engine!N212+Credit_Engine!N268</f>
        <v/>
      </c>
      <c r="O16" s="80">
        <f>Credit_Engine!O44+Credit_Engine!O100+Credit_Engine!O156+Credit_Engine!O212+Credit_Engine!O268</f>
        <v/>
      </c>
      <c r="P16" s="80">
        <f>Credit_Engine!P44+Credit_Engine!P100+Credit_Engine!P156+Credit_Engine!P212+Credit_Engine!P268</f>
        <v/>
      </c>
      <c r="Q16" s="80">
        <f>Credit_Engine!Q44+Credit_Engine!Q100+Credit_Engine!Q156+Credit_Engine!Q212+Credit_Engine!Q268</f>
        <v/>
      </c>
      <c r="R16" s="80">
        <f>Credit_Engine!R44+Credit_Engine!R100+Credit_Engine!R156+Credit_Engine!R212+Credit_Engine!R268</f>
        <v/>
      </c>
      <c r="S16" s="80">
        <f>Credit_Engine!S44+Credit_Engine!S100+Credit_Engine!S156+Credit_Engine!S212+Credit_Engine!S268</f>
        <v/>
      </c>
      <c r="T16" s="80">
        <f>Credit_Engine!T44+Credit_Engine!T100+Credit_Engine!T156+Credit_Engine!T212+Credit_Engine!T268</f>
        <v/>
      </c>
      <c r="U16" s="80">
        <f>Credit_Engine!U44+Credit_Engine!U100+Credit_Engine!U156+Credit_Engine!U212+Credit_Engine!U268</f>
        <v/>
      </c>
      <c r="V16" s="80">
        <f>Credit_Engine!V44+Credit_Engine!V100+Credit_Engine!V156+Credit_Engine!V212+Credit_Engine!V268</f>
        <v/>
      </c>
      <c r="W16" s="80">
        <f>Credit_Engine!W44+Credit_Engine!W100+Credit_Engine!W156+Credit_Engine!W212+Credit_Engine!W268</f>
        <v/>
      </c>
      <c r="X16" s="80">
        <f>Credit_Engine!X44+Credit_Engine!X100+Credit_Engine!X156+Credit_Engine!X212+Credit_Engine!X268</f>
        <v/>
      </c>
      <c r="Y16" s="80">
        <f>Credit_Engine!Y44+Credit_Engine!Y100+Credit_Engine!Y156+Credit_Engine!Y212+Credit_Engine!Y268</f>
        <v/>
      </c>
      <c r="Z16" s="80">
        <f>Credit_Engine!Z44+Credit_Engine!Z100+Credit_Engine!Z156+Credit_Engine!Z212+Credit_Engine!Z268</f>
        <v/>
      </c>
      <c r="AA16" s="80">
        <f>Credit_Engine!AA44+Credit_Engine!AA100+Credit_Engine!AA156+Credit_Engine!AA212+Credit_Engine!AA268</f>
        <v/>
      </c>
      <c r="AB16" s="80">
        <f>Credit_Engine!AB44+Credit_Engine!AB100+Credit_Engine!AB156+Credit_Engine!AB212+Credit_Engine!AB268</f>
        <v/>
      </c>
      <c r="AC16" s="80">
        <f>Credit_Engine!AC44+Credit_Engine!AC100+Credit_Engine!AC156+Credit_Engine!AC212+Credit_Engine!AC268</f>
        <v/>
      </c>
      <c r="AD16" s="80">
        <f>Credit_Engine!AD44+Credit_Engine!AD100+Credit_Engine!AD156+Credit_Engine!AD212+Credit_Engine!AD268</f>
        <v/>
      </c>
      <c r="AE16" s="80">
        <f>Credit_Engine!AE44+Credit_Engine!AE100+Credit_Engine!AE156+Credit_Engine!AE212+Credit_Engine!AE268</f>
        <v/>
      </c>
      <c r="AF16" s="80">
        <f>Credit_Engine!AF44+Credit_Engine!AF100+Credit_Engine!AF156+Credit_Engine!AF212+Credit_Engine!AF268</f>
        <v/>
      </c>
      <c r="AG16" s="80">
        <f>Credit_Engine!AG44+Credit_Engine!AG100+Credit_Engine!AG156+Credit_Engine!AG212+Credit_Engine!AG268</f>
        <v/>
      </c>
      <c r="AH16" s="80">
        <f>Credit_Engine!AH44+Credit_Engine!AH100+Credit_Engine!AH156+Credit_Engine!AH212+Credit_Engine!AH268</f>
        <v/>
      </c>
      <c r="AI16" s="80">
        <f>Credit_Engine!AI44+Credit_Engine!AI100+Credit_Engine!AI156+Credit_Engine!AI212+Credit_Engine!AI268</f>
        <v/>
      </c>
      <c r="AJ16" s="80">
        <f>Credit_Engine!AJ44+Credit_Engine!AJ100+Credit_Engine!AJ156+Credit_Engine!AJ212+Credit_Engine!AJ268</f>
        <v/>
      </c>
      <c r="AK16" s="80">
        <f>Credit_Engine!AK44+Credit_Engine!AK100+Credit_Engine!AK156+Credit_Engine!AK212+Credit_Engine!AK268</f>
        <v/>
      </c>
      <c r="AL16" s="80">
        <f>Credit_Engine!AL44+Credit_Engine!AL100+Credit_Engine!AL156+Credit_Engine!AL212+Credit_Engine!AL268</f>
        <v/>
      </c>
      <c r="AM16" s="80">
        <f>Credit_Engine!AM44+Credit_Engine!AM100+Credit_Engine!AM156+Credit_Engine!AM212+Credit_Engine!AM268</f>
        <v/>
      </c>
      <c r="AN16" s="80">
        <f>Credit_Engine!AN44+Credit_Engine!AN100+Credit_Engine!AN156+Credit_Engine!AN212+Credit_Engine!AN268</f>
        <v/>
      </c>
      <c r="AO16" s="80">
        <f>Credit_Engine!AO44+Credit_Engine!AO100+Credit_Engine!AO156+Credit_Engine!AO212+Credit_Engine!AO268</f>
        <v/>
      </c>
      <c r="AP16" s="80">
        <f>Credit_Engine!AP44+Credit_Engine!AP100+Credit_Engine!AP156+Credit_Engine!AP212+Credit_Engine!AP268</f>
        <v/>
      </c>
      <c r="AQ16" s="80">
        <f>Credit_Engine!AQ44+Credit_Engine!AQ100+Credit_Engine!AQ156+Credit_Engine!AQ212+Credit_Engine!AQ268</f>
        <v/>
      </c>
      <c r="AR16" s="80">
        <f>Credit_Engine!AR44+Credit_Engine!AR100+Credit_Engine!AR156+Credit_Engine!AR212+Credit_Engine!AR268</f>
        <v/>
      </c>
      <c r="AS16" s="80">
        <f>Credit_Engine!AS44+Credit_Engine!AS100+Credit_Engine!AS156+Credit_Engine!AS212+Credit_Engine!AS268</f>
        <v/>
      </c>
      <c r="AT16" s="80">
        <f>Credit_Engine!AT44+Credit_Engine!AT100+Credit_Engine!AT156+Credit_Engine!AT212+Credit_Engine!AT268</f>
        <v/>
      </c>
      <c r="AU16" s="80">
        <f>Credit_Engine!AU44+Credit_Engine!AU100+Credit_Engine!AU156+Credit_Engine!AU212+Credit_Engine!AU268</f>
        <v/>
      </c>
      <c r="AV16" s="80">
        <f>Credit_Engine!AV44+Credit_Engine!AV100+Credit_Engine!AV156+Credit_Engine!AV212+Credit_Engine!AV268</f>
        <v/>
      </c>
      <c r="AW16" s="80">
        <f>Credit_Engine!AW44+Credit_Engine!AW100+Credit_Engine!AW156+Credit_Engine!AW212+Credit_Engine!AW268</f>
        <v/>
      </c>
      <c r="AX16" s="80">
        <f>Credit_Engine!AX44+Credit_Engine!AX100+Credit_Engine!AX156+Credit_Engine!AX212+Credit_Engine!AX268</f>
        <v/>
      </c>
      <c r="AY16" s="80">
        <f>Credit_Engine!AY44+Credit_Engine!AY100+Credit_Engine!AY156+Credit_Engine!AY212+Credit_Engine!AY268</f>
        <v/>
      </c>
      <c r="AZ16" s="80">
        <f>Credit_Engine!AZ44+Credit_Engine!AZ100+Credit_Engine!AZ156+Credit_Engine!AZ212+Credit_Engine!AZ268</f>
        <v/>
      </c>
      <c r="BA16" s="80">
        <f>Credit_Engine!BA44+Credit_Engine!BA100+Credit_Engine!BA156+Credit_Engine!BA212+Credit_Engine!BA268</f>
        <v/>
      </c>
      <c r="BB16" s="80">
        <f>Credit_Engine!BB44+Credit_Engine!BB100+Credit_Engine!BB156+Credit_Engine!BB212+Credit_Engine!BB268</f>
        <v/>
      </c>
      <c r="BC16" s="80">
        <f>Credit_Engine!BC44+Credit_Engine!BC100+Credit_Engine!BC156+Credit_Engine!BC212+Credit_Engine!BC268</f>
        <v/>
      </c>
      <c r="BD16" s="80">
        <f>Credit_Engine!BD44+Credit_Engine!BD100+Credit_Engine!BD156+Credit_Engine!BD212+Credit_Engine!BD268</f>
        <v/>
      </c>
      <c r="BE16" s="80">
        <f>Credit_Engine!BE44+Credit_Engine!BE100+Credit_Engine!BE156+Credit_Engine!BE212+Credit_Engine!BE268</f>
        <v/>
      </c>
      <c r="BF16" s="80">
        <f>Credit_Engine!BF44+Credit_Engine!BF100+Credit_Engine!BF156+Credit_Engine!BF212+Credit_Engine!BF268</f>
        <v/>
      </c>
      <c r="BG16" s="80">
        <f>Credit_Engine!BG44+Credit_Engine!BG100+Credit_Engine!BG156+Credit_Engine!BG212+Credit_Engine!BG268</f>
        <v/>
      </c>
      <c r="BH16" s="80">
        <f>Credit_Engine!BH44+Credit_Engine!BH100+Credit_Engine!BH156+Credit_Engine!BH212+Credit_Engine!BH268</f>
        <v/>
      </c>
      <c r="BI16" s="80">
        <f>Credit_Engine!BI44+Credit_Engine!BI100+Credit_Engine!BI156+Credit_Engine!BI212+Credit_Engine!BI268</f>
        <v/>
      </c>
      <c r="BJ16" s="80">
        <f>Credit_Engine!BJ44+Credit_Engine!BJ100+Credit_Engine!BJ156+Credit_Engine!BJ212+Credit_Engine!BJ268</f>
        <v/>
      </c>
      <c r="BK16" s="80">
        <f>Credit_Engine!BK44+Credit_Engine!BK100+Credit_Engine!BK156+Credit_Engine!BK212+Credit_Engine!BK268</f>
        <v/>
      </c>
      <c r="BL16" s="80">
        <f>Credit_Engine!BL44+Credit_Engine!BL100+Credit_Engine!BL156+Credit_Engine!BL212+Credit_Engine!BL268</f>
        <v/>
      </c>
    </row>
    <row r="17">
      <c r="A17" s="98" t="inlineStr">
        <is>
          <t>Default EAD</t>
        </is>
      </c>
      <c r="B17" s="65" t="inlineStr"/>
      <c r="C17" s="105">
        <f>BL17</f>
        <v/>
      </c>
      <c r="E17" s="80">
        <f>Credit_Engine!E45+Credit_Engine!E101+Credit_Engine!E157+Credit_Engine!E213+Credit_Engine!E269</f>
        <v/>
      </c>
      <c r="F17" s="80">
        <f>Credit_Engine!F45+Credit_Engine!F101+Credit_Engine!F157+Credit_Engine!F213+Credit_Engine!F269</f>
        <v/>
      </c>
      <c r="G17" s="80">
        <f>Credit_Engine!G45+Credit_Engine!G101+Credit_Engine!G157+Credit_Engine!G213+Credit_Engine!G269</f>
        <v/>
      </c>
      <c r="H17" s="80">
        <f>Credit_Engine!H45+Credit_Engine!H101+Credit_Engine!H157+Credit_Engine!H213+Credit_Engine!H269</f>
        <v/>
      </c>
      <c r="I17" s="80">
        <f>Credit_Engine!I45+Credit_Engine!I101+Credit_Engine!I157+Credit_Engine!I213+Credit_Engine!I269</f>
        <v/>
      </c>
      <c r="J17" s="80">
        <f>Credit_Engine!J45+Credit_Engine!J101+Credit_Engine!J157+Credit_Engine!J213+Credit_Engine!J269</f>
        <v/>
      </c>
      <c r="K17" s="80">
        <f>Credit_Engine!K45+Credit_Engine!K101+Credit_Engine!K157+Credit_Engine!K213+Credit_Engine!K269</f>
        <v/>
      </c>
      <c r="L17" s="80">
        <f>Credit_Engine!L45+Credit_Engine!L101+Credit_Engine!L157+Credit_Engine!L213+Credit_Engine!L269</f>
        <v/>
      </c>
      <c r="M17" s="80">
        <f>Credit_Engine!M45+Credit_Engine!M101+Credit_Engine!M157+Credit_Engine!M213+Credit_Engine!M269</f>
        <v/>
      </c>
      <c r="N17" s="80">
        <f>Credit_Engine!N45+Credit_Engine!N101+Credit_Engine!N157+Credit_Engine!N213+Credit_Engine!N269</f>
        <v/>
      </c>
      <c r="O17" s="80">
        <f>Credit_Engine!O45+Credit_Engine!O101+Credit_Engine!O157+Credit_Engine!O213+Credit_Engine!O269</f>
        <v/>
      </c>
      <c r="P17" s="80">
        <f>Credit_Engine!P45+Credit_Engine!P101+Credit_Engine!P157+Credit_Engine!P213+Credit_Engine!P269</f>
        <v/>
      </c>
      <c r="Q17" s="80">
        <f>Credit_Engine!Q45+Credit_Engine!Q101+Credit_Engine!Q157+Credit_Engine!Q213+Credit_Engine!Q269</f>
        <v/>
      </c>
      <c r="R17" s="80">
        <f>Credit_Engine!R45+Credit_Engine!R101+Credit_Engine!R157+Credit_Engine!R213+Credit_Engine!R269</f>
        <v/>
      </c>
      <c r="S17" s="80">
        <f>Credit_Engine!S45+Credit_Engine!S101+Credit_Engine!S157+Credit_Engine!S213+Credit_Engine!S269</f>
        <v/>
      </c>
      <c r="T17" s="80">
        <f>Credit_Engine!T45+Credit_Engine!T101+Credit_Engine!T157+Credit_Engine!T213+Credit_Engine!T269</f>
        <v/>
      </c>
      <c r="U17" s="80">
        <f>Credit_Engine!U45+Credit_Engine!U101+Credit_Engine!U157+Credit_Engine!U213+Credit_Engine!U269</f>
        <v/>
      </c>
      <c r="V17" s="80">
        <f>Credit_Engine!V45+Credit_Engine!V101+Credit_Engine!V157+Credit_Engine!V213+Credit_Engine!V269</f>
        <v/>
      </c>
      <c r="W17" s="80">
        <f>Credit_Engine!W45+Credit_Engine!W101+Credit_Engine!W157+Credit_Engine!W213+Credit_Engine!W269</f>
        <v/>
      </c>
      <c r="X17" s="80">
        <f>Credit_Engine!X45+Credit_Engine!X101+Credit_Engine!X157+Credit_Engine!X213+Credit_Engine!X269</f>
        <v/>
      </c>
      <c r="Y17" s="80">
        <f>Credit_Engine!Y45+Credit_Engine!Y101+Credit_Engine!Y157+Credit_Engine!Y213+Credit_Engine!Y269</f>
        <v/>
      </c>
      <c r="Z17" s="80">
        <f>Credit_Engine!Z45+Credit_Engine!Z101+Credit_Engine!Z157+Credit_Engine!Z213+Credit_Engine!Z269</f>
        <v/>
      </c>
      <c r="AA17" s="80">
        <f>Credit_Engine!AA45+Credit_Engine!AA101+Credit_Engine!AA157+Credit_Engine!AA213+Credit_Engine!AA269</f>
        <v/>
      </c>
      <c r="AB17" s="80">
        <f>Credit_Engine!AB45+Credit_Engine!AB101+Credit_Engine!AB157+Credit_Engine!AB213+Credit_Engine!AB269</f>
        <v/>
      </c>
      <c r="AC17" s="80">
        <f>Credit_Engine!AC45+Credit_Engine!AC101+Credit_Engine!AC157+Credit_Engine!AC213+Credit_Engine!AC269</f>
        <v/>
      </c>
      <c r="AD17" s="80">
        <f>Credit_Engine!AD45+Credit_Engine!AD101+Credit_Engine!AD157+Credit_Engine!AD213+Credit_Engine!AD269</f>
        <v/>
      </c>
      <c r="AE17" s="80">
        <f>Credit_Engine!AE45+Credit_Engine!AE101+Credit_Engine!AE157+Credit_Engine!AE213+Credit_Engine!AE269</f>
        <v/>
      </c>
      <c r="AF17" s="80">
        <f>Credit_Engine!AF45+Credit_Engine!AF101+Credit_Engine!AF157+Credit_Engine!AF213+Credit_Engine!AF269</f>
        <v/>
      </c>
      <c r="AG17" s="80">
        <f>Credit_Engine!AG45+Credit_Engine!AG101+Credit_Engine!AG157+Credit_Engine!AG213+Credit_Engine!AG269</f>
        <v/>
      </c>
      <c r="AH17" s="80">
        <f>Credit_Engine!AH45+Credit_Engine!AH101+Credit_Engine!AH157+Credit_Engine!AH213+Credit_Engine!AH269</f>
        <v/>
      </c>
      <c r="AI17" s="80">
        <f>Credit_Engine!AI45+Credit_Engine!AI101+Credit_Engine!AI157+Credit_Engine!AI213+Credit_Engine!AI269</f>
        <v/>
      </c>
      <c r="AJ17" s="80">
        <f>Credit_Engine!AJ45+Credit_Engine!AJ101+Credit_Engine!AJ157+Credit_Engine!AJ213+Credit_Engine!AJ269</f>
        <v/>
      </c>
      <c r="AK17" s="80">
        <f>Credit_Engine!AK45+Credit_Engine!AK101+Credit_Engine!AK157+Credit_Engine!AK213+Credit_Engine!AK269</f>
        <v/>
      </c>
      <c r="AL17" s="80">
        <f>Credit_Engine!AL45+Credit_Engine!AL101+Credit_Engine!AL157+Credit_Engine!AL213+Credit_Engine!AL269</f>
        <v/>
      </c>
      <c r="AM17" s="80">
        <f>Credit_Engine!AM45+Credit_Engine!AM101+Credit_Engine!AM157+Credit_Engine!AM213+Credit_Engine!AM269</f>
        <v/>
      </c>
      <c r="AN17" s="80">
        <f>Credit_Engine!AN45+Credit_Engine!AN101+Credit_Engine!AN157+Credit_Engine!AN213+Credit_Engine!AN269</f>
        <v/>
      </c>
      <c r="AO17" s="80">
        <f>Credit_Engine!AO45+Credit_Engine!AO101+Credit_Engine!AO157+Credit_Engine!AO213+Credit_Engine!AO269</f>
        <v/>
      </c>
      <c r="AP17" s="80">
        <f>Credit_Engine!AP45+Credit_Engine!AP101+Credit_Engine!AP157+Credit_Engine!AP213+Credit_Engine!AP269</f>
        <v/>
      </c>
      <c r="AQ17" s="80">
        <f>Credit_Engine!AQ45+Credit_Engine!AQ101+Credit_Engine!AQ157+Credit_Engine!AQ213+Credit_Engine!AQ269</f>
        <v/>
      </c>
      <c r="AR17" s="80">
        <f>Credit_Engine!AR45+Credit_Engine!AR101+Credit_Engine!AR157+Credit_Engine!AR213+Credit_Engine!AR269</f>
        <v/>
      </c>
      <c r="AS17" s="80">
        <f>Credit_Engine!AS45+Credit_Engine!AS101+Credit_Engine!AS157+Credit_Engine!AS213+Credit_Engine!AS269</f>
        <v/>
      </c>
      <c r="AT17" s="80">
        <f>Credit_Engine!AT45+Credit_Engine!AT101+Credit_Engine!AT157+Credit_Engine!AT213+Credit_Engine!AT269</f>
        <v/>
      </c>
      <c r="AU17" s="80">
        <f>Credit_Engine!AU45+Credit_Engine!AU101+Credit_Engine!AU157+Credit_Engine!AU213+Credit_Engine!AU269</f>
        <v/>
      </c>
      <c r="AV17" s="80">
        <f>Credit_Engine!AV45+Credit_Engine!AV101+Credit_Engine!AV157+Credit_Engine!AV213+Credit_Engine!AV269</f>
        <v/>
      </c>
      <c r="AW17" s="80">
        <f>Credit_Engine!AW45+Credit_Engine!AW101+Credit_Engine!AW157+Credit_Engine!AW213+Credit_Engine!AW269</f>
        <v/>
      </c>
      <c r="AX17" s="80">
        <f>Credit_Engine!AX45+Credit_Engine!AX101+Credit_Engine!AX157+Credit_Engine!AX213+Credit_Engine!AX269</f>
        <v/>
      </c>
      <c r="AY17" s="80">
        <f>Credit_Engine!AY45+Credit_Engine!AY101+Credit_Engine!AY157+Credit_Engine!AY213+Credit_Engine!AY269</f>
        <v/>
      </c>
      <c r="AZ17" s="80">
        <f>Credit_Engine!AZ45+Credit_Engine!AZ101+Credit_Engine!AZ157+Credit_Engine!AZ213+Credit_Engine!AZ269</f>
        <v/>
      </c>
      <c r="BA17" s="80">
        <f>Credit_Engine!BA45+Credit_Engine!BA101+Credit_Engine!BA157+Credit_Engine!BA213+Credit_Engine!BA269</f>
        <v/>
      </c>
      <c r="BB17" s="80">
        <f>Credit_Engine!BB45+Credit_Engine!BB101+Credit_Engine!BB157+Credit_Engine!BB213+Credit_Engine!BB269</f>
        <v/>
      </c>
      <c r="BC17" s="80">
        <f>Credit_Engine!BC45+Credit_Engine!BC101+Credit_Engine!BC157+Credit_Engine!BC213+Credit_Engine!BC269</f>
        <v/>
      </c>
      <c r="BD17" s="80">
        <f>Credit_Engine!BD45+Credit_Engine!BD101+Credit_Engine!BD157+Credit_Engine!BD213+Credit_Engine!BD269</f>
        <v/>
      </c>
      <c r="BE17" s="80">
        <f>Credit_Engine!BE45+Credit_Engine!BE101+Credit_Engine!BE157+Credit_Engine!BE213+Credit_Engine!BE269</f>
        <v/>
      </c>
      <c r="BF17" s="80">
        <f>Credit_Engine!BF45+Credit_Engine!BF101+Credit_Engine!BF157+Credit_Engine!BF213+Credit_Engine!BF269</f>
        <v/>
      </c>
      <c r="BG17" s="80">
        <f>Credit_Engine!BG45+Credit_Engine!BG101+Credit_Engine!BG157+Credit_Engine!BG213+Credit_Engine!BG269</f>
        <v/>
      </c>
      <c r="BH17" s="80">
        <f>Credit_Engine!BH45+Credit_Engine!BH101+Credit_Engine!BH157+Credit_Engine!BH213+Credit_Engine!BH269</f>
        <v/>
      </c>
      <c r="BI17" s="80">
        <f>Credit_Engine!BI45+Credit_Engine!BI101+Credit_Engine!BI157+Credit_Engine!BI213+Credit_Engine!BI269</f>
        <v/>
      </c>
      <c r="BJ17" s="80">
        <f>Credit_Engine!BJ45+Credit_Engine!BJ101+Credit_Engine!BJ157+Credit_Engine!BJ213+Credit_Engine!BJ269</f>
        <v/>
      </c>
      <c r="BK17" s="80">
        <f>Credit_Engine!BK45+Credit_Engine!BK101+Credit_Engine!BK157+Credit_Engine!BK213+Credit_Engine!BK269</f>
        <v/>
      </c>
      <c r="BL17" s="80">
        <f>Credit_Engine!BL45+Credit_Engine!BL101+Credit_Engine!BL157+Credit_Engine!BL213+Credit_Engine!BL269</f>
        <v/>
      </c>
    </row>
    <row r="18">
      <c r="A18" s="98" t="inlineStr">
        <is>
          <t>Collections</t>
        </is>
      </c>
      <c r="B18" s="65" t="inlineStr"/>
      <c r="C18" s="105">
        <f>BL18</f>
        <v/>
      </c>
      <c r="E18" s="80">
        <f>Credit_Engine!E53+Credit_Engine!E109+Credit_Engine!E165+Credit_Engine!E221+Credit_Engine!E277</f>
        <v/>
      </c>
      <c r="F18" s="80">
        <f>Credit_Engine!F53+Credit_Engine!F109+Credit_Engine!F165+Credit_Engine!F221+Credit_Engine!F277</f>
        <v/>
      </c>
      <c r="G18" s="80">
        <f>Credit_Engine!G53+Credit_Engine!G109+Credit_Engine!G165+Credit_Engine!G221+Credit_Engine!G277</f>
        <v/>
      </c>
      <c r="H18" s="80">
        <f>Credit_Engine!H53+Credit_Engine!H109+Credit_Engine!H165+Credit_Engine!H221+Credit_Engine!H277</f>
        <v/>
      </c>
      <c r="I18" s="80">
        <f>Credit_Engine!I53+Credit_Engine!I109+Credit_Engine!I165+Credit_Engine!I221+Credit_Engine!I277</f>
        <v/>
      </c>
      <c r="J18" s="80">
        <f>Credit_Engine!J53+Credit_Engine!J109+Credit_Engine!J165+Credit_Engine!J221+Credit_Engine!J277</f>
        <v/>
      </c>
      <c r="K18" s="80">
        <f>Credit_Engine!K53+Credit_Engine!K109+Credit_Engine!K165+Credit_Engine!K221+Credit_Engine!K277</f>
        <v/>
      </c>
      <c r="L18" s="80">
        <f>Credit_Engine!L53+Credit_Engine!L109+Credit_Engine!L165+Credit_Engine!L221+Credit_Engine!L277</f>
        <v/>
      </c>
      <c r="M18" s="80">
        <f>Credit_Engine!M53+Credit_Engine!M109+Credit_Engine!M165+Credit_Engine!M221+Credit_Engine!M277</f>
        <v/>
      </c>
      <c r="N18" s="80">
        <f>Credit_Engine!N53+Credit_Engine!N109+Credit_Engine!N165+Credit_Engine!N221+Credit_Engine!N277</f>
        <v/>
      </c>
      <c r="O18" s="80">
        <f>Credit_Engine!O53+Credit_Engine!O109+Credit_Engine!O165+Credit_Engine!O221+Credit_Engine!O277</f>
        <v/>
      </c>
      <c r="P18" s="80">
        <f>Credit_Engine!P53+Credit_Engine!P109+Credit_Engine!P165+Credit_Engine!P221+Credit_Engine!P277</f>
        <v/>
      </c>
      <c r="Q18" s="80">
        <f>Credit_Engine!Q53+Credit_Engine!Q109+Credit_Engine!Q165+Credit_Engine!Q221+Credit_Engine!Q277</f>
        <v/>
      </c>
      <c r="R18" s="80">
        <f>Credit_Engine!R53+Credit_Engine!R109+Credit_Engine!R165+Credit_Engine!R221+Credit_Engine!R277</f>
        <v/>
      </c>
      <c r="S18" s="80">
        <f>Credit_Engine!S53+Credit_Engine!S109+Credit_Engine!S165+Credit_Engine!S221+Credit_Engine!S277</f>
        <v/>
      </c>
      <c r="T18" s="80">
        <f>Credit_Engine!T53+Credit_Engine!T109+Credit_Engine!T165+Credit_Engine!T221+Credit_Engine!T277</f>
        <v/>
      </c>
      <c r="U18" s="80">
        <f>Credit_Engine!U53+Credit_Engine!U109+Credit_Engine!U165+Credit_Engine!U221+Credit_Engine!U277</f>
        <v/>
      </c>
      <c r="V18" s="80">
        <f>Credit_Engine!V53+Credit_Engine!V109+Credit_Engine!V165+Credit_Engine!V221+Credit_Engine!V277</f>
        <v/>
      </c>
      <c r="W18" s="80">
        <f>Credit_Engine!W53+Credit_Engine!W109+Credit_Engine!W165+Credit_Engine!W221+Credit_Engine!W277</f>
        <v/>
      </c>
      <c r="X18" s="80">
        <f>Credit_Engine!X53+Credit_Engine!X109+Credit_Engine!X165+Credit_Engine!X221+Credit_Engine!X277</f>
        <v/>
      </c>
      <c r="Y18" s="80">
        <f>Credit_Engine!Y53+Credit_Engine!Y109+Credit_Engine!Y165+Credit_Engine!Y221+Credit_Engine!Y277</f>
        <v/>
      </c>
      <c r="Z18" s="80">
        <f>Credit_Engine!Z53+Credit_Engine!Z109+Credit_Engine!Z165+Credit_Engine!Z221+Credit_Engine!Z277</f>
        <v/>
      </c>
      <c r="AA18" s="80">
        <f>Credit_Engine!AA53+Credit_Engine!AA109+Credit_Engine!AA165+Credit_Engine!AA221+Credit_Engine!AA277</f>
        <v/>
      </c>
      <c r="AB18" s="80">
        <f>Credit_Engine!AB53+Credit_Engine!AB109+Credit_Engine!AB165+Credit_Engine!AB221+Credit_Engine!AB277</f>
        <v/>
      </c>
      <c r="AC18" s="80">
        <f>Credit_Engine!AC53+Credit_Engine!AC109+Credit_Engine!AC165+Credit_Engine!AC221+Credit_Engine!AC277</f>
        <v/>
      </c>
      <c r="AD18" s="80">
        <f>Credit_Engine!AD53+Credit_Engine!AD109+Credit_Engine!AD165+Credit_Engine!AD221+Credit_Engine!AD277</f>
        <v/>
      </c>
      <c r="AE18" s="80">
        <f>Credit_Engine!AE53+Credit_Engine!AE109+Credit_Engine!AE165+Credit_Engine!AE221+Credit_Engine!AE277</f>
        <v/>
      </c>
      <c r="AF18" s="80">
        <f>Credit_Engine!AF53+Credit_Engine!AF109+Credit_Engine!AF165+Credit_Engine!AF221+Credit_Engine!AF277</f>
        <v/>
      </c>
      <c r="AG18" s="80">
        <f>Credit_Engine!AG53+Credit_Engine!AG109+Credit_Engine!AG165+Credit_Engine!AG221+Credit_Engine!AG277</f>
        <v/>
      </c>
      <c r="AH18" s="80">
        <f>Credit_Engine!AH53+Credit_Engine!AH109+Credit_Engine!AH165+Credit_Engine!AH221+Credit_Engine!AH277</f>
        <v/>
      </c>
      <c r="AI18" s="80">
        <f>Credit_Engine!AI53+Credit_Engine!AI109+Credit_Engine!AI165+Credit_Engine!AI221+Credit_Engine!AI277</f>
        <v/>
      </c>
      <c r="AJ18" s="80">
        <f>Credit_Engine!AJ53+Credit_Engine!AJ109+Credit_Engine!AJ165+Credit_Engine!AJ221+Credit_Engine!AJ277</f>
        <v/>
      </c>
      <c r="AK18" s="80">
        <f>Credit_Engine!AK53+Credit_Engine!AK109+Credit_Engine!AK165+Credit_Engine!AK221+Credit_Engine!AK277</f>
        <v/>
      </c>
      <c r="AL18" s="80">
        <f>Credit_Engine!AL53+Credit_Engine!AL109+Credit_Engine!AL165+Credit_Engine!AL221+Credit_Engine!AL277</f>
        <v/>
      </c>
      <c r="AM18" s="80">
        <f>Credit_Engine!AM53+Credit_Engine!AM109+Credit_Engine!AM165+Credit_Engine!AM221+Credit_Engine!AM277</f>
        <v/>
      </c>
      <c r="AN18" s="80">
        <f>Credit_Engine!AN53+Credit_Engine!AN109+Credit_Engine!AN165+Credit_Engine!AN221+Credit_Engine!AN277</f>
        <v/>
      </c>
      <c r="AO18" s="80">
        <f>Credit_Engine!AO53+Credit_Engine!AO109+Credit_Engine!AO165+Credit_Engine!AO221+Credit_Engine!AO277</f>
        <v/>
      </c>
      <c r="AP18" s="80">
        <f>Credit_Engine!AP53+Credit_Engine!AP109+Credit_Engine!AP165+Credit_Engine!AP221+Credit_Engine!AP277</f>
        <v/>
      </c>
      <c r="AQ18" s="80">
        <f>Credit_Engine!AQ53+Credit_Engine!AQ109+Credit_Engine!AQ165+Credit_Engine!AQ221+Credit_Engine!AQ277</f>
        <v/>
      </c>
      <c r="AR18" s="80">
        <f>Credit_Engine!AR53+Credit_Engine!AR109+Credit_Engine!AR165+Credit_Engine!AR221+Credit_Engine!AR277</f>
        <v/>
      </c>
      <c r="AS18" s="80">
        <f>Credit_Engine!AS53+Credit_Engine!AS109+Credit_Engine!AS165+Credit_Engine!AS221+Credit_Engine!AS277</f>
        <v/>
      </c>
      <c r="AT18" s="80">
        <f>Credit_Engine!AT53+Credit_Engine!AT109+Credit_Engine!AT165+Credit_Engine!AT221+Credit_Engine!AT277</f>
        <v/>
      </c>
      <c r="AU18" s="80">
        <f>Credit_Engine!AU53+Credit_Engine!AU109+Credit_Engine!AU165+Credit_Engine!AU221+Credit_Engine!AU277</f>
        <v/>
      </c>
      <c r="AV18" s="80">
        <f>Credit_Engine!AV53+Credit_Engine!AV109+Credit_Engine!AV165+Credit_Engine!AV221+Credit_Engine!AV277</f>
        <v/>
      </c>
      <c r="AW18" s="80">
        <f>Credit_Engine!AW53+Credit_Engine!AW109+Credit_Engine!AW165+Credit_Engine!AW221+Credit_Engine!AW277</f>
        <v/>
      </c>
      <c r="AX18" s="80">
        <f>Credit_Engine!AX53+Credit_Engine!AX109+Credit_Engine!AX165+Credit_Engine!AX221+Credit_Engine!AX277</f>
        <v/>
      </c>
      <c r="AY18" s="80">
        <f>Credit_Engine!AY53+Credit_Engine!AY109+Credit_Engine!AY165+Credit_Engine!AY221+Credit_Engine!AY277</f>
        <v/>
      </c>
      <c r="AZ18" s="80">
        <f>Credit_Engine!AZ53+Credit_Engine!AZ109+Credit_Engine!AZ165+Credit_Engine!AZ221+Credit_Engine!AZ277</f>
        <v/>
      </c>
      <c r="BA18" s="80">
        <f>Credit_Engine!BA53+Credit_Engine!BA109+Credit_Engine!BA165+Credit_Engine!BA221+Credit_Engine!BA277</f>
        <v/>
      </c>
      <c r="BB18" s="80">
        <f>Credit_Engine!BB53+Credit_Engine!BB109+Credit_Engine!BB165+Credit_Engine!BB221+Credit_Engine!BB277</f>
        <v/>
      </c>
      <c r="BC18" s="80">
        <f>Credit_Engine!BC53+Credit_Engine!BC109+Credit_Engine!BC165+Credit_Engine!BC221+Credit_Engine!BC277</f>
        <v/>
      </c>
      <c r="BD18" s="80">
        <f>Credit_Engine!BD53+Credit_Engine!BD109+Credit_Engine!BD165+Credit_Engine!BD221+Credit_Engine!BD277</f>
        <v/>
      </c>
      <c r="BE18" s="80">
        <f>Credit_Engine!BE53+Credit_Engine!BE109+Credit_Engine!BE165+Credit_Engine!BE221+Credit_Engine!BE277</f>
        <v/>
      </c>
      <c r="BF18" s="80">
        <f>Credit_Engine!BF53+Credit_Engine!BF109+Credit_Engine!BF165+Credit_Engine!BF221+Credit_Engine!BF277</f>
        <v/>
      </c>
      <c r="BG18" s="80">
        <f>Credit_Engine!BG53+Credit_Engine!BG109+Credit_Engine!BG165+Credit_Engine!BG221+Credit_Engine!BG277</f>
        <v/>
      </c>
      <c r="BH18" s="80">
        <f>Credit_Engine!BH53+Credit_Engine!BH109+Credit_Engine!BH165+Credit_Engine!BH221+Credit_Engine!BH277</f>
        <v/>
      </c>
      <c r="BI18" s="80">
        <f>Credit_Engine!BI53+Credit_Engine!BI109+Credit_Engine!BI165+Credit_Engine!BI221+Credit_Engine!BI277</f>
        <v/>
      </c>
      <c r="BJ18" s="80">
        <f>Credit_Engine!BJ53+Credit_Engine!BJ109+Credit_Engine!BJ165+Credit_Engine!BJ221+Credit_Engine!BJ277</f>
        <v/>
      </c>
      <c r="BK18" s="80">
        <f>Credit_Engine!BK53+Credit_Engine!BK109+Credit_Engine!BK165+Credit_Engine!BK221+Credit_Engine!BK277</f>
        <v/>
      </c>
      <c r="BL18" s="80">
        <f>Credit_Engine!BL53+Credit_Engine!BL109+Credit_Engine!BL165+Credit_Engine!BL221+Credit_Engine!BL277</f>
        <v/>
      </c>
    </row>
    <row r="19">
      <c r="A19" s="98" t="inlineStr">
        <is>
          <t>Instalments due</t>
        </is>
      </c>
      <c r="B19" s="65" t="inlineStr"/>
      <c r="C19" s="105">
        <f>BL19</f>
        <v/>
      </c>
      <c r="E19" s="80">
        <f>Credit_Engine!E54+Credit_Engine!E110+Credit_Engine!E166+Credit_Engine!E222+Credit_Engine!E278</f>
        <v/>
      </c>
      <c r="F19" s="80">
        <f>Credit_Engine!F54+Credit_Engine!F110+Credit_Engine!F166+Credit_Engine!F222+Credit_Engine!F278</f>
        <v/>
      </c>
      <c r="G19" s="80">
        <f>Credit_Engine!G54+Credit_Engine!G110+Credit_Engine!G166+Credit_Engine!G222+Credit_Engine!G278</f>
        <v/>
      </c>
      <c r="H19" s="80">
        <f>Credit_Engine!H54+Credit_Engine!H110+Credit_Engine!H166+Credit_Engine!H222+Credit_Engine!H278</f>
        <v/>
      </c>
      <c r="I19" s="80">
        <f>Credit_Engine!I54+Credit_Engine!I110+Credit_Engine!I166+Credit_Engine!I222+Credit_Engine!I278</f>
        <v/>
      </c>
      <c r="J19" s="80">
        <f>Credit_Engine!J54+Credit_Engine!J110+Credit_Engine!J166+Credit_Engine!J222+Credit_Engine!J278</f>
        <v/>
      </c>
      <c r="K19" s="80">
        <f>Credit_Engine!K54+Credit_Engine!K110+Credit_Engine!K166+Credit_Engine!K222+Credit_Engine!K278</f>
        <v/>
      </c>
      <c r="L19" s="80">
        <f>Credit_Engine!L54+Credit_Engine!L110+Credit_Engine!L166+Credit_Engine!L222+Credit_Engine!L278</f>
        <v/>
      </c>
      <c r="M19" s="80">
        <f>Credit_Engine!M54+Credit_Engine!M110+Credit_Engine!M166+Credit_Engine!M222+Credit_Engine!M278</f>
        <v/>
      </c>
      <c r="N19" s="80">
        <f>Credit_Engine!N54+Credit_Engine!N110+Credit_Engine!N166+Credit_Engine!N222+Credit_Engine!N278</f>
        <v/>
      </c>
      <c r="O19" s="80">
        <f>Credit_Engine!O54+Credit_Engine!O110+Credit_Engine!O166+Credit_Engine!O222+Credit_Engine!O278</f>
        <v/>
      </c>
      <c r="P19" s="80">
        <f>Credit_Engine!P54+Credit_Engine!P110+Credit_Engine!P166+Credit_Engine!P222+Credit_Engine!P278</f>
        <v/>
      </c>
      <c r="Q19" s="80">
        <f>Credit_Engine!Q54+Credit_Engine!Q110+Credit_Engine!Q166+Credit_Engine!Q222+Credit_Engine!Q278</f>
        <v/>
      </c>
      <c r="R19" s="80">
        <f>Credit_Engine!R54+Credit_Engine!R110+Credit_Engine!R166+Credit_Engine!R222+Credit_Engine!R278</f>
        <v/>
      </c>
      <c r="S19" s="80">
        <f>Credit_Engine!S54+Credit_Engine!S110+Credit_Engine!S166+Credit_Engine!S222+Credit_Engine!S278</f>
        <v/>
      </c>
      <c r="T19" s="80">
        <f>Credit_Engine!T54+Credit_Engine!T110+Credit_Engine!T166+Credit_Engine!T222+Credit_Engine!T278</f>
        <v/>
      </c>
      <c r="U19" s="80">
        <f>Credit_Engine!U54+Credit_Engine!U110+Credit_Engine!U166+Credit_Engine!U222+Credit_Engine!U278</f>
        <v/>
      </c>
      <c r="V19" s="80">
        <f>Credit_Engine!V54+Credit_Engine!V110+Credit_Engine!V166+Credit_Engine!V222+Credit_Engine!V278</f>
        <v/>
      </c>
      <c r="W19" s="80">
        <f>Credit_Engine!W54+Credit_Engine!W110+Credit_Engine!W166+Credit_Engine!W222+Credit_Engine!W278</f>
        <v/>
      </c>
      <c r="X19" s="80">
        <f>Credit_Engine!X54+Credit_Engine!X110+Credit_Engine!X166+Credit_Engine!X222+Credit_Engine!X278</f>
        <v/>
      </c>
      <c r="Y19" s="80">
        <f>Credit_Engine!Y54+Credit_Engine!Y110+Credit_Engine!Y166+Credit_Engine!Y222+Credit_Engine!Y278</f>
        <v/>
      </c>
      <c r="Z19" s="80">
        <f>Credit_Engine!Z54+Credit_Engine!Z110+Credit_Engine!Z166+Credit_Engine!Z222+Credit_Engine!Z278</f>
        <v/>
      </c>
      <c r="AA19" s="80">
        <f>Credit_Engine!AA54+Credit_Engine!AA110+Credit_Engine!AA166+Credit_Engine!AA222+Credit_Engine!AA278</f>
        <v/>
      </c>
      <c r="AB19" s="80">
        <f>Credit_Engine!AB54+Credit_Engine!AB110+Credit_Engine!AB166+Credit_Engine!AB222+Credit_Engine!AB278</f>
        <v/>
      </c>
      <c r="AC19" s="80">
        <f>Credit_Engine!AC54+Credit_Engine!AC110+Credit_Engine!AC166+Credit_Engine!AC222+Credit_Engine!AC278</f>
        <v/>
      </c>
      <c r="AD19" s="80">
        <f>Credit_Engine!AD54+Credit_Engine!AD110+Credit_Engine!AD166+Credit_Engine!AD222+Credit_Engine!AD278</f>
        <v/>
      </c>
      <c r="AE19" s="80">
        <f>Credit_Engine!AE54+Credit_Engine!AE110+Credit_Engine!AE166+Credit_Engine!AE222+Credit_Engine!AE278</f>
        <v/>
      </c>
      <c r="AF19" s="80">
        <f>Credit_Engine!AF54+Credit_Engine!AF110+Credit_Engine!AF166+Credit_Engine!AF222+Credit_Engine!AF278</f>
        <v/>
      </c>
      <c r="AG19" s="80">
        <f>Credit_Engine!AG54+Credit_Engine!AG110+Credit_Engine!AG166+Credit_Engine!AG222+Credit_Engine!AG278</f>
        <v/>
      </c>
      <c r="AH19" s="80">
        <f>Credit_Engine!AH54+Credit_Engine!AH110+Credit_Engine!AH166+Credit_Engine!AH222+Credit_Engine!AH278</f>
        <v/>
      </c>
      <c r="AI19" s="80">
        <f>Credit_Engine!AI54+Credit_Engine!AI110+Credit_Engine!AI166+Credit_Engine!AI222+Credit_Engine!AI278</f>
        <v/>
      </c>
      <c r="AJ19" s="80">
        <f>Credit_Engine!AJ54+Credit_Engine!AJ110+Credit_Engine!AJ166+Credit_Engine!AJ222+Credit_Engine!AJ278</f>
        <v/>
      </c>
      <c r="AK19" s="80">
        <f>Credit_Engine!AK54+Credit_Engine!AK110+Credit_Engine!AK166+Credit_Engine!AK222+Credit_Engine!AK278</f>
        <v/>
      </c>
      <c r="AL19" s="80">
        <f>Credit_Engine!AL54+Credit_Engine!AL110+Credit_Engine!AL166+Credit_Engine!AL222+Credit_Engine!AL278</f>
        <v/>
      </c>
      <c r="AM19" s="80">
        <f>Credit_Engine!AM54+Credit_Engine!AM110+Credit_Engine!AM166+Credit_Engine!AM222+Credit_Engine!AM278</f>
        <v/>
      </c>
      <c r="AN19" s="80">
        <f>Credit_Engine!AN54+Credit_Engine!AN110+Credit_Engine!AN166+Credit_Engine!AN222+Credit_Engine!AN278</f>
        <v/>
      </c>
      <c r="AO19" s="80">
        <f>Credit_Engine!AO54+Credit_Engine!AO110+Credit_Engine!AO166+Credit_Engine!AO222+Credit_Engine!AO278</f>
        <v/>
      </c>
      <c r="AP19" s="80">
        <f>Credit_Engine!AP54+Credit_Engine!AP110+Credit_Engine!AP166+Credit_Engine!AP222+Credit_Engine!AP278</f>
        <v/>
      </c>
      <c r="AQ19" s="80">
        <f>Credit_Engine!AQ54+Credit_Engine!AQ110+Credit_Engine!AQ166+Credit_Engine!AQ222+Credit_Engine!AQ278</f>
        <v/>
      </c>
      <c r="AR19" s="80">
        <f>Credit_Engine!AR54+Credit_Engine!AR110+Credit_Engine!AR166+Credit_Engine!AR222+Credit_Engine!AR278</f>
        <v/>
      </c>
      <c r="AS19" s="80">
        <f>Credit_Engine!AS54+Credit_Engine!AS110+Credit_Engine!AS166+Credit_Engine!AS222+Credit_Engine!AS278</f>
        <v/>
      </c>
      <c r="AT19" s="80">
        <f>Credit_Engine!AT54+Credit_Engine!AT110+Credit_Engine!AT166+Credit_Engine!AT222+Credit_Engine!AT278</f>
        <v/>
      </c>
      <c r="AU19" s="80">
        <f>Credit_Engine!AU54+Credit_Engine!AU110+Credit_Engine!AU166+Credit_Engine!AU222+Credit_Engine!AU278</f>
        <v/>
      </c>
      <c r="AV19" s="80">
        <f>Credit_Engine!AV54+Credit_Engine!AV110+Credit_Engine!AV166+Credit_Engine!AV222+Credit_Engine!AV278</f>
        <v/>
      </c>
      <c r="AW19" s="80">
        <f>Credit_Engine!AW54+Credit_Engine!AW110+Credit_Engine!AW166+Credit_Engine!AW222+Credit_Engine!AW278</f>
        <v/>
      </c>
      <c r="AX19" s="80">
        <f>Credit_Engine!AX54+Credit_Engine!AX110+Credit_Engine!AX166+Credit_Engine!AX222+Credit_Engine!AX278</f>
        <v/>
      </c>
      <c r="AY19" s="80">
        <f>Credit_Engine!AY54+Credit_Engine!AY110+Credit_Engine!AY166+Credit_Engine!AY222+Credit_Engine!AY278</f>
        <v/>
      </c>
      <c r="AZ19" s="80">
        <f>Credit_Engine!AZ54+Credit_Engine!AZ110+Credit_Engine!AZ166+Credit_Engine!AZ222+Credit_Engine!AZ278</f>
        <v/>
      </c>
      <c r="BA19" s="80">
        <f>Credit_Engine!BA54+Credit_Engine!BA110+Credit_Engine!BA166+Credit_Engine!BA222+Credit_Engine!BA278</f>
        <v/>
      </c>
      <c r="BB19" s="80">
        <f>Credit_Engine!BB54+Credit_Engine!BB110+Credit_Engine!BB166+Credit_Engine!BB222+Credit_Engine!BB278</f>
        <v/>
      </c>
      <c r="BC19" s="80">
        <f>Credit_Engine!BC54+Credit_Engine!BC110+Credit_Engine!BC166+Credit_Engine!BC222+Credit_Engine!BC278</f>
        <v/>
      </c>
      <c r="BD19" s="80">
        <f>Credit_Engine!BD54+Credit_Engine!BD110+Credit_Engine!BD166+Credit_Engine!BD222+Credit_Engine!BD278</f>
        <v/>
      </c>
      <c r="BE19" s="80">
        <f>Credit_Engine!BE54+Credit_Engine!BE110+Credit_Engine!BE166+Credit_Engine!BE222+Credit_Engine!BE278</f>
        <v/>
      </c>
      <c r="BF19" s="80">
        <f>Credit_Engine!BF54+Credit_Engine!BF110+Credit_Engine!BF166+Credit_Engine!BF222+Credit_Engine!BF278</f>
        <v/>
      </c>
      <c r="BG19" s="80">
        <f>Credit_Engine!BG54+Credit_Engine!BG110+Credit_Engine!BG166+Credit_Engine!BG222+Credit_Engine!BG278</f>
        <v/>
      </c>
      <c r="BH19" s="80">
        <f>Credit_Engine!BH54+Credit_Engine!BH110+Credit_Engine!BH166+Credit_Engine!BH222+Credit_Engine!BH278</f>
        <v/>
      </c>
      <c r="BI19" s="80">
        <f>Credit_Engine!BI54+Credit_Engine!BI110+Credit_Engine!BI166+Credit_Engine!BI222+Credit_Engine!BI278</f>
        <v/>
      </c>
      <c r="BJ19" s="80">
        <f>Credit_Engine!BJ54+Credit_Engine!BJ110+Credit_Engine!BJ166+Credit_Engine!BJ222+Credit_Engine!BJ278</f>
        <v/>
      </c>
      <c r="BK19" s="80">
        <f>Credit_Engine!BK54+Credit_Engine!BK110+Credit_Engine!BK166+Credit_Engine!BK222+Credit_Engine!BK278</f>
        <v/>
      </c>
      <c r="BL19" s="80">
        <f>Credit_Engine!BL54+Credit_Engine!BL110+Credit_Engine!BL166+Credit_Engine!BL222+Credit_Engine!BL278</f>
        <v/>
      </c>
    </row>
    <row r="20">
      <c r="A20" s="98" t="inlineStr">
        <is>
          <t>Collection ratio</t>
        </is>
      </c>
      <c r="B20" s="65" t="inlineStr"/>
      <c r="C20" s="106">
        <f>BL20</f>
        <v/>
      </c>
      <c r="E20" s="81">
        <f>IF(E19=0,0,E18/E19)</f>
        <v/>
      </c>
      <c r="F20" s="81">
        <f>IF(F19=0,0,F18/F19)</f>
        <v/>
      </c>
      <c r="G20" s="81">
        <f>IF(G19=0,0,G18/G19)</f>
        <v/>
      </c>
      <c r="H20" s="81">
        <f>IF(H19=0,0,H18/H19)</f>
        <v/>
      </c>
      <c r="I20" s="81">
        <f>IF(I19=0,0,I18/I19)</f>
        <v/>
      </c>
      <c r="J20" s="81">
        <f>IF(J19=0,0,J18/J19)</f>
        <v/>
      </c>
      <c r="K20" s="81">
        <f>IF(K19=0,0,K18/K19)</f>
        <v/>
      </c>
      <c r="L20" s="81">
        <f>IF(L19=0,0,L18/L19)</f>
        <v/>
      </c>
      <c r="M20" s="81">
        <f>IF(M19=0,0,M18/M19)</f>
        <v/>
      </c>
      <c r="N20" s="81">
        <f>IF(N19=0,0,N18/N19)</f>
        <v/>
      </c>
      <c r="O20" s="81">
        <f>IF(O19=0,0,O18/O19)</f>
        <v/>
      </c>
      <c r="P20" s="81">
        <f>IF(P19=0,0,P18/P19)</f>
        <v/>
      </c>
      <c r="Q20" s="81">
        <f>IF(Q19=0,0,Q18/Q19)</f>
        <v/>
      </c>
      <c r="R20" s="81">
        <f>IF(R19=0,0,R18/R19)</f>
        <v/>
      </c>
      <c r="S20" s="81">
        <f>IF(S19=0,0,S18/S19)</f>
        <v/>
      </c>
      <c r="T20" s="81">
        <f>IF(T19=0,0,T18/T19)</f>
        <v/>
      </c>
      <c r="U20" s="81">
        <f>IF(U19=0,0,U18/U19)</f>
        <v/>
      </c>
      <c r="V20" s="81">
        <f>IF(V19=0,0,V18/V19)</f>
        <v/>
      </c>
      <c r="W20" s="81">
        <f>IF(W19=0,0,W18/W19)</f>
        <v/>
      </c>
      <c r="X20" s="81">
        <f>IF(X19=0,0,X18/X19)</f>
        <v/>
      </c>
      <c r="Y20" s="81">
        <f>IF(Y19=0,0,Y18/Y19)</f>
        <v/>
      </c>
      <c r="Z20" s="81">
        <f>IF(Z19=0,0,Z18/Z19)</f>
        <v/>
      </c>
      <c r="AA20" s="81">
        <f>IF(AA19=0,0,AA18/AA19)</f>
        <v/>
      </c>
      <c r="AB20" s="81">
        <f>IF(AB19=0,0,AB18/AB19)</f>
        <v/>
      </c>
      <c r="AC20" s="81">
        <f>IF(AC19=0,0,AC18/AC19)</f>
        <v/>
      </c>
      <c r="AD20" s="81">
        <f>IF(AD19=0,0,AD18/AD19)</f>
        <v/>
      </c>
      <c r="AE20" s="81">
        <f>IF(AE19=0,0,AE18/AE19)</f>
        <v/>
      </c>
      <c r="AF20" s="81">
        <f>IF(AF19=0,0,AF18/AF19)</f>
        <v/>
      </c>
      <c r="AG20" s="81">
        <f>IF(AG19=0,0,AG18/AG19)</f>
        <v/>
      </c>
      <c r="AH20" s="81">
        <f>IF(AH19=0,0,AH18/AH19)</f>
        <v/>
      </c>
      <c r="AI20" s="81">
        <f>IF(AI19=0,0,AI18/AI19)</f>
        <v/>
      </c>
      <c r="AJ20" s="81">
        <f>IF(AJ19=0,0,AJ18/AJ19)</f>
        <v/>
      </c>
      <c r="AK20" s="81">
        <f>IF(AK19=0,0,AK18/AK19)</f>
        <v/>
      </c>
      <c r="AL20" s="81">
        <f>IF(AL19=0,0,AL18/AL19)</f>
        <v/>
      </c>
      <c r="AM20" s="81">
        <f>IF(AM19=0,0,AM18/AM19)</f>
        <v/>
      </c>
      <c r="AN20" s="81">
        <f>IF(AN19=0,0,AN18/AN19)</f>
        <v/>
      </c>
      <c r="AO20" s="81">
        <f>IF(AO19=0,0,AO18/AO19)</f>
        <v/>
      </c>
      <c r="AP20" s="81">
        <f>IF(AP19=0,0,AP18/AP19)</f>
        <v/>
      </c>
      <c r="AQ20" s="81">
        <f>IF(AQ19=0,0,AQ18/AQ19)</f>
        <v/>
      </c>
      <c r="AR20" s="81">
        <f>IF(AR19=0,0,AR18/AR19)</f>
        <v/>
      </c>
      <c r="AS20" s="81">
        <f>IF(AS19=0,0,AS18/AS19)</f>
        <v/>
      </c>
      <c r="AT20" s="81">
        <f>IF(AT19=0,0,AT18/AT19)</f>
        <v/>
      </c>
      <c r="AU20" s="81">
        <f>IF(AU19=0,0,AU18/AU19)</f>
        <v/>
      </c>
      <c r="AV20" s="81">
        <f>IF(AV19=0,0,AV18/AV19)</f>
        <v/>
      </c>
      <c r="AW20" s="81">
        <f>IF(AW19=0,0,AW18/AW19)</f>
        <v/>
      </c>
      <c r="AX20" s="81">
        <f>IF(AX19=0,0,AX18/AX19)</f>
        <v/>
      </c>
      <c r="AY20" s="81">
        <f>IF(AY19=0,0,AY18/AY19)</f>
        <v/>
      </c>
      <c r="AZ20" s="81">
        <f>IF(AZ19=0,0,AZ18/AZ19)</f>
        <v/>
      </c>
      <c r="BA20" s="81">
        <f>IF(BA19=0,0,BA18/BA19)</f>
        <v/>
      </c>
      <c r="BB20" s="81">
        <f>IF(BB19=0,0,BB18/BB19)</f>
        <v/>
      </c>
      <c r="BC20" s="81">
        <f>IF(BC19=0,0,BC18/BC19)</f>
        <v/>
      </c>
      <c r="BD20" s="81">
        <f>IF(BD19=0,0,BD18/BD19)</f>
        <v/>
      </c>
      <c r="BE20" s="81">
        <f>IF(BE19=0,0,BE18/BE19)</f>
        <v/>
      </c>
      <c r="BF20" s="81">
        <f>IF(BF19=0,0,BF18/BF19)</f>
        <v/>
      </c>
      <c r="BG20" s="81">
        <f>IF(BG19=0,0,BG18/BG19)</f>
        <v/>
      </c>
      <c r="BH20" s="81">
        <f>IF(BH19=0,0,BH18/BH19)</f>
        <v/>
      </c>
      <c r="BI20" s="81">
        <f>IF(BI19=0,0,BI18/BI19)</f>
        <v/>
      </c>
      <c r="BJ20" s="81">
        <f>IF(BJ19=0,0,BJ18/BJ19)</f>
        <v/>
      </c>
      <c r="BK20" s="81">
        <f>IF(BK19=0,0,BK18/BK19)</f>
        <v/>
      </c>
      <c r="BL20" s="81">
        <f>IF(BL19=0,0,BL18/BL19)</f>
        <v/>
      </c>
    </row>
    <row r="21">
      <c r="A21" s="98" t="inlineStr">
        <is>
          <t>Weighted 12-month PD proxy (not an IFRS 9 PD)</t>
        </is>
      </c>
      <c r="B21" s="65" t="inlineStr"/>
      <c r="C21" s="106">
        <f>BL21</f>
        <v/>
      </c>
      <c r="E21" s="81">
        <f>IFERROR((Credit_Engine!E57*Credit_Engine!E38+Credit_Engine!E113*Credit_Engine!E94+Credit_Engine!E169*Credit_Engine!E150+Credit_Engine!E225*Credit_Engine!E206+Credit_Engine!E281*Credit_Engine!E262)/E10,0)</f>
        <v/>
      </c>
      <c r="F21" s="81">
        <f>IFERROR((Credit_Engine!F57*Credit_Engine!F38+Credit_Engine!F113*Credit_Engine!F94+Credit_Engine!F169*Credit_Engine!F150+Credit_Engine!F225*Credit_Engine!F206+Credit_Engine!F281*Credit_Engine!F262)/F10,0)</f>
        <v/>
      </c>
      <c r="G21" s="81">
        <f>IFERROR((Credit_Engine!G57*Credit_Engine!G38+Credit_Engine!G113*Credit_Engine!G94+Credit_Engine!G169*Credit_Engine!G150+Credit_Engine!G225*Credit_Engine!G206+Credit_Engine!G281*Credit_Engine!G262)/G10,0)</f>
        <v/>
      </c>
      <c r="H21" s="81">
        <f>IFERROR((Credit_Engine!H57*Credit_Engine!H38+Credit_Engine!H113*Credit_Engine!H94+Credit_Engine!H169*Credit_Engine!H150+Credit_Engine!H225*Credit_Engine!H206+Credit_Engine!H281*Credit_Engine!H262)/H10,0)</f>
        <v/>
      </c>
      <c r="I21" s="81">
        <f>IFERROR((Credit_Engine!I57*Credit_Engine!I38+Credit_Engine!I113*Credit_Engine!I94+Credit_Engine!I169*Credit_Engine!I150+Credit_Engine!I225*Credit_Engine!I206+Credit_Engine!I281*Credit_Engine!I262)/I10,0)</f>
        <v/>
      </c>
      <c r="J21" s="81">
        <f>IFERROR((Credit_Engine!J57*Credit_Engine!J38+Credit_Engine!J113*Credit_Engine!J94+Credit_Engine!J169*Credit_Engine!J150+Credit_Engine!J225*Credit_Engine!J206+Credit_Engine!J281*Credit_Engine!J262)/J10,0)</f>
        <v/>
      </c>
      <c r="K21" s="81">
        <f>IFERROR((Credit_Engine!K57*Credit_Engine!K38+Credit_Engine!K113*Credit_Engine!K94+Credit_Engine!K169*Credit_Engine!K150+Credit_Engine!K225*Credit_Engine!K206+Credit_Engine!K281*Credit_Engine!K262)/K10,0)</f>
        <v/>
      </c>
      <c r="L21" s="81">
        <f>IFERROR((Credit_Engine!L57*Credit_Engine!L38+Credit_Engine!L113*Credit_Engine!L94+Credit_Engine!L169*Credit_Engine!L150+Credit_Engine!L225*Credit_Engine!L206+Credit_Engine!L281*Credit_Engine!L262)/L10,0)</f>
        <v/>
      </c>
      <c r="M21" s="81">
        <f>IFERROR((Credit_Engine!M57*Credit_Engine!M38+Credit_Engine!M113*Credit_Engine!M94+Credit_Engine!M169*Credit_Engine!M150+Credit_Engine!M225*Credit_Engine!M206+Credit_Engine!M281*Credit_Engine!M262)/M10,0)</f>
        <v/>
      </c>
      <c r="N21" s="81">
        <f>IFERROR((Credit_Engine!N57*Credit_Engine!N38+Credit_Engine!N113*Credit_Engine!N94+Credit_Engine!N169*Credit_Engine!N150+Credit_Engine!N225*Credit_Engine!N206+Credit_Engine!N281*Credit_Engine!N262)/N10,0)</f>
        <v/>
      </c>
      <c r="O21" s="81">
        <f>IFERROR((Credit_Engine!O57*Credit_Engine!O38+Credit_Engine!O113*Credit_Engine!O94+Credit_Engine!O169*Credit_Engine!O150+Credit_Engine!O225*Credit_Engine!O206+Credit_Engine!O281*Credit_Engine!O262)/O10,0)</f>
        <v/>
      </c>
      <c r="P21" s="81">
        <f>IFERROR((Credit_Engine!P57*Credit_Engine!P38+Credit_Engine!P113*Credit_Engine!P94+Credit_Engine!P169*Credit_Engine!P150+Credit_Engine!P225*Credit_Engine!P206+Credit_Engine!P281*Credit_Engine!P262)/P10,0)</f>
        <v/>
      </c>
      <c r="Q21" s="81">
        <f>IFERROR((Credit_Engine!Q57*Credit_Engine!Q38+Credit_Engine!Q113*Credit_Engine!Q94+Credit_Engine!Q169*Credit_Engine!Q150+Credit_Engine!Q225*Credit_Engine!Q206+Credit_Engine!Q281*Credit_Engine!Q262)/Q10,0)</f>
        <v/>
      </c>
      <c r="R21" s="81">
        <f>IFERROR((Credit_Engine!R57*Credit_Engine!R38+Credit_Engine!R113*Credit_Engine!R94+Credit_Engine!R169*Credit_Engine!R150+Credit_Engine!R225*Credit_Engine!R206+Credit_Engine!R281*Credit_Engine!R262)/R10,0)</f>
        <v/>
      </c>
      <c r="S21" s="81">
        <f>IFERROR((Credit_Engine!S57*Credit_Engine!S38+Credit_Engine!S113*Credit_Engine!S94+Credit_Engine!S169*Credit_Engine!S150+Credit_Engine!S225*Credit_Engine!S206+Credit_Engine!S281*Credit_Engine!S262)/S10,0)</f>
        <v/>
      </c>
      <c r="T21" s="81">
        <f>IFERROR((Credit_Engine!T57*Credit_Engine!T38+Credit_Engine!T113*Credit_Engine!T94+Credit_Engine!T169*Credit_Engine!T150+Credit_Engine!T225*Credit_Engine!T206+Credit_Engine!T281*Credit_Engine!T262)/T10,0)</f>
        <v/>
      </c>
      <c r="U21" s="81">
        <f>IFERROR((Credit_Engine!U57*Credit_Engine!U38+Credit_Engine!U113*Credit_Engine!U94+Credit_Engine!U169*Credit_Engine!U150+Credit_Engine!U225*Credit_Engine!U206+Credit_Engine!U281*Credit_Engine!U262)/U10,0)</f>
        <v/>
      </c>
      <c r="V21" s="81">
        <f>IFERROR((Credit_Engine!V57*Credit_Engine!V38+Credit_Engine!V113*Credit_Engine!V94+Credit_Engine!V169*Credit_Engine!V150+Credit_Engine!V225*Credit_Engine!V206+Credit_Engine!V281*Credit_Engine!V262)/V10,0)</f>
        <v/>
      </c>
      <c r="W21" s="81">
        <f>IFERROR((Credit_Engine!W57*Credit_Engine!W38+Credit_Engine!W113*Credit_Engine!W94+Credit_Engine!W169*Credit_Engine!W150+Credit_Engine!W225*Credit_Engine!W206+Credit_Engine!W281*Credit_Engine!W262)/W10,0)</f>
        <v/>
      </c>
      <c r="X21" s="81">
        <f>IFERROR((Credit_Engine!X57*Credit_Engine!X38+Credit_Engine!X113*Credit_Engine!X94+Credit_Engine!X169*Credit_Engine!X150+Credit_Engine!X225*Credit_Engine!X206+Credit_Engine!X281*Credit_Engine!X262)/X10,0)</f>
        <v/>
      </c>
      <c r="Y21" s="81">
        <f>IFERROR((Credit_Engine!Y57*Credit_Engine!Y38+Credit_Engine!Y113*Credit_Engine!Y94+Credit_Engine!Y169*Credit_Engine!Y150+Credit_Engine!Y225*Credit_Engine!Y206+Credit_Engine!Y281*Credit_Engine!Y262)/Y10,0)</f>
        <v/>
      </c>
      <c r="Z21" s="81">
        <f>IFERROR((Credit_Engine!Z57*Credit_Engine!Z38+Credit_Engine!Z113*Credit_Engine!Z94+Credit_Engine!Z169*Credit_Engine!Z150+Credit_Engine!Z225*Credit_Engine!Z206+Credit_Engine!Z281*Credit_Engine!Z262)/Z10,0)</f>
        <v/>
      </c>
      <c r="AA21" s="81">
        <f>IFERROR((Credit_Engine!AA57*Credit_Engine!AA38+Credit_Engine!AA113*Credit_Engine!AA94+Credit_Engine!AA169*Credit_Engine!AA150+Credit_Engine!AA225*Credit_Engine!AA206+Credit_Engine!AA281*Credit_Engine!AA262)/AA10,0)</f>
        <v/>
      </c>
      <c r="AB21" s="81">
        <f>IFERROR((Credit_Engine!AB57*Credit_Engine!AB38+Credit_Engine!AB113*Credit_Engine!AB94+Credit_Engine!AB169*Credit_Engine!AB150+Credit_Engine!AB225*Credit_Engine!AB206+Credit_Engine!AB281*Credit_Engine!AB262)/AB10,0)</f>
        <v/>
      </c>
      <c r="AC21" s="81">
        <f>IFERROR((Credit_Engine!AC57*Credit_Engine!AC38+Credit_Engine!AC113*Credit_Engine!AC94+Credit_Engine!AC169*Credit_Engine!AC150+Credit_Engine!AC225*Credit_Engine!AC206+Credit_Engine!AC281*Credit_Engine!AC262)/AC10,0)</f>
        <v/>
      </c>
      <c r="AD21" s="81">
        <f>IFERROR((Credit_Engine!AD57*Credit_Engine!AD38+Credit_Engine!AD113*Credit_Engine!AD94+Credit_Engine!AD169*Credit_Engine!AD150+Credit_Engine!AD225*Credit_Engine!AD206+Credit_Engine!AD281*Credit_Engine!AD262)/AD10,0)</f>
        <v/>
      </c>
      <c r="AE21" s="81">
        <f>IFERROR((Credit_Engine!AE57*Credit_Engine!AE38+Credit_Engine!AE113*Credit_Engine!AE94+Credit_Engine!AE169*Credit_Engine!AE150+Credit_Engine!AE225*Credit_Engine!AE206+Credit_Engine!AE281*Credit_Engine!AE262)/AE10,0)</f>
        <v/>
      </c>
      <c r="AF21" s="81">
        <f>IFERROR((Credit_Engine!AF57*Credit_Engine!AF38+Credit_Engine!AF113*Credit_Engine!AF94+Credit_Engine!AF169*Credit_Engine!AF150+Credit_Engine!AF225*Credit_Engine!AF206+Credit_Engine!AF281*Credit_Engine!AF262)/AF10,0)</f>
        <v/>
      </c>
      <c r="AG21" s="81">
        <f>IFERROR((Credit_Engine!AG57*Credit_Engine!AG38+Credit_Engine!AG113*Credit_Engine!AG94+Credit_Engine!AG169*Credit_Engine!AG150+Credit_Engine!AG225*Credit_Engine!AG206+Credit_Engine!AG281*Credit_Engine!AG262)/AG10,0)</f>
        <v/>
      </c>
      <c r="AH21" s="81">
        <f>IFERROR((Credit_Engine!AH57*Credit_Engine!AH38+Credit_Engine!AH113*Credit_Engine!AH94+Credit_Engine!AH169*Credit_Engine!AH150+Credit_Engine!AH225*Credit_Engine!AH206+Credit_Engine!AH281*Credit_Engine!AH262)/AH10,0)</f>
        <v/>
      </c>
      <c r="AI21" s="81">
        <f>IFERROR((Credit_Engine!AI57*Credit_Engine!AI38+Credit_Engine!AI113*Credit_Engine!AI94+Credit_Engine!AI169*Credit_Engine!AI150+Credit_Engine!AI225*Credit_Engine!AI206+Credit_Engine!AI281*Credit_Engine!AI262)/AI10,0)</f>
        <v/>
      </c>
      <c r="AJ21" s="81">
        <f>IFERROR((Credit_Engine!AJ57*Credit_Engine!AJ38+Credit_Engine!AJ113*Credit_Engine!AJ94+Credit_Engine!AJ169*Credit_Engine!AJ150+Credit_Engine!AJ225*Credit_Engine!AJ206+Credit_Engine!AJ281*Credit_Engine!AJ262)/AJ10,0)</f>
        <v/>
      </c>
      <c r="AK21" s="81">
        <f>IFERROR((Credit_Engine!AK57*Credit_Engine!AK38+Credit_Engine!AK113*Credit_Engine!AK94+Credit_Engine!AK169*Credit_Engine!AK150+Credit_Engine!AK225*Credit_Engine!AK206+Credit_Engine!AK281*Credit_Engine!AK262)/AK10,0)</f>
        <v/>
      </c>
      <c r="AL21" s="81">
        <f>IFERROR((Credit_Engine!AL57*Credit_Engine!AL38+Credit_Engine!AL113*Credit_Engine!AL94+Credit_Engine!AL169*Credit_Engine!AL150+Credit_Engine!AL225*Credit_Engine!AL206+Credit_Engine!AL281*Credit_Engine!AL262)/AL10,0)</f>
        <v/>
      </c>
      <c r="AM21" s="81">
        <f>IFERROR((Credit_Engine!AM57*Credit_Engine!AM38+Credit_Engine!AM113*Credit_Engine!AM94+Credit_Engine!AM169*Credit_Engine!AM150+Credit_Engine!AM225*Credit_Engine!AM206+Credit_Engine!AM281*Credit_Engine!AM262)/AM10,0)</f>
        <v/>
      </c>
      <c r="AN21" s="81">
        <f>IFERROR((Credit_Engine!AN57*Credit_Engine!AN38+Credit_Engine!AN113*Credit_Engine!AN94+Credit_Engine!AN169*Credit_Engine!AN150+Credit_Engine!AN225*Credit_Engine!AN206+Credit_Engine!AN281*Credit_Engine!AN262)/AN10,0)</f>
        <v/>
      </c>
      <c r="AO21" s="81">
        <f>IFERROR((Credit_Engine!AO57*Credit_Engine!AO38+Credit_Engine!AO113*Credit_Engine!AO94+Credit_Engine!AO169*Credit_Engine!AO150+Credit_Engine!AO225*Credit_Engine!AO206+Credit_Engine!AO281*Credit_Engine!AO262)/AO10,0)</f>
        <v/>
      </c>
      <c r="AP21" s="81">
        <f>IFERROR((Credit_Engine!AP57*Credit_Engine!AP38+Credit_Engine!AP113*Credit_Engine!AP94+Credit_Engine!AP169*Credit_Engine!AP150+Credit_Engine!AP225*Credit_Engine!AP206+Credit_Engine!AP281*Credit_Engine!AP262)/AP10,0)</f>
        <v/>
      </c>
      <c r="AQ21" s="81">
        <f>IFERROR((Credit_Engine!AQ57*Credit_Engine!AQ38+Credit_Engine!AQ113*Credit_Engine!AQ94+Credit_Engine!AQ169*Credit_Engine!AQ150+Credit_Engine!AQ225*Credit_Engine!AQ206+Credit_Engine!AQ281*Credit_Engine!AQ262)/AQ10,0)</f>
        <v/>
      </c>
      <c r="AR21" s="81">
        <f>IFERROR((Credit_Engine!AR57*Credit_Engine!AR38+Credit_Engine!AR113*Credit_Engine!AR94+Credit_Engine!AR169*Credit_Engine!AR150+Credit_Engine!AR225*Credit_Engine!AR206+Credit_Engine!AR281*Credit_Engine!AR262)/AR10,0)</f>
        <v/>
      </c>
      <c r="AS21" s="81">
        <f>IFERROR((Credit_Engine!AS57*Credit_Engine!AS38+Credit_Engine!AS113*Credit_Engine!AS94+Credit_Engine!AS169*Credit_Engine!AS150+Credit_Engine!AS225*Credit_Engine!AS206+Credit_Engine!AS281*Credit_Engine!AS262)/AS10,0)</f>
        <v/>
      </c>
      <c r="AT21" s="81">
        <f>IFERROR((Credit_Engine!AT57*Credit_Engine!AT38+Credit_Engine!AT113*Credit_Engine!AT94+Credit_Engine!AT169*Credit_Engine!AT150+Credit_Engine!AT225*Credit_Engine!AT206+Credit_Engine!AT281*Credit_Engine!AT262)/AT10,0)</f>
        <v/>
      </c>
      <c r="AU21" s="81">
        <f>IFERROR((Credit_Engine!AU57*Credit_Engine!AU38+Credit_Engine!AU113*Credit_Engine!AU94+Credit_Engine!AU169*Credit_Engine!AU150+Credit_Engine!AU225*Credit_Engine!AU206+Credit_Engine!AU281*Credit_Engine!AU262)/AU10,0)</f>
        <v/>
      </c>
      <c r="AV21" s="81">
        <f>IFERROR((Credit_Engine!AV57*Credit_Engine!AV38+Credit_Engine!AV113*Credit_Engine!AV94+Credit_Engine!AV169*Credit_Engine!AV150+Credit_Engine!AV225*Credit_Engine!AV206+Credit_Engine!AV281*Credit_Engine!AV262)/AV10,0)</f>
        <v/>
      </c>
      <c r="AW21" s="81">
        <f>IFERROR((Credit_Engine!AW57*Credit_Engine!AW38+Credit_Engine!AW113*Credit_Engine!AW94+Credit_Engine!AW169*Credit_Engine!AW150+Credit_Engine!AW225*Credit_Engine!AW206+Credit_Engine!AW281*Credit_Engine!AW262)/AW10,0)</f>
        <v/>
      </c>
      <c r="AX21" s="81">
        <f>IFERROR((Credit_Engine!AX57*Credit_Engine!AX38+Credit_Engine!AX113*Credit_Engine!AX94+Credit_Engine!AX169*Credit_Engine!AX150+Credit_Engine!AX225*Credit_Engine!AX206+Credit_Engine!AX281*Credit_Engine!AX262)/AX10,0)</f>
        <v/>
      </c>
      <c r="AY21" s="81">
        <f>IFERROR((Credit_Engine!AY57*Credit_Engine!AY38+Credit_Engine!AY113*Credit_Engine!AY94+Credit_Engine!AY169*Credit_Engine!AY150+Credit_Engine!AY225*Credit_Engine!AY206+Credit_Engine!AY281*Credit_Engine!AY262)/AY10,0)</f>
        <v/>
      </c>
      <c r="AZ21" s="81">
        <f>IFERROR((Credit_Engine!AZ57*Credit_Engine!AZ38+Credit_Engine!AZ113*Credit_Engine!AZ94+Credit_Engine!AZ169*Credit_Engine!AZ150+Credit_Engine!AZ225*Credit_Engine!AZ206+Credit_Engine!AZ281*Credit_Engine!AZ262)/AZ10,0)</f>
        <v/>
      </c>
      <c r="BA21" s="81">
        <f>IFERROR((Credit_Engine!BA57*Credit_Engine!BA38+Credit_Engine!BA113*Credit_Engine!BA94+Credit_Engine!BA169*Credit_Engine!BA150+Credit_Engine!BA225*Credit_Engine!BA206+Credit_Engine!BA281*Credit_Engine!BA262)/BA10,0)</f>
        <v/>
      </c>
      <c r="BB21" s="81">
        <f>IFERROR((Credit_Engine!BB57*Credit_Engine!BB38+Credit_Engine!BB113*Credit_Engine!BB94+Credit_Engine!BB169*Credit_Engine!BB150+Credit_Engine!BB225*Credit_Engine!BB206+Credit_Engine!BB281*Credit_Engine!BB262)/BB10,0)</f>
        <v/>
      </c>
      <c r="BC21" s="81">
        <f>IFERROR((Credit_Engine!BC57*Credit_Engine!BC38+Credit_Engine!BC113*Credit_Engine!BC94+Credit_Engine!BC169*Credit_Engine!BC150+Credit_Engine!BC225*Credit_Engine!BC206+Credit_Engine!BC281*Credit_Engine!BC262)/BC10,0)</f>
        <v/>
      </c>
      <c r="BD21" s="81">
        <f>IFERROR((Credit_Engine!BD57*Credit_Engine!BD38+Credit_Engine!BD113*Credit_Engine!BD94+Credit_Engine!BD169*Credit_Engine!BD150+Credit_Engine!BD225*Credit_Engine!BD206+Credit_Engine!BD281*Credit_Engine!BD262)/BD10,0)</f>
        <v/>
      </c>
      <c r="BE21" s="81">
        <f>IFERROR((Credit_Engine!BE57*Credit_Engine!BE38+Credit_Engine!BE113*Credit_Engine!BE94+Credit_Engine!BE169*Credit_Engine!BE150+Credit_Engine!BE225*Credit_Engine!BE206+Credit_Engine!BE281*Credit_Engine!BE262)/BE10,0)</f>
        <v/>
      </c>
      <c r="BF21" s="81">
        <f>IFERROR((Credit_Engine!BF57*Credit_Engine!BF38+Credit_Engine!BF113*Credit_Engine!BF94+Credit_Engine!BF169*Credit_Engine!BF150+Credit_Engine!BF225*Credit_Engine!BF206+Credit_Engine!BF281*Credit_Engine!BF262)/BF10,0)</f>
        <v/>
      </c>
      <c r="BG21" s="81">
        <f>IFERROR((Credit_Engine!BG57*Credit_Engine!BG38+Credit_Engine!BG113*Credit_Engine!BG94+Credit_Engine!BG169*Credit_Engine!BG150+Credit_Engine!BG225*Credit_Engine!BG206+Credit_Engine!BG281*Credit_Engine!BG262)/BG10,0)</f>
        <v/>
      </c>
      <c r="BH21" s="81">
        <f>IFERROR((Credit_Engine!BH57*Credit_Engine!BH38+Credit_Engine!BH113*Credit_Engine!BH94+Credit_Engine!BH169*Credit_Engine!BH150+Credit_Engine!BH225*Credit_Engine!BH206+Credit_Engine!BH281*Credit_Engine!BH262)/BH10,0)</f>
        <v/>
      </c>
      <c r="BI21" s="81">
        <f>IFERROR((Credit_Engine!BI57*Credit_Engine!BI38+Credit_Engine!BI113*Credit_Engine!BI94+Credit_Engine!BI169*Credit_Engine!BI150+Credit_Engine!BI225*Credit_Engine!BI206+Credit_Engine!BI281*Credit_Engine!BI262)/BI10,0)</f>
        <v/>
      </c>
      <c r="BJ21" s="81">
        <f>IFERROR((Credit_Engine!BJ57*Credit_Engine!BJ38+Credit_Engine!BJ113*Credit_Engine!BJ94+Credit_Engine!BJ169*Credit_Engine!BJ150+Credit_Engine!BJ225*Credit_Engine!BJ206+Credit_Engine!BJ281*Credit_Engine!BJ262)/BJ10,0)</f>
        <v/>
      </c>
      <c r="BK21" s="81">
        <f>IFERROR((Credit_Engine!BK57*Credit_Engine!BK38+Credit_Engine!BK113*Credit_Engine!BK94+Credit_Engine!BK169*Credit_Engine!BK150+Credit_Engine!BK225*Credit_Engine!BK206+Credit_Engine!BK281*Credit_Engine!BK262)/BK10,0)</f>
        <v/>
      </c>
      <c r="BL21" s="81">
        <f>IFERROR((Credit_Engine!BL57*Credit_Engine!BL38+Credit_Engine!BL113*Credit_Engine!BL94+Credit_Engine!BL169*Credit_Engine!BL150+Credit_Engine!BL225*Credit_Engine!BL206+Credit_Engine!BL281*Credit_Engine!BL262)/BL10,0)</f>
        <v/>
      </c>
    </row>
    <row r="22">
      <c r="A22" s="98" t="inlineStr">
        <is>
          <t>Weighted LGD proxy</t>
        </is>
      </c>
      <c r="B22" s="65" t="inlineStr"/>
      <c r="C22" s="106">
        <f>BL22</f>
        <v/>
      </c>
      <c r="E22" s="81">
        <f>IFERROR((Credit_Engine!E58*Credit_Engine!E38+Credit_Engine!E114*Credit_Engine!E94+Credit_Engine!E170*Credit_Engine!E150+Credit_Engine!E226*Credit_Engine!E206+Credit_Engine!E282*Credit_Engine!E262)/E10,0)</f>
        <v/>
      </c>
      <c r="F22" s="81">
        <f>IFERROR((Credit_Engine!F58*Credit_Engine!F38+Credit_Engine!F114*Credit_Engine!F94+Credit_Engine!F170*Credit_Engine!F150+Credit_Engine!F226*Credit_Engine!F206+Credit_Engine!F282*Credit_Engine!F262)/F10,0)</f>
        <v/>
      </c>
      <c r="G22" s="81">
        <f>IFERROR((Credit_Engine!G58*Credit_Engine!G38+Credit_Engine!G114*Credit_Engine!G94+Credit_Engine!G170*Credit_Engine!G150+Credit_Engine!G226*Credit_Engine!G206+Credit_Engine!G282*Credit_Engine!G262)/G10,0)</f>
        <v/>
      </c>
      <c r="H22" s="81">
        <f>IFERROR((Credit_Engine!H58*Credit_Engine!H38+Credit_Engine!H114*Credit_Engine!H94+Credit_Engine!H170*Credit_Engine!H150+Credit_Engine!H226*Credit_Engine!H206+Credit_Engine!H282*Credit_Engine!H262)/H10,0)</f>
        <v/>
      </c>
      <c r="I22" s="81">
        <f>IFERROR((Credit_Engine!I58*Credit_Engine!I38+Credit_Engine!I114*Credit_Engine!I94+Credit_Engine!I170*Credit_Engine!I150+Credit_Engine!I226*Credit_Engine!I206+Credit_Engine!I282*Credit_Engine!I262)/I10,0)</f>
        <v/>
      </c>
      <c r="J22" s="81">
        <f>IFERROR((Credit_Engine!J58*Credit_Engine!J38+Credit_Engine!J114*Credit_Engine!J94+Credit_Engine!J170*Credit_Engine!J150+Credit_Engine!J226*Credit_Engine!J206+Credit_Engine!J282*Credit_Engine!J262)/J10,0)</f>
        <v/>
      </c>
      <c r="K22" s="81">
        <f>IFERROR((Credit_Engine!K58*Credit_Engine!K38+Credit_Engine!K114*Credit_Engine!K94+Credit_Engine!K170*Credit_Engine!K150+Credit_Engine!K226*Credit_Engine!K206+Credit_Engine!K282*Credit_Engine!K262)/K10,0)</f>
        <v/>
      </c>
      <c r="L22" s="81">
        <f>IFERROR((Credit_Engine!L58*Credit_Engine!L38+Credit_Engine!L114*Credit_Engine!L94+Credit_Engine!L170*Credit_Engine!L150+Credit_Engine!L226*Credit_Engine!L206+Credit_Engine!L282*Credit_Engine!L262)/L10,0)</f>
        <v/>
      </c>
      <c r="M22" s="81">
        <f>IFERROR((Credit_Engine!M58*Credit_Engine!M38+Credit_Engine!M114*Credit_Engine!M94+Credit_Engine!M170*Credit_Engine!M150+Credit_Engine!M226*Credit_Engine!M206+Credit_Engine!M282*Credit_Engine!M262)/M10,0)</f>
        <v/>
      </c>
      <c r="N22" s="81">
        <f>IFERROR((Credit_Engine!N58*Credit_Engine!N38+Credit_Engine!N114*Credit_Engine!N94+Credit_Engine!N170*Credit_Engine!N150+Credit_Engine!N226*Credit_Engine!N206+Credit_Engine!N282*Credit_Engine!N262)/N10,0)</f>
        <v/>
      </c>
      <c r="O22" s="81">
        <f>IFERROR((Credit_Engine!O58*Credit_Engine!O38+Credit_Engine!O114*Credit_Engine!O94+Credit_Engine!O170*Credit_Engine!O150+Credit_Engine!O226*Credit_Engine!O206+Credit_Engine!O282*Credit_Engine!O262)/O10,0)</f>
        <v/>
      </c>
      <c r="P22" s="81">
        <f>IFERROR((Credit_Engine!P58*Credit_Engine!P38+Credit_Engine!P114*Credit_Engine!P94+Credit_Engine!P170*Credit_Engine!P150+Credit_Engine!P226*Credit_Engine!P206+Credit_Engine!P282*Credit_Engine!P262)/P10,0)</f>
        <v/>
      </c>
      <c r="Q22" s="81">
        <f>IFERROR((Credit_Engine!Q58*Credit_Engine!Q38+Credit_Engine!Q114*Credit_Engine!Q94+Credit_Engine!Q170*Credit_Engine!Q150+Credit_Engine!Q226*Credit_Engine!Q206+Credit_Engine!Q282*Credit_Engine!Q262)/Q10,0)</f>
        <v/>
      </c>
      <c r="R22" s="81">
        <f>IFERROR((Credit_Engine!R58*Credit_Engine!R38+Credit_Engine!R114*Credit_Engine!R94+Credit_Engine!R170*Credit_Engine!R150+Credit_Engine!R226*Credit_Engine!R206+Credit_Engine!R282*Credit_Engine!R262)/R10,0)</f>
        <v/>
      </c>
      <c r="S22" s="81">
        <f>IFERROR((Credit_Engine!S58*Credit_Engine!S38+Credit_Engine!S114*Credit_Engine!S94+Credit_Engine!S170*Credit_Engine!S150+Credit_Engine!S226*Credit_Engine!S206+Credit_Engine!S282*Credit_Engine!S262)/S10,0)</f>
        <v/>
      </c>
      <c r="T22" s="81">
        <f>IFERROR((Credit_Engine!T58*Credit_Engine!T38+Credit_Engine!T114*Credit_Engine!T94+Credit_Engine!T170*Credit_Engine!T150+Credit_Engine!T226*Credit_Engine!T206+Credit_Engine!T282*Credit_Engine!T262)/T10,0)</f>
        <v/>
      </c>
      <c r="U22" s="81">
        <f>IFERROR((Credit_Engine!U58*Credit_Engine!U38+Credit_Engine!U114*Credit_Engine!U94+Credit_Engine!U170*Credit_Engine!U150+Credit_Engine!U226*Credit_Engine!U206+Credit_Engine!U282*Credit_Engine!U262)/U10,0)</f>
        <v/>
      </c>
      <c r="V22" s="81">
        <f>IFERROR((Credit_Engine!V58*Credit_Engine!V38+Credit_Engine!V114*Credit_Engine!V94+Credit_Engine!V170*Credit_Engine!V150+Credit_Engine!V226*Credit_Engine!V206+Credit_Engine!V282*Credit_Engine!V262)/V10,0)</f>
        <v/>
      </c>
      <c r="W22" s="81">
        <f>IFERROR((Credit_Engine!W58*Credit_Engine!W38+Credit_Engine!W114*Credit_Engine!W94+Credit_Engine!W170*Credit_Engine!W150+Credit_Engine!W226*Credit_Engine!W206+Credit_Engine!W282*Credit_Engine!W262)/W10,0)</f>
        <v/>
      </c>
      <c r="X22" s="81">
        <f>IFERROR((Credit_Engine!X58*Credit_Engine!X38+Credit_Engine!X114*Credit_Engine!X94+Credit_Engine!X170*Credit_Engine!X150+Credit_Engine!X226*Credit_Engine!X206+Credit_Engine!X282*Credit_Engine!X262)/X10,0)</f>
        <v/>
      </c>
      <c r="Y22" s="81">
        <f>IFERROR((Credit_Engine!Y58*Credit_Engine!Y38+Credit_Engine!Y114*Credit_Engine!Y94+Credit_Engine!Y170*Credit_Engine!Y150+Credit_Engine!Y226*Credit_Engine!Y206+Credit_Engine!Y282*Credit_Engine!Y262)/Y10,0)</f>
        <v/>
      </c>
      <c r="Z22" s="81">
        <f>IFERROR((Credit_Engine!Z58*Credit_Engine!Z38+Credit_Engine!Z114*Credit_Engine!Z94+Credit_Engine!Z170*Credit_Engine!Z150+Credit_Engine!Z226*Credit_Engine!Z206+Credit_Engine!Z282*Credit_Engine!Z262)/Z10,0)</f>
        <v/>
      </c>
      <c r="AA22" s="81">
        <f>IFERROR((Credit_Engine!AA58*Credit_Engine!AA38+Credit_Engine!AA114*Credit_Engine!AA94+Credit_Engine!AA170*Credit_Engine!AA150+Credit_Engine!AA226*Credit_Engine!AA206+Credit_Engine!AA282*Credit_Engine!AA262)/AA10,0)</f>
        <v/>
      </c>
      <c r="AB22" s="81">
        <f>IFERROR((Credit_Engine!AB58*Credit_Engine!AB38+Credit_Engine!AB114*Credit_Engine!AB94+Credit_Engine!AB170*Credit_Engine!AB150+Credit_Engine!AB226*Credit_Engine!AB206+Credit_Engine!AB282*Credit_Engine!AB262)/AB10,0)</f>
        <v/>
      </c>
      <c r="AC22" s="81">
        <f>IFERROR((Credit_Engine!AC58*Credit_Engine!AC38+Credit_Engine!AC114*Credit_Engine!AC94+Credit_Engine!AC170*Credit_Engine!AC150+Credit_Engine!AC226*Credit_Engine!AC206+Credit_Engine!AC282*Credit_Engine!AC262)/AC10,0)</f>
        <v/>
      </c>
      <c r="AD22" s="81">
        <f>IFERROR((Credit_Engine!AD58*Credit_Engine!AD38+Credit_Engine!AD114*Credit_Engine!AD94+Credit_Engine!AD170*Credit_Engine!AD150+Credit_Engine!AD226*Credit_Engine!AD206+Credit_Engine!AD282*Credit_Engine!AD262)/AD10,0)</f>
        <v/>
      </c>
      <c r="AE22" s="81">
        <f>IFERROR((Credit_Engine!AE58*Credit_Engine!AE38+Credit_Engine!AE114*Credit_Engine!AE94+Credit_Engine!AE170*Credit_Engine!AE150+Credit_Engine!AE226*Credit_Engine!AE206+Credit_Engine!AE282*Credit_Engine!AE262)/AE10,0)</f>
        <v/>
      </c>
      <c r="AF22" s="81">
        <f>IFERROR((Credit_Engine!AF58*Credit_Engine!AF38+Credit_Engine!AF114*Credit_Engine!AF94+Credit_Engine!AF170*Credit_Engine!AF150+Credit_Engine!AF226*Credit_Engine!AF206+Credit_Engine!AF282*Credit_Engine!AF262)/AF10,0)</f>
        <v/>
      </c>
      <c r="AG22" s="81">
        <f>IFERROR((Credit_Engine!AG58*Credit_Engine!AG38+Credit_Engine!AG114*Credit_Engine!AG94+Credit_Engine!AG170*Credit_Engine!AG150+Credit_Engine!AG226*Credit_Engine!AG206+Credit_Engine!AG282*Credit_Engine!AG262)/AG10,0)</f>
        <v/>
      </c>
      <c r="AH22" s="81">
        <f>IFERROR((Credit_Engine!AH58*Credit_Engine!AH38+Credit_Engine!AH114*Credit_Engine!AH94+Credit_Engine!AH170*Credit_Engine!AH150+Credit_Engine!AH226*Credit_Engine!AH206+Credit_Engine!AH282*Credit_Engine!AH262)/AH10,0)</f>
        <v/>
      </c>
      <c r="AI22" s="81">
        <f>IFERROR((Credit_Engine!AI58*Credit_Engine!AI38+Credit_Engine!AI114*Credit_Engine!AI94+Credit_Engine!AI170*Credit_Engine!AI150+Credit_Engine!AI226*Credit_Engine!AI206+Credit_Engine!AI282*Credit_Engine!AI262)/AI10,0)</f>
        <v/>
      </c>
      <c r="AJ22" s="81">
        <f>IFERROR((Credit_Engine!AJ58*Credit_Engine!AJ38+Credit_Engine!AJ114*Credit_Engine!AJ94+Credit_Engine!AJ170*Credit_Engine!AJ150+Credit_Engine!AJ226*Credit_Engine!AJ206+Credit_Engine!AJ282*Credit_Engine!AJ262)/AJ10,0)</f>
        <v/>
      </c>
      <c r="AK22" s="81">
        <f>IFERROR((Credit_Engine!AK58*Credit_Engine!AK38+Credit_Engine!AK114*Credit_Engine!AK94+Credit_Engine!AK170*Credit_Engine!AK150+Credit_Engine!AK226*Credit_Engine!AK206+Credit_Engine!AK282*Credit_Engine!AK262)/AK10,0)</f>
        <v/>
      </c>
      <c r="AL22" s="81">
        <f>IFERROR((Credit_Engine!AL58*Credit_Engine!AL38+Credit_Engine!AL114*Credit_Engine!AL94+Credit_Engine!AL170*Credit_Engine!AL150+Credit_Engine!AL226*Credit_Engine!AL206+Credit_Engine!AL282*Credit_Engine!AL262)/AL10,0)</f>
        <v/>
      </c>
      <c r="AM22" s="81">
        <f>IFERROR((Credit_Engine!AM58*Credit_Engine!AM38+Credit_Engine!AM114*Credit_Engine!AM94+Credit_Engine!AM170*Credit_Engine!AM150+Credit_Engine!AM226*Credit_Engine!AM206+Credit_Engine!AM282*Credit_Engine!AM262)/AM10,0)</f>
        <v/>
      </c>
      <c r="AN22" s="81">
        <f>IFERROR((Credit_Engine!AN58*Credit_Engine!AN38+Credit_Engine!AN114*Credit_Engine!AN94+Credit_Engine!AN170*Credit_Engine!AN150+Credit_Engine!AN226*Credit_Engine!AN206+Credit_Engine!AN282*Credit_Engine!AN262)/AN10,0)</f>
        <v/>
      </c>
      <c r="AO22" s="81">
        <f>IFERROR((Credit_Engine!AO58*Credit_Engine!AO38+Credit_Engine!AO114*Credit_Engine!AO94+Credit_Engine!AO170*Credit_Engine!AO150+Credit_Engine!AO226*Credit_Engine!AO206+Credit_Engine!AO282*Credit_Engine!AO262)/AO10,0)</f>
        <v/>
      </c>
      <c r="AP22" s="81">
        <f>IFERROR((Credit_Engine!AP58*Credit_Engine!AP38+Credit_Engine!AP114*Credit_Engine!AP94+Credit_Engine!AP170*Credit_Engine!AP150+Credit_Engine!AP226*Credit_Engine!AP206+Credit_Engine!AP282*Credit_Engine!AP262)/AP10,0)</f>
        <v/>
      </c>
      <c r="AQ22" s="81">
        <f>IFERROR((Credit_Engine!AQ58*Credit_Engine!AQ38+Credit_Engine!AQ114*Credit_Engine!AQ94+Credit_Engine!AQ170*Credit_Engine!AQ150+Credit_Engine!AQ226*Credit_Engine!AQ206+Credit_Engine!AQ282*Credit_Engine!AQ262)/AQ10,0)</f>
        <v/>
      </c>
      <c r="AR22" s="81">
        <f>IFERROR((Credit_Engine!AR58*Credit_Engine!AR38+Credit_Engine!AR114*Credit_Engine!AR94+Credit_Engine!AR170*Credit_Engine!AR150+Credit_Engine!AR226*Credit_Engine!AR206+Credit_Engine!AR282*Credit_Engine!AR262)/AR10,0)</f>
        <v/>
      </c>
      <c r="AS22" s="81">
        <f>IFERROR((Credit_Engine!AS58*Credit_Engine!AS38+Credit_Engine!AS114*Credit_Engine!AS94+Credit_Engine!AS170*Credit_Engine!AS150+Credit_Engine!AS226*Credit_Engine!AS206+Credit_Engine!AS282*Credit_Engine!AS262)/AS10,0)</f>
        <v/>
      </c>
      <c r="AT22" s="81">
        <f>IFERROR((Credit_Engine!AT58*Credit_Engine!AT38+Credit_Engine!AT114*Credit_Engine!AT94+Credit_Engine!AT170*Credit_Engine!AT150+Credit_Engine!AT226*Credit_Engine!AT206+Credit_Engine!AT282*Credit_Engine!AT262)/AT10,0)</f>
        <v/>
      </c>
      <c r="AU22" s="81">
        <f>IFERROR((Credit_Engine!AU58*Credit_Engine!AU38+Credit_Engine!AU114*Credit_Engine!AU94+Credit_Engine!AU170*Credit_Engine!AU150+Credit_Engine!AU226*Credit_Engine!AU206+Credit_Engine!AU282*Credit_Engine!AU262)/AU10,0)</f>
        <v/>
      </c>
      <c r="AV22" s="81">
        <f>IFERROR((Credit_Engine!AV58*Credit_Engine!AV38+Credit_Engine!AV114*Credit_Engine!AV94+Credit_Engine!AV170*Credit_Engine!AV150+Credit_Engine!AV226*Credit_Engine!AV206+Credit_Engine!AV282*Credit_Engine!AV262)/AV10,0)</f>
        <v/>
      </c>
      <c r="AW22" s="81">
        <f>IFERROR((Credit_Engine!AW58*Credit_Engine!AW38+Credit_Engine!AW114*Credit_Engine!AW94+Credit_Engine!AW170*Credit_Engine!AW150+Credit_Engine!AW226*Credit_Engine!AW206+Credit_Engine!AW282*Credit_Engine!AW262)/AW10,0)</f>
        <v/>
      </c>
      <c r="AX22" s="81">
        <f>IFERROR((Credit_Engine!AX58*Credit_Engine!AX38+Credit_Engine!AX114*Credit_Engine!AX94+Credit_Engine!AX170*Credit_Engine!AX150+Credit_Engine!AX226*Credit_Engine!AX206+Credit_Engine!AX282*Credit_Engine!AX262)/AX10,0)</f>
        <v/>
      </c>
      <c r="AY22" s="81">
        <f>IFERROR((Credit_Engine!AY58*Credit_Engine!AY38+Credit_Engine!AY114*Credit_Engine!AY94+Credit_Engine!AY170*Credit_Engine!AY150+Credit_Engine!AY226*Credit_Engine!AY206+Credit_Engine!AY282*Credit_Engine!AY262)/AY10,0)</f>
        <v/>
      </c>
      <c r="AZ22" s="81">
        <f>IFERROR((Credit_Engine!AZ58*Credit_Engine!AZ38+Credit_Engine!AZ114*Credit_Engine!AZ94+Credit_Engine!AZ170*Credit_Engine!AZ150+Credit_Engine!AZ226*Credit_Engine!AZ206+Credit_Engine!AZ282*Credit_Engine!AZ262)/AZ10,0)</f>
        <v/>
      </c>
      <c r="BA22" s="81">
        <f>IFERROR((Credit_Engine!BA58*Credit_Engine!BA38+Credit_Engine!BA114*Credit_Engine!BA94+Credit_Engine!BA170*Credit_Engine!BA150+Credit_Engine!BA226*Credit_Engine!BA206+Credit_Engine!BA282*Credit_Engine!BA262)/BA10,0)</f>
        <v/>
      </c>
      <c r="BB22" s="81">
        <f>IFERROR((Credit_Engine!BB58*Credit_Engine!BB38+Credit_Engine!BB114*Credit_Engine!BB94+Credit_Engine!BB170*Credit_Engine!BB150+Credit_Engine!BB226*Credit_Engine!BB206+Credit_Engine!BB282*Credit_Engine!BB262)/BB10,0)</f>
        <v/>
      </c>
      <c r="BC22" s="81">
        <f>IFERROR((Credit_Engine!BC58*Credit_Engine!BC38+Credit_Engine!BC114*Credit_Engine!BC94+Credit_Engine!BC170*Credit_Engine!BC150+Credit_Engine!BC226*Credit_Engine!BC206+Credit_Engine!BC282*Credit_Engine!BC262)/BC10,0)</f>
        <v/>
      </c>
      <c r="BD22" s="81">
        <f>IFERROR((Credit_Engine!BD58*Credit_Engine!BD38+Credit_Engine!BD114*Credit_Engine!BD94+Credit_Engine!BD170*Credit_Engine!BD150+Credit_Engine!BD226*Credit_Engine!BD206+Credit_Engine!BD282*Credit_Engine!BD262)/BD10,0)</f>
        <v/>
      </c>
      <c r="BE22" s="81">
        <f>IFERROR((Credit_Engine!BE58*Credit_Engine!BE38+Credit_Engine!BE114*Credit_Engine!BE94+Credit_Engine!BE170*Credit_Engine!BE150+Credit_Engine!BE226*Credit_Engine!BE206+Credit_Engine!BE282*Credit_Engine!BE262)/BE10,0)</f>
        <v/>
      </c>
      <c r="BF22" s="81">
        <f>IFERROR((Credit_Engine!BF58*Credit_Engine!BF38+Credit_Engine!BF114*Credit_Engine!BF94+Credit_Engine!BF170*Credit_Engine!BF150+Credit_Engine!BF226*Credit_Engine!BF206+Credit_Engine!BF282*Credit_Engine!BF262)/BF10,0)</f>
        <v/>
      </c>
      <c r="BG22" s="81">
        <f>IFERROR((Credit_Engine!BG58*Credit_Engine!BG38+Credit_Engine!BG114*Credit_Engine!BG94+Credit_Engine!BG170*Credit_Engine!BG150+Credit_Engine!BG226*Credit_Engine!BG206+Credit_Engine!BG282*Credit_Engine!BG262)/BG10,0)</f>
        <v/>
      </c>
      <c r="BH22" s="81">
        <f>IFERROR((Credit_Engine!BH58*Credit_Engine!BH38+Credit_Engine!BH114*Credit_Engine!BH94+Credit_Engine!BH170*Credit_Engine!BH150+Credit_Engine!BH226*Credit_Engine!BH206+Credit_Engine!BH282*Credit_Engine!BH262)/BH10,0)</f>
        <v/>
      </c>
      <c r="BI22" s="81">
        <f>IFERROR((Credit_Engine!BI58*Credit_Engine!BI38+Credit_Engine!BI114*Credit_Engine!BI94+Credit_Engine!BI170*Credit_Engine!BI150+Credit_Engine!BI226*Credit_Engine!BI206+Credit_Engine!BI282*Credit_Engine!BI262)/BI10,0)</f>
        <v/>
      </c>
      <c r="BJ22" s="81">
        <f>IFERROR((Credit_Engine!BJ58*Credit_Engine!BJ38+Credit_Engine!BJ114*Credit_Engine!BJ94+Credit_Engine!BJ170*Credit_Engine!BJ150+Credit_Engine!BJ226*Credit_Engine!BJ206+Credit_Engine!BJ282*Credit_Engine!BJ262)/BJ10,0)</f>
        <v/>
      </c>
      <c r="BK22" s="81">
        <f>IFERROR((Credit_Engine!BK58*Credit_Engine!BK38+Credit_Engine!BK114*Credit_Engine!BK94+Credit_Engine!BK170*Credit_Engine!BK150+Credit_Engine!BK226*Credit_Engine!BK206+Credit_Engine!BK282*Credit_Engine!BK262)/BK10,0)</f>
        <v/>
      </c>
      <c r="BL22" s="81">
        <f>IFERROR((Credit_Engine!BL58*Credit_Engine!BL38+Credit_Engine!BL114*Credit_Engine!BL94+Credit_Engine!BL170*Credit_Engine!BL150+Credit_Engine!BL226*Credit_Engine!BL206+Credit_Engine!BL282*Credit_Engine!BL262)/BL10,0)</f>
        <v/>
      </c>
    </row>
    <row r="23">
      <c r="A23" s="100" t="inlineStr">
        <is>
          <t>Indicative ECL (diagnostic)</t>
        </is>
      </c>
      <c r="B23" s="101" t="inlineStr"/>
      <c r="C23" s="102">
        <f>BL23</f>
        <v/>
      </c>
      <c r="D23" s="103" t="n"/>
      <c r="E23" s="104">
        <f>Credit_Engine!E59+Credit_Engine!E115+Credit_Engine!E171+Credit_Engine!E227+Credit_Engine!E283</f>
        <v/>
      </c>
      <c r="F23" s="104">
        <f>Credit_Engine!F59+Credit_Engine!F115+Credit_Engine!F171+Credit_Engine!F227+Credit_Engine!F283</f>
        <v/>
      </c>
      <c r="G23" s="104">
        <f>Credit_Engine!G59+Credit_Engine!G115+Credit_Engine!G171+Credit_Engine!G227+Credit_Engine!G283</f>
        <v/>
      </c>
      <c r="H23" s="104">
        <f>Credit_Engine!H59+Credit_Engine!H115+Credit_Engine!H171+Credit_Engine!H227+Credit_Engine!H283</f>
        <v/>
      </c>
      <c r="I23" s="104">
        <f>Credit_Engine!I59+Credit_Engine!I115+Credit_Engine!I171+Credit_Engine!I227+Credit_Engine!I283</f>
        <v/>
      </c>
      <c r="J23" s="104">
        <f>Credit_Engine!J59+Credit_Engine!J115+Credit_Engine!J171+Credit_Engine!J227+Credit_Engine!J283</f>
        <v/>
      </c>
      <c r="K23" s="104">
        <f>Credit_Engine!K59+Credit_Engine!K115+Credit_Engine!K171+Credit_Engine!K227+Credit_Engine!K283</f>
        <v/>
      </c>
      <c r="L23" s="104">
        <f>Credit_Engine!L59+Credit_Engine!L115+Credit_Engine!L171+Credit_Engine!L227+Credit_Engine!L283</f>
        <v/>
      </c>
      <c r="M23" s="104">
        <f>Credit_Engine!M59+Credit_Engine!M115+Credit_Engine!M171+Credit_Engine!M227+Credit_Engine!M283</f>
        <v/>
      </c>
      <c r="N23" s="104">
        <f>Credit_Engine!N59+Credit_Engine!N115+Credit_Engine!N171+Credit_Engine!N227+Credit_Engine!N283</f>
        <v/>
      </c>
      <c r="O23" s="104">
        <f>Credit_Engine!O59+Credit_Engine!O115+Credit_Engine!O171+Credit_Engine!O227+Credit_Engine!O283</f>
        <v/>
      </c>
      <c r="P23" s="104">
        <f>Credit_Engine!P59+Credit_Engine!P115+Credit_Engine!P171+Credit_Engine!P227+Credit_Engine!P283</f>
        <v/>
      </c>
      <c r="Q23" s="104">
        <f>Credit_Engine!Q59+Credit_Engine!Q115+Credit_Engine!Q171+Credit_Engine!Q227+Credit_Engine!Q283</f>
        <v/>
      </c>
      <c r="R23" s="104">
        <f>Credit_Engine!R59+Credit_Engine!R115+Credit_Engine!R171+Credit_Engine!R227+Credit_Engine!R283</f>
        <v/>
      </c>
      <c r="S23" s="104">
        <f>Credit_Engine!S59+Credit_Engine!S115+Credit_Engine!S171+Credit_Engine!S227+Credit_Engine!S283</f>
        <v/>
      </c>
      <c r="T23" s="104">
        <f>Credit_Engine!T59+Credit_Engine!T115+Credit_Engine!T171+Credit_Engine!T227+Credit_Engine!T283</f>
        <v/>
      </c>
      <c r="U23" s="104">
        <f>Credit_Engine!U59+Credit_Engine!U115+Credit_Engine!U171+Credit_Engine!U227+Credit_Engine!U283</f>
        <v/>
      </c>
      <c r="V23" s="104">
        <f>Credit_Engine!V59+Credit_Engine!V115+Credit_Engine!V171+Credit_Engine!V227+Credit_Engine!V283</f>
        <v/>
      </c>
      <c r="W23" s="104">
        <f>Credit_Engine!W59+Credit_Engine!W115+Credit_Engine!W171+Credit_Engine!W227+Credit_Engine!W283</f>
        <v/>
      </c>
      <c r="X23" s="104">
        <f>Credit_Engine!X59+Credit_Engine!X115+Credit_Engine!X171+Credit_Engine!X227+Credit_Engine!X283</f>
        <v/>
      </c>
      <c r="Y23" s="104">
        <f>Credit_Engine!Y59+Credit_Engine!Y115+Credit_Engine!Y171+Credit_Engine!Y227+Credit_Engine!Y283</f>
        <v/>
      </c>
      <c r="Z23" s="104">
        <f>Credit_Engine!Z59+Credit_Engine!Z115+Credit_Engine!Z171+Credit_Engine!Z227+Credit_Engine!Z283</f>
        <v/>
      </c>
      <c r="AA23" s="104">
        <f>Credit_Engine!AA59+Credit_Engine!AA115+Credit_Engine!AA171+Credit_Engine!AA227+Credit_Engine!AA283</f>
        <v/>
      </c>
      <c r="AB23" s="104">
        <f>Credit_Engine!AB59+Credit_Engine!AB115+Credit_Engine!AB171+Credit_Engine!AB227+Credit_Engine!AB283</f>
        <v/>
      </c>
      <c r="AC23" s="104">
        <f>Credit_Engine!AC59+Credit_Engine!AC115+Credit_Engine!AC171+Credit_Engine!AC227+Credit_Engine!AC283</f>
        <v/>
      </c>
      <c r="AD23" s="104">
        <f>Credit_Engine!AD59+Credit_Engine!AD115+Credit_Engine!AD171+Credit_Engine!AD227+Credit_Engine!AD283</f>
        <v/>
      </c>
      <c r="AE23" s="104">
        <f>Credit_Engine!AE59+Credit_Engine!AE115+Credit_Engine!AE171+Credit_Engine!AE227+Credit_Engine!AE283</f>
        <v/>
      </c>
      <c r="AF23" s="104">
        <f>Credit_Engine!AF59+Credit_Engine!AF115+Credit_Engine!AF171+Credit_Engine!AF227+Credit_Engine!AF283</f>
        <v/>
      </c>
      <c r="AG23" s="104">
        <f>Credit_Engine!AG59+Credit_Engine!AG115+Credit_Engine!AG171+Credit_Engine!AG227+Credit_Engine!AG283</f>
        <v/>
      </c>
      <c r="AH23" s="104">
        <f>Credit_Engine!AH59+Credit_Engine!AH115+Credit_Engine!AH171+Credit_Engine!AH227+Credit_Engine!AH283</f>
        <v/>
      </c>
      <c r="AI23" s="104">
        <f>Credit_Engine!AI59+Credit_Engine!AI115+Credit_Engine!AI171+Credit_Engine!AI227+Credit_Engine!AI283</f>
        <v/>
      </c>
      <c r="AJ23" s="104">
        <f>Credit_Engine!AJ59+Credit_Engine!AJ115+Credit_Engine!AJ171+Credit_Engine!AJ227+Credit_Engine!AJ283</f>
        <v/>
      </c>
      <c r="AK23" s="104">
        <f>Credit_Engine!AK59+Credit_Engine!AK115+Credit_Engine!AK171+Credit_Engine!AK227+Credit_Engine!AK283</f>
        <v/>
      </c>
      <c r="AL23" s="104">
        <f>Credit_Engine!AL59+Credit_Engine!AL115+Credit_Engine!AL171+Credit_Engine!AL227+Credit_Engine!AL283</f>
        <v/>
      </c>
      <c r="AM23" s="104">
        <f>Credit_Engine!AM59+Credit_Engine!AM115+Credit_Engine!AM171+Credit_Engine!AM227+Credit_Engine!AM283</f>
        <v/>
      </c>
      <c r="AN23" s="104">
        <f>Credit_Engine!AN59+Credit_Engine!AN115+Credit_Engine!AN171+Credit_Engine!AN227+Credit_Engine!AN283</f>
        <v/>
      </c>
      <c r="AO23" s="104">
        <f>Credit_Engine!AO59+Credit_Engine!AO115+Credit_Engine!AO171+Credit_Engine!AO227+Credit_Engine!AO283</f>
        <v/>
      </c>
      <c r="AP23" s="104">
        <f>Credit_Engine!AP59+Credit_Engine!AP115+Credit_Engine!AP171+Credit_Engine!AP227+Credit_Engine!AP283</f>
        <v/>
      </c>
      <c r="AQ23" s="104">
        <f>Credit_Engine!AQ59+Credit_Engine!AQ115+Credit_Engine!AQ171+Credit_Engine!AQ227+Credit_Engine!AQ283</f>
        <v/>
      </c>
      <c r="AR23" s="104">
        <f>Credit_Engine!AR59+Credit_Engine!AR115+Credit_Engine!AR171+Credit_Engine!AR227+Credit_Engine!AR283</f>
        <v/>
      </c>
      <c r="AS23" s="104">
        <f>Credit_Engine!AS59+Credit_Engine!AS115+Credit_Engine!AS171+Credit_Engine!AS227+Credit_Engine!AS283</f>
        <v/>
      </c>
      <c r="AT23" s="104">
        <f>Credit_Engine!AT59+Credit_Engine!AT115+Credit_Engine!AT171+Credit_Engine!AT227+Credit_Engine!AT283</f>
        <v/>
      </c>
      <c r="AU23" s="104">
        <f>Credit_Engine!AU59+Credit_Engine!AU115+Credit_Engine!AU171+Credit_Engine!AU227+Credit_Engine!AU283</f>
        <v/>
      </c>
      <c r="AV23" s="104">
        <f>Credit_Engine!AV59+Credit_Engine!AV115+Credit_Engine!AV171+Credit_Engine!AV227+Credit_Engine!AV283</f>
        <v/>
      </c>
      <c r="AW23" s="104">
        <f>Credit_Engine!AW59+Credit_Engine!AW115+Credit_Engine!AW171+Credit_Engine!AW227+Credit_Engine!AW283</f>
        <v/>
      </c>
      <c r="AX23" s="104">
        <f>Credit_Engine!AX59+Credit_Engine!AX115+Credit_Engine!AX171+Credit_Engine!AX227+Credit_Engine!AX283</f>
        <v/>
      </c>
      <c r="AY23" s="104">
        <f>Credit_Engine!AY59+Credit_Engine!AY115+Credit_Engine!AY171+Credit_Engine!AY227+Credit_Engine!AY283</f>
        <v/>
      </c>
      <c r="AZ23" s="104">
        <f>Credit_Engine!AZ59+Credit_Engine!AZ115+Credit_Engine!AZ171+Credit_Engine!AZ227+Credit_Engine!AZ283</f>
        <v/>
      </c>
      <c r="BA23" s="104">
        <f>Credit_Engine!BA59+Credit_Engine!BA115+Credit_Engine!BA171+Credit_Engine!BA227+Credit_Engine!BA283</f>
        <v/>
      </c>
      <c r="BB23" s="104">
        <f>Credit_Engine!BB59+Credit_Engine!BB115+Credit_Engine!BB171+Credit_Engine!BB227+Credit_Engine!BB283</f>
        <v/>
      </c>
      <c r="BC23" s="104">
        <f>Credit_Engine!BC59+Credit_Engine!BC115+Credit_Engine!BC171+Credit_Engine!BC227+Credit_Engine!BC283</f>
        <v/>
      </c>
      <c r="BD23" s="104">
        <f>Credit_Engine!BD59+Credit_Engine!BD115+Credit_Engine!BD171+Credit_Engine!BD227+Credit_Engine!BD283</f>
        <v/>
      </c>
      <c r="BE23" s="104">
        <f>Credit_Engine!BE59+Credit_Engine!BE115+Credit_Engine!BE171+Credit_Engine!BE227+Credit_Engine!BE283</f>
        <v/>
      </c>
      <c r="BF23" s="104">
        <f>Credit_Engine!BF59+Credit_Engine!BF115+Credit_Engine!BF171+Credit_Engine!BF227+Credit_Engine!BF283</f>
        <v/>
      </c>
      <c r="BG23" s="104">
        <f>Credit_Engine!BG59+Credit_Engine!BG115+Credit_Engine!BG171+Credit_Engine!BG227+Credit_Engine!BG283</f>
        <v/>
      </c>
      <c r="BH23" s="104">
        <f>Credit_Engine!BH59+Credit_Engine!BH115+Credit_Engine!BH171+Credit_Engine!BH227+Credit_Engine!BH283</f>
        <v/>
      </c>
      <c r="BI23" s="104">
        <f>Credit_Engine!BI59+Credit_Engine!BI115+Credit_Engine!BI171+Credit_Engine!BI227+Credit_Engine!BI283</f>
        <v/>
      </c>
      <c r="BJ23" s="104">
        <f>Credit_Engine!BJ59+Credit_Engine!BJ115+Credit_Engine!BJ171+Credit_Engine!BJ227+Credit_Engine!BJ283</f>
        <v/>
      </c>
      <c r="BK23" s="104">
        <f>Credit_Engine!BK59+Credit_Engine!BK115+Credit_Engine!BK171+Credit_Engine!BK227+Credit_Engine!BK283</f>
        <v/>
      </c>
      <c r="BL23" s="104">
        <f>Credit_Engine!BL59+Credit_Engine!BL115+Credit_Engine!BL171+Credit_Engine!BL227+Credit_Engine!BL283</f>
        <v/>
      </c>
    </row>
    <row r="24">
      <c r="A24" s="98" t="inlineStr">
        <is>
          <t>Indicative ECL coverage</t>
        </is>
      </c>
      <c r="B24" s="65" t="inlineStr"/>
      <c r="C24" s="106">
        <f>BL24</f>
        <v/>
      </c>
      <c r="E24" s="81">
        <f>IFERROR(E23/E10,0)</f>
        <v/>
      </c>
      <c r="F24" s="81">
        <f>IFERROR(F23/F10,0)</f>
        <v/>
      </c>
      <c r="G24" s="81">
        <f>IFERROR(G23/G10,0)</f>
        <v/>
      </c>
      <c r="H24" s="81">
        <f>IFERROR(H23/H10,0)</f>
        <v/>
      </c>
      <c r="I24" s="81">
        <f>IFERROR(I23/I10,0)</f>
        <v/>
      </c>
      <c r="J24" s="81">
        <f>IFERROR(J23/J10,0)</f>
        <v/>
      </c>
      <c r="K24" s="81">
        <f>IFERROR(K23/K10,0)</f>
        <v/>
      </c>
      <c r="L24" s="81">
        <f>IFERROR(L23/L10,0)</f>
        <v/>
      </c>
      <c r="M24" s="81">
        <f>IFERROR(M23/M10,0)</f>
        <v/>
      </c>
      <c r="N24" s="81">
        <f>IFERROR(N23/N10,0)</f>
        <v/>
      </c>
      <c r="O24" s="81">
        <f>IFERROR(O23/O10,0)</f>
        <v/>
      </c>
      <c r="P24" s="81">
        <f>IFERROR(P23/P10,0)</f>
        <v/>
      </c>
      <c r="Q24" s="81">
        <f>IFERROR(Q23/Q10,0)</f>
        <v/>
      </c>
      <c r="R24" s="81">
        <f>IFERROR(R23/R10,0)</f>
        <v/>
      </c>
      <c r="S24" s="81">
        <f>IFERROR(S23/S10,0)</f>
        <v/>
      </c>
      <c r="T24" s="81">
        <f>IFERROR(T23/T10,0)</f>
        <v/>
      </c>
      <c r="U24" s="81">
        <f>IFERROR(U23/U10,0)</f>
        <v/>
      </c>
      <c r="V24" s="81">
        <f>IFERROR(V23/V10,0)</f>
        <v/>
      </c>
      <c r="W24" s="81">
        <f>IFERROR(W23/W10,0)</f>
        <v/>
      </c>
      <c r="X24" s="81">
        <f>IFERROR(X23/X10,0)</f>
        <v/>
      </c>
      <c r="Y24" s="81">
        <f>IFERROR(Y23/Y10,0)</f>
        <v/>
      </c>
      <c r="Z24" s="81">
        <f>IFERROR(Z23/Z10,0)</f>
        <v/>
      </c>
      <c r="AA24" s="81">
        <f>IFERROR(AA23/AA10,0)</f>
        <v/>
      </c>
      <c r="AB24" s="81">
        <f>IFERROR(AB23/AB10,0)</f>
        <v/>
      </c>
      <c r="AC24" s="81">
        <f>IFERROR(AC23/AC10,0)</f>
        <v/>
      </c>
      <c r="AD24" s="81">
        <f>IFERROR(AD23/AD10,0)</f>
        <v/>
      </c>
      <c r="AE24" s="81">
        <f>IFERROR(AE23/AE10,0)</f>
        <v/>
      </c>
      <c r="AF24" s="81">
        <f>IFERROR(AF23/AF10,0)</f>
        <v/>
      </c>
      <c r="AG24" s="81">
        <f>IFERROR(AG23/AG10,0)</f>
        <v/>
      </c>
      <c r="AH24" s="81">
        <f>IFERROR(AH23/AH10,0)</f>
        <v/>
      </c>
      <c r="AI24" s="81">
        <f>IFERROR(AI23/AI10,0)</f>
        <v/>
      </c>
      <c r="AJ24" s="81">
        <f>IFERROR(AJ23/AJ10,0)</f>
        <v/>
      </c>
      <c r="AK24" s="81">
        <f>IFERROR(AK23/AK10,0)</f>
        <v/>
      </c>
      <c r="AL24" s="81">
        <f>IFERROR(AL23/AL10,0)</f>
        <v/>
      </c>
      <c r="AM24" s="81">
        <f>IFERROR(AM23/AM10,0)</f>
        <v/>
      </c>
      <c r="AN24" s="81">
        <f>IFERROR(AN23/AN10,0)</f>
        <v/>
      </c>
      <c r="AO24" s="81">
        <f>IFERROR(AO23/AO10,0)</f>
        <v/>
      </c>
      <c r="AP24" s="81">
        <f>IFERROR(AP23/AP10,0)</f>
        <v/>
      </c>
      <c r="AQ24" s="81">
        <f>IFERROR(AQ23/AQ10,0)</f>
        <v/>
      </c>
      <c r="AR24" s="81">
        <f>IFERROR(AR23/AR10,0)</f>
        <v/>
      </c>
      <c r="AS24" s="81">
        <f>IFERROR(AS23/AS10,0)</f>
        <v/>
      </c>
      <c r="AT24" s="81">
        <f>IFERROR(AT23/AT10,0)</f>
        <v/>
      </c>
      <c r="AU24" s="81">
        <f>IFERROR(AU23/AU10,0)</f>
        <v/>
      </c>
      <c r="AV24" s="81">
        <f>IFERROR(AV23/AV10,0)</f>
        <v/>
      </c>
      <c r="AW24" s="81">
        <f>IFERROR(AW23/AW10,0)</f>
        <v/>
      </c>
      <c r="AX24" s="81">
        <f>IFERROR(AX23/AX10,0)</f>
        <v/>
      </c>
      <c r="AY24" s="81">
        <f>IFERROR(AY23/AY10,0)</f>
        <v/>
      </c>
      <c r="AZ24" s="81">
        <f>IFERROR(AZ23/AZ10,0)</f>
        <v/>
      </c>
      <c r="BA24" s="81">
        <f>IFERROR(BA23/BA10,0)</f>
        <v/>
      </c>
      <c r="BB24" s="81">
        <f>IFERROR(BB23/BB10,0)</f>
        <v/>
      </c>
      <c r="BC24" s="81">
        <f>IFERROR(BC23/BC10,0)</f>
        <v/>
      </c>
      <c r="BD24" s="81">
        <f>IFERROR(BD23/BD10,0)</f>
        <v/>
      </c>
      <c r="BE24" s="81">
        <f>IFERROR(BE23/BE10,0)</f>
        <v/>
      </c>
      <c r="BF24" s="81">
        <f>IFERROR(BF23/BF10,0)</f>
        <v/>
      </c>
      <c r="BG24" s="81">
        <f>IFERROR(BG23/BG10,0)</f>
        <v/>
      </c>
      <c r="BH24" s="81">
        <f>IFERROR(BH23/BH10,0)</f>
        <v/>
      </c>
      <c r="BI24" s="81">
        <f>IFERROR(BI23/BI10,0)</f>
        <v/>
      </c>
      <c r="BJ24" s="81">
        <f>IFERROR(BJ23/BJ10,0)</f>
        <v/>
      </c>
      <c r="BK24" s="81">
        <f>IFERROR(BK23/BK10,0)</f>
        <v/>
      </c>
      <c r="BL24" s="81">
        <f>IFERROR(BL23/BL10,0)</f>
        <v/>
      </c>
    </row>
    <row r="25">
      <c r="A25" s="98" t="inlineStr">
        <is>
          <t>Eligible receivables</t>
        </is>
      </c>
      <c r="B25" s="65" t="inlineStr"/>
      <c r="C25" s="105">
        <f>BL25</f>
        <v/>
      </c>
      <c r="E25" s="80">
        <f>Credit_Engine!E60+Credit_Engine!E116+Credit_Engine!E172+Credit_Engine!E228+Credit_Engine!E284</f>
        <v/>
      </c>
      <c r="F25" s="80">
        <f>Credit_Engine!F60+Credit_Engine!F116+Credit_Engine!F172+Credit_Engine!F228+Credit_Engine!F284</f>
        <v/>
      </c>
      <c r="G25" s="80">
        <f>Credit_Engine!G60+Credit_Engine!G116+Credit_Engine!G172+Credit_Engine!G228+Credit_Engine!G284</f>
        <v/>
      </c>
      <c r="H25" s="80">
        <f>Credit_Engine!H60+Credit_Engine!H116+Credit_Engine!H172+Credit_Engine!H228+Credit_Engine!H284</f>
        <v/>
      </c>
      <c r="I25" s="80">
        <f>Credit_Engine!I60+Credit_Engine!I116+Credit_Engine!I172+Credit_Engine!I228+Credit_Engine!I284</f>
        <v/>
      </c>
      <c r="J25" s="80">
        <f>Credit_Engine!J60+Credit_Engine!J116+Credit_Engine!J172+Credit_Engine!J228+Credit_Engine!J284</f>
        <v/>
      </c>
      <c r="K25" s="80">
        <f>Credit_Engine!K60+Credit_Engine!K116+Credit_Engine!K172+Credit_Engine!K228+Credit_Engine!K284</f>
        <v/>
      </c>
      <c r="L25" s="80">
        <f>Credit_Engine!L60+Credit_Engine!L116+Credit_Engine!L172+Credit_Engine!L228+Credit_Engine!L284</f>
        <v/>
      </c>
      <c r="M25" s="80">
        <f>Credit_Engine!M60+Credit_Engine!M116+Credit_Engine!M172+Credit_Engine!M228+Credit_Engine!M284</f>
        <v/>
      </c>
      <c r="N25" s="80">
        <f>Credit_Engine!N60+Credit_Engine!N116+Credit_Engine!N172+Credit_Engine!N228+Credit_Engine!N284</f>
        <v/>
      </c>
      <c r="O25" s="80">
        <f>Credit_Engine!O60+Credit_Engine!O116+Credit_Engine!O172+Credit_Engine!O228+Credit_Engine!O284</f>
        <v/>
      </c>
      <c r="P25" s="80">
        <f>Credit_Engine!P60+Credit_Engine!P116+Credit_Engine!P172+Credit_Engine!P228+Credit_Engine!P284</f>
        <v/>
      </c>
      <c r="Q25" s="80">
        <f>Credit_Engine!Q60+Credit_Engine!Q116+Credit_Engine!Q172+Credit_Engine!Q228+Credit_Engine!Q284</f>
        <v/>
      </c>
      <c r="R25" s="80">
        <f>Credit_Engine!R60+Credit_Engine!R116+Credit_Engine!R172+Credit_Engine!R228+Credit_Engine!R284</f>
        <v/>
      </c>
      <c r="S25" s="80">
        <f>Credit_Engine!S60+Credit_Engine!S116+Credit_Engine!S172+Credit_Engine!S228+Credit_Engine!S284</f>
        <v/>
      </c>
      <c r="T25" s="80">
        <f>Credit_Engine!T60+Credit_Engine!T116+Credit_Engine!T172+Credit_Engine!T228+Credit_Engine!T284</f>
        <v/>
      </c>
      <c r="U25" s="80">
        <f>Credit_Engine!U60+Credit_Engine!U116+Credit_Engine!U172+Credit_Engine!U228+Credit_Engine!U284</f>
        <v/>
      </c>
      <c r="V25" s="80">
        <f>Credit_Engine!V60+Credit_Engine!V116+Credit_Engine!V172+Credit_Engine!V228+Credit_Engine!V284</f>
        <v/>
      </c>
      <c r="W25" s="80">
        <f>Credit_Engine!W60+Credit_Engine!W116+Credit_Engine!W172+Credit_Engine!W228+Credit_Engine!W284</f>
        <v/>
      </c>
      <c r="X25" s="80">
        <f>Credit_Engine!X60+Credit_Engine!X116+Credit_Engine!X172+Credit_Engine!X228+Credit_Engine!X284</f>
        <v/>
      </c>
      <c r="Y25" s="80">
        <f>Credit_Engine!Y60+Credit_Engine!Y116+Credit_Engine!Y172+Credit_Engine!Y228+Credit_Engine!Y284</f>
        <v/>
      </c>
      <c r="Z25" s="80">
        <f>Credit_Engine!Z60+Credit_Engine!Z116+Credit_Engine!Z172+Credit_Engine!Z228+Credit_Engine!Z284</f>
        <v/>
      </c>
      <c r="AA25" s="80">
        <f>Credit_Engine!AA60+Credit_Engine!AA116+Credit_Engine!AA172+Credit_Engine!AA228+Credit_Engine!AA284</f>
        <v/>
      </c>
      <c r="AB25" s="80">
        <f>Credit_Engine!AB60+Credit_Engine!AB116+Credit_Engine!AB172+Credit_Engine!AB228+Credit_Engine!AB284</f>
        <v/>
      </c>
      <c r="AC25" s="80">
        <f>Credit_Engine!AC60+Credit_Engine!AC116+Credit_Engine!AC172+Credit_Engine!AC228+Credit_Engine!AC284</f>
        <v/>
      </c>
      <c r="AD25" s="80">
        <f>Credit_Engine!AD60+Credit_Engine!AD116+Credit_Engine!AD172+Credit_Engine!AD228+Credit_Engine!AD284</f>
        <v/>
      </c>
      <c r="AE25" s="80">
        <f>Credit_Engine!AE60+Credit_Engine!AE116+Credit_Engine!AE172+Credit_Engine!AE228+Credit_Engine!AE284</f>
        <v/>
      </c>
      <c r="AF25" s="80">
        <f>Credit_Engine!AF60+Credit_Engine!AF116+Credit_Engine!AF172+Credit_Engine!AF228+Credit_Engine!AF284</f>
        <v/>
      </c>
      <c r="AG25" s="80">
        <f>Credit_Engine!AG60+Credit_Engine!AG116+Credit_Engine!AG172+Credit_Engine!AG228+Credit_Engine!AG284</f>
        <v/>
      </c>
      <c r="AH25" s="80">
        <f>Credit_Engine!AH60+Credit_Engine!AH116+Credit_Engine!AH172+Credit_Engine!AH228+Credit_Engine!AH284</f>
        <v/>
      </c>
      <c r="AI25" s="80">
        <f>Credit_Engine!AI60+Credit_Engine!AI116+Credit_Engine!AI172+Credit_Engine!AI228+Credit_Engine!AI284</f>
        <v/>
      </c>
      <c r="AJ25" s="80">
        <f>Credit_Engine!AJ60+Credit_Engine!AJ116+Credit_Engine!AJ172+Credit_Engine!AJ228+Credit_Engine!AJ284</f>
        <v/>
      </c>
      <c r="AK25" s="80">
        <f>Credit_Engine!AK60+Credit_Engine!AK116+Credit_Engine!AK172+Credit_Engine!AK228+Credit_Engine!AK284</f>
        <v/>
      </c>
      <c r="AL25" s="80">
        <f>Credit_Engine!AL60+Credit_Engine!AL116+Credit_Engine!AL172+Credit_Engine!AL228+Credit_Engine!AL284</f>
        <v/>
      </c>
      <c r="AM25" s="80">
        <f>Credit_Engine!AM60+Credit_Engine!AM116+Credit_Engine!AM172+Credit_Engine!AM228+Credit_Engine!AM284</f>
        <v/>
      </c>
      <c r="AN25" s="80">
        <f>Credit_Engine!AN60+Credit_Engine!AN116+Credit_Engine!AN172+Credit_Engine!AN228+Credit_Engine!AN284</f>
        <v/>
      </c>
      <c r="AO25" s="80">
        <f>Credit_Engine!AO60+Credit_Engine!AO116+Credit_Engine!AO172+Credit_Engine!AO228+Credit_Engine!AO284</f>
        <v/>
      </c>
      <c r="AP25" s="80">
        <f>Credit_Engine!AP60+Credit_Engine!AP116+Credit_Engine!AP172+Credit_Engine!AP228+Credit_Engine!AP284</f>
        <v/>
      </c>
      <c r="AQ25" s="80">
        <f>Credit_Engine!AQ60+Credit_Engine!AQ116+Credit_Engine!AQ172+Credit_Engine!AQ228+Credit_Engine!AQ284</f>
        <v/>
      </c>
      <c r="AR25" s="80">
        <f>Credit_Engine!AR60+Credit_Engine!AR116+Credit_Engine!AR172+Credit_Engine!AR228+Credit_Engine!AR284</f>
        <v/>
      </c>
      <c r="AS25" s="80">
        <f>Credit_Engine!AS60+Credit_Engine!AS116+Credit_Engine!AS172+Credit_Engine!AS228+Credit_Engine!AS284</f>
        <v/>
      </c>
      <c r="AT25" s="80">
        <f>Credit_Engine!AT60+Credit_Engine!AT116+Credit_Engine!AT172+Credit_Engine!AT228+Credit_Engine!AT284</f>
        <v/>
      </c>
      <c r="AU25" s="80">
        <f>Credit_Engine!AU60+Credit_Engine!AU116+Credit_Engine!AU172+Credit_Engine!AU228+Credit_Engine!AU284</f>
        <v/>
      </c>
      <c r="AV25" s="80">
        <f>Credit_Engine!AV60+Credit_Engine!AV116+Credit_Engine!AV172+Credit_Engine!AV228+Credit_Engine!AV284</f>
        <v/>
      </c>
      <c r="AW25" s="80">
        <f>Credit_Engine!AW60+Credit_Engine!AW116+Credit_Engine!AW172+Credit_Engine!AW228+Credit_Engine!AW284</f>
        <v/>
      </c>
      <c r="AX25" s="80">
        <f>Credit_Engine!AX60+Credit_Engine!AX116+Credit_Engine!AX172+Credit_Engine!AX228+Credit_Engine!AX284</f>
        <v/>
      </c>
      <c r="AY25" s="80">
        <f>Credit_Engine!AY60+Credit_Engine!AY116+Credit_Engine!AY172+Credit_Engine!AY228+Credit_Engine!AY284</f>
        <v/>
      </c>
      <c r="AZ25" s="80">
        <f>Credit_Engine!AZ60+Credit_Engine!AZ116+Credit_Engine!AZ172+Credit_Engine!AZ228+Credit_Engine!AZ284</f>
        <v/>
      </c>
      <c r="BA25" s="80">
        <f>Credit_Engine!BA60+Credit_Engine!BA116+Credit_Engine!BA172+Credit_Engine!BA228+Credit_Engine!BA284</f>
        <v/>
      </c>
      <c r="BB25" s="80">
        <f>Credit_Engine!BB60+Credit_Engine!BB116+Credit_Engine!BB172+Credit_Engine!BB228+Credit_Engine!BB284</f>
        <v/>
      </c>
      <c r="BC25" s="80">
        <f>Credit_Engine!BC60+Credit_Engine!BC116+Credit_Engine!BC172+Credit_Engine!BC228+Credit_Engine!BC284</f>
        <v/>
      </c>
      <c r="BD25" s="80">
        <f>Credit_Engine!BD60+Credit_Engine!BD116+Credit_Engine!BD172+Credit_Engine!BD228+Credit_Engine!BD284</f>
        <v/>
      </c>
      <c r="BE25" s="80">
        <f>Credit_Engine!BE60+Credit_Engine!BE116+Credit_Engine!BE172+Credit_Engine!BE228+Credit_Engine!BE284</f>
        <v/>
      </c>
      <c r="BF25" s="80">
        <f>Credit_Engine!BF60+Credit_Engine!BF116+Credit_Engine!BF172+Credit_Engine!BF228+Credit_Engine!BF284</f>
        <v/>
      </c>
      <c r="BG25" s="80">
        <f>Credit_Engine!BG60+Credit_Engine!BG116+Credit_Engine!BG172+Credit_Engine!BG228+Credit_Engine!BG284</f>
        <v/>
      </c>
      <c r="BH25" s="80">
        <f>Credit_Engine!BH60+Credit_Engine!BH116+Credit_Engine!BH172+Credit_Engine!BH228+Credit_Engine!BH284</f>
        <v/>
      </c>
      <c r="BI25" s="80">
        <f>Credit_Engine!BI60+Credit_Engine!BI116+Credit_Engine!BI172+Credit_Engine!BI228+Credit_Engine!BI284</f>
        <v/>
      </c>
      <c r="BJ25" s="80">
        <f>Credit_Engine!BJ60+Credit_Engine!BJ116+Credit_Engine!BJ172+Credit_Engine!BJ228+Credit_Engine!BJ284</f>
        <v/>
      </c>
      <c r="BK25" s="80">
        <f>Credit_Engine!BK60+Credit_Engine!BK116+Credit_Engine!BK172+Credit_Engine!BK228+Credit_Engine!BK284</f>
        <v/>
      </c>
      <c r="BL25" s="80">
        <f>Credit_Engine!BL60+Credit_Engine!BL116+Credit_Engine!BL172+Credit_Engine!BL228+Credit_Engine!BL284</f>
        <v/>
      </c>
    </row>
    <row r="26">
      <c r="A26" s="98" t="inlineStr">
        <is>
          <t>Borrowing-base contribution</t>
        </is>
      </c>
      <c r="B26" s="65" t="inlineStr"/>
      <c r="C26" s="105">
        <f>BL26</f>
        <v/>
      </c>
      <c r="E26" s="80">
        <f>Credit_Engine!E61+Credit_Engine!E117+Credit_Engine!E173+Credit_Engine!E229+Credit_Engine!E285</f>
        <v/>
      </c>
      <c r="F26" s="80">
        <f>Credit_Engine!F61+Credit_Engine!F117+Credit_Engine!F173+Credit_Engine!F229+Credit_Engine!F285</f>
        <v/>
      </c>
      <c r="G26" s="80">
        <f>Credit_Engine!G61+Credit_Engine!G117+Credit_Engine!G173+Credit_Engine!G229+Credit_Engine!G285</f>
        <v/>
      </c>
      <c r="H26" s="80">
        <f>Credit_Engine!H61+Credit_Engine!H117+Credit_Engine!H173+Credit_Engine!H229+Credit_Engine!H285</f>
        <v/>
      </c>
      <c r="I26" s="80">
        <f>Credit_Engine!I61+Credit_Engine!I117+Credit_Engine!I173+Credit_Engine!I229+Credit_Engine!I285</f>
        <v/>
      </c>
      <c r="J26" s="80">
        <f>Credit_Engine!J61+Credit_Engine!J117+Credit_Engine!J173+Credit_Engine!J229+Credit_Engine!J285</f>
        <v/>
      </c>
      <c r="K26" s="80">
        <f>Credit_Engine!K61+Credit_Engine!K117+Credit_Engine!K173+Credit_Engine!K229+Credit_Engine!K285</f>
        <v/>
      </c>
      <c r="L26" s="80">
        <f>Credit_Engine!L61+Credit_Engine!L117+Credit_Engine!L173+Credit_Engine!L229+Credit_Engine!L285</f>
        <v/>
      </c>
      <c r="M26" s="80">
        <f>Credit_Engine!M61+Credit_Engine!M117+Credit_Engine!M173+Credit_Engine!M229+Credit_Engine!M285</f>
        <v/>
      </c>
      <c r="N26" s="80">
        <f>Credit_Engine!N61+Credit_Engine!N117+Credit_Engine!N173+Credit_Engine!N229+Credit_Engine!N285</f>
        <v/>
      </c>
      <c r="O26" s="80">
        <f>Credit_Engine!O61+Credit_Engine!O117+Credit_Engine!O173+Credit_Engine!O229+Credit_Engine!O285</f>
        <v/>
      </c>
      <c r="P26" s="80">
        <f>Credit_Engine!P61+Credit_Engine!P117+Credit_Engine!P173+Credit_Engine!P229+Credit_Engine!P285</f>
        <v/>
      </c>
      <c r="Q26" s="80">
        <f>Credit_Engine!Q61+Credit_Engine!Q117+Credit_Engine!Q173+Credit_Engine!Q229+Credit_Engine!Q285</f>
        <v/>
      </c>
      <c r="R26" s="80">
        <f>Credit_Engine!R61+Credit_Engine!R117+Credit_Engine!R173+Credit_Engine!R229+Credit_Engine!R285</f>
        <v/>
      </c>
      <c r="S26" s="80">
        <f>Credit_Engine!S61+Credit_Engine!S117+Credit_Engine!S173+Credit_Engine!S229+Credit_Engine!S285</f>
        <v/>
      </c>
      <c r="T26" s="80">
        <f>Credit_Engine!T61+Credit_Engine!T117+Credit_Engine!T173+Credit_Engine!T229+Credit_Engine!T285</f>
        <v/>
      </c>
      <c r="U26" s="80">
        <f>Credit_Engine!U61+Credit_Engine!U117+Credit_Engine!U173+Credit_Engine!U229+Credit_Engine!U285</f>
        <v/>
      </c>
      <c r="V26" s="80">
        <f>Credit_Engine!V61+Credit_Engine!V117+Credit_Engine!V173+Credit_Engine!V229+Credit_Engine!V285</f>
        <v/>
      </c>
      <c r="W26" s="80">
        <f>Credit_Engine!W61+Credit_Engine!W117+Credit_Engine!W173+Credit_Engine!W229+Credit_Engine!W285</f>
        <v/>
      </c>
      <c r="X26" s="80">
        <f>Credit_Engine!X61+Credit_Engine!X117+Credit_Engine!X173+Credit_Engine!X229+Credit_Engine!X285</f>
        <v/>
      </c>
      <c r="Y26" s="80">
        <f>Credit_Engine!Y61+Credit_Engine!Y117+Credit_Engine!Y173+Credit_Engine!Y229+Credit_Engine!Y285</f>
        <v/>
      </c>
      <c r="Z26" s="80">
        <f>Credit_Engine!Z61+Credit_Engine!Z117+Credit_Engine!Z173+Credit_Engine!Z229+Credit_Engine!Z285</f>
        <v/>
      </c>
      <c r="AA26" s="80">
        <f>Credit_Engine!AA61+Credit_Engine!AA117+Credit_Engine!AA173+Credit_Engine!AA229+Credit_Engine!AA285</f>
        <v/>
      </c>
      <c r="AB26" s="80">
        <f>Credit_Engine!AB61+Credit_Engine!AB117+Credit_Engine!AB173+Credit_Engine!AB229+Credit_Engine!AB285</f>
        <v/>
      </c>
      <c r="AC26" s="80">
        <f>Credit_Engine!AC61+Credit_Engine!AC117+Credit_Engine!AC173+Credit_Engine!AC229+Credit_Engine!AC285</f>
        <v/>
      </c>
      <c r="AD26" s="80">
        <f>Credit_Engine!AD61+Credit_Engine!AD117+Credit_Engine!AD173+Credit_Engine!AD229+Credit_Engine!AD285</f>
        <v/>
      </c>
      <c r="AE26" s="80">
        <f>Credit_Engine!AE61+Credit_Engine!AE117+Credit_Engine!AE173+Credit_Engine!AE229+Credit_Engine!AE285</f>
        <v/>
      </c>
      <c r="AF26" s="80">
        <f>Credit_Engine!AF61+Credit_Engine!AF117+Credit_Engine!AF173+Credit_Engine!AF229+Credit_Engine!AF285</f>
        <v/>
      </c>
      <c r="AG26" s="80">
        <f>Credit_Engine!AG61+Credit_Engine!AG117+Credit_Engine!AG173+Credit_Engine!AG229+Credit_Engine!AG285</f>
        <v/>
      </c>
      <c r="AH26" s="80">
        <f>Credit_Engine!AH61+Credit_Engine!AH117+Credit_Engine!AH173+Credit_Engine!AH229+Credit_Engine!AH285</f>
        <v/>
      </c>
      <c r="AI26" s="80">
        <f>Credit_Engine!AI61+Credit_Engine!AI117+Credit_Engine!AI173+Credit_Engine!AI229+Credit_Engine!AI285</f>
        <v/>
      </c>
      <c r="AJ26" s="80">
        <f>Credit_Engine!AJ61+Credit_Engine!AJ117+Credit_Engine!AJ173+Credit_Engine!AJ229+Credit_Engine!AJ285</f>
        <v/>
      </c>
      <c r="AK26" s="80">
        <f>Credit_Engine!AK61+Credit_Engine!AK117+Credit_Engine!AK173+Credit_Engine!AK229+Credit_Engine!AK285</f>
        <v/>
      </c>
      <c r="AL26" s="80">
        <f>Credit_Engine!AL61+Credit_Engine!AL117+Credit_Engine!AL173+Credit_Engine!AL229+Credit_Engine!AL285</f>
        <v/>
      </c>
      <c r="AM26" s="80">
        <f>Credit_Engine!AM61+Credit_Engine!AM117+Credit_Engine!AM173+Credit_Engine!AM229+Credit_Engine!AM285</f>
        <v/>
      </c>
      <c r="AN26" s="80">
        <f>Credit_Engine!AN61+Credit_Engine!AN117+Credit_Engine!AN173+Credit_Engine!AN229+Credit_Engine!AN285</f>
        <v/>
      </c>
      <c r="AO26" s="80">
        <f>Credit_Engine!AO61+Credit_Engine!AO117+Credit_Engine!AO173+Credit_Engine!AO229+Credit_Engine!AO285</f>
        <v/>
      </c>
      <c r="AP26" s="80">
        <f>Credit_Engine!AP61+Credit_Engine!AP117+Credit_Engine!AP173+Credit_Engine!AP229+Credit_Engine!AP285</f>
        <v/>
      </c>
      <c r="AQ26" s="80">
        <f>Credit_Engine!AQ61+Credit_Engine!AQ117+Credit_Engine!AQ173+Credit_Engine!AQ229+Credit_Engine!AQ285</f>
        <v/>
      </c>
      <c r="AR26" s="80">
        <f>Credit_Engine!AR61+Credit_Engine!AR117+Credit_Engine!AR173+Credit_Engine!AR229+Credit_Engine!AR285</f>
        <v/>
      </c>
      <c r="AS26" s="80">
        <f>Credit_Engine!AS61+Credit_Engine!AS117+Credit_Engine!AS173+Credit_Engine!AS229+Credit_Engine!AS285</f>
        <v/>
      </c>
      <c r="AT26" s="80">
        <f>Credit_Engine!AT61+Credit_Engine!AT117+Credit_Engine!AT173+Credit_Engine!AT229+Credit_Engine!AT285</f>
        <v/>
      </c>
      <c r="AU26" s="80">
        <f>Credit_Engine!AU61+Credit_Engine!AU117+Credit_Engine!AU173+Credit_Engine!AU229+Credit_Engine!AU285</f>
        <v/>
      </c>
      <c r="AV26" s="80">
        <f>Credit_Engine!AV61+Credit_Engine!AV117+Credit_Engine!AV173+Credit_Engine!AV229+Credit_Engine!AV285</f>
        <v/>
      </c>
      <c r="AW26" s="80">
        <f>Credit_Engine!AW61+Credit_Engine!AW117+Credit_Engine!AW173+Credit_Engine!AW229+Credit_Engine!AW285</f>
        <v/>
      </c>
      <c r="AX26" s="80">
        <f>Credit_Engine!AX61+Credit_Engine!AX117+Credit_Engine!AX173+Credit_Engine!AX229+Credit_Engine!AX285</f>
        <v/>
      </c>
      <c r="AY26" s="80">
        <f>Credit_Engine!AY61+Credit_Engine!AY117+Credit_Engine!AY173+Credit_Engine!AY229+Credit_Engine!AY285</f>
        <v/>
      </c>
      <c r="AZ26" s="80">
        <f>Credit_Engine!AZ61+Credit_Engine!AZ117+Credit_Engine!AZ173+Credit_Engine!AZ229+Credit_Engine!AZ285</f>
        <v/>
      </c>
      <c r="BA26" s="80">
        <f>Credit_Engine!BA61+Credit_Engine!BA117+Credit_Engine!BA173+Credit_Engine!BA229+Credit_Engine!BA285</f>
        <v/>
      </c>
      <c r="BB26" s="80">
        <f>Credit_Engine!BB61+Credit_Engine!BB117+Credit_Engine!BB173+Credit_Engine!BB229+Credit_Engine!BB285</f>
        <v/>
      </c>
      <c r="BC26" s="80">
        <f>Credit_Engine!BC61+Credit_Engine!BC117+Credit_Engine!BC173+Credit_Engine!BC229+Credit_Engine!BC285</f>
        <v/>
      </c>
      <c r="BD26" s="80">
        <f>Credit_Engine!BD61+Credit_Engine!BD117+Credit_Engine!BD173+Credit_Engine!BD229+Credit_Engine!BD285</f>
        <v/>
      </c>
      <c r="BE26" s="80">
        <f>Credit_Engine!BE61+Credit_Engine!BE117+Credit_Engine!BE173+Credit_Engine!BE229+Credit_Engine!BE285</f>
        <v/>
      </c>
      <c r="BF26" s="80">
        <f>Credit_Engine!BF61+Credit_Engine!BF117+Credit_Engine!BF173+Credit_Engine!BF229+Credit_Engine!BF285</f>
        <v/>
      </c>
      <c r="BG26" s="80">
        <f>Credit_Engine!BG61+Credit_Engine!BG117+Credit_Engine!BG173+Credit_Engine!BG229+Credit_Engine!BG285</f>
        <v/>
      </c>
      <c r="BH26" s="80">
        <f>Credit_Engine!BH61+Credit_Engine!BH117+Credit_Engine!BH173+Credit_Engine!BH229+Credit_Engine!BH285</f>
        <v/>
      </c>
      <c r="BI26" s="80">
        <f>Credit_Engine!BI61+Credit_Engine!BI117+Credit_Engine!BI173+Credit_Engine!BI229+Credit_Engine!BI285</f>
        <v/>
      </c>
      <c r="BJ26" s="80">
        <f>Credit_Engine!BJ61+Credit_Engine!BJ117+Credit_Engine!BJ173+Credit_Engine!BJ229+Credit_Engine!BJ285</f>
        <v/>
      </c>
      <c r="BK26" s="80">
        <f>Credit_Engine!BK61+Credit_Engine!BK117+Credit_Engine!BK173+Credit_Engine!BK229+Credit_Engine!BK285</f>
        <v/>
      </c>
      <c r="BL26" s="80">
        <f>Credit_Engine!BL61+Credit_Engine!BL117+Credit_Engine!BL173+Credit_Engine!BL229+Credit_Engine!BL285</f>
        <v/>
      </c>
    </row>
    <row r="27">
      <c r="A27" s="98" t="inlineStr">
        <is>
          <t>Facility drawn (projection)</t>
        </is>
      </c>
      <c r="B27" s="65" t="inlineStr"/>
      <c r="C27" s="105">
        <f>BL27</f>
        <v/>
      </c>
      <c r="E27" s="80">
        <f>Financing!E$23</f>
        <v/>
      </c>
      <c r="F27" s="80">
        <f>Financing!F$23</f>
        <v/>
      </c>
      <c r="G27" s="80">
        <f>Financing!G$23</f>
        <v/>
      </c>
      <c r="H27" s="80">
        <f>Financing!H$23</f>
        <v/>
      </c>
      <c r="I27" s="80">
        <f>Financing!I$23</f>
        <v/>
      </c>
      <c r="J27" s="80">
        <f>Financing!J$23</f>
        <v/>
      </c>
      <c r="K27" s="80">
        <f>Financing!K$23</f>
        <v/>
      </c>
      <c r="L27" s="80">
        <f>Financing!L$23</f>
        <v/>
      </c>
      <c r="M27" s="80">
        <f>Financing!M$23</f>
        <v/>
      </c>
      <c r="N27" s="80">
        <f>Financing!N$23</f>
        <v/>
      </c>
      <c r="O27" s="80">
        <f>Financing!O$23</f>
        <v/>
      </c>
      <c r="P27" s="80">
        <f>Financing!P$23</f>
        <v/>
      </c>
      <c r="Q27" s="80">
        <f>Financing!Q$23</f>
        <v/>
      </c>
      <c r="R27" s="80">
        <f>Financing!R$23</f>
        <v/>
      </c>
      <c r="S27" s="80">
        <f>Financing!S$23</f>
        <v/>
      </c>
      <c r="T27" s="80">
        <f>Financing!T$23</f>
        <v/>
      </c>
      <c r="U27" s="80">
        <f>Financing!U$23</f>
        <v/>
      </c>
      <c r="V27" s="80">
        <f>Financing!V$23</f>
        <v/>
      </c>
      <c r="W27" s="80">
        <f>Financing!W$23</f>
        <v/>
      </c>
      <c r="X27" s="80">
        <f>Financing!X$23</f>
        <v/>
      </c>
      <c r="Y27" s="80">
        <f>Financing!Y$23</f>
        <v/>
      </c>
      <c r="Z27" s="80">
        <f>Financing!Z$23</f>
        <v/>
      </c>
      <c r="AA27" s="80">
        <f>Financing!AA$23</f>
        <v/>
      </c>
      <c r="AB27" s="80">
        <f>Financing!AB$23</f>
        <v/>
      </c>
      <c r="AC27" s="80">
        <f>Financing!AC$23</f>
        <v/>
      </c>
      <c r="AD27" s="80">
        <f>Financing!AD$23</f>
        <v/>
      </c>
      <c r="AE27" s="80">
        <f>Financing!AE$23</f>
        <v/>
      </c>
      <c r="AF27" s="80">
        <f>Financing!AF$23</f>
        <v/>
      </c>
      <c r="AG27" s="80">
        <f>Financing!AG$23</f>
        <v/>
      </c>
      <c r="AH27" s="80">
        <f>Financing!AH$23</f>
        <v/>
      </c>
      <c r="AI27" s="80">
        <f>Financing!AI$23</f>
        <v/>
      </c>
      <c r="AJ27" s="80">
        <f>Financing!AJ$23</f>
        <v/>
      </c>
      <c r="AK27" s="80">
        <f>Financing!AK$23</f>
        <v/>
      </c>
      <c r="AL27" s="80">
        <f>Financing!AL$23</f>
        <v/>
      </c>
      <c r="AM27" s="80">
        <f>Financing!AM$23</f>
        <v/>
      </c>
      <c r="AN27" s="80">
        <f>Financing!AN$23</f>
        <v/>
      </c>
      <c r="AO27" s="80">
        <f>Financing!AO$23</f>
        <v/>
      </c>
      <c r="AP27" s="80">
        <f>Financing!AP$23</f>
        <v/>
      </c>
      <c r="AQ27" s="80">
        <f>Financing!AQ$23</f>
        <v/>
      </c>
      <c r="AR27" s="80">
        <f>Financing!AR$23</f>
        <v/>
      </c>
      <c r="AS27" s="80">
        <f>Financing!AS$23</f>
        <v/>
      </c>
      <c r="AT27" s="80">
        <f>Financing!AT$23</f>
        <v/>
      </c>
      <c r="AU27" s="80">
        <f>Financing!AU$23</f>
        <v/>
      </c>
      <c r="AV27" s="80">
        <f>Financing!AV$23</f>
        <v/>
      </c>
      <c r="AW27" s="80">
        <f>Financing!AW$23</f>
        <v/>
      </c>
      <c r="AX27" s="80">
        <f>Financing!AX$23</f>
        <v/>
      </c>
      <c r="AY27" s="80">
        <f>Financing!AY$23</f>
        <v/>
      </c>
      <c r="AZ27" s="80">
        <f>Financing!AZ$23</f>
        <v/>
      </c>
      <c r="BA27" s="80">
        <f>Financing!BA$23</f>
        <v/>
      </c>
      <c r="BB27" s="80">
        <f>Financing!BB$23</f>
        <v/>
      </c>
      <c r="BC27" s="80">
        <f>Financing!BC$23</f>
        <v/>
      </c>
      <c r="BD27" s="80">
        <f>Financing!BD$23</f>
        <v/>
      </c>
      <c r="BE27" s="80">
        <f>Financing!BE$23</f>
        <v/>
      </c>
      <c r="BF27" s="80">
        <f>Financing!BF$23</f>
        <v/>
      </c>
      <c r="BG27" s="80">
        <f>Financing!BG$23</f>
        <v/>
      </c>
      <c r="BH27" s="80">
        <f>Financing!BH$23</f>
        <v/>
      </c>
      <c r="BI27" s="80">
        <f>Financing!BI$23</f>
        <v/>
      </c>
      <c r="BJ27" s="80">
        <f>Financing!BJ$23</f>
        <v/>
      </c>
      <c r="BK27" s="80">
        <f>Financing!BK$23</f>
        <v/>
      </c>
      <c r="BL27" s="80">
        <f>Financing!BL$23</f>
        <v/>
      </c>
    </row>
    <row r="28">
      <c r="A28" s="98" t="inlineStr">
        <is>
          <t>Borrowing-base headroom (projection)</t>
        </is>
      </c>
      <c r="B28" s="65" t="inlineStr"/>
      <c r="C28" s="105">
        <f>BL28</f>
        <v/>
      </c>
      <c r="E28" s="80">
        <f>Financing!E$22-E27</f>
        <v/>
      </c>
      <c r="F28" s="80">
        <f>Financing!F$22-F27</f>
        <v/>
      </c>
      <c r="G28" s="80">
        <f>Financing!G$22-G27</f>
        <v/>
      </c>
      <c r="H28" s="80">
        <f>Financing!H$22-H27</f>
        <v/>
      </c>
      <c r="I28" s="80">
        <f>Financing!I$22-I27</f>
        <v/>
      </c>
      <c r="J28" s="80">
        <f>Financing!J$22-J27</f>
        <v/>
      </c>
      <c r="K28" s="80">
        <f>Financing!K$22-K27</f>
        <v/>
      </c>
      <c r="L28" s="80">
        <f>Financing!L$22-L27</f>
        <v/>
      </c>
      <c r="M28" s="80">
        <f>Financing!M$22-M27</f>
        <v/>
      </c>
      <c r="N28" s="80">
        <f>Financing!N$22-N27</f>
        <v/>
      </c>
      <c r="O28" s="80">
        <f>Financing!O$22-O27</f>
        <v/>
      </c>
      <c r="P28" s="80">
        <f>Financing!P$22-P27</f>
        <v/>
      </c>
      <c r="Q28" s="80">
        <f>Financing!Q$22-Q27</f>
        <v/>
      </c>
      <c r="R28" s="80">
        <f>Financing!R$22-R27</f>
        <v/>
      </c>
      <c r="S28" s="80">
        <f>Financing!S$22-S27</f>
        <v/>
      </c>
      <c r="T28" s="80">
        <f>Financing!T$22-T27</f>
        <v/>
      </c>
      <c r="U28" s="80">
        <f>Financing!U$22-U27</f>
        <v/>
      </c>
      <c r="V28" s="80">
        <f>Financing!V$22-V27</f>
        <v/>
      </c>
      <c r="W28" s="80">
        <f>Financing!W$22-W27</f>
        <v/>
      </c>
      <c r="X28" s="80">
        <f>Financing!X$22-X27</f>
        <v/>
      </c>
      <c r="Y28" s="80">
        <f>Financing!Y$22-Y27</f>
        <v/>
      </c>
      <c r="Z28" s="80">
        <f>Financing!Z$22-Z27</f>
        <v/>
      </c>
      <c r="AA28" s="80">
        <f>Financing!AA$22-AA27</f>
        <v/>
      </c>
      <c r="AB28" s="80">
        <f>Financing!AB$22-AB27</f>
        <v/>
      </c>
      <c r="AC28" s="80">
        <f>Financing!AC$22-AC27</f>
        <v/>
      </c>
      <c r="AD28" s="80">
        <f>Financing!AD$22-AD27</f>
        <v/>
      </c>
      <c r="AE28" s="80">
        <f>Financing!AE$22-AE27</f>
        <v/>
      </c>
      <c r="AF28" s="80">
        <f>Financing!AF$22-AF27</f>
        <v/>
      </c>
      <c r="AG28" s="80">
        <f>Financing!AG$22-AG27</f>
        <v/>
      </c>
      <c r="AH28" s="80">
        <f>Financing!AH$22-AH27</f>
        <v/>
      </c>
      <c r="AI28" s="80">
        <f>Financing!AI$22-AI27</f>
        <v/>
      </c>
      <c r="AJ28" s="80">
        <f>Financing!AJ$22-AJ27</f>
        <v/>
      </c>
      <c r="AK28" s="80">
        <f>Financing!AK$22-AK27</f>
        <v/>
      </c>
      <c r="AL28" s="80">
        <f>Financing!AL$22-AL27</f>
        <v/>
      </c>
      <c r="AM28" s="80">
        <f>Financing!AM$22-AM27</f>
        <v/>
      </c>
      <c r="AN28" s="80">
        <f>Financing!AN$22-AN27</f>
        <v/>
      </c>
      <c r="AO28" s="80">
        <f>Financing!AO$22-AO27</f>
        <v/>
      </c>
      <c r="AP28" s="80">
        <f>Financing!AP$22-AP27</f>
        <v/>
      </c>
      <c r="AQ28" s="80">
        <f>Financing!AQ$22-AQ27</f>
        <v/>
      </c>
      <c r="AR28" s="80">
        <f>Financing!AR$22-AR27</f>
        <v/>
      </c>
      <c r="AS28" s="80">
        <f>Financing!AS$22-AS27</f>
        <v/>
      </c>
      <c r="AT28" s="80">
        <f>Financing!AT$22-AT27</f>
        <v/>
      </c>
      <c r="AU28" s="80">
        <f>Financing!AU$22-AU27</f>
        <v/>
      </c>
      <c r="AV28" s="80">
        <f>Financing!AV$22-AV27</f>
        <v/>
      </c>
      <c r="AW28" s="80">
        <f>Financing!AW$22-AW27</f>
        <v/>
      </c>
      <c r="AX28" s="80">
        <f>Financing!AX$22-AX27</f>
        <v/>
      </c>
      <c r="AY28" s="80">
        <f>Financing!AY$22-AY27</f>
        <v/>
      </c>
      <c r="AZ28" s="80">
        <f>Financing!AZ$22-AZ27</f>
        <v/>
      </c>
      <c r="BA28" s="80">
        <f>Financing!BA$22-BA27</f>
        <v/>
      </c>
      <c r="BB28" s="80">
        <f>Financing!BB$22-BB27</f>
        <v/>
      </c>
      <c r="BC28" s="80">
        <f>Financing!BC$22-BC27</f>
        <v/>
      </c>
      <c r="BD28" s="80">
        <f>Financing!BD$22-BD27</f>
        <v/>
      </c>
      <c r="BE28" s="80">
        <f>Financing!BE$22-BE27</f>
        <v/>
      </c>
      <c r="BF28" s="80">
        <f>Financing!BF$22-BF27</f>
        <v/>
      </c>
      <c r="BG28" s="80">
        <f>Financing!BG$22-BG27</f>
        <v/>
      </c>
      <c r="BH28" s="80">
        <f>Financing!BH$22-BH27</f>
        <v/>
      </c>
      <c r="BI28" s="80">
        <f>Financing!BI$22-BI27</f>
        <v/>
      </c>
      <c r="BJ28" s="80">
        <f>Financing!BJ$22-BJ27</f>
        <v/>
      </c>
      <c r="BK28" s="80">
        <f>Financing!BK$22-BK27</f>
        <v/>
      </c>
      <c r="BL28" s="80">
        <f>Financing!BL$22-BL27</f>
        <v/>
      </c>
    </row>
    <row r="29">
      <c r="A29" s="98" t="inlineStr">
        <is>
          <t>30+ DPD / gross receivables</t>
        </is>
      </c>
      <c r="B29" s="65" t="inlineStr"/>
      <c r="C29" s="106">
        <f>BL29</f>
        <v/>
      </c>
      <c r="E29" s="81">
        <f>IFERROR((Credit_Engine!E46+Credit_Engine!E102+Credit_Engine!E158+Credit_Engine!E214+Credit_Engine!E270)/E10,0)</f>
        <v/>
      </c>
      <c r="F29" s="81">
        <f>IFERROR((Credit_Engine!F46+Credit_Engine!F102+Credit_Engine!F158+Credit_Engine!F214+Credit_Engine!F270)/F10,0)</f>
        <v/>
      </c>
      <c r="G29" s="81">
        <f>IFERROR((Credit_Engine!G46+Credit_Engine!G102+Credit_Engine!G158+Credit_Engine!G214+Credit_Engine!G270)/G10,0)</f>
        <v/>
      </c>
      <c r="H29" s="81">
        <f>IFERROR((Credit_Engine!H46+Credit_Engine!H102+Credit_Engine!H158+Credit_Engine!H214+Credit_Engine!H270)/H10,0)</f>
        <v/>
      </c>
      <c r="I29" s="81">
        <f>IFERROR((Credit_Engine!I46+Credit_Engine!I102+Credit_Engine!I158+Credit_Engine!I214+Credit_Engine!I270)/I10,0)</f>
        <v/>
      </c>
      <c r="J29" s="81">
        <f>IFERROR((Credit_Engine!J46+Credit_Engine!J102+Credit_Engine!J158+Credit_Engine!J214+Credit_Engine!J270)/J10,0)</f>
        <v/>
      </c>
      <c r="K29" s="81">
        <f>IFERROR((Credit_Engine!K46+Credit_Engine!K102+Credit_Engine!K158+Credit_Engine!K214+Credit_Engine!K270)/K10,0)</f>
        <v/>
      </c>
      <c r="L29" s="81">
        <f>IFERROR((Credit_Engine!L46+Credit_Engine!L102+Credit_Engine!L158+Credit_Engine!L214+Credit_Engine!L270)/L10,0)</f>
        <v/>
      </c>
      <c r="M29" s="81">
        <f>IFERROR((Credit_Engine!M46+Credit_Engine!M102+Credit_Engine!M158+Credit_Engine!M214+Credit_Engine!M270)/M10,0)</f>
        <v/>
      </c>
      <c r="N29" s="81">
        <f>IFERROR((Credit_Engine!N46+Credit_Engine!N102+Credit_Engine!N158+Credit_Engine!N214+Credit_Engine!N270)/N10,0)</f>
        <v/>
      </c>
      <c r="O29" s="81">
        <f>IFERROR((Credit_Engine!O46+Credit_Engine!O102+Credit_Engine!O158+Credit_Engine!O214+Credit_Engine!O270)/O10,0)</f>
        <v/>
      </c>
      <c r="P29" s="81">
        <f>IFERROR((Credit_Engine!P46+Credit_Engine!P102+Credit_Engine!P158+Credit_Engine!P214+Credit_Engine!P270)/P10,0)</f>
        <v/>
      </c>
      <c r="Q29" s="81">
        <f>IFERROR((Credit_Engine!Q46+Credit_Engine!Q102+Credit_Engine!Q158+Credit_Engine!Q214+Credit_Engine!Q270)/Q10,0)</f>
        <v/>
      </c>
      <c r="R29" s="81">
        <f>IFERROR((Credit_Engine!R46+Credit_Engine!R102+Credit_Engine!R158+Credit_Engine!R214+Credit_Engine!R270)/R10,0)</f>
        <v/>
      </c>
      <c r="S29" s="81">
        <f>IFERROR((Credit_Engine!S46+Credit_Engine!S102+Credit_Engine!S158+Credit_Engine!S214+Credit_Engine!S270)/S10,0)</f>
        <v/>
      </c>
      <c r="T29" s="81">
        <f>IFERROR((Credit_Engine!T46+Credit_Engine!T102+Credit_Engine!T158+Credit_Engine!T214+Credit_Engine!T270)/T10,0)</f>
        <v/>
      </c>
      <c r="U29" s="81">
        <f>IFERROR((Credit_Engine!U46+Credit_Engine!U102+Credit_Engine!U158+Credit_Engine!U214+Credit_Engine!U270)/U10,0)</f>
        <v/>
      </c>
      <c r="V29" s="81">
        <f>IFERROR((Credit_Engine!V46+Credit_Engine!V102+Credit_Engine!V158+Credit_Engine!V214+Credit_Engine!V270)/V10,0)</f>
        <v/>
      </c>
      <c r="W29" s="81">
        <f>IFERROR((Credit_Engine!W46+Credit_Engine!W102+Credit_Engine!W158+Credit_Engine!W214+Credit_Engine!W270)/W10,0)</f>
        <v/>
      </c>
      <c r="X29" s="81">
        <f>IFERROR((Credit_Engine!X46+Credit_Engine!X102+Credit_Engine!X158+Credit_Engine!X214+Credit_Engine!X270)/X10,0)</f>
        <v/>
      </c>
      <c r="Y29" s="81">
        <f>IFERROR((Credit_Engine!Y46+Credit_Engine!Y102+Credit_Engine!Y158+Credit_Engine!Y214+Credit_Engine!Y270)/Y10,0)</f>
        <v/>
      </c>
      <c r="Z29" s="81">
        <f>IFERROR((Credit_Engine!Z46+Credit_Engine!Z102+Credit_Engine!Z158+Credit_Engine!Z214+Credit_Engine!Z270)/Z10,0)</f>
        <v/>
      </c>
      <c r="AA29" s="81">
        <f>IFERROR((Credit_Engine!AA46+Credit_Engine!AA102+Credit_Engine!AA158+Credit_Engine!AA214+Credit_Engine!AA270)/AA10,0)</f>
        <v/>
      </c>
      <c r="AB29" s="81">
        <f>IFERROR((Credit_Engine!AB46+Credit_Engine!AB102+Credit_Engine!AB158+Credit_Engine!AB214+Credit_Engine!AB270)/AB10,0)</f>
        <v/>
      </c>
      <c r="AC29" s="81">
        <f>IFERROR((Credit_Engine!AC46+Credit_Engine!AC102+Credit_Engine!AC158+Credit_Engine!AC214+Credit_Engine!AC270)/AC10,0)</f>
        <v/>
      </c>
      <c r="AD29" s="81">
        <f>IFERROR((Credit_Engine!AD46+Credit_Engine!AD102+Credit_Engine!AD158+Credit_Engine!AD214+Credit_Engine!AD270)/AD10,0)</f>
        <v/>
      </c>
      <c r="AE29" s="81">
        <f>IFERROR((Credit_Engine!AE46+Credit_Engine!AE102+Credit_Engine!AE158+Credit_Engine!AE214+Credit_Engine!AE270)/AE10,0)</f>
        <v/>
      </c>
      <c r="AF29" s="81">
        <f>IFERROR((Credit_Engine!AF46+Credit_Engine!AF102+Credit_Engine!AF158+Credit_Engine!AF214+Credit_Engine!AF270)/AF10,0)</f>
        <v/>
      </c>
      <c r="AG29" s="81">
        <f>IFERROR((Credit_Engine!AG46+Credit_Engine!AG102+Credit_Engine!AG158+Credit_Engine!AG214+Credit_Engine!AG270)/AG10,0)</f>
        <v/>
      </c>
      <c r="AH29" s="81">
        <f>IFERROR((Credit_Engine!AH46+Credit_Engine!AH102+Credit_Engine!AH158+Credit_Engine!AH214+Credit_Engine!AH270)/AH10,0)</f>
        <v/>
      </c>
      <c r="AI29" s="81">
        <f>IFERROR((Credit_Engine!AI46+Credit_Engine!AI102+Credit_Engine!AI158+Credit_Engine!AI214+Credit_Engine!AI270)/AI10,0)</f>
        <v/>
      </c>
      <c r="AJ29" s="81">
        <f>IFERROR((Credit_Engine!AJ46+Credit_Engine!AJ102+Credit_Engine!AJ158+Credit_Engine!AJ214+Credit_Engine!AJ270)/AJ10,0)</f>
        <v/>
      </c>
      <c r="AK29" s="81">
        <f>IFERROR((Credit_Engine!AK46+Credit_Engine!AK102+Credit_Engine!AK158+Credit_Engine!AK214+Credit_Engine!AK270)/AK10,0)</f>
        <v/>
      </c>
      <c r="AL29" s="81">
        <f>IFERROR((Credit_Engine!AL46+Credit_Engine!AL102+Credit_Engine!AL158+Credit_Engine!AL214+Credit_Engine!AL270)/AL10,0)</f>
        <v/>
      </c>
      <c r="AM29" s="81">
        <f>IFERROR((Credit_Engine!AM46+Credit_Engine!AM102+Credit_Engine!AM158+Credit_Engine!AM214+Credit_Engine!AM270)/AM10,0)</f>
        <v/>
      </c>
      <c r="AN29" s="81">
        <f>IFERROR((Credit_Engine!AN46+Credit_Engine!AN102+Credit_Engine!AN158+Credit_Engine!AN214+Credit_Engine!AN270)/AN10,0)</f>
        <v/>
      </c>
      <c r="AO29" s="81">
        <f>IFERROR((Credit_Engine!AO46+Credit_Engine!AO102+Credit_Engine!AO158+Credit_Engine!AO214+Credit_Engine!AO270)/AO10,0)</f>
        <v/>
      </c>
      <c r="AP29" s="81">
        <f>IFERROR((Credit_Engine!AP46+Credit_Engine!AP102+Credit_Engine!AP158+Credit_Engine!AP214+Credit_Engine!AP270)/AP10,0)</f>
        <v/>
      </c>
      <c r="AQ29" s="81">
        <f>IFERROR((Credit_Engine!AQ46+Credit_Engine!AQ102+Credit_Engine!AQ158+Credit_Engine!AQ214+Credit_Engine!AQ270)/AQ10,0)</f>
        <v/>
      </c>
      <c r="AR29" s="81">
        <f>IFERROR((Credit_Engine!AR46+Credit_Engine!AR102+Credit_Engine!AR158+Credit_Engine!AR214+Credit_Engine!AR270)/AR10,0)</f>
        <v/>
      </c>
      <c r="AS29" s="81">
        <f>IFERROR((Credit_Engine!AS46+Credit_Engine!AS102+Credit_Engine!AS158+Credit_Engine!AS214+Credit_Engine!AS270)/AS10,0)</f>
        <v/>
      </c>
      <c r="AT29" s="81">
        <f>IFERROR((Credit_Engine!AT46+Credit_Engine!AT102+Credit_Engine!AT158+Credit_Engine!AT214+Credit_Engine!AT270)/AT10,0)</f>
        <v/>
      </c>
      <c r="AU29" s="81">
        <f>IFERROR((Credit_Engine!AU46+Credit_Engine!AU102+Credit_Engine!AU158+Credit_Engine!AU214+Credit_Engine!AU270)/AU10,0)</f>
        <v/>
      </c>
      <c r="AV29" s="81">
        <f>IFERROR((Credit_Engine!AV46+Credit_Engine!AV102+Credit_Engine!AV158+Credit_Engine!AV214+Credit_Engine!AV270)/AV10,0)</f>
        <v/>
      </c>
      <c r="AW29" s="81">
        <f>IFERROR((Credit_Engine!AW46+Credit_Engine!AW102+Credit_Engine!AW158+Credit_Engine!AW214+Credit_Engine!AW270)/AW10,0)</f>
        <v/>
      </c>
      <c r="AX29" s="81">
        <f>IFERROR((Credit_Engine!AX46+Credit_Engine!AX102+Credit_Engine!AX158+Credit_Engine!AX214+Credit_Engine!AX270)/AX10,0)</f>
        <v/>
      </c>
      <c r="AY29" s="81">
        <f>IFERROR((Credit_Engine!AY46+Credit_Engine!AY102+Credit_Engine!AY158+Credit_Engine!AY214+Credit_Engine!AY270)/AY10,0)</f>
        <v/>
      </c>
      <c r="AZ29" s="81">
        <f>IFERROR((Credit_Engine!AZ46+Credit_Engine!AZ102+Credit_Engine!AZ158+Credit_Engine!AZ214+Credit_Engine!AZ270)/AZ10,0)</f>
        <v/>
      </c>
      <c r="BA29" s="81">
        <f>IFERROR((Credit_Engine!BA46+Credit_Engine!BA102+Credit_Engine!BA158+Credit_Engine!BA214+Credit_Engine!BA270)/BA10,0)</f>
        <v/>
      </c>
      <c r="BB29" s="81">
        <f>IFERROR((Credit_Engine!BB46+Credit_Engine!BB102+Credit_Engine!BB158+Credit_Engine!BB214+Credit_Engine!BB270)/BB10,0)</f>
        <v/>
      </c>
      <c r="BC29" s="81">
        <f>IFERROR((Credit_Engine!BC46+Credit_Engine!BC102+Credit_Engine!BC158+Credit_Engine!BC214+Credit_Engine!BC270)/BC10,0)</f>
        <v/>
      </c>
      <c r="BD29" s="81">
        <f>IFERROR((Credit_Engine!BD46+Credit_Engine!BD102+Credit_Engine!BD158+Credit_Engine!BD214+Credit_Engine!BD270)/BD10,0)</f>
        <v/>
      </c>
      <c r="BE29" s="81">
        <f>IFERROR((Credit_Engine!BE46+Credit_Engine!BE102+Credit_Engine!BE158+Credit_Engine!BE214+Credit_Engine!BE270)/BE10,0)</f>
        <v/>
      </c>
      <c r="BF29" s="81">
        <f>IFERROR((Credit_Engine!BF46+Credit_Engine!BF102+Credit_Engine!BF158+Credit_Engine!BF214+Credit_Engine!BF270)/BF10,0)</f>
        <v/>
      </c>
      <c r="BG29" s="81">
        <f>IFERROR((Credit_Engine!BG46+Credit_Engine!BG102+Credit_Engine!BG158+Credit_Engine!BG214+Credit_Engine!BG270)/BG10,0)</f>
        <v/>
      </c>
      <c r="BH29" s="81">
        <f>IFERROR((Credit_Engine!BH46+Credit_Engine!BH102+Credit_Engine!BH158+Credit_Engine!BH214+Credit_Engine!BH270)/BH10,0)</f>
        <v/>
      </c>
      <c r="BI29" s="81">
        <f>IFERROR((Credit_Engine!BI46+Credit_Engine!BI102+Credit_Engine!BI158+Credit_Engine!BI214+Credit_Engine!BI270)/BI10,0)</f>
        <v/>
      </c>
      <c r="BJ29" s="81">
        <f>IFERROR((Credit_Engine!BJ46+Credit_Engine!BJ102+Credit_Engine!BJ158+Credit_Engine!BJ214+Credit_Engine!BJ270)/BJ10,0)</f>
        <v/>
      </c>
      <c r="BK29" s="81">
        <f>IFERROR((Credit_Engine!BK46+Credit_Engine!BK102+Credit_Engine!BK158+Credit_Engine!BK214+Credit_Engine!BK270)/BK10,0)</f>
        <v/>
      </c>
      <c r="BL29" s="81">
        <f>IFERROR((Credit_Engine!BL46+Credit_Engine!BL102+Credit_Engine!BL158+Credit_Engine!BL214+Credit_Engine!BL270)/BL10,0)</f>
        <v/>
      </c>
    </row>
    <row r="30">
      <c r="A30" s="98" t="inlineStr">
        <is>
          <t>90+ DPD / gross receivables</t>
        </is>
      </c>
      <c r="B30" s="65" t="inlineStr"/>
      <c r="C30" s="106">
        <f>BL30</f>
        <v/>
      </c>
      <c r="E30" s="81">
        <f>IFERROR((Credit_Engine!E47+Credit_Engine!E103+Credit_Engine!E159+Credit_Engine!E215+Credit_Engine!E271)/E10,0)</f>
        <v/>
      </c>
      <c r="F30" s="81">
        <f>IFERROR((Credit_Engine!F47+Credit_Engine!F103+Credit_Engine!F159+Credit_Engine!F215+Credit_Engine!F271)/F10,0)</f>
        <v/>
      </c>
      <c r="G30" s="81">
        <f>IFERROR((Credit_Engine!G47+Credit_Engine!G103+Credit_Engine!G159+Credit_Engine!G215+Credit_Engine!G271)/G10,0)</f>
        <v/>
      </c>
      <c r="H30" s="81">
        <f>IFERROR((Credit_Engine!H47+Credit_Engine!H103+Credit_Engine!H159+Credit_Engine!H215+Credit_Engine!H271)/H10,0)</f>
        <v/>
      </c>
      <c r="I30" s="81">
        <f>IFERROR((Credit_Engine!I47+Credit_Engine!I103+Credit_Engine!I159+Credit_Engine!I215+Credit_Engine!I271)/I10,0)</f>
        <v/>
      </c>
      <c r="J30" s="81">
        <f>IFERROR((Credit_Engine!J47+Credit_Engine!J103+Credit_Engine!J159+Credit_Engine!J215+Credit_Engine!J271)/J10,0)</f>
        <v/>
      </c>
      <c r="K30" s="81">
        <f>IFERROR((Credit_Engine!K47+Credit_Engine!K103+Credit_Engine!K159+Credit_Engine!K215+Credit_Engine!K271)/K10,0)</f>
        <v/>
      </c>
      <c r="L30" s="81">
        <f>IFERROR((Credit_Engine!L47+Credit_Engine!L103+Credit_Engine!L159+Credit_Engine!L215+Credit_Engine!L271)/L10,0)</f>
        <v/>
      </c>
      <c r="M30" s="81">
        <f>IFERROR((Credit_Engine!M47+Credit_Engine!M103+Credit_Engine!M159+Credit_Engine!M215+Credit_Engine!M271)/M10,0)</f>
        <v/>
      </c>
      <c r="N30" s="81">
        <f>IFERROR((Credit_Engine!N47+Credit_Engine!N103+Credit_Engine!N159+Credit_Engine!N215+Credit_Engine!N271)/N10,0)</f>
        <v/>
      </c>
      <c r="O30" s="81">
        <f>IFERROR((Credit_Engine!O47+Credit_Engine!O103+Credit_Engine!O159+Credit_Engine!O215+Credit_Engine!O271)/O10,0)</f>
        <v/>
      </c>
      <c r="P30" s="81">
        <f>IFERROR((Credit_Engine!P47+Credit_Engine!P103+Credit_Engine!P159+Credit_Engine!P215+Credit_Engine!P271)/P10,0)</f>
        <v/>
      </c>
      <c r="Q30" s="81">
        <f>IFERROR((Credit_Engine!Q47+Credit_Engine!Q103+Credit_Engine!Q159+Credit_Engine!Q215+Credit_Engine!Q271)/Q10,0)</f>
        <v/>
      </c>
      <c r="R30" s="81">
        <f>IFERROR((Credit_Engine!R47+Credit_Engine!R103+Credit_Engine!R159+Credit_Engine!R215+Credit_Engine!R271)/R10,0)</f>
        <v/>
      </c>
      <c r="S30" s="81">
        <f>IFERROR((Credit_Engine!S47+Credit_Engine!S103+Credit_Engine!S159+Credit_Engine!S215+Credit_Engine!S271)/S10,0)</f>
        <v/>
      </c>
      <c r="T30" s="81">
        <f>IFERROR((Credit_Engine!T47+Credit_Engine!T103+Credit_Engine!T159+Credit_Engine!T215+Credit_Engine!T271)/T10,0)</f>
        <v/>
      </c>
      <c r="U30" s="81">
        <f>IFERROR((Credit_Engine!U47+Credit_Engine!U103+Credit_Engine!U159+Credit_Engine!U215+Credit_Engine!U271)/U10,0)</f>
        <v/>
      </c>
      <c r="V30" s="81">
        <f>IFERROR((Credit_Engine!V47+Credit_Engine!V103+Credit_Engine!V159+Credit_Engine!V215+Credit_Engine!V271)/V10,0)</f>
        <v/>
      </c>
      <c r="W30" s="81">
        <f>IFERROR((Credit_Engine!W47+Credit_Engine!W103+Credit_Engine!W159+Credit_Engine!W215+Credit_Engine!W271)/W10,0)</f>
        <v/>
      </c>
      <c r="X30" s="81">
        <f>IFERROR((Credit_Engine!X47+Credit_Engine!X103+Credit_Engine!X159+Credit_Engine!X215+Credit_Engine!X271)/X10,0)</f>
        <v/>
      </c>
      <c r="Y30" s="81">
        <f>IFERROR((Credit_Engine!Y47+Credit_Engine!Y103+Credit_Engine!Y159+Credit_Engine!Y215+Credit_Engine!Y271)/Y10,0)</f>
        <v/>
      </c>
      <c r="Z30" s="81">
        <f>IFERROR((Credit_Engine!Z47+Credit_Engine!Z103+Credit_Engine!Z159+Credit_Engine!Z215+Credit_Engine!Z271)/Z10,0)</f>
        <v/>
      </c>
      <c r="AA30" s="81">
        <f>IFERROR((Credit_Engine!AA47+Credit_Engine!AA103+Credit_Engine!AA159+Credit_Engine!AA215+Credit_Engine!AA271)/AA10,0)</f>
        <v/>
      </c>
      <c r="AB30" s="81">
        <f>IFERROR((Credit_Engine!AB47+Credit_Engine!AB103+Credit_Engine!AB159+Credit_Engine!AB215+Credit_Engine!AB271)/AB10,0)</f>
        <v/>
      </c>
      <c r="AC30" s="81">
        <f>IFERROR((Credit_Engine!AC47+Credit_Engine!AC103+Credit_Engine!AC159+Credit_Engine!AC215+Credit_Engine!AC271)/AC10,0)</f>
        <v/>
      </c>
      <c r="AD30" s="81">
        <f>IFERROR((Credit_Engine!AD47+Credit_Engine!AD103+Credit_Engine!AD159+Credit_Engine!AD215+Credit_Engine!AD271)/AD10,0)</f>
        <v/>
      </c>
      <c r="AE30" s="81">
        <f>IFERROR((Credit_Engine!AE47+Credit_Engine!AE103+Credit_Engine!AE159+Credit_Engine!AE215+Credit_Engine!AE271)/AE10,0)</f>
        <v/>
      </c>
      <c r="AF30" s="81">
        <f>IFERROR((Credit_Engine!AF47+Credit_Engine!AF103+Credit_Engine!AF159+Credit_Engine!AF215+Credit_Engine!AF271)/AF10,0)</f>
        <v/>
      </c>
      <c r="AG30" s="81">
        <f>IFERROR((Credit_Engine!AG47+Credit_Engine!AG103+Credit_Engine!AG159+Credit_Engine!AG215+Credit_Engine!AG271)/AG10,0)</f>
        <v/>
      </c>
      <c r="AH30" s="81">
        <f>IFERROR((Credit_Engine!AH47+Credit_Engine!AH103+Credit_Engine!AH159+Credit_Engine!AH215+Credit_Engine!AH271)/AH10,0)</f>
        <v/>
      </c>
      <c r="AI30" s="81">
        <f>IFERROR((Credit_Engine!AI47+Credit_Engine!AI103+Credit_Engine!AI159+Credit_Engine!AI215+Credit_Engine!AI271)/AI10,0)</f>
        <v/>
      </c>
      <c r="AJ30" s="81">
        <f>IFERROR((Credit_Engine!AJ47+Credit_Engine!AJ103+Credit_Engine!AJ159+Credit_Engine!AJ215+Credit_Engine!AJ271)/AJ10,0)</f>
        <v/>
      </c>
      <c r="AK30" s="81">
        <f>IFERROR((Credit_Engine!AK47+Credit_Engine!AK103+Credit_Engine!AK159+Credit_Engine!AK215+Credit_Engine!AK271)/AK10,0)</f>
        <v/>
      </c>
      <c r="AL30" s="81">
        <f>IFERROR((Credit_Engine!AL47+Credit_Engine!AL103+Credit_Engine!AL159+Credit_Engine!AL215+Credit_Engine!AL271)/AL10,0)</f>
        <v/>
      </c>
      <c r="AM30" s="81">
        <f>IFERROR((Credit_Engine!AM47+Credit_Engine!AM103+Credit_Engine!AM159+Credit_Engine!AM215+Credit_Engine!AM271)/AM10,0)</f>
        <v/>
      </c>
      <c r="AN30" s="81">
        <f>IFERROR((Credit_Engine!AN47+Credit_Engine!AN103+Credit_Engine!AN159+Credit_Engine!AN215+Credit_Engine!AN271)/AN10,0)</f>
        <v/>
      </c>
      <c r="AO30" s="81">
        <f>IFERROR((Credit_Engine!AO47+Credit_Engine!AO103+Credit_Engine!AO159+Credit_Engine!AO215+Credit_Engine!AO271)/AO10,0)</f>
        <v/>
      </c>
      <c r="AP30" s="81">
        <f>IFERROR((Credit_Engine!AP47+Credit_Engine!AP103+Credit_Engine!AP159+Credit_Engine!AP215+Credit_Engine!AP271)/AP10,0)</f>
        <v/>
      </c>
      <c r="AQ30" s="81">
        <f>IFERROR((Credit_Engine!AQ47+Credit_Engine!AQ103+Credit_Engine!AQ159+Credit_Engine!AQ215+Credit_Engine!AQ271)/AQ10,0)</f>
        <v/>
      </c>
      <c r="AR30" s="81">
        <f>IFERROR((Credit_Engine!AR47+Credit_Engine!AR103+Credit_Engine!AR159+Credit_Engine!AR215+Credit_Engine!AR271)/AR10,0)</f>
        <v/>
      </c>
      <c r="AS30" s="81">
        <f>IFERROR((Credit_Engine!AS47+Credit_Engine!AS103+Credit_Engine!AS159+Credit_Engine!AS215+Credit_Engine!AS271)/AS10,0)</f>
        <v/>
      </c>
      <c r="AT30" s="81">
        <f>IFERROR((Credit_Engine!AT47+Credit_Engine!AT103+Credit_Engine!AT159+Credit_Engine!AT215+Credit_Engine!AT271)/AT10,0)</f>
        <v/>
      </c>
      <c r="AU30" s="81">
        <f>IFERROR((Credit_Engine!AU47+Credit_Engine!AU103+Credit_Engine!AU159+Credit_Engine!AU215+Credit_Engine!AU271)/AU10,0)</f>
        <v/>
      </c>
      <c r="AV30" s="81">
        <f>IFERROR((Credit_Engine!AV47+Credit_Engine!AV103+Credit_Engine!AV159+Credit_Engine!AV215+Credit_Engine!AV271)/AV10,0)</f>
        <v/>
      </c>
      <c r="AW30" s="81">
        <f>IFERROR((Credit_Engine!AW47+Credit_Engine!AW103+Credit_Engine!AW159+Credit_Engine!AW215+Credit_Engine!AW271)/AW10,0)</f>
        <v/>
      </c>
      <c r="AX30" s="81">
        <f>IFERROR((Credit_Engine!AX47+Credit_Engine!AX103+Credit_Engine!AX159+Credit_Engine!AX215+Credit_Engine!AX271)/AX10,0)</f>
        <v/>
      </c>
      <c r="AY30" s="81">
        <f>IFERROR((Credit_Engine!AY47+Credit_Engine!AY103+Credit_Engine!AY159+Credit_Engine!AY215+Credit_Engine!AY271)/AY10,0)</f>
        <v/>
      </c>
      <c r="AZ30" s="81">
        <f>IFERROR((Credit_Engine!AZ47+Credit_Engine!AZ103+Credit_Engine!AZ159+Credit_Engine!AZ215+Credit_Engine!AZ271)/AZ10,0)</f>
        <v/>
      </c>
      <c r="BA30" s="81">
        <f>IFERROR((Credit_Engine!BA47+Credit_Engine!BA103+Credit_Engine!BA159+Credit_Engine!BA215+Credit_Engine!BA271)/BA10,0)</f>
        <v/>
      </c>
      <c r="BB30" s="81">
        <f>IFERROR((Credit_Engine!BB47+Credit_Engine!BB103+Credit_Engine!BB159+Credit_Engine!BB215+Credit_Engine!BB271)/BB10,0)</f>
        <v/>
      </c>
      <c r="BC30" s="81">
        <f>IFERROR((Credit_Engine!BC47+Credit_Engine!BC103+Credit_Engine!BC159+Credit_Engine!BC215+Credit_Engine!BC271)/BC10,0)</f>
        <v/>
      </c>
      <c r="BD30" s="81">
        <f>IFERROR((Credit_Engine!BD47+Credit_Engine!BD103+Credit_Engine!BD159+Credit_Engine!BD215+Credit_Engine!BD271)/BD10,0)</f>
        <v/>
      </c>
      <c r="BE30" s="81">
        <f>IFERROR((Credit_Engine!BE47+Credit_Engine!BE103+Credit_Engine!BE159+Credit_Engine!BE215+Credit_Engine!BE271)/BE10,0)</f>
        <v/>
      </c>
      <c r="BF30" s="81">
        <f>IFERROR((Credit_Engine!BF47+Credit_Engine!BF103+Credit_Engine!BF159+Credit_Engine!BF215+Credit_Engine!BF271)/BF10,0)</f>
        <v/>
      </c>
      <c r="BG30" s="81">
        <f>IFERROR((Credit_Engine!BG47+Credit_Engine!BG103+Credit_Engine!BG159+Credit_Engine!BG215+Credit_Engine!BG271)/BG10,0)</f>
        <v/>
      </c>
      <c r="BH30" s="81">
        <f>IFERROR((Credit_Engine!BH47+Credit_Engine!BH103+Credit_Engine!BH159+Credit_Engine!BH215+Credit_Engine!BH271)/BH10,0)</f>
        <v/>
      </c>
      <c r="BI30" s="81">
        <f>IFERROR((Credit_Engine!BI47+Credit_Engine!BI103+Credit_Engine!BI159+Credit_Engine!BI215+Credit_Engine!BI271)/BI10,0)</f>
        <v/>
      </c>
      <c r="BJ30" s="81">
        <f>IFERROR((Credit_Engine!BJ47+Credit_Engine!BJ103+Credit_Engine!BJ159+Credit_Engine!BJ215+Credit_Engine!BJ271)/BJ10,0)</f>
        <v/>
      </c>
      <c r="BK30" s="81">
        <f>IFERROR((Credit_Engine!BK47+Credit_Engine!BK103+Credit_Engine!BK159+Credit_Engine!BK215+Credit_Engine!BK271)/BK10,0)</f>
        <v/>
      </c>
      <c r="BL30" s="81">
        <f>IFERROR((Credit_Engine!BL47+Credit_Engine!BL103+Credit_Engine!BL159+Credit_Engine!BL215+Credit_Engine!BL271)/BL10,0)</f>
        <v/>
      </c>
    </row>
    <row r="31">
      <c r="A31" s="100" t="inlineStr">
        <is>
          <t>Credit risk flag (30+ or 90+ above covenant)</t>
        </is>
      </c>
      <c r="B31" s="101" t="inlineStr"/>
      <c r="C31" s="107">
        <f>MAX(E31:BL31)</f>
        <v/>
      </c>
      <c r="D31" s="103" t="n"/>
      <c r="E31" s="108">
        <f>IF(OR(E29&gt;Inputs!$C$75,E30&gt;Inputs!$C$76),1,0)</f>
        <v/>
      </c>
      <c r="F31" s="108">
        <f>IF(OR(F29&gt;Inputs!$C$75,F30&gt;Inputs!$C$76),1,0)</f>
        <v/>
      </c>
      <c r="G31" s="108">
        <f>IF(OR(G29&gt;Inputs!$C$75,G30&gt;Inputs!$C$76),1,0)</f>
        <v/>
      </c>
      <c r="H31" s="108">
        <f>IF(OR(H29&gt;Inputs!$C$75,H30&gt;Inputs!$C$76),1,0)</f>
        <v/>
      </c>
      <c r="I31" s="108">
        <f>IF(OR(I29&gt;Inputs!$C$75,I30&gt;Inputs!$C$76),1,0)</f>
        <v/>
      </c>
      <c r="J31" s="108">
        <f>IF(OR(J29&gt;Inputs!$C$75,J30&gt;Inputs!$C$76),1,0)</f>
        <v/>
      </c>
      <c r="K31" s="108">
        <f>IF(OR(K29&gt;Inputs!$C$75,K30&gt;Inputs!$C$76),1,0)</f>
        <v/>
      </c>
      <c r="L31" s="108">
        <f>IF(OR(L29&gt;Inputs!$C$75,L30&gt;Inputs!$C$76),1,0)</f>
        <v/>
      </c>
      <c r="M31" s="108">
        <f>IF(OR(M29&gt;Inputs!$C$75,M30&gt;Inputs!$C$76),1,0)</f>
        <v/>
      </c>
      <c r="N31" s="108">
        <f>IF(OR(N29&gt;Inputs!$C$75,N30&gt;Inputs!$C$76),1,0)</f>
        <v/>
      </c>
      <c r="O31" s="108">
        <f>IF(OR(O29&gt;Inputs!$C$75,O30&gt;Inputs!$C$76),1,0)</f>
        <v/>
      </c>
      <c r="P31" s="108">
        <f>IF(OR(P29&gt;Inputs!$C$75,P30&gt;Inputs!$C$76),1,0)</f>
        <v/>
      </c>
      <c r="Q31" s="108">
        <f>IF(OR(Q29&gt;Inputs!$C$75,Q30&gt;Inputs!$C$76),1,0)</f>
        <v/>
      </c>
      <c r="R31" s="108">
        <f>IF(OR(R29&gt;Inputs!$C$75,R30&gt;Inputs!$C$76),1,0)</f>
        <v/>
      </c>
      <c r="S31" s="108">
        <f>IF(OR(S29&gt;Inputs!$C$75,S30&gt;Inputs!$C$76),1,0)</f>
        <v/>
      </c>
      <c r="T31" s="108">
        <f>IF(OR(T29&gt;Inputs!$C$75,T30&gt;Inputs!$C$76),1,0)</f>
        <v/>
      </c>
      <c r="U31" s="108">
        <f>IF(OR(U29&gt;Inputs!$C$75,U30&gt;Inputs!$C$76),1,0)</f>
        <v/>
      </c>
      <c r="V31" s="108">
        <f>IF(OR(V29&gt;Inputs!$C$75,V30&gt;Inputs!$C$76),1,0)</f>
        <v/>
      </c>
      <c r="W31" s="108">
        <f>IF(OR(W29&gt;Inputs!$C$75,W30&gt;Inputs!$C$76),1,0)</f>
        <v/>
      </c>
      <c r="X31" s="108">
        <f>IF(OR(X29&gt;Inputs!$C$75,X30&gt;Inputs!$C$76),1,0)</f>
        <v/>
      </c>
      <c r="Y31" s="108">
        <f>IF(OR(Y29&gt;Inputs!$C$75,Y30&gt;Inputs!$C$76),1,0)</f>
        <v/>
      </c>
      <c r="Z31" s="108">
        <f>IF(OR(Z29&gt;Inputs!$C$75,Z30&gt;Inputs!$C$76),1,0)</f>
        <v/>
      </c>
      <c r="AA31" s="108">
        <f>IF(OR(AA29&gt;Inputs!$C$75,AA30&gt;Inputs!$C$76),1,0)</f>
        <v/>
      </c>
      <c r="AB31" s="108">
        <f>IF(OR(AB29&gt;Inputs!$C$75,AB30&gt;Inputs!$C$76),1,0)</f>
        <v/>
      </c>
      <c r="AC31" s="108">
        <f>IF(OR(AC29&gt;Inputs!$C$75,AC30&gt;Inputs!$C$76),1,0)</f>
        <v/>
      </c>
      <c r="AD31" s="108">
        <f>IF(OR(AD29&gt;Inputs!$C$75,AD30&gt;Inputs!$C$76),1,0)</f>
        <v/>
      </c>
      <c r="AE31" s="108">
        <f>IF(OR(AE29&gt;Inputs!$C$75,AE30&gt;Inputs!$C$76),1,0)</f>
        <v/>
      </c>
      <c r="AF31" s="108">
        <f>IF(OR(AF29&gt;Inputs!$C$75,AF30&gt;Inputs!$C$76),1,0)</f>
        <v/>
      </c>
      <c r="AG31" s="108">
        <f>IF(OR(AG29&gt;Inputs!$C$75,AG30&gt;Inputs!$C$76),1,0)</f>
        <v/>
      </c>
      <c r="AH31" s="108">
        <f>IF(OR(AH29&gt;Inputs!$C$75,AH30&gt;Inputs!$C$76),1,0)</f>
        <v/>
      </c>
      <c r="AI31" s="108">
        <f>IF(OR(AI29&gt;Inputs!$C$75,AI30&gt;Inputs!$C$76),1,0)</f>
        <v/>
      </c>
      <c r="AJ31" s="108">
        <f>IF(OR(AJ29&gt;Inputs!$C$75,AJ30&gt;Inputs!$C$76),1,0)</f>
        <v/>
      </c>
      <c r="AK31" s="108">
        <f>IF(OR(AK29&gt;Inputs!$C$75,AK30&gt;Inputs!$C$76),1,0)</f>
        <v/>
      </c>
      <c r="AL31" s="108">
        <f>IF(OR(AL29&gt;Inputs!$C$75,AL30&gt;Inputs!$C$76),1,0)</f>
        <v/>
      </c>
      <c r="AM31" s="108">
        <f>IF(OR(AM29&gt;Inputs!$C$75,AM30&gt;Inputs!$C$76),1,0)</f>
        <v/>
      </c>
      <c r="AN31" s="108">
        <f>IF(OR(AN29&gt;Inputs!$C$75,AN30&gt;Inputs!$C$76),1,0)</f>
        <v/>
      </c>
      <c r="AO31" s="108">
        <f>IF(OR(AO29&gt;Inputs!$C$75,AO30&gt;Inputs!$C$76),1,0)</f>
        <v/>
      </c>
      <c r="AP31" s="108">
        <f>IF(OR(AP29&gt;Inputs!$C$75,AP30&gt;Inputs!$C$76),1,0)</f>
        <v/>
      </c>
      <c r="AQ31" s="108">
        <f>IF(OR(AQ29&gt;Inputs!$C$75,AQ30&gt;Inputs!$C$76),1,0)</f>
        <v/>
      </c>
      <c r="AR31" s="108">
        <f>IF(OR(AR29&gt;Inputs!$C$75,AR30&gt;Inputs!$C$76),1,0)</f>
        <v/>
      </c>
      <c r="AS31" s="108">
        <f>IF(OR(AS29&gt;Inputs!$C$75,AS30&gt;Inputs!$C$76),1,0)</f>
        <v/>
      </c>
      <c r="AT31" s="108">
        <f>IF(OR(AT29&gt;Inputs!$C$75,AT30&gt;Inputs!$C$76),1,0)</f>
        <v/>
      </c>
      <c r="AU31" s="108">
        <f>IF(OR(AU29&gt;Inputs!$C$75,AU30&gt;Inputs!$C$76),1,0)</f>
        <v/>
      </c>
      <c r="AV31" s="108">
        <f>IF(OR(AV29&gt;Inputs!$C$75,AV30&gt;Inputs!$C$76),1,0)</f>
        <v/>
      </c>
      <c r="AW31" s="108">
        <f>IF(OR(AW29&gt;Inputs!$C$75,AW30&gt;Inputs!$C$76),1,0)</f>
        <v/>
      </c>
      <c r="AX31" s="108">
        <f>IF(OR(AX29&gt;Inputs!$C$75,AX30&gt;Inputs!$C$76),1,0)</f>
        <v/>
      </c>
      <c r="AY31" s="108">
        <f>IF(OR(AY29&gt;Inputs!$C$75,AY30&gt;Inputs!$C$76),1,0)</f>
        <v/>
      </c>
      <c r="AZ31" s="108">
        <f>IF(OR(AZ29&gt;Inputs!$C$75,AZ30&gt;Inputs!$C$76),1,0)</f>
        <v/>
      </c>
      <c r="BA31" s="108">
        <f>IF(OR(BA29&gt;Inputs!$C$75,BA30&gt;Inputs!$C$76),1,0)</f>
        <v/>
      </c>
      <c r="BB31" s="108">
        <f>IF(OR(BB29&gt;Inputs!$C$75,BB30&gt;Inputs!$C$76),1,0)</f>
        <v/>
      </c>
      <c r="BC31" s="108">
        <f>IF(OR(BC29&gt;Inputs!$C$75,BC30&gt;Inputs!$C$76),1,0)</f>
        <v/>
      </c>
      <c r="BD31" s="108">
        <f>IF(OR(BD29&gt;Inputs!$C$75,BD30&gt;Inputs!$C$76),1,0)</f>
        <v/>
      </c>
      <c r="BE31" s="108">
        <f>IF(OR(BE29&gt;Inputs!$C$75,BE30&gt;Inputs!$C$76),1,0)</f>
        <v/>
      </c>
      <c r="BF31" s="108">
        <f>IF(OR(BF29&gt;Inputs!$C$75,BF30&gt;Inputs!$C$76),1,0)</f>
        <v/>
      </c>
      <c r="BG31" s="108">
        <f>IF(OR(BG29&gt;Inputs!$C$75,BG30&gt;Inputs!$C$76),1,0)</f>
        <v/>
      </c>
      <c r="BH31" s="108">
        <f>IF(OR(BH29&gt;Inputs!$C$75,BH30&gt;Inputs!$C$76),1,0)</f>
        <v/>
      </c>
      <c r="BI31" s="108">
        <f>IF(OR(BI29&gt;Inputs!$C$75,BI30&gt;Inputs!$C$76),1,0)</f>
        <v/>
      </c>
      <c r="BJ31" s="108">
        <f>IF(OR(BJ29&gt;Inputs!$C$75,BJ30&gt;Inputs!$C$76),1,0)</f>
        <v/>
      </c>
      <c r="BK31" s="108">
        <f>IF(OR(BK29&gt;Inputs!$C$75,BK30&gt;Inputs!$C$76),1,0)</f>
        <v/>
      </c>
      <c r="BL31" s="108">
        <f>IF(OR(BL29&gt;Inputs!$C$75,BL30&gt;Inputs!$C$76),1,0)</f>
        <v/>
      </c>
    </row>
    <row r="32"/>
    <row r="33"/>
    <row r="34">
      <c r="A34" s="21" t="inlineStr">
        <is>
          <t>COMPANY HISTORY LOADED IN Credit_Input (COMPANY DATA, all tiers; independent of the selected mode)</t>
        </is>
      </c>
      <c r="B34" s="22" t="n"/>
      <c r="C34" s="22" t="n"/>
      <c r="D34" s="22" t="n"/>
      <c r="E34" s="22" t="n"/>
      <c r="F34" s="22"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c r="AA34" s="22" t="n"/>
      <c r="AB34" s="22" t="n"/>
      <c r="AC34" s="22" t="n"/>
      <c r="AD34" s="22" t="n"/>
      <c r="AE34" s="22" t="n"/>
      <c r="AF34" s="22" t="n"/>
      <c r="AG34" s="22" t="n"/>
      <c r="AH34" s="22" t="n"/>
      <c r="AI34" s="22" t="n"/>
      <c r="AJ34" s="22" t="n"/>
      <c r="AK34" s="22" t="n"/>
      <c r="AL34" s="22" t="n"/>
      <c r="AM34" s="22" t="n"/>
      <c r="AN34" s="22" t="n"/>
      <c r="AO34" s="22" t="n"/>
      <c r="AP34" s="22" t="n"/>
      <c r="AQ34" s="22" t="n"/>
      <c r="AR34" s="22" t="n"/>
      <c r="AS34" s="22" t="n"/>
      <c r="AT34" s="22" t="n"/>
      <c r="AU34" s="22" t="n"/>
      <c r="AV34" s="22" t="n"/>
      <c r="AW34" s="22" t="n"/>
      <c r="AX34" s="22" t="n"/>
      <c r="AY34" s="22" t="n"/>
      <c r="AZ34" s="22" t="n"/>
      <c r="BA34" s="22" t="n"/>
      <c r="BB34" s="22" t="n"/>
      <c r="BC34" s="22" t="n"/>
      <c r="BD34" s="22" t="n"/>
      <c r="BE34" s="22" t="n"/>
      <c r="BF34" s="22" t="n"/>
      <c r="BG34" s="22" t="n"/>
      <c r="BH34" s="22" t="n"/>
      <c r="BI34" s="22" t="n"/>
      <c r="BJ34" s="22" t="n"/>
      <c r="BK34" s="22" t="n"/>
      <c r="BL34" s="22" t="n"/>
    </row>
    <row r="35">
      <c r="A35" s="34" t="inlineStr">
        <is>
          <t>Months of history with data (longest tier)</t>
        </is>
      </c>
      <c r="C35" s="27">
        <f>MAX(COUNT(Credit_Input!$R$8:$R$67),COUNT(Credit_Input!$R$72:$R$131),COUNT(Credit_Input!$R$136:$R$195),COUNT(Credit_Input!$R$200:$R$259),COUNT(Credit_Input!$R$264:$R$323))</f>
        <v/>
      </c>
    </row>
    <row r="36">
      <c r="A36" s="34" t="inlineStr">
        <is>
          <t>Operational collection rate, history months 1 to 12</t>
        </is>
      </c>
      <c r="C36" s="83">
        <f>IF(C35&lt;12,"n/a: fewer than 12 months",IFERROR((SUM(Credit_Input!$Q$8:$Q$19)+SUM(Credit_Input!$Q$72:$Q$83)+SUM(Credit_Input!$Q$136:$Q$147)+SUM(Credit_Input!$Q$200:$Q$211)+SUM(Credit_Input!$Q$264:$Q$275))/(SUM(Credit_Input!$R$8:$R$19)+SUM(Credit_Input!$R$72:$R$83)+SUM(Credit_Input!$R$136:$R$147)+SUM(Credit_Input!$R$200:$R$211)+SUM(Credit_Input!$R$264:$R$275)),"n/a"))</f>
        <v/>
      </c>
    </row>
    <row r="37">
      <c r="A37" s="34" t="inlineStr">
        <is>
          <t>Operational collection rate, history months 13 to 24</t>
        </is>
      </c>
      <c r="C37" s="83">
        <f>IF(C35&lt;24,"n/a: fewer than 24 months",IFERROR((SUM(Credit_Input!$Q$20:$Q$31)+SUM(Credit_Input!$Q$84:$Q$95)+SUM(Credit_Input!$Q$148:$Q$159)+SUM(Credit_Input!$Q$212:$Q$223)+SUM(Credit_Input!$Q$276:$Q$287))/(SUM(Credit_Input!$R$20:$R$31)+SUM(Credit_Input!$R$84:$R$95)+SUM(Credit_Input!$R$148:$R$159)+SUM(Credit_Input!$R$212:$R$223)+SUM(Credit_Input!$R$276:$R$287)),"n/a"))</f>
        <v/>
      </c>
    </row>
    <row r="38">
      <c r="A38" s="34" t="inlineStr">
        <is>
          <t>Operational collection rate, history months 25 to 36</t>
        </is>
      </c>
      <c r="C38" s="83">
        <f>IF(C35&lt;36,"n/a: fewer than 36 months",IFERROR((SUM(Credit_Input!$Q$32:$Q$43)+SUM(Credit_Input!$Q$96:$Q$107)+SUM(Credit_Input!$Q$160:$Q$171)+SUM(Credit_Input!$Q$224:$Q$235)+SUM(Credit_Input!$Q$288:$Q$299))/(SUM(Credit_Input!$R$32:$R$43)+SUM(Credit_Input!$R$96:$R$107)+SUM(Credit_Input!$R$160:$R$171)+SUM(Credit_Input!$R$224:$R$235)+SUM(Credit_Input!$R$288:$R$299)),"n/a"))</f>
        <v/>
      </c>
    </row>
    <row r="39">
      <c r="A39" s="34" t="inlineStr">
        <is>
          <t>Operational collection rate, latest 12 months of history</t>
        </is>
      </c>
      <c r="C39" s="83">
        <f>IF(C35&lt;12,"n/a: fewer than 12 months",IFERROR((SUMPRODUCT(Credit_Input!$Q$8:$Q$67*((ROW(Credit_Input!$Q$8:$Q$67)-8+1)&gt;C35-12)*((ROW(Credit_Input!$Q$8:$Q$67)-8+1)&lt;=C35))+SUMPRODUCT(Credit_Input!$Q$72:$Q$131*((ROW(Credit_Input!$Q$72:$Q$131)-72+1)&gt;C35-12)*((ROW(Credit_Input!$Q$72:$Q$131)-72+1)&lt;=C35))+SUMPRODUCT(Credit_Input!$Q$136:$Q$195*((ROW(Credit_Input!$Q$136:$Q$195)-136+1)&gt;C35-12)*((ROW(Credit_Input!$Q$136:$Q$195)-136+1)&lt;=C35))+SUMPRODUCT(Credit_Input!$Q$200:$Q$259*((ROW(Credit_Input!$Q$200:$Q$259)-200+1)&gt;C35-12)*((ROW(Credit_Input!$Q$200:$Q$259)-200+1)&lt;=C35))+SUMPRODUCT(Credit_Input!$Q$264:$Q$323*((ROW(Credit_Input!$Q$264:$Q$323)-264+1)&gt;C35-12)*((ROW(Credit_Input!$Q$264:$Q$323)-264+1)&lt;=C35)))/(SUMPRODUCT(Credit_Input!$R$8:$R$67*((ROW(Credit_Input!$R$8:$R$67)-8+1)&gt;C35-12)*((ROW(Credit_Input!$R$8:$R$67)-8+1)&lt;=C35))+SUMPRODUCT(Credit_Input!$R$72:$R$131*((ROW(Credit_Input!$R$72:$R$131)-72+1)&gt;C35-12)*((ROW(Credit_Input!$R$72:$R$131)-72+1)&lt;=C35))+SUMPRODUCT(Credit_Input!$R$136:$R$195*((ROW(Credit_Input!$R$136:$R$195)-136+1)&gt;C35-12)*((ROW(Credit_Input!$R$136:$R$195)-136+1)&lt;=C35))+SUMPRODUCT(Credit_Input!$R$200:$R$259*((ROW(Credit_Input!$R$200:$R$259)-200+1)&gt;C35-12)*((ROW(Credit_Input!$R$200:$R$259)-200+1)&lt;=C35))+SUMPRODUCT(Credit_Input!$R$264:$R$323*((ROW(Credit_Input!$R$264:$R$323)-264+1)&gt;C35-12)*((ROW(Credit_Input!$R$264:$R$323)-264+1)&lt;=C35))),"n/a"))</f>
        <v/>
      </c>
    </row>
    <row r="40"/>
    <row r="41">
      <c r="A41" s="18" t="inlineStr">
        <is>
          <t>Collected instalments divided by instalments due, deposits excluded, summed over tiers. An operational ratio, not the PAYGo PERFORM 2026 Repayment Rate. Blank Credit_Input gives n/a.</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14.xml><?xml version="1.0" encoding="utf-8"?>
<worksheet xmlns="http://schemas.openxmlformats.org/spreadsheetml/2006/main">
  <sheetPr>
    <tabColor rgb="0000B050"/>
    <outlinePr summaryBelow="1" summaryRight="1"/>
    <pageSetUpPr fitToPage="1"/>
  </sheetPr>
  <dimension ref="A1:Q22"/>
  <sheetViews>
    <sheetView showGridLines="0"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7" t="inlineStr">
        <is>
          <t>Vintage dashboard</t>
        </is>
      </c>
    </row>
    <row r="2">
      <c r="A2" s="18" t="inlineStr">
        <is>
          <t>[ACTUAL cohorts and FORECAST proxy]  Portfolio data mode, actual cohort coverage, ownership evidence, M12 tier summary, vintage curve.</t>
        </is>
      </c>
    </row>
    <row r="3"/>
    <row r="4">
      <c r="A4" s="34" t="inlineStr">
        <is>
          <t>Cohorts in Actual mode (all tiers)</t>
        </is>
      </c>
      <c r="C4" s="27">
        <f>COUNTIF(Vintage_Input!$B$9:$B$68,2)+COUNTIF(Vintage_Input!$B$74:$B$133,2)+COUNTIF(Vintage_Input!$B$139:$B$198,2)+COUNTIF(Vintage_Input!$B$204:$B$263,2)+COUNTIF(Vintage_Input!$B$269:$B$328,2)</f>
        <v/>
      </c>
      <c r="K4" s="109" t="inlineStr">
        <is>
          <t>Readiness flags</t>
        </is>
      </c>
    </row>
    <row r="5">
      <c r="A5" s="34" t="inlineStr">
        <is>
          <t>Portfolio vintage mode</t>
        </is>
      </c>
      <c r="C5" s="64">
        <f>IF(C4=0,"PROXY",IF(C4=300,"ACTUAL","MIXED"))</f>
        <v/>
      </c>
      <c r="K5" s="34" t="inlineStr">
        <is>
          <t>Actual cohort data loaded</t>
        </is>
      </c>
      <c r="Q5" s="27">
        <f>IF(C4&gt;0,1,0)</f>
        <v/>
      </c>
    </row>
    <row r="6">
      <c r="A6" s="34" t="inlineStr">
        <is>
          <t>Cohorts with ownership-at-2x data</t>
        </is>
      </c>
      <c r="C6" s="27">
        <f>COUNT(Vintage_Input!$BH$9:$BH$68)+COUNT(Vintage_Input!$BH$74:$BH$133)+COUNT(Vintage_Input!$BH$139:$BH$198)+COUNT(Vintage_Input!$BH$204:$BH$263)+COUNT(Vintage_Input!$BH$269:$BH$328)</f>
        <v/>
      </c>
      <c r="K6" s="34" t="inlineStr">
        <is>
          <t>Ownership-at-2x evidence validated (switch = 1 and data present)</t>
        </is>
      </c>
      <c r="Q6" s="27">
        <f>IF(AND(C7=1,C6&gt;0),1,0)</f>
        <v/>
      </c>
    </row>
    <row r="7">
      <c r="A7" s="34" t="inlineStr">
        <is>
          <t>Ownership evidence switch (Inputs)</t>
        </is>
      </c>
      <c r="C7" s="48">
        <f>Inputs!$C$39</f>
        <v/>
      </c>
      <c r="K7" s="34" t="inlineStr">
        <is>
          <t>Conflict: ownership switch = 1 without ownership data</t>
        </is>
      </c>
      <c r="Q7" s="27">
        <f>IF(AND(C7=1,C6=0),1,0)</f>
        <v/>
      </c>
    </row>
    <row r="8"/>
    <row r="9" ht="30" customHeight="1">
      <c r="A9" s="40" t="inlineStr">
        <is>
          <t>Tier summary at M12</t>
        </is>
      </c>
      <c r="B9" s="40" t="inlineStr">
        <is>
          <t>Actual cohorts</t>
        </is>
      </c>
      <c r="C9" s="40" t="inlineStr">
        <is>
          <t>Cohort repayment ratio</t>
        </is>
      </c>
      <c r="D9" s="40" t="inlineStr">
        <is>
          <t>30+ DPD / due</t>
        </is>
      </c>
      <c r="E9" s="40" t="inlineStr">
        <is>
          <t>90+ DPD / due</t>
        </is>
      </c>
      <c r="F9" s="40" t="inlineStr">
        <is>
          <t>180+ default / due</t>
        </is>
      </c>
      <c r="G9" s="40" t="inlineStr">
        <is>
          <t>Recovery / default</t>
        </is>
      </c>
      <c r="H9" s="40" t="inlineStr">
        <is>
          <t>Active share</t>
        </is>
      </c>
      <c r="I9" s="40" t="inlineStr">
        <is>
          <t>CAC payback (m)</t>
        </is>
      </c>
    </row>
    <row r="10">
      <c r="A10" s="34" t="inlineStr">
        <is>
          <t>Tier 1: Pico solar kit</t>
        </is>
      </c>
      <c r="B10" s="23">
        <f>COUNTIF(Vintage_Input!$B$9:$B$68,2)</f>
        <v/>
      </c>
      <c r="C10" s="81">
        <f>IFERROR(AVERAGE(Vintage_Engine!$F$61:$F$120),"")</f>
        <v/>
      </c>
      <c r="D10" s="81">
        <f>IFERROR(AVERAGE(Vintage_Engine!$N$61:$N$120),"")</f>
        <v/>
      </c>
      <c r="E10" s="81">
        <f>IFERROR(AVERAGE(Vintage_Engine!$V$61:$V$120),"")</f>
        <v/>
      </c>
      <c r="F10" s="81">
        <f>IFERROR(AVERAGE(Vintage_Engine!$AD$61:$AD$120),"")</f>
        <v/>
      </c>
      <c r="G10" s="81">
        <f>IFERROR(AVERAGE(Vintage_Engine!$AL$61:$AL$120),"")</f>
        <v/>
      </c>
      <c r="H10" s="81">
        <f>IFERROR(AVERAGE(Vintage_Engine!$AT$61:$AT$120),"")</f>
        <v/>
      </c>
      <c r="I10" s="48">
        <f>Unit_Economics!C22</f>
        <v/>
      </c>
    </row>
    <row r="11">
      <c r="A11" s="34" t="inlineStr">
        <is>
          <t>Tier 2: SHS with TV</t>
        </is>
      </c>
      <c r="B11" s="23">
        <f>COUNTIF(Vintage_Input!$B$74:$B$133,2)</f>
        <v/>
      </c>
      <c r="C11" s="81">
        <f>IFERROR(AVERAGE(Vintage_Engine!$F$125:$F$184),"")</f>
        <v/>
      </c>
      <c r="D11" s="81">
        <f>IFERROR(AVERAGE(Vintage_Engine!$N$125:$N$184),"")</f>
        <v/>
      </c>
      <c r="E11" s="81">
        <f>IFERROR(AVERAGE(Vintage_Engine!$V$125:$V$184),"")</f>
        <v/>
      </c>
      <c r="F11" s="81">
        <f>IFERROR(AVERAGE(Vintage_Engine!$AD$125:$AD$184),"")</f>
        <v/>
      </c>
      <c r="G11" s="81">
        <f>IFERROR(AVERAGE(Vintage_Engine!$AL$125:$AL$184),"")</f>
        <v/>
      </c>
      <c r="H11" s="81">
        <f>IFERROR(AVERAGE(Vintage_Engine!$AT$125:$AT$184),"")</f>
        <v/>
      </c>
      <c r="I11" s="48">
        <f>Unit_Economics!D22</f>
        <v/>
      </c>
    </row>
    <row r="12">
      <c r="A12" s="34" t="inlineStr">
        <is>
          <t>Tier 3: Large SHS + DC fridge</t>
        </is>
      </c>
      <c r="B12" s="23">
        <f>COUNTIF(Vintage_Input!$B$139:$B$198,2)</f>
        <v/>
      </c>
      <c r="C12" s="81">
        <f>IFERROR(AVERAGE(Vintage_Engine!$F$189:$F$248),"")</f>
        <v/>
      </c>
      <c r="D12" s="81">
        <f>IFERROR(AVERAGE(Vintage_Engine!$N$189:$N$248),"")</f>
        <v/>
      </c>
      <c r="E12" s="81">
        <f>IFERROR(AVERAGE(Vintage_Engine!$V$189:$V$248),"")</f>
        <v/>
      </c>
      <c r="F12" s="81">
        <f>IFERROR(AVERAGE(Vintage_Engine!$AD$189:$AD$248),"")</f>
        <v/>
      </c>
      <c r="G12" s="81">
        <f>IFERROR(AVERAGE(Vintage_Engine!$AL$189:$AL$248),"")</f>
        <v/>
      </c>
      <c r="H12" s="81">
        <f>IFERROR(AVERAGE(Vintage_Engine!$AT$189:$AT$248),"")</f>
        <v/>
      </c>
      <c r="I12" s="48">
        <f>Unit_Economics!E22</f>
        <v/>
      </c>
    </row>
    <row r="13">
      <c r="A13" s="34" t="inlineStr">
        <is>
          <t>Tier 4: Solar inverter + lithium (~1.2 kWp / 5 kWh)</t>
        </is>
      </c>
      <c r="B13" s="23">
        <f>COUNTIF(Vintage_Input!$B$204:$B$263,2)</f>
        <v/>
      </c>
      <c r="C13" s="81">
        <f>IFERROR(AVERAGE(Vintage_Engine!$F$253:$F$312),"")</f>
        <v/>
      </c>
      <c r="D13" s="81">
        <f>IFERROR(AVERAGE(Vintage_Engine!$N$253:$N$312),"")</f>
        <v/>
      </c>
      <c r="E13" s="81">
        <f>IFERROR(AVERAGE(Vintage_Engine!$V$253:$V$312),"")</f>
        <v/>
      </c>
      <c r="F13" s="81">
        <f>IFERROR(AVERAGE(Vintage_Engine!$AD$253:$AD$312),"")</f>
        <v/>
      </c>
      <c r="G13" s="81">
        <f>IFERROR(AVERAGE(Vintage_Engine!$AL$253:$AL$312),"")</f>
        <v/>
      </c>
      <c r="H13" s="81">
        <f>IFERROR(AVERAGE(Vintage_Engine!$AT$253:$AT$312),"")</f>
        <v/>
      </c>
      <c r="I13" s="48">
        <f>Unit_Economics!F22</f>
        <v/>
      </c>
    </row>
    <row r="14">
      <c r="A14" s="34" t="inlineStr">
        <is>
          <t>Tier 5: Solar inverter + lithium (~3 kWp / 10 kWh)</t>
        </is>
      </c>
      <c r="B14" s="23">
        <f>COUNTIF(Vintage_Input!$B$269:$B$328,2)</f>
        <v/>
      </c>
      <c r="C14" s="81">
        <f>IFERROR(AVERAGE(Vintage_Engine!$F$317:$F$376),"")</f>
        <v/>
      </c>
      <c r="D14" s="81">
        <f>IFERROR(AVERAGE(Vintage_Engine!$N$317:$N$376),"")</f>
        <v/>
      </c>
      <c r="E14" s="81">
        <f>IFERROR(AVERAGE(Vintage_Engine!$V$317:$V$376),"")</f>
        <v/>
      </c>
      <c r="F14" s="81">
        <f>IFERROR(AVERAGE(Vintage_Engine!$AD$317:$AD$376),"")</f>
        <v/>
      </c>
      <c r="G14" s="81">
        <f>IFERROR(AVERAGE(Vintage_Engine!$AL$317:$AL$376),"")</f>
        <v/>
      </c>
      <c r="H14" s="81">
        <f>IFERROR(AVERAGE(Vintage_Engine!$AT$317:$AT$376),"")</f>
        <v/>
      </c>
      <c r="I14" s="48">
        <f>Unit_Economics!G22</f>
        <v/>
      </c>
    </row>
    <row r="15"/>
    <row r="16"/>
    <row r="17">
      <c r="A17" s="40" t="inlineStr">
        <is>
          <t>Portfolio vintage curve (mix-weighted tier averages)</t>
        </is>
      </c>
      <c r="B17" s="40" t="inlineStr">
        <is>
          <t>M3</t>
        </is>
      </c>
      <c r="C17" s="40" t="inlineStr">
        <is>
          <t>M6</t>
        </is>
      </c>
      <c r="D17" s="40" t="inlineStr">
        <is>
          <t>M12</t>
        </is>
      </c>
      <c r="E17" s="40" t="inlineStr">
        <is>
          <t>M18</t>
        </is>
      </c>
      <c r="F17" s="40" t="inlineStr">
        <is>
          <t>M24</t>
        </is>
      </c>
      <c r="G17" s="40" t="inlineStr">
        <is>
          <t>M36</t>
        </is>
      </c>
      <c r="H17" s="40" t="inlineStr">
        <is>
          <t>M48</t>
        </is>
      </c>
      <c r="I17" s="40" t="inlineStr">
        <is>
          <t>M60</t>
        </is>
      </c>
    </row>
    <row r="18">
      <c r="A18" s="34" t="inlineStr">
        <is>
          <t>Cohort repayment ratio</t>
        </is>
      </c>
      <c r="B18" s="81">
        <f>Products!$C$23*IFERROR(AVERAGE(Vintage_Engine!$D$61:$D$120),0)+Products!$D$23*IFERROR(AVERAGE(Vintage_Engine!$D$125:$D$184),0)+Products!$E$23*IFERROR(AVERAGE(Vintage_Engine!$D$189:$D$248),0)+Products!$F$23*IFERROR(AVERAGE(Vintage_Engine!$D$253:$D$312),0)+Products!$G$23*IFERROR(AVERAGE(Vintage_Engine!$D$317:$D$376),0)</f>
        <v/>
      </c>
      <c r="C18" s="81">
        <f>Products!$C$23*IFERROR(AVERAGE(Vintage_Engine!$E$61:$E$120),0)+Products!$D$23*IFERROR(AVERAGE(Vintage_Engine!$E$125:$E$184),0)+Products!$E$23*IFERROR(AVERAGE(Vintage_Engine!$E$189:$E$248),0)+Products!$F$23*IFERROR(AVERAGE(Vintage_Engine!$E$253:$E$312),0)+Products!$G$23*IFERROR(AVERAGE(Vintage_Engine!$E$317:$E$376),0)</f>
        <v/>
      </c>
      <c r="D18" s="81">
        <f>Products!$C$23*IFERROR(AVERAGE(Vintage_Engine!$F$61:$F$120),0)+Products!$D$23*IFERROR(AVERAGE(Vintage_Engine!$F$125:$F$184),0)+Products!$E$23*IFERROR(AVERAGE(Vintage_Engine!$F$189:$F$248),0)+Products!$F$23*IFERROR(AVERAGE(Vintage_Engine!$F$253:$F$312),0)+Products!$G$23*IFERROR(AVERAGE(Vintage_Engine!$F$317:$F$376),0)</f>
        <v/>
      </c>
      <c r="E18" s="81">
        <f>Products!$C$23*IFERROR(AVERAGE(Vintage_Engine!$G$61:$G$120),0)+Products!$D$23*IFERROR(AVERAGE(Vintage_Engine!$G$125:$G$184),0)+Products!$E$23*IFERROR(AVERAGE(Vintage_Engine!$G$189:$G$248),0)+Products!$F$23*IFERROR(AVERAGE(Vintage_Engine!$G$253:$G$312),0)+Products!$G$23*IFERROR(AVERAGE(Vintage_Engine!$G$317:$G$376),0)</f>
        <v/>
      </c>
      <c r="F18" s="81">
        <f>Products!$C$23*IFERROR(AVERAGE(Vintage_Engine!$H$61:$H$120),0)+Products!$D$23*IFERROR(AVERAGE(Vintage_Engine!$H$125:$H$184),0)+Products!$E$23*IFERROR(AVERAGE(Vintage_Engine!$H$189:$H$248),0)+Products!$F$23*IFERROR(AVERAGE(Vintage_Engine!$H$253:$H$312),0)+Products!$G$23*IFERROR(AVERAGE(Vintage_Engine!$H$317:$H$376),0)</f>
        <v/>
      </c>
      <c r="G18" s="81">
        <f>Products!$C$23*IFERROR(AVERAGE(Vintage_Engine!$I$61:$I$120),0)+Products!$D$23*IFERROR(AVERAGE(Vintage_Engine!$I$125:$I$184),0)+Products!$E$23*IFERROR(AVERAGE(Vintage_Engine!$I$189:$I$248),0)+Products!$F$23*IFERROR(AVERAGE(Vintage_Engine!$I$253:$I$312),0)+Products!$G$23*IFERROR(AVERAGE(Vintage_Engine!$I$317:$I$376),0)</f>
        <v/>
      </c>
      <c r="H18" s="81">
        <f>Products!$C$23*IFERROR(AVERAGE(Vintage_Engine!$J$61:$J$120),0)+Products!$D$23*IFERROR(AVERAGE(Vintage_Engine!$J$125:$J$184),0)+Products!$E$23*IFERROR(AVERAGE(Vintage_Engine!$J$189:$J$248),0)+Products!$F$23*IFERROR(AVERAGE(Vintage_Engine!$J$253:$J$312),0)+Products!$G$23*IFERROR(AVERAGE(Vintage_Engine!$J$317:$J$376),0)</f>
        <v/>
      </c>
      <c r="I18" s="81">
        <f>Products!$C$23*IFERROR(AVERAGE(Vintage_Engine!$K$61:$K$120),0)+Products!$D$23*IFERROR(AVERAGE(Vintage_Engine!$K$125:$K$184),0)+Products!$E$23*IFERROR(AVERAGE(Vintage_Engine!$K$189:$K$248),0)+Products!$F$23*IFERROR(AVERAGE(Vintage_Engine!$K$253:$K$312),0)+Products!$G$23*IFERROR(AVERAGE(Vintage_Engine!$K$317:$K$376),0)</f>
        <v/>
      </c>
    </row>
    <row r="19">
      <c r="A19" s="34" t="inlineStr">
        <is>
          <t>30+ DPD / due</t>
        </is>
      </c>
      <c r="B19" s="81">
        <f>Products!$C$23*IFERROR(AVERAGE(Vintage_Engine!$L$61:$L$120),0)+Products!$D$23*IFERROR(AVERAGE(Vintage_Engine!$L$125:$L$184),0)+Products!$E$23*IFERROR(AVERAGE(Vintage_Engine!$L$189:$L$248),0)+Products!$F$23*IFERROR(AVERAGE(Vintage_Engine!$L$253:$L$312),0)+Products!$G$23*IFERROR(AVERAGE(Vintage_Engine!$L$317:$L$376),0)</f>
        <v/>
      </c>
      <c r="C19" s="81">
        <f>Products!$C$23*IFERROR(AVERAGE(Vintage_Engine!$M$61:$M$120),0)+Products!$D$23*IFERROR(AVERAGE(Vintage_Engine!$M$125:$M$184),0)+Products!$E$23*IFERROR(AVERAGE(Vintage_Engine!$M$189:$M$248),0)+Products!$F$23*IFERROR(AVERAGE(Vintage_Engine!$M$253:$M$312),0)+Products!$G$23*IFERROR(AVERAGE(Vintage_Engine!$M$317:$M$376),0)</f>
        <v/>
      </c>
      <c r="D19" s="81">
        <f>Products!$C$23*IFERROR(AVERAGE(Vintage_Engine!$N$61:$N$120),0)+Products!$D$23*IFERROR(AVERAGE(Vintage_Engine!$N$125:$N$184),0)+Products!$E$23*IFERROR(AVERAGE(Vintage_Engine!$N$189:$N$248),0)+Products!$F$23*IFERROR(AVERAGE(Vintage_Engine!$N$253:$N$312),0)+Products!$G$23*IFERROR(AVERAGE(Vintage_Engine!$N$317:$N$376),0)</f>
        <v/>
      </c>
      <c r="E19" s="81">
        <f>Products!$C$23*IFERROR(AVERAGE(Vintage_Engine!$O$61:$O$120),0)+Products!$D$23*IFERROR(AVERAGE(Vintage_Engine!$O$125:$O$184),0)+Products!$E$23*IFERROR(AVERAGE(Vintage_Engine!$O$189:$O$248),0)+Products!$F$23*IFERROR(AVERAGE(Vintage_Engine!$O$253:$O$312),0)+Products!$G$23*IFERROR(AVERAGE(Vintage_Engine!$O$317:$O$376),0)</f>
        <v/>
      </c>
      <c r="F19" s="81">
        <f>Products!$C$23*IFERROR(AVERAGE(Vintage_Engine!$P$61:$P$120),0)+Products!$D$23*IFERROR(AVERAGE(Vintage_Engine!$P$125:$P$184),0)+Products!$E$23*IFERROR(AVERAGE(Vintage_Engine!$P$189:$P$248),0)+Products!$F$23*IFERROR(AVERAGE(Vintage_Engine!$P$253:$P$312),0)+Products!$G$23*IFERROR(AVERAGE(Vintage_Engine!$P$317:$P$376),0)</f>
        <v/>
      </c>
      <c r="G19" s="81">
        <f>Products!$C$23*IFERROR(AVERAGE(Vintage_Engine!$Q$61:$Q$120),0)+Products!$D$23*IFERROR(AVERAGE(Vintage_Engine!$Q$125:$Q$184),0)+Products!$E$23*IFERROR(AVERAGE(Vintage_Engine!$Q$189:$Q$248),0)+Products!$F$23*IFERROR(AVERAGE(Vintage_Engine!$Q$253:$Q$312),0)+Products!$G$23*IFERROR(AVERAGE(Vintage_Engine!$Q$317:$Q$376),0)</f>
        <v/>
      </c>
      <c r="H19" s="81">
        <f>Products!$C$23*IFERROR(AVERAGE(Vintage_Engine!$R$61:$R$120),0)+Products!$D$23*IFERROR(AVERAGE(Vintage_Engine!$R$125:$R$184),0)+Products!$E$23*IFERROR(AVERAGE(Vintage_Engine!$R$189:$R$248),0)+Products!$F$23*IFERROR(AVERAGE(Vintage_Engine!$R$253:$R$312),0)+Products!$G$23*IFERROR(AVERAGE(Vintage_Engine!$R$317:$R$376),0)</f>
        <v/>
      </c>
      <c r="I19" s="81">
        <f>Products!$C$23*IFERROR(AVERAGE(Vintage_Engine!$S$61:$S$120),0)+Products!$D$23*IFERROR(AVERAGE(Vintage_Engine!$S$125:$S$184),0)+Products!$E$23*IFERROR(AVERAGE(Vintage_Engine!$S$189:$S$248),0)+Products!$F$23*IFERROR(AVERAGE(Vintage_Engine!$S$253:$S$312),0)+Products!$G$23*IFERROR(AVERAGE(Vintage_Engine!$S$317:$S$376),0)</f>
        <v/>
      </c>
    </row>
    <row r="20">
      <c r="A20" s="34" t="inlineStr">
        <is>
          <t>90+ DPD / due</t>
        </is>
      </c>
      <c r="B20" s="81">
        <f>Products!$C$23*IFERROR(AVERAGE(Vintage_Engine!$T$61:$T$120),0)+Products!$D$23*IFERROR(AVERAGE(Vintage_Engine!$T$125:$T$184),0)+Products!$E$23*IFERROR(AVERAGE(Vintage_Engine!$T$189:$T$248),0)+Products!$F$23*IFERROR(AVERAGE(Vintage_Engine!$T$253:$T$312),0)+Products!$G$23*IFERROR(AVERAGE(Vintage_Engine!$T$317:$T$376),0)</f>
        <v/>
      </c>
      <c r="C20" s="81">
        <f>Products!$C$23*IFERROR(AVERAGE(Vintage_Engine!$U$61:$U$120),0)+Products!$D$23*IFERROR(AVERAGE(Vintage_Engine!$U$125:$U$184),0)+Products!$E$23*IFERROR(AVERAGE(Vintage_Engine!$U$189:$U$248),0)+Products!$F$23*IFERROR(AVERAGE(Vintage_Engine!$U$253:$U$312),0)+Products!$G$23*IFERROR(AVERAGE(Vintage_Engine!$U$317:$U$376),0)</f>
        <v/>
      </c>
      <c r="D20" s="81">
        <f>Products!$C$23*IFERROR(AVERAGE(Vintage_Engine!$V$61:$V$120),0)+Products!$D$23*IFERROR(AVERAGE(Vintage_Engine!$V$125:$V$184),0)+Products!$E$23*IFERROR(AVERAGE(Vintage_Engine!$V$189:$V$248),0)+Products!$F$23*IFERROR(AVERAGE(Vintage_Engine!$V$253:$V$312),0)+Products!$G$23*IFERROR(AVERAGE(Vintage_Engine!$V$317:$V$376),0)</f>
        <v/>
      </c>
      <c r="E20" s="81">
        <f>Products!$C$23*IFERROR(AVERAGE(Vintage_Engine!$W$61:$W$120),0)+Products!$D$23*IFERROR(AVERAGE(Vintage_Engine!$W$125:$W$184),0)+Products!$E$23*IFERROR(AVERAGE(Vintage_Engine!$W$189:$W$248),0)+Products!$F$23*IFERROR(AVERAGE(Vintage_Engine!$W$253:$W$312),0)+Products!$G$23*IFERROR(AVERAGE(Vintage_Engine!$W$317:$W$376),0)</f>
        <v/>
      </c>
      <c r="F20" s="81">
        <f>Products!$C$23*IFERROR(AVERAGE(Vintage_Engine!$X$61:$X$120),0)+Products!$D$23*IFERROR(AVERAGE(Vintage_Engine!$X$125:$X$184),0)+Products!$E$23*IFERROR(AVERAGE(Vintage_Engine!$X$189:$X$248),0)+Products!$F$23*IFERROR(AVERAGE(Vintage_Engine!$X$253:$X$312),0)+Products!$G$23*IFERROR(AVERAGE(Vintage_Engine!$X$317:$X$376),0)</f>
        <v/>
      </c>
      <c r="G20" s="81">
        <f>Products!$C$23*IFERROR(AVERAGE(Vintage_Engine!$Y$61:$Y$120),0)+Products!$D$23*IFERROR(AVERAGE(Vintage_Engine!$Y$125:$Y$184),0)+Products!$E$23*IFERROR(AVERAGE(Vintage_Engine!$Y$189:$Y$248),0)+Products!$F$23*IFERROR(AVERAGE(Vintage_Engine!$Y$253:$Y$312),0)+Products!$G$23*IFERROR(AVERAGE(Vintage_Engine!$Y$317:$Y$376),0)</f>
        <v/>
      </c>
      <c r="H20" s="81">
        <f>Products!$C$23*IFERROR(AVERAGE(Vintage_Engine!$Z$61:$Z$120),0)+Products!$D$23*IFERROR(AVERAGE(Vintage_Engine!$Z$125:$Z$184),0)+Products!$E$23*IFERROR(AVERAGE(Vintage_Engine!$Z$189:$Z$248),0)+Products!$F$23*IFERROR(AVERAGE(Vintage_Engine!$Z$253:$Z$312),0)+Products!$G$23*IFERROR(AVERAGE(Vintage_Engine!$Z$317:$Z$376),0)</f>
        <v/>
      </c>
      <c r="I20" s="81">
        <f>Products!$C$23*IFERROR(AVERAGE(Vintage_Engine!$AA$61:$AA$120),0)+Products!$D$23*IFERROR(AVERAGE(Vintage_Engine!$AA$125:$AA$184),0)+Products!$E$23*IFERROR(AVERAGE(Vintage_Engine!$AA$189:$AA$248),0)+Products!$F$23*IFERROR(AVERAGE(Vintage_Engine!$AA$253:$AA$312),0)+Products!$G$23*IFERROR(AVERAGE(Vintage_Engine!$AA$317:$AA$376),0)</f>
        <v/>
      </c>
    </row>
    <row r="21"/>
    <row r="22">
      <c r="A22" s="18" t="inlineStr">
        <is>
          <t>Proxy cohorts are identical within a tier (same curve). Mixed portfolios average Proxy and Actual cohorts: read with care.</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drawing xmlns:r="http://schemas.openxmlformats.org/officeDocument/2006/relationships" r:id="rId1"/>
</worksheet>
</file>

<file path=xl/worksheets/sheet15.xml><?xml version="1.0" encoding="utf-8"?>
<worksheet xmlns="http://schemas.openxmlformats.org/spreadsheetml/2006/main">
  <sheetPr>
    <tabColor rgb="0000B050"/>
    <outlinePr summaryBelow="1" summaryRight="1"/>
    <pageSetUpPr fitToPage="1"/>
  </sheetPr>
  <dimension ref="A1:BL362"/>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58" customWidth="1" min="1" max="1"/>
    <col width="1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17" t="inlineStr">
        <is>
          <t>PAYGo PERFORM KPIs (GOGLA Technical Guide, June 2026)</t>
        </is>
      </c>
    </row>
    <row r="2">
      <c r="A2" s="18" t="inlineStr">
        <is>
          <t>[ACTUAL (section C) and FORECAST approximations]  Company-reported results computed on contract-level data under the 2026 standard, aggregated by summing numerators and denominators. The model does not compute PERFORM KPIs; section B shows labelled approximations only.</t>
        </is>
      </c>
    </row>
    <row r="3"/>
    <row r="4"/>
    <row r="5">
      <c r="A5" s="21" t="inlineStr">
        <is>
          <t>A. Company-reported PAYGo PERFORM KPIs (from section C; blank = not provided)</t>
        </is>
      </c>
      <c r="B5" s="22" t="n"/>
      <c r="C5" s="22" t="n"/>
      <c r="D5" s="22" t="n"/>
      <c r="E5" s="22" t="n"/>
      <c r="F5" s="22" t="n"/>
      <c r="G5" s="22" t="n"/>
      <c r="H5" s="22" t="n"/>
      <c r="I5" s="22" t="n"/>
      <c r="J5" s="22" t="n"/>
      <c r="K5" s="22" t="n"/>
      <c r="L5" s="22" t="n"/>
      <c r="M5" s="22" t="n"/>
      <c r="N5" s="22" t="n"/>
      <c r="O5" s="22" t="n"/>
      <c r="P5" s="22" t="n"/>
      <c r="Q5" s="22" t="n"/>
      <c r="R5" s="22" t="n"/>
      <c r="S5" s="22" t="n"/>
      <c r="T5" s="22" t="n"/>
      <c r="U5" s="22" t="n"/>
      <c r="V5" s="22" t="n"/>
      <c r="W5" s="22" t="n"/>
      <c r="X5" s="22" t="n"/>
      <c r="Y5" s="22" t="n"/>
      <c r="Z5" s="22" t="n"/>
      <c r="AA5" s="22" t="n"/>
      <c r="AB5" s="22" t="n"/>
      <c r="AC5" s="22" t="n"/>
      <c r="AD5" s="22" t="n"/>
      <c r="AE5" s="22" t="n"/>
      <c r="AF5" s="22" t="n"/>
      <c r="AG5" s="22" t="n"/>
      <c r="AH5" s="22" t="n"/>
      <c r="AI5" s="22" t="n"/>
      <c r="AJ5" s="22" t="n"/>
      <c r="AK5" s="22" t="n"/>
      <c r="AL5" s="22" t="n"/>
      <c r="AM5" s="22" t="n"/>
      <c r="AN5" s="22" t="n"/>
      <c r="AO5" s="22" t="n"/>
      <c r="AP5" s="22" t="n"/>
      <c r="AQ5" s="22" t="n"/>
      <c r="AR5" s="22" t="n"/>
      <c r="AS5" s="22" t="n"/>
      <c r="AT5" s="22" t="n"/>
      <c r="AU5" s="22" t="n"/>
      <c r="AV5" s="22" t="n"/>
      <c r="AW5" s="22" t="n"/>
      <c r="AX5" s="22" t="n"/>
      <c r="AY5" s="22" t="n"/>
      <c r="AZ5" s="22" t="n"/>
      <c r="BA5" s="22" t="n"/>
      <c r="BB5" s="22" t="n"/>
      <c r="BC5" s="22" t="n"/>
      <c r="BD5" s="22" t="n"/>
      <c r="BE5" s="22" t="n"/>
      <c r="BF5" s="22" t="n"/>
      <c r="BG5" s="22" t="n"/>
      <c r="BH5" s="22" t="n"/>
      <c r="BI5" s="22" t="n"/>
      <c r="BJ5" s="22" t="n"/>
      <c r="BK5" s="22" t="n"/>
      <c r="BL5" s="22" t="n"/>
    </row>
    <row r="6">
      <c r="A6" s="40" t="inlineStr">
        <is>
          <t>KPI</t>
        </is>
      </c>
      <c r="B6" s="40" t="inlineStr">
        <is>
          <t>Type</t>
        </is>
      </c>
      <c r="C6" s="40" t="inlineStr">
        <is>
          <t>Tier 1</t>
        </is>
      </c>
      <c r="D6" s="40" t="inlineStr">
        <is>
          <t>Tier 2</t>
        </is>
      </c>
      <c r="E6" s="40" t="inlineStr">
        <is>
          <t>Tier 3</t>
        </is>
      </c>
      <c r="F6" s="40" t="inlineStr">
        <is>
          <t>Tier 4</t>
        </is>
      </c>
      <c r="G6" s="40" t="inlineStr">
        <is>
          <t>Tier 5</t>
        </is>
      </c>
      <c r="H6" s="40" t="inlineStr">
        <is>
          <t>Portfolio</t>
        </is>
      </c>
      <c r="I6" s="40" t="inlineStr">
        <is>
          <t>Status</t>
        </is>
      </c>
    </row>
    <row r="7">
      <c r="A7" s="19" t="inlineStr">
        <is>
          <t>RR, paid vs plan (PvP), to date</t>
        </is>
      </c>
      <c r="B7" s="65" t="inlineStr">
        <is>
          <t>Time series</t>
        </is>
      </c>
      <c r="C7" s="81">
        <f>IF(SUM(PERFORM_2026!$E$43:$E$102)=0,"not provided",SUM(PERFORM_2026!$D$43:$D$102)/SUM(PERFORM_2026!$E$43:$E$102))</f>
        <v/>
      </c>
      <c r="D7" s="81">
        <f>IF(SUM(PERFORM_2026!$E$108:$E$167)=0,"not provided",SUM(PERFORM_2026!$D$108:$D$167)/SUM(PERFORM_2026!$E$108:$E$167))</f>
        <v/>
      </c>
      <c r="E7" s="81">
        <f>IF(SUM(PERFORM_2026!$E$173:$E$232)=0,"not provided",SUM(PERFORM_2026!$D$173:$D$232)/SUM(PERFORM_2026!$E$173:$E$232))</f>
        <v/>
      </c>
      <c r="F7" s="81">
        <f>IF(SUM(PERFORM_2026!$E$238:$E$297)=0,"not provided",SUM(PERFORM_2026!$D$238:$D$297)/SUM(PERFORM_2026!$E$238:$E$297))</f>
        <v/>
      </c>
      <c r="G7" s="81">
        <f>IF(SUM(PERFORM_2026!$E$303:$E$362)=0,"not provided",SUM(PERFORM_2026!$D$303:$D$362)/SUM(PERFORM_2026!$E$303:$E$362))</f>
        <v/>
      </c>
      <c r="H7" s="83">
        <f>IF((SUM(PERFORM_2026!$E$43:$E$102)+SUM(PERFORM_2026!$E$108:$E$167)+SUM(PERFORM_2026!$E$173:$E$232)+SUM(PERFORM_2026!$E$238:$E$297)+SUM(PERFORM_2026!$E$303:$E$362))=0,"not provided",(SUM(PERFORM_2026!$D$43:$D$102)+SUM(PERFORM_2026!$D$108:$D$167)+SUM(PERFORM_2026!$D$173:$D$232)+SUM(PERFORM_2026!$D$238:$D$297)+SUM(PERFORM_2026!$D$303:$D$362))/(SUM(PERFORM_2026!$E$43:$E$102)+SUM(PERFORM_2026!$E$108:$E$167)+SUM(PERFORM_2026!$E$173:$E$232)+SUM(PERFORM_2026!$E$238:$E$297)+SUM(PERFORM_2026!$E$303:$E$362)))</f>
        <v/>
      </c>
      <c r="I7" s="50">
        <f>IF(ISNUMBER(H7),"Company reported","Not provided")</f>
        <v/>
      </c>
    </row>
    <row r="8">
      <c r="A8" s="19" t="inlineStr">
        <is>
          <t>RR, paid vs financed (PvFin), to date</t>
        </is>
      </c>
      <c r="B8" s="65" t="inlineStr">
        <is>
          <t>Time series</t>
        </is>
      </c>
      <c r="C8" s="81">
        <f>IF(SUM(PERFORM_2026!$G$43:$G$102)=0,"not provided",SUM(PERFORM_2026!$F$43:$F$102)/SUM(PERFORM_2026!$G$43:$G$102))</f>
        <v/>
      </c>
      <c r="D8" s="81">
        <f>IF(SUM(PERFORM_2026!$G$108:$G$167)=0,"not provided",SUM(PERFORM_2026!$F$108:$F$167)/SUM(PERFORM_2026!$G$108:$G$167))</f>
        <v/>
      </c>
      <c r="E8" s="81">
        <f>IF(SUM(PERFORM_2026!$G$173:$G$232)=0,"not provided",SUM(PERFORM_2026!$F$173:$F$232)/SUM(PERFORM_2026!$G$173:$G$232))</f>
        <v/>
      </c>
      <c r="F8" s="81">
        <f>IF(SUM(PERFORM_2026!$G$238:$G$297)=0,"not provided",SUM(PERFORM_2026!$F$238:$F$297)/SUM(PERFORM_2026!$G$238:$G$297))</f>
        <v/>
      </c>
      <c r="G8" s="81">
        <f>IF(SUM(PERFORM_2026!$G$303:$G$362)=0,"not provided",SUM(PERFORM_2026!$F$303:$F$362)/SUM(PERFORM_2026!$G$303:$G$362))</f>
        <v/>
      </c>
      <c r="H8" s="83">
        <f>IF((SUM(PERFORM_2026!$G$43:$G$102)+SUM(PERFORM_2026!$G$108:$G$167)+SUM(PERFORM_2026!$G$173:$G$232)+SUM(PERFORM_2026!$G$238:$G$297)+SUM(PERFORM_2026!$G$303:$G$362))=0,"not provided",(SUM(PERFORM_2026!$F$43:$F$102)+SUM(PERFORM_2026!$F$108:$F$167)+SUM(PERFORM_2026!$F$173:$F$232)+SUM(PERFORM_2026!$F$238:$F$297)+SUM(PERFORM_2026!$F$303:$F$362))/(SUM(PERFORM_2026!$G$43:$G$102)+SUM(PERFORM_2026!$G$108:$G$167)+SUM(PERFORM_2026!$G$173:$G$232)+SUM(PERFORM_2026!$G$238:$G$297)+SUM(PERFORM_2026!$G$303:$G$362)))</f>
        <v/>
      </c>
      <c r="I8" s="50">
        <f>IF(ISNUMBER(H8),"Company reported","Not provided")</f>
        <v/>
      </c>
    </row>
    <row r="9">
      <c r="A9" s="19" t="inlineStr">
        <is>
          <t>RR PvP at 90 days</t>
        </is>
      </c>
      <c r="B9" s="65" t="inlineStr">
        <is>
          <t>Cohort milestone</t>
        </is>
      </c>
      <c r="C9" s="81">
        <f>IF(SUM(PERFORM_2026!$I$43:$I$102)=0,"not provided",SUM(PERFORM_2026!$H$43:$H$102)/SUM(PERFORM_2026!$I$43:$I$102))</f>
        <v/>
      </c>
      <c r="D9" s="81">
        <f>IF(SUM(PERFORM_2026!$I$108:$I$167)=0,"not provided",SUM(PERFORM_2026!$H$108:$H$167)/SUM(PERFORM_2026!$I$108:$I$167))</f>
        <v/>
      </c>
      <c r="E9" s="81">
        <f>IF(SUM(PERFORM_2026!$I$173:$I$232)=0,"not provided",SUM(PERFORM_2026!$H$173:$H$232)/SUM(PERFORM_2026!$I$173:$I$232))</f>
        <v/>
      </c>
      <c r="F9" s="81">
        <f>IF(SUM(PERFORM_2026!$I$238:$I$297)=0,"not provided",SUM(PERFORM_2026!$H$238:$H$297)/SUM(PERFORM_2026!$I$238:$I$297))</f>
        <v/>
      </c>
      <c r="G9" s="81">
        <f>IF(SUM(PERFORM_2026!$I$303:$I$362)=0,"not provided",SUM(PERFORM_2026!$H$303:$H$362)/SUM(PERFORM_2026!$I$303:$I$362))</f>
        <v/>
      </c>
      <c r="H9" s="83">
        <f>IF((SUM(PERFORM_2026!$I$43:$I$102)+SUM(PERFORM_2026!$I$108:$I$167)+SUM(PERFORM_2026!$I$173:$I$232)+SUM(PERFORM_2026!$I$238:$I$297)+SUM(PERFORM_2026!$I$303:$I$362))=0,"not provided",(SUM(PERFORM_2026!$H$43:$H$102)+SUM(PERFORM_2026!$H$108:$H$167)+SUM(PERFORM_2026!$H$173:$H$232)+SUM(PERFORM_2026!$H$238:$H$297)+SUM(PERFORM_2026!$H$303:$H$362))/(SUM(PERFORM_2026!$I$43:$I$102)+SUM(PERFORM_2026!$I$108:$I$167)+SUM(PERFORM_2026!$I$173:$I$232)+SUM(PERFORM_2026!$I$238:$I$297)+SUM(PERFORM_2026!$I$303:$I$362)))</f>
        <v/>
      </c>
      <c r="I9" s="50">
        <f>IF(ISNUMBER(H9),"Company reported","Not provided")</f>
        <v/>
      </c>
    </row>
    <row r="10">
      <c r="A10" s="19" t="inlineStr">
        <is>
          <t>RR PvP at 2x contract term</t>
        </is>
      </c>
      <c r="B10" s="65" t="inlineStr">
        <is>
          <t>Cohort outcome</t>
        </is>
      </c>
      <c r="C10" s="81">
        <f>IF(SUM(PERFORM_2026!$K$43:$K$102)=0,"not provided",SUM(PERFORM_2026!$J$43:$J$102)/SUM(PERFORM_2026!$K$43:$K$102))</f>
        <v/>
      </c>
      <c r="D10" s="81">
        <f>IF(SUM(PERFORM_2026!$K$108:$K$167)=0,"not provided",SUM(PERFORM_2026!$J$108:$J$167)/SUM(PERFORM_2026!$K$108:$K$167))</f>
        <v/>
      </c>
      <c r="E10" s="81">
        <f>IF(SUM(PERFORM_2026!$K$173:$K$232)=0,"not provided",SUM(PERFORM_2026!$J$173:$J$232)/SUM(PERFORM_2026!$K$173:$K$232))</f>
        <v/>
      </c>
      <c r="F10" s="81">
        <f>IF(SUM(PERFORM_2026!$K$238:$K$297)=0,"not provided",SUM(PERFORM_2026!$J$238:$J$297)/SUM(PERFORM_2026!$K$238:$K$297))</f>
        <v/>
      </c>
      <c r="G10" s="81">
        <f>IF(SUM(PERFORM_2026!$K$303:$K$362)=0,"not provided",SUM(PERFORM_2026!$J$303:$J$362)/SUM(PERFORM_2026!$K$303:$K$362))</f>
        <v/>
      </c>
      <c r="H10" s="83">
        <f>IF((SUM(PERFORM_2026!$K$43:$K$102)+SUM(PERFORM_2026!$K$108:$K$167)+SUM(PERFORM_2026!$K$173:$K$232)+SUM(PERFORM_2026!$K$238:$K$297)+SUM(PERFORM_2026!$K$303:$K$362))=0,"not provided",(SUM(PERFORM_2026!$J$43:$J$102)+SUM(PERFORM_2026!$J$108:$J$167)+SUM(PERFORM_2026!$J$173:$J$232)+SUM(PERFORM_2026!$J$238:$J$297)+SUM(PERFORM_2026!$J$303:$J$362))/(SUM(PERFORM_2026!$K$43:$K$102)+SUM(PERFORM_2026!$K$108:$K$167)+SUM(PERFORM_2026!$K$173:$K$232)+SUM(PERFORM_2026!$K$238:$K$297)+SUM(PERFORM_2026!$K$303:$K$362)))</f>
        <v/>
      </c>
      <c r="I10" s="50">
        <f>IF(ISNUMBER(H10),"Company reported","Not provided")</f>
        <v/>
      </c>
    </row>
    <row r="11">
      <c r="A11" s="19" t="inlineStr">
        <is>
          <t>Ownership rate at 2x contract term (OR @2x)</t>
        </is>
      </c>
      <c r="B11" s="65" t="inlineStr">
        <is>
          <t>Cohort outcome</t>
        </is>
      </c>
      <c r="C11" s="81">
        <f>IF(SUM(PERFORM_2026!$M$43:$M$102)=0,"not provided",SUM(PERFORM_2026!$L$43:$L$102)/SUM(PERFORM_2026!$M$43:$M$102))</f>
        <v/>
      </c>
      <c r="D11" s="81">
        <f>IF(SUM(PERFORM_2026!$M$108:$M$167)=0,"not provided",SUM(PERFORM_2026!$L$108:$L$167)/SUM(PERFORM_2026!$M$108:$M$167))</f>
        <v/>
      </c>
      <c r="E11" s="81">
        <f>IF(SUM(PERFORM_2026!$M$173:$M$232)=0,"not provided",SUM(PERFORM_2026!$L$173:$L$232)/SUM(PERFORM_2026!$M$173:$M$232))</f>
        <v/>
      </c>
      <c r="F11" s="81">
        <f>IF(SUM(PERFORM_2026!$M$238:$M$297)=0,"not provided",SUM(PERFORM_2026!$L$238:$L$297)/SUM(PERFORM_2026!$M$238:$M$297))</f>
        <v/>
      </c>
      <c r="G11" s="81">
        <f>IF(SUM(PERFORM_2026!$M$303:$M$362)=0,"not provided",SUM(PERFORM_2026!$L$303:$L$362)/SUM(PERFORM_2026!$M$303:$M$362))</f>
        <v/>
      </c>
      <c r="H11" s="83">
        <f>IF((SUM(PERFORM_2026!$M$43:$M$102)+SUM(PERFORM_2026!$M$108:$M$167)+SUM(PERFORM_2026!$M$173:$M$232)+SUM(PERFORM_2026!$M$238:$M$297)+SUM(PERFORM_2026!$M$303:$M$362))=0,"not provided",(SUM(PERFORM_2026!$L$43:$L$102)+SUM(PERFORM_2026!$L$108:$L$167)+SUM(PERFORM_2026!$L$173:$L$232)+SUM(PERFORM_2026!$L$238:$L$297)+SUM(PERFORM_2026!$L$303:$L$362))/(SUM(PERFORM_2026!$M$43:$M$102)+SUM(PERFORM_2026!$M$108:$M$167)+SUM(PERFORM_2026!$M$173:$M$232)+SUM(PERFORM_2026!$M$238:$M$297)+SUM(PERFORM_2026!$M$303:$M$362)))</f>
        <v/>
      </c>
      <c r="I11" s="50">
        <f>IF(ISNUMBER(H11),"Company reported","Not provided")</f>
        <v/>
      </c>
    </row>
    <row r="12"/>
    <row r="13">
      <c r="A13" s="34" t="inlineStr">
        <is>
          <t>Cohorts reported (RR PvP)</t>
        </is>
      </c>
      <c r="C13" s="23">
        <f>COUNT(PERFORM_2026!$E$43:$E$102)</f>
        <v/>
      </c>
      <c r="D13" s="23">
        <f>COUNT(PERFORM_2026!$E$108:$E$167)</f>
        <v/>
      </c>
      <c r="E13" s="23">
        <f>COUNT(PERFORM_2026!$E$173:$E$232)</f>
        <v/>
      </c>
      <c r="F13" s="23">
        <f>COUNT(PERFORM_2026!$E$238:$E$297)</f>
        <v/>
      </c>
      <c r="G13" s="23">
        <f>COUNT(PERFORM_2026!$E$303:$E$362)</f>
        <v/>
      </c>
      <c r="H13" s="27">
        <f>SUM(C13:G13)</f>
        <v/>
      </c>
    </row>
    <row r="14">
      <c r="A14" s="34" t="inlineStr">
        <is>
          <t>Contracts reported</t>
        </is>
      </c>
      <c r="C14" s="23">
        <f>SUM(PERFORM_2026!$C$43:$C$102)</f>
        <v/>
      </c>
      <c r="D14" s="23">
        <f>SUM(PERFORM_2026!$C$108:$C$167)</f>
        <v/>
      </c>
      <c r="E14" s="23">
        <f>SUM(PERFORM_2026!$C$173:$C$232)</f>
        <v/>
      </c>
      <c r="F14" s="23">
        <f>SUM(PERFORM_2026!$C$238:$C$297)</f>
        <v/>
      </c>
      <c r="G14" s="23">
        <f>SUM(PERFORM_2026!$C$303:$C$362)</f>
        <v/>
      </c>
      <c r="H14" s="27">
        <f>SUM(C14:G14)</f>
        <v/>
      </c>
    </row>
    <row r="15">
      <c r="A15" s="34" t="inlineStr">
        <is>
          <t>Cohorts with fewer than 100 contracts (the guide recommends at least 100 per monthly cohort)</t>
        </is>
      </c>
      <c r="C15" s="23">
        <f>COUNTIFS(PERFORM_2026!$C$43:$C$102,"&gt;0",PERFORM_2026!$C$43:$C$102,"&lt;100")</f>
        <v/>
      </c>
      <c r="D15" s="23">
        <f>COUNTIFS(PERFORM_2026!$C$108:$C$167,"&gt;0",PERFORM_2026!$C$108:$C$167,"&lt;100")</f>
        <v/>
      </c>
      <c r="E15" s="23">
        <f>COUNTIFS(PERFORM_2026!$C$173:$C$232,"&gt;0",PERFORM_2026!$C$173:$C$232,"&lt;100")</f>
        <v/>
      </c>
      <c r="F15" s="23">
        <f>COUNTIFS(PERFORM_2026!$C$238:$C$297,"&gt;0",PERFORM_2026!$C$238:$C$297,"&lt;100")</f>
        <v/>
      </c>
      <c r="G15" s="23">
        <f>COUNTIFS(PERFORM_2026!$C$303:$C$362,"&gt;0",PERFORM_2026!$C$303:$C$362,"&lt;100")</f>
        <v/>
      </c>
      <c r="H15" s="27">
        <f>SUM(C15:G15)</f>
        <v/>
      </c>
    </row>
    <row r="16"/>
    <row r="17"/>
    <row r="18">
      <c r="A18" s="21" t="inlineStr">
        <is>
          <t>B. Approximations from Vintage_Input monthly checkpoints: NOT PAYGo PERFORM KPIs (monthly, no payment allocation)</t>
        </is>
      </c>
      <c r="B18" s="22" t="n"/>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c r="AA18" s="22" t="n"/>
      <c r="AB18" s="22" t="n"/>
      <c r="AC18" s="22" t="n"/>
      <c r="AD18" s="22" t="n"/>
      <c r="AE18" s="22" t="n"/>
      <c r="AF18" s="22" t="n"/>
      <c r="AG18" s="22" t="n"/>
      <c r="AH18" s="22" t="n"/>
      <c r="AI18" s="22" t="n"/>
      <c r="AJ18" s="22" t="n"/>
      <c r="AK18" s="22" t="n"/>
      <c r="AL18" s="22" t="n"/>
      <c r="AM18" s="22" t="n"/>
      <c r="AN18" s="22" t="n"/>
      <c r="AO18" s="22" t="n"/>
      <c r="AP18" s="22" t="n"/>
      <c r="AQ18" s="22" t="n"/>
      <c r="AR18" s="22" t="n"/>
      <c r="AS18" s="22" t="n"/>
      <c r="AT18" s="22" t="n"/>
      <c r="AU18" s="22" t="n"/>
      <c r="AV18" s="22" t="n"/>
      <c r="AW18" s="22" t="n"/>
      <c r="AX18" s="22" t="n"/>
      <c r="AY18" s="22" t="n"/>
      <c r="AZ18" s="22" t="n"/>
      <c r="BA18" s="22" t="n"/>
      <c r="BB18" s="22" t="n"/>
      <c r="BC18" s="22" t="n"/>
      <c r="BD18" s="22" t="n"/>
      <c r="BE18" s="22" t="n"/>
      <c r="BF18" s="22" t="n"/>
      <c r="BG18" s="22" t="n"/>
      <c r="BH18" s="22" t="n"/>
      <c r="BI18" s="22" t="n"/>
      <c r="BJ18" s="22" t="n"/>
      <c r="BK18" s="22" t="n"/>
      <c r="BL18" s="22" t="n"/>
    </row>
    <row r="19">
      <c r="A19" s="34" t="inlineStr">
        <is>
          <t>Vintage_Input checkpoints (account age, months)</t>
        </is>
      </c>
      <c r="C19" s="23" t="n">
        <v>3</v>
      </c>
      <c r="D19" s="23" t="n">
        <v>6</v>
      </c>
      <c r="E19" s="23" t="n">
        <v>12</v>
      </c>
      <c r="F19" s="23" t="n">
        <v>18</v>
      </c>
      <c r="G19" s="23" t="n">
        <v>24</v>
      </c>
      <c r="H19" s="23" t="n">
        <v>36</v>
      </c>
      <c r="I19" s="23" t="n">
        <v>48</v>
      </c>
      <c r="J19" s="23" t="n">
        <v>60</v>
      </c>
    </row>
    <row r="20">
      <c r="A20" s="40" t="inlineStr">
        <is>
          <t>Approximation</t>
        </is>
      </c>
      <c r="B20" s="40" t="inlineStr">
        <is>
          <t>Basis</t>
        </is>
      </c>
      <c r="C20" s="40" t="inlineStr">
        <is>
          <t>Tier 1</t>
        </is>
      </c>
      <c r="D20" s="40" t="inlineStr">
        <is>
          <t>Tier 2</t>
        </is>
      </c>
      <c r="E20" s="40" t="inlineStr">
        <is>
          <t>Tier 3</t>
        </is>
      </c>
      <c r="F20" s="40" t="inlineStr">
        <is>
          <t>Tier 4</t>
        </is>
      </c>
      <c r="G20" s="40" t="inlineStr">
        <is>
          <t>Tier 5</t>
        </is>
      </c>
    </row>
    <row r="21" ht="30" customHeight="1">
      <c r="A21" s="19" t="inlineStr">
        <is>
          <t>Cohort repayment ratio at about 90 days</t>
        </is>
      </c>
      <c r="B21" s="110" t="inlineStr">
        <is>
          <t>M3 checkpoint, Actual cohorts</t>
        </is>
      </c>
      <c r="C21" s="81">
        <f>IF(COUNTIF(Vintage_Input!$B$9:$B$68,2)=0,"not available: proxy data only",IFERROR(SUMPRODUCT((Vintage_Input!$B$9:$B$68=2)*(Vintage_Input!$L$9:$L$68&lt;&gt;"")*(Vintage_Input!$D$9:$D$68&lt;&gt;""),Vintage_Input!$D$9:$D$68)/SUMPRODUCT((Vintage_Input!$B$9:$B$68=2)*(Vintage_Input!$L$9:$L$68&lt;&gt;"")*(Vintage_Input!$D$9:$D$68&lt;&gt;""),Vintage_Input!$L$9:$L$68),"no data at M3"))</f>
        <v/>
      </c>
      <c r="D21" s="81">
        <f>IF(COUNTIF(Vintage_Input!$B$74:$B$133,2)=0,"not available: proxy data only",IFERROR(SUMPRODUCT((Vintage_Input!$B$74:$B$133=2)*(Vintage_Input!$L$74:$L$133&lt;&gt;"")*(Vintage_Input!$D$74:$D$133&lt;&gt;""),Vintage_Input!$D$74:$D$133)/SUMPRODUCT((Vintage_Input!$B$74:$B$133=2)*(Vintage_Input!$L$74:$L$133&lt;&gt;"")*(Vintage_Input!$D$74:$D$133&lt;&gt;""),Vintage_Input!$L$74:$L$133),"no data at M3"))</f>
        <v/>
      </c>
      <c r="E21" s="81">
        <f>IF(COUNTIF(Vintage_Input!$B$139:$B$198,2)=0,"not available: proxy data only",IFERROR(SUMPRODUCT((Vintage_Input!$B$139:$B$198=2)*(Vintage_Input!$L$139:$L$198&lt;&gt;"")*(Vintage_Input!$D$139:$D$198&lt;&gt;""),Vintage_Input!$D$139:$D$198)/SUMPRODUCT((Vintage_Input!$B$139:$B$198=2)*(Vintage_Input!$L$139:$L$198&lt;&gt;"")*(Vintage_Input!$D$139:$D$198&lt;&gt;""),Vintage_Input!$L$139:$L$198),"no data at M3"))</f>
        <v/>
      </c>
      <c r="F21" s="81">
        <f>IF(COUNTIF(Vintage_Input!$B$204:$B$263,2)=0,"not available: proxy data only",IFERROR(SUMPRODUCT((Vintage_Input!$B$204:$B$263=2)*(Vintage_Input!$L$204:$L$263&lt;&gt;"")*(Vintage_Input!$D$204:$D$263&lt;&gt;""),Vintage_Input!$D$204:$D$263)/SUMPRODUCT((Vintage_Input!$B$204:$B$263=2)*(Vintage_Input!$L$204:$L$263&lt;&gt;"")*(Vintage_Input!$D$204:$D$263&lt;&gt;""),Vintage_Input!$L$204:$L$263),"no data at M3"))</f>
        <v/>
      </c>
      <c r="G21" s="81">
        <f>IF(COUNTIF(Vintage_Input!$B$269:$B$328,2)=0,"not available: proxy data only",IFERROR(SUMPRODUCT((Vintage_Input!$B$269:$B$328=2)*(Vintage_Input!$L$269:$L$328&lt;&gt;"")*(Vintage_Input!$D$269:$D$328&lt;&gt;""),Vintage_Input!$D$269:$D$328)/SUMPRODUCT((Vintage_Input!$B$269:$B$328=2)*(Vintage_Input!$L$269:$L$328&lt;&gt;"")*(Vintage_Input!$D$269:$D$328&lt;&gt;""),Vintage_Input!$L$269:$L$328),"no data at M3"))</f>
        <v/>
      </c>
    </row>
    <row r="22" ht="30" customHeight="1">
      <c r="A22" s="19" t="inlineStr">
        <is>
          <t>Cohort repayment ratio at 2x term</t>
        </is>
      </c>
      <c r="B22" s="110" t="inlineStr">
        <is>
          <t>Collections at the 2x checkpoint over instalments due over 1x term, Actual cohorts</t>
        </is>
      </c>
      <c r="C22" s="81">
        <f>IF(COUNTIF(Vintage_Input!$B$9:$B$68,2)=0,"not available: proxy data only",IF(ISNA(MATCH(2*Products!$C$16,PERFORM_2026!$C$19:$J$19,0)),"2x term beyond the input checkpoints",IFERROR(SUMPRODUCT(--(Vintage_Input!$B$9:$B$68=2),CHOOSE(MATCH(2*Products!$C$16,PERFORM_2026!$C$19:$J$19,0),Vintage_Input!$D$9:$D$68,Vintage_Input!$E$9:$E$68,Vintage_Input!$F$9:$F$68,Vintage_Input!$G$9:$G$68,Vintage_Input!$H$9:$H$68,Vintage_Input!$I$9:$I$68,Vintage_Input!$J$9:$J$68,Vintage_Input!$K$9:$K$68))/SUMPRODUCT(--(Vintage_Input!$B$9:$B$68=2),--ISNUMBER(CHOOSE(MATCH(2*Products!$C$16,PERFORM_2026!$C$19:$J$19,0),Vintage_Input!$D$9:$D$68,Vintage_Input!$E$9:$E$68,Vintage_Input!$F$9:$F$68,Vintage_Input!$G$9:$G$68,Vintage_Input!$H$9:$H$68,Vintage_Input!$I$9:$I$68,Vintage_Input!$J$9:$J$68,Vintage_Input!$K$9:$K$68)),CHOOSE(COUNTIF(PERFORM_2026!$C$19:$J$19,"&lt;"&amp;Products!$C$16)+1,Vintage_Input!$L$9:$L$68,Vintage_Input!$M$9:$M$68,Vintage_Input!$N$9:$N$68,Vintage_Input!$O$9:$O$68,Vintage_Input!$P$9:$P$68,Vintage_Input!$Q$9:$Q$68,Vintage_Input!$R$9:$R$68,Vintage_Input!$S$9:$S$68)),"no cohort has reached 2x term")))</f>
        <v/>
      </c>
      <c r="D22" s="81">
        <f>IF(COUNTIF(Vintage_Input!$B$74:$B$133,2)=0,"not available: proxy data only",IF(ISNA(MATCH(2*Products!$D$16,PERFORM_2026!$C$19:$J$19,0)),"2x term beyond the input checkpoints",IFERROR(SUMPRODUCT(--(Vintage_Input!$B$74:$B$133=2),CHOOSE(MATCH(2*Products!$D$16,PERFORM_2026!$C$19:$J$19,0),Vintage_Input!$D$74:$D$133,Vintage_Input!$E$74:$E$133,Vintage_Input!$F$74:$F$133,Vintage_Input!$G$74:$G$133,Vintage_Input!$H$74:$H$133,Vintage_Input!$I$74:$I$133,Vintage_Input!$J$74:$J$133,Vintage_Input!$K$74:$K$133))/SUMPRODUCT(--(Vintage_Input!$B$74:$B$133=2),--ISNUMBER(CHOOSE(MATCH(2*Products!$D$16,PERFORM_2026!$C$19:$J$19,0),Vintage_Input!$D$74:$D$133,Vintage_Input!$E$74:$E$133,Vintage_Input!$F$74:$F$133,Vintage_Input!$G$74:$G$133,Vintage_Input!$H$74:$H$133,Vintage_Input!$I$74:$I$133,Vintage_Input!$J$74:$J$133,Vintage_Input!$K$74:$K$133)),CHOOSE(COUNTIF(PERFORM_2026!$C$19:$J$19,"&lt;"&amp;Products!$D$16)+1,Vintage_Input!$L$74:$L$133,Vintage_Input!$M$74:$M$133,Vintage_Input!$N$74:$N$133,Vintage_Input!$O$74:$O$133,Vintage_Input!$P$74:$P$133,Vintage_Input!$Q$74:$Q$133,Vintage_Input!$R$74:$R$133,Vintage_Input!$S$74:$S$133)),"no cohort has reached 2x term")))</f>
        <v/>
      </c>
      <c r="E22" s="81">
        <f>IF(COUNTIF(Vintage_Input!$B$139:$B$198,2)=0,"not available: proxy data only",IF(ISNA(MATCH(2*Products!$E$16,PERFORM_2026!$C$19:$J$19,0)),"2x term beyond the input checkpoints",IFERROR(SUMPRODUCT(--(Vintage_Input!$B$139:$B$198=2),CHOOSE(MATCH(2*Products!$E$16,PERFORM_2026!$C$19:$J$19,0),Vintage_Input!$D$139:$D$198,Vintage_Input!$E$139:$E$198,Vintage_Input!$F$139:$F$198,Vintage_Input!$G$139:$G$198,Vintage_Input!$H$139:$H$198,Vintage_Input!$I$139:$I$198,Vintage_Input!$J$139:$J$198,Vintage_Input!$K$139:$K$198))/SUMPRODUCT(--(Vintage_Input!$B$139:$B$198=2),--ISNUMBER(CHOOSE(MATCH(2*Products!$E$16,PERFORM_2026!$C$19:$J$19,0),Vintage_Input!$D$139:$D$198,Vintage_Input!$E$139:$E$198,Vintage_Input!$F$139:$F$198,Vintage_Input!$G$139:$G$198,Vintage_Input!$H$139:$H$198,Vintage_Input!$I$139:$I$198,Vintage_Input!$J$139:$J$198,Vintage_Input!$K$139:$K$198)),CHOOSE(COUNTIF(PERFORM_2026!$C$19:$J$19,"&lt;"&amp;Products!$E$16)+1,Vintage_Input!$L$139:$L$198,Vintage_Input!$M$139:$M$198,Vintage_Input!$N$139:$N$198,Vintage_Input!$O$139:$O$198,Vintage_Input!$P$139:$P$198,Vintage_Input!$Q$139:$Q$198,Vintage_Input!$R$139:$R$198,Vintage_Input!$S$139:$S$198)),"no cohort has reached 2x term")))</f>
        <v/>
      </c>
      <c r="F22" s="81">
        <f>IF(COUNTIF(Vintage_Input!$B$204:$B$263,2)=0,"not available: proxy data only",IF(ISNA(MATCH(2*Products!$F$16,PERFORM_2026!$C$19:$J$19,0)),"2x term beyond the input checkpoints",IFERROR(SUMPRODUCT(--(Vintage_Input!$B$204:$B$263=2),CHOOSE(MATCH(2*Products!$F$16,PERFORM_2026!$C$19:$J$19,0),Vintage_Input!$D$204:$D$263,Vintage_Input!$E$204:$E$263,Vintage_Input!$F$204:$F$263,Vintage_Input!$G$204:$G$263,Vintage_Input!$H$204:$H$263,Vintage_Input!$I$204:$I$263,Vintage_Input!$J$204:$J$263,Vintage_Input!$K$204:$K$263))/SUMPRODUCT(--(Vintage_Input!$B$204:$B$263=2),--ISNUMBER(CHOOSE(MATCH(2*Products!$F$16,PERFORM_2026!$C$19:$J$19,0),Vintage_Input!$D$204:$D$263,Vintage_Input!$E$204:$E$263,Vintage_Input!$F$204:$F$263,Vintage_Input!$G$204:$G$263,Vintage_Input!$H$204:$H$263,Vintage_Input!$I$204:$I$263,Vintage_Input!$J$204:$J$263,Vintage_Input!$K$204:$K$263)),CHOOSE(COUNTIF(PERFORM_2026!$C$19:$J$19,"&lt;"&amp;Products!$F$16)+1,Vintage_Input!$L$204:$L$263,Vintage_Input!$M$204:$M$263,Vintage_Input!$N$204:$N$263,Vintage_Input!$O$204:$O$263,Vintage_Input!$P$204:$P$263,Vintage_Input!$Q$204:$Q$263,Vintage_Input!$R$204:$R$263,Vintage_Input!$S$204:$S$263)),"no cohort has reached 2x term")))</f>
        <v/>
      </c>
      <c r="G22" s="81">
        <f>IF(COUNTIF(Vintage_Input!$B$269:$B$328,2)=0,"not available: proxy data only",IF(ISNA(MATCH(2*Products!$G$16,PERFORM_2026!$C$19:$J$19,0)),"2x term beyond the input checkpoints",IFERROR(SUMPRODUCT(--(Vintage_Input!$B$269:$B$328=2),CHOOSE(MATCH(2*Products!$G$16,PERFORM_2026!$C$19:$J$19,0),Vintage_Input!$D$269:$D$328,Vintage_Input!$E$269:$E$328,Vintage_Input!$F$269:$F$328,Vintage_Input!$G$269:$G$328,Vintage_Input!$H$269:$H$328,Vintage_Input!$I$269:$I$328,Vintage_Input!$J$269:$J$328,Vintage_Input!$K$269:$K$328))/SUMPRODUCT(--(Vintage_Input!$B$269:$B$328=2),--ISNUMBER(CHOOSE(MATCH(2*Products!$G$16,PERFORM_2026!$C$19:$J$19,0),Vintage_Input!$D$269:$D$328,Vintage_Input!$E$269:$E$328,Vintage_Input!$F$269:$F$328,Vintage_Input!$G$269:$G$328,Vintage_Input!$H$269:$H$328,Vintage_Input!$I$269:$I$328,Vintage_Input!$J$269:$J$328,Vintage_Input!$K$269:$K$328)),CHOOSE(COUNTIF(PERFORM_2026!$C$19:$J$19,"&lt;"&amp;Products!$G$16)+1,Vintage_Input!$L$269:$L$328,Vintage_Input!$M$269:$M$328,Vintage_Input!$N$269:$N$328,Vintage_Input!$O$269:$O$328,Vintage_Input!$P$269:$P$328,Vintage_Input!$Q$269:$Q$328,Vintage_Input!$R$269:$R$328,Vintage_Input!$S$269:$S$328)),"no cohort has reached 2x term")))</f>
        <v/>
      </c>
    </row>
    <row r="23" ht="30" customHeight="1">
      <c r="A23" s="19" t="inlineStr">
        <is>
          <t>Ownership at 2x reported in Vintage_Input</t>
        </is>
      </c>
      <c r="B23" s="110" t="inlineStr">
        <is>
          <t>Unit weighted, cohorts with ownership data</t>
        </is>
      </c>
      <c r="C23" s="81">
        <f>IF(COUNT(Vintage_Input!$BH$9:$BH$68)=0,"not reported",SUMPRODUCT(Vintage_Input!$BH$9:$BH$68,Vintage_Input!$C$9:$C$68)/SUMPRODUCT(--ISNUMBER(Vintage_Input!$BH$9:$BH$68),Vintage_Input!$C$9:$C$68))</f>
        <v/>
      </c>
      <c r="D23" s="81">
        <f>IF(COUNT(Vintage_Input!$BH$74:$BH$133)=0,"not reported",SUMPRODUCT(Vintage_Input!$BH$74:$BH$133,Vintage_Input!$C$74:$C$133)/SUMPRODUCT(--ISNUMBER(Vintage_Input!$BH$74:$BH$133),Vintage_Input!$C$74:$C$133))</f>
        <v/>
      </c>
      <c r="E23" s="81">
        <f>IF(COUNT(Vintage_Input!$BH$139:$BH$198)=0,"not reported",SUMPRODUCT(Vintage_Input!$BH$139:$BH$198,Vintage_Input!$C$139:$C$198)/SUMPRODUCT(--ISNUMBER(Vintage_Input!$BH$139:$BH$198),Vintage_Input!$C$139:$C$198))</f>
        <v/>
      </c>
      <c r="F23" s="81">
        <f>IF(COUNT(Vintage_Input!$BH$204:$BH$263)=0,"not reported",SUMPRODUCT(Vintage_Input!$BH$204:$BH$263,Vintage_Input!$C$204:$C$263)/SUMPRODUCT(--ISNUMBER(Vintage_Input!$BH$204:$BH$263),Vintage_Input!$C$204:$C$263))</f>
        <v/>
      </c>
      <c r="G23" s="81">
        <f>IF(COUNT(Vintage_Input!$BH$269:$BH$328)=0,"not reported",SUMPRODUCT(Vintage_Input!$BH$269:$BH$328,Vintage_Input!$C$269:$C$328)/SUMPRODUCT(--ISNUMBER(Vintage_Input!$BH$269:$BH$328),Vintage_Input!$C$269:$C$328))</f>
        <v/>
      </c>
    </row>
    <row r="24"/>
    <row r="25">
      <c r="A25" s="18" t="inlineStr">
        <is>
          <t>Under the 2026 standard a collection rate, days locked or enabled, or self-defined variants may not substitute for the Repayment Rate (Technical Guide, page 10, rule 3A). The operational collection rate on KPIs and Covenants is a cash conversion metric only.</t>
        </is>
      </c>
    </row>
    <row r="26">
      <c r="A26" s="18" t="inlineStr">
        <is>
          <t>Rules for section C (Technical Guide, pages 8 to 10): exclude deposits, prepayments, penalties, fees and subsidies; include arrears payments and written-off contracts; cumulative from contract start after any free-use period; original contract terms; daily-normalised instalments; payments recognised when applied to due instalments.</t>
        </is>
      </c>
    </row>
    <row r="27"/>
    <row r="28"/>
    <row r="29"/>
    <row r="30"/>
    <row r="31"/>
    <row r="32"/>
    <row r="33"/>
    <row r="34"/>
    <row r="35"/>
    <row r="36"/>
    <row r="37"/>
    <row r="38">
      <c r="A38" s="21" t="inlineStr">
        <is>
          <t>C. Company-reported results by monthly cohort (COMPANY DATA: inputs, blank by default)</t>
        </is>
      </c>
      <c r="B38" s="22" t="n"/>
      <c r="C38" s="22" t="n"/>
      <c r="D38" s="22" t="n"/>
      <c r="E38" s="22" t="n"/>
      <c r="F38" s="22"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c r="AA38" s="22" t="n"/>
      <c r="AB38" s="22" t="n"/>
      <c r="AC38" s="22" t="n"/>
      <c r="AD38" s="22" t="n"/>
      <c r="AE38" s="22" t="n"/>
      <c r="AF38" s="22" t="n"/>
      <c r="AG38" s="22" t="n"/>
      <c r="AH38" s="22" t="n"/>
      <c r="AI38" s="22" t="n"/>
      <c r="AJ38" s="22" t="n"/>
      <c r="AK38" s="22" t="n"/>
      <c r="AL38" s="22" t="n"/>
      <c r="AM38" s="22" t="n"/>
      <c r="AN38" s="22" t="n"/>
      <c r="AO38" s="22" t="n"/>
      <c r="AP38" s="22" t="n"/>
      <c r="AQ38" s="22" t="n"/>
      <c r="AR38" s="22" t="n"/>
      <c r="AS38" s="22" t="n"/>
      <c r="AT38" s="22" t="n"/>
      <c r="AU38" s="22" t="n"/>
      <c r="AV38" s="22" t="n"/>
      <c r="AW38" s="22" t="n"/>
      <c r="AX38" s="22" t="n"/>
      <c r="AY38" s="22" t="n"/>
      <c r="AZ38" s="22" t="n"/>
      <c r="BA38" s="22" t="n"/>
      <c r="BB38" s="22" t="n"/>
      <c r="BC38" s="22" t="n"/>
      <c r="BD38" s="22" t="n"/>
      <c r="BE38" s="22" t="n"/>
      <c r="BF38" s="22" t="n"/>
      <c r="BG38" s="22" t="n"/>
      <c r="BH38" s="22" t="n"/>
      <c r="BI38" s="22" t="n"/>
      <c r="BJ38" s="22" t="n"/>
      <c r="BK38" s="22" t="n"/>
      <c r="BL38" s="22" t="n"/>
    </row>
    <row r="39"/>
    <row r="40"/>
    <row r="41">
      <c r="A41" s="111" t="inlineStr">
        <is>
          <t>Tier 1: Pico solar kit</t>
        </is>
      </c>
    </row>
    <row r="42" ht="54" customHeight="1">
      <c r="A42" s="40" t="inlineStr">
        <is>
          <t>Cohort #</t>
        </is>
      </c>
      <c r="B42" s="40" t="inlineStr">
        <is>
          <t>Origination month</t>
        </is>
      </c>
      <c r="C42" s="40" t="inlineStr">
        <is>
          <t>Contracts</t>
        </is>
      </c>
      <c r="D42" s="40" t="inlineStr">
        <is>
          <t>RR PvP: payments applied to due instalments</t>
        </is>
      </c>
      <c r="E42" s="40" t="inlineStr">
        <is>
          <t>RR PvP: instalments due to date</t>
        </is>
      </c>
      <c r="F42" s="40" t="inlineStr">
        <is>
          <t>RR PvFin: payments applied to due instalments</t>
        </is>
      </c>
      <c r="G42" s="40" t="inlineStr">
        <is>
          <t>RR PvFin: total amount financed</t>
        </is>
      </c>
      <c r="H42" s="40" t="inlineStr">
        <is>
          <t>RR @90 days: payments applied</t>
        </is>
      </c>
      <c r="I42" s="40" t="inlineStr">
        <is>
          <t>RR @90 days: instalments due by day 90</t>
        </is>
      </c>
      <c r="J42" s="40" t="inlineStr">
        <is>
          <t>RR @2x: payments applied by 2x term</t>
        </is>
      </c>
      <c r="K42" s="40" t="inlineStr">
        <is>
          <t>RR @2x: instalments due over 1x term</t>
        </is>
      </c>
      <c r="L42" s="40" t="inlineStr">
        <is>
          <t>OR @2x: contracts fully paid by 2x</t>
        </is>
      </c>
      <c r="M42" s="40" t="inlineStr">
        <is>
          <t>OR @2x: contracts that reached 2x</t>
        </is>
      </c>
      <c r="N42" s="40" t="inlineStr">
        <is>
          <t>Data as of</t>
        </is>
      </c>
      <c r="O42" s="40" t="inlineStr">
        <is>
          <t>Notes</t>
        </is>
      </c>
    </row>
    <row r="43">
      <c r="A43" s="23" t="n">
        <v>1</v>
      </c>
      <c r="B43" s="112" t="n"/>
      <c r="C43" s="113" t="n"/>
      <c r="D43" s="113" t="n"/>
      <c r="E43" s="113" t="n"/>
      <c r="F43" s="113" t="n"/>
      <c r="G43" s="113" t="n"/>
      <c r="H43" s="113" t="n"/>
      <c r="I43" s="113" t="n"/>
      <c r="J43" s="113" t="n"/>
      <c r="K43" s="113" t="n"/>
      <c r="L43" s="113" t="n"/>
      <c r="M43" s="113" t="n"/>
      <c r="N43" s="112" t="n"/>
    </row>
    <row r="44">
      <c r="A44" s="23" t="n">
        <v>2</v>
      </c>
      <c r="B44" s="112" t="n"/>
      <c r="C44" s="113" t="n"/>
      <c r="D44" s="113" t="n"/>
      <c r="E44" s="113" t="n"/>
      <c r="F44" s="113" t="n"/>
      <c r="G44" s="113" t="n"/>
      <c r="H44" s="113" t="n"/>
      <c r="I44" s="113" t="n"/>
      <c r="J44" s="113" t="n"/>
      <c r="K44" s="113" t="n"/>
      <c r="L44" s="113" t="n"/>
      <c r="M44" s="113" t="n"/>
      <c r="N44" s="112" t="n"/>
    </row>
    <row r="45">
      <c r="A45" s="23" t="n">
        <v>3</v>
      </c>
      <c r="B45" s="112" t="n"/>
      <c r="C45" s="113" t="n"/>
      <c r="D45" s="113" t="n"/>
      <c r="E45" s="113" t="n"/>
      <c r="F45" s="113" t="n"/>
      <c r="G45" s="113" t="n"/>
      <c r="H45" s="113" t="n"/>
      <c r="I45" s="113" t="n"/>
      <c r="J45" s="113" t="n"/>
      <c r="K45" s="113" t="n"/>
      <c r="L45" s="113" t="n"/>
      <c r="M45" s="113" t="n"/>
      <c r="N45" s="112" t="n"/>
    </row>
    <row r="46">
      <c r="A46" s="23" t="n">
        <v>4</v>
      </c>
      <c r="B46" s="112" t="n"/>
      <c r="C46" s="113" t="n"/>
      <c r="D46" s="113" t="n"/>
      <c r="E46" s="113" t="n"/>
      <c r="F46" s="113" t="n"/>
      <c r="G46" s="113" t="n"/>
      <c r="H46" s="113" t="n"/>
      <c r="I46" s="113" t="n"/>
      <c r="J46" s="113" t="n"/>
      <c r="K46" s="113" t="n"/>
      <c r="L46" s="113" t="n"/>
      <c r="M46" s="113" t="n"/>
      <c r="N46" s="112" t="n"/>
    </row>
    <row r="47">
      <c r="A47" s="23" t="n">
        <v>5</v>
      </c>
      <c r="B47" s="112" t="n"/>
      <c r="C47" s="113" t="n"/>
      <c r="D47" s="113" t="n"/>
      <c r="E47" s="113" t="n"/>
      <c r="F47" s="113" t="n"/>
      <c r="G47" s="113" t="n"/>
      <c r="H47" s="113" t="n"/>
      <c r="I47" s="113" t="n"/>
      <c r="J47" s="113" t="n"/>
      <c r="K47" s="113" t="n"/>
      <c r="L47" s="113" t="n"/>
      <c r="M47" s="113" t="n"/>
      <c r="N47" s="112" t="n"/>
    </row>
    <row r="48">
      <c r="A48" s="23" t="n">
        <v>6</v>
      </c>
      <c r="B48" s="112" t="n"/>
      <c r="C48" s="113" t="n"/>
      <c r="D48" s="113" t="n"/>
      <c r="E48" s="113" t="n"/>
      <c r="F48" s="113" t="n"/>
      <c r="G48" s="113" t="n"/>
      <c r="H48" s="113" t="n"/>
      <c r="I48" s="113" t="n"/>
      <c r="J48" s="113" t="n"/>
      <c r="K48" s="113" t="n"/>
      <c r="L48" s="113" t="n"/>
      <c r="M48" s="113" t="n"/>
      <c r="N48" s="112" t="n"/>
    </row>
    <row r="49">
      <c r="A49" s="23" t="n">
        <v>7</v>
      </c>
      <c r="B49" s="112" t="n"/>
      <c r="C49" s="113" t="n"/>
      <c r="D49" s="113" t="n"/>
      <c r="E49" s="113" t="n"/>
      <c r="F49" s="113" t="n"/>
      <c r="G49" s="113" t="n"/>
      <c r="H49" s="113" t="n"/>
      <c r="I49" s="113" t="n"/>
      <c r="J49" s="113" t="n"/>
      <c r="K49" s="113" t="n"/>
      <c r="L49" s="113" t="n"/>
      <c r="M49" s="113" t="n"/>
      <c r="N49" s="112" t="n"/>
    </row>
    <row r="50">
      <c r="A50" s="23" t="n">
        <v>8</v>
      </c>
      <c r="B50" s="112" t="n"/>
      <c r="C50" s="113" t="n"/>
      <c r="D50" s="113" t="n"/>
      <c r="E50" s="113" t="n"/>
      <c r="F50" s="113" t="n"/>
      <c r="G50" s="113" t="n"/>
      <c r="H50" s="113" t="n"/>
      <c r="I50" s="113" t="n"/>
      <c r="J50" s="113" t="n"/>
      <c r="K50" s="113" t="n"/>
      <c r="L50" s="113" t="n"/>
      <c r="M50" s="113" t="n"/>
      <c r="N50" s="112" t="n"/>
    </row>
    <row r="51">
      <c r="A51" s="23" t="n">
        <v>9</v>
      </c>
      <c r="B51" s="112" t="n"/>
      <c r="C51" s="113" t="n"/>
      <c r="D51" s="113" t="n"/>
      <c r="E51" s="113" t="n"/>
      <c r="F51" s="113" t="n"/>
      <c r="G51" s="113" t="n"/>
      <c r="H51" s="113" t="n"/>
      <c r="I51" s="113" t="n"/>
      <c r="J51" s="113" t="n"/>
      <c r="K51" s="113" t="n"/>
      <c r="L51" s="113" t="n"/>
      <c r="M51" s="113" t="n"/>
      <c r="N51" s="112" t="n"/>
    </row>
    <row r="52">
      <c r="A52" s="23" t="n">
        <v>10</v>
      </c>
      <c r="B52" s="112" t="n"/>
      <c r="C52" s="113" t="n"/>
      <c r="D52" s="113" t="n"/>
      <c r="E52" s="113" t="n"/>
      <c r="F52" s="113" t="n"/>
      <c r="G52" s="113" t="n"/>
      <c r="H52" s="113" t="n"/>
      <c r="I52" s="113" t="n"/>
      <c r="J52" s="113" t="n"/>
      <c r="K52" s="113" t="n"/>
      <c r="L52" s="113" t="n"/>
      <c r="M52" s="113" t="n"/>
      <c r="N52" s="112" t="n"/>
    </row>
    <row r="53">
      <c r="A53" s="23" t="n">
        <v>11</v>
      </c>
      <c r="B53" s="112" t="n"/>
      <c r="C53" s="113" t="n"/>
      <c r="D53" s="113" t="n"/>
      <c r="E53" s="113" t="n"/>
      <c r="F53" s="113" t="n"/>
      <c r="G53" s="113" t="n"/>
      <c r="H53" s="113" t="n"/>
      <c r="I53" s="113" t="n"/>
      <c r="J53" s="113" t="n"/>
      <c r="K53" s="113" t="n"/>
      <c r="L53" s="113" t="n"/>
      <c r="M53" s="113" t="n"/>
      <c r="N53" s="112" t="n"/>
    </row>
    <row r="54">
      <c r="A54" s="23" t="n">
        <v>12</v>
      </c>
      <c r="B54" s="112" t="n"/>
      <c r="C54" s="113" t="n"/>
      <c r="D54" s="113" t="n"/>
      <c r="E54" s="113" t="n"/>
      <c r="F54" s="113" t="n"/>
      <c r="G54" s="113" t="n"/>
      <c r="H54" s="113" t="n"/>
      <c r="I54" s="113" t="n"/>
      <c r="J54" s="113" t="n"/>
      <c r="K54" s="113" t="n"/>
      <c r="L54" s="113" t="n"/>
      <c r="M54" s="113" t="n"/>
      <c r="N54" s="112" t="n"/>
    </row>
    <row r="55">
      <c r="A55" s="23" t="n">
        <v>13</v>
      </c>
      <c r="B55" s="112" t="n"/>
      <c r="C55" s="113" t="n"/>
      <c r="D55" s="113" t="n"/>
      <c r="E55" s="113" t="n"/>
      <c r="F55" s="113" t="n"/>
      <c r="G55" s="113" t="n"/>
      <c r="H55" s="113" t="n"/>
      <c r="I55" s="113" t="n"/>
      <c r="J55" s="113" t="n"/>
      <c r="K55" s="113" t="n"/>
      <c r="L55" s="113" t="n"/>
      <c r="M55" s="113" t="n"/>
      <c r="N55" s="112" t="n"/>
    </row>
    <row r="56">
      <c r="A56" s="23" t="n">
        <v>14</v>
      </c>
      <c r="B56" s="112" t="n"/>
      <c r="C56" s="113" t="n"/>
      <c r="D56" s="113" t="n"/>
      <c r="E56" s="113" t="n"/>
      <c r="F56" s="113" t="n"/>
      <c r="G56" s="113" t="n"/>
      <c r="H56" s="113" t="n"/>
      <c r="I56" s="113" t="n"/>
      <c r="J56" s="113" t="n"/>
      <c r="K56" s="113" t="n"/>
      <c r="L56" s="113" t="n"/>
      <c r="M56" s="113" t="n"/>
      <c r="N56" s="112" t="n"/>
    </row>
    <row r="57">
      <c r="A57" s="23" t="n">
        <v>15</v>
      </c>
      <c r="B57" s="112" t="n"/>
      <c r="C57" s="113" t="n"/>
      <c r="D57" s="113" t="n"/>
      <c r="E57" s="113" t="n"/>
      <c r="F57" s="113" t="n"/>
      <c r="G57" s="113" t="n"/>
      <c r="H57" s="113" t="n"/>
      <c r="I57" s="113" t="n"/>
      <c r="J57" s="113" t="n"/>
      <c r="K57" s="113" t="n"/>
      <c r="L57" s="113" t="n"/>
      <c r="M57" s="113" t="n"/>
      <c r="N57" s="112" t="n"/>
    </row>
    <row r="58">
      <c r="A58" s="23" t="n">
        <v>16</v>
      </c>
      <c r="B58" s="112" t="n"/>
      <c r="C58" s="113" t="n"/>
      <c r="D58" s="113" t="n"/>
      <c r="E58" s="113" t="n"/>
      <c r="F58" s="113" t="n"/>
      <c r="G58" s="113" t="n"/>
      <c r="H58" s="113" t="n"/>
      <c r="I58" s="113" t="n"/>
      <c r="J58" s="113" t="n"/>
      <c r="K58" s="113" t="n"/>
      <c r="L58" s="113" t="n"/>
      <c r="M58" s="113" t="n"/>
      <c r="N58" s="112" t="n"/>
    </row>
    <row r="59">
      <c r="A59" s="23" t="n">
        <v>17</v>
      </c>
      <c r="B59" s="112" t="n"/>
      <c r="C59" s="113" t="n"/>
      <c r="D59" s="113" t="n"/>
      <c r="E59" s="113" t="n"/>
      <c r="F59" s="113" t="n"/>
      <c r="G59" s="113" t="n"/>
      <c r="H59" s="113" t="n"/>
      <c r="I59" s="113" t="n"/>
      <c r="J59" s="113" t="n"/>
      <c r="K59" s="113" t="n"/>
      <c r="L59" s="113" t="n"/>
      <c r="M59" s="113" t="n"/>
      <c r="N59" s="112" t="n"/>
    </row>
    <row r="60">
      <c r="A60" s="23" t="n">
        <v>18</v>
      </c>
      <c r="B60" s="112" t="n"/>
      <c r="C60" s="113" t="n"/>
      <c r="D60" s="113" t="n"/>
      <c r="E60" s="113" t="n"/>
      <c r="F60" s="113" t="n"/>
      <c r="G60" s="113" t="n"/>
      <c r="H60" s="113" t="n"/>
      <c r="I60" s="113" t="n"/>
      <c r="J60" s="113" t="n"/>
      <c r="K60" s="113" t="n"/>
      <c r="L60" s="113" t="n"/>
      <c r="M60" s="113" t="n"/>
      <c r="N60" s="112" t="n"/>
    </row>
    <row r="61">
      <c r="A61" s="23" t="n">
        <v>19</v>
      </c>
      <c r="B61" s="112" t="n"/>
      <c r="C61" s="113" t="n"/>
      <c r="D61" s="113" t="n"/>
      <c r="E61" s="113" t="n"/>
      <c r="F61" s="113" t="n"/>
      <c r="G61" s="113" t="n"/>
      <c r="H61" s="113" t="n"/>
      <c r="I61" s="113" t="n"/>
      <c r="J61" s="113" t="n"/>
      <c r="K61" s="113" t="n"/>
      <c r="L61" s="113" t="n"/>
      <c r="M61" s="113" t="n"/>
      <c r="N61" s="112" t="n"/>
    </row>
    <row r="62">
      <c r="A62" s="23" t="n">
        <v>20</v>
      </c>
      <c r="B62" s="112" t="n"/>
      <c r="C62" s="113" t="n"/>
      <c r="D62" s="113" t="n"/>
      <c r="E62" s="113" t="n"/>
      <c r="F62" s="113" t="n"/>
      <c r="G62" s="113" t="n"/>
      <c r="H62" s="113" t="n"/>
      <c r="I62" s="113" t="n"/>
      <c r="J62" s="113" t="n"/>
      <c r="K62" s="113" t="n"/>
      <c r="L62" s="113" t="n"/>
      <c r="M62" s="113" t="n"/>
      <c r="N62" s="112" t="n"/>
    </row>
    <row r="63">
      <c r="A63" s="23" t="n">
        <v>21</v>
      </c>
      <c r="B63" s="112" t="n"/>
      <c r="C63" s="113" t="n"/>
      <c r="D63" s="113" t="n"/>
      <c r="E63" s="113" t="n"/>
      <c r="F63" s="113" t="n"/>
      <c r="G63" s="113" t="n"/>
      <c r="H63" s="113" t="n"/>
      <c r="I63" s="113" t="n"/>
      <c r="J63" s="113" t="n"/>
      <c r="K63" s="113" t="n"/>
      <c r="L63" s="113" t="n"/>
      <c r="M63" s="113" t="n"/>
      <c r="N63" s="112" t="n"/>
    </row>
    <row r="64">
      <c r="A64" s="23" t="n">
        <v>22</v>
      </c>
      <c r="B64" s="112" t="n"/>
      <c r="C64" s="113" t="n"/>
      <c r="D64" s="113" t="n"/>
      <c r="E64" s="113" t="n"/>
      <c r="F64" s="113" t="n"/>
      <c r="G64" s="113" t="n"/>
      <c r="H64" s="113" t="n"/>
      <c r="I64" s="113" t="n"/>
      <c r="J64" s="113" t="n"/>
      <c r="K64" s="113" t="n"/>
      <c r="L64" s="113" t="n"/>
      <c r="M64" s="113" t="n"/>
      <c r="N64" s="112" t="n"/>
    </row>
    <row r="65">
      <c r="A65" s="23" t="n">
        <v>23</v>
      </c>
      <c r="B65" s="112" t="n"/>
      <c r="C65" s="113" t="n"/>
      <c r="D65" s="113" t="n"/>
      <c r="E65" s="113" t="n"/>
      <c r="F65" s="113" t="n"/>
      <c r="G65" s="113" t="n"/>
      <c r="H65" s="113" t="n"/>
      <c r="I65" s="113" t="n"/>
      <c r="J65" s="113" t="n"/>
      <c r="K65" s="113" t="n"/>
      <c r="L65" s="113" t="n"/>
      <c r="M65" s="113" t="n"/>
      <c r="N65" s="112" t="n"/>
    </row>
    <row r="66">
      <c r="A66" s="23" t="n">
        <v>24</v>
      </c>
      <c r="B66" s="112" t="n"/>
      <c r="C66" s="113" t="n"/>
      <c r="D66" s="113" t="n"/>
      <c r="E66" s="113" t="n"/>
      <c r="F66" s="113" t="n"/>
      <c r="G66" s="113" t="n"/>
      <c r="H66" s="113" t="n"/>
      <c r="I66" s="113" t="n"/>
      <c r="J66" s="113" t="n"/>
      <c r="K66" s="113" t="n"/>
      <c r="L66" s="113" t="n"/>
      <c r="M66" s="113" t="n"/>
      <c r="N66" s="112" t="n"/>
    </row>
    <row r="67">
      <c r="A67" s="23" t="n">
        <v>25</v>
      </c>
      <c r="B67" s="112" t="n"/>
      <c r="C67" s="113" t="n"/>
      <c r="D67" s="113" t="n"/>
      <c r="E67" s="113" t="n"/>
      <c r="F67" s="113" t="n"/>
      <c r="G67" s="113" t="n"/>
      <c r="H67" s="113" t="n"/>
      <c r="I67" s="113" t="n"/>
      <c r="J67" s="113" t="n"/>
      <c r="K67" s="113" t="n"/>
      <c r="L67" s="113" t="n"/>
      <c r="M67" s="113" t="n"/>
      <c r="N67" s="112" t="n"/>
    </row>
    <row r="68">
      <c r="A68" s="23" t="n">
        <v>26</v>
      </c>
      <c r="B68" s="112" t="n"/>
      <c r="C68" s="113" t="n"/>
      <c r="D68" s="113" t="n"/>
      <c r="E68" s="113" t="n"/>
      <c r="F68" s="113" t="n"/>
      <c r="G68" s="113" t="n"/>
      <c r="H68" s="113" t="n"/>
      <c r="I68" s="113" t="n"/>
      <c r="J68" s="113" t="n"/>
      <c r="K68" s="113" t="n"/>
      <c r="L68" s="113" t="n"/>
      <c r="M68" s="113" t="n"/>
      <c r="N68" s="112" t="n"/>
    </row>
    <row r="69">
      <c r="A69" s="23" t="n">
        <v>27</v>
      </c>
      <c r="B69" s="112" t="n"/>
      <c r="C69" s="113" t="n"/>
      <c r="D69" s="113" t="n"/>
      <c r="E69" s="113" t="n"/>
      <c r="F69" s="113" t="n"/>
      <c r="G69" s="113" t="n"/>
      <c r="H69" s="113" t="n"/>
      <c r="I69" s="113" t="n"/>
      <c r="J69" s="113" t="n"/>
      <c r="K69" s="113" t="n"/>
      <c r="L69" s="113" t="n"/>
      <c r="M69" s="113" t="n"/>
      <c r="N69" s="112" t="n"/>
    </row>
    <row r="70">
      <c r="A70" s="23" t="n">
        <v>28</v>
      </c>
      <c r="B70" s="112" t="n"/>
      <c r="C70" s="113" t="n"/>
      <c r="D70" s="113" t="n"/>
      <c r="E70" s="113" t="n"/>
      <c r="F70" s="113" t="n"/>
      <c r="G70" s="113" t="n"/>
      <c r="H70" s="113" t="n"/>
      <c r="I70" s="113" t="n"/>
      <c r="J70" s="113" t="n"/>
      <c r="K70" s="113" t="n"/>
      <c r="L70" s="113" t="n"/>
      <c r="M70" s="113" t="n"/>
      <c r="N70" s="112" t="n"/>
    </row>
    <row r="71">
      <c r="A71" s="23" t="n">
        <v>29</v>
      </c>
      <c r="B71" s="112" t="n"/>
      <c r="C71" s="113" t="n"/>
      <c r="D71" s="113" t="n"/>
      <c r="E71" s="113" t="n"/>
      <c r="F71" s="113" t="n"/>
      <c r="G71" s="113" t="n"/>
      <c r="H71" s="113" t="n"/>
      <c r="I71" s="113" t="n"/>
      <c r="J71" s="113" t="n"/>
      <c r="K71" s="113" t="n"/>
      <c r="L71" s="113" t="n"/>
      <c r="M71" s="113" t="n"/>
      <c r="N71" s="112" t="n"/>
    </row>
    <row r="72">
      <c r="A72" s="23" t="n">
        <v>30</v>
      </c>
      <c r="B72" s="112" t="n"/>
      <c r="C72" s="113" t="n"/>
      <c r="D72" s="113" t="n"/>
      <c r="E72" s="113" t="n"/>
      <c r="F72" s="113" t="n"/>
      <c r="G72" s="113" t="n"/>
      <c r="H72" s="113" t="n"/>
      <c r="I72" s="113" t="n"/>
      <c r="J72" s="113" t="n"/>
      <c r="K72" s="113" t="n"/>
      <c r="L72" s="113" t="n"/>
      <c r="M72" s="113" t="n"/>
      <c r="N72" s="112" t="n"/>
    </row>
    <row r="73">
      <c r="A73" s="23" t="n">
        <v>31</v>
      </c>
      <c r="B73" s="112" t="n"/>
      <c r="C73" s="113" t="n"/>
      <c r="D73" s="113" t="n"/>
      <c r="E73" s="113" t="n"/>
      <c r="F73" s="113" t="n"/>
      <c r="G73" s="113" t="n"/>
      <c r="H73" s="113" t="n"/>
      <c r="I73" s="113" t="n"/>
      <c r="J73" s="113" t="n"/>
      <c r="K73" s="113" t="n"/>
      <c r="L73" s="113" t="n"/>
      <c r="M73" s="113" t="n"/>
      <c r="N73" s="112" t="n"/>
    </row>
    <row r="74">
      <c r="A74" s="23" t="n">
        <v>32</v>
      </c>
      <c r="B74" s="112" t="n"/>
      <c r="C74" s="113" t="n"/>
      <c r="D74" s="113" t="n"/>
      <c r="E74" s="113" t="n"/>
      <c r="F74" s="113" t="n"/>
      <c r="G74" s="113" t="n"/>
      <c r="H74" s="113" t="n"/>
      <c r="I74" s="113" t="n"/>
      <c r="J74" s="113" t="n"/>
      <c r="K74" s="113" t="n"/>
      <c r="L74" s="113" t="n"/>
      <c r="M74" s="113" t="n"/>
      <c r="N74" s="112" t="n"/>
    </row>
    <row r="75">
      <c r="A75" s="23" t="n">
        <v>33</v>
      </c>
      <c r="B75" s="112" t="n"/>
      <c r="C75" s="113" t="n"/>
      <c r="D75" s="113" t="n"/>
      <c r="E75" s="113" t="n"/>
      <c r="F75" s="113" t="n"/>
      <c r="G75" s="113" t="n"/>
      <c r="H75" s="113" t="n"/>
      <c r="I75" s="113" t="n"/>
      <c r="J75" s="113" t="n"/>
      <c r="K75" s="113" t="n"/>
      <c r="L75" s="113" t="n"/>
      <c r="M75" s="113" t="n"/>
      <c r="N75" s="112" t="n"/>
    </row>
    <row r="76">
      <c r="A76" s="23" t="n">
        <v>34</v>
      </c>
      <c r="B76" s="112" t="n"/>
      <c r="C76" s="113" t="n"/>
      <c r="D76" s="113" t="n"/>
      <c r="E76" s="113" t="n"/>
      <c r="F76" s="113" t="n"/>
      <c r="G76" s="113" t="n"/>
      <c r="H76" s="113" t="n"/>
      <c r="I76" s="113" t="n"/>
      <c r="J76" s="113" t="n"/>
      <c r="K76" s="113" t="n"/>
      <c r="L76" s="113" t="n"/>
      <c r="M76" s="113" t="n"/>
      <c r="N76" s="112" t="n"/>
    </row>
    <row r="77">
      <c r="A77" s="23" t="n">
        <v>35</v>
      </c>
      <c r="B77" s="112" t="n"/>
      <c r="C77" s="113" t="n"/>
      <c r="D77" s="113" t="n"/>
      <c r="E77" s="113" t="n"/>
      <c r="F77" s="113" t="n"/>
      <c r="G77" s="113" t="n"/>
      <c r="H77" s="113" t="n"/>
      <c r="I77" s="113" t="n"/>
      <c r="J77" s="113" t="n"/>
      <c r="K77" s="113" t="n"/>
      <c r="L77" s="113" t="n"/>
      <c r="M77" s="113" t="n"/>
      <c r="N77" s="112" t="n"/>
    </row>
    <row r="78">
      <c r="A78" s="23" t="n">
        <v>36</v>
      </c>
      <c r="B78" s="112" t="n"/>
      <c r="C78" s="113" t="n"/>
      <c r="D78" s="113" t="n"/>
      <c r="E78" s="113" t="n"/>
      <c r="F78" s="113" t="n"/>
      <c r="G78" s="113" t="n"/>
      <c r="H78" s="113" t="n"/>
      <c r="I78" s="113" t="n"/>
      <c r="J78" s="113" t="n"/>
      <c r="K78" s="113" t="n"/>
      <c r="L78" s="113" t="n"/>
      <c r="M78" s="113" t="n"/>
      <c r="N78" s="112" t="n"/>
    </row>
    <row r="79">
      <c r="A79" s="23" t="n">
        <v>37</v>
      </c>
      <c r="B79" s="112" t="n"/>
      <c r="C79" s="113" t="n"/>
      <c r="D79" s="113" t="n"/>
      <c r="E79" s="113" t="n"/>
      <c r="F79" s="113" t="n"/>
      <c r="G79" s="113" t="n"/>
      <c r="H79" s="113" t="n"/>
      <c r="I79" s="113" t="n"/>
      <c r="J79" s="113" t="n"/>
      <c r="K79" s="113" t="n"/>
      <c r="L79" s="113" t="n"/>
      <c r="M79" s="113" t="n"/>
      <c r="N79" s="112" t="n"/>
    </row>
    <row r="80">
      <c r="A80" s="23" t="n">
        <v>38</v>
      </c>
      <c r="B80" s="112" t="n"/>
      <c r="C80" s="113" t="n"/>
      <c r="D80" s="113" t="n"/>
      <c r="E80" s="113" t="n"/>
      <c r="F80" s="113" t="n"/>
      <c r="G80" s="113" t="n"/>
      <c r="H80" s="113" t="n"/>
      <c r="I80" s="113" t="n"/>
      <c r="J80" s="113" t="n"/>
      <c r="K80" s="113" t="n"/>
      <c r="L80" s="113" t="n"/>
      <c r="M80" s="113" t="n"/>
      <c r="N80" s="112" t="n"/>
    </row>
    <row r="81">
      <c r="A81" s="23" t="n">
        <v>39</v>
      </c>
      <c r="B81" s="112" t="n"/>
      <c r="C81" s="113" t="n"/>
      <c r="D81" s="113" t="n"/>
      <c r="E81" s="113" t="n"/>
      <c r="F81" s="113" t="n"/>
      <c r="G81" s="113" t="n"/>
      <c r="H81" s="113" t="n"/>
      <c r="I81" s="113" t="n"/>
      <c r="J81" s="113" t="n"/>
      <c r="K81" s="113" t="n"/>
      <c r="L81" s="113" t="n"/>
      <c r="M81" s="113" t="n"/>
      <c r="N81" s="112" t="n"/>
    </row>
    <row r="82">
      <c r="A82" s="23" t="n">
        <v>40</v>
      </c>
      <c r="B82" s="112" t="n"/>
      <c r="C82" s="113" t="n"/>
      <c r="D82" s="113" t="n"/>
      <c r="E82" s="113" t="n"/>
      <c r="F82" s="113" t="n"/>
      <c r="G82" s="113" t="n"/>
      <c r="H82" s="113" t="n"/>
      <c r="I82" s="113" t="n"/>
      <c r="J82" s="113" t="n"/>
      <c r="K82" s="113" t="n"/>
      <c r="L82" s="113" t="n"/>
      <c r="M82" s="113" t="n"/>
      <c r="N82" s="112" t="n"/>
    </row>
    <row r="83">
      <c r="A83" s="23" t="n">
        <v>41</v>
      </c>
      <c r="B83" s="112" t="n"/>
      <c r="C83" s="113" t="n"/>
      <c r="D83" s="113" t="n"/>
      <c r="E83" s="113" t="n"/>
      <c r="F83" s="113" t="n"/>
      <c r="G83" s="113" t="n"/>
      <c r="H83" s="113" t="n"/>
      <c r="I83" s="113" t="n"/>
      <c r="J83" s="113" t="n"/>
      <c r="K83" s="113" t="n"/>
      <c r="L83" s="113" t="n"/>
      <c r="M83" s="113" t="n"/>
      <c r="N83" s="112" t="n"/>
    </row>
    <row r="84">
      <c r="A84" s="23" t="n">
        <v>42</v>
      </c>
      <c r="B84" s="112" t="n"/>
      <c r="C84" s="113" t="n"/>
      <c r="D84" s="113" t="n"/>
      <c r="E84" s="113" t="n"/>
      <c r="F84" s="113" t="n"/>
      <c r="G84" s="113" t="n"/>
      <c r="H84" s="113" t="n"/>
      <c r="I84" s="113" t="n"/>
      <c r="J84" s="113" t="n"/>
      <c r="K84" s="113" t="n"/>
      <c r="L84" s="113" t="n"/>
      <c r="M84" s="113" t="n"/>
      <c r="N84" s="112" t="n"/>
    </row>
    <row r="85">
      <c r="A85" s="23" t="n">
        <v>43</v>
      </c>
      <c r="B85" s="112" t="n"/>
      <c r="C85" s="113" t="n"/>
      <c r="D85" s="113" t="n"/>
      <c r="E85" s="113" t="n"/>
      <c r="F85" s="113" t="n"/>
      <c r="G85" s="113" t="n"/>
      <c r="H85" s="113" t="n"/>
      <c r="I85" s="113" t="n"/>
      <c r="J85" s="113" t="n"/>
      <c r="K85" s="113" t="n"/>
      <c r="L85" s="113" t="n"/>
      <c r="M85" s="113" t="n"/>
      <c r="N85" s="112" t="n"/>
    </row>
    <row r="86">
      <c r="A86" s="23" t="n">
        <v>44</v>
      </c>
      <c r="B86" s="112" t="n"/>
      <c r="C86" s="113" t="n"/>
      <c r="D86" s="113" t="n"/>
      <c r="E86" s="113" t="n"/>
      <c r="F86" s="113" t="n"/>
      <c r="G86" s="113" t="n"/>
      <c r="H86" s="113" t="n"/>
      <c r="I86" s="113" t="n"/>
      <c r="J86" s="113" t="n"/>
      <c r="K86" s="113" t="n"/>
      <c r="L86" s="113" t="n"/>
      <c r="M86" s="113" t="n"/>
      <c r="N86" s="112" t="n"/>
    </row>
    <row r="87">
      <c r="A87" s="23" t="n">
        <v>45</v>
      </c>
      <c r="B87" s="112" t="n"/>
      <c r="C87" s="113" t="n"/>
      <c r="D87" s="113" t="n"/>
      <c r="E87" s="113" t="n"/>
      <c r="F87" s="113" t="n"/>
      <c r="G87" s="113" t="n"/>
      <c r="H87" s="113" t="n"/>
      <c r="I87" s="113" t="n"/>
      <c r="J87" s="113" t="n"/>
      <c r="K87" s="113" t="n"/>
      <c r="L87" s="113" t="n"/>
      <c r="M87" s="113" t="n"/>
      <c r="N87" s="112" t="n"/>
    </row>
    <row r="88">
      <c r="A88" s="23" t="n">
        <v>46</v>
      </c>
      <c r="B88" s="112" t="n"/>
      <c r="C88" s="113" t="n"/>
      <c r="D88" s="113" t="n"/>
      <c r="E88" s="113" t="n"/>
      <c r="F88" s="113" t="n"/>
      <c r="G88" s="113" t="n"/>
      <c r="H88" s="113" t="n"/>
      <c r="I88" s="113" t="n"/>
      <c r="J88" s="113" t="n"/>
      <c r="K88" s="113" t="n"/>
      <c r="L88" s="113" t="n"/>
      <c r="M88" s="113" t="n"/>
      <c r="N88" s="112" t="n"/>
    </row>
    <row r="89">
      <c r="A89" s="23" t="n">
        <v>47</v>
      </c>
      <c r="B89" s="112" t="n"/>
      <c r="C89" s="113" t="n"/>
      <c r="D89" s="113" t="n"/>
      <c r="E89" s="113" t="n"/>
      <c r="F89" s="113" t="n"/>
      <c r="G89" s="113" t="n"/>
      <c r="H89" s="113" t="n"/>
      <c r="I89" s="113" t="n"/>
      <c r="J89" s="113" t="n"/>
      <c r="K89" s="113" t="n"/>
      <c r="L89" s="113" t="n"/>
      <c r="M89" s="113" t="n"/>
      <c r="N89" s="112" t="n"/>
    </row>
    <row r="90">
      <c r="A90" s="23" t="n">
        <v>48</v>
      </c>
      <c r="B90" s="112" t="n"/>
      <c r="C90" s="113" t="n"/>
      <c r="D90" s="113" t="n"/>
      <c r="E90" s="113" t="n"/>
      <c r="F90" s="113" t="n"/>
      <c r="G90" s="113" t="n"/>
      <c r="H90" s="113" t="n"/>
      <c r="I90" s="113" t="n"/>
      <c r="J90" s="113" t="n"/>
      <c r="K90" s="113" t="n"/>
      <c r="L90" s="113" t="n"/>
      <c r="M90" s="113" t="n"/>
      <c r="N90" s="112" t="n"/>
    </row>
    <row r="91">
      <c r="A91" s="23" t="n">
        <v>49</v>
      </c>
      <c r="B91" s="112" t="n"/>
      <c r="C91" s="113" t="n"/>
      <c r="D91" s="113" t="n"/>
      <c r="E91" s="113" t="n"/>
      <c r="F91" s="113" t="n"/>
      <c r="G91" s="113" t="n"/>
      <c r="H91" s="113" t="n"/>
      <c r="I91" s="113" t="n"/>
      <c r="J91" s="113" t="n"/>
      <c r="K91" s="113" t="n"/>
      <c r="L91" s="113" t="n"/>
      <c r="M91" s="113" t="n"/>
      <c r="N91" s="112" t="n"/>
    </row>
    <row r="92">
      <c r="A92" s="23" t="n">
        <v>50</v>
      </c>
      <c r="B92" s="112" t="n"/>
      <c r="C92" s="113" t="n"/>
      <c r="D92" s="113" t="n"/>
      <c r="E92" s="113" t="n"/>
      <c r="F92" s="113" t="n"/>
      <c r="G92" s="113" t="n"/>
      <c r="H92" s="113" t="n"/>
      <c r="I92" s="113" t="n"/>
      <c r="J92" s="113" t="n"/>
      <c r="K92" s="113" t="n"/>
      <c r="L92" s="113" t="n"/>
      <c r="M92" s="113" t="n"/>
      <c r="N92" s="112" t="n"/>
    </row>
    <row r="93">
      <c r="A93" s="23" t="n">
        <v>51</v>
      </c>
      <c r="B93" s="112" t="n"/>
      <c r="C93" s="113" t="n"/>
      <c r="D93" s="113" t="n"/>
      <c r="E93" s="113" t="n"/>
      <c r="F93" s="113" t="n"/>
      <c r="G93" s="113" t="n"/>
      <c r="H93" s="113" t="n"/>
      <c r="I93" s="113" t="n"/>
      <c r="J93" s="113" t="n"/>
      <c r="K93" s="113" t="n"/>
      <c r="L93" s="113" t="n"/>
      <c r="M93" s="113" t="n"/>
      <c r="N93" s="112" t="n"/>
    </row>
    <row r="94">
      <c r="A94" s="23" t="n">
        <v>52</v>
      </c>
      <c r="B94" s="112" t="n"/>
      <c r="C94" s="113" t="n"/>
      <c r="D94" s="113" t="n"/>
      <c r="E94" s="113" t="n"/>
      <c r="F94" s="113" t="n"/>
      <c r="G94" s="113" t="n"/>
      <c r="H94" s="113" t="n"/>
      <c r="I94" s="113" t="n"/>
      <c r="J94" s="113" t="n"/>
      <c r="K94" s="113" t="n"/>
      <c r="L94" s="113" t="n"/>
      <c r="M94" s="113" t="n"/>
      <c r="N94" s="112" t="n"/>
    </row>
    <row r="95">
      <c r="A95" s="23" t="n">
        <v>53</v>
      </c>
      <c r="B95" s="112" t="n"/>
      <c r="C95" s="113" t="n"/>
      <c r="D95" s="113" t="n"/>
      <c r="E95" s="113" t="n"/>
      <c r="F95" s="113" t="n"/>
      <c r="G95" s="113" t="n"/>
      <c r="H95" s="113" t="n"/>
      <c r="I95" s="113" t="n"/>
      <c r="J95" s="113" t="n"/>
      <c r="K95" s="113" t="n"/>
      <c r="L95" s="113" t="n"/>
      <c r="M95" s="113" t="n"/>
      <c r="N95" s="112" t="n"/>
    </row>
    <row r="96">
      <c r="A96" s="23" t="n">
        <v>54</v>
      </c>
      <c r="B96" s="112" t="n"/>
      <c r="C96" s="113" t="n"/>
      <c r="D96" s="113" t="n"/>
      <c r="E96" s="113" t="n"/>
      <c r="F96" s="113" t="n"/>
      <c r="G96" s="113" t="n"/>
      <c r="H96" s="113" t="n"/>
      <c r="I96" s="113" t="n"/>
      <c r="J96" s="113" t="n"/>
      <c r="K96" s="113" t="n"/>
      <c r="L96" s="113" t="n"/>
      <c r="M96" s="113" t="n"/>
      <c r="N96" s="112" t="n"/>
    </row>
    <row r="97">
      <c r="A97" s="23" t="n">
        <v>55</v>
      </c>
      <c r="B97" s="112" t="n"/>
      <c r="C97" s="113" t="n"/>
      <c r="D97" s="113" t="n"/>
      <c r="E97" s="113" t="n"/>
      <c r="F97" s="113" t="n"/>
      <c r="G97" s="113" t="n"/>
      <c r="H97" s="113" t="n"/>
      <c r="I97" s="113" t="n"/>
      <c r="J97" s="113" t="n"/>
      <c r="K97" s="113" t="n"/>
      <c r="L97" s="113" t="n"/>
      <c r="M97" s="113" t="n"/>
      <c r="N97" s="112" t="n"/>
    </row>
    <row r="98">
      <c r="A98" s="23" t="n">
        <v>56</v>
      </c>
      <c r="B98" s="112" t="n"/>
      <c r="C98" s="113" t="n"/>
      <c r="D98" s="113" t="n"/>
      <c r="E98" s="113" t="n"/>
      <c r="F98" s="113" t="n"/>
      <c r="G98" s="113" t="n"/>
      <c r="H98" s="113" t="n"/>
      <c r="I98" s="113" t="n"/>
      <c r="J98" s="113" t="n"/>
      <c r="K98" s="113" t="n"/>
      <c r="L98" s="113" t="n"/>
      <c r="M98" s="113" t="n"/>
      <c r="N98" s="112" t="n"/>
    </row>
    <row r="99">
      <c r="A99" s="23" t="n">
        <v>57</v>
      </c>
      <c r="B99" s="112" t="n"/>
      <c r="C99" s="113" t="n"/>
      <c r="D99" s="113" t="n"/>
      <c r="E99" s="113" t="n"/>
      <c r="F99" s="113" t="n"/>
      <c r="G99" s="113" t="n"/>
      <c r="H99" s="113" t="n"/>
      <c r="I99" s="113" t="n"/>
      <c r="J99" s="113" t="n"/>
      <c r="K99" s="113" t="n"/>
      <c r="L99" s="113" t="n"/>
      <c r="M99" s="113" t="n"/>
      <c r="N99" s="112" t="n"/>
    </row>
    <row r="100">
      <c r="A100" s="23" t="n">
        <v>58</v>
      </c>
      <c r="B100" s="112" t="n"/>
      <c r="C100" s="113" t="n"/>
      <c r="D100" s="113" t="n"/>
      <c r="E100" s="113" t="n"/>
      <c r="F100" s="113" t="n"/>
      <c r="G100" s="113" t="n"/>
      <c r="H100" s="113" t="n"/>
      <c r="I100" s="113" t="n"/>
      <c r="J100" s="113" t="n"/>
      <c r="K100" s="113" t="n"/>
      <c r="L100" s="113" t="n"/>
      <c r="M100" s="113" t="n"/>
      <c r="N100" s="112" t="n"/>
    </row>
    <row r="101">
      <c r="A101" s="23" t="n">
        <v>59</v>
      </c>
      <c r="B101" s="112" t="n"/>
      <c r="C101" s="113" t="n"/>
      <c r="D101" s="113" t="n"/>
      <c r="E101" s="113" t="n"/>
      <c r="F101" s="113" t="n"/>
      <c r="G101" s="113" t="n"/>
      <c r="H101" s="113" t="n"/>
      <c r="I101" s="113" t="n"/>
      <c r="J101" s="113" t="n"/>
      <c r="K101" s="113" t="n"/>
      <c r="L101" s="113" t="n"/>
      <c r="M101" s="113" t="n"/>
      <c r="N101" s="112" t="n"/>
    </row>
    <row r="102">
      <c r="A102" s="23" t="n">
        <v>60</v>
      </c>
      <c r="B102" s="112" t="n"/>
      <c r="C102" s="113" t="n"/>
      <c r="D102" s="113" t="n"/>
      <c r="E102" s="113" t="n"/>
      <c r="F102" s="113" t="n"/>
      <c r="G102" s="113" t="n"/>
      <c r="H102" s="113" t="n"/>
      <c r="I102" s="113" t="n"/>
      <c r="J102" s="113" t="n"/>
      <c r="K102" s="113" t="n"/>
      <c r="L102" s="113" t="n"/>
      <c r="M102" s="113" t="n"/>
      <c r="N102" s="112" t="n"/>
    </row>
    <row r="103"/>
    <row r="104"/>
    <row r="105"/>
    <row r="106">
      <c r="A106" s="111" t="inlineStr">
        <is>
          <t>Tier 2: SHS with TV</t>
        </is>
      </c>
    </row>
    <row r="107" ht="54" customHeight="1">
      <c r="A107" s="40" t="inlineStr">
        <is>
          <t>Cohort #</t>
        </is>
      </c>
      <c r="B107" s="40" t="inlineStr">
        <is>
          <t>Origination month</t>
        </is>
      </c>
      <c r="C107" s="40" t="inlineStr">
        <is>
          <t>Contracts</t>
        </is>
      </c>
      <c r="D107" s="40" t="inlineStr">
        <is>
          <t>RR PvP: payments applied to due instalments</t>
        </is>
      </c>
      <c r="E107" s="40" t="inlineStr">
        <is>
          <t>RR PvP: instalments due to date</t>
        </is>
      </c>
      <c r="F107" s="40" t="inlineStr">
        <is>
          <t>RR PvFin: payments applied to due instalments</t>
        </is>
      </c>
      <c r="G107" s="40" t="inlineStr">
        <is>
          <t>RR PvFin: total amount financed</t>
        </is>
      </c>
      <c r="H107" s="40" t="inlineStr">
        <is>
          <t>RR @90 days: payments applied</t>
        </is>
      </c>
      <c r="I107" s="40" t="inlineStr">
        <is>
          <t>RR @90 days: instalments due by day 90</t>
        </is>
      </c>
      <c r="J107" s="40" t="inlineStr">
        <is>
          <t>RR @2x: payments applied by 2x term</t>
        </is>
      </c>
      <c r="K107" s="40" t="inlineStr">
        <is>
          <t>RR @2x: instalments due over 1x term</t>
        </is>
      </c>
      <c r="L107" s="40" t="inlineStr">
        <is>
          <t>OR @2x: contracts fully paid by 2x</t>
        </is>
      </c>
      <c r="M107" s="40" t="inlineStr">
        <is>
          <t>OR @2x: contracts that reached 2x</t>
        </is>
      </c>
      <c r="N107" s="40" t="inlineStr">
        <is>
          <t>Data as of</t>
        </is>
      </c>
      <c r="O107" s="40" t="inlineStr">
        <is>
          <t>Notes</t>
        </is>
      </c>
    </row>
    <row r="108">
      <c r="A108" s="23" t="n">
        <v>1</v>
      </c>
      <c r="B108" s="112" t="n"/>
      <c r="C108" s="113" t="n"/>
      <c r="D108" s="113" t="n"/>
      <c r="E108" s="113" t="n"/>
      <c r="F108" s="113" t="n"/>
      <c r="G108" s="113" t="n"/>
      <c r="H108" s="113" t="n"/>
      <c r="I108" s="113" t="n"/>
      <c r="J108" s="113" t="n"/>
      <c r="K108" s="113" t="n"/>
      <c r="L108" s="113" t="n"/>
      <c r="M108" s="113" t="n"/>
      <c r="N108" s="112" t="n"/>
    </row>
    <row r="109">
      <c r="A109" s="23" t="n">
        <v>2</v>
      </c>
      <c r="B109" s="112" t="n"/>
      <c r="C109" s="113" t="n"/>
      <c r="D109" s="113" t="n"/>
      <c r="E109" s="113" t="n"/>
      <c r="F109" s="113" t="n"/>
      <c r="G109" s="113" t="n"/>
      <c r="H109" s="113" t="n"/>
      <c r="I109" s="113" t="n"/>
      <c r="J109" s="113" t="n"/>
      <c r="K109" s="113" t="n"/>
      <c r="L109" s="113" t="n"/>
      <c r="M109" s="113" t="n"/>
      <c r="N109" s="112" t="n"/>
    </row>
    <row r="110">
      <c r="A110" s="23" t="n">
        <v>3</v>
      </c>
      <c r="B110" s="112" t="n"/>
      <c r="C110" s="113" t="n"/>
      <c r="D110" s="113" t="n"/>
      <c r="E110" s="113" t="n"/>
      <c r="F110" s="113" t="n"/>
      <c r="G110" s="113" t="n"/>
      <c r="H110" s="113" t="n"/>
      <c r="I110" s="113" t="n"/>
      <c r="J110" s="113" t="n"/>
      <c r="K110" s="113" t="n"/>
      <c r="L110" s="113" t="n"/>
      <c r="M110" s="113" t="n"/>
      <c r="N110" s="112" t="n"/>
    </row>
    <row r="111">
      <c r="A111" s="23" t="n">
        <v>4</v>
      </c>
      <c r="B111" s="112" t="n"/>
      <c r="C111" s="113" t="n"/>
      <c r="D111" s="113" t="n"/>
      <c r="E111" s="113" t="n"/>
      <c r="F111" s="113" t="n"/>
      <c r="G111" s="113" t="n"/>
      <c r="H111" s="113" t="n"/>
      <c r="I111" s="113" t="n"/>
      <c r="J111" s="113" t="n"/>
      <c r="K111" s="113" t="n"/>
      <c r="L111" s="113" t="n"/>
      <c r="M111" s="113" t="n"/>
      <c r="N111" s="112" t="n"/>
    </row>
    <row r="112">
      <c r="A112" s="23" t="n">
        <v>5</v>
      </c>
      <c r="B112" s="112" t="n"/>
      <c r="C112" s="113" t="n"/>
      <c r="D112" s="113" t="n"/>
      <c r="E112" s="113" t="n"/>
      <c r="F112" s="113" t="n"/>
      <c r="G112" s="113" t="n"/>
      <c r="H112" s="113" t="n"/>
      <c r="I112" s="113" t="n"/>
      <c r="J112" s="113" t="n"/>
      <c r="K112" s="113" t="n"/>
      <c r="L112" s="113" t="n"/>
      <c r="M112" s="113" t="n"/>
      <c r="N112" s="112" t="n"/>
    </row>
    <row r="113">
      <c r="A113" s="23" t="n">
        <v>6</v>
      </c>
      <c r="B113" s="112" t="n"/>
      <c r="C113" s="113" t="n"/>
      <c r="D113" s="113" t="n"/>
      <c r="E113" s="113" t="n"/>
      <c r="F113" s="113" t="n"/>
      <c r="G113" s="113" t="n"/>
      <c r="H113" s="113" t="n"/>
      <c r="I113" s="113" t="n"/>
      <c r="J113" s="113" t="n"/>
      <c r="K113" s="113" t="n"/>
      <c r="L113" s="113" t="n"/>
      <c r="M113" s="113" t="n"/>
      <c r="N113" s="112" t="n"/>
    </row>
    <row r="114">
      <c r="A114" s="23" t="n">
        <v>7</v>
      </c>
      <c r="B114" s="112" t="n"/>
      <c r="C114" s="113" t="n"/>
      <c r="D114" s="113" t="n"/>
      <c r="E114" s="113" t="n"/>
      <c r="F114" s="113" t="n"/>
      <c r="G114" s="113" t="n"/>
      <c r="H114" s="113" t="n"/>
      <c r="I114" s="113" t="n"/>
      <c r="J114" s="113" t="n"/>
      <c r="K114" s="113" t="n"/>
      <c r="L114" s="113" t="n"/>
      <c r="M114" s="113" t="n"/>
      <c r="N114" s="112" t="n"/>
    </row>
    <row r="115">
      <c r="A115" s="23" t="n">
        <v>8</v>
      </c>
      <c r="B115" s="112" t="n"/>
      <c r="C115" s="113" t="n"/>
      <c r="D115" s="113" t="n"/>
      <c r="E115" s="113" t="n"/>
      <c r="F115" s="113" t="n"/>
      <c r="G115" s="113" t="n"/>
      <c r="H115" s="113" t="n"/>
      <c r="I115" s="113" t="n"/>
      <c r="J115" s="113" t="n"/>
      <c r="K115" s="113" t="n"/>
      <c r="L115" s="113" t="n"/>
      <c r="M115" s="113" t="n"/>
      <c r="N115" s="112" t="n"/>
    </row>
    <row r="116">
      <c r="A116" s="23" t="n">
        <v>9</v>
      </c>
      <c r="B116" s="112" t="n"/>
      <c r="C116" s="113" t="n"/>
      <c r="D116" s="113" t="n"/>
      <c r="E116" s="113" t="n"/>
      <c r="F116" s="113" t="n"/>
      <c r="G116" s="113" t="n"/>
      <c r="H116" s="113" t="n"/>
      <c r="I116" s="113" t="n"/>
      <c r="J116" s="113" t="n"/>
      <c r="K116" s="113" t="n"/>
      <c r="L116" s="113" t="n"/>
      <c r="M116" s="113" t="n"/>
      <c r="N116" s="112" t="n"/>
    </row>
    <row r="117">
      <c r="A117" s="23" t="n">
        <v>10</v>
      </c>
      <c r="B117" s="112" t="n"/>
      <c r="C117" s="113" t="n"/>
      <c r="D117" s="113" t="n"/>
      <c r="E117" s="113" t="n"/>
      <c r="F117" s="113" t="n"/>
      <c r="G117" s="113" t="n"/>
      <c r="H117" s="113" t="n"/>
      <c r="I117" s="113" t="n"/>
      <c r="J117" s="113" t="n"/>
      <c r="K117" s="113" t="n"/>
      <c r="L117" s="113" t="n"/>
      <c r="M117" s="113" t="n"/>
      <c r="N117" s="112" t="n"/>
    </row>
    <row r="118">
      <c r="A118" s="23" t="n">
        <v>11</v>
      </c>
      <c r="B118" s="112" t="n"/>
      <c r="C118" s="113" t="n"/>
      <c r="D118" s="113" t="n"/>
      <c r="E118" s="113" t="n"/>
      <c r="F118" s="113" t="n"/>
      <c r="G118" s="113" t="n"/>
      <c r="H118" s="113" t="n"/>
      <c r="I118" s="113" t="n"/>
      <c r="J118" s="113" t="n"/>
      <c r="K118" s="113" t="n"/>
      <c r="L118" s="113" t="n"/>
      <c r="M118" s="113" t="n"/>
      <c r="N118" s="112" t="n"/>
    </row>
    <row r="119">
      <c r="A119" s="23" t="n">
        <v>12</v>
      </c>
      <c r="B119" s="112" t="n"/>
      <c r="C119" s="113" t="n"/>
      <c r="D119" s="113" t="n"/>
      <c r="E119" s="113" t="n"/>
      <c r="F119" s="113" t="n"/>
      <c r="G119" s="113" t="n"/>
      <c r="H119" s="113" t="n"/>
      <c r="I119" s="113" t="n"/>
      <c r="J119" s="113" t="n"/>
      <c r="K119" s="113" t="n"/>
      <c r="L119" s="113" t="n"/>
      <c r="M119" s="113" t="n"/>
      <c r="N119" s="112" t="n"/>
    </row>
    <row r="120">
      <c r="A120" s="23" t="n">
        <v>13</v>
      </c>
      <c r="B120" s="112" t="n"/>
      <c r="C120" s="113" t="n"/>
      <c r="D120" s="113" t="n"/>
      <c r="E120" s="113" t="n"/>
      <c r="F120" s="113" t="n"/>
      <c r="G120" s="113" t="n"/>
      <c r="H120" s="113" t="n"/>
      <c r="I120" s="113" t="n"/>
      <c r="J120" s="113" t="n"/>
      <c r="K120" s="113" t="n"/>
      <c r="L120" s="113" t="n"/>
      <c r="M120" s="113" t="n"/>
      <c r="N120" s="112" t="n"/>
    </row>
    <row r="121">
      <c r="A121" s="23" t="n">
        <v>14</v>
      </c>
      <c r="B121" s="112" t="n"/>
      <c r="C121" s="113" t="n"/>
      <c r="D121" s="113" t="n"/>
      <c r="E121" s="113" t="n"/>
      <c r="F121" s="113" t="n"/>
      <c r="G121" s="113" t="n"/>
      <c r="H121" s="113" t="n"/>
      <c r="I121" s="113" t="n"/>
      <c r="J121" s="113" t="n"/>
      <c r="K121" s="113" t="n"/>
      <c r="L121" s="113" t="n"/>
      <c r="M121" s="113" t="n"/>
      <c r="N121" s="112" t="n"/>
    </row>
    <row r="122">
      <c r="A122" s="23" t="n">
        <v>15</v>
      </c>
      <c r="B122" s="112" t="n"/>
      <c r="C122" s="113" t="n"/>
      <c r="D122" s="113" t="n"/>
      <c r="E122" s="113" t="n"/>
      <c r="F122" s="113" t="n"/>
      <c r="G122" s="113" t="n"/>
      <c r="H122" s="113" t="n"/>
      <c r="I122" s="113" t="n"/>
      <c r="J122" s="113" t="n"/>
      <c r="K122" s="113" t="n"/>
      <c r="L122" s="113" t="n"/>
      <c r="M122" s="113" t="n"/>
      <c r="N122" s="112" t="n"/>
    </row>
    <row r="123">
      <c r="A123" s="23" t="n">
        <v>16</v>
      </c>
      <c r="B123" s="112" t="n"/>
      <c r="C123" s="113" t="n"/>
      <c r="D123" s="113" t="n"/>
      <c r="E123" s="113" t="n"/>
      <c r="F123" s="113" t="n"/>
      <c r="G123" s="113" t="n"/>
      <c r="H123" s="113" t="n"/>
      <c r="I123" s="113" t="n"/>
      <c r="J123" s="113" t="n"/>
      <c r="K123" s="113" t="n"/>
      <c r="L123" s="113" t="n"/>
      <c r="M123" s="113" t="n"/>
      <c r="N123" s="112" t="n"/>
    </row>
    <row r="124">
      <c r="A124" s="23" t="n">
        <v>17</v>
      </c>
      <c r="B124" s="112" t="n"/>
      <c r="C124" s="113" t="n"/>
      <c r="D124" s="113" t="n"/>
      <c r="E124" s="113" t="n"/>
      <c r="F124" s="113" t="n"/>
      <c r="G124" s="113" t="n"/>
      <c r="H124" s="113" t="n"/>
      <c r="I124" s="113" t="n"/>
      <c r="J124" s="113" t="n"/>
      <c r="K124" s="113" t="n"/>
      <c r="L124" s="113" t="n"/>
      <c r="M124" s="113" t="n"/>
      <c r="N124" s="112" t="n"/>
    </row>
    <row r="125">
      <c r="A125" s="23" t="n">
        <v>18</v>
      </c>
      <c r="B125" s="112" t="n"/>
      <c r="C125" s="113" t="n"/>
      <c r="D125" s="113" t="n"/>
      <c r="E125" s="113" t="n"/>
      <c r="F125" s="113" t="n"/>
      <c r="G125" s="113" t="n"/>
      <c r="H125" s="113" t="n"/>
      <c r="I125" s="113" t="n"/>
      <c r="J125" s="113" t="n"/>
      <c r="K125" s="113" t="n"/>
      <c r="L125" s="113" t="n"/>
      <c r="M125" s="113" t="n"/>
      <c r="N125" s="112" t="n"/>
    </row>
    <row r="126">
      <c r="A126" s="23" t="n">
        <v>19</v>
      </c>
      <c r="B126" s="112" t="n"/>
      <c r="C126" s="113" t="n"/>
      <c r="D126" s="113" t="n"/>
      <c r="E126" s="113" t="n"/>
      <c r="F126" s="113" t="n"/>
      <c r="G126" s="113" t="n"/>
      <c r="H126" s="113" t="n"/>
      <c r="I126" s="113" t="n"/>
      <c r="J126" s="113" t="n"/>
      <c r="K126" s="113" t="n"/>
      <c r="L126" s="113" t="n"/>
      <c r="M126" s="113" t="n"/>
      <c r="N126" s="112" t="n"/>
    </row>
    <row r="127">
      <c r="A127" s="23" t="n">
        <v>20</v>
      </c>
      <c r="B127" s="112" t="n"/>
      <c r="C127" s="113" t="n"/>
      <c r="D127" s="113" t="n"/>
      <c r="E127" s="113" t="n"/>
      <c r="F127" s="113" t="n"/>
      <c r="G127" s="113" t="n"/>
      <c r="H127" s="113" t="n"/>
      <c r="I127" s="113" t="n"/>
      <c r="J127" s="113" t="n"/>
      <c r="K127" s="113" t="n"/>
      <c r="L127" s="113" t="n"/>
      <c r="M127" s="113" t="n"/>
      <c r="N127" s="112" t="n"/>
    </row>
    <row r="128">
      <c r="A128" s="23" t="n">
        <v>21</v>
      </c>
      <c r="B128" s="112" t="n"/>
      <c r="C128" s="113" t="n"/>
      <c r="D128" s="113" t="n"/>
      <c r="E128" s="113" t="n"/>
      <c r="F128" s="113" t="n"/>
      <c r="G128" s="113" t="n"/>
      <c r="H128" s="113" t="n"/>
      <c r="I128" s="113" t="n"/>
      <c r="J128" s="113" t="n"/>
      <c r="K128" s="113" t="n"/>
      <c r="L128" s="113" t="n"/>
      <c r="M128" s="113" t="n"/>
      <c r="N128" s="112" t="n"/>
    </row>
    <row r="129">
      <c r="A129" s="23" t="n">
        <v>22</v>
      </c>
      <c r="B129" s="112" t="n"/>
      <c r="C129" s="113" t="n"/>
      <c r="D129" s="113" t="n"/>
      <c r="E129" s="113" t="n"/>
      <c r="F129" s="113" t="n"/>
      <c r="G129" s="113" t="n"/>
      <c r="H129" s="113" t="n"/>
      <c r="I129" s="113" t="n"/>
      <c r="J129" s="113" t="n"/>
      <c r="K129" s="113" t="n"/>
      <c r="L129" s="113" t="n"/>
      <c r="M129" s="113" t="n"/>
      <c r="N129" s="112" t="n"/>
    </row>
    <row r="130">
      <c r="A130" s="23" t="n">
        <v>23</v>
      </c>
      <c r="B130" s="112" t="n"/>
      <c r="C130" s="113" t="n"/>
      <c r="D130" s="113" t="n"/>
      <c r="E130" s="113" t="n"/>
      <c r="F130" s="113" t="n"/>
      <c r="G130" s="113" t="n"/>
      <c r="H130" s="113" t="n"/>
      <c r="I130" s="113" t="n"/>
      <c r="J130" s="113" t="n"/>
      <c r="K130" s="113" t="n"/>
      <c r="L130" s="113" t="n"/>
      <c r="M130" s="113" t="n"/>
      <c r="N130" s="112" t="n"/>
    </row>
    <row r="131">
      <c r="A131" s="23" t="n">
        <v>24</v>
      </c>
      <c r="B131" s="112" t="n"/>
      <c r="C131" s="113" t="n"/>
      <c r="D131" s="113" t="n"/>
      <c r="E131" s="113" t="n"/>
      <c r="F131" s="113" t="n"/>
      <c r="G131" s="113" t="n"/>
      <c r="H131" s="113" t="n"/>
      <c r="I131" s="113" t="n"/>
      <c r="J131" s="113" t="n"/>
      <c r="K131" s="113" t="n"/>
      <c r="L131" s="113" t="n"/>
      <c r="M131" s="113" t="n"/>
      <c r="N131" s="112" t="n"/>
    </row>
    <row r="132">
      <c r="A132" s="23" t="n">
        <v>25</v>
      </c>
      <c r="B132" s="112" t="n"/>
      <c r="C132" s="113" t="n"/>
      <c r="D132" s="113" t="n"/>
      <c r="E132" s="113" t="n"/>
      <c r="F132" s="113" t="n"/>
      <c r="G132" s="113" t="n"/>
      <c r="H132" s="113" t="n"/>
      <c r="I132" s="113" t="n"/>
      <c r="J132" s="113" t="n"/>
      <c r="K132" s="113" t="n"/>
      <c r="L132" s="113" t="n"/>
      <c r="M132" s="113" t="n"/>
      <c r="N132" s="112" t="n"/>
    </row>
    <row r="133">
      <c r="A133" s="23" t="n">
        <v>26</v>
      </c>
      <c r="B133" s="112" t="n"/>
      <c r="C133" s="113" t="n"/>
      <c r="D133" s="113" t="n"/>
      <c r="E133" s="113" t="n"/>
      <c r="F133" s="113" t="n"/>
      <c r="G133" s="113" t="n"/>
      <c r="H133" s="113" t="n"/>
      <c r="I133" s="113" t="n"/>
      <c r="J133" s="113" t="n"/>
      <c r="K133" s="113" t="n"/>
      <c r="L133" s="113" t="n"/>
      <c r="M133" s="113" t="n"/>
      <c r="N133" s="112" t="n"/>
    </row>
    <row r="134">
      <c r="A134" s="23" t="n">
        <v>27</v>
      </c>
      <c r="B134" s="112" t="n"/>
      <c r="C134" s="113" t="n"/>
      <c r="D134" s="113" t="n"/>
      <c r="E134" s="113" t="n"/>
      <c r="F134" s="113" t="n"/>
      <c r="G134" s="113" t="n"/>
      <c r="H134" s="113" t="n"/>
      <c r="I134" s="113" t="n"/>
      <c r="J134" s="113" t="n"/>
      <c r="K134" s="113" t="n"/>
      <c r="L134" s="113" t="n"/>
      <c r="M134" s="113" t="n"/>
      <c r="N134" s="112" t="n"/>
    </row>
    <row r="135">
      <c r="A135" s="23" t="n">
        <v>28</v>
      </c>
      <c r="B135" s="112" t="n"/>
      <c r="C135" s="113" t="n"/>
      <c r="D135" s="113" t="n"/>
      <c r="E135" s="113" t="n"/>
      <c r="F135" s="113" t="n"/>
      <c r="G135" s="113" t="n"/>
      <c r="H135" s="113" t="n"/>
      <c r="I135" s="113" t="n"/>
      <c r="J135" s="113" t="n"/>
      <c r="K135" s="113" t="n"/>
      <c r="L135" s="113" t="n"/>
      <c r="M135" s="113" t="n"/>
      <c r="N135" s="112" t="n"/>
    </row>
    <row r="136">
      <c r="A136" s="23" t="n">
        <v>29</v>
      </c>
      <c r="B136" s="112" t="n"/>
      <c r="C136" s="113" t="n"/>
      <c r="D136" s="113" t="n"/>
      <c r="E136" s="113" t="n"/>
      <c r="F136" s="113" t="n"/>
      <c r="G136" s="113" t="n"/>
      <c r="H136" s="113" t="n"/>
      <c r="I136" s="113" t="n"/>
      <c r="J136" s="113" t="n"/>
      <c r="K136" s="113" t="n"/>
      <c r="L136" s="113" t="n"/>
      <c r="M136" s="113" t="n"/>
      <c r="N136" s="112" t="n"/>
    </row>
    <row r="137">
      <c r="A137" s="23" t="n">
        <v>30</v>
      </c>
      <c r="B137" s="112" t="n"/>
      <c r="C137" s="113" t="n"/>
      <c r="D137" s="113" t="n"/>
      <c r="E137" s="113" t="n"/>
      <c r="F137" s="113" t="n"/>
      <c r="G137" s="113" t="n"/>
      <c r="H137" s="113" t="n"/>
      <c r="I137" s="113" t="n"/>
      <c r="J137" s="113" t="n"/>
      <c r="K137" s="113" t="n"/>
      <c r="L137" s="113" t="n"/>
      <c r="M137" s="113" t="n"/>
      <c r="N137" s="112" t="n"/>
    </row>
    <row r="138">
      <c r="A138" s="23" t="n">
        <v>31</v>
      </c>
      <c r="B138" s="112" t="n"/>
      <c r="C138" s="113" t="n"/>
      <c r="D138" s="113" t="n"/>
      <c r="E138" s="113" t="n"/>
      <c r="F138" s="113" t="n"/>
      <c r="G138" s="113" t="n"/>
      <c r="H138" s="113" t="n"/>
      <c r="I138" s="113" t="n"/>
      <c r="J138" s="113" t="n"/>
      <c r="K138" s="113" t="n"/>
      <c r="L138" s="113" t="n"/>
      <c r="M138" s="113" t="n"/>
      <c r="N138" s="112" t="n"/>
    </row>
    <row r="139">
      <c r="A139" s="23" t="n">
        <v>32</v>
      </c>
      <c r="B139" s="112" t="n"/>
      <c r="C139" s="113" t="n"/>
      <c r="D139" s="113" t="n"/>
      <c r="E139" s="113" t="n"/>
      <c r="F139" s="113" t="n"/>
      <c r="G139" s="113" t="n"/>
      <c r="H139" s="113" t="n"/>
      <c r="I139" s="113" t="n"/>
      <c r="J139" s="113" t="n"/>
      <c r="K139" s="113" t="n"/>
      <c r="L139" s="113" t="n"/>
      <c r="M139" s="113" t="n"/>
      <c r="N139" s="112" t="n"/>
    </row>
    <row r="140">
      <c r="A140" s="23" t="n">
        <v>33</v>
      </c>
      <c r="B140" s="112" t="n"/>
      <c r="C140" s="113" t="n"/>
      <c r="D140" s="113" t="n"/>
      <c r="E140" s="113" t="n"/>
      <c r="F140" s="113" t="n"/>
      <c r="G140" s="113" t="n"/>
      <c r="H140" s="113" t="n"/>
      <c r="I140" s="113" t="n"/>
      <c r="J140" s="113" t="n"/>
      <c r="K140" s="113" t="n"/>
      <c r="L140" s="113" t="n"/>
      <c r="M140" s="113" t="n"/>
      <c r="N140" s="112" t="n"/>
    </row>
    <row r="141">
      <c r="A141" s="23" t="n">
        <v>34</v>
      </c>
      <c r="B141" s="112" t="n"/>
      <c r="C141" s="113" t="n"/>
      <c r="D141" s="113" t="n"/>
      <c r="E141" s="113" t="n"/>
      <c r="F141" s="113" t="n"/>
      <c r="G141" s="113" t="n"/>
      <c r="H141" s="113" t="n"/>
      <c r="I141" s="113" t="n"/>
      <c r="J141" s="113" t="n"/>
      <c r="K141" s="113" t="n"/>
      <c r="L141" s="113" t="n"/>
      <c r="M141" s="113" t="n"/>
      <c r="N141" s="112" t="n"/>
    </row>
    <row r="142">
      <c r="A142" s="23" t="n">
        <v>35</v>
      </c>
      <c r="B142" s="112" t="n"/>
      <c r="C142" s="113" t="n"/>
      <c r="D142" s="113" t="n"/>
      <c r="E142" s="113" t="n"/>
      <c r="F142" s="113" t="n"/>
      <c r="G142" s="113" t="n"/>
      <c r="H142" s="113" t="n"/>
      <c r="I142" s="113" t="n"/>
      <c r="J142" s="113" t="n"/>
      <c r="K142" s="113" t="n"/>
      <c r="L142" s="113" t="n"/>
      <c r="M142" s="113" t="n"/>
      <c r="N142" s="112" t="n"/>
    </row>
    <row r="143">
      <c r="A143" s="23" t="n">
        <v>36</v>
      </c>
      <c r="B143" s="112" t="n"/>
      <c r="C143" s="113" t="n"/>
      <c r="D143" s="113" t="n"/>
      <c r="E143" s="113" t="n"/>
      <c r="F143" s="113" t="n"/>
      <c r="G143" s="113" t="n"/>
      <c r="H143" s="113" t="n"/>
      <c r="I143" s="113" t="n"/>
      <c r="J143" s="113" t="n"/>
      <c r="K143" s="113" t="n"/>
      <c r="L143" s="113" t="n"/>
      <c r="M143" s="113" t="n"/>
      <c r="N143" s="112" t="n"/>
    </row>
    <row r="144">
      <c r="A144" s="23" t="n">
        <v>37</v>
      </c>
      <c r="B144" s="112" t="n"/>
      <c r="C144" s="113" t="n"/>
      <c r="D144" s="113" t="n"/>
      <c r="E144" s="113" t="n"/>
      <c r="F144" s="113" t="n"/>
      <c r="G144" s="113" t="n"/>
      <c r="H144" s="113" t="n"/>
      <c r="I144" s="113" t="n"/>
      <c r="J144" s="113" t="n"/>
      <c r="K144" s="113" t="n"/>
      <c r="L144" s="113" t="n"/>
      <c r="M144" s="113" t="n"/>
      <c r="N144" s="112" t="n"/>
    </row>
    <row r="145">
      <c r="A145" s="23" t="n">
        <v>38</v>
      </c>
      <c r="B145" s="112" t="n"/>
      <c r="C145" s="113" t="n"/>
      <c r="D145" s="113" t="n"/>
      <c r="E145" s="113" t="n"/>
      <c r="F145" s="113" t="n"/>
      <c r="G145" s="113" t="n"/>
      <c r="H145" s="113" t="n"/>
      <c r="I145" s="113" t="n"/>
      <c r="J145" s="113" t="n"/>
      <c r="K145" s="113" t="n"/>
      <c r="L145" s="113" t="n"/>
      <c r="M145" s="113" t="n"/>
      <c r="N145" s="112" t="n"/>
    </row>
    <row r="146">
      <c r="A146" s="23" t="n">
        <v>39</v>
      </c>
      <c r="B146" s="112" t="n"/>
      <c r="C146" s="113" t="n"/>
      <c r="D146" s="113" t="n"/>
      <c r="E146" s="113" t="n"/>
      <c r="F146" s="113" t="n"/>
      <c r="G146" s="113" t="n"/>
      <c r="H146" s="113" t="n"/>
      <c r="I146" s="113" t="n"/>
      <c r="J146" s="113" t="n"/>
      <c r="K146" s="113" t="n"/>
      <c r="L146" s="113" t="n"/>
      <c r="M146" s="113" t="n"/>
      <c r="N146" s="112" t="n"/>
    </row>
    <row r="147">
      <c r="A147" s="23" t="n">
        <v>40</v>
      </c>
      <c r="B147" s="112" t="n"/>
      <c r="C147" s="113" t="n"/>
      <c r="D147" s="113" t="n"/>
      <c r="E147" s="113" t="n"/>
      <c r="F147" s="113" t="n"/>
      <c r="G147" s="113" t="n"/>
      <c r="H147" s="113" t="n"/>
      <c r="I147" s="113" t="n"/>
      <c r="J147" s="113" t="n"/>
      <c r="K147" s="113" t="n"/>
      <c r="L147" s="113" t="n"/>
      <c r="M147" s="113" t="n"/>
      <c r="N147" s="112" t="n"/>
    </row>
    <row r="148">
      <c r="A148" s="23" t="n">
        <v>41</v>
      </c>
      <c r="B148" s="112" t="n"/>
      <c r="C148" s="113" t="n"/>
      <c r="D148" s="113" t="n"/>
      <c r="E148" s="113" t="n"/>
      <c r="F148" s="113" t="n"/>
      <c r="G148" s="113" t="n"/>
      <c r="H148" s="113" t="n"/>
      <c r="I148" s="113" t="n"/>
      <c r="J148" s="113" t="n"/>
      <c r="K148" s="113" t="n"/>
      <c r="L148" s="113" t="n"/>
      <c r="M148" s="113" t="n"/>
      <c r="N148" s="112" t="n"/>
    </row>
    <row r="149">
      <c r="A149" s="23" t="n">
        <v>42</v>
      </c>
      <c r="B149" s="112" t="n"/>
      <c r="C149" s="113" t="n"/>
      <c r="D149" s="113" t="n"/>
      <c r="E149" s="113" t="n"/>
      <c r="F149" s="113" t="n"/>
      <c r="G149" s="113" t="n"/>
      <c r="H149" s="113" t="n"/>
      <c r="I149" s="113" t="n"/>
      <c r="J149" s="113" t="n"/>
      <c r="K149" s="113" t="n"/>
      <c r="L149" s="113" t="n"/>
      <c r="M149" s="113" t="n"/>
      <c r="N149" s="112" t="n"/>
    </row>
    <row r="150">
      <c r="A150" s="23" t="n">
        <v>43</v>
      </c>
      <c r="B150" s="112" t="n"/>
      <c r="C150" s="113" t="n"/>
      <c r="D150" s="113" t="n"/>
      <c r="E150" s="113" t="n"/>
      <c r="F150" s="113" t="n"/>
      <c r="G150" s="113" t="n"/>
      <c r="H150" s="113" t="n"/>
      <c r="I150" s="113" t="n"/>
      <c r="J150" s="113" t="n"/>
      <c r="K150" s="113" t="n"/>
      <c r="L150" s="113" t="n"/>
      <c r="M150" s="113" t="n"/>
      <c r="N150" s="112" t="n"/>
    </row>
    <row r="151">
      <c r="A151" s="23" t="n">
        <v>44</v>
      </c>
      <c r="B151" s="112" t="n"/>
      <c r="C151" s="113" t="n"/>
      <c r="D151" s="113" t="n"/>
      <c r="E151" s="113" t="n"/>
      <c r="F151" s="113" t="n"/>
      <c r="G151" s="113" t="n"/>
      <c r="H151" s="113" t="n"/>
      <c r="I151" s="113" t="n"/>
      <c r="J151" s="113" t="n"/>
      <c r="K151" s="113" t="n"/>
      <c r="L151" s="113" t="n"/>
      <c r="M151" s="113" t="n"/>
      <c r="N151" s="112" t="n"/>
    </row>
    <row r="152">
      <c r="A152" s="23" t="n">
        <v>45</v>
      </c>
      <c r="B152" s="112" t="n"/>
      <c r="C152" s="113" t="n"/>
      <c r="D152" s="113" t="n"/>
      <c r="E152" s="113" t="n"/>
      <c r="F152" s="113" t="n"/>
      <c r="G152" s="113" t="n"/>
      <c r="H152" s="113" t="n"/>
      <c r="I152" s="113" t="n"/>
      <c r="J152" s="113" t="n"/>
      <c r="K152" s="113" t="n"/>
      <c r="L152" s="113" t="n"/>
      <c r="M152" s="113" t="n"/>
      <c r="N152" s="112" t="n"/>
    </row>
    <row r="153">
      <c r="A153" s="23" t="n">
        <v>46</v>
      </c>
      <c r="B153" s="112" t="n"/>
      <c r="C153" s="113" t="n"/>
      <c r="D153" s="113" t="n"/>
      <c r="E153" s="113" t="n"/>
      <c r="F153" s="113" t="n"/>
      <c r="G153" s="113" t="n"/>
      <c r="H153" s="113" t="n"/>
      <c r="I153" s="113" t="n"/>
      <c r="J153" s="113" t="n"/>
      <c r="K153" s="113" t="n"/>
      <c r="L153" s="113" t="n"/>
      <c r="M153" s="113" t="n"/>
      <c r="N153" s="112" t="n"/>
    </row>
    <row r="154">
      <c r="A154" s="23" t="n">
        <v>47</v>
      </c>
      <c r="B154" s="112" t="n"/>
      <c r="C154" s="113" t="n"/>
      <c r="D154" s="113" t="n"/>
      <c r="E154" s="113" t="n"/>
      <c r="F154" s="113" t="n"/>
      <c r="G154" s="113" t="n"/>
      <c r="H154" s="113" t="n"/>
      <c r="I154" s="113" t="n"/>
      <c r="J154" s="113" t="n"/>
      <c r="K154" s="113" t="n"/>
      <c r="L154" s="113" t="n"/>
      <c r="M154" s="113" t="n"/>
      <c r="N154" s="112" t="n"/>
    </row>
    <row r="155">
      <c r="A155" s="23" t="n">
        <v>48</v>
      </c>
      <c r="B155" s="112" t="n"/>
      <c r="C155" s="113" t="n"/>
      <c r="D155" s="113" t="n"/>
      <c r="E155" s="113" t="n"/>
      <c r="F155" s="113" t="n"/>
      <c r="G155" s="113" t="n"/>
      <c r="H155" s="113" t="n"/>
      <c r="I155" s="113" t="n"/>
      <c r="J155" s="113" t="n"/>
      <c r="K155" s="113" t="n"/>
      <c r="L155" s="113" t="n"/>
      <c r="M155" s="113" t="n"/>
      <c r="N155" s="112" t="n"/>
    </row>
    <row r="156">
      <c r="A156" s="23" t="n">
        <v>49</v>
      </c>
      <c r="B156" s="112" t="n"/>
      <c r="C156" s="113" t="n"/>
      <c r="D156" s="113" t="n"/>
      <c r="E156" s="113" t="n"/>
      <c r="F156" s="113" t="n"/>
      <c r="G156" s="113" t="n"/>
      <c r="H156" s="113" t="n"/>
      <c r="I156" s="113" t="n"/>
      <c r="J156" s="113" t="n"/>
      <c r="K156" s="113" t="n"/>
      <c r="L156" s="113" t="n"/>
      <c r="M156" s="113" t="n"/>
      <c r="N156" s="112" t="n"/>
    </row>
    <row r="157">
      <c r="A157" s="23" t="n">
        <v>50</v>
      </c>
      <c r="B157" s="112" t="n"/>
      <c r="C157" s="113" t="n"/>
      <c r="D157" s="113" t="n"/>
      <c r="E157" s="113" t="n"/>
      <c r="F157" s="113" t="n"/>
      <c r="G157" s="113" t="n"/>
      <c r="H157" s="113" t="n"/>
      <c r="I157" s="113" t="n"/>
      <c r="J157" s="113" t="n"/>
      <c r="K157" s="113" t="n"/>
      <c r="L157" s="113" t="n"/>
      <c r="M157" s="113" t="n"/>
      <c r="N157" s="112" t="n"/>
    </row>
    <row r="158">
      <c r="A158" s="23" t="n">
        <v>51</v>
      </c>
      <c r="B158" s="112" t="n"/>
      <c r="C158" s="113" t="n"/>
      <c r="D158" s="113" t="n"/>
      <c r="E158" s="113" t="n"/>
      <c r="F158" s="113" t="n"/>
      <c r="G158" s="113" t="n"/>
      <c r="H158" s="113" t="n"/>
      <c r="I158" s="113" t="n"/>
      <c r="J158" s="113" t="n"/>
      <c r="K158" s="113" t="n"/>
      <c r="L158" s="113" t="n"/>
      <c r="M158" s="113" t="n"/>
      <c r="N158" s="112" t="n"/>
    </row>
    <row r="159">
      <c r="A159" s="23" t="n">
        <v>52</v>
      </c>
      <c r="B159" s="112" t="n"/>
      <c r="C159" s="113" t="n"/>
      <c r="D159" s="113" t="n"/>
      <c r="E159" s="113" t="n"/>
      <c r="F159" s="113" t="n"/>
      <c r="G159" s="113" t="n"/>
      <c r="H159" s="113" t="n"/>
      <c r="I159" s="113" t="n"/>
      <c r="J159" s="113" t="n"/>
      <c r="K159" s="113" t="n"/>
      <c r="L159" s="113" t="n"/>
      <c r="M159" s="113" t="n"/>
      <c r="N159" s="112" t="n"/>
    </row>
    <row r="160">
      <c r="A160" s="23" t="n">
        <v>53</v>
      </c>
      <c r="B160" s="112" t="n"/>
      <c r="C160" s="113" t="n"/>
      <c r="D160" s="113" t="n"/>
      <c r="E160" s="113" t="n"/>
      <c r="F160" s="113" t="n"/>
      <c r="G160" s="113" t="n"/>
      <c r="H160" s="113" t="n"/>
      <c r="I160" s="113" t="n"/>
      <c r="J160" s="113" t="n"/>
      <c r="K160" s="113" t="n"/>
      <c r="L160" s="113" t="n"/>
      <c r="M160" s="113" t="n"/>
      <c r="N160" s="112" t="n"/>
    </row>
    <row r="161">
      <c r="A161" s="23" t="n">
        <v>54</v>
      </c>
      <c r="B161" s="112" t="n"/>
      <c r="C161" s="113" t="n"/>
      <c r="D161" s="113" t="n"/>
      <c r="E161" s="113" t="n"/>
      <c r="F161" s="113" t="n"/>
      <c r="G161" s="113" t="n"/>
      <c r="H161" s="113" t="n"/>
      <c r="I161" s="113" t="n"/>
      <c r="J161" s="113" t="n"/>
      <c r="K161" s="113" t="n"/>
      <c r="L161" s="113" t="n"/>
      <c r="M161" s="113" t="n"/>
      <c r="N161" s="112" t="n"/>
    </row>
    <row r="162">
      <c r="A162" s="23" t="n">
        <v>55</v>
      </c>
      <c r="B162" s="112" t="n"/>
      <c r="C162" s="113" t="n"/>
      <c r="D162" s="113" t="n"/>
      <c r="E162" s="113" t="n"/>
      <c r="F162" s="113" t="n"/>
      <c r="G162" s="113" t="n"/>
      <c r="H162" s="113" t="n"/>
      <c r="I162" s="113" t="n"/>
      <c r="J162" s="113" t="n"/>
      <c r="K162" s="113" t="n"/>
      <c r="L162" s="113" t="n"/>
      <c r="M162" s="113" t="n"/>
      <c r="N162" s="112" t="n"/>
    </row>
    <row r="163">
      <c r="A163" s="23" t="n">
        <v>56</v>
      </c>
      <c r="B163" s="112" t="n"/>
      <c r="C163" s="113" t="n"/>
      <c r="D163" s="113" t="n"/>
      <c r="E163" s="113" t="n"/>
      <c r="F163" s="113" t="n"/>
      <c r="G163" s="113" t="n"/>
      <c r="H163" s="113" t="n"/>
      <c r="I163" s="113" t="n"/>
      <c r="J163" s="113" t="n"/>
      <c r="K163" s="113" t="n"/>
      <c r="L163" s="113" t="n"/>
      <c r="M163" s="113" t="n"/>
      <c r="N163" s="112" t="n"/>
    </row>
    <row r="164">
      <c r="A164" s="23" t="n">
        <v>57</v>
      </c>
      <c r="B164" s="112" t="n"/>
      <c r="C164" s="113" t="n"/>
      <c r="D164" s="113" t="n"/>
      <c r="E164" s="113" t="n"/>
      <c r="F164" s="113" t="n"/>
      <c r="G164" s="113" t="n"/>
      <c r="H164" s="113" t="n"/>
      <c r="I164" s="113" t="n"/>
      <c r="J164" s="113" t="n"/>
      <c r="K164" s="113" t="n"/>
      <c r="L164" s="113" t="n"/>
      <c r="M164" s="113" t="n"/>
      <c r="N164" s="112" t="n"/>
    </row>
    <row r="165">
      <c r="A165" s="23" t="n">
        <v>58</v>
      </c>
      <c r="B165" s="112" t="n"/>
      <c r="C165" s="113" t="n"/>
      <c r="D165" s="113" t="n"/>
      <c r="E165" s="113" t="n"/>
      <c r="F165" s="113" t="n"/>
      <c r="G165" s="113" t="n"/>
      <c r="H165" s="113" t="n"/>
      <c r="I165" s="113" t="n"/>
      <c r="J165" s="113" t="n"/>
      <c r="K165" s="113" t="n"/>
      <c r="L165" s="113" t="n"/>
      <c r="M165" s="113" t="n"/>
      <c r="N165" s="112" t="n"/>
    </row>
    <row r="166">
      <c r="A166" s="23" t="n">
        <v>59</v>
      </c>
      <c r="B166" s="112" t="n"/>
      <c r="C166" s="113" t="n"/>
      <c r="D166" s="113" t="n"/>
      <c r="E166" s="113" t="n"/>
      <c r="F166" s="113" t="n"/>
      <c r="G166" s="113" t="n"/>
      <c r="H166" s="113" t="n"/>
      <c r="I166" s="113" t="n"/>
      <c r="J166" s="113" t="n"/>
      <c r="K166" s="113" t="n"/>
      <c r="L166" s="113" t="n"/>
      <c r="M166" s="113" t="n"/>
      <c r="N166" s="112" t="n"/>
    </row>
    <row r="167">
      <c r="A167" s="23" t="n">
        <v>60</v>
      </c>
      <c r="B167" s="112" t="n"/>
      <c r="C167" s="113" t="n"/>
      <c r="D167" s="113" t="n"/>
      <c r="E167" s="113" t="n"/>
      <c r="F167" s="113" t="n"/>
      <c r="G167" s="113" t="n"/>
      <c r="H167" s="113" t="n"/>
      <c r="I167" s="113" t="n"/>
      <c r="J167" s="113" t="n"/>
      <c r="K167" s="113" t="n"/>
      <c r="L167" s="113" t="n"/>
      <c r="M167" s="113" t="n"/>
      <c r="N167" s="112" t="n"/>
    </row>
    <row r="168"/>
    <row r="169"/>
    <row r="170"/>
    <row r="171">
      <c r="A171" s="111" t="inlineStr">
        <is>
          <t>Tier 3: Large SHS + DC fridge</t>
        </is>
      </c>
    </row>
    <row r="172" ht="54" customHeight="1">
      <c r="A172" s="40" t="inlineStr">
        <is>
          <t>Cohort #</t>
        </is>
      </c>
      <c r="B172" s="40" t="inlineStr">
        <is>
          <t>Origination month</t>
        </is>
      </c>
      <c r="C172" s="40" t="inlineStr">
        <is>
          <t>Contracts</t>
        </is>
      </c>
      <c r="D172" s="40" t="inlineStr">
        <is>
          <t>RR PvP: payments applied to due instalments</t>
        </is>
      </c>
      <c r="E172" s="40" t="inlineStr">
        <is>
          <t>RR PvP: instalments due to date</t>
        </is>
      </c>
      <c r="F172" s="40" t="inlineStr">
        <is>
          <t>RR PvFin: payments applied to due instalments</t>
        </is>
      </c>
      <c r="G172" s="40" t="inlineStr">
        <is>
          <t>RR PvFin: total amount financed</t>
        </is>
      </c>
      <c r="H172" s="40" t="inlineStr">
        <is>
          <t>RR @90 days: payments applied</t>
        </is>
      </c>
      <c r="I172" s="40" t="inlineStr">
        <is>
          <t>RR @90 days: instalments due by day 90</t>
        </is>
      </c>
      <c r="J172" s="40" t="inlineStr">
        <is>
          <t>RR @2x: payments applied by 2x term</t>
        </is>
      </c>
      <c r="K172" s="40" t="inlineStr">
        <is>
          <t>RR @2x: instalments due over 1x term</t>
        </is>
      </c>
      <c r="L172" s="40" t="inlineStr">
        <is>
          <t>OR @2x: contracts fully paid by 2x</t>
        </is>
      </c>
      <c r="M172" s="40" t="inlineStr">
        <is>
          <t>OR @2x: contracts that reached 2x</t>
        </is>
      </c>
      <c r="N172" s="40" t="inlineStr">
        <is>
          <t>Data as of</t>
        </is>
      </c>
      <c r="O172" s="40" t="inlineStr">
        <is>
          <t>Notes</t>
        </is>
      </c>
    </row>
    <row r="173">
      <c r="A173" s="23" t="n">
        <v>1</v>
      </c>
      <c r="B173" s="112" t="n"/>
      <c r="C173" s="113" t="n"/>
      <c r="D173" s="113" t="n"/>
      <c r="E173" s="113" t="n"/>
      <c r="F173" s="113" t="n"/>
      <c r="G173" s="113" t="n"/>
      <c r="H173" s="113" t="n"/>
      <c r="I173" s="113" t="n"/>
      <c r="J173" s="113" t="n"/>
      <c r="K173" s="113" t="n"/>
      <c r="L173" s="113" t="n"/>
      <c r="M173" s="113" t="n"/>
      <c r="N173" s="112" t="n"/>
    </row>
    <row r="174">
      <c r="A174" s="23" t="n">
        <v>2</v>
      </c>
      <c r="B174" s="112" t="n"/>
      <c r="C174" s="113" t="n"/>
      <c r="D174" s="113" t="n"/>
      <c r="E174" s="113" t="n"/>
      <c r="F174" s="113" t="n"/>
      <c r="G174" s="113" t="n"/>
      <c r="H174" s="113" t="n"/>
      <c r="I174" s="113" t="n"/>
      <c r="J174" s="113" t="n"/>
      <c r="K174" s="113" t="n"/>
      <c r="L174" s="113" t="n"/>
      <c r="M174" s="113" t="n"/>
      <c r="N174" s="112" t="n"/>
    </row>
    <row r="175">
      <c r="A175" s="23" t="n">
        <v>3</v>
      </c>
      <c r="B175" s="112" t="n"/>
      <c r="C175" s="113" t="n"/>
      <c r="D175" s="113" t="n"/>
      <c r="E175" s="113" t="n"/>
      <c r="F175" s="113" t="n"/>
      <c r="G175" s="113" t="n"/>
      <c r="H175" s="113" t="n"/>
      <c r="I175" s="113" t="n"/>
      <c r="J175" s="113" t="n"/>
      <c r="K175" s="113" t="n"/>
      <c r="L175" s="113" t="n"/>
      <c r="M175" s="113" t="n"/>
      <c r="N175" s="112" t="n"/>
    </row>
    <row r="176">
      <c r="A176" s="23" t="n">
        <v>4</v>
      </c>
      <c r="B176" s="112" t="n"/>
      <c r="C176" s="113" t="n"/>
      <c r="D176" s="113" t="n"/>
      <c r="E176" s="113" t="n"/>
      <c r="F176" s="113" t="n"/>
      <c r="G176" s="113" t="n"/>
      <c r="H176" s="113" t="n"/>
      <c r="I176" s="113" t="n"/>
      <c r="J176" s="113" t="n"/>
      <c r="K176" s="113" t="n"/>
      <c r="L176" s="113" t="n"/>
      <c r="M176" s="113" t="n"/>
      <c r="N176" s="112" t="n"/>
    </row>
    <row r="177">
      <c r="A177" s="23" t="n">
        <v>5</v>
      </c>
      <c r="B177" s="112" t="n"/>
      <c r="C177" s="113" t="n"/>
      <c r="D177" s="113" t="n"/>
      <c r="E177" s="113" t="n"/>
      <c r="F177" s="113" t="n"/>
      <c r="G177" s="113" t="n"/>
      <c r="H177" s="113" t="n"/>
      <c r="I177" s="113" t="n"/>
      <c r="J177" s="113" t="n"/>
      <c r="K177" s="113" t="n"/>
      <c r="L177" s="113" t="n"/>
      <c r="M177" s="113" t="n"/>
      <c r="N177" s="112" t="n"/>
    </row>
    <row r="178">
      <c r="A178" s="23" t="n">
        <v>6</v>
      </c>
      <c r="B178" s="112" t="n"/>
      <c r="C178" s="113" t="n"/>
      <c r="D178" s="113" t="n"/>
      <c r="E178" s="113" t="n"/>
      <c r="F178" s="113" t="n"/>
      <c r="G178" s="113" t="n"/>
      <c r="H178" s="113" t="n"/>
      <c r="I178" s="113" t="n"/>
      <c r="J178" s="113" t="n"/>
      <c r="K178" s="113" t="n"/>
      <c r="L178" s="113" t="n"/>
      <c r="M178" s="113" t="n"/>
      <c r="N178" s="112" t="n"/>
    </row>
    <row r="179">
      <c r="A179" s="23" t="n">
        <v>7</v>
      </c>
      <c r="B179" s="112" t="n"/>
      <c r="C179" s="113" t="n"/>
      <c r="D179" s="113" t="n"/>
      <c r="E179" s="113" t="n"/>
      <c r="F179" s="113" t="n"/>
      <c r="G179" s="113" t="n"/>
      <c r="H179" s="113" t="n"/>
      <c r="I179" s="113" t="n"/>
      <c r="J179" s="113" t="n"/>
      <c r="K179" s="113" t="n"/>
      <c r="L179" s="113" t="n"/>
      <c r="M179" s="113" t="n"/>
      <c r="N179" s="112" t="n"/>
    </row>
    <row r="180">
      <c r="A180" s="23" t="n">
        <v>8</v>
      </c>
      <c r="B180" s="112" t="n"/>
      <c r="C180" s="113" t="n"/>
      <c r="D180" s="113" t="n"/>
      <c r="E180" s="113" t="n"/>
      <c r="F180" s="113" t="n"/>
      <c r="G180" s="113" t="n"/>
      <c r="H180" s="113" t="n"/>
      <c r="I180" s="113" t="n"/>
      <c r="J180" s="113" t="n"/>
      <c r="K180" s="113" t="n"/>
      <c r="L180" s="113" t="n"/>
      <c r="M180" s="113" t="n"/>
      <c r="N180" s="112" t="n"/>
    </row>
    <row r="181">
      <c r="A181" s="23" t="n">
        <v>9</v>
      </c>
      <c r="B181" s="112" t="n"/>
      <c r="C181" s="113" t="n"/>
      <c r="D181" s="113" t="n"/>
      <c r="E181" s="113" t="n"/>
      <c r="F181" s="113" t="n"/>
      <c r="G181" s="113" t="n"/>
      <c r="H181" s="113" t="n"/>
      <c r="I181" s="113" t="n"/>
      <c r="J181" s="113" t="n"/>
      <c r="K181" s="113" t="n"/>
      <c r="L181" s="113" t="n"/>
      <c r="M181" s="113" t="n"/>
      <c r="N181" s="112" t="n"/>
    </row>
    <row r="182">
      <c r="A182" s="23" t="n">
        <v>10</v>
      </c>
      <c r="B182" s="112" t="n"/>
      <c r="C182" s="113" t="n"/>
      <c r="D182" s="113" t="n"/>
      <c r="E182" s="113" t="n"/>
      <c r="F182" s="113" t="n"/>
      <c r="G182" s="113" t="n"/>
      <c r="H182" s="113" t="n"/>
      <c r="I182" s="113" t="n"/>
      <c r="J182" s="113" t="n"/>
      <c r="K182" s="113" t="n"/>
      <c r="L182" s="113" t="n"/>
      <c r="M182" s="113" t="n"/>
      <c r="N182" s="112" t="n"/>
    </row>
    <row r="183">
      <c r="A183" s="23" t="n">
        <v>11</v>
      </c>
      <c r="B183" s="112" t="n"/>
      <c r="C183" s="113" t="n"/>
      <c r="D183" s="113" t="n"/>
      <c r="E183" s="113" t="n"/>
      <c r="F183" s="113" t="n"/>
      <c r="G183" s="113" t="n"/>
      <c r="H183" s="113" t="n"/>
      <c r="I183" s="113" t="n"/>
      <c r="J183" s="113" t="n"/>
      <c r="K183" s="113" t="n"/>
      <c r="L183" s="113" t="n"/>
      <c r="M183" s="113" t="n"/>
      <c r="N183" s="112" t="n"/>
    </row>
    <row r="184">
      <c r="A184" s="23" t="n">
        <v>12</v>
      </c>
      <c r="B184" s="112" t="n"/>
      <c r="C184" s="113" t="n"/>
      <c r="D184" s="113" t="n"/>
      <c r="E184" s="113" t="n"/>
      <c r="F184" s="113" t="n"/>
      <c r="G184" s="113" t="n"/>
      <c r="H184" s="113" t="n"/>
      <c r="I184" s="113" t="n"/>
      <c r="J184" s="113" t="n"/>
      <c r="K184" s="113" t="n"/>
      <c r="L184" s="113" t="n"/>
      <c r="M184" s="113" t="n"/>
      <c r="N184" s="112" t="n"/>
    </row>
    <row r="185">
      <c r="A185" s="23" t="n">
        <v>13</v>
      </c>
      <c r="B185" s="112" t="n"/>
      <c r="C185" s="113" t="n"/>
      <c r="D185" s="113" t="n"/>
      <c r="E185" s="113" t="n"/>
      <c r="F185" s="113" t="n"/>
      <c r="G185" s="113" t="n"/>
      <c r="H185" s="113" t="n"/>
      <c r="I185" s="113" t="n"/>
      <c r="J185" s="113" t="n"/>
      <c r="K185" s="113" t="n"/>
      <c r="L185" s="113" t="n"/>
      <c r="M185" s="113" t="n"/>
      <c r="N185" s="112" t="n"/>
    </row>
    <row r="186">
      <c r="A186" s="23" t="n">
        <v>14</v>
      </c>
      <c r="B186" s="112" t="n"/>
      <c r="C186" s="113" t="n"/>
      <c r="D186" s="113" t="n"/>
      <c r="E186" s="113" t="n"/>
      <c r="F186" s="113" t="n"/>
      <c r="G186" s="113" t="n"/>
      <c r="H186" s="113" t="n"/>
      <c r="I186" s="113" t="n"/>
      <c r="J186" s="113" t="n"/>
      <c r="K186" s="113" t="n"/>
      <c r="L186" s="113" t="n"/>
      <c r="M186" s="113" t="n"/>
      <c r="N186" s="112" t="n"/>
    </row>
    <row r="187">
      <c r="A187" s="23" t="n">
        <v>15</v>
      </c>
      <c r="B187" s="112" t="n"/>
      <c r="C187" s="113" t="n"/>
      <c r="D187" s="113" t="n"/>
      <c r="E187" s="113" t="n"/>
      <c r="F187" s="113" t="n"/>
      <c r="G187" s="113" t="n"/>
      <c r="H187" s="113" t="n"/>
      <c r="I187" s="113" t="n"/>
      <c r="J187" s="113" t="n"/>
      <c r="K187" s="113" t="n"/>
      <c r="L187" s="113" t="n"/>
      <c r="M187" s="113" t="n"/>
      <c r="N187" s="112" t="n"/>
    </row>
    <row r="188">
      <c r="A188" s="23" t="n">
        <v>16</v>
      </c>
      <c r="B188" s="112" t="n"/>
      <c r="C188" s="113" t="n"/>
      <c r="D188" s="113" t="n"/>
      <c r="E188" s="113" t="n"/>
      <c r="F188" s="113" t="n"/>
      <c r="G188" s="113" t="n"/>
      <c r="H188" s="113" t="n"/>
      <c r="I188" s="113" t="n"/>
      <c r="J188" s="113" t="n"/>
      <c r="K188" s="113" t="n"/>
      <c r="L188" s="113" t="n"/>
      <c r="M188" s="113" t="n"/>
      <c r="N188" s="112" t="n"/>
    </row>
    <row r="189">
      <c r="A189" s="23" t="n">
        <v>17</v>
      </c>
      <c r="B189" s="112" t="n"/>
      <c r="C189" s="113" t="n"/>
      <c r="D189" s="113" t="n"/>
      <c r="E189" s="113" t="n"/>
      <c r="F189" s="113" t="n"/>
      <c r="G189" s="113" t="n"/>
      <c r="H189" s="113" t="n"/>
      <c r="I189" s="113" t="n"/>
      <c r="J189" s="113" t="n"/>
      <c r="K189" s="113" t="n"/>
      <c r="L189" s="113" t="n"/>
      <c r="M189" s="113" t="n"/>
      <c r="N189" s="112" t="n"/>
    </row>
    <row r="190">
      <c r="A190" s="23" t="n">
        <v>18</v>
      </c>
      <c r="B190" s="112" t="n"/>
      <c r="C190" s="113" t="n"/>
      <c r="D190" s="113" t="n"/>
      <c r="E190" s="113" t="n"/>
      <c r="F190" s="113" t="n"/>
      <c r="G190" s="113" t="n"/>
      <c r="H190" s="113" t="n"/>
      <c r="I190" s="113" t="n"/>
      <c r="J190" s="113" t="n"/>
      <c r="K190" s="113" t="n"/>
      <c r="L190" s="113" t="n"/>
      <c r="M190" s="113" t="n"/>
      <c r="N190" s="112" t="n"/>
    </row>
    <row r="191">
      <c r="A191" s="23" t="n">
        <v>19</v>
      </c>
      <c r="B191" s="112" t="n"/>
      <c r="C191" s="113" t="n"/>
      <c r="D191" s="113" t="n"/>
      <c r="E191" s="113" t="n"/>
      <c r="F191" s="113" t="n"/>
      <c r="G191" s="113" t="n"/>
      <c r="H191" s="113" t="n"/>
      <c r="I191" s="113" t="n"/>
      <c r="J191" s="113" t="n"/>
      <c r="K191" s="113" t="n"/>
      <c r="L191" s="113" t="n"/>
      <c r="M191" s="113" t="n"/>
      <c r="N191" s="112" t="n"/>
    </row>
    <row r="192">
      <c r="A192" s="23" t="n">
        <v>20</v>
      </c>
      <c r="B192" s="112" t="n"/>
      <c r="C192" s="113" t="n"/>
      <c r="D192" s="113" t="n"/>
      <c r="E192" s="113" t="n"/>
      <c r="F192" s="113" t="n"/>
      <c r="G192" s="113" t="n"/>
      <c r="H192" s="113" t="n"/>
      <c r="I192" s="113" t="n"/>
      <c r="J192" s="113" t="n"/>
      <c r="K192" s="113" t="n"/>
      <c r="L192" s="113" t="n"/>
      <c r="M192" s="113" t="n"/>
      <c r="N192" s="112" t="n"/>
    </row>
    <row r="193">
      <c r="A193" s="23" t="n">
        <v>21</v>
      </c>
      <c r="B193" s="112" t="n"/>
      <c r="C193" s="113" t="n"/>
      <c r="D193" s="113" t="n"/>
      <c r="E193" s="113" t="n"/>
      <c r="F193" s="113" t="n"/>
      <c r="G193" s="113" t="n"/>
      <c r="H193" s="113" t="n"/>
      <c r="I193" s="113" t="n"/>
      <c r="J193" s="113" t="n"/>
      <c r="K193" s="113" t="n"/>
      <c r="L193" s="113" t="n"/>
      <c r="M193" s="113" t="n"/>
      <c r="N193" s="112" t="n"/>
    </row>
    <row r="194">
      <c r="A194" s="23" t="n">
        <v>22</v>
      </c>
      <c r="B194" s="112" t="n"/>
      <c r="C194" s="113" t="n"/>
      <c r="D194" s="113" t="n"/>
      <c r="E194" s="113" t="n"/>
      <c r="F194" s="113" t="n"/>
      <c r="G194" s="113" t="n"/>
      <c r="H194" s="113" t="n"/>
      <c r="I194" s="113" t="n"/>
      <c r="J194" s="113" t="n"/>
      <c r="K194" s="113" t="n"/>
      <c r="L194" s="113" t="n"/>
      <c r="M194" s="113" t="n"/>
      <c r="N194" s="112" t="n"/>
    </row>
    <row r="195">
      <c r="A195" s="23" t="n">
        <v>23</v>
      </c>
      <c r="B195" s="112" t="n"/>
      <c r="C195" s="113" t="n"/>
      <c r="D195" s="113" t="n"/>
      <c r="E195" s="113" t="n"/>
      <c r="F195" s="113" t="n"/>
      <c r="G195" s="113" t="n"/>
      <c r="H195" s="113" t="n"/>
      <c r="I195" s="113" t="n"/>
      <c r="J195" s="113" t="n"/>
      <c r="K195" s="113" t="n"/>
      <c r="L195" s="113" t="n"/>
      <c r="M195" s="113" t="n"/>
      <c r="N195" s="112" t="n"/>
    </row>
    <row r="196">
      <c r="A196" s="23" t="n">
        <v>24</v>
      </c>
      <c r="B196" s="112" t="n"/>
      <c r="C196" s="113" t="n"/>
      <c r="D196" s="113" t="n"/>
      <c r="E196" s="113" t="n"/>
      <c r="F196" s="113" t="n"/>
      <c r="G196" s="113" t="n"/>
      <c r="H196" s="113" t="n"/>
      <c r="I196" s="113" t="n"/>
      <c r="J196" s="113" t="n"/>
      <c r="K196" s="113" t="n"/>
      <c r="L196" s="113" t="n"/>
      <c r="M196" s="113" t="n"/>
      <c r="N196" s="112" t="n"/>
    </row>
    <row r="197">
      <c r="A197" s="23" t="n">
        <v>25</v>
      </c>
      <c r="B197" s="112" t="n"/>
      <c r="C197" s="113" t="n"/>
      <c r="D197" s="113" t="n"/>
      <c r="E197" s="113" t="n"/>
      <c r="F197" s="113" t="n"/>
      <c r="G197" s="113" t="n"/>
      <c r="H197" s="113" t="n"/>
      <c r="I197" s="113" t="n"/>
      <c r="J197" s="113" t="n"/>
      <c r="K197" s="113" t="n"/>
      <c r="L197" s="113" t="n"/>
      <c r="M197" s="113" t="n"/>
      <c r="N197" s="112" t="n"/>
    </row>
    <row r="198">
      <c r="A198" s="23" t="n">
        <v>26</v>
      </c>
      <c r="B198" s="112" t="n"/>
      <c r="C198" s="113" t="n"/>
      <c r="D198" s="113" t="n"/>
      <c r="E198" s="113" t="n"/>
      <c r="F198" s="113" t="n"/>
      <c r="G198" s="113" t="n"/>
      <c r="H198" s="113" t="n"/>
      <c r="I198" s="113" t="n"/>
      <c r="J198" s="113" t="n"/>
      <c r="K198" s="113" t="n"/>
      <c r="L198" s="113" t="n"/>
      <c r="M198" s="113" t="n"/>
      <c r="N198" s="112" t="n"/>
    </row>
    <row r="199">
      <c r="A199" s="23" t="n">
        <v>27</v>
      </c>
      <c r="B199" s="112" t="n"/>
      <c r="C199" s="113" t="n"/>
      <c r="D199" s="113" t="n"/>
      <c r="E199" s="113" t="n"/>
      <c r="F199" s="113" t="n"/>
      <c r="G199" s="113" t="n"/>
      <c r="H199" s="113" t="n"/>
      <c r="I199" s="113" t="n"/>
      <c r="J199" s="113" t="n"/>
      <c r="K199" s="113" t="n"/>
      <c r="L199" s="113" t="n"/>
      <c r="M199" s="113" t="n"/>
      <c r="N199" s="112" t="n"/>
    </row>
    <row r="200">
      <c r="A200" s="23" t="n">
        <v>28</v>
      </c>
      <c r="B200" s="112" t="n"/>
      <c r="C200" s="113" t="n"/>
      <c r="D200" s="113" t="n"/>
      <c r="E200" s="113" t="n"/>
      <c r="F200" s="113" t="n"/>
      <c r="G200" s="113" t="n"/>
      <c r="H200" s="113" t="n"/>
      <c r="I200" s="113" t="n"/>
      <c r="J200" s="113" t="n"/>
      <c r="K200" s="113" t="n"/>
      <c r="L200" s="113" t="n"/>
      <c r="M200" s="113" t="n"/>
      <c r="N200" s="112" t="n"/>
    </row>
    <row r="201">
      <c r="A201" s="23" t="n">
        <v>29</v>
      </c>
      <c r="B201" s="112" t="n"/>
      <c r="C201" s="113" t="n"/>
      <c r="D201" s="113" t="n"/>
      <c r="E201" s="113" t="n"/>
      <c r="F201" s="113" t="n"/>
      <c r="G201" s="113" t="n"/>
      <c r="H201" s="113" t="n"/>
      <c r="I201" s="113" t="n"/>
      <c r="J201" s="113" t="n"/>
      <c r="K201" s="113" t="n"/>
      <c r="L201" s="113" t="n"/>
      <c r="M201" s="113" t="n"/>
      <c r="N201" s="112" t="n"/>
    </row>
    <row r="202">
      <c r="A202" s="23" t="n">
        <v>30</v>
      </c>
      <c r="B202" s="112" t="n"/>
      <c r="C202" s="113" t="n"/>
      <c r="D202" s="113" t="n"/>
      <c r="E202" s="113" t="n"/>
      <c r="F202" s="113" t="n"/>
      <c r="G202" s="113" t="n"/>
      <c r="H202" s="113" t="n"/>
      <c r="I202" s="113" t="n"/>
      <c r="J202" s="113" t="n"/>
      <c r="K202" s="113" t="n"/>
      <c r="L202" s="113" t="n"/>
      <c r="M202" s="113" t="n"/>
      <c r="N202" s="112" t="n"/>
    </row>
    <row r="203">
      <c r="A203" s="23" t="n">
        <v>31</v>
      </c>
      <c r="B203" s="112" t="n"/>
      <c r="C203" s="113" t="n"/>
      <c r="D203" s="113" t="n"/>
      <c r="E203" s="113" t="n"/>
      <c r="F203" s="113" t="n"/>
      <c r="G203" s="113" t="n"/>
      <c r="H203" s="113" t="n"/>
      <c r="I203" s="113" t="n"/>
      <c r="J203" s="113" t="n"/>
      <c r="K203" s="113" t="n"/>
      <c r="L203" s="113" t="n"/>
      <c r="M203" s="113" t="n"/>
      <c r="N203" s="112" t="n"/>
    </row>
    <row r="204">
      <c r="A204" s="23" t="n">
        <v>32</v>
      </c>
      <c r="B204" s="112" t="n"/>
      <c r="C204" s="113" t="n"/>
      <c r="D204" s="113" t="n"/>
      <c r="E204" s="113" t="n"/>
      <c r="F204" s="113" t="n"/>
      <c r="G204" s="113" t="n"/>
      <c r="H204" s="113" t="n"/>
      <c r="I204" s="113" t="n"/>
      <c r="J204" s="113" t="n"/>
      <c r="K204" s="113" t="n"/>
      <c r="L204" s="113" t="n"/>
      <c r="M204" s="113" t="n"/>
      <c r="N204" s="112" t="n"/>
    </row>
    <row r="205">
      <c r="A205" s="23" t="n">
        <v>33</v>
      </c>
      <c r="B205" s="112" t="n"/>
      <c r="C205" s="113" t="n"/>
      <c r="D205" s="113" t="n"/>
      <c r="E205" s="113" t="n"/>
      <c r="F205" s="113" t="n"/>
      <c r="G205" s="113" t="n"/>
      <c r="H205" s="113" t="n"/>
      <c r="I205" s="113" t="n"/>
      <c r="J205" s="113" t="n"/>
      <c r="K205" s="113" t="n"/>
      <c r="L205" s="113" t="n"/>
      <c r="M205" s="113" t="n"/>
      <c r="N205" s="112" t="n"/>
    </row>
    <row r="206">
      <c r="A206" s="23" t="n">
        <v>34</v>
      </c>
      <c r="B206" s="112" t="n"/>
      <c r="C206" s="113" t="n"/>
      <c r="D206" s="113" t="n"/>
      <c r="E206" s="113" t="n"/>
      <c r="F206" s="113" t="n"/>
      <c r="G206" s="113" t="n"/>
      <c r="H206" s="113" t="n"/>
      <c r="I206" s="113" t="n"/>
      <c r="J206" s="113" t="n"/>
      <c r="K206" s="113" t="n"/>
      <c r="L206" s="113" t="n"/>
      <c r="M206" s="113" t="n"/>
      <c r="N206" s="112" t="n"/>
    </row>
    <row r="207">
      <c r="A207" s="23" t="n">
        <v>35</v>
      </c>
      <c r="B207" s="112" t="n"/>
      <c r="C207" s="113" t="n"/>
      <c r="D207" s="113" t="n"/>
      <c r="E207" s="113" t="n"/>
      <c r="F207" s="113" t="n"/>
      <c r="G207" s="113" t="n"/>
      <c r="H207" s="113" t="n"/>
      <c r="I207" s="113" t="n"/>
      <c r="J207" s="113" t="n"/>
      <c r="K207" s="113" t="n"/>
      <c r="L207" s="113" t="n"/>
      <c r="M207" s="113" t="n"/>
      <c r="N207" s="112" t="n"/>
    </row>
    <row r="208">
      <c r="A208" s="23" t="n">
        <v>36</v>
      </c>
      <c r="B208" s="112" t="n"/>
      <c r="C208" s="113" t="n"/>
      <c r="D208" s="113" t="n"/>
      <c r="E208" s="113" t="n"/>
      <c r="F208" s="113" t="n"/>
      <c r="G208" s="113" t="n"/>
      <c r="H208" s="113" t="n"/>
      <c r="I208" s="113" t="n"/>
      <c r="J208" s="113" t="n"/>
      <c r="K208" s="113" t="n"/>
      <c r="L208" s="113" t="n"/>
      <c r="M208" s="113" t="n"/>
      <c r="N208" s="112" t="n"/>
    </row>
    <row r="209">
      <c r="A209" s="23" t="n">
        <v>37</v>
      </c>
      <c r="B209" s="112" t="n"/>
      <c r="C209" s="113" t="n"/>
      <c r="D209" s="113" t="n"/>
      <c r="E209" s="113" t="n"/>
      <c r="F209" s="113" t="n"/>
      <c r="G209" s="113" t="n"/>
      <c r="H209" s="113" t="n"/>
      <c r="I209" s="113" t="n"/>
      <c r="J209" s="113" t="n"/>
      <c r="K209" s="113" t="n"/>
      <c r="L209" s="113" t="n"/>
      <c r="M209" s="113" t="n"/>
      <c r="N209" s="112" t="n"/>
    </row>
    <row r="210">
      <c r="A210" s="23" t="n">
        <v>38</v>
      </c>
      <c r="B210" s="112" t="n"/>
      <c r="C210" s="113" t="n"/>
      <c r="D210" s="113" t="n"/>
      <c r="E210" s="113" t="n"/>
      <c r="F210" s="113" t="n"/>
      <c r="G210" s="113" t="n"/>
      <c r="H210" s="113" t="n"/>
      <c r="I210" s="113" t="n"/>
      <c r="J210" s="113" t="n"/>
      <c r="K210" s="113" t="n"/>
      <c r="L210" s="113" t="n"/>
      <c r="M210" s="113" t="n"/>
      <c r="N210" s="112" t="n"/>
    </row>
    <row r="211">
      <c r="A211" s="23" t="n">
        <v>39</v>
      </c>
      <c r="B211" s="112" t="n"/>
      <c r="C211" s="113" t="n"/>
      <c r="D211" s="113" t="n"/>
      <c r="E211" s="113" t="n"/>
      <c r="F211" s="113" t="n"/>
      <c r="G211" s="113" t="n"/>
      <c r="H211" s="113" t="n"/>
      <c r="I211" s="113" t="n"/>
      <c r="J211" s="113" t="n"/>
      <c r="K211" s="113" t="n"/>
      <c r="L211" s="113" t="n"/>
      <c r="M211" s="113" t="n"/>
      <c r="N211" s="112" t="n"/>
    </row>
    <row r="212">
      <c r="A212" s="23" t="n">
        <v>40</v>
      </c>
      <c r="B212" s="112" t="n"/>
      <c r="C212" s="113" t="n"/>
      <c r="D212" s="113" t="n"/>
      <c r="E212" s="113" t="n"/>
      <c r="F212" s="113" t="n"/>
      <c r="G212" s="113" t="n"/>
      <c r="H212" s="113" t="n"/>
      <c r="I212" s="113" t="n"/>
      <c r="J212" s="113" t="n"/>
      <c r="K212" s="113" t="n"/>
      <c r="L212" s="113" t="n"/>
      <c r="M212" s="113" t="n"/>
      <c r="N212" s="112" t="n"/>
    </row>
    <row r="213">
      <c r="A213" s="23" t="n">
        <v>41</v>
      </c>
      <c r="B213" s="112" t="n"/>
      <c r="C213" s="113" t="n"/>
      <c r="D213" s="113" t="n"/>
      <c r="E213" s="113" t="n"/>
      <c r="F213" s="113" t="n"/>
      <c r="G213" s="113" t="n"/>
      <c r="H213" s="113" t="n"/>
      <c r="I213" s="113" t="n"/>
      <c r="J213" s="113" t="n"/>
      <c r="K213" s="113" t="n"/>
      <c r="L213" s="113" t="n"/>
      <c r="M213" s="113" t="n"/>
      <c r="N213" s="112" t="n"/>
    </row>
    <row r="214">
      <c r="A214" s="23" t="n">
        <v>42</v>
      </c>
      <c r="B214" s="112" t="n"/>
      <c r="C214" s="113" t="n"/>
      <c r="D214" s="113" t="n"/>
      <c r="E214" s="113" t="n"/>
      <c r="F214" s="113" t="n"/>
      <c r="G214" s="113" t="n"/>
      <c r="H214" s="113" t="n"/>
      <c r="I214" s="113" t="n"/>
      <c r="J214" s="113" t="n"/>
      <c r="K214" s="113" t="n"/>
      <c r="L214" s="113" t="n"/>
      <c r="M214" s="113" t="n"/>
      <c r="N214" s="112" t="n"/>
    </row>
    <row r="215">
      <c r="A215" s="23" t="n">
        <v>43</v>
      </c>
      <c r="B215" s="112" t="n"/>
      <c r="C215" s="113" t="n"/>
      <c r="D215" s="113" t="n"/>
      <c r="E215" s="113" t="n"/>
      <c r="F215" s="113" t="n"/>
      <c r="G215" s="113" t="n"/>
      <c r="H215" s="113" t="n"/>
      <c r="I215" s="113" t="n"/>
      <c r="J215" s="113" t="n"/>
      <c r="K215" s="113" t="n"/>
      <c r="L215" s="113" t="n"/>
      <c r="M215" s="113" t="n"/>
      <c r="N215" s="112" t="n"/>
    </row>
    <row r="216">
      <c r="A216" s="23" t="n">
        <v>44</v>
      </c>
      <c r="B216" s="112" t="n"/>
      <c r="C216" s="113" t="n"/>
      <c r="D216" s="113" t="n"/>
      <c r="E216" s="113" t="n"/>
      <c r="F216" s="113" t="n"/>
      <c r="G216" s="113" t="n"/>
      <c r="H216" s="113" t="n"/>
      <c r="I216" s="113" t="n"/>
      <c r="J216" s="113" t="n"/>
      <c r="K216" s="113" t="n"/>
      <c r="L216" s="113" t="n"/>
      <c r="M216" s="113" t="n"/>
      <c r="N216" s="112" t="n"/>
    </row>
    <row r="217">
      <c r="A217" s="23" t="n">
        <v>45</v>
      </c>
      <c r="B217" s="112" t="n"/>
      <c r="C217" s="113" t="n"/>
      <c r="D217" s="113" t="n"/>
      <c r="E217" s="113" t="n"/>
      <c r="F217" s="113" t="n"/>
      <c r="G217" s="113" t="n"/>
      <c r="H217" s="113" t="n"/>
      <c r="I217" s="113" t="n"/>
      <c r="J217" s="113" t="n"/>
      <c r="K217" s="113" t="n"/>
      <c r="L217" s="113" t="n"/>
      <c r="M217" s="113" t="n"/>
      <c r="N217" s="112" t="n"/>
    </row>
    <row r="218">
      <c r="A218" s="23" t="n">
        <v>46</v>
      </c>
      <c r="B218" s="112" t="n"/>
      <c r="C218" s="113" t="n"/>
      <c r="D218" s="113" t="n"/>
      <c r="E218" s="113" t="n"/>
      <c r="F218" s="113" t="n"/>
      <c r="G218" s="113" t="n"/>
      <c r="H218" s="113" t="n"/>
      <c r="I218" s="113" t="n"/>
      <c r="J218" s="113" t="n"/>
      <c r="K218" s="113" t="n"/>
      <c r="L218" s="113" t="n"/>
      <c r="M218" s="113" t="n"/>
      <c r="N218" s="112" t="n"/>
    </row>
    <row r="219">
      <c r="A219" s="23" t="n">
        <v>47</v>
      </c>
      <c r="B219" s="112" t="n"/>
      <c r="C219" s="113" t="n"/>
      <c r="D219" s="113" t="n"/>
      <c r="E219" s="113" t="n"/>
      <c r="F219" s="113" t="n"/>
      <c r="G219" s="113" t="n"/>
      <c r="H219" s="113" t="n"/>
      <c r="I219" s="113" t="n"/>
      <c r="J219" s="113" t="n"/>
      <c r="K219" s="113" t="n"/>
      <c r="L219" s="113" t="n"/>
      <c r="M219" s="113" t="n"/>
      <c r="N219" s="112" t="n"/>
    </row>
    <row r="220">
      <c r="A220" s="23" t="n">
        <v>48</v>
      </c>
      <c r="B220" s="112" t="n"/>
      <c r="C220" s="113" t="n"/>
      <c r="D220" s="113" t="n"/>
      <c r="E220" s="113" t="n"/>
      <c r="F220" s="113" t="n"/>
      <c r="G220" s="113" t="n"/>
      <c r="H220" s="113" t="n"/>
      <c r="I220" s="113" t="n"/>
      <c r="J220" s="113" t="n"/>
      <c r="K220" s="113" t="n"/>
      <c r="L220" s="113" t="n"/>
      <c r="M220" s="113" t="n"/>
      <c r="N220" s="112" t="n"/>
    </row>
    <row r="221">
      <c r="A221" s="23" t="n">
        <v>49</v>
      </c>
      <c r="B221" s="112" t="n"/>
      <c r="C221" s="113" t="n"/>
      <c r="D221" s="113" t="n"/>
      <c r="E221" s="113" t="n"/>
      <c r="F221" s="113" t="n"/>
      <c r="G221" s="113" t="n"/>
      <c r="H221" s="113" t="n"/>
      <c r="I221" s="113" t="n"/>
      <c r="J221" s="113" t="n"/>
      <c r="K221" s="113" t="n"/>
      <c r="L221" s="113" t="n"/>
      <c r="M221" s="113" t="n"/>
      <c r="N221" s="112" t="n"/>
    </row>
    <row r="222">
      <c r="A222" s="23" t="n">
        <v>50</v>
      </c>
      <c r="B222" s="112" t="n"/>
      <c r="C222" s="113" t="n"/>
      <c r="D222" s="113" t="n"/>
      <c r="E222" s="113" t="n"/>
      <c r="F222" s="113" t="n"/>
      <c r="G222" s="113" t="n"/>
      <c r="H222" s="113" t="n"/>
      <c r="I222" s="113" t="n"/>
      <c r="J222" s="113" t="n"/>
      <c r="K222" s="113" t="n"/>
      <c r="L222" s="113" t="n"/>
      <c r="M222" s="113" t="n"/>
      <c r="N222" s="112" t="n"/>
    </row>
    <row r="223">
      <c r="A223" s="23" t="n">
        <v>51</v>
      </c>
      <c r="B223" s="112" t="n"/>
      <c r="C223" s="113" t="n"/>
      <c r="D223" s="113" t="n"/>
      <c r="E223" s="113" t="n"/>
      <c r="F223" s="113" t="n"/>
      <c r="G223" s="113" t="n"/>
      <c r="H223" s="113" t="n"/>
      <c r="I223" s="113" t="n"/>
      <c r="J223" s="113" t="n"/>
      <c r="K223" s="113" t="n"/>
      <c r="L223" s="113" t="n"/>
      <c r="M223" s="113" t="n"/>
      <c r="N223" s="112" t="n"/>
    </row>
    <row r="224">
      <c r="A224" s="23" t="n">
        <v>52</v>
      </c>
      <c r="B224" s="112" t="n"/>
      <c r="C224" s="113" t="n"/>
      <c r="D224" s="113" t="n"/>
      <c r="E224" s="113" t="n"/>
      <c r="F224" s="113" t="n"/>
      <c r="G224" s="113" t="n"/>
      <c r="H224" s="113" t="n"/>
      <c r="I224" s="113" t="n"/>
      <c r="J224" s="113" t="n"/>
      <c r="K224" s="113" t="n"/>
      <c r="L224" s="113" t="n"/>
      <c r="M224" s="113" t="n"/>
      <c r="N224" s="112" t="n"/>
    </row>
    <row r="225">
      <c r="A225" s="23" t="n">
        <v>53</v>
      </c>
      <c r="B225" s="112" t="n"/>
      <c r="C225" s="113" t="n"/>
      <c r="D225" s="113" t="n"/>
      <c r="E225" s="113" t="n"/>
      <c r="F225" s="113" t="n"/>
      <c r="G225" s="113" t="n"/>
      <c r="H225" s="113" t="n"/>
      <c r="I225" s="113" t="n"/>
      <c r="J225" s="113" t="n"/>
      <c r="K225" s="113" t="n"/>
      <c r="L225" s="113" t="n"/>
      <c r="M225" s="113" t="n"/>
      <c r="N225" s="112" t="n"/>
    </row>
    <row r="226">
      <c r="A226" s="23" t="n">
        <v>54</v>
      </c>
      <c r="B226" s="112" t="n"/>
      <c r="C226" s="113" t="n"/>
      <c r="D226" s="113" t="n"/>
      <c r="E226" s="113" t="n"/>
      <c r="F226" s="113" t="n"/>
      <c r="G226" s="113" t="n"/>
      <c r="H226" s="113" t="n"/>
      <c r="I226" s="113" t="n"/>
      <c r="J226" s="113" t="n"/>
      <c r="K226" s="113" t="n"/>
      <c r="L226" s="113" t="n"/>
      <c r="M226" s="113" t="n"/>
      <c r="N226" s="112" t="n"/>
    </row>
    <row r="227">
      <c r="A227" s="23" t="n">
        <v>55</v>
      </c>
      <c r="B227" s="112" t="n"/>
      <c r="C227" s="113" t="n"/>
      <c r="D227" s="113" t="n"/>
      <c r="E227" s="113" t="n"/>
      <c r="F227" s="113" t="n"/>
      <c r="G227" s="113" t="n"/>
      <c r="H227" s="113" t="n"/>
      <c r="I227" s="113" t="n"/>
      <c r="J227" s="113" t="n"/>
      <c r="K227" s="113" t="n"/>
      <c r="L227" s="113" t="n"/>
      <c r="M227" s="113" t="n"/>
      <c r="N227" s="112" t="n"/>
    </row>
    <row r="228">
      <c r="A228" s="23" t="n">
        <v>56</v>
      </c>
      <c r="B228" s="112" t="n"/>
      <c r="C228" s="113" t="n"/>
      <c r="D228" s="113" t="n"/>
      <c r="E228" s="113" t="n"/>
      <c r="F228" s="113" t="n"/>
      <c r="G228" s="113" t="n"/>
      <c r="H228" s="113" t="n"/>
      <c r="I228" s="113" t="n"/>
      <c r="J228" s="113" t="n"/>
      <c r="K228" s="113" t="n"/>
      <c r="L228" s="113" t="n"/>
      <c r="M228" s="113" t="n"/>
      <c r="N228" s="112" t="n"/>
    </row>
    <row r="229">
      <c r="A229" s="23" t="n">
        <v>57</v>
      </c>
      <c r="B229" s="112" t="n"/>
      <c r="C229" s="113" t="n"/>
      <c r="D229" s="113" t="n"/>
      <c r="E229" s="113" t="n"/>
      <c r="F229" s="113" t="n"/>
      <c r="G229" s="113" t="n"/>
      <c r="H229" s="113" t="n"/>
      <c r="I229" s="113" t="n"/>
      <c r="J229" s="113" t="n"/>
      <c r="K229" s="113" t="n"/>
      <c r="L229" s="113" t="n"/>
      <c r="M229" s="113" t="n"/>
      <c r="N229" s="112" t="n"/>
    </row>
    <row r="230">
      <c r="A230" s="23" t="n">
        <v>58</v>
      </c>
      <c r="B230" s="112" t="n"/>
      <c r="C230" s="113" t="n"/>
      <c r="D230" s="113" t="n"/>
      <c r="E230" s="113" t="n"/>
      <c r="F230" s="113" t="n"/>
      <c r="G230" s="113" t="n"/>
      <c r="H230" s="113" t="n"/>
      <c r="I230" s="113" t="n"/>
      <c r="J230" s="113" t="n"/>
      <c r="K230" s="113" t="n"/>
      <c r="L230" s="113" t="n"/>
      <c r="M230" s="113" t="n"/>
      <c r="N230" s="112" t="n"/>
    </row>
    <row r="231">
      <c r="A231" s="23" t="n">
        <v>59</v>
      </c>
      <c r="B231" s="112" t="n"/>
      <c r="C231" s="113" t="n"/>
      <c r="D231" s="113" t="n"/>
      <c r="E231" s="113" t="n"/>
      <c r="F231" s="113" t="n"/>
      <c r="G231" s="113" t="n"/>
      <c r="H231" s="113" t="n"/>
      <c r="I231" s="113" t="n"/>
      <c r="J231" s="113" t="n"/>
      <c r="K231" s="113" t="n"/>
      <c r="L231" s="113" t="n"/>
      <c r="M231" s="113" t="n"/>
      <c r="N231" s="112" t="n"/>
    </row>
    <row r="232">
      <c r="A232" s="23" t="n">
        <v>60</v>
      </c>
      <c r="B232" s="112" t="n"/>
      <c r="C232" s="113" t="n"/>
      <c r="D232" s="113" t="n"/>
      <c r="E232" s="113" t="n"/>
      <c r="F232" s="113" t="n"/>
      <c r="G232" s="113" t="n"/>
      <c r="H232" s="113" t="n"/>
      <c r="I232" s="113" t="n"/>
      <c r="J232" s="113" t="n"/>
      <c r="K232" s="113" t="n"/>
      <c r="L232" s="113" t="n"/>
      <c r="M232" s="113" t="n"/>
      <c r="N232" s="112" t="n"/>
    </row>
    <row r="233"/>
    <row r="234"/>
    <row r="235"/>
    <row r="236">
      <c r="A236" s="111" t="inlineStr">
        <is>
          <t>Tier 4: Solar inverter + lithium (~1.2 kWp / 5 kWh)</t>
        </is>
      </c>
    </row>
    <row r="237" ht="54" customHeight="1">
      <c r="A237" s="40" t="inlineStr">
        <is>
          <t>Cohort #</t>
        </is>
      </c>
      <c r="B237" s="40" t="inlineStr">
        <is>
          <t>Origination month</t>
        </is>
      </c>
      <c r="C237" s="40" t="inlineStr">
        <is>
          <t>Contracts</t>
        </is>
      </c>
      <c r="D237" s="40" t="inlineStr">
        <is>
          <t>RR PvP: payments applied to due instalments</t>
        </is>
      </c>
      <c r="E237" s="40" t="inlineStr">
        <is>
          <t>RR PvP: instalments due to date</t>
        </is>
      </c>
      <c r="F237" s="40" t="inlineStr">
        <is>
          <t>RR PvFin: payments applied to due instalments</t>
        </is>
      </c>
      <c r="G237" s="40" t="inlineStr">
        <is>
          <t>RR PvFin: total amount financed</t>
        </is>
      </c>
      <c r="H237" s="40" t="inlineStr">
        <is>
          <t>RR @90 days: payments applied</t>
        </is>
      </c>
      <c r="I237" s="40" t="inlineStr">
        <is>
          <t>RR @90 days: instalments due by day 90</t>
        </is>
      </c>
      <c r="J237" s="40" t="inlineStr">
        <is>
          <t>RR @2x: payments applied by 2x term</t>
        </is>
      </c>
      <c r="K237" s="40" t="inlineStr">
        <is>
          <t>RR @2x: instalments due over 1x term</t>
        </is>
      </c>
      <c r="L237" s="40" t="inlineStr">
        <is>
          <t>OR @2x: contracts fully paid by 2x</t>
        </is>
      </c>
      <c r="M237" s="40" t="inlineStr">
        <is>
          <t>OR @2x: contracts that reached 2x</t>
        </is>
      </c>
      <c r="N237" s="40" t="inlineStr">
        <is>
          <t>Data as of</t>
        </is>
      </c>
      <c r="O237" s="40" t="inlineStr">
        <is>
          <t>Notes</t>
        </is>
      </c>
    </row>
    <row r="238">
      <c r="A238" s="23" t="n">
        <v>1</v>
      </c>
      <c r="B238" s="112" t="n"/>
      <c r="C238" s="113" t="n"/>
      <c r="D238" s="113" t="n"/>
      <c r="E238" s="113" t="n"/>
      <c r="F238" s="113" t="n"/>
      <c r="G238" s="113" t="n"/>
      <c r="H238" s="113" t="n"/>
      <c r="I238" s="113" t="n"/>
      <c r="J238" s="113" t="n"/>
      <c r="K238" s="113" t="n"/>
      <c r="L238" s="113" t="n"/>
      <c r="M238" s="113" t="n"/>
      <c r="N238" s="112" t="n"/>
    </row>
    <row r="239">
      <c r="A239" s="23" t="n">
        <v>2</v>
      </c>
      <c r="B239" s="112" t="n"/>
      <c r="C239" s="113" t="n"/>
      <c r="D239" s="113" t="n"/>
      <c r="E239" s="113" t="n"/>
      <c r="F239" s="113" t="n"/>
      <c r="G239" s="113" t="n"/>
      <c r="H239" s="113" t="n"/>
      <c r="I239" s="113" t="n"/>
      <c r="J239" s="113" t="n"/>
      <c r="K239" s="113" t="n"/>
      <c r="L239" s="113" t="n"/>
      <c r="M239" s="113" t="n"/>
      <c r="N239" s="112" t="n"/>
    </row>
    <row r="240">
      <c r="A240" s="23" t="n">
        <v>3</v>
      </c>
      <c r="B240" s="112" t="n"/>
      <c r="C240" s="113" t="n"/>
      <c r="D240" s="113" t="n"/>
      <c r="E240" s="113" t="n"/>
      <c r="F240" s="113" t="n"/>
      <c r="G240" s="113" t="n"/>
      <c r="H240" s="113" t="n"/>
      <c r="I240" s="113" t="n"/>
      <c r="J240" s="113" t="n"/>
      <c r="K240" s="113" t="n"/>
      <c r="L240" s="113" t="n"/>
      <c r="M240" s="113" t="n"/>
      <c r="N240" s="112" t="n"/>
    </row>
    <row r="241">
      <c r="A241" s="23" t="n">
        <v>4</v>
      </c>
      <c r="B241" s="112" t="n"/>
      <c r="C241" s="113" t="n"/>
      <c r="D241" s="113" t="n"/>
      <c r="E241" s="113" t="n"/>
      <c r="F241" s="113" t="n"/>
      <c r="G241" s="113" t="n"/>
      <c r="H241" s="113" t="n"/>
      <c r="I241" s="113" t="n"/>
      <c r="J241" s="113" t="n"/>
      <c r="K241" s="113" t="n"/>
      <c r="L241" s="113" t="n"/>
      <c r="M241" s="113" t="n"/>
      <c r="N241" s="112" t="n"/>
    </row>
    <row r="242">
      <c r="A242" s="23" t="n">
        <v>5</v>
      </c>
      <c r="B242" s="112" t="n"/>
      <c r="C242" s="113" t="n"/>
      <c r="D242" s="113" t="n"/>
      <c r="E242" s="113" t="n"/>
      <c r="F242" s="113" t="n"/>
      <c r="G242" s="113" t="n"/>
      <c r="H242" s="113" t="n"/>
      <c r="I242" s="113" t="n"/>
      <c r="J242" s="113" t="n"/>
      <c r="K242" s="113" t="n"/>
      <c r="L242" s="113" t="n"/>
      <c r="M242" s="113" t="n"/>
      <c r="N242" s="112" t="n"/>
    </row>
    <row r="243">
      <c r="A243" s="23" t="n">
        <v>6</v>
      </c>
      <c r="B243" s="112" t="n"/>
      <c r="C243" s="113" t="n"/>
      <c r="D243" s="113" t="n"/>
      <c r="E243" s="113" t="n"/>
      <c r="F243" s="113" t="n"/>
      <c r="G243" s="113" t="n"/>
      <c r="H243" s="113" t="n"/>
      <c r="I243" s="113" t="n"/>
      <c r="J243" s="113" t="n"/>
      <c r="K243" s="113" t="n"/>
      <c r="L243" s="113" t="n"/>
      <c r="M243" s="113" t="n"/>
      <c r="N243" s="112" t="n"/>
    </row>
    <row r="244">
      <c r="A244" s="23" t="n">
        <v>7</v>
      </c>
      <c r="B244" s="112" t="n"/>
      <c r="C244" s="113" t="n"/>
      <c r="D244" s="113" t="n"/>
      <c r="E244" s="113" t="n"/>
      <c r="F244" s="113" t="n"/>
      <c r="G244" s="113" t="n"/>
      <c r="H244" s="113" t="n"/>
      <c r="I244" s="113" t="n"/>
      <c r="J244" s="113" t="n"/>
      <c r="K244" s="113" t="n"/>
      <c r="L244" s="113" t="n"/>
      <c r="M244" s="113" t="n"/>
      <c r="N244" s="112" t="n"/>
    </row>
    <row r="245">
      <c r="A245" s="23" t="n">
        <v>8</v>
      </c>
      <c r="B245" s="112" t="n"/>
      <c r="C245" s="113" t="n"/>
      <c r="D245" s="113" t="n"/>
      <c r="E245" s="113" t="n"/>
      <c r="F245" s="113" t="n"/>
      <c r="G245" s="113" t="n"/>
      <c r="H245" s="113" t="n"/>
      <c r="I245" s="113" t="n"/>
      <c r="J245" s="113" t="n"/>
      <c r="K245" s="113" t="n"/>
      <c r="L245" s="113" t="n"/>
      <c r="M245" s="113" t="n"/>
      <c r="N245" s="112" t="n"/>
    </row>
    <row r="246">
      <c r="A246" s="23" t="n">
        <v>9</v>
      </c>
      <c r="B246" s="112" t="n"/>
      <c r="C246" s="113" t="n"/>
      <c r="D246" s="113" t="n"/>
      <c r="E246" s="113" t="n"/>
      <c r="F246" s="113" t="n"/>
      <c r="G246" s="113" t="n"/>
      <c r="H246" s="113" t="n"/>
      <c r="I246" s="113" t="n"/>
      <c r="J246" s="113" t="n"/>
      <c r="K246" s="113" t="n"/>
      <c r="L246" s="113" t="n"/>
      <c r="M246" s="113" t="n"/>
      <c r="N246" s="112" t="n"/>
    </row>
    <row r="247">
      <c r="A247" s="23" t="n">
        <v>10</v>
      </c>
      <c r="B247" s="112" t="n"/>
      <c r="C247" s="113" t="n"/>
      <c r="D247" s="113" t="n"/>
      <c r="E247" s="113" t="n"/>
      <c r="F247" s="113" t="n"/>
      <c r="G247" s="113" t="n"/>
      <c r="H247" s="113" t="n"/>
      <c r="I247" s="113" t="n"/>
      <c r="J247" s="113" t="n"/>
      <c r="K247" s="113" t="n"/>
      <c r="L247" s="113" t="n"/>
      <c r="M247" s="113" t="n"/>
      <c r="N247" s="112" t="n"/>
    </row>
    <row r="248">
      <c r="A248" s="23" t="n">
        <v>11</v>
      </c>
      <c r="B248" s="112" t="n"/>
      <c r="C248" s="113" t="n"/>
      <c r="D248" s="113" t="n"/>
      <c r="E248" s="113" t="n"/>
      <c r="F248" s="113" t="n"/>
      <c r="G248" s="113" t="n"/>
      <c r="H248" s="113" t="n"/>
      <c r="I248" s="113" t="n"/>
      <c r="J248" s="113" t="n"/>
      <c r="K248" s="113" t="n"/>
      <c r="L248" s="113" t="n"/>
      <c r="M248" s="113" t="n"/>
      <c r="N248" s="112" t="n"/>
    </row>
    <row r="249">
      <c r="A249" s="23" t="n">
        <v>12</v>
      </c>
      <c r="B249" s="112" t="n"/>
      <c r="C249" s="113" t="n"/>
      <c r="D249" s="113" t="n"/>
      <c r="E249" s="113" t="n"/>
      <c r="F249" s="113" t="n"/>
      <c r="G249" s="113" t="n"/>
      <c r="H249" s="113" t="n"/>
      <c r="I249" s="113" t="n"/>
      <c r="J249" s="113" t="n"/>
      <c r="K249" s="113" t="n"/>
      <c r="L249" s="113" t="n"/>
      <c r="M249" s="113" t="n"/>
      <c r="N249" s="112" t="n"/>
    </row>
    <row r="250">
      <c r="A250" s="23" t="n">
        <v>13</v>
      </c>
      <c r="B250" s="112" t="n"/>
      <c r="C250" s="113" t="n"/>
      <c r="D250" s="113" t="n"/>
      <c r="E250" s="113" t="n"/>
      <c r="F250" s="113" t="n"/>
      <c r="G250" s="113" t="n"/>
      <c r="H250" s="113" t="n"/>
      <c r="I250" s="113" t="n"/>
      <c r="J250" s="113" t="n"/>
      <c r="K250" s="113" t="n"/>
      <c r="L250" s="113" t="n"/>
      <c r="M250" s="113" t="n"/>
      <c r="N250" s="112" t="n"/>
    </row>
    <row r="251">
      <c r="A251" s="23" t="n">
        <v>14</v>
      </c>
      <c r="B251" s="112" t="n"/>
      <c r="C251" s="113" t="n"/>
      <c r="D251" s="113" t="n"/>
      <c r="E251" s="113" t="n"/>
      <c r="F251" s="113" t="n"/>
      <c r="G251" s="113" t="n"/>
      <c r="H251" s="113" t="n"/>
      <c r="I251" s="113" t="n"/>
      <c r="J251" s="113" t="n"/>
      <c r="K251" s="113" t="n"/>
      <c r="L251" s="113" t="n"/>
      <c r="M251" s="113" t="n"/>
      <c r="N251" s="112" t="n"/>
    </row>
    <row r="252">
      <c r="A252" s="23" t="n">
        <v>15</v>
      </c>
      <c r="B252" s="112" t="n"/>
      <c r="C252" s="113" t="n"/>
      <c r="D252" s="113" t="n"/>
      <c r="E252" s="113" t="n"/>
      <c r="F252" s="113" t="n"/>
      <c r="G252" s="113" t="n"/>
      <c r="H252" s="113" t="n"/>
      <c r="I252" s="113" t="n"/>
      <c r="J252" s="113" t="n"/>
      <c r="K252" s="113" t="n"/>
      <c r="L252" s="113" t="n"/>
      <c r="M252" s="113" t="n"/>
      <c r="N252" s="112" t="n"/>
    </row>
    <row r="253">
      <c r="A253" s="23" t="n">
        <v>16</v>
      </c>
      <c r="B253" s="112" t="n"/>
      <c r="C253" s="113" t="n"/>
      <c r="D253" s="113" t="n"/>
      <c r="E253" s="113" t="n"/>
      <c r="F253" s="113" t="n"/>
      <c r="G253" s="113" t="n"/>
      <c r="H253" s="113" t="n"/>
      <c r="I253" s="113" t="n"/>
      <c r="J253" s="113" t="n"/>
      <c r="K253" s="113" t="n"/>
      <c r="L253" s="113" t="n"/>
      <c r="M253" s="113" t="n"/>
      <c r="N253" s="112" t="n"/>
    </row>
    <row r="254">
      <c r="A254" s="23" t="n">
        <v>17</v>
      </c>
      <c r="B254" s="112" t="n"/>
      <c r="C254" s="113" t="n"/>
      <c r="D254" s="113" t="n"/>
      <c r="E254" s="113" t="n"/>
      <c r="F254" s="113" t="n"/>
      <c r="G254" s="113" t="n"/>
      <c r="H254" s="113" t="n"/>
      <c r="I254" s="113" t="n"/>
      <c r="J254" s="113" t="n"/>
      <c r="K254" s="113" t="n"/>
      <c r="L254" s="113" t="n"/>
      <c r="M254" s="113" t="n"/>
      <c r="N254" s="112" t="n"/>
    </row>
    <row r="255">
      <c r="A255" s="23" t="n">
        <v>18</v>
      </c>
      <c r="B255" s="112" t="n"/>
      <c r="C255" s="113" t="n"/>
      <c r="D255" s="113" t="n"/>
      <c r="E255" s="113" t="n"/>
      <c r="F255" s="113" t="n"/>
      <c r="G255" s="113" t="n"/>
      <c r="H255" s="113" t="n"/>
      <c r="I255" s="113" t="n"/>
      <c r="J255" s="113" t="n"/>
      <c r="K255" s="113" t="n"/>
      <c r="L255" s="113" t="n"/>
      <c r="M255" s="113" t="n"/>
      <c r="N255" s="112" t="n"/>
    </row>
    <row r="256">
      <c r="A256" s="23" t="n">
        <v>19</v>
      </c>
      <c r="B256" s="112" t="n"/>
      <c r="C256" s="113" t="n"/>
      <c r="D256" s="113" t="n"/>
      <c r="E256" s="113" t="n"/>
      <c r="F256" s="113" t="n"/>
      <c r="G256" s="113" t="n"/>
      <c r="H256" s="113" t="n"/>
      <c r="I256" s="113" t="n"/>
      <c r="J256" s="113" t="n"/>
      <c r="K256" s="113" t="n"/>
      <c r="L256" s="113" t="n"/>
      <c r="M256" s="113" t="n"/>
      <c r="N256" s="112" t="n"/>
    </row>
    <row r="257">
      <c r="A257" s="23" t="n">
        <v>20</v>
      </c>
      <c r="B257" s="112" t="n"/>
      <c r="C257" s="113" t="n"/>
      <c r="D257" s="113" t="n"/>
      <c r="E257" s="113" t="n"/>
      <c r="F257" s="113" t="n"/>
      <c r="G257" s="113" t="n"/>
      <c r="H257" s="113" t="n"/>
      <c r="I257" s="113" t="n"/>
      <c r="J257" s="113" t="n"/>
      <c r="K257" s="113" t="n"/>
      <c r="L257" s="113" t="n"/>
      <c r="M257" s="113" t="n"/>
      <c r="N257" s="112" t="n"/>
    </row>
    <row r="258">
      <c r="A258" s="23" t="n">
        <v>21</v>
      </c>
      <c r="B258" s="112" t="n"/>
      <c r="C258" s="113" t="n"/>
      <c r="D258" s="113" t="n"/>
      <c r="E258" s="113" t="n"/>
      <c r="F258" s="113" t="n"/>
      <c r="G258" s="113" t="n"/>
      <c r="H258" s="113" t="n"/>
      <c r="I258" s="113" t="n"/>
      <c r="J258" s="113" t="n"/>
      <c r="K258" s="113" t="n"/>
      <c r="L258" s="113" t="n"/>
      <c r="M258" s="113" t="n"/>
      <c r="N258" s="112" t="n"/>
    </row>
    <row r="259">
      <c r="A259" s="23" t="n">
        <v>22</v>
      </c>
      <c r="B259" s="112" t="n"/>
      <c r="C259" s="113" t="n"/>
      <c r="D259" s="113" t="n"/>
      <c r="E259" s="113" t="n"/>
      <c r="F259" s="113" t="n"/>
      <c r="G259" s="113" t="n"/>
      <c r="H259" s="113" t="n"/>
      <c r="I259" s="113" t="n"/>
      <c r="J259" s="113" t="n"/>
      <c r="K259" s="113" t="n"/>
      <c r="L259" s="113" t="n"/>
      <c r="M259" s="113" t="n"/>
      <c r="N259" s="112" t="n"/>
    </row>
    <row r="260">
      <c r="A260" s="23" t="n">
        <v>23</v>
      </c>
      <c r="B260" s="112" t="n"/>
      <c r="C260" s="113" t="n"/>
      <c r="D260" s="113" t="n"/>
      <c r="E260" s="113" t="n"/>
      <c r="F260" s="113" t="n"/>
      <c r="G260" s="113" t="n"/>
      <c r="H260" s="113" t="n"/>
      <c r="I260" s="113" t="n"/>
      <c r="J260" s="113" t="n"/>
      <c r="K260" s="113" t="n"/>
      <c r="L260" s="113" t="n"/>
      <c r="M260" s="113" t="n"/>
      <c r="N260" s="112" t="n"/>
    </row>
    <row r="261">
      <c r="A261" s="23" t="n">
        <v>24</v>
      </c>
      <c r="B261" s="112" t="n"/>
      <c r="C261" s="113" t="n"/>
      <c r="D261" s="113" t="n"/>
      <c r="E261" s="113" t="n"/>
      <c r="F261" s="113" t="n"/>
      <c r="G261" s="113" t="n"/>
      <c r="H261" s="113" t="n"/>
      <c r="I261" s="113" t="n"/>
      <c r="J261" s="113" t="n"/>
      <c r="K261" s="113" t="n"/>
      <c r="L261" s="113" t="n"/>
      <c r="M261" s="113" t="n"/>
      <c r="N261" s="112" t="n"/>
    </row>
    <row r="262">
      <c r="A262" s="23" t="n">
        <v>25</v>
      </c>
      <c r="B262" s="112" t="n"/>
      <c r="C262" s="113" t="n"/>
      <c r="D262" s="113" t="n"/>
      <c r="E262" s="113" t="n"/>
      <c r="F262" s="113" t="n"/>
      <c r="G262" s="113" t="n"/>
      <c r="H262" s="113" t="n"/>
      <c r="I262" s="113" t="n"/>
      <c r="J262" s="113" t="n"/>
      <c r="K262" s="113" t="n"/>
      <c r="L262" s="113" t="n"/>
      <c r="M262" s="113" t="n"/>
      <c r="N262" s="112" t="n"/>
    </row>
    <row r="263">
      <c r="A263" s="23" t="n">
        <v>26</v>
      </c>
      <c r="B263" s="112" t="n"/>
      <c r="C263" s="113" t="n"/>
      <c r="D263" s="113" t="n"/>
      <c r="E263" s="113" t="n"/>
      <c r="F263" s="113" t="n"/>
      <c r="G263" s="113" t="n"/>
      <c r="H263" s="113" t="n"/>
      <c r="I263" s="113" t="n"/>
      <c r="J263" s="113" t="n"/>
      <c r="K263" s="113" t="n"/>
      <c r="L263" s="113" t="n"/>
      <c r="M263" s="113" t="n"/>
      <c r="N263" s="112" t="n"/>
    </row>
    <row r="264">
      <c r="A264" s="23" t="n">
        <v>27</v>
      </c>
      <c r="B264" s="112" t="n"/>
      <c r="C264" s="113" t="n"/>
      <c r="D264" s="113" t="n"/>
      <c r="E264" s="113" t="n"/>
      <c r="F264" s="113" t="n"/>
      <c r="G264" s="113" t="n"/>
      <c r="H264" s="113" t="n"/>
      <c r="I264" s="113" t="n"/>
      <c r="J264" s="113" t="n"/>
      <c r="K264" s="113" t="n"/>
      <c r="L264" s="113" t="n"/>
      <c r="M264" s="113" t="n"/>
      <c r="N264" s="112" t="n"/>
    </row>
    <row r="265">
      <c r="A265" s="23" t="n">
        <v>28</v>
      </c>
      <c r="B265" s="112" t="n"/>
      <c r="C265" s="113" t="n"/>
      <c r="D265" s="113" t="n"/>
      <c r="E265" s="113" t="n"/>
      <c r="F265" s="113" t="n"/>
      <c r="G265" s="113" t="n"/>
      <c r="H265" s="113" t="n"/>
      <c r="I265" s="113" t="n"/>
      <c r="J265" s="113" t="n"/>
      <c r="K265" s="113" t="n"/>
      <c r="L265" s="113" t="n"/>
      <c r="M265" s="113" t="n"/>
      <c r="N265" s="112" t="n"/>
    </row>
    <row r="266">
      <c r="A266" s="23" t="n">
        <v>29</v>
      </c>
      <c r="B266" s="112" t="n"/>
      <c r="C266" s="113" t="n"/>
      <c r="D266" s="113" t="n"/>
      <c r="E266" s="113" t="n"/>
      <c r="F266" s="113" t="n"/>
      <c r="G266" s="113" t="n"/>
      <c r="H266" s="113" t="n"/>
      <c r="I266" s="113" t="n"/>
      <c r="J266" s="113" t="n"/>
      <c r="K266" s="113" t="n"/>
      <c r="L266" s="113" t="n"/>
      <c r="M266" s="113" t="n"/>
      <c r="N266" s="112" t="n"/>
    </row>
    <row r="267">
      <c r="A267" s="23" t="n">
        <v>30</v>
      </c>
      <c r="B267" s="112" t="n"/>
      <c r="C267" s="113" t="n"/>
      <c r="D267" s="113" t="n"/>
      <c r="E267" s="113" t="n"/>
      <c r="F267" s="113" t="n"/>
      <c r="G267" s="113" t="n"/>
      <c r="H267" s="113" t="n"/>
      <c r="I267" s="113" t="n"/>
      <c r="J267" s="113" t="n"/>
      <c r="K267" s="113" t="n"/>
      <c r="L267" s="113" t="n"/>
      <c r="M267" s="113" t="n"/>
      <c r="N267" s="112" t="n"/>
    </row>
    <row r="268">
      <c r="A268" s="23" t="n">
        <v>31</v>
      </c>
      <c r="B268" s="112" t="n"/>
      <c r="C268" s="113" t="n"/>
      <c r="D268" s="113" t="n"/>
      <c r="E268" s="113" t="n"/>
      <c r="F268" s="113" t="n"/>
      <c r="G268" s="113" t="n"/>
      <c r="H268" s="113" t="n"/>
      <c r="I268" s="113" t="n"/>
      <c r="J268" s="113" t="n"/>
      <c r="K268" s="113" t="n"/>
      <c r="L268" s="113" t="n"/>
      <c r="M268" s="113" t="n"/>
      <c r="N268" s="112" t="n"/>
    </row>
    <row r="269">
      <c r="A269" s="23" t="n">
        <v>32</v>
      </c>
      <c r="B269" s="112" t="n"/>
      <c r="C269" s="113" t="n"/>
      <c r="D269" s="113" t="n"/>
      <c r="E269" s="113" t="n"/>
      <c r="F269" s="113" t="n"/>
      <c r="G269" s="113" t="n"/>
      <c r="H269" s="113" t="n"/>
      <c r="I269" s="113" t="n"/>
      <c r="J269" s="113" t="n"/>
      <c r="K269" s="113" t="n"/>
      <c r="L269" s="113" t="n"/>
      <c r="M269" s="113" t="n"/>
      <c r="N269" s="112" t="n"/>
    </row>
    <row r="270">
      <c r="A270" s="23" t="n">
        <v>33</v>
      </c>
      <c r="B270" s="112" t="n"/>
      <c r="C270" s="113" t="n"/>
      <c r="D270" s="113" t="n"/>
      <c r="E270" s="113" t="n"/>
      <c r="F270" s="113" t="n"/>
      <c r="G270" s="113" t="n"/>
      <c r="H270" s="113" t="n"/>
      <c r="I270" s="113" t="n"/>
      <c r="J270" s="113" t="n"/>
      <c r="K270" s="113" t="n"/>
      <c r="L270" s="113" t="n"/>
      <c r="M270" s="113" t="n"/>
      <c r="N270" s="112" t="n"/>
    </row>
    <row r="271">
      <c r="A271" s="23" t="n">
        <v>34</v>
      </c>
      <c r="B271" s="112" t="n"/>
      <c r="C271" s="113" t="n"/>
      <c r="D271" s="113" t="n"/>
      <c r="E271" s="113" t="n"/>
      <c r="F271" s="113" t="n"/>
      <c r="G271" s="113" t="n"/>
      <c r="H271" s="113" t="n"/>
      <c r="I271" s="113" t="n"/>
      <c r="J271" s="113" t="n"/>
      <c r="K271" s="113" t="n"/>
      <c r="L271" s="113" t="n"/>
      <c r="M271" s="113" t="n"/>
      <c r="N271" s="112" t="n"/>
    </row>
    <row r="272">
      <c r="A272" s="23" t="n">
        <v>35</v>
      </c>
      <c r="B272" s="112" t="n"/>
      <c r="C272" s="113" t="n"/>
      <c r="D272" s="113" t="n"/>
      <c r="E272" s="113" t="n"/>
      <c r="F272" s="113" t="n"/>
      <c r="G272" s="113" t="n"/>
      <c r="H272" s="113" t="n"/>
      <c r="I272" s="113" t="n"/>
      <c r="J272" s="113" t="n"/>
      <c r="K272" s="113" t="n"/>
      <c r="L272" s="113" t="n"/>
      <c r="M272" s="113" t="n"/>
      <c r="N272" s="112" t="n"/>
    </row>
    <row r="273">
      <c r="A273" s="23" t="n">
        <v>36</v>
      </c>
      <c r="B273" s="112" t="n"/>
      <c r="C273" s="113" t="n"/>
      <c r="D273" s="113" t="n"/>
      <c r="E273" s="113" t="n"/>
      <c r="F273" s="113" t="n"/>
      <c r="G273" s="113" t="n"/>
      <c r="H273" s="113" t="n"/>
      <c r="I273" s="113" t="n"/>
      <c r="J273" s="113" t="n"/>
      <c r="K273" s="113" t="n"/>
      <c r="L273" s="113" t="n"/>
      <c r="M273" s="113" t="n"/>
      <c r="N273" s="112" t="n"/>
    </row>
    <row r="274">
      <c r="A274" s="23" t="n">
        <v>37</v>
      </c>
      <c r="B274" s="112" t="n"/>
      <c r="C274" s="113" t="n"/>
      <c r="D274" s="113" t="n"/>
      <c r="E274" s="113" t="n"/>
      <c r="F274" s="113" t="n"/>
      <c r="G274" s="113" t="n"/>
      <c r="H274" s="113" t="n"/>
      <c r="I274" s="113" t="n"/>
      <c r="J274" s="113" t="n"/>
      <c r="K274" s="113" t="n"/>
      <c r="L274" s="113" t="n"/>
      <c r="M274" s="113" t="n"/>
      <c r="N274" s="112" t="n"/>
    </row>
    <row r="275">
      <c r="A275" s="23" t="n">
        <v>38</v>
      </c>
      <c r="B275" s="112" t="n"/>
      <c r="C275" s="113" t="n"/>
      <c r="D275" s="113" t="n"/>
      <c r="E275" s="113" t="n"/>
      <c r="F275" s="113" t="n"/>
      <c r="G275" s="113" t="n"/>
      <c r="H275" s="113" t="n"/>
      <c r="I275" s="113" t="n"/>
      <c r="J275" s="113" t="n"/>
      <c r="K275" s="113" t="n"/>
      <c r="L275" s="113" t="n"/>
      <c r="M275" s="113" t="n"/>
      <c r="N275" s="112" t="n"/>
    </row>
    <row r="276">
      <c r="A276" s="23" t="n">
        <v>39</v>
      </c>
      <c r="B276" s="112" t="n"/>
      <c r="C276" s="113" t="n"/>
      <c r="D276" s="113" t="n"/>
      <c r="E276" s="113" t="n"/>
      <c r="F276" s="113" t="n"/>
      <c r="G276" s="113" t="n"/>
      <c r="H276" s="113" t="n"/>
      <c r="I276" s="113" t="n"/>
      <c r="J276" s="113" t="n"/>
      <c r="K276" s="113" t="n"/>
      <c r="L276" s="113" t="n"/>
      <c r="M276" s="113" t="n"/>
      <c r="N276" s="112" t="n"/>
    </row>
    <row r="277">
      <c r="A277" s="23" t="n">
        <v>40</v>
      </c>
      <c r="B277" s="112" t="n"/>
      <c r="C277" s="113" t="n"/>
      <c r="D277" s="113" t="n"/>
      <c r="E277" s="113" t="n"/>
      <c r="F277" s="113" t="n"/>
      <c r="G277" s="113" t="n"/>
      <c r="H277" s="113" t="n"/>
      <c r="I277" s="113" t="n"/>
      <c r="J277" s="113" t="n"/>
      <c r="K277" s="113" t="n"/>
      <c r="L277" s="113" t="n"/>
      <c r="M277" s="113" t="n"/>
      <c r="N277" s="112" t="n"/>
    </row>
    <row r="278">
      <c r="A278" s="23" t="n">
        <v>41</v>
      </c>
      <c r="B278" s="112" t="n"/>
      <c r="C278" s="113" t="n"/>
      <c r="D278" s="113" t="n"/>
      <c r="E278" s="113" t="n"/>
      <c r="F278" s="113" t="n"/>
      <c r="G278" s="113" t="n"/>
      <c r="H278" s="113" t="n"/>
      <c r="I278" s="113" t="n"/>
      <c r="J278" s="113" t="n"/>
      <c r="K278" s="113" t="n"/>
      <c r="L278" s="113" t="n"/>
      <c r="M278" s="113" t="n"/>
      <c r="N278" s="112" t="n"/>
    </row>
    <row r="279">
      <c r="A279" s="23" t="n">
        <v>42</v>
      </c>
      <c r="B279" s="112" t="n"/>
      <c r="C279" s="113" t="n"/>
      <c r="D279" s="113" t="n"/>
      <c r="E279" s="113" t="n"/>
      <c r="F279" s="113" t="n"/>
      <c r="G279" s="113" t="n"/>
      <c r="H279" s="113" t="n"/>
      <c r="I279" s="113" t="n"/>
      <c r="J279" s="113" t="n"/>
      <c r="K279" s="113" t="n"/>
      <c r="L279" s="113" t="n"/>
      <c r="M279" s="113" t="n"/>
      <c r="N279" s="112" t="n"/>
    </row>
    <row r="280">
      <c r="A280" s="23" t="n">
        <v>43</v>
      </c>
      <c r="B280" s="112" t="n"/>
      <c r="C280" s="113" t="n"/>
      <c r="D280" s="113" t="n"/>
      <c r="E280" s="113" t="n"/>
      <c r="F280" s="113" t="n"/>
      <c r="G280" s="113" t="n"/>
      <c r="H280" s="113" t="n"/>
      <c r="I280" s="113" t="n"/>
      <c r="J280" s="113" t="n"/>
      <c r="K280" s="113" t="n"/>
      <c r="L280" s="113" t="n"/>
      <c r="M280" s="113" t="n"/>
      <c r="N280" s="112" t="n"/>
    </row>
    <row r="281">
      <c r="A281" s="23" t="n">
        <v>44</v>
      </c>
      <c r="B281" s="112" t="n"/>
      <c r="C281" s="113" t="n"/>
      <c r="D281" s="113" t="n"/>
      <c r="E281" s="113" t="n"/>
      <c r="F281" s="113" t="n"/>
      <c r="G281" s="113" t="n"/>
      <c r="H281" s="113" t="n"/>
      <c r="I281" s="113" t="n"/>
      <c r="J281" s="113" t="n"/>
      <c r="K281" s="113" t="n"/>
      <c r="L281" s="113" t="n"/>
      <c r="M281" s="113" t="n"/>
      <c r="N281" s="112" t="n"/>
    </row>
    <row r="282">
      <c r="A282" s="23" t="n">
        <v>45</v>
      </c>
      <c r="B282" s="112" t="n"/>
      <c r="C282" s="113" t="n"/>
      <c r="D282" s="113" t="n"/>
      <c r="E282" s="113" t="n"/>
      <c r="F282" s="113" t="n"/>
      <c r="G282" s="113" t="n"/>
      <c r="H282" s="113" t="n"/>
      <c r="I282" s="113" t="n"/>
      <c r="J282" s="113" t="n"/>
      <c r="K282" s="113" t="n"/>
      <c r="L282" s="113" t="n"/>
      <c r="M282" s="113" t="n"/>
      <c r="N282" s="112" t="n"/>
    </row>
    <row r="283">
      <c r="A283" s="23" t="n">
        <v>46</v>
      </c>
      <c r="B283" s="112" t="n"/>
      <c r="C283" s="113" t="n"/>
      <c r="D283" s="113" t="n"/>
      <c r="E283" s="113" t="n"/>
      <c r="F283" s="113" t="n"/>
      <c r="G283" s="113" t="n"/>
      <c r="H283" s="113" t="n"/>
      <c r="I283" s="113" t="n"/>
      <c r="J283" s="113" t="n"/>
      <c r="K283" s="113" t="n"/>
      <c r="L283" s="113" t="n"/>
      <c r="M283" s="113" t="n"/>
      <c r="N283" s="112" t="n"/>
    </row>
    <row r="284">
      <c r="A284" s="23" t="n">
        <v>47</v>
      </c>
      <c r="B284" s="112" t="n"/>
      <c r="C284" s="113" t="n"/>
      <c r="D284" s="113" t="n"/>
      <c r="E284" s="113" t="n"/>
      <c r="F284" s="113" t="n"/>
      <c r="G284" s="113" t="n"/>
      <c r="H284" s="113" t="n"/>
      <c r="I284" s="113" t="n"/>
      <c r="J284" s="113" t="n"/>
      <c r="K284" s="113" t="n"/>
      <c r="L284" s="113" t="n"/>
      <c r="M284" s="113" t="n"/>
      <c r="N284" s="112" t="n"/>
    </row>
    <row r="285">
      <c r="A285" s="23" t="n">
        <v>48</v>
      </c>
      <c r="B285" s="112" t="n"/>
      <c r="C285" s="113" t="n"/>
      <c r="D285" s="113" t="n"/>
      <c r="E285" s="113" t="n"/>
      <c r="F285" s="113" t="n"/>
      <c r="G285" s="113" t="n"/>
      <c r="H285" s="113" t="n"/>
      <c r="I285" s="113" t="n"/>
      <c r="J285" s="113" t="n"/>
      <c r="K285" s="113" t="n"/>
      <c r="L285" s="113" t="n"/>
      <c r="M285" s="113" t="n"/>
      <c r="N285" s="112" t="n"/>
    </row>
    <row r="286">
      <c r="A286" s="23" t="n">
        <v>49</v>
      </c>
      <c r="B286" s="112" t="n"/>
      <c r="C286" s="113" t="n"/>
      <c r="D286" s="113" t="n"/>
      <c r="E286" s="113" t="n"/>
      <c r="F286" s="113" t="n"/>
      <c r="G286" s="113" t="n"/>
      <c r="H286" s="113" t="n"/>
      <c r="I286" s="113" t="n"/>
      <c r="J286" s="113" t="n"/>
      <c r="K286" s="113" t="n"/>
      <c r="L286" s="113" t="n"/>
      <c r="M286" s="113" t="n"/>
      <c r="N286" s="112" t="n"/>
    </row>
    <row r="287">
      <c r="A287" s="23" t="n">
        <v>50</v>
      </c>
      <c r="B287" s="112" t="n"/>
      <c r="C287" s="113" t="n"/>
      <c r="D287" s="113" t="n"/>
      <c r="E287" s="113" t="n"/>
      <c r="F287" s="113" t="n"/>
      <c r="G287" s="113" t="n"/>
      <c r="H287" s="113" t="n"/>
      <c r="I287" s="113" t="n"/>
      <c r="J287" s="113" t="n"/>
      <c r="K287" s="113" t="n"/>
      <c r="L287" s="113" t="n"/>
      <c r="M287" s="113" t="n"/>
      <c r="N287" s="112" t="n"/>
    </row>
    <row r="288">
      <c r="A288" s="23" t="n">
        <v>51</v>
      </c>
      <c r="B288" s="112" t="n"/>
      <c r="C288" s="113" t="n"/>
      <c r="D288" s="113" t="n"/>
      <c r="E288" s="113" t="n"/>
      <c r="F288" s="113" t="n"/>
      <c r="G288" s="113" t="n"/>
      <c r="H288" s="113" t="n"/>
      <c r="I288" s="113" t="n"/>
      <c r="J288" s="113" t="n"/>
      <c r="K288" s="113" t="n"/>
      <c r="L288" s="113" t="n"/>
      <c r="M288" s="113" t="n"/>
      <c r="N288" s="112" t="n"/>
    </row>
    <row r="289">
      <c r="A289" s="23" t="n">
        <v>52</v>
      </c>
      <c r="B289" s="112" t="n"/>
      <c r="C289" s="113" t="n"/>
      <c r="D289" s="113" t="n"/>
      <c r="E289" s="113" t="n"/>
      <c r="F289" s="113" t="n"/>
      <c r="G289" s="113" t="n"/>
      <c r="H289" s="113" t="n"/>
      <c r="I289" s="113" t="n"/>
      <c r="J289" s="113" t="n"/>
      <c r="K289" s="113" t="n"/>
      <c r="L289" s="113" t="n"/>
      <c r="M289" s="113" t="n"/>
      <c r="N289" s="112" t="n"/>
    </row>
    <row r="290">
      <c r="A290" s="23" t="n">
        <v>53</v>
      </c>
      <c r="B290" s="112" t="n"/>
      <c r="C290" s="113" t="n"/>
      <c r="D290" s="113" t="n"/>
      <c r="E290" s="113" t="n"/>
      <c r="F290" s="113" t="n"/>
      <c r="G290" s="113" t="n"/>
      <c r="H290" s="113" t="n"/>
      <c r="I290" s="113" t="n"/>
      <c r="J290" s="113" t="n"/>
      <c r="K290" s="113" t="n"/>
      <c r="L290" s="113" t="n"/>
      <c r="M290" s="113" t="n"/>
      <c r="N290" s="112" t="n"/>
    </row>
    <row r="291">
      <c r="A291" s="23" t="n">
        <v>54</v>
      </c>
      <c r="B291" s="112" t="n"/>
      <c r="C291" s="113" t="n"/>
      <c r="D291" s="113" t="n"/>
      <c r="E291" s="113" t="n"/>
      <c r="F291" s="113" t="n"/>
      <c r="G291" s="113" t="n"/>
      <c r="H291" s="113" t="n"/>
      <c r="I291" s="113" t="n"/>
      <c r="J291" s="113" t="n"/>
      <c r="K291" s="113" t="n"/>
      <c r="L291" s="113" t="n"/>
      <c r="M291" s="113" t="n"/>
      <c r="N291" s="112" t="n"/>
    </row>
    <row r="292">
      <c r="A292" s="23" t="n">
        <v>55</v>
      </c>
      <c r="B292" s="112" t="n"/>
      <c r="C292" s="113" t="n"/>
      <c r="D292" s="113" t="n"/>
      <c r="E292" s="113" t="n"/>
      <c r="F292" s="113" t="n"/>
      <c r="G292" s="113" t="n"/>
      <c r="H292" s="113" t="n"/>
      <c r="I292" s="113" t="n"/>
      <c r="J292" s="113" t="n"/>
      <c r="K292" s="113" t="n"/>
      <c r="L292" s="113" t="n"/>
      <c r="M292" s="113" t="n"/>
      <c r="N292" s="112" t="n"/>
    </row>
    <row r="293">
      <c r="A293" s="23" t="n">
        <v>56</v>
      </c>
      <c r="B293" s="112" t="n"/>
      <c r="C293" s="113" t="n"/>
      <c r="D293" s="113" t="n"/>
      <c r="E293" s="113" t="n"/>
      <c r="F293" s="113" t="n"/>
      <c r="G293" s="113" t="n"/>
      <c r="H293" s="113" t="n"/>
      <c r="I293" s="113" t="n"/>
      <c r="J293" s="113" t="n"/>
      <c r="K293" s="113" t="n"/>
      <c r="L293" s="113" t="n"/>
      <c r="M293" s="113" t="n"/>
      <c r="N293" s="112" t="n"/>
    </row>
    <row r="294">
      <c r="A294" s="23" t="n">
        <v>57</v>
      </c>
      <c r="B294" s="112" t="n"/>
      <c r="C294" s="113" t="n"/>
      <c r="D294" s="113" t="n"/>
      <c r="E294" s="113" t="n"/>
      <c r="F294" s="113" t="n"/>
      <c r="G294" s="113" t="n"/>
      <c r="H294" s="113" t="n"/>
      <c r="I294" s="113" t="n"/>
      <c r="J294" s="113" t="n"/>
      <c r="K294" s="113" t="n"/>
      <c r="L294" s="113" t="n"/>
      <c r="M294" s="113" t="n"/>
      <c r="N294" s="112" t="n"/>
    </row>
    <row r="295">
      <c r="A295" s="23" t="n">
        <v>58</v>
      </c>
      <c r="B295" s="112" t="n"/>
      <c r="C295" s="113" t="n"/>
      <c r="D295" s="113" t="n"/>
      <c r="E295" s="113" t="n"/>
      <c r="F295" s="113" t="n"/>
      <c r="G295" s="113" t="n"/>
      <c r="H295" s="113" t="n"/>
      <c r="I295" s="113" t="n"/>
      <c r="J295" s="113" t="n"/>
      <c r="K295" s="113" t="n"/>
      <c r="L295" s="113" t="n"/>
      <c r="M295" s="113" t="n"/>
      <c r="N295" s="112" t="n"/>
    </row>
    <row r="296">
      <c r="A296" s="23" t="n">
        <v>59</v>
      </c>
      <c r="B296" s="112" t="n"/>
      <c r="C296" s="113" t="n"/>
      <c r="D296" s="113" t="n"/>
      <c r="E296" s="113" t="n"/>
      <c r="F296" s="113" t="n"/>
      <c r="G296" s="113" t="n"/>
      <c r="H296" s="113" t="n"/>
      <c r="I296" s="113" t="n"/>
      <c r="J296" s="113" t="n"/>
      <c r="K296" s="113" t="n"/>
      <c r="L296" s="113" t="n"/>
      <c r="M296" s="113" t="n"/>
      <c r="N296" s="112" t="n"/>
    </row>
    <row r="297">
      <c r="A297" s="23" t="n">
        <v>60</v>
      </c>
      <c r="B297" s="112" t="n"/>
      <c r="C297" s="113" t="n"/>
      <c r="D297" s="113" t="n"/>
      <c r="E297" s="113" t="n"/>
      <c r="F297" s="113" t="n"/>
      <c r="G297" s="113" t="n"/>
      <c r="H297" s="113" t="n"/>
      <c r="I297" s="113" t="n"/>
      <c r="J297" s="113" t="n"/>
      <c r="K297" s="113" t="n"/>
      <c r="L297" s="113" t="n"/>
      <c r="M297" s="113" t="n"/>
      <c r="N297" s="112" t="n"/>
    </row>
    <row r="298"/>
    <row r="299"/>
    <row r="300"/>
    <row r="301">
      <c r="A301" s="111" t="inlineStr">
        <is>
          <t>Tier 5: Solar inverter + lithium (~3 kWp / 10 kWh)</t>
        </is>
      </c>
    </row>
    <row r="302" ht="54" customHeight="1">
      <c r="A302" s="40" t="inlineStr">
        <is>
          <t>Cohort #</t>
        </is>
      </c>
      <c r="B302" s="40" t="inlineStr">
        <is>
          <t>Origination month</t>
        </is>
      </c>
      <c r="C302" s="40" t="inlineStr">
        <is>
          <t>Contracts</t>
        </is>
      </c>
      <c r="D302" s="40" t="inlineStr">
        <is>
          <t>RR PvP: payments applied to due instalments</t>
        </is>
      </c>
      <c r="E302" s="40" t="inlineStr">
        <is>
          <t>RR PvP: instalments due to date</t>
        </is>
      </c>
      <c r="F302" s="40" t="inlineStr">
        <is>
          <t>RR PvFin: payments applied to due instalments</t>
        </is>
      </c>
      <c r="G302" s="40" t="inlineStr">
        <is>
          <t>RR PvFin: total amount financed</t>
        </is>
      </c>
      <c r="H302" s="40" t="inlineStr">
        <is>
          <t>RR @90 days: payments applied</t>
        </is>
      </c>
      <c r="I302" s="40" t="inlineStr">
        <is>
          <t>RR @90 days: instalments due by day 90</t>
        </is>
      </c>
      <c r="J302" s="40" t="inlineStr">
        <is>
          <t>RR @2x: payments applied by 2x term</t>
        </is>
      </c>
      <c r="K302" s="40" t="inlineStr">
        <is>
          <t>RR @2x: instalments due over 1x term</t>
        </is>
      </c>
      <c r="L302" s="40" t="inlineStr">
        <is>
          <t>OR @2x: contracts fully paid by 2x</t>
        </is>
      </c>
      <c r="M302" s="40" t="inlineStr">
        <is>
          <t>OR @2x: contracts that reached 2x</t>
        </is>
      </c>
      <c r="N302" s="40" t="inlineStr">
        <is>
          <t>Data as of</t>
        </is>
      </c>
      <c r="O302" s="40" t="inlineStr">
        <is>
          <t>Notes</t>
        </is>
      </c>
    </row>
    <row r="303">
      <c r="A303" s="23" t="n">
        <v>1</v>
      </c>
      <c r="B303" s="112" t="n"/>
      <c r="C303" s="113" t="n"/>
      <c r="D303" s="113" t="n"/>
      <c r="E303" s="113" t="n"/>
      <c r="F303" s="113" t="n"/>
      <c r="G303" s="113" t="n"/>
      <c r="H303" s="113" t="n"/>
      <c r="I303" s="113" t="n"/>
      <c r="J303" s="113" t="n"/>
      <c r="K303" s="113" t="n"/>
      <c r="L303" s="113" t="n"/>
      <c r="M303" s="113" t="n"/>
      <c r="N303" s="112" t="n"/>
    </row>
    <row r="304">
      <c r="A304" s="23" t="n">
        <v>2</v>
      </c>
      <c r="B304" s="112" t="n"/>
      <c r="C304" s="113" t="n"/>
      <c r="D304" s="113" t="n"/>
      <c r="E304" s="113" t="n"/>
      <c r="F304" s="113" t="n"/>
      <c r="G304" s="113" t="n"/>
      <c r="H304" s="113" t="n"/>
      <c r="I304" s="113" t="n"/>
      <c r="J304" s="113" t="n"/>
      <c r="K304" s="113" t="n"/>
      <c r="L304" s="113" t="n"/>
      <c r="M304" s="113" t="n"/>
      <c r="N304" s="112" t="n"/>
    </row>
    <row r="305">
      <c r="A305" s="23" t="n">
        <v>3</v>
      </c>
      <c r="B305" s="112" t="n"/>
      <c r="C305" s="113" t="n"/>
      <c r="D305" s="113" t="n"/>
      <c r="E305" s="113" t="n"/>
      <c r="F305" s="113" t="n"/>
      <c r="G305" s="113" t="n"/>
      <c r="H305" s="113" t="n"/>
      <c r="I305" s="113" t="n"/>
      <c r="J305" s="113" t="n"/>
      <c r="K305" s="113" t="n"/>
      <c r="L305" s="113" t="n"/>
      <c r="M305" s="113" t="n"/>
      <c r="N305" s="112" t="n"/>
    </row>
    <row r="306">
      <c r="A306" s="23" t="n">
        <v>4</v>
      </c>
      <c r="B306" s="112" t="n"/>
      <c r="C306" s="113" t="n"/>
      <c r="D306" s="113" t="n"/>
      <c r="E306" s="113" t="n"/>
      <c r="F306" s="113" t="n"/>
      <c r="G306" s="113" t="n"/>
      <c r="H306" s="113" t="n"/>
      <c r="I306" s="113" t="n"/>
      <c r="J306" s="113" t="n"/>
      <c r="K306" s="113" t="n"/>
      <c r="L306" s="113" t="n"/>
      <c r="M306" s="113" t="n"/>
      <c r="N306" s="112" t="n"/>
    </row>
    <row r="307">
      <c r="A307" s="23" t="n">
        <v>5</v>
      </c>
      <c r="B307" s="112" t="n"/>
      <c r="C307" s="113" t="n"/>
      <c r="D307" s="113" t="n"/>
      <c r="E307" s="113" t="n"/>
      <c r="F307" s="113" t="n"/>
      <c r="G307" s="113" t="n"/>
      <c r="H307" s="113" t="n"/>
      <c r="I307" s="113" t="n"/>
      <c r="J307" s="113" t="n"/>
      <c r="K307" s="113" t="n"/>
      <c r="L307" s="113" t="n"/>
      <c r="M307" s="113" t="n"/>
      <c r="N307" s="112" t="n"/>
    </row>
    <row r="308">
      <c r="A308" s="23" t="n">
        <v>6</v>
      </c>
      <c r="B308" s="112" t="n"/>
      <c r="C308" s="113" t="n"/>
      <c r="D308" s="113" t="n"/>
      <c r="E308" s="113" t="n"/>
      <c r="F308" s="113" t="n"/>
      <c r="G308" s="113" t="n"/>
      <c r="H308" s="113" t="n"/>
      <c r="I308" s="113" t="n"/>
      <c r="J308" s="113" t="n"/>
      <c r="K308" s="113" t="n"/>
      <c r="L308" s="113" t="n"/>
      <c r="M308" s="113" t="n"/>
      <c r="N308" s="112" t="n"/>
    </row>
    <row r="309">
      <c r="A309" s="23" t="n">
        <v>7</v>
      </c>
      <c r="B309" s="112" t="n"/>
      <c r="C309" s="113" t="n"/>
      <c r="D309" s="113" t="n"/>
      <c r="E309" s="113" t="n"/>
      <c r="F309" s="113" t="n"/>
      <c r="G309" s="113" t="n"/>
      <c r="H309" s="113" t="n"/>
      <c r="I309" s="113" t="n"/>
      <c r="J309" s="113" t="n"/>
      <c r="K309" s="113" t="n"/>
      <c r="L309" s="113" t="n"/>
      <c r="M309" s="113" t="n"/>
      <c r="N309" s="112" t="n"/>
    </row>
    <row r="310">
      <c r="A310" s="23" t="n">
        <v>8</v>
      </c>
      <c r="B310" s="112" t="n"/>
      <c r="C310" s="113" t="n"/>
      <c r="D310" s="113" t="n"/>
      <c r="E310" s="113" t="n"/>
      <c r="F310" s="113" t="n"/>
      <c r="G310" s="113" t="n"/>
      <c r="H310" s="113" t="n"/>
      <c r="I310" s="113" t="n"/>
      <c r="J310" s="113" t="n"/>
      <c r="K310" s="113" t="n"/>
      <c r="L310" s="113" t="n"/>
      <c r="M310" s="113" t="n"/>
      <c r="N310" s="112" t="n"/>
    </row>
    <row r="311">
      <c r="A311" s="23" t="n">
        <v>9</v>
      </c>
      <c r="B311" s="112" t="n"/>
      <c r="C311" s="113" t="n"/>
      <c r="D311" s="113" t="n"/>
      <c r="E311" s="113" t="n"/>
      <c r="F311" s="113" t="n"/>
      <c r="G311" s="113" t="n"/>
      <c r="H311" s="113" t="n"/>
      <c r="I311" s="113" t="n"/>
      <c r="J311" s="113" t="n"/>
      <c r="K311" s="113" t="n"/>
      <c r="L311" s="113" t="n"/>
      <c r="M311" s="113" t="n"/>
      <c r="N311" s="112" t="n"/>
    </row>
    <row r="312">
      <c r="A312" s="23" t="n">
        <v>10</v>
      </c>
      <c r="B312" s="112" t="n"/>
      <c r="C312" s="113" t="n"/>
      <c r="D312" s="113" t="n"/>
      <c r="E312" s="113" t="n"/>
      <c r="F312" s="113" t="n"/>
      <c r="G312" s="113" t="n"/>
      <c r="H312" s="113" t="n"/>
      <c r="I312" s="113" t="n"/>
      <c r="J312" s="113" t="n"/>
      <c r="K312" s="113" t="n"/>
      <c r="L312" s="113" t="n"/>
      <c r="M312" s="113" t="n"/>
      <c r="N312" s="112" t="n"/>
    </row>
    <row r="313">
      <c r="A313" s="23" t="n">
        <v>11</v>
      </c>
      <c r="B313" s="112" t="n"/>
      <c r="C313" s="113" t="n"/>
      <c r="D313" s="113" t="n"/>
      <c r="E313" s="113" t="n"/>
      <c r="F313" s="113" t="n"/>
      <c r="G313" s="113" t="n"/>
      <c r="H313" s="113" t="n"/>
      <c r="I313" s="113" t="n"/>
      <c r="J313" s="113" t="n"/>
      <c r="K313" s="113" t="n"/>
      <c r="L313" s="113" t="n"/>
      <c r="M313" s="113" t="n"/>
      <c r="N313" s="112" t="n"/>
    </row>
    <row r="314">
      <c r="A314" s="23" t="n">
        <v>12</v>
      </c>
      <c r="B314" s="112" t="n"/>
      <c r="C314" s="113" t="n"/>
      <c r="D314" s="113" t="n"/>
      <c r="E314" s="113" t="n"/>
      <c r="F314" s="113" t="n"/>
      <c r="G314" s="113" t="n"/>
      <c r="H314" s="113" t="n"/>
      <c r="I314" s="113" t="n"/>
      <c r="J314" s="113" t="n"/>
      <c r="K314" s="113" t="n"/>
      <c r="L314" s="113" t="n"/>
      <c r="M314" s="113" t="n"/>
      <c r="N314" s="112" t="n"/>
    </row>
    <row r="315">
      <c r="A315" s="23" t="n">
        <v>13</v>
      </c>
      <c r="B315" s="112" t="n"/>
      <c r="C315" s="113" t="n"/>
      <c r="D315" s="113" t="n"/>
      <c r="E315" s="113" t="n"/>
      <c r="F315" s="113" t="n"/>
      <c r="G315" s="113" t="n"/>
      <c r="H315" s="113" t="n"/>
      <c r="I315" s="113" t="n"/>
      <c r="J315" s="113" t="n"/>
      <c r="K315" s="113" t="n"/>
      <c r="L315" s="113" t="n"/>
      <c r="M315" s="113" t="n"/>
      <c r="N315" s="112" t="n"/>
    </row>
    <row r="316">
      <c r="A316" s="23" t="n">
        <v>14</v>
      </c>
      <c r="B316" s="112" t="n"/>
      <c r="C316" s="113" t="n"/>
      <c r="D316" s="113" t="n"/>
      <c r="E316" s="113" t="n"/>
      <c r="F316" s="113" t="n"/>
      <c r="G316" s="113" t="n"/>
      <c r="H316" s="113" t="n"/>
      <c r="I316" s="113" t="n"/>
      <c r="J316" s="113" t="n"/>
      <c r="K316" s="113" t="n"/>
      <c r="L316" s="113" t="n"/>
      <c r="M316" s="113" t="n"/>
      <c r="N316" s="112" t="n"/>
    </row>
    <row r="317">
      <c r="A317" s="23" t="n">
        <v>15</v>
      </c>
      <c r="B317" s="112" t="n"/>
      <c r="C317" s="113" t="n"/>
      <c r="D317" s="113" t="n"/>
      <c r="E317" s="113" t="n"/>
      <c r="F317" s="113" t="n"/>
      <c r="G317" s="113" t="n"/>
      <c r="H317" s="113" t="n"/>
      <c r="I317" s="113" t="n"/>
      <c r="J317" s="113" t="n"/>
      <c r="K317" s="113" t="n"/>
      <c r="L317" s="113" t="n"/>
      <c r="M317" s="113" t="n"/>
      <c r="N317" s="112" t="n"/>
    </row>
    <row r="318">
      <c r="A318" s="23" t="n">
        <v>16</v>
      </c>
      <c r="B318" s="112" t="n"/>
      <c r="C318" s="113" t="n"/>
      <c r="D318" s="113" t="n"/>
      <c r="E318" s="113" t="n"/>
      <c r="F318" s="113" t="n"/>
      <c r="G318" s="113" t="n"/>
      <c r="H318" s="113" t="n"/>
      <c r="I318" s="113" t="n"/>
      <c r="J318" s="113" t="n"/>
      <c r="K318" s="113" t="n"/>
      <c r="L318" s="113" t="n"/>
      <c r="M318" s="113" t="n"/>
      <c r="N318" s="112" t="n"/>
    </row>
    <row r="319">
      <c r="A319" s="23" t="n">
        <v>17</v>
      </c>
      <c r="B319" s="112" t="n"/>
      <c r="C319" s="113" t="n"/>
      <c r="D319" s="113" t="n"/>
      <c r="E319" s="113" t="n"/>
      <c r="F319" s="113" t="n"/>
      <c r="G319" s="113" t="n"/>
      <c r="H319" s="113" t="n"/>
      <c r="I319" s="113" t="n"/>
      <c r="J319" s="113" t="n"/>
      <c r="K319" s="113" t="n"/>
      <c r="L319" s="113" t="n"/>
      <c r="M319" s="113" t="n"/>
      <c r="N319" s="112" t="n"/>
    </row>
    <row r="320">
      <c r="A320" s="23" t="n">
        <v>18</v>
      </c>
      <c r="B320" s="112" t="n"/>
      <c r="C320" s="113" t="n"/>
      <c r="D320" s="113" t="n"/>
      <c r="E320" s="113" t="n"/>
      <c r="F320" s="113" t="n"/>
      <c r="G320" s="113" t="n"/>
      <c r="H320" s="113" t="n"/>
      <c r="I320" s="113" t="n"/>
      <c r="J320" s="113" t="n"/>
      <c r="K320" s="113" t="n"/>
      <c r="L320" s="113" t="n"/>
      <c r="M320" s="113" t="n"/>
      <c r="N320" s="112" t="n"/>
    </row>
    <row r="321">
      <c r="A321" s="23" t="n">
        <v>19</v>
      </c>
      <c r="B321" s="112" t="n"/>
      <c r="C321" s="113" t="n"/>
      <c r="D321" s="113" t="n"/>
      <c r="E321" s="113" t="n"/>
      <c r="F321" s="113" t="n"/>
      <c r="G321" s="113" t="n"/>
      <c r="H321" s="113" t="n"/>
      <c r="I321" s="113" t="n"/>
      <c r="J321" s="113" t="n"/>
      <c r="K321" s="113" t="n"/>
      <c r="L321" s="113" t="n"/>
      <c r="M321" s="113" t="n"/>
      <c r="N321" s="112" t="n"/>
    </row>
    <row r="322">
      <c r="A322" s="23" t="n">
        <v>20</v>
      </c>
      <c r="B322" s="112" t="n"/>
      <c r="C322" s="113" t="n"/>
      <c r="D322" s="113" t="n"/>
      <c r="E322" s="113" t="n"/>
      <c r="F322" s="113" t="n"/>
      <c r="G322" s="113" t="n"/>
      <c r="H322" s="113" t="n"/>
      <c r="I322" s="113" t="n"/>
      <c r="J322" s="113" t="n"/>
      <c r="K322" s="113" t="n"/>
      <c r="L322" s="113" t="n"/>
      <c r="M322" s="113" t="n"/>
      <c r="N322" s="112" t="n"/>
    </row>
    <row r="323">
      <c r="A323" s="23" t="n">
        <v>21</v>
      </c>
      <c r="B323" s="112" t="n"/>
      <c r="C323" s="113" t="n"/>
      <c r="D323" s="113" t="n"/>
      <c r="E323" s="113" t="n"/>
      <c r="F323" s="113" t="n"/>
      <c r="G323" s="113" t="n"/>
      <c r="H323" s="113" t="n"/>
      <c r="I323" s="113" t="n"/>
      <c r="J323" s="113" t="n"/>
      <c r="K323" s="113" t="n"/>
      <c r="L323" s="113" t="n"/>
      <c r="M323" s="113" t="n"/>
      <c r="N323" s="112" t="n"/>
    </row>
    <row r="324">
      <c r="A324" s="23" t="n">
        <v>22</v>
      </c>
      <c r="B324" s="112" t="n"/>
      <c r="C324" s="113" t="n"/>
      <c r="D324" s="113" t="n"/>
      <c r="E324" s="113" t="n"/>
      <c r="F324" s="113" t="n"/>
      <c r="G324" s="113" t="n"/>
      <c r="H324" s="113" t="n"/>
      <c r="I324" s="113" t="n"/>
      <c r="J324" s="113" t="n"/>
      <c r="K324" s="113" t="n"/>
      <c r="L324" s="113" t="n"/>
      <c r="M324" s="113" t="n"/>
      <c r="N324" s="112" t="n"/>
    </row>
    <row r="325">
      <c r="A325" s="23" t="n">
        <v>23</v>
      </c>
      <c r="B325" s="112" t="n"/>
      <c r="C325" s="113" t="n"/>
      <c r="D325" s="113" t="n"/>
      <c r="E325" s="113" t="n"/>
      <c r="F325" s="113" t="n"/>
      <c r="G325" s="113" t="n"/>
      <c r="H325" s="113" t="n"/>
      <c r="I325" s="113" t="n"/>
      <c r="J325" s="113" t="n"/>
      <c r="K325" s="113" t="n"/>
      <c r="L325" s="113" t="n"/>
      <c r="M325" s="113" t="n"/>
      <c r="N325" s="112" t="n"/>
    </row>
    <row r="326">
      <c r="A326" s="23" t="n">
        <v>24</v>
      </c>
      <c r="B326" s="112" t="n"/>
      <c r="C326" s="113" t="n"/>
      <c r="D326" s="113" t="n"/>
      <c r="E326" s="113" t="n"/>
      <c r="F326" s="113" t="n"/>
      <c r="G326" s="113" t="n"/>
      <c r="H326" s="113" t="n"/>
      <c r="I326" s="113" t="n"/>
      <c r="J326" s="113" t="n"/>
      <c r="K326" s="113" t="n"/>
      <c r="L326" s="113" t="n"/>
      <c r="M326" s="113" t="n"/>
      <c r="N326" s="112" t="n"/>
    </row>
    <row r="327">
      <c r="A327" s="23" t="n">
        <v>25</v>
      </c>
      <c r="B327" s="112" t="n"/>
      <c r="C327" s="113" t="n"/>
      <c r="D327" s="113" t="n"/>
      <c r="E327" s="113" t="n"/>
      <c r="F327" s="113" t="n"/>
      <c r="G327" s="113" t="n"/>
      <c r="H327" s="113" t="n"/>
      <c r="I327" s="113" t="n"/>
      <c r="J327" s="113" t="n"/>
      <c r="K327" s="113" t="n"/>
      <c r="L327" s="113" t="n"/>
      <c r="M327" s="113" t="n"/>
      <c r="N327" s="112" t="n"/>
    </row>
    <row r="328">
      <c r="A328" s="23" t="n">
        <v>26</v>
      </c>
      <c r="B328" s="112" t="n"/>
      <c r="C328" s="113" t="n"/>
      <c r="D328" s="113" t="n"/>
      <c r="E328" s="113" t="n"/>
      <c r="F328" s="113" t="n"/>
      <c r="G328" s="113" t="n"/>
      <c r="H328" s="113" t="n"/>
      <c r="I328" s="113" t="n"/>
      <c r="J328" s="113" t="n"/>
      <c r="K328" s="113" t="n"/>
      <c r="L328" s="113" t="n"/>
      <c r="M328" s="113" t="n"/>
      <c r="N328" s="112" t="n"/>
    </row>
    <row r="329">
      <c r="A329" s="23" t="n">
        <v>27</v>
      </c>
      <c r="B329" s="112" t="n"/>
      <c r="C329" s="113" t="n"/>
      <c r="D329" s="113" t="n"/>
      <c r="E329" s="113" t="n"/>
      <c r="F329" s="113" t="n"/>
      <c r="G329" s="113" t="n"/>
      <c r="H329" s="113" t="n"/>
      <c r="I329" s="113" t="n"/>
      <c r="J329" s="113" t="n"/>
      <c r="K329" s="113" t="n"/>
      <c r="L329" s="113" t="n"/>
      <c r="M329" s="113" t="n"/>
      <c r="N329" s="112" t="n"/>
    </row>
    <row r="330">
      <c r="A330" s="23" t="n">
        <v>28</v>
      </c>
      <c r="B330" s="112" t="n"/>
      <c r="C330" s="113" t="n"/>
      <c r="D330" s="113" t="n"/>
      <c r="E330" s="113" t="n"/>
      <c r="F330" s="113" t="n"/>
      <c r="G330" s="113" t="n"/>
      <c r="H330" s="113" t="n"/>
      <c r="I330" s="113" t="n"/>
      <c r="J330" s="113" t="n"/>
      <c r="K330" s="113" t="n"/>
      <c r="L330" s="113" t="n"/>
      <c r="M330" s="113" t="n"/>
      <c r="N330" s="112" t="n"/>
    </row>
    <row r="331">
      <c r="A331" s="23" t="n">
        <v>29</v>
      </c>
      <c r="B331" s="112" t="n"/>
      <c r="C331" s="113" t="n"/>
      <c r="D331" s="113" t="n"/>
      <c r="E331" s="113" t="n"/>
      <c r="F331" s="113" t="n"/>
      <c r="G331" s="113" t="n"/>
      <c r="H331" s="113" t="n"/>
      <c r="I331" s="113" t="n"/>
      <c r="J331" s="113" t="n"/>
      <c r="K331" s="113" t="n"/>
      <c r="L331" s="113" t="n"/>
      <c r="M331" s="113" t="n"/>
      <c r="N331" s="112" t="n"/>
    </row>
    <row r="332">
      <c r="A332" s="23" t="n">
        <v>30</v>
      </c>
      <c r="B332" s="112" t="n"/>
      <c r="C332" s="113" t="n"/>
      <c r="D332" s="113" t="n"/>
      <c r="E332" s="113" t="n"/>
      <c r="F332" s="113" t="n"/>
      <c r="G332" s="113" t="n"/>
      <c r="H332" s="113" t="n"/>
      <c r="I332" s="113" t="n"/>
      <c r="J332" s="113" t="n"/>
      <c r="K332" s="113" t="n"/>
      <c r="L332" s="113" t="n"/>
      <c r="M332" s="113" t="n"/>
      <c r="N332" s="112" t="n"/>
    </row>
    <row r="333">
      <c r="A333" s="23" t="n">
        <v>31</v>
      </c>
      <c r="B333" s="112" t="n"/>
      <c r="C333" s="113" t="n"/>
      <c r="D333" s="113" t="n"/>
      <c r="E333" s="113" t="n"/>
      <c r="F333" s="113" t="n"/>
      <c r="G333" s="113" t="n"/>
      <c r="H333" s="113" t="n"/>
      <c r="I333" s="113" t="n"/>
      <c r="J333" s="113" t="n"/>
      <c r="K333" s="113" t="n"/>
      <c r="L333" s="113" t="n"/>
      <c r="M333" s="113" t="n"/>
      <c r="N333" s="112" t="n"/>
    </row>
    <row r="334">
      <c r="A334" s="23" t="n">
        <v>32</v>
      </c>
      <c r="B334" s="112" t="n"/>
      <c r="C334" s="113" t="n"/>
      <c r="D334" s="113" t="n"/>
      <c r="E334" s="113" t="n"/>
      <c r="F334" s="113" t="n"/>
      <c r="G334" s="113" t="n"/>
      <c r="H334" s="113" t="n"/>
      <c r="I334" s="113" t="n"/>
      <c r="J334" s="113" t="n"/>
      <c r="K334" s="113" t="n"/>
      <c r="L334" s="113" t="n"/>
      <c r="M334" s="113" t="n"/>
      <c r="N334" s="112" t="n"/>
    </row>
    <row r="335">
      <c r="A335" s="23" t="n">
        <v>33</v>
      </c>
      <c r="B335" s="112" t="n"/>
      <c r="C335" s="113" t="n"/>
      <c r="D335" s="113" t="n"/>
      <c r="E335" s="113" t="n"/>
      <c r="F335" s="113" t="n"/>
      <c r="G335" s="113" t="n"/>
      <c r="H335" s="113" t="n"/>
      <c r="I335" s="113" t="n"/>
      <c r="J335" s="113" t="n"/>
      <c r="K335" s="113" t="n"/>
      <c r="L335" s="113" t="n"/>
      <c r="M335" s="113" t="n"/>
      <c r="N335" s="112" t="n"/>
    </row>
    <row r="336">
      <c r="A336" s="23" t="n">
        <v>34</v>
      </c>
      <c r="B336" s="112" t="n"/>
      <c r="C336" s="113" t="n"/>
      <c r="D336" s="113" t="n"/>
      <c r="E336" s="113" t="n"/>
      <c r="F336" s="113" t="n"/>
      <c r="G336" s="113" t="n"/>
      <c r="H336" s="113" t="n"/>
      <c r="I336" s="113" t="n"/>
      <c r="J336" s="113" t="n"/>
      <c r="K336" s="113" t="n"/>
      <c r="L336" s="113" t="n"/>
      <c r="M336" s="113" t="n"/>
      <c r="N336" s="112" t="n"/>
    </row>
    <row r="337">
      <c r="A337" s="23" t="n">
        <v>35</v>
      </c>
      <c r="B337" s="112" t="n"/>
      <c r="C337" s="113" t="n"/>
      <c r="D337" s="113" t="n"/>
      <c r="E337" s="113" t="n"/>
      <c r="F337" s="113" t="n"/>
      <c r="G337" s="113" t="n"/>
      <c r="H337" s="113" t="n"/>
      <c r="I337" s="113" t="n"/>
      <c r="J337" s="113" t="n"/>
      <c r="K337" s="113" t="n"/>
      <c r="L337" s="113" t="n"/>
      <c r="M337" s="113" t="n"/>
      <c r="N337" s="112" t="n"/>
    </row>
    <row r="338">
      <c r="A338" s="23" t="n">
        <v>36</v>
      </c>
      <c r="B338" s="112" t="n"/>
      <c r="C338" s="113" t="n"/>
      <c r="D338" s="113" t="n"/>
      <c r="E338" s="113" t="n"/>
      <c r="F338" s="113" t="n"/>
      <c r="G338" s="113" t="n"/>
      <c r="H338" s="113" t="n"/>
      <c r="I338" s="113" t="n"/>
      <c r="J338" s="113" t="n"/>
      <c r="K338" s="113" t="n"/>
      <c r="L338" s="113" t="n"/>
      <c r="M338" s="113" t="n"/>
      <c r="N338" s="112" t="n"/>
    </row>
    <row r="339">
      <c r="A339" s="23" t="n">
        <v>37</v>
      </c>
      <c r="B339" s="112" t="n"/>
      <c r="C339" s="113" t="n"/>
      <c r="D339" s="113" t="n"/>
      <c r="E339" s="113" t="n"/>
      <c r="F339" s="113" t="n"/>
      <c r="G339" s="113" t="n"/>
      <c r="H339" s="113" t="n"/>
      <c r="I339" s="113" t="n"/>
      <c r="J339" s="113" t="n"/>
      <c r="K339" s="113" t="n"/>
      <c r="L339" s="113" t="n"/>
      <c r="M339" s="113" t="n"/>
      <c r="N339" s="112" t="n"/>
    </row>
    <row r="340">
      <c r="A340" s="23" t="n">
        <v>38</v>
      </c>
      <c r="B340" s="112" t="n"/>
      <c r="C340" s="113" t="n"/>
      <c r="D340" s="113" t="n"/>
      <c r="E340" s="113" t="n"/>
      <c r="F340" s="113" t="n"/>
      <c r="G340" s="113" t="n"/>
      <c r="H340" s="113" t="n"/>
      <c r="I340" s="113" t="n"/>
      <c r="J340" s="113" t="n"/>
      <c r="K340" s="113" t="n"/>
      <c r="L340" s="113" t="n"/>
      <c r="M340" s="113" t="n"/>
      <c r="N340" s="112" t="n"/>
    </row>
    <row r="341">
      <c r="A341" s="23" t="n">
        <v>39</v>
      </c>
      <c r="B341" s="112" t="n"/>
      <c r="C341" s="113" t="n"/>
      <c r="D341" s="113" t="n"/>
      <c r="E341" s="113" t="n"/>
      <c r="F341" s="113" t="n"/>
      <c r="G341" s="113" t="n"/>
      <c r="H341" s="113" t="n"/>
      <c r="I341" s="113" t="n"/>
      <c r="J341" s="113" t="n"/>
      <c r="K341" s="113" t="n"/>
      <c r="L341" s="113" t="n"/>
      <c r="M341" s="113" t="n"/>
      <c r="N341" s="112" t="n"/>
    </row>
    <row r="342">
      <c r="A342" s="23" t="n">
        <v>40</v>
      </c>
      <c r="B342" s="112" t="n"/>
      <c r="C342" s="113" t="n"/>
      <c r="D342" s="113" t="n"/>
      <c r="E342" s="113" t="n"/>
      <c r="F342" s="113" t="n"/>
      <c r="G342" s="113" t="n"/>
      <c r="H342" s="113" t="n"/>
      <c r="I342" s="113" t="n"/>
      <c r="J342" s="113" t="n"/>
      <c r="K342" s="113" t="n"/>
      <c r="L342" s="113" t="n"/>
      <c r="M342" s="113" t="n"/>
      <c r="N342" s="112" t="n"/>
    </row>
    <row r="343">
      <c r="A343" s="23" t="n">
        <v>41</v>
      </c>
      <c r="B343" s="112" t="n"/>
      <c r="C343" s="113" t="n"/>
      <c r="D343" s="113" t="n"/>
      <c r="E343" s="113" t="n"/>
      <c r="F343" s="113" t="n"/>
      <c r="G343" s="113" t="n"/>
      <c r="H343" s="113" t="n"/>
      <c r="I343" s="113" t="n"/>
      <c r="J343" s="113" t="n"/>
      <c r="K343" s="113" t="n"/>
      <c r="L343" s="113" t="n"/>
      <c r="M343" s="113" t="n"/>
      <c r="N343" s="112" t="n"/>
    </row>
    <row r="344">
      <c r="A344" s="23" t="n">
        <v>42</v>
      </c>
      <c r="B344" s="112" t="n"/>
      <c r="C344" s="113" t="n"/>
      <c r="D344" s="113" t="n"/>
      <c r="E344" s="113" t="n"/>
      <c r="F344" s="113" t="n"/>
      <c r="G344" s="113" t="n"/>
      <c r="H344" s="113" t="n"/>
      <c r="I344" s="113" t="n"/>
      <c r="J344" s="113" t="n"/>
      <c r="K344" s="113" t="n"/>
      <c r="L344" s="113" t="n"/>
      <c r="M344" s="113" t="n"/>
      <c r="N344" s="112" t="n"/>
    </row>
    <row r="345">
      <c r="A345" s="23" t="n">
        <v>43</v>
      </c>
      <c r="B345" s="112" t="n"/>
      <c r="C345" s="113" t="n"/>
      <c r="D345" s="113" t="n"/>
      <c r="E345" s="113" t="n"/>
      <c r="F345" s="113" t="n"/>
      <c r="G345" s="113" t="n"/>
      <c r="H345" s="113" t="n"/>
      <c r="I345" s="113" t="n"/>
      <c r="J345" s="113" t="n"/>
      <c r="K345" s="113" t="n"/>
      <c r="L345" s="113" t="n"/>
      <c r="M345" s="113" t="n"/>
      <c r="N345" s="112" t="n"/>
    </row>
    <row r="346">
      <c r="A346" s="23" t="n">
        <v>44</v>
      </c>
      <c r="B346" s="112" t="n"/>
      <c r="C346" s="113" t="n"/>
      <c r="D346" s="113" t="n"/>
      <c r="E346" s="113" t="n"/>
      <c r="F346" s="113" t="n"/>
      <c r="G346" s="113" t="n"/>
      <c r="H346" s="113" t="n"/>
      <c r="I346" s="113" t="n"/>
      <c r="J346" s="113" t="n"/>
      <c r="K346" s="113" t="n"/>
      <c r="L346" s="113" t="n"/>
      <c r="M346" s="113" t="n"/>
      <c r="N346" s="112" t="n"/>
    </row>
    <row r="347">
      <c r="A347" s="23" t="n">
        <v>45</v>
      </c>
      <c r="B347" s="112" t="n"/>
      <c r="C347" s="113" t="n"/>
      <c r="D347" s="113" t="n"/>
      <c r="E347" s="113" t="n"/>
      <c r="F347" s="113" t="n"/>
      <c r="G347" s="113" t="n"/>
      <c r="H347" s="113" t="n"/>
      <c r="I347" s="113" t="n"/>
      <c r="J347" s="113" t="n"/>
      <c r="K347" s="113" t="n"/>
      <c r="L347" s="113" t="n"/>
      <c r="M347" s="113" t="n"/>
      <c r="N347" s="112" t="n"/>
    </row>
    <row r="348">
      <c r="A348" s="23" t="n">
        <v>46</v>
      </c>
      <c r="B348" s="112" t="n"/>
      <c r="C348" s="113" t="n"/>
      <c r="D348" s="113" t="n"/>
      <c r="E348" s="113" t="n"/>
      <c r="F348" s="113" t="n"/>
      <c r="G348" s="113" t="n"/>
      <c r="H348" s="113" t="n"/>
      <c r="I348" s="113" t="n"/>
      <c r="J348" s="113" t="n"/>
      <c r="K348" s="113" t="n"/>
      <c r="L348" s="113" t="n"/>
      <c r="M348" s="113" t="n"/>
      <c r="N348" s="112" t="n"/>
    </row>
    <row r="349">
      <c r="A349" s="23" t="n">
        <v>47</v>
      </c>
      <c r="B349" s="112" t="n"/>
      <c r="C349" s="113" t="n"/>
      <c r="D349" s="113" t="n"/>
      <c r="E349" s="113" t="n"/>
      <c r="F349" s="113" t="n"/>
      <c r="G349" s="113" t="n"/>
      <c r="H349" s="113" t="n"/>
      <c r="I349" s="113" t="n"/>
      <c r="J349" s="113" t="n"/>
      <c r="K349" s="113" t="n"/>
      <c r="L349" s="113" t="n"/>
      <c r="M349" s="113" t="n"/>
      <c r="N349" s="112" t="n"/>
    </row>
    <row r="350">
      <c r="A350" s="23" t="n">
        <v>48</v>
      </c>
      <c r="B350" s="112" t="n"/>
      <c r="C350" s="113" t="n"/>
      <c r="D350" s="113" t="n"/>
      <c r="E350" s="113" t="n"/>
      <c r="F350" s="113" t="n"/>
      <c r="G350" s="113" t="n"/>
      <c r="H350" s="113" t="n"/>
      <c r="I350" s="113" t="n"/>
      <c r="J350" s="113" t="n"/>
      <c r="K350" s="113" t="n"/>
      <c r="L350" s="113" t="n"/>
      <c r="M350" s="113" t="n"/>
      <c r="N350" s="112" t="n"/>
    </row>
    <row r="351">
      <c r="A351" s="23" t="n">
        <v>49</v>
      </c>
      <c r="B351" s="112" t="n"/>
      <c r="C351" s="113" t="n"/>
      <c r="D351" s="113" t="n"/>
      <c r="E351" s="113" t="n"/>
      <c r="F351" s="113" t="n"/>
      <c r="G351" s="113" t="n"/>
      <c r="H351" s="113" t="n"/>
      <c r="I351" s="113" t="n"/>
      <c r="J351" s="113" t="n"/>
      <c r="K351" s="113" t="n"/>
      <c r="L351" s="113" t="n"/>
      <c r="M351" s="113" t="n"/>
      <c r="N351" s="112" t="n"/>
    </row>
    <row r="352">
      <c r="A352" s="23" t="n">
        <v>50</v>
      </c>
      <c r="B352" s="112" t="n"/>
      <c r="C352" s="113" t="n"/>
      <c r="D352" s="113" t="n"/>
      <c r="E352" s="113" t="n"/>
      <c r="F352" s="113" t="n"/>
      <c r="G352" s="113" t="n"/>
      <c r="H352" s="113" t="n"/>
      <c r="I352" s="113" t="n"/>
      <c r="J352" s="113" t="n"/>
      <c r="K352" s="113" t="n"/>
      <c r="L352" s="113" t="n"/>
      <c r="M352" s="113" t="n"/>
      <c r="N352" s="112" t="n"/>
    </row>
    <row r="353">
      <c r="A353" s="23" t="n">
        <v>51</v>
      </c>
      <c r="B353" s="112" t="n"/>
      <c r="C353" s="113" t="n"/>
      <c r="D353" s="113" t="n"/>
      <c r="E353" s="113" t="n"/>
      <c r="F353" s="113" t="n"/>
      <c r="G353" s="113" t="n"/>
      <c r="H353" s="113" t="n"/>
      <c r="I353" s="113" t="n"/>
      <c r="J353" s="113" t="n"/>
      <c r="K353" s="113" t="n"/>
      <c r="L353" s="113" t="n"/>
      <c r="M353" s="113" t="n"/>
      <c r="N353" s="112" t="n"/>
    </row>
    <row r="354">
      <c r="A354" s="23" t="n">
        <v>52</v>
      </c>
      <c r="B354" s="112" t="n"/>
      <c r="C354" s="113" t="n"/>
      <c r="D354" s="113" t="n"/>
      <c r="E354" s="113" t="n"/>
      <c r="F354" s="113" t="n"/>
      <c r="G354" s="113" t="n"/>
      <c r="H354" s="113" t="n"/>
      <c r="I354" s="113" t="n"/>
      <c r="J354" s="113" t="n"/>
      <c r="K354" s="113" t="n"/>
      <c r="L354" s="113" t="n"/>
      <c r="M354" s="113" t="n"/>
      <c r="N354" s="112" t="n"/>
    </row>
    <row r="355">
      <c r="A355" s="23" t="n">
        <v>53</v>
      </c>
      <c r="B355" s="112" t="n"/>
      <c r="C355" s="113" t="n"/>
      <c r="D355" s="113" t="n"/>
      <c r="E355" s="113" t="n"/>
      <c r="F355" s="113" t="n"/>
      <c r="G355" s="113" t="n"/>
      <c r="H355" s="113" t="n"/>
      <c r="I355" s="113" t="n"/>
      <c r="J355" s="113" t="n"/>
      <c r="K355" s="113" t="n"/>
      <c r="L355" s="113" t="n"/>
      <c r="M355" s="113" t="n"/>
      <c r="N355" s="112" t="n"/>
    </row>
    <row r="356">
      <c r="A356" s="23" t="n">
        <v>54</v>
      </c>
      <c r="B356" s="112" t="n"/>
      <c r="C356" s="113" t="n"/>
      <c r="D356" s="113" t="n"/>
      <c r="E356" s="113" t="n"/>
      <c r="F356" s="113" t="n"/>
      <c r="G356" s="113" t="n"/>
      <c r="H356" s="113" t="n"/>
      <c r="I356" s="113" t="n"/>
      <c r="J356" s="113" t="n"/>
      <c r="K356" s="113" t="n"/>
      <c r="L356" s="113" t="n"/>
      <c r="M356" s="113" t="n"/>
      <c r="N356" s="112" t="n"/>
    </row>
    <row r="357">
      <c r="A357" s="23" t="n">
        <v>55</v>
      </c>
      <c r="B357" s="112" t="n"/>
      <c r="C357" s="113" t="n"/>
      <c r="D357" s="113" t="n"/>
      <c r="E357" s="113" t="n"/>
      <c r="F357" s="113" t="n"/>
      <c r="G357" s="113" t="n"/>
      <c r="H357" s="113" t="n"/>
      <c r="I357" s="113" t="n"/>
      <c r="J357" s="113" t="n"/>
      <c r="K357" s="113" t="n"/>
      <c r="L357" s="113" t="n"/>
      <c r="M357" s="113" t="n"/>
      <c r="N357" s="112" t="n"/>
    </row>
    <row r="358">
      <c r="A358" s="23" t="n">
        <v>56</v>
      </c>
      <c r="B358" s="112" t="n"/>
      <c r="C358" s="113" t="n"/>
      <c r="D358" s="113" t="n"/>
      <c r="E358" s="113" t="n"/>
      <c r="F358" s="113" t="n"/>
      <c r="G358" s="113" t="n"/>
      <c r="H358" s="113" t="n"/>
      <c r="I358" s="113" t="n"/>
      <c r="J358" s="113" t="n"/>
      <c r="K358" s="113" t="n"/>
      <c r="L358" s="113" t="n"/>
      <c r="M358" s="113" t="n"/>
      <c r="N358" s="112" t="n"/>
    </row>
    <row r="359">
      <c r="A359" s="23" t="n">
        <v>57</v>
      </c>
      <c r="B359" s="112" t="n"/>
      <c r="C359" s="113" t="n"/>
      <c r="D359" s="113" t="n"/>
      <c r="E359" s="113" t="n"/>
      <c r="F359" s="113" t="n"/>
      <c r="G359" s="113" t="n"/>
      <c r="H359" s="113" t="n"/>
      <c r="I359" s="113" t="n"/>
      <c r="J359" s="113" t="n"/>
      <c r="K359" s="113" t="n"/>
      <c r="L359" s="113" t="n"/>
      <c r="M359" s="113" t="n"/>
      <c r="N359" s="112" t="n"/>
    </row>
    <row r="360">
      <c r="A360" s="23" t="n">
        <v>58</v>
      </c>
      <c r="B360" s="112" t="n"/>
      <c r="C360" s="113" t="n"/>
      <c r="D360" s="113" t="n"/>
      <c r="E360" s="113" t="n"/>
      <c r="F360" s="113" t="n"/>
      <c r="G360" s="113" t="n"/>
      <c r="H360" s="113" t="n"/>
      <c r="I360" s="113" t="n"/>
      <c r="J360" s="113" t="n"/>
      <c r="K360" s="113" t="n"/>
      <c r="L360" s="113" t="n"/>
      <c r="M360" s="113" t="n"/>
      <c r="N360" s="112" t="n"/>
    </row>
    <row r="361">
      <c r="A361" s="23" t="n">
        <v>59</v>
      </c>
      <c r="B361" s="112" t="n"/>
      <c r="C361" s="113" t="n"/>
      <c r="D361" s="113" t="n"/>
      <c r="E361" s="113" t="n"/>
      <c r="F361" s="113" t="n"/>
      <c r="G361" s="113" t="n"/>
      <c r="H361" s="113" t="n"/>
      <c r="I361" s="113" t="n"/>
      <c r="J361" s="113" t="n"/>
      <c r="K361" s="113" t="n"/>
      <c r="L361" s="113" t="n"/>
      <c r="M361" s="113" t="n"/>
      <c r="N361" s="112" t="n"/>
    </row>
    <row r="362">
      <c r="A362" s="23" t="n">
        <v>60</v>
      </c>
      <c r="B362" s="112" t="n"/>
      <c r="C362" s="113" t="n"/>
      <c r="D362" s="113" t="n"/>
      <c r="E362" s="113" t="n"/>
      <c r="F362" s="113" t="n"/>
      <c r="G362" s="113" t="n"/>
      <c r="H362" s="113" t="n"/>
      <c r="I362" s="113" t="n"/>
      <c r="J362" s="113" t="n"/>
      <c r="K362" s="113" t="n"/>
      <c r="L362" s="113" t="n"/>
      <c r="M362" s="113" t="n"/>
      <c r="N362" s="112" t="n"/>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16.xml><?xml version="1.0" encoding="utf-8"?>
<worksheet xmlns="http://schemas.openxmlformats.org/spreadsheetml/2006/main">
  <sheetPr>
    <tabColor rgb="00FF0000"/>
    <outlinePr summaryBelow="1" summaryRight="1"/>
    <pageSetUpPr fitToPage="1"/>
  </sheetPr>
  <dimension ref="A1:BL26"/>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Lender covenant tests (monthly)</t>
        </is>
      </c>
    </row>
    <row r="2">
      <c r="A2" s="18" t="inlineStr">
        <is>
          <t>[FORECAST]  Flags = 1 when a covenant is breached. Tested only while the relevant debt is outstanding.</t>
        </is>
      </c>
    </row>
    <row r="3"/>
    <row r="4">
      <c r="A4" s="94" t="inlineStr">
        <is>
          <t>Month #</t>
        </is>
      </c>
      <c r="B4" s="95" t="n"/>
      <c r="C4" s="95" t="n"/>
      <c r="D4" s="94" t="inlineStr">
        <is>
          <t>Opening</t>
        </is>
      </c>
      <c r="E4" s="96">
        <f>Timeline!E4</f>
        <v/>
      </c>
      <c r="F4" s="96">
        <f>Timeline!F4</f>
        <v/>
      </c>
      <c r="G4" s="96">
        <f>Timeline!G4</f>
        <v/>
      </c>
      <c r="H4" s="96">
        <f>Timeline!H4</f>
        <v/>
      </c>
      <c r="I4" s="96">
        <f>Timeline!I4</f>
        <v/>
      </c>
      <c r="J4" s="96">
        <f>Timeline!J4</f>
        <v/>
      </c>
      <c r="K4" s="96">
        <f>Timeline!K4</f>
        <v/>
      </c>
      <c r="L4" s="96">
        <f>Timeline!L4</f>
        <v/>
      </c>
      <c r="M4" s="96">
        <f>Timeline!M4</f>
        <v/>
      </c>
      <c r="N4" s="96">
        <f>Timeline!N4</f>
        <v/>
      </c>
      <c r="O4" s="96">
        <f>Timeline!O4</f>
        <v/>
      </c>
      <c r="P4" s="96">
        <f>Timeline!P4</f>
        <v/>
      </c>
      <c r="Q4" s="96">
        <f>Timeline!Q4</f>
        <v/>
      </c>
      <c r="R4" s="96">
        <f>Timeline!R4</f>
        <v/>
      </c>
      <c r="S4" s="96">
        <f>Timeline!S4</f>
        <v/>
      </c>
      <c r="T4" s="96">
        <f>Timeline!T4</f>
        <v/>
      </c>
      <c r="U4" s="96">
        <f>Timeline!U4</f>
        <v/>
      </c>
      <c r="V4" s="96">
        <f>Timeline!V4</f>
        <v/>
      </c>
      <c r="W4" s="96">
        <f>Timeline!W4</f>
        <v/>
      </c>
      <c r="X4" s="96">
        <f>Timeline!X4</f>
        <v/>
      </c>
      <c r="Y4" s="96">
        <f>Timeline!Y4</f>
        <v/>
      </c>
      <c r="Z4" s="96">
        <f>Timeline!Z4</f>
        <v/>
      </c>
      <c r="AA4" s="96">
        <f>Timeline!AA4</f>
        <v/>
      </c>
      <c r="AB4" s="96">
        <f>Timeline!AB4</f>
        <v/>
      </c>
      <c r="AC4" s="96">
        <f>Timeline!AC4</f>
        <v/>
      </c>
      <c r="AD4" s="96">
        <f>Timeline!AD4</f>
        <v/>
      </c>
      <c r="AE4" s="96">
        <f>Timeline!AE4</f>
        <v/>
      </c>
      <c r="AF4" s="96">
        <f>Timeline!AF4</f>
        <v/>
      </c>
      <c r="AG4" s="96">
        <f>Timeline!AG4</f>
        <v/>
      </c>
      <c r="AH4" s="96">
        <f>Timeline!AH4</f>
        <v/>
      </c>
      <c r="AI4" s="96">
        <f>Timeline!AI4</f>
        <v/>
      </c>
      <c r="AJ4" s="96">
        <f>Timeline!AJ4</f>
        <v/>
      </c>
      <c r="AK4" s="96">
        <f>Timeline!AK4</f>
        <v/>
      </c>
      <c r="AL4" s="96">
        <f>Timeline!AL4</f>
        <v/>
      </c>
      <c r="AM4" s="96">
        <f>Timeline!AM4</f>
        <v/>
      </c>
      <c r="AN4" s="96">
        <f>Timeline!AN4</f>
        <v/>
      </c>
      <c r="AO4" s="96">
        <f>Timeline!AO4</f>
        <v/>
      </c>
      <c r="AP4" s="96">
        <f>Timeline!AP4</f>
        <v/>
      </c>
      <c r="AQ4" s="96">
        <f>Timeline!AQ4</f>
        <v/>
      </c>
      <c r="AR4" s="96">
        <f>Timeline!AR4</f>
        <v/>
      </c>
      <c r="AS4" s="96">
        <f>Timeline!AS4</f>
        <v/>
      </c>
      <c r="AT4" s="96">
        <f>Timeline!AT4</f>
        <v/>
      </c>
      <c r="AU4" s="96">
        <f>Timeline!AU4</f>
        <v/>
      </c>
      <c r="AV4" s="96">
        <f>Timeline!AV4</f>
        <v/>
      </c>
      <c r="AW4" s="96">
        <f>Timeline!AW4</f>
        <v/>
      </c>
      <c r="AX4" s="96">
        <f>Timeline!AX4</f>
        <v/>
      </c>
      <c r="AY4" s="96">
        <f>Timeline!AY4</f>
        <v/>
      </c>
      <c r="AZ4" s="96">
        <f>Timeline!AZ4</f>
        <v/>
      </c>
      <c r="BA4" s="96">
        <f>Timeline!BA4</f>
        <v/>
      </c>
      <c r="BB4" s="96">
        <f>Timeline!BB4</f>
        <v/>
      </c>
      <c r="BC4" s="96">
        <f>Timeline!BC4</f>
        <v/>
      </c>
      <c r="BD4" s="96">
        <f>Timeline!BD4</f>
        <v/>
      </c>
      <c r="BE4" s="96">
        <f>Timeline!BE4</f>
        <v/>
      </c>
      <c r="BF4" s="96">
        <f>Timeline!BF4</f>
        <v/>
      </c>
      <c r="BG4" s="96">
        <f>Timeline!BG4</f>
        <v/>
      </c>
      <c r="BH4" s="96">
        <f>Timeline!BH4</f>
        <v/>
      </c>
      <c r="BI4" s="96">
        <f>Timeline!BI4</f>
        <v/>
      </c>
      <c r="BJ4" s="96">
        <f>Timeline!BJ4</f>
        <v/>
      </c>
      <c r="BK4" s="96">
        <f>Timeline!BK4</f>
        <v/>
      </c>
      <c r="BL4" s="96">
        <f>Timeline!BL4</f>
        <v/>
      </c>
    </row>
    <row r="5">
      <c r="A5" s="94" t="inlineStr">
        <is>
          <t>Period end</t>
        </is>
      </c>
      <c r="B5" s="95" t="n"/>
      <c r="C5" s="95" t="n"/>
      <c r="D5" s="94" t="n"/>
      <c r="E5" s="97">
        <f>Timeline!E5</f>
        <v/>
      </c>
      <c r="F5" s="97">
        <f>Timeline!F5</f>
        <v/>
      </c>
      <c r="G5" s="97">
        <f>Timeline!G5</f>
        <v/>
      </c>
      <c r="H5" s="97">
        <f>Timeline!H5</f>
        <v/>
      </c>
      <c r="I5" s="97">
        <f>Timeline!I5</f>
        <v/>
      </c>
      <c r="J5" s="97">
        <f>Timeline!J5</f>
        <v/>
      </c>
      <c r="K5" s="97">
        <f>Timeline!K5</f>
        <v/>
      </c>
      <c r="L5" s="97">
        <f>Timeline!L5</f>
        <v/>
      </c>
      <c r="M5" s="97">
        <f>Timeline!M5</f>
        <v/>
      </c>
      <c r="N5" s="97">
        <f>Timeline!N5</f>
        <v/>
      </c>
      <c r="O5" s="97">
        <f>Timeline!O5</f>
        <v/>
      </c>
      <c r="P5" s="97">
        <f>Timeline!P5</f>
        <v/>
      </c>
      <c r="Q5" s="97">
        <f>Timeline!Q5</f>
        <v/>
      </c>
      <c r="R5" s="97">
        <f>Timeline!R5</f>
        <v/>
      </c>
      <c r="S5" s="97">
        <f>Timeline!S5</f>
        <v/>
      </c>
      <c r="T5" s="97">
        <f>Timeline!T5</f>
        <v/>
      </c>
      <c r="U5" s="97">
        <f>Timeline!U5</f>
        <v/>
      </c>
      <c r="V5" s="97">
        <f>Timeline!V5</f>
        <v/>
      </c>
      <c r="W5" s="97">
        <f>Timeline!W5</f>
        <v/>
      </c>
      <c r="X5" s="97">
        <f>Timeline!X5</f>
        <v/>
      </c>
      <c r="Y5" s="97">
        <f>Timeline!Y5</f>
        <v/>
      </c>
      <c r="Z5" s="97">
        <f>Timeline!Z5</f>
        <v/>
      </c>
      <c r="AA5" s="97">
        <f>Timeline!AA5</f>
        <v/>
      </c>
      <c r="AB5" s="97">
        <f>Timeline!AB5</f>
        <v/>
      </c>
      <c r="AC5" s="97">
        <f>Timeline!AC5</f>
        <v/>
      </c>
      <c r="AD5" s="97">
        <f>Timeline!AD5</f>
        <v/>
      </c>
      <c r="AE5" s="97">
        <f>Timeline!AE5</f>
        <v/>
      </c>
      <c r="AF5" s="97">
        <f>Timeline!AF5</f>
        <v/>
      </c>
      <c r="AG5" s="97">
        <f>Timeline!AG5</f>
        <v/>
      </c>
      <c r="AH5" s="97">
        <f>Timeline!AH5</f>
        <v/>
      </c>
      <c r="AI5" s="97">
        <f>Timeline!AI5</f>
        <v/>
      </c>
      <c r="AJ5" s="97">
        <f>Timeline!AJ5</f>
        <v/>
      </c>
      <c r="AK5" s="97">
        <f>Timeline!AK5</f>
        <v/>
      </c>
      <c r="AL5" s="97">
        <f>Timeline!AL5</f>
        <v/>
      </c>
      <c r="AM5" s="97">
        <f>Timeline!AM5</f>
        <v/>
      </c>
      <c r="AN5" s="97">
        <f>Timeline!AN5</f>
        <v/>
      </c>
      <c r="AO5" s="97">
        <f>Timeline!AO5</f>
        <v/>
      </c>
      <c r="AP5" s="97">
        <f>Timeline!AP5</f>
        <v/>
      </c>
      <c r="AQ5" s="97">
        <f>Timeline!AQ5</f>
        <v/>
      </c>
      <c r="AR5" s="97">
        <f>Timeline!AR5</f>
        <v/>
      </c>
      <c r="AS5" s="97">
        <f>Timeline!AS5</f>
        <v/>
      </c>
      <c r="AT5" s="97">
        <f>Timeline!AT5</f>
        <v/>
      </c>
      <c r="AU5" s="97">
        <f>Timeline!AU5</f>
        <v/>
      </c>
      <c r="AV5" s="97">
        <f>Timeline!AV5</f>
        <v/>
      </c>
      <c r="AW5" s="97">
        <f>Timeline!AW5</f>
        <v/>
      </c>
      <c r="AX5" s="97">
        <f>Timeline!AX5</f>
        <v/>
      </c>
      <c r="AY5" s="97">
        <f>Timeline!AY5</f>
        <v/>
      </c>
      <c r="AZ5" s="97">
        <f>Timeline!AZ5</f>
        <v/>
      </c>
      <c r="BA5" s="97">
        <f>Timeline!BA5</f>
        <v/>
      </c>
      <c r="BB5" s="97">
        <f>Timeline!BB5</f>
        <v/>
      </c>
      <c r="BC5" s="97">
        <f>Timeline!BC5</f>
        <v/>
      </c>
      <c r="BD5" s="97">
        <f>Timeline!BD5</f>
        <v/>
      </c>
      <c r="BE5" s="97">
        <f>Timeline!BE5</f>
        <v/>
      </c>
      <c r="BF5" s="97">
        <f>Timeline!BF5</f>
        <v/>
      </c>
      <c r="BG5" s="97">
        <f>Timeline!BG5</f>
        <v/>
      </c>
      <c r="BH5" s="97">
        <f>Timeline!BH5</f>
        <v/>
      </c>
      <c r="BI5" s="97">
        <f>Timeline!BI5</f>
        <v/>
      </c>
      <c r="BJ5" s="97">
        <f>Timeline!BJ5</f>
        <v/>
      </c>
      <c r="BK5" s="97">
        <f>Timeline!BK5</f>
        <v/>
      </c>
      <c r="BL5" s="97">
        <f>Timeline!BL5</f>
        <v/>
      </c>
    </row>
    <row r="6">
      <c r="A6" s="94" t="inlineStr">
        <is>
          <t>Year #</t>
        </is>
      </c>
      <c r="B6" s="95" t="n"/>
      <c r="C6" s="95" t="n"/>
      <c r="D6" s="94" t="n"/>
      <c r="E6" s="96">
        <f>Timeline!E6</f>
        <v/>
      </c>
      <c r="F6" s="96">
        <f>Timeline!F6</f>
        <v/>
      </c>
      <c r="G6" s="96">
        <f>Timeline!G6</f>
        <v/>
      </c>
      <c r="H6" s="96">
        <f>Timeline!H6</f>
        <v/>
      </c>
      <c r="I6" s="96">
        <f>Timeline!I6</f>
        <v/>
      </c>
      <c r="J6" s="96">
        <f>Timeline!J6</f>
        <v/>
      </c>
      <c r="K6" s="96">
        <f>Timeline!K6</f>
        <v/>
      </c>
      <c r="L6" s="96">
        <f>Timeline!L6</f>
        <v/>
      </c>
      <c r="M6" s="96">
        <f>Timeline!M6</f>
        <v/>
      </c>
      <c r="N6" s="96">
        <f>Timeline!N6</f>
        <v/>
      </c>
      <c r="O6" s="96">
        <f>Timeline!O6</f>
        <v/>
      </c>
      <c r="P6" s="96">
        <f>Timeline!P6</f>
        <v/>
      </c>
      <c r="Q6" s="96">
        <f>Timeline!Q6</f>
        <v/>
      </c>
      <c r="R6" s="96">
        <f>Timeline!R6</f>
        <v/>
      </c>
      <c r="S6" s="96">
        <f>Timeline!S6</f>
        <v/>
      </c>
      <c r="T6" s="96">
        <f>Timeline!T6</f>
        <v/>
      </c>
      <c r="U6" s="96">
        <f>Timeline!U6</f>
        <v/>
      </c>
      <c r="V6" s="96">
        <f>Timeline!V6</f>
        <v/>
      </c>
      <c r="W6" s="96">
        <f>Timeline!W6</f>
        <v/>
      </c>
      <c r="X6" s="96">
        <f>Timeline!X6</f>
        <v/>
      </c>
      <c r="Y6" s="96">
        <f>Timeline!Y6</f>
        <v/>
      </c>
      <c r="Z6" s="96">
        <f>Timeline!Z6</f>
        <v/>
      </c>
      <c r="AA6" s="96">
        <f>Timeline!AA6</f>
        <v/>
      </c>
      <c r="AB6" s="96">
        <f>Timeline!AB6</f>
        <v/>
      </c>
      <c r="AC6" s="96">
        <f>Timeline!AC6</f>
        <v/>
      </c>
      <c r="AD6" s="96">
        <f>Timeline!AD6</f>
        <v/>
      </c>
      <c r="AE6" s="96">
        <f>Timeline!AE6</f>
        <v/>
      </c>
      <c r="AF6" s="96">
        <f>Timeline!AF6</f>
        <v/>
      </c>
      <c r="AG6" s="96">
        <f>Timeline!AG6</f>
        <v/>
      </c>
      <c r="AH6" s="96">
        <f>Timeline!AH6</f>
        <v/>
      </c>
      <c r="AI6" s="96">
        <f>Timeline!AI6</f>
        <v/>
      </c>
      <c r="AJ6" s="96">
        <f>Timeline!AJ6</f>
        <v/>
      </c>
      <c r="AK6" s="96">
        <f>Timeline!AK6</f>
        <v/>
      </c>
      <c r="AL6" s="96">
        <f>Timeline!AL6</f>
        <v/>
      </c>
      <c r="AM6" s="96">
        <f>Timeline!AM6</f>
        <v/>
      </c>
      <c r="AN6" s="96">
        <f>Timeline!AN6</f>
        <v/>
      </c>
      <c r="AO6" s="96">
        <f>Timeline!AO6</f>
        <v/>
      </c>
      <c r="AP6" s="96">
        <f>Timeline!AP6</f>
        <v/>
      </c>
      <c r="AQ6" s="96">
        <f>Timeline!AQ6</f>
        <v/>
      </c>
      <c r="AR6" s="96">
        <f>Timeline!AR6</f>
        <v/>
      </c>
      <c r="AS6" s="96">
        <f>Timeline!AS6</f>
        <v/>
      </c>
      <c r="AT6" s="96">
        <f>Timeline!AT6</f>
        <v/>
      </c>
      <c r="AU6" s="96">
        <f>Timeline!AU6</f>
        <v/>
      </c>
      <c r="AV6" s="96">
        <f>Timeline!AV6</f>
        <v/>
      </c>
      <c r="AW6" s="96">
        <f>Timeline!AW6</f>
        <v/>
      </c>
      <c r="AX6" s="96">
        <f>Timeline!AX6</f>
        <v/>
      </c>
      <c r="AY6" s="96">
        <f>Timeline!AY6</f>
        <v/>
      </c>
      <c r="AZ6" s="96">
        <f>Timeline!AZ6</f>
        <v/>
      </c>
      <c r="BA6" s="96">
        <f>Timeline!BA6</f>
        <v/>
      </c>
      <c r="BB6" s="96">
        <f>Timeline!BB6</f>
        <v/>
      </c>
      <c r="BC6" s="96">
        <f>Timeline!BC6</f>
        <v/>
      </c>
      <c r="BD6" s="96">
        <f>Timeline!BD6</f>
        <v/>
      </c>
      <c r="BE6" s="96">
        <f>Timeline!BE6</f>
        <v/>
      </c>
      <c r="BF6" s="96">
        <f>Timeline!BF6</f>
        <v/>
      </c>
      <c r="BG6" s="96">
        <f>Timeline!BG6</f>
        <v/>
      </c>
      <c r="BH6" s="96">
        <f>Timeline!BH6</f>
        <v/>
      </c>
      <c r="BI6" s="96">
        <f>Timeline!BI6</f>
        <v/>
      </c>
      <c r="BJ6" s="96">
        <f>Timeline!BJ6</f>
        <v/>
      </c>
      <c r="BK6" s="96">
        <f>Timeline!BK6</f>
        <v/>
      </c>
      <c r="BL6" s="96">
        <f>Timeline!BL6</f>
        <v/>
      </c>
    </row>
    <row r="7"/>
    <row r="8">
      <c r="A8" s="98" t="inlineStr">
        <is>
          <t>Trailing 3-month collection rate</t>
        </is>
      </c>
      <c r="B8" s="65" t="inlineStr"/>
      <c r="C8" s="106">
        <f>MIN(E8:BL8)</f>
        <v/>
      </c>
      <c r="E8" s="81">
        <f>IFERROR(SUM(Ops!E140:E140)/SUM(Ops!E139:E139),0)</f>
        <v/>
      </c>
      <c r="F8" s="81">
        <f>IFERROR(SUM(Ops!E140:F140)/SUM(Ops!E139:F139),0)</f>
        <v/>
      </c>
      <c r="G8" s="81">
        <f>IFERROR(SUM(Ops!E140:G140)/SUM(Ops!E139:G139),0)</f>
        <v/>
      </c>
      <c r="H8" s="81">
        <f>IFERROR(SUM(Ops!F140:H140)/SUM(Ops!F139:H139),0)</f>
        <v/>
      </c>
      <c r="I8" s="81">
        <f>IFERROR(SUM(Ops!G140:I140)/SUM(Ops!G139:I139),0)</f>
        <v/>
      </c>
      <c r="J8" s="81">
        <f>IFERROR(SUM(Ops!H140:J140)/SUM(Ops!H139:J139),0)</f>
        <v/>
      </c>
      <c r="K8" s="81">
        <f>IFERROR(SUM(Ops!I140:K140)/SUM(Ops!I139:K139),0)</f>
        <v/>
      </c>
      <c r="L8" s="81">
        <f>IFERROR(SUM(Ops!J140:L140)/SUM(Ops!J139:L139),0)</f>
        <v/>
      </c>
      <c r="M8" s="81">
        <f>IFERROR(SUM(Ops!K140:M140)/SUM(Ops!K139:M139),0)</f>
        <v/>
      </c>
      <c r="N8" s="81">
        <f>IFERROR(SUM(Ops!L140:N140)/SUM(Ops!L139:N139),0)</f>
        <v/>
      </c>
      <c r="O8" s="81">
        <f>IFERROR(SUM(Ops!M140:O140)/SUM(Ops!M139:O139),0)</f>
        <v/>
      </c>
      <c r="P8" s="81">
        <f>IFERROR(SUM(Ops!N140:P140)/SUM(Ops!N139:P139),0)</f>
        <v/>
      </c>
      <c r="Q8" s="81">
        <f>IFERROR(SUM(Ops!O140:Q140)/SUM(Ops!O139:Q139),0)</f>
        <v/>
      </c>
      <c r="R8" s="81">
        <f>IFERROR(SUM(Ops!P140:R140)/SUM(Ops!P139:R139),0)</f>
        <v/>
      </c>
      <c r="S8" s="81">
        <f>IFERROR(SUM(Ops!Q140:S140)/SUM(Ops!Q139:S139),0)</f>
        <v/>
      </c>
      <c r="T8" s="81">
        <f>IFERROR(SUM(Ops!R140:T140)/SUM(Ops!R139:T139),0)</f>
        <v/>
      </c>
      <c r="U8" s="81">
        <f>IFERROR(SUM(Ops!S140:U140)/SUM(Ops!S139:U139),0)</f>
        <v/>
      </c>
      <c r="V8" s="81">
        <f>IFERROR(SUM(Ops!T140:V140)/SUM(Ops!T139:V139),0)</f>
        <v/>
      </c>
      <c r="W8" s="81">
        <f>IFERROR(SUM(Ops!U140:W140)/SUM(Ops!U139:W139),0)</f>
        <v/>
      </c>
      <c r="X8" s="81">
        <f>IFERROR(SUM(Ops!V140:X140)/SUM(Ops!V139:X139),0)</f>
        <v/>
      </c>
      <c r="Y8" s="81">
        <f>IFERROR(SUM(Ops!W140:Y140)/SUM(Ops!W139:Y139),0)</f>
        <v/>
      </c>
      <c r="Z8" s="81">
        <f>IFERROR(SUM(Ops!X140:Z140)/SUM(Ops!X139:Z139),0)</f>
        <v/>
      </c>
      <c r="AA8" s="81">
        <f>IFERROR(SUM(Ops!Y140:AA140)/SUM(Ops!Y139:AA139),0)</f>
        <v/>
      </c>
      <c r="AB8" s="81">
        <f>IFERROR(SUM(Ops!Z140:AB140)/SUM(Ops!Z139:AB139),0)</f>
        <v/>
      </c>
      <c r="AC8" s="81">
        <f>IFERROR(SUM(Ops!AA140:AC140)/SUM(Ops!AA139:AC139),0)</f>
        <v/>
      </c>
      <c r="AD8" s="81">
        <f>IFERROR(SUM(Ops!AB140:AD140)/SUM(Ops!AB139:AD139),0)</f>
        <v/>
      </c>
      <c r="AE8" s="81">
        <f>IFERROR(SUM(Ops!AC140:AE140)/SUM(Ops!AC139:AE139),0)</f>
        <v/>
      </c>
      <c r="AF8" s="81">
        <f>IFERROR(SUM(Ops!AD140:AF140)/SUM(Ops!AD139:AF139),0)</f>
        <v/>
      </c>
      <c r="AG8" s="81">
        <f>IFERROR(SUM(Ops!AE140:AG140)/SUM(Ops!AE139:AG139),0)</f>
        <v/>
      </c>
      <c r="AH8" s="81">
        <f>IFERROR(SUM(Ops!AF140:AH140)/SUM(Ops!AF139:AH139),0)</f>
        <v/>
      </c>
      <c r="AI8" s="81">
        <f>IFERROR(SUM(Ops!AG140:AI140)/SUM(Ops!AG139:AI139),0)</f>
        <v/>
      </c>
      <c r="AJ8" s="81">
        <f>IFERROR(SUM(Ops!AH140:AJ140)/SUM(Ops!AH139:AJ139),0)</f>
        <v/>
      </c>
      <c r="AK8" s="81">
        <f>IFERROR(SUM(Ops!AI140:AK140)/SUM(Ops!AI139:AK139),0)</f>
        <v/>
      </c>
      <c r="AL8" s="81">
        <f>IFERROR(SUM(Ops!AJ140:AL140)/SUM(Ops!AJ139:AL139),0)</f>
        <v/>
      </c>
      <c r="AM8" s="81">
        <f>IFERROR(SUM(Ops!AK140:AM140)/SUM(Ops!AK139:AM139),0)</f>
        <v/>
      </c>
      <c r="AN8" s="81">
        <f>IFERROR(SUM(Ops!AL140:AN140)/SUM(Ops!AL139:AN139),0)</f>
        <v/>
      </c>
      <c r="AO8" s="81">
        <f>IFERROR(SUM(Ops!AM140:AO140)/SUM(Ops!AM139:AO139),0)</f>
        <v/>
      </c>
      <c r="AP8" s="81">
        <f>IFERROR(SUM(Ops!AN140:AP140)/SUM(Ops!AN139:AP139),0)</f>
        <v/>
      </c>
      <c r="AQ8" s="81">
        <f>IFERROR(SUM(Ops!AO140:AQ140)/SUM(Ops!AO139:AQ139),0)</f>
        <v/>
      </c>
      <c r="AR8" s="81">
        <f>IFERROR(SUM(Ops!AP140:AR140)/SUM(Ops!AP139:AR139),0)</f>
        <v/>
      </c>
      <c r="AS8" s="81">
        <f>IFERROR(SUM(Ops!AQ140:AS140)/SUM(Ops!AQ139:AS139),0)</f>
        <v/>
      </c>
      <c r="AT8" s="81">
        <f>IFERROR(SUM(Ops!AR140:AT140)/SUM(Ops!AR139:AT139),0)</f>
        <v/>
      </c>
      <c r="AU8" s="81">
        <f>IFERROR(SUM(Ops!AS140:AU140)/SUM(Ops!AS139:AU139),0)</f>
        <v/>
      </c>
      <c r="AV8" s="81">
        <f>IFERROR(SUM(Ops!AT140:AV140)/SUM(Ops!AT139:AV139),0)</f>
        <v/>
      </c>
      <c r="AW8" s="81">
        <f>IFERROR(SUM(Ops!AU140:AW140)/SUM(Ops!AU139:AW139),0)</f>
        <v/>
      </c>
      <c r="AX8" s="81">
        <f>IFERROR(SUM(Ops!AV140:AX140)/SUM(Ops!AV139:AX139),0)</f>
        <v/>
      </c>
      <c r="AY8" s="81">
        <f>IFERROR(SUM(Ops!AW140:AY140)/SUM(Ops!AW139:AY139),0)</f>
        <v/>
      </c>
      <c r="AZ8" s="81">
        <f>IFERROR(SUM(Ops!AX140:AZ140)/SUM(Ops!AX139:AZ139),0)</f>
        <v/>
      </c>
      <c r="BA8" s="81">
        <f>IFERROR(SUM(Ops!AY140:BA140)/SUM(Ops!AY139:BA139),0)</f>
        <v/>
      </c>
      <c r="BB8" s="81">
        <f>IFERROR(SUM(Ops!AZ140:BB140)/SUM(Ops!AZ139:BB139),0)</f>
        <v/>
      </c>
      <c r="BC8" s="81">
        <f>IFERROR(SUM(Ops!BA140:BC140)/SUM(Ops!BA139:BC139),0)</f>
        <v/>
      </c>
      <c r="BD8" s="81">
        <f>IFERROR(SUM(Ops!BB140:BD140)/SUM(Ops!BB139:BD139),0)</f>
        <v/>
      </c>
      <c r="BE8" s="81">
        <f>IFERROR(SUM(Ops!BC140:BE140)/SUM(Ops!BC139:BE139),0)</f>
        <v/>
      </c>
      <c r="BF8" s="81">
        <f>IFERROR(SUM(Ops!BD140:BF140)/SUM(Ops!BD139:BF139),0)</f>
        <v/>
      </c>
      <c r="BG8" s="81">
        <f>IFERROR(SUM(Ops!BE140:BG140)/SUM(Ops!BE139:BG139),0)</f>
        <v/>
      </c>
      <c r="BH8" s="81">
        <f>IFERROR(SUM(Ops!BF140:BH140)/SUM(Ops!BF139:BH139),0)</f>
        <v/>
      </c>
      <c r="BI8" s="81">
        <f>IFERROR(SUM(Ops!BG140:BI140)/SUM(Ops!BG139:BI139),0)</f>
        <v/>
      </c>
      <c r="BJ8" s="81">
        <f>IFERROR(SUM(Ops!BH140:BJ140)/SUM(Ops!BH139:BJ139),0)</f>
        <v/>
      </c>
      <c r="BK8" s="81">
        <f>IFERROR(SUM(Ops!BI140:BK140)/SUM(Ops!BI139:BK139),0)</f>
        <v/>
      </c>
      <c r="BL8" s="81">
        <f>IFERROR(SUM(Ops!BJ140:BL140)/SUM(Ops!BJ139:BL139),0)</f>
        <v/>
      </c>
    </row>
    <row r="9">
      <c r="A9" s="98" t="inlineStr">
        <is>
          <t>Breach: collection rate below minimum</t>
        </is>
      </c>
      <c r="B9" s="65" t="inlineStr"/>
      <c r="C9" s="114">
        <f>SUM(E9:BL9)</f>
        <v/>
      </c>
      <c r="E9" s="23">
        <f>IF(AND(Financing!E$23&gt;0,E8&lt;Inputs!$C$70),1,0)</f>
        <v/>
      </c>
      <c r="F9" s="23">
        <f>IF(AND(Financing!F$23&gt;0,F8&lt;Inputs!$C$70),1,0)</f>
        <v/>
      </c>
      <c r="G9" s="23">
        <f>IF(AND(Financing!G$23&gt;0,G8&lt;Inputs!$C$70),1,0)</f>
        <v/>
      </c>
      <c r="H9" s="23">
        <f>IF(AND(Financing!H$23&gt;0,H8&lt;Inputs!$C$70),1,0)</f>
        <v/>
      </c>
      <c r="I9" s="23">
        <f>IF(AND(Financing!I$23&gt;0,I8&lt;Inputs!$C$70),1,0)</f>
        <v/>
      </c>
      <c r="J9" s="23">
        <f>IF(AND(Financing!J$23&gt;0,J8&lt;Inputs!$C$70),1,0)</f>
        <v/>
      </c>
      <c r="K9" s="23">
        <f>IF(AND(Financing!K$23&gt;0,K8&lt;Inputs!$C$70),1,0)</f>
        <v/>
      </c>
      <c r="L9" s="23">
        <f>IF(AND(Financing!L$23&gt;0,L8&lt;Inputs!$C$70),1,0)</f>
        <v/>
      </c>
      <c r="M9" s="23">
        <f>IF(AND(Financing!M$23&gt;0,M8&lt;Inputs!$C$70),1,0)</f>
        <v/>
      </c>
      <c r="N9" s="23">
        <f>IF(AND(Financing!N$23&gt;0,N8&lt;Inputs!$C$70),1,0)</f>
        <v/>
      </c>
      <c r="O9" s="23">
        <f>IF(AND(Financing!O$23&gt;0,O8&lt;Inputs!$C$70),1,0)</f>
        <v/>
      </c>
      <c r="P9" s="23">
        <f>IF(AND(Financing!P$23&gt;0,P8&lt;Inputs!$C$70),1,0)</f>
        <v/>
      </c>
      <c r="Q9" s="23">
        <f>IF(AND(Financing!Q$23&gt;0,Q8&lt;Inputs!$C$70),1,0)</f>
        <v/>
      </c>
      <c r="R9" s="23">
        <f>IF(AND(Financing!R$23&gt;0,R8&lt;Inputs!$C$70),1,0)</f>
        <v/>
      </c>
      <c r="S9" s="23">
        <f>IF(AND(Financing!S$23&gt;0,S8&lt;Inputs!$C$70),1,0)</f>
        <v/>
      </c>
      <c r="T9" s="23">
        <f>IF(AND(Financing!T$23&gt;0,T8&lt;Inputs!$C$70),1,0)</f>
        <v/>
      </c>
      <c r="U9" s="23">
        <f>IF(AND(Financing!U$23&gt;0,U8&lt;Inputs!$C$70),1,0)</f>
        <v/>
      </c>
      <c r="V9" s="23">
        <f>IF(AND(Financing!V$23&gt;0,V8&lt;Inputs!$C$70),1,0)</f>
        <v/>
      </c>
      <c r="W9" s="23">
        <f>IF(AND(Financing!W$23&gt;0,W8&lt;Inputs!$C$70),1,0)</f>
        <v/>
      </c>
      <c r="X9" s="23">
        <f>IF(AND(Financing!X$23&gt;0,X8&lt;Inputs!$C$70),1,0)</f>
        <v/>
      </c>
      <c r="Y9" s="23">
        <f>IF(AND(Financing!Y$23&gt;0,Y8&lt;Inputs!$C$70),1,0)</f>
        <v/>
      </c>
      <c r="Z9" s="23">
        <f>IF(AND(Financing!Z$23&gt;0,Z8&lt;Inputs!$C$70),1,0)</f>
        <v/>
      </c>
      <c r="AA9" s="23">
        <f>IF(AND(Financing!AA$23&gt;0,AA8&lt;Inputs!$C$70),1,0)</f>
        <v/>
      </c>
      <c r="AB9" s="23">
        <f>IF(AND(Financing!AB$23&gt;0,AB8&lt;Inputs!$C$70),1,0)</f>
        <v/>
      </c>
      <c r="AC9" s="23">
        <f>IF(AND(Financing!AC$23&gt;0,AC8&lt;Inputs!$C$70),1,0)</f>
        <v/>
      </c>
      <c r="AD9" s="23">
        <f>IF(AND(Financing!AD$23&gt;0,AD8&lt;Inputs!$C$70),1,0)</f>
        <v/>
      </c>
      <c r="AE9" s="23">
        <f>IF(AND(Financing!AE$23&gt;0,AE8&lt;Inputs!$C$70),1,0)</f>
        <v/>
      </c>
      <c r="AF9" s="23">
        <f>IF(AND(Financing!AF$23&gt;0,AF8&lt;Inputs!$C$70),1,0)</f>
        <v/>
      </c>
      <c r="AG9" s="23">
        <f>IF(AND(Financing!AG$23&gt;0,AG8&lt;Inputs!$C$70),1,0)</f>
        <v/>
      </c>
      <c r="AH9" s="23">
        <f>IF(AND(Financing!AH$23&gt;0,AH8&lt;Inputs!$C$70),1,0)</f>
        <v/>
      </c>
      <c r="AI9" s="23">
        <f>IF(AND(Financing!AI$23&gt;0,AI8&lt;Inputs!$C$70),1,0)</f>
        <v/>
      </c>
      <c r="AJ9" s="23">
        <f>IF(AND(Financing!AJ$23&gt;0,AJ8&lt;Inputs!$C$70),1,0)</f>
        <v/>
      </c>
      <c r="AK9" s="23">
        <f>IF(AND(Financing!AK$23&gt;0,AK8&lt;Inputs!$C$70),1,0)</f>
        <v/>
      </c>
      <c r="AL9" s="23">
        <f>IF(AND(Financing!AL$23&gt;0,AL8&lt;Inputs!$C$70),1,0)</f>
        <v/>
      </c>
      <c r="AM9" s="23">
        <f>IF(AND(Financing!AM$23&gt;0,AM8&lt;Inputs!$C$70),1,0)</f>
        <v/>
      </c>
      <c r="AN9" s="23">
        <f>IF(AND(Financing!AN$23&gt;0,AN8&lt;Inputs!$C$70),1,0)</f>
        <v/>
      </c>
      <c r="AO9" s="23">
        <f>IF(AND(Financing!AO$23&gt;0,AO8&lt;Inputs!$C$70),1,0)</f>
        <v/>
      </c>
      <c r="AP9" s="23">
        <f>IF(AND(Financing!AP$23&gt;0,AP8&lt;Inputs!$C$70),1,0)</f>
        <v/>
      </c>
      <c r="AQ9" s="23">
        <f>IF(AND(Financing!AQ$23&gt;0,AQ8&lt;Inputs!$C$70),1,0)</f>
        <v/>
      </c>
      <c r="AR9" s="23">
        <f>IF(AND(Financing!AR$23&gt;0,AR8&lt;Inputs!$C$70),1,0)</f>
        <v/>
      </c>
      <c r="AS9" s="23">
        <f>IF(AND(Financing!AS$23&gt;0,AS8&lt;Inputs!$C$70),1,0)</f>
        <v/>
      </c>
      <c r="AT9" s="23">
        <f>IF(AND(Financing!AT$23&gt;0,AT8&lt;Inputs!$C$70),1,0)</f>
        <v/>
      </c>
      <c r="AU9" s="23">
        <f>IF(AND(Financing!AU$23&gt;0,AU8&lt;Inputs!$C$70),1,0)</f>
        <v/>
      </c>
      <c r="AV9" s="23">
        <f>IF(AND(Financing!AV$23&gt;0,AV8&lt;Inputs!$C$70),1,0)</f>
        <v/>
      </c>
      <c r="AW9" s="23">
        <f>IF(AND(Financing!AW$23&gt;0,AW8&lt;Inputs!$C$70),1,0)</f>
        <v/>
      </c>
      <c r="AX9" s="23">
        <f>IF(AND(Financing!AX$23&gt;0,AX8&lt;Inputs!$C$70),1,0)</f>
        <v/>
      </c>
      <c r="AY9" s="23">
        <f>IF(AND(Financing!AY$23&gt;0,AY8&lt;Inputs!$C$70),1,0)</f>
        <v/>
      </c>
      <c r="AZ9" s="23">
        <f>IF(AND(Financing!AZ$23&gt;0,AZ8&lt;Inputs!$C$70),1,0)</f>
        <v/>
      </c>
      <c r="BA9" s="23">
        <f>IF(AND(Financing!BA$23&gt;0,BA8&lt;Inputs!$C$70),1,0)</f>
        <v/>
      </c>
      <c r="BB9" s="23">
        <f>IF(AND(Financing!BB$23&gt;0,BB8&lt;Inputs!$C$70),1,0)</f>
        <v/>
      </c>
      <c r="BC9" s="23">
        <f>IF(AND(Financing!BC$23&gt;0,BC8&lt;Inputs!$C$70),1,0)</f>
        <v/>
      </c>
      <c r="BD9" s="23">
        <f>IF(AND(Financing!BD$23&gt;0,BD8&lt;Inputs!$C$70),1,0)</f>
        <v/>
      </c>
      <c r="BE9" s="23">
        <f>IF(AND(Financing!BE$23&gt;0,BE8&lt;Inputs!$C$70),1,0)</f>
        <v/>
      </c>
      <c r="BF9" s="23">
        <f>IF(AND(Financing!BF$23&gt;0,BF8&lt;Inputs!$C$70),1,0)</f>
        <v/>
      </c>
      <c r="BG9" s="23">
        <f>IF(AND(Financing!BG$23&gt;0,BG8&lt;Inputs!$C$70),1,0)</f>
        <v/>
      </c>
      <c r="BH9" s="23">
        <f>IF(AND(Financing!BH$23&gt;0,BH8&lt;Inputs!$C$70),1,0)</f>
        <v/>
      </c>
      <c r="BI9" s="23">
        <f>IF(AND(Financing!BI$23&gt;0,BI8&lt;Inputs!$C$70),1,0)</f>
        <v/>
      </c>
      <c r="BJ9" s="23">
        <f>IF(AND(Financing!BJ$23&gt;0,BJ8&lt;Inputs!$C$70),1,0)</f>
        <v/>
      </c>
      <c r="BK9" s="23">
        <f>IF(AND(Financing!BK$23&gt;0,BK8&lt;Inputs!$C$70),1,0)</f>
        <v/>
      </c>
      <c r="BL9" s="23">
        <f>IF(AND(Financing!BL$23&gt;0,BL8&lt;Inputs!$C$70),1,0)</f>
        <v/>
      </c>
    </row>
    <row r="10">
      <c r="A10" s="98" t="inlineStr">
        <is>
          <t>Receivables at risk / gross receivables</t>
        </is>
      </c>
      <c r="B10" s="65" t="inlineStr"/>
      <c r="C10" s="106">
        <f>MAX(E10:BL10)</f>
        <v/>
      </c>
      <c r="E10" s="81">
        <f>Ops!E$161</f>
        <v/>
      </c>
      <c r="F10" s="81">
        <f>Ops!F$161</f>
        <v/>
      </c>
      <c r="G10" s="81">
        <f>Ops!G$161</f>
        <v/>
      </c>
      <c r="H10" s="81">
        <f>Ops!H$161</f>
        <v/>
      </c>
      <c r="I10" s="81">
        <f>Ops!I$161</f>
        <v/>
      </c>
      <c r="J10" s="81">
        <f>Ops!J$161</f>
        <v/>
      </c>
      <c r="K10" s="81">
        <f>Ops!K$161</f>
        <v/>
      </c>
      <c r="L10" s="81">
        <f>Ops!L$161</f>
        <v/>
      </c>
      <c r="M10" s="81">
        <f>Ops!M$161</f>
        <v/>
      </c>
      <c r="N10" s="81">
        <f>Ops!N$161</f>
        <v/>
      </c>
      <c r="O10" s="81">
        <f>Ops!O$161</f>
        <v/>
      </c>
      <c r="P10" s="81">
        <f>Ops!P$161</f>
        <v/>
      </c>
      <c r="Q10" s="81">
        <f>Ops!Q$161</f>
        <v/>
      </c>
      <c r="R10" s="81">
        <f>Ops!R$161</f>
        <v/>
      </c>
      <c r="S10" s="81">
        <f>Ops!S$161</f>
        <v/>
      </c>
      <c r="T10" s="81">
        <f>Ops!T$161</f>
        <v/>
      </c>
      <c r="U10" s="81">
        <f>Ops!U$161</f>
        <v/>
      </c>
      <c r="V10" s="81">
        <f>Ops!V$161</f>
        <v/>
      </c>
      <c r="W10" s="81">
        <f>Ops!W$161</f>
        <v/>
      </c>
      <c r="X10" s="81">
        <f>Ops!X$161</f>
        <v/>
      </c>
      <c r="Y10" s="81">
        <f>Ops!Y$161</f>
        <v/>
      </c>
      <c r="Z10" s="81">
        <f>Ops!Z$161</f>
        <v/>
      </c>
      <c r="AA10" s="81">
        <f>Ops!AA$161</f>
        <v/>
      </c>
      <c r="AB10" s="81">
        <f>Ops!AB$161</f>
        <v/>
      </c>
      <c r="AC10" s="81">
        <f>Ops!AC$161</f>
        <v/>
      </c>
      <c r="AD10" s="81">
        <f>Ops!AD$161</f>
        <v/>
      </c>
      <c r="AE10" s="81">
        <f>Ops!AE$161</f>
        <v/>
      </c>
      <c r="AF10" s="81">
        <f>Ops!AF$161</f>
        <v/>
      </c>
      <c r="AG10" s="81">
        <f>Ops!AG$161</f>
        <v/>
      </c>
      <c r="AH10" s="81">
        <f>Ops!AH$161</f>
        <v/>
      </c>
      <c r="AI10" s="81">
        <f>Ops!AI$161</f>
        <v/>
      </c>
      <c r="AJ10" s="81">
        <f>Ops!AJ$161</f>
        <v/>
      </c>
      <c r="AK10" s="81">
        <f>Ops!AK$161</f>
        <v/>
      </c>
      <c r="AL10" s="81">
        <f>Ops!AL$161</f>
        <v/>
      </c>
      <c r="AM10" s="81">
        <f>Ops!AM$161</f>
        <v/>
      </c>
      <c r="AN10" s="81">
        <f>Ops!AN$161</f>
        <v/>
      </c>
      <c r="AO10" s="81">
        <f>Ops!AO$161</f>
        <v/>
      </c>
      <c r="AP10" s="81">
        <f>Ops!AP$161</f>
        <v/>
      </c>
      <c r="AQ10" s="81">
        <f>Ops!AQ$161</f>
        <v/>
      </c>
      <c r="AR10" s="81">
        <f>Ops!AR$161</f>
        <v/>
      </c>
      <c r="AS10" s="81">
        <f>Ops!AS$161</f>
        <v/>
      </c>
      <c r="AT10" s="81">
        <f>Ops!AT$161</f>
        <v/>
      </c>
      <c r="AU10" s="81">
        <f>Ops!AU$161</f>
        <v/>
      </c>
      <c r="AV10" s="81">
        <f>Ops!AV$161</f>
        <v/>
      </c>
      <c r="AW10" s="81">
        <f>Ops!AW$161</f>
        <v/>
      </c>
      <c r="AX10" s="81">
        <f>Ops!AX$161</f>
        <v/>
      </c>
      <c r="AY10" s="81">
        <f>Ops!AY$161</f>
        <v/>
      </c>
      <c r="AZ10" s="81">
        <f>Ops!AZ$161</f>
        <v/>
      </c>
      <c r="BA10" s="81">
        <f>Ops!BA$161</f>
        <v/>
      </c>
      <c r="BB10" s="81">
        <f>Ops!BB$161</f>
        <v/>
      </c>
      <c r="BC10" s="81">
        <f>Ops!BC$161</f>
        <v/>
      </c>
      <c r="BD10" s="81">
        <f>Ops!BD$161</f>
        <v/>
      </c>
      <c r="BE10" s="81">
        <f>Ops!BE$161</f>
        <v/>
      </c>
      <c r="BF10" s="81">
        <f>Ops!BF$161</f>
        <v/>
      </c>
      <c r="BG10" s="81">
        <f>Ops!BG$161</f>
        <v/>
      </c>
      <c r="BH10" s="81">
        <f>Ops!BH$161</f>
        <v/>
      </c>
      <c r="BI10" s="81">
        <f>Ops!BI$161</f>
        <v/>
      </c>
      <c r="BJ10" s="81">
        <f>Ops!BJ$161</f>
        <v/>
      </c>
      <c r="BK10" s="81">
        <f>Ops!BK$161</f>
        <v/>
      </c>
      <c r="BL10" s="81">
        <f>Ops!BL$161</f>
        <v/>
      </c>
    </row>
    <row r="11">
      <c r="A11" s="98" t="inlineStr">
        <is>
          <t>Breach: receivables at risk above maximum</t>
        </is>
      </c>
      <c r="B11" s="65" t="inlineStr"/>
      <c r="C11" s="114">
        <f>SUM(E11:BL11)</f>
        <v/>
      </c>
      <c r="E11" s="23">
        <f>IF(AND(Financing!E$23&gt;0,E10&gt;Inputs!$C$71),1,0)</f>
        <v/>
      </c>
      <c r="F11" s="23">
        <f>IF(AND(Financing!F$23&gt;0,F10&gt;Inputs!$C$71),1,0)</f>
        <v/>
      </c>
      <c r="G11" s="23">
        <f>IF(AND(Financing!G$23&gt;0,G10&gt;Inputs!$C$71),1,0)</f>
        <v/>
      </c>
      <c r="H11" s="23">
        <f>IF(AND(Financing!H$23&gt;0,H10&gt;Inputs!$C$71),1,0)</f>
        <v/>
      </c>
      <c r="I11" s="23">
        <f>IF(AND(Financing!I$23&gt;0,I10&gt;Inputs!$C$71),1,0)</f>
        <v/>
      </c>
      <c r="J11" s="23">
        <f>IF(AND(Financing!J$23&gt;0,J10&gt;Inputs!$C$71),1,0)</f>
        <v/>
      </c>
      <c r="K11" s="23">
        <f>IF(AND(Financing!K$23&gt;0,K10&gt;Inputs!$C$71),1,0)</f>
        <v/>
      </c>
      <c r="L11" s="23">
        <f>IF(AND(Financing!L$23&gt;0,L10&gt;Inputs!$C$71),1,0)</f>
        <v/>
      </c>
      <c r="M11" s="23">
        <f>IF(AND(Financing!M$23&gt;0,M10&gt;Inputs!$C$71),1,0)</f>
        <v/>
      </c>
      <c r="N11" s="23">
        <f>IF(AND(Financing!N$23&gt;0,N10&gt;Inputs!$C$71),1,0)</f>
        <v/>
      </c>
      <c r="O11" s="23">
        <f>IF(AND(Financing!O$23&gt;0,O10&gt;Inputs!$C$71),1,0)</f>
        <v/>
      </c>
      <c r="P11" s="23">
        <f>IF(AND(Financing!P$23&gt;0,P10&gt;Inputs!$C$71),1,0)</f>
        <v/>
      </c>
      <c r="Q11" s="23">
        <f>IF(AND(Financing!Q$23&gt;0,Q10&gt;Inputs!$C$71),1,0)</f>
        <v/>
      </c>
      <c r="R11" s="23">
        <f>IF(AND(Financing!R$23&gt;0,R10&gt;Inputs!$C$71),1,0)</f>
        <v/>
      </c>
      <c r="S11" s="23">
        <f>IF(AND(Financing!S$23&gt;0,S10&gt;Inputs!$C$71),1,0)</f>
        <v/>
      </c>
      <c r="T11" s="23">
        <f>IF(AND(Financing!T$23&gt;0,T10&gt;Inputs!$C$71),1,0)</f>
        <v/>
      </c>
      <c r="U11" s="23">
        <f>IF(AND(Financing!U$23&gt;0,U10&gt;Inputs!$C$71),1,0)</f>
        <v/>
      </c>
      <c r="V11" s="23">
        <f>IF(AND(Financing!V$23&gt;0,V10&gt;Inputs!$C$71),1,0)</f>
        <v/>
      </c>
      <c r="W11" s="23">
        <f>IF(AND(Financing!W$23&gt;0,W10&gt;Inputs!$C$71),1,0)</f>
        <v/>
      </c>
      <c r="X11" s="23">
        <f>IF(AND(Financing!X$23&gt;0,X10&gt;Inputs!$C$71),1,0)</f>
        <v/>
      </c>
      <c r="Y11" s="23">
        <f>IF(AND(Financing!Y$23&gt;0,Y10&gt;Inputs!$C$71),1,0)</f>
        <v/>
      </c>
      <c r="Z11" s="23">
        <f>IF(AND(Financing!Z$23&gt;0,Z10&gt;Inputs!$C$71),1,0)</f>
        <v/>
      </c>
      <c r="AA11" s="23">
        <f>IF(AND(Financing!AA$23&gt;0,AA10&gt;Inputs!$C$71),1,0)</f>
        <v/>
      </c>
      <c r="AB11" s="23">
        <f>IF(AND(Financing!AB$23&gt;0,AB10&gt;Inputs!$C$71),1,0)</f>
        <v/>
      </c>
      <c r="AC11" s="23">
        <f>IF(AND(Financing!AC$23&gt;0,AC10&gt;Inputs!$C$71),1,0)</f>
        <v/>
      </c>
      <c r="AD11" s="23">
        <f>IF(AND(Financing!AD$23&gt;0,AD10&gt;Inputs!$C$71),1,0)</f>
        <v/>
      </c>
      <c r="AE11" s="23">
        <f>IF(AND(Financing!AE$23&gt;0,AE10&gt;Inputs!$C$71),1,0)</f>
        <v/>
      </c>
      <c r="AF11" s="23">
        <f>IF(AND(Financing!AF$23&gt;0,AF10&gt;Inputs!$C$71),1,0)</f>
        <v/>
      </c>
      <c r="AG11" s="23">
        <f>IF(AND(Financing!AG$23&gt;0,AG10&gt;Inputs!$C$71),1,0)</f>
        <v/>
      </c>
      <c r="AH11" s="23">
        <f>IF(AND(Financing!AH$23&gt;0,AH10&gt;Inputs!$C$71),1,0)</f>
        <v/>
      </c>
      <c r="AI11" s="23">
        <f>IF(AND(Financing!AI$23&gt;0,AI10&gt;Inputs!$C$71),1,0)</f>
        <v/>
      </c>
      <c r="AJ11" s="23">
        <f>IF(AND(Financing!AJ$23&gt;0,AJ10&gt;Inputs!$C$71),1,0)</f>
        <v/>
      </c>
      <c r="AK11" s="23">
        <f>IF(AND(Financing!AK$23&gt;0,AK10&gt;Inputs!$C$71),1,0)</f>
        <v/>
      </c>
      <c r="AL11" s="23">
        <f>IF(AND(Financing!AL$23&gt;0,AL10&gt;Inputs!$C$71),1,0)</f>
        <v/>
      </c>
      <c r="AM11" s="23">
        <f>IF(AND(Financing!AM$23&gt;0,AM10&gt;Inputs!$C$71),1,0)</f>
        <v/>
      </c>
      <c r="AN11" s="23">
        <f>IF(AND(Financing!AN$23&gt;0,AN10&gt;Inputs!$C$71),1,0)</f>
        <v/>
      </c>
      <c r="AO11" s="23">
        <f>IF(AND(Financing!AO$23&gt;0,AO10&gt;Inputs!$C$71),1,0)</f>
        <v/>
      </c>
      <c r="AP11" s="23">
        <f>IF(AND(Financing!AP$23&gt;0,AP10&gt;Inputs!$C$71),1,0)</f>
        <v/>
      </c>
      <c r="AQ11" s="23">
        <f>IF(AND(Financing!AQ$23&gt;0,AQ10&gt;Inputs!$C$71),1,0)</f>
        <v/>
      </c>
      <c r="AR11" s="23">
        <f>IF(AND(Financing!AR$23&gt;0,AR10&gt;Inputs!$C$71),1,0)</f>
        <v/>
      </c>
      <c r="AS11" s="23">
        <f>IF(AND(Financing!AS$23&gt;0,AS10&gt;Inputs!$C$71),1,0)</f>
        <v/>
      </c>
      <c r="AT11" s="23">
        <f>IF(AND(Financing!AT$23&gt;0,AT10&gt;Inputs!$C$71),1,0)</f>
        <v/>
      </c>
      <c r="AU11" s="23">
        <f>IF(AND(Financing!AU$23&gt;0,AU10&gt;Inputs!$C$71),1,0)</f>
        <v/>
      </c>
      <c r="AV11" s="23">
        <f>IF(AND(Financing!AV$23&gt;0,AV10&gt;Inputs!$C$71),1,0)</f>
        <v/>
      </c>
      <c r="AW11" s="23">
        <f>IF(AND(Financing!AW$23&gt;0,AW10&gt;Inputs!$C$71),1,0)</f>
        <v/>
      </c>
      <c r="AX11" s="23">
        <f>IF(AND(Financing!AX$23&gt;0,AX10&gt;Inputs!$C$71),1,0)</f>
        <v/>
      </c>
      <c r="AY11" s="23">
        <f>IF(AND(Financing!AY$23&gt;0,AY10&gt;Inputs!$C$71),1,0)</f>
        <v/>
      </c>
      <c r="AZ11" s="23">
        <f>IF(AND(Financing!AZ$23&gt;0,AZ10&gt;Inputs!$C$71),1,0)</f>
        <v/>
      </c>
      <c r="BA11" s="23">
        <f>IF(AND(Financing!BA$23&gt;0,BA10&gt;Inputs!$C$71),1,0)</f>
        <v/>
      </c>
      <c r="BB11" s="23">
        <f>IF(AND(Financing!BB$23&gt;0,BB10&gt;Inputs!$C$71),1,0)</f>
        <v/>
      </c>
      <c r="BC11" s="23">
        <f>IF(AND(Financing!BC$23&gt;0,BC10&gt;Inputs!$C$71),1,0)</f>
        <v/>
      </c>
      <c r="BD11" s="23">
        <f>IF(AND(Financing!BD$23&gt;0,BD10&gt;Inputs!$C$71),1,0)</f>
        <v/>
      </c>
      <c r="BE11" s="23">
        <f>IF(AND(Financing!BE$23&gt;0,BE10&gt;Inputs!$C$71),1,0)</f>
        <v/>
      </c>
      <c r="BF11" s="23">
        <f>IF(AND(Financing!BF$23&gt;0,BF10&gt;Inputs!$C$71),1,0)</f>
        <v/>
      </c>
      <c r="BG11" s="23">
        <f>IF(AND(Financing!BG$23&gt;0,BG10&gt;Inputs!$C$71),1,0)</f>
        <v/>
      </c>
      <c r="BH11" s="23">
        <f>IF(AND(Financing!BH$23&gt;0,BH10&gt;Inputs!$C$71),1,0)</f>
        <v/>
      </c>
      <c r="BI11" s="23">
        <f>IF(AND(Financing!BI$23&gt;0,BI10&gt;Inputs!$C$71),1,0)</f>
        <v/>
      </c>
      <c r="BJ11" s="23">
        <f>IF(AND(Financing!BJ$23&gt;0,BJ10&gt;Inputs!$C$71),1,0)</f>
        <v/>
      </c>
      <c r="BK11" s="23">
        <f>IF(AND(Financing!BK$23&gt;0,BK10&gt;Inputs!$C$71),1,0)</f>
        <v/>
      </c>
      <c r="BL11" s="23">
        <f>IF(AND(Financing!BL$23&gt;0,BL10&gt;Inputs!$C$71),1,0)</f>
        <v/>
      </c>
    </row>
    <row r="12">
      <c r="A12" s="98" t="inlineStr">
        <is>
          <t>Total financial debt (LCY)</t>
        </is>
      </c>
      <c r="B12" s="65" t="inlineStr"/>
      <c r="C12" s="105">
        <f>MAX(E12:BL12)</f>
        <v/>
      </c>
      <c r="E12" s="80">
        <f>FS!E$41+FS!E$42</f>
        <v/>
      </c>
      <c r="F12" s="80">
        <f>FS!F$41+FS!F$42</f>
        <v/>
      </c>
      <c r="G12" s="80">
        <f>FS!G$41+FS!G$42</f>
        <v/>
      </c>
      <c r="H12" s="80">
        <f>FS!H$41+FS!H$42</f>
        <v/>
      </c>
      <c r="I12" s="80">
        <f>FS!I$41+FS!I$42</f>
        <v/>
      </c>
      <c r="J12" s="80">
        <f>FS!J$41+FS!J$42</f>
        <v/>
      </c>
      <c r="K12" s="80">
        <f>FS!K$41+FS!K$42</f>
        <v/>
      </c>
      <c r="L12" s="80">
        <f>FS!L$41+FS!L$42</f>
        <v/>
      </c>
      <c r="M12" s="80">
        <f>FS!M$41+FS!M$42</f>
        <v/>
      </c>
      <c r="N12" s="80">
        <f>FS!N$41+FS!N$42</f>
        <v/>
      </c>
      <c r="O12" s="80">
        <f>FS!O$41+FS!O$42</f>
        <v/>
      </c>
      <c r="P12" s="80">
        <f>FS!P$41+FS!P$42</f>
        <v/>
      </c>
      <c r="Q12" s="80">
        <f>FS!Q$41+FS!Q$42</f>
        <v/>
      </c>
      <c r="R12" s="80">
        <f>FS!R$41+FS!R$42</f>
        <v/>
      </c>
      <c r="S12" s="80">
        <f>FS!S$41+FS!S$42</f>
        <v/>
      </c>
      <c r="T12" s="80">
        <f>FS!T$41+FS!T$42</f>
        <v/>
      </c>
      <c r="U12" s="80">
        <f>FS!U$41+FS!U$42</f>
        <v/>
      </c>
      <c r="V12" s="80">
        <f>FS!V$41+FS!V$42</f>
        <v/>
      </c>
      <c r="W12" s="80">
        <f>FS!W$41+FS!W$42</f>
        <v/>
      </c>
      <c r="X12" s="80">
        <f>FS!X$41+FS!X$42</f>
        <v/>
      </c>
      <c r="Y12" s="80">
        <f>FS!Y$41+FS!Y$42</f>
        <v/>
      </c>
      <c r="Z12" s="80">
        <f>FS!Z$41+FS!Z$42</f>
        <v/>
      </c>
      <c r="AA12" s="80">
        <f>FS!AA$41+FS!AA$42</f>
        <v/>
      </c>
      <c r="AB12" s="80">
        <f>FS!AB$41+FS!AB$42</f>
        <v/>
      </c>
      <c r="AC12" s="80">
        <f>FS!AC$41+FS!AC$42</f>
        <v/>
      </c>
      <c r="AD12" s="80">
        <f>FS!AD$41+FS!AD$42</f>
        <v/>
      </c>
      <c r="AE12" s="80">
        <f>FS!AE$41+FS!AE$42</f>
        <v/>
      </c>
      <c r="AF12" s="80">
        <f>FS!AF$41+FS!AF$42</f>
        <v/>
      </c>
      <c r="AG12" s="80">
        <f>FS!AG$41+FS!AG$42</f>
        <v/>
      </c>
      <c r="AH12" s="80">
        <f>FS!AH$41+FS!AH$42</f>
        <v/>
      </c>
      <c r="AI12" s="80">
        <f>FS!AI$41+FS!AI$42</f>
        <v/>
      </c>
      <c r="AJ12" s="80">
        <f>FS!AJ$41+FS!AJ$42</f>
        <v/>
      </c>
      <c r="AK12" s="80">
        <f>FS!AK$41+FS!AK$42</f>
        <v/>
      </c>
      <c r="AL12" s="80">
        <f>FS!AL$41+FS!AL$42</f>
        <v/>
      </c>
      <c r="AM12" s="80">
        <f>FS!AM$41+FS!AM$42</f>
        <v/>
      </c>
      <c r="AN12" s="80">
        <f>FS!AN$41+FS!AN$42</f>
        <v/>
      </c>
      <c r="AO12" s="80">
        <f>FS!AO$41+FS!AO$42</f>
        <v/>
      </c>
      <c r="AP12" s="80">
        <f>FS!AP$41+FS!AP$42</f>
        <v/>
      </c>
      <c r="AQ12" s="80">
        <f>FS!AQ$41+FS!AQ$42</f>
        <v/>
      </c>
      <c r="AR12" s="80">
        <f>FS!AR$41+FS!AR$42</f>
        <v/>
      </c>
      <c r="AS12" s="80">
        <f>FS!AS$41+FS!AS$42</f>
        <v/>
      </c>
      <c r="AT12" s="80">
        <f>FS!AT$41+FS!AT$42</f>
        <v/>
      </c>
      <c r="AU12" s="80">
        <f>FS!AU$41+FS!AU$42</f>
        <v/>
      </c>
      <c r="AV12" s="80">
        <f>FS!AV$41+FS!AV$42</f>
        <v/>
      </c>
      <c r="AW12" s="80">
        <f>FS!AW$41+FS!AW$42</f>
        <v/>
      </c>
      <c r="AX12" s="80">
        <f>FS!AX$41+FS!AX$42</f>
        <v/>
      </c>
      <c r="AY12" s="80">
        <f>FS!AY$41+FS!AY$42</f>
        <v/>
      </c>
      <c r="AZ12" s="80">
        <f>FS!AZ$41+FS!AZ$42</f>
        <v/>
      </c>
      <c r="BA12" s="80">
        <f>FS!BA$41+FS!BA$42</f>
        <v/>
      </c>
      <c r="BB12" s="80">
        <f>FS!BB$41+FS!BB$42</f>
        <v/>
      </c>
      <c r="BC12" s="80">
        <f>FS!BC$41+FS!BC$42</f>
        <v/>
      </c>
      <c r="BD12" s="80">
        <f>FS!BD$41+FS!BD$42</f>
        <v/>
      </c>
      <c r="BE12" s="80">
        <f>FS!BE$41+FS!BE$42</f>
        <v/>
      </c>
      <c r="BF12" s="80">
        <f>FS!BF$41+FS!BF$42</f>
        <v/>
      </c>
      <c r="BG12" s="80">
        <f>FS!BG$41+FS!BG$42</f>
        <v/>
      </c>
      <c r="BH12" s="80">
        <f>FS!BH$41+FS!BH$42</f>
        <v/>
      </c>
      <c r="BI12" s="80">
        <f>FS!BI$41+FS!BI$42</f>
        <v/>
      </c>
      <c r="BJ12" s="80">
        <f>FS!BJ$41+FS!BJ$42</f>
        <v/>
      </c>
      <c r="BK12" s="80">
        <f>FS!BK$41+FS!BK$42</f>
        <v/>
      </c>
      <c r="BL12" s="80">
        <f>FS!BL$41+FS!BL$42</f>
        <v/>
      </c>
    </row>
    <row r="13">
      <c r="A13" s="98" t="inlineStr">
        <is>
          <t>Debt / book equity</t>
        </is>
      </c>
      <c r="B13" s="65" t="inlineStr"/>
      <c r="C13" s="115">
        <f>MAX(E13:BL13)</f>
        <v/>
      </c>
      <c r="E13" s="86">
        <f>IF(FS!E$46&lt;=0,99,E12/FS!E$46)</f>
        <v/>
      </c>
      <c r="F13" s="86">
        <f>IF(FS!F$46&lt;=0,99,F12/FS!F$46)</f>
        <v/>
      </c>
      <c r="G13" s="86">
        <f>IF(FS!G$46&lt;=0,99,G12/FS!G$46)</f>
        <v/>
      </c>
      <c r="H13" s="86">
        <f>IF(FS!H$46&lt;=0,99,H12/FS!H$46)</f>
        <v/>
      </c>
      <c r="I13" s="86">
        <f>IF(FS!I$46&lt;=0,99,I12/FS!I$46)</f>
        <v/>
      </c>
      <c r="J13" s="86">
        <f>IF(FS!J$46&lt;=0,99,J12/FS!J$46)</f>
        <v/>
      </c>
      <c r="K13" s="86">
        <f>IF(FS!K$46&lt;=0,99,K12/FS!K$46)</f>
        <v/>
      </c>
      <c r="L13" s="86">
        <f>IF(FS!L$46&lt;=0,99,L12/FS!L$46)</f>
        <v/>
      </c>
      <c r="M13" s="86">
        <f>IF(FS!M$46&lt;=0,99,M12/FS!M$46)</f>
        <v/>
      </c>
      <c r="N13" s="86">
        <f>IF(FS!N$46&lt;=0,99,N12/FS!N$46)</f>
        <v/>
      </c>
      <c r="O13" s="86">
        <f>IF(FS!O$46&lt;=0,99,O12/FS!O$46)</f>
        <v/>
      </c>
      <c r="P13" s="86">
        <f>IF(FS!P$46&lt;=0,99,P12/FS!P$46)</f>
        <v/>
      </c>
      <c r="Q13" s="86">
        <f>IF(FS!Q$46&lt;=0,99,Q12/FS!Q$46)</f>
        <v/>
      </c>
      <c r="R13" s="86">
        <f>IF(FS!R$46&lt;=0,99,R12/FS!R$46)</f>
        <v/>
      </c>
      <c r="S13" s="86">
        <f>IF(FS!S$46&lt;=0,99,S12/FS!S$46)</f>
        <v/>
      </c>
      <c r="T13" s="86">
        <f>IF(FS!T$46&lt;=0,99,T12/FS!T$46)</f>
        <v/>
      </c>
      <c r="U13" s="86">
        <f>IF(FS!U$46&lt;=0,99,U12/FS!U$46)</f>
        <v/>
      </c>
      <c r="V13" s="86">
        <f>IF(FS!V$46&lt;=0,99,V12/FS!V$46)</f>
        <v/>
      </c>
      <c r="W13" s="86">
        <f>IF(FS!W$46&lt;=0,99,W12/FS!W$46)</f>
        <v/>
      </c>
      <c r="X13" s="86">
        <f>IF(FS!X$46&lt;=0,99,X12/FS!X$46)</f>
        <v/>
      </c>
      <c r="Y13" s="86">
        <f>IF(FS!Y$46&lt;=0,99,Y12/FS!Y$46)</f>
        <v/>
      </c>
      <c r="Z13" s="86">
        <f>IF(FS!Z$46&lt;=0,99,Z12/FS!Z$46)</f>
        <v/>
      </c>
      <c r="AA13" s="86">
        <f>IF(FS!AA$46&lt;=0,99,AA12/FS!AA$46)</f>
        <v/>
      </c>
      <c r="AB13" s="86">
        <f>IF(FS!AB$46&lt;=0,99,AB12/FS!AB$46)</f>
        <v/>
      </c>
      <c r="AC13" s="86">
        <f>IF(FS!AC$46&lt;=0,99,AC12/FS!AC$46)</f>
        <v/>
      </c>
      <c r="AD13" s="86">
        <f>IF(FS!AD$46&lt;=0,99,AD12/FS!AD$46)</f>
        <v/>
      </c>
      <c r="AE13" s="86">
        <f>IF(FS!AE$46&lt;=0,99,AE12/FS!AE$46)</f>
        <v/>
      </c>
      <c r="AF13" s="86">
        <f>IF(FS!AF$46&lt;=0,99,AF12/FS!AF$46)</f>
        <v/>
      </c>
      <c r="AG13" s="86">
        <f>IF(FS!AG$46&lt;=0,99,AG12/FS!AG$46)</f>
        <v/>
      </c>
      <c r="AH13" s="86">
        <f>IF(FS!AH$46&lt;=0,99,AH12/FS!AH$46)</f>
        <v/>
      </c>
      <c r="AI13" s="86">
        <f>IF(FS!AI$46&lt;=0,99,AI12/FS!AI$46)</f>
        <v/>
      </c>
      <c r="AJ13" s="86">
        <f>IF(FS!AJ$46&lt;=0,99,AJ12/FS!AJ$46)</f>
        <v/>
      </c>
      <c r="AK13" s="86">
        <f>IF(FS!AK$46&lt;=0,99,AK12/FS!AK$46)</f>
        <v/>
      </c>
      <c r="AL13" s="86">
        <f>IF(FS!AL$46&lt;=0,99,AL12/FS!AL$46)</f>
        <v/>
      </c>
      <c r="AM13" s="86">
        <f>IF(FS!AM$46&lt;=0,99,AM12/FS!AM$46)</f>
        <v/>
      </c>
      <c r="AN13" s="86">
        <f>IF(FS!AN$46&lt;=0,99,AN12/FS!AN$46)</f>
        <v/>
      </c>
      <c r="AO13" s="86">
        <f>IF(FS!AO$46&lt;=0,99,AO12/FS!AO$46)</f>
        <v/>
      </c>
      <c r="AP13" s="86">
        <f>IF(FS!AP$46&lt;=0,99,AP12/FS!AP$46)</f>
        <v/>
      </c>
      <c r="AQ13" s="86">
        <f>IF(FS!AQ$46&lt;=0,99,AQ12/FS!AQ$46)</f>
        <v/>
      </c>
      <c r="AR13" s="86">
        <f>IF(FS!AR$46&lt;=0,99,AR12/FS!AR$46)</f>
        <v/>
      </c>
      <c r="AS13" s="86">
        <f>IF(FS!AS$46&lt;=0,99,AS12/FS!AS$46)</f>
        <v/>
      </c>
      <c r="AT13" s="86">
        <f>IF(FS!AT$46&lt;=0,99,AT12/FS!AT$46)</f>
        <v/>
      </c>
      <c r="AU13" s="86">
        <f>IF(FS!AU$46&lt;=0,99,AU12/FS!AU$46)</f>
        <v/>
      </c>
      <c r="AV13" s="86">
        <f>IF(FS!AV$46&lt;=0,99,AV12/FS!AV$46)</f>
        <v/>
      </c>
      <c r="AW13" s="86">
        <f>IF(FS!AW$46&lt;=0,99,AW12/FS!AW$46)</f>
        <v/>
      </c>
      <c r="AX13" s="86">
        <f>IF(FS!AX$46&lt;=0,99,AX12/FS!AX$46)</f>
        <v/>
      </c>
      <c r="AY13" s="86">
        <f>IF(FS!AY$46&lt;=0,99,AY12/FS!AY$46)</f>
        <v/>
      </c>
      <c r="AZ13" s="86">
        <f>IF(FS!AZ$46&lt;=0,99,AZ12/FS!AZ$46)</f>
        <v/>
      </c>
      <c r="BA13" s="86">
        <f>IF(FS!BA$46&lt;=0,99,BA12/FS!BA$46)</f>
        <v/>
      </c>
      <c r="BB13" s="86">
        <f>IF(FS!BB$46&lt;=0,99,BB12/FS!BB$46)</f>
        <v/>
      </c>
      <c r="BC13" s="86">
        <f>IF(FS!BC$46&lt;=0,99,BC12/FS!BC$46)</f>
        <v/>
      </c>
      <c r="BD13" s="86">
        <f>IF(FS!BD$46&lt;=0,99,BD12/FS!BD$46)</f>
        <v/>
      </c>
      <c r="BE13" s="86">
        <f>IF(FS!BE$46&lt;=0,99,BE12/FS!BE$46)</f>
        <v/>
      </c>
      <c r="BF13" s="86">
        <f>IF(FS!BF$46&lt;=0,99,BF12/FS!BF$46)</f>
        <v/>
      </c>
      <c r="BG13" s="86">
        <f>IF(FS!BG$46&lt;=0,99,BG12/FS!BG$46)</f>
        <v/>
      </c>
      <c r="BH13" s="86">
        <f>IF(FS!BH$46&lt;=0,99,BH12/FS!BH$46)</f>
        <v/>
      </c>
      <c r="BI13" s="86">
        <f>IF(FS!BI$46&lt;=0,99,BI12/FS!BI$46)</f>
        <v/>
      </c>
      <c r="BJ13" s="86">
        <f>IF(FS!BJ$46&lt;=0,99,BJ12/FS!BJ$46)</f>
        <v/>
      </c>
      <c r="BK13" s="86">
        <f>IF(FS!BK$46&lt;=0,99,BK12/FS!BK$46)</f>
        <v/>
      </c>
      <c r="BL13" s="86">
        <f>IF(FS!BL$46&lt;=0,99,BL12/FS!BL$46)</f>
        <v/>
      </c>
    </row>
    <row r="14">
      <c r="A14" s="98" t="inlineStr">
        <is>
          <t>Breach: leverage above maximum</t>
        </is>
      </c>
      <c r="B14" s="65" t="inlineStr"/>
      <c r="C14" s="114">
        <f>SUM(E14:BL14)</f>
        <v/>
      </c>
      <c r="E14" s="23">
        <f>IF(AND(E12&gt;0,E13&gt;Inputs!$C$72),1,0)</f>
        <v/>
      </c>
      <c r="F14" s="23">
        <f>IF(AND(F12&gt;0,F13&gt;Inputs!$C$72),1,0)</f>
        <v/>
      </c>
      <c r="G14" s="23">
        <f>IF(AND(G12&gt;0,G13&gt;Inputs!$C$72),1,0)</f>
        <v/>
      </c>
      <c r="H14" s="23">
        <f>IF(AND(H12&gt;0,H13&gt;Inputs!$C$72),1,0)</f>
        <v/>
      </c>
      <c r="I14" s="23">
        <f>IF(AND(I12&gt;0,I13&gt;Inputs!$C$72),1,0)</f>
        <v/>
      </c>
      <c r="J14" s="23">
        <f>IF(AND(J12&gt;0,J13&gt;Inputs!$C$72),1,0)</f>
        <v/>
      </c>
      <c r="K14" s="23">
        <f>IF(AND(K12&gt;0,K13&gt;Inputs!$C$72),1,0)</f>
        <v/>
      </c>
      <c r="L14" s="23">
        <f>IF(AND(L12&gt;0,L13&gt;Inputs!$C$72),1,0)</f>
        <v/>
      </c>
      <c r="M14" s="23">
        <f>IF(AND(M12&gt;0,M13&gt;Inputs!$C$72),1,0)</f>
        <v/>
      </c>
      <c r="N14" s="23">
        <f>IF(AND(N12&gt;0,N13&gt;Inputs!$C$72),1,0)</f>
        <v/>
      </c>
      <c r="O14" s="23">
        <f>IF(AND(O12&gt;0,O13&gt;Inputs!$C$72),1,0)</f>
        <v/>
      </c>
      <c r="P14" s="23">
        <f>IF(AND(P12&gt;0,P13&gt;Inputs!$C$72),1,0)</f>
        <v/>
      </c>
      <c r="Q14" s="23">
        <f>IF(AND(Q12&gt;0,Q13&gt;Inputs!$C$72),1,0)</f>
        <v/>
      </c>
      <c r="R14" s="23">
        <f>IF(AND(R12&gt;0,R13&gt;Inputs!$C$72),1,0)</f>
        <v/>
      </c>
      <c r="S14" s="23">
        <f>IF(AND(S12&gt;0,S13&gt;Inputs!$C$72),1,0)</f>
        <v/>
      </c>
      <c r="T14" s="23">
        <f>IF(AND(T12&gt;0,T13&gt;Inputs!$C$72),1,0)</f>
        <v/>
      </c>
      <c r="U14" s="23">
        <f>IF(AND(U12&gt;0,U13&gt;Inputs!$C$72),1,0)</f>
        <v/>
      </c>
      <c r="V14" s="23">
        <f>IF(AND(V12&gt;0,V13&gt;Inputs!$C$72),1,0)</f>
        <v/>
      </c>
      <c r="W14" s="23">
        <f>IF(AND(W12&gt;0,W13&gt;Inputs!$C$72),1,0)</f>
        <v/>
      </c>
      <c r="X14" s="23">
        <f>IF(AND(X12&gt;0,X13&gt;Inputs!$C$72),1,0)</f>
        <v/>
      </c>
      <c r="Y14" s="23">
        <f>IF(AND(Y12&gt;0,Y13&gt;Inputs!$C$72),1,0)</f>
        <v/>
      </c>
      <c r="Z14" s="23">
        <f>IF(AND(Z12&gt;0,Z13&gt;Inputs!$C$72),1,0)</f>
        <v/>
      </c>
      <c r="AA14" s="23">
        <f>IF(AND(AA12&gt;0,AA13&gt;Inputs!$C$72),1,0)</f>
        <v/>
      </c>
      <c r="AB14" s="23">
        <f>IF(AND(AB12&gt;0,AB13&gt;Inputs!$C$72),1,0)</f>
        <v/>
      </c>
      <c r="AC14" s="23">
        <f>IF(AND(AC12&gt;0,AC13&gt;Inputs!$C$72),1,0)</f>
        <v/>
      </c>
      <c r="AD14" s="23">
        <f>IF(AND(AD12&gt;0,AD13&gt;Inputs!$C$72),1,0)</f>
        <v/>
      </c>
      <c r="AE14" s="23">
        <f>IF(AND(AE12&gt;0,AE13&gt;Inputs!$C$72),1,0)</f>
        <v/>
      </c>
      <c r="AF14" s="23">
        <f>IF(AND(AF12&gt;0,AF13&gt;Inputs!$C$72),1,0)</f>
        <v/>
      </c>
      <c r="AG14" s="23">
        <f>IF(AND(AG12&gt;0,AG13&gt;Inputs!$C$72),1,0)</f>
        <v/>
      </c>
      <c r="AH14" s="23">
        <f>IF(AND(AH12&gt;0,AH13&gt;Inputs!$C$72),1,0)</f>
        <v/>
      </c>
      <c r="AI14" s="23">
        <f>IF(AND(AI12&gt;0,AI13&gt;Inputs!$C$72),1,0)</f>
        <v/>
      </c>
      <c r="AJ14" s="23">
        <f>IF(AND(AJ12&gt;0,AJ13&gt;Inputs!$C$72),1,0)</f>
        <v/>
      </c>
      <c r="AK14" s="23">
        <f>IF(AND(AK12&gt;0,AK13&gt;Inputs!$C$72),1,0)</f>
        <v/>
      </c>
      <c r="AL14" s="23">
        <f>IF(AND(AL12&gt;0,AL13&gt;Inputs!$C$72),1,0)</f>
        <v/>
      </c>
      <c r="AM14" s="23">
        <f>IF(AND(AM12&gt;0,AM13&gt;Inputs!$C$72),1,0)</f>
        <v/>
      </c>
      <c r="AN14" s="23">
        <f>IF(AND(AN12&gt;0,AN13&gt;Inputs!$C$72),1,0)</f>
        <v/>
      </c>
      <c r="AO14" s="23">
        <f>IF(AND(AO12&gt;0,AO13&gt;Inputs!$C$72),1,0)</f>
        <v/>
      </c>
      <c r="AP14" s="23">
        <f>IF(AND(AP12&gt;0,AP13&gt;Inputs!$C$72),1,0)</f>
        <v/>
      </c>
      <c r="AQ14" s="23">
        <f>IF(AND(AQ12&gt;0,AQ13&gt;Inputs!$C$72),1,0)</f>
        <v/>
      </c>
      <c r="AR14" s="23">
        <f>IF(AND(AR12&gt;0,AR13&gt;Inputs!$C$72),1,0)</f>
        <v/>
      </c>
      <c r="AS14" s="23">
        <f>IF(AND(AS12&gt;0,AS13&gt;Inputs!$C$72),1,0)</f>
        <v/>
      </c>
      <c r="AT14" s="23">
        <f>IF(AND(AT12&gt;0,AT13&gt;Inputs!$C$72),1,0)</f>
        <v/>
      </c>
      <c r="AU14" s="23">
        <f>IF(AND(AU12&gt;0,AU13&gt;Inputs!$C$72),1,0)</f>
        <v/>
      </c>
      <c r="AV14" s="23">
        <f>IF(AND(AV12&gt;0,AV13&gt;Inputs!$C$72),1,0)</f>
        <v/>
      </c>
      <c r="AW14" s="23">
        <f>IF(AND(AW12&gt;0,AW13&gt;Inputs!$C$72),1,0)</f>
        <v/>
      </c>
      <c r="AX14" s="23">
        <f>IF(AND(AX12&gt;0,AX13&gt;Inputs!$C$72),1,0)</f>
        <v/>
      </c>
      <c r="AY14" s="23">
        <f>IF(AND(AY12&gt;0,AY13&gt;Inputs!$C$72),1,0)</f>
        <v/>
      </c>
      <c r="AZ14" s="23">
        <f>IF(AND(AZ12&gt;0,AZ13&gt;Inputs!$C$72),1,0)</f>
        <v/>
      </c>
      <c r="BA14" s="23">
        <f>IF(AND(BA12&gt;0,BA13&gt;Inputs!$C$72),1,0)</f>
        <v/>
      </c>
      <c r="BB14" s="23">
        <f>IF(AND(BB12&gt;0,BB13&gt;Inputs!$C$72),1,0)</f>
        <v/>
      </c>
      <c r="BC14" s="23">
        <f>IF(AND(BC12&gt;0,BC13&gt;Inputs!$C$72),1,0)</f>
        <v/>
      </c>
      <c r="BD14" s="23">
        <f>IF(AND(BD12&gt;0,BD13&gt;Inputs!$C$72),1,0)</f>
        <v/>
      </c>
      <c r="BE14" s="23">
        <f>IF(AND(BE12&gt;0,BE13&gt;Inputs!$C$72),1,0)</f>
        <v/>
      </c>
      <c r="BF14" s="23">
        <f>IF(AND(BF12&gt;0,BF13&gt;Inputs!$C$72),1,0)</f>
        <v/>
      </c>
      <c r="BG14" s="23">
        <f>IF(AND(BG12&gt;0,BG13&gt;Inputs!$C$72),1,0)</f>
        <v/>
      </c>
      <c r="BH14" s="23">
        <f>IF(AND(BH12&gt;0,BH13&gt;Inputs!$C$72),1,0)</f>
        <v/>
      </c>
      <c r="BI14" s="23">
        <f>IF(AND(BI12&gt;0,BI13&gt;Inputs!$C$72),1,0)</f>
        <v/>
      </c>
      <c r="BJ14" s="23">
        <f>IF(AND(BJ12&gt;0,BJ13&gt;Inputs!$C$72),1,0)</f>
        <v/>
      </c>
      <c r="BK14" s="23">
        <f>IF(AND(BK12&gt;0,BK13&gt;Inputs!$C$72),1,0)</f>
        <v/>
      </c>
      <c r="BL14" s="23">
        <f>IF(AND(BL12&gt;0,BL13&gt;Inputs!$C$72),1,0)</f>
        <v/>
      </c>
    </row>
    <row r="15">
      <c r="A15" s="98" t="inlineStr">
        <is>
          <t>Cash before equity top-up (LCY)</t>
        </is>
      </c>
      <c r="B15" s="65" t="inlineStr"/>
      <c r="C15" s="105">
        <f>MIN(E15:BL15)</f>
        <v/>
      </c>
      <c r="E15" s="80">
        <f>FS!E$63</f>
        <v/>
      </c>
      <c r="F15" s="80">
        <f>FS!F$63</f>
        <v/>
      </c>
      <c r="G15" s="80">
        <f>FS!G$63</f>
        <v/>
      </c>
      <c r="H15" s="80">
        <f>FS!H$63</f>
        <v/>
      </c>
      <c r="I15" s="80">
        <f>FS!I$63</f>
        <v/>
      </c>
      <c r="J15" s="80">
        <f>FS!J$63</f>
        <v/>
      </c>
      <c r="K15" s="80">
        <f>FS!K$63</f>
        <v/>
      </c>
      <c r="L15" s="80">
        <f>FS!L$63</f>
        <v/>
      </c>
      <c r="M15" s="80">
        <f>FS!M$63</f>
        <v/>
      </c>
      <c r="N15" s="80">
        <f>FS!N$63</f>
        <v/>
      </c>
      <c r="O15" s="80">
        <f>FS!O$63</f>
        <v/>
      </c>
      <c r="P15" s="80">
        <f>FS!P$63</f>
        <v/>
      </c>
      <c r="Q15" s="80">
        <f>FS!Q$63</f>
        <v/>
      </c>
      <c r="R15" s="80">
        <f>FS!R$63</f>
        <v/>
      </c>
      <c r="S15" s="80">
        <f>FS!S$63</f>
        <v/>
      </c>
      <c r="T15" s="80">
        <f>FS!T$63</f>
        <v/>
      </c>
      <c r="U15" s="80">
        <f>FS!U$63</f>
        <v/>
      </c>
      <c r="V15" s="80">
        <f>FS!V$63</f>
        <v/>
      </c>
      <c r="W15" s="80">
        <f>FS!W$63</f>
        <v/>
      </c>
      <c r="X15" s="80">
        <f>FS!X$63</f>
        <v/>
      </c>
      <c r="Y15" s="80">
        <f>FS!Y$63</f>
        <v/>
      </c>
      <c r="Z15" s="80">
        <f>FS!Z$63</f>
        <v/>
      </c>
      <c r="AA15" s="80">
        <f>FS!AA$63</f>
        <v/>
      </c>
      <c r="AB15" s="80">
        <f>FS!AB$63</f>
        <v/>
      </c>
      <c r="AC15" s="80">
        <f>FS!AC$63</f>
        <v/>
      </c>
      <c r="AD15" s="80">
        <f>FS!AD$63</f>
        <v/>
      </c>
      <c r="AE15" s="80">
        <f>FS!AE$63</f>
        <v/>
      </c>
      <c r="AF15" s="80">
        <f>FS!AF$63</f>
        <v/>
      </c>
      <c r="AG15" s="80">
        <f>FS!AG$63</f>
        <v/>
      </c>
      <c r="AH15" s="80">
        <f>FS!AH$63</f>
        <v/>
      </c>
      <c r="AI15" s="80">
        <f>FS!AI$63</f>
        <v/>
      </c>
      <c r="AJ15" s="80">
        <f>FS!AJ$63</f>
        <v/>
      </c>
      <c r="AK15" s="80">
        <f>FS!AK$63</f>
        <v/>
      </c>
      <c r="AL15" s="80">
        <f>FS!AL$63</f>
        <v/>
      </c>
      <c r="AM15" s="80">
        <f>FS!AM$63</f>
        <v/>
      </c>
      <c r="AN15" s="80">
        <f>FS!AN$63</f>
        <v/>
      </c>
      <c r="AO15" s="80">
        <f>FS!AO$63</f>
        <v/>
      </c>
      <c r="AP15" s="80">
        <f>FS!AP$63</f>
        <v/>
      </c>
      <c r="AQ15" s="80">
        <f>FS!AQ$63</f>
        <v/>
      </c>
      <c r="AR15" s="80">
        <f>FS!AR$63</f>
        <v/>
      </c>
      <c r="AS15" s="80">
        <f>FS!AS$63</f>
        <v/>
      </c>
      <c r="AT15" s="80">
        <f>FS!AT$63</f>
        <v/>
      </c>
      <c r="AU15" s="80">
        <f>FS!AU$63</f>
        <v/>
      </c>
      <c r="AV15" s="80">
        <f>FS!AV$63</f>
        <v/>
      </c>
      <c r="AW15" s="80">
        <f>FS!AW$63</f>
        <v/>
      </c>
      <c r="AX15" s="80">
        <f>FS!AX$63</f>
        <v/>
      </c>
      <c r="AY15" s="80">
        <f>FS!AY$63</f>
        <v/>
      </c>
      <c r="AZ15" s="80">
        <f>FS!AZ$63</f>
        <v/>
      </c>
      <c r="BA15" s="80">
        <f>FS!BA$63</f>
        <v/>
      </c>
      <c r="BB15" s="80">
        <f>FS!BB$63</f>
        <v/>
      </c>
      <c r="BC15" s="80">
        <f>FS!BC$63</f>
        <v/>
      </c>
      <c r="BD15" s="80">
        <f>FS!BD$63</f>
        <v/>
      </c>
      <c r="BE15" s="80">
        <f>FS!BE$63</f>
        <v/>
      </c>
      <c r="BF15" s="80">
        <f>FS!BF$63</f>
        <v/>
      </c>
      <c r="BG15" s="80">
        <f>FS!BG$63</f>
        <v/>
      </c>
      <c r="BH15" s="80">
        <f>FS!BH$63</f>
        <v/>
      </c>
      <c r="BI15" s="80">
        <f>FS!BI$63</f>
        <v/>
      </c>
      <c r="BJ15" s="80">
        <f>FS!BJ$63</f>
        <v/>
      </c>
      <c r="BK15" s="80">
        <f>FS!BK$63</f>
        <v/>
      </c>
      <c r="BL15" s="80">
        <f>FS!BL$63</f>
        <v/>
      </c>
    </row>
    <row r="16">
      <c r="A16" s="98" t="inlineStr">
        <is>
          <t>Breach: liquidity below minimum (before new equity)</t>
        </is>
      </c>
      <c r="B16" s="65" t="inlineStr"/>
      <c r="C16" s="114">
        <f>SUM(E16:BL16)</f>
        <v/>
      </c>
      <c r="E16" s="23">
        <f>IF(AND(E12&gt;0,E15&lt;Inputs!$C$74),1,0)</f>
        <v/>
      </c>
      <c r="F16" s="23">
        <f>IF(AND(F12&gt;0,F15&lt;Inputs!$C$74),1,0)</f>
        <v/>
      </c>
      <c r="G16" s="23">
        <f>IF(AND(G12&gt;0,G15&lt;Inputs!$C$74),1,0)</f>
        <v/>
      </c>
      <c r="H16" s="23">
        <f>IF(AND(H12&gt;0,H15&lt;Inputs!$C$74),1,0)</f>
        <v/>
      </c>
      <c r="I16" s="23">
        <f>IF(AND(I12&gt;0,I15&lt;Inputs!$C$74),1,0)</f>
        <v/>
      </c>
      <c r="J16" s="23">
        <f>IF(AND(J12&gt;0,J15&lt;Inputs!$C$74),1,0)</f>
        <v/>
      </c>
      <c r="K16" s="23">
        <f>IF(AND(K12&gt;0,K15&lt;Inputs!$C$74),1,0)</f>
        <v/>
      </c>
      <c r="L16" s="23">
        <f>IF(AND(L12&gt;0,L15&lt;Inputs!$C$74),1,0)</f>
        <v/>
      </c>
      <c r="M16" s="23">
        <f>IF(AND(M12&gt;0,M15&lt;Inputs!$C$74),1,0)</f>
        <v/>
      </c>
      <c r="N16" s="23">
        <f>IF(AND(N12&gt;0,N15&lt;Inputs!$C$74),1,0)</f>
        <v/>
      </c>
      <c r="O16" s="23">
        <f>IF(AND(O12&gt;0,O15&lt;Inputs!$C$74),1,0)</f>
        <v/>
      </c>
      <c r="P16" s="23">
        <f>IF(AND(P12&gt;0,P15&lt;Inputs!$C$74),1,0)</f>
        <v/>
      </c>
      <c r="Q16" s="23">
        <f>IF(AND(Q12&gt;0,Q15&lt;Inputs!$C$74),1,0)</f>
        <v/>
      </c>
      <c r="R16" s="23">
        <f>IF(AND(R12&gt;0,R15&lt;Inputs!$C$74),1,0)</f>
        <v/>
      </c>
      <c r="S16" s="23">
        <f>IF(AND(S12&gt;0,S15&lt;Inputs!$C$74),1,0)</f>
        <v/>
      </c>
      <c r="T16" s="23">
        <f>IF(AND(T12&gt;0,T15&lt;Inputs!$C$74),1,0)</f>
        <v/>
      </c>
      <c r="U16" s="23">
        <f>IF(AND(U12&gt;0,U15&lt;Inputs!$C$74),1,0)</f>
        <v/>
      </c>
      <c r="V16" s="23">
        <f>IF(AND(V12&gt;0,V15&lt;Inputs!$C$74),1,0)</f>
        <v/>
      </c>
      <c r="W16" s="23">
        <f>IF(AND(W12&gt;0,W15&lt;Inputs!$C$74),1,0)</f>
        <v/>
      </c>
      <c r="X16" s="23">
        <f>IF(AND(X12&gt;0,X15&lt;Inputs!$C$74),1,0)</f>
        <v/>
      </c>
      <c r="Y16" s="23">
        <f>IF(AND(Y12&gt;0,Y15&lt;Inputs!$C$74),1,0)</f>
        <v/>
      </c>
      <c r="Z16" s="23">
        <f>IF(AND(Z12&gt;0,Z15&lt;Inputs!$C$74),1,0)</f>
        <v/>
      </c>
      <c r="AA16" s="23">
        <f>IF(AND(AA12&gt;0,AA15&lt;Inputs!$C$74),1,0)</f>
        <v/>
      </c>
      <c r="AB16" s="23">
        <f>IF(AND(AB12&gt;0,AB15&lt;Inputs!$C$74),1,0)</f>
        <v/>
      </c>
      <c r="AC16" s="23">
        <f>IF(AND(AC12&gt;0,AC15&lt;Inputs!$C$74),1,0)</f>
        <v/>
      </c>
      <c r="AD16" s="23">
        <f>IF(AND(AD12&gt;0,AD15&lt;Inputs!$C$74),1,0)</f>
        <v/>
      </c>
      <c r="AE16" s="23">
        <f>IF(AND(AE12&gt;0,AE15&lt;Inputs!$C$74),1,0)</f>
        <v/>
      </c>
      <c r="AF16" s="23">
        <f>IF(AND(AF12&gt;0,AF15&lt;Inputs!$C$74),1,0)</f>
        <v/>
      </c>
      <c r="AG16" s="23">
        <f>IF(AND(AG12&gt;0,AG15&lt;Inputs!$C$74),1,0)</f>
        <v/>
      </c>
      <c r="AH16" s="23">
        <f>IF(AND(AH12&gt;0,AH15&lt;Inputs!$C$74),1,0)</f>
        <v/>
      </c>
      <c r="AI16" s="23">
        <f>IF(AND(AI12&gt;0,AI15&lt;Inputs!$C$74),1,0)</f>
        <v/>
      </c>
      <c r="AJ16" s="23">
        <f>IF(AND(AJ12&gt;0,AJ15&lt;Inputs!$C$74),1,0)</f>
        <v/>
      </c>
      <c r="AK16" s="23">
        <f>IF(AND(AK12&gt;0,AK15&lt;Inputs!$C$74),1,0)</f>
        <v/>
      </c>
      <c r="AL16" s="23">
        <f>IF(AND(AL12&gt;0,AL15&lt;Inputs!$C$74),1,0)</f>
        <v/>
      </c>
      <c r="AM16" s="23">
        <f>IF(AND(AM12&gt;0,AM15&lt;Inputs!$C$74),1,0)</f>
        <v/>
      </c>
      <c r="AN16" s="23">
        <f>IF(AND(AN12&gt;0,AN15&lt;Inputs!$C$74),1,0)</f>
        <v/>
      </c>
      <c r="AO16" s="23">
        <f>IF(AND(AO12&gt;0,AO15&lt;Inputs!$C$74),1,0)</f>
        <v/>
      </c>
      <c r="AP16" s="23">
        <f>IF(AND(AP12&gt;0,AP15&lt;Inputs!$C$74),1,0)</f>
        <v/>
      </c>
      <c r="AQ16" s="23">
        <f>IF(AND(AQ12&gt;0,AQ15&lt;Inputs!$C$74),1,0)</f>
        <v/>
      </c>
      <c r="AR16" s="23">
        <f>IF(AND(AR12&gt;0,AR15&lt;Inputs!$C$74),1,0)</f>
        <v/>
      </c>
      <c r="AS16" s="23">
        <f>IF(AND(AS12&gt;0,AS15&lt;Inputs!$C$74),1,0)</f>
        <v/>
      </c>
      <c r="AT16" s="23">
        <f>IF(AND(AT12&gt;0,AT15&lt;Inputs!$C$74),1,0)</f>
        <v/>
      </c>
      <c r="AU16" s="23">
        <f>IF(AND(AU12&gt;0,AU15&lt;Inputs!$C$74),1,0)</f>
        <v/>
      </c>
      <c r="AV16" s="23">
        <f>IF(AND(AV12&gt;0,AV15&lt;Inputs!$C$74),1,0)</f>
        <v/>
      </c>
      <c r="AW16" s="23">
        <f>IF(AND(AW12&gt;0,AW15&lt;Inputs!$C$74),1,0)</f>
        <v/>
      </c>
      <c r="AX16" s="23">
        <f>IF(AND(AX12&gt;0,AX15&lt;Inputs!$C$74),1,0)</f>
        <v/>
      </c>
      <c r="AY16" s="23">
        <f>IF(AND(AY12&gt;0,AY15&lt;Inputs!$C$74),1,0)</f>
        <v/>
      </c>
      <c r="AZ16" s="23">
        <f>IF(AND(AZ12&gt;0,AZ15&lt;Inputs!$C$74),1,0)</f>
        <v/>
      </c>
      <c r="BA16" s="23">
        <f>IF(AND(BA12&gt;0,BA15&lt;Inputs!$C$74),1,0)</f>
        <v/>
      </c>
      <c r="BB16" s="23">
        <f>IF(AND(BB12&gt;0,BB15&lt;Inputs!$C$74),1,0)</f>
        <v/>
      </c>
      <c r="BC16" s="23">
        <f>IF(AND(BC12&gt;0,BC15&lt;Inputs!$C$74),1,0)</f>
        <v/>
      </c>
      <c r="BD16" s="23">
        <f>IF(AND(BD12&gt;0,BD15&lt;Inputs!$C$74),1,0)</f>
        <v/>
      </c>
      <c r="BE16" s="23">
        <f>IF(AND(BE12&gt;0,BE15&lt;Inputs!$C$74),1,0)</f>
        <v/>
      </c>
      <c r="BF16" s="23">
        <f>IF(AND(BF12&gt;0,BF15&lt;Inputs!$C$74),1,0)</f>
        <v/>
      </c>
      <c r="BG16" s="23">
        <f>IF(AND(BG12&gt;0,BG15&lt;Inputs!$C$74),1,0)</f>
        <v/>
      </c>
      <c r="BH16" s="23">
        <f>IF(AND(BH12&gt;0,BH15&lt;Inputs!$C$74),1,0)</f>
        <v/>
      </c>
      <c r="BI16" s="23">
        <f>IF(AND(BI12&gt;0,BI15&lt;Inputs!$C$74),1,0)</f>
        <v/>
      </c>
      <c r="BJ16" s="23">
        <f>IF(AND(BJ12&gt;0,BJ15&lt;Inputs!$C$74),1,0)</f>
        <v/>
      </c>
      <c r="BK16" s="23">
        <f>IF(AND(BK12&gt;0,BK15&lt;Inputs!$C$74),1,0)</f>
        <v/>
      </c>
      <c r="BL16" s="23">
        <f>IF(AND(BL12&gt;0,BL15&lt;Inputs!$C$74),1,0)</f>
        <v/>
      </c>
    </row>
    <row r="17">
      <c r="A17" s="98" t="inlineStr">
        <is>
          <t>30+ DPD receivables / gross receivables (projection)</t>
        </is>
      </c>
      <c r="B17" s="65" t="inlineStr"/>
      <c r="C17" s="106">
        <f>MAX(E17:BL17)</f>
        <v/>
      </c>
      <c r="E17" s="81">
        <f>IFERROR((Credit_Engine!E$19+Credit_Engine!E$75+Credit_Engine!E$131+Credit_Engine!E$187+Credit_Engine!E$243)/Ops!E$149,0)</f>
        <v/>
      </c>
      <c r="F17" s="81">
        <f>IFERROR((Credit_Engine!F$19+Credit_Engine!F$75+Credit_Engine!F$131+Credit_Engine!F$187+Credit_Engine!F$243)/Ops!F$149,0)</f>
        <v/>
      </c>
      <c r="G17" s="81">
        <f>IFERROR((Credit_Engine!G$19+Credit_Engine!G$75+Credit_Engine!G$131+Credit_Engine!G$187+Credit_Engine!G$243)/Ops!G$149,0)</f>
        <v/>
      </c>
      <c r="H17" s="81">
        <f>IFERROR((Credit_Engine!H$19+Credit_Engine!H$75+Credit_Engine!H$131+Credit_Engine!H$187+Credit_Engine!H$243)/Ops!H$149,0)</f>
        <v/>
      </c>
      <c r="I17" s="81">
        <f>IFERROR((Credit_Engine!I$19+Credit_Engine!I$75+Credit_Engine!I$131+Credit_Engine!I$187+Credit_Engine!I$243)/Ops!I$149,0)</f>
        <v/>
      </c>
      <c r="J17" s="81">
        <f>IFERROR((Credit_Engine!J$19+Credit_Engine!J$75+Credit_Engine!J$131+Credit_Engine!J$187+Credit_Engine!J$243)/Ops!J$149,0)</f>
        <v/>
      </c>
      <c r="K17" s="81">
        <f>IFERROR((Credit_Engine!K$19+Credit_Engine!K$75+Credit_Engine!K$131+Credit_Engine!K$187+Credit_Engine!K$243)/Ops!K$149,0)</f>
        <v/>
      </c>
      <c r="L17" s="81">
        <f>IFERROR((Credit_Engine!L$19+Credit_Engine!L$75+Credit_Engine!L$131+Credit_Engine!L$187+Credit_Engine!L$243)/Ops!L$149,0)</f>
        <v/>
      </c>
      <c r="M17" s="81">
        <f>IFERROR((Credit_Engine!M$19+Credit_Engine!M$75+Credit_Engine!M$131+Credit_Engine!M$187+Credit_Engine!M$243)/Ops!M$149,0)</f>
        <v/>
      </c>
      <c r="N17" s="81">
        <f>IFERROR((Credit_Engine!N$19+Credit_Engine!N$75+Credit_Engine!N$131+Credit_Engine!N$187+Credit_Engine!N$243)/Ops!N$149,0)</f>
        <v/>
      </c>
      <c r="O17" s="81">
        <f>IFERROR((Credit_Engine!O$19+Credit_Engine!O$75+Credit_Engine!O$131+Credit_Engine!O$187+Credit_Engine!O$243)/Ops!O$149,0)</f>
        <v/>
      </c>
      <c r="P17" s="81">
        <f>IFERROR((Credit_Engine!P$19+Credit_Engine!P$75+Credit_Engine!P$131+Credit_Engine!P$187+Credit_Engine!P$243)/Ops!P$149,0)</f>
        <v/>
      </c>
      <c r="Q17" s="81">
        <f>IFERROR((Credit_Engine!Q$19+Credit_Engine!Q$75+Credit_Engine!Q$131+Credit_Engine!Q$187+Credit_Engine!Q$243)/Ops!Q$149,0)</f>
        <v/>
      </c>
      <c r="R17" s="81">
        <f>IFERROR((Credit_Engine!R$19+Credit_Engine!R$75+Credit_Engine!R$131+Credit_Engine!R$187+Credit_Engine!R$243)/Ops!R$149,0)</f>
        <v/>
      </c>
      <c r="S17" s="81">
        <f>IFERROR((Credit_Engine!S$19+Credit_Engine!S$75+Credit_Engine!S$131+Credit_Engine!S$187+Credit_Engine!S$243)/Ops!S$149,0)</f>
        <v/>
      </c>
      <c r="T17" s="81">
        <f>IFERROR((Credit_Engine!T$19+Credit_Engine!T$75+Credit_Engine!T$131+Credit_Engine!T$187+Credit_Engine!T$243)/Ops!T$149,0)</f>
        <v/>
      </c>
      <c r="U17" s="81">
        <f>IFERROR((Credit_Engine!U$19+Credit_Engine!U$75+Credit_Engine!U$131+Credit_Engine!U$187+Credit_Engine!U$243)/Ops!U$149,0)</f>
        <v/>
      </c>
      <c r="V17" s="81">
        <f>IFERROR((Credit_Engine!V$19+Credit_Engine!V$75+Credit_Engine!V$131+Credit_Engine!V$187+Credit_Engine!V$243)/Ops!V$149,0)</f>
        <v/>
      </c>
      <c r="W17" s="81">
        <f>IFERROR((Credit_Engine!W$19+Credit_Engine!W$75+Credit_Engine!W$131+Credit_Engine!W$187+Credit_Engine!W$243)/Ops!W$149,0)</f>
        <v/>
      </c>
      <c r="X17" s="81">
        <f>IFERROR((Credit_Engine!X$19+Credit_Engine!X$75+Credit_Engine!X$131+Credit_Engine!X$187+Credit_Engine!X$243)/Ops!X$149,0)</f>
        <v/>
      </c>
      <c r="Y17" s="81">
        <f>IFERROR((Credit_Engine!Y$19+Credit_Engine!Y$75+Credit_Engine!Y$131+Credit_Engine!Y$187+Credit_Engine!Y$243)/Ops!Y$149,0)</f>
        <v/>
      </c>
      <c r="Z17" s="81">
        <f>IFERROR((Credit_Engine!Z$19+Credit_Engine!Z$75+Credit_Engine!Z$131+Credit_Engine!Z$187+Credit_Engine!Z$243)/Ops!Z$149,0)</f>
        <v/>
      </c>
      <c r="AA17" s="81">
        <f>IFERROR((Credit_Engine!AA$19+Credit_Engine!AA$75+Credit_Engine!AA$131+Credit_Engine!AA$187+Credit_Engine!AA$243)/Ops!AA$149,0)</f>
        <v/>
      </c>
      <c r="AB17" s="81">
        <f>IFERROR((Credit_Engine!AB$19+Credit_Engine!AB$75+Credit_Engine!AB$131+Credit_Engine!AB$187+Credit_Engine!AB$243)/Ops!AB$149,0)</f>
        <v/>
      </c>
      <c r="AC17" s="81">
        <f>IFERROR((Credit_Engine!AC$19+Credit_Engine!AC$75+Credit_Engine!AC$131+Credit_Engine!AC$187+Credit_Engine!AC$243)/Ops!AC$149,0)</f>
        <v/>
      </c>
      <c r="AD17" s="81">
        <f>IFERROR((Credit_Engine!AD$19+Credit_Engine!AD$75+Credit_Engine!AD$131+Credit_Engine!AD$187+Credit_Engine!AD$243)/Ops!AD$149,0)</f>
        <v/>
      </c>
      <c r="AE17" s="81">
        <f>IFERROR((Credit_Engine!AE$19+Credit_Engine!AE$75+Credit_Engine!AE$131+Credit_Engine!AE$187+Credit_Engine!AE$243)/Ops!AE$149,0)</f>
        <v/>
      </c>
      <c r="AF17" s="81">
        <f>IFERROR((Credit_Engine!AF$19+Credit_Engine!AF$75+Credit_Engine!AF$131+Credit_Engine!AF$187+Credit_Engine!AF$243)/Ops!AF$149,0)</f>
        <v/>
      </c>
      <c r="AG17" s="81">
        <f>IFERROR((Credit_Engine!AG$19+Credit_Engine!AG$75+Credit_Engine!AG$131+Credit_Engine!AG$187+Credit_Engine!AG$243)/Ops!AG$149,0)</f>
        <v/>
      </c>
      <c r="AH17" s="81">
        <f>IFERROR((Credit_Engine!AH$19+Credit_Engine!AH$75+Credit_Engine!AH$131+Credit_Engine!AH$187+Credit_Engine!AH$243)/Ops!AH$149,0)</f>
        <v/>
      </c>
      <c r="AI17" s="81">
        <f>IFERROR((Credit_Engine!AI$19+Credit_Engine!AI$75+Credit_Engine!AI$131+Credit_Engine!AI$187+Credit_Engine!AI$243)/Ops!AI$149,0)</f>
        <v/>
      </c>
      <c r="AJ17" s="81">
        <f>IFERROR((Credit_Engine!AJ$19+Credit_Engine!AJ$75+Credit_Engine!AJ$131+Credit_Engine!AJ$187+Credit_Engine!AJ$243)/Ops!AJ$149,0)</f>
        <v/>
      </c>
      <c r="AK17" s="81">
        <f>IFERROR((Credit_Engine!AK$19+Credit_Engine!AK$75+Credit_Engine!AK$131+Credit_Engine!AK$187+Credit_Engine!AK$243)/Ops!AK$149,0)</f>
        <v/>
      </c>
      <c r="AL17" s="81">
        <f>IFERROR((Credit_Engine!AL$19+Credit_Engine!AL$75+Credit_Engine!AL$131+Credit_Engine!AL$187+Credit_Engine!AL$243)/Ops!AL$149,0)</f>
        <v/>
      </c>
      <c r="AM17" s="81">
        <f>IFERROR((Credit_Engine!AM$19+Credit_Engine!AM$75+Credit_Engine!AM$131+Credit_Engine!AM$187+Credit_Engine!AM$243)/Ops!AM$149,0)</f>
        <v/>
      </c>
      <c r="AN17" s="81">
        <f>IFERROR((Credit_Engine!AN$19+Credit_Engine!AN$75+Credit_Engine!AN$131+Credit_Engine!AN$187+Credit_Engine!AN$243)/Ops!AN$149,0)</f>
        <v/>
      </c>
      <c r="AO17" s="81">
        <f>IFERROR((Credit_Engine!AO$19+Credit_Engine!AO$75+Credit_Engine!AO$131+Credit_Engine!AO$187+Credit_Engine!AO$243)/Ops!AO$149,0)</f>
        <v/>
      </c>
      <c r="AP17" s="81">
        <f>IFERROR((Credit_Engine!AP$19+Credit_Engine!AP$75+Credit_Engine!AP$131+Credit_Engine!AP$187+Credit_Engine!AP$243)/Ops!AP$149,0)</f>
        <v/>
      </c>
      <c r="AQ17" s="81">
        <f>IFERROR((Credit_Engine!AQ$19+Credit_Engine!AQ$75+Credit_Engine!AQ$131+Credit_Engine!AQ$187+Credit_Engine!AQ$243)/Ops!AQ$149,0)</f>
        <v/>
      </c>
      <c r="AR17" s="81">
        <f>IFERROR((Credit_Engine!AR$19+Credit_Engine!AR$75+Credit_Engine!AR$131+Credit_Engine!AR$187+Credit_Engine!AR$243)/Ops!AR$149,0)</f>
        <v/>
      </c>
      <c r="AS17" s="81">
        <f>IFERROR((Credit_Engine!AS$19+Credit_Engine!AS$75+Credit_Engine!AS$131+Credit_Engine!AS$187+Credit_Engine!AS$243)/Ops!AS$149,0)</f>
        <v/>
      </c>
      <c r="AT17" s="81">
        <f>IFERROR((Credit_Engine!AT$19+Credit_Engine!AT$75+Credit_Engine!AT$131+Credit_Engine!AT$187+Credit_Engine!AT$243)/Ops!AT$149,0)</f>
        <v/>
      </c>
      <c r="AU17" s="81">
        <f>IFERROR((Credit_Engine!AU$19+Credit_Engine!AU$75+Credit_Engine!AU$131+Credit_Engine!AU$187+Credit_Engine!AU$243)/Ops!AU$149,0)</f>
        <v/>
      </c>
      <c r="AV17" s="81">
        <f>IFERROR((Credit_Engine!AV$19+Credit_Engine!AV$75+Credit_Engine!AV$131+Credit_Engine!AV$187+Credit_Engine!AV$243)/Ops!AV$149,0)</f>
        <v/>
      </c>
      <c r="AW17" s="81">
        <f>IFERROR((Credit_Engine!AW$19+Credit_Engine!AW$75+Credit_Engine!AW$131+Credit_Engine!AW$187+Credit_Engine!AW$243)/Ops!AW$149,0)</f>
        <v/>
      </c>
      <c r="AX17" s="81">
        <f>IFERROR((Credit_Engine!AX$19+Credit_Engine!AX$75+Credit_Engine!AX$131+Credit_Engine!AX$187+Credit_Engine!AX$243)/Ops!AX$149,0)</f>
        <v/>
      </c>
      <c r="AY17" s="81">
        <f>IFERROR((Credit_Engine!AY$19+Credit_Engine!AY$75+Credit_Engine!AY$131+Credit_Engine!AY$187+Credit_Engine!AY$243)/Ops!AY$149,0)</f>
        <v/>
      </c>
      <c r="AZ17" s="81">
        <f>IFERROR((Credit_Engine!AZ$19+Credit_Engine!AZ$75+Credit_Engine!AZ$131+Credit_Engine!AZ$187+Credit_Engine!AZ$243)/Ops!AZ$149,0)</f>
        <v/>
      </c>
      <c r="BA17" s="81">
        <f>IFERROR((Credit_Engine!BA$19+Credit_Engine!BA$75+Credit_Engine!BA$131+Credit_Engine!BA$187+Credit_Engine!BA$243)/Ops!BA$149,0)</f>
        <v/>
      </c>
      <c r="BB17" s="81">
        <f>IFERROR((Credit_Engine!BB$19+Credit_Engine!BB$75+Credit_Engine!BB$131+Credit_Engine!BB$187+Credit_Engine!BB$243)/Ops!BB$149,0)</f>
        <v/>
      </c>
      <c r="BC17" s="81">
        <f>IFERROR((Credit_Engine!BC$19+Credit_Engine!BC$75+Credit_Engine!BC$131+Credit_Engine!BC$187+Credit_Engine!BC$243)/Ops!BC$149,0)</f>
        <v/>
      </c>
      <c r="BD17" s="81">
        <f>IFERROR((Credit_Engine!BD$19+Credit_Engine!BD$75+Credit_Engine!BD$131+Credit_Engine!BD$187+Credit_Engine!BD$243)/Ops!BD$149,0)</f>
        <v/>
      </c>
      <c r="BE17" s="81">
        <f>IFERROR((Credit_Engine!BE$19+Credit_Engine!BE$75+Credit_Engine!BE$131+Credit_Engine!BE$187+Credit_Engine!BE$243)/Ops!BE$149,0)</f>
        <v/>
      </c>
      <c r="BF17" s="81">
        <f>IFERROR((Credit_Engine!BF$19+Credit_Engine!BF$75+Credit_Engine!BF$131+Credit_Engine!BF$187+Credit_Engine!BF$243)/Ops!BF$149,0)</f>
        <v/>
      </c>
      <c r="BG17" s="81">
        <f>IFERROR((Credit_Engine!BG$19+Credit_Engine!BG$75+Credit_Engine!BG$131+Credit_Engine!BG$187+Credit_Engine!BG$243)/Ops!BG$149,0)</f>
        <v/>
      </c>
      <c r="BH17" s="81">
        <f>IFERROR((Credit_Engine!BH$19+Credit_Engine!BH$75+Credit_Engine!BH$131+Credit_Engine!BH$187+Credit_Engine!BH$243)/Ops!BH$149,0)</f>
        <v/>
      </c>
      <c r="BI17" s="81">
        <f>IFERROR((Credit_Engine!BI$19+Credit_Engine!BI$75+Credit_Engine!BI$131+Credit_Engine!BI$187+Credit_Engine!BI$243)/Ops!BI$149,0)</f>
        <v/>
      </c>
      <c r="BJ17" s="81">
        <f>IFERROR((Credit_Engine!BJ$19+Credit_Engine!BJ$75+Credit_Engine!BJ$131+Credit_Engine!BJ$187+Credit_Engine!BJ$243)/Ops!BJ$149,0)</f>
        <v/>
      </c>
      <c r="BK17" s="81">
        <f>IFERROR((Credit_Engine!BK$19+Credit_Engine!BK$75+Credit_Engine!BK$131+Credit_Engine!BK$187+Credit_Engine!BK$243)/Ops!BK$149,0)</f>
        <v/>
      </c>
      <c r="BL17" s="81">
        <f>IFERROR((Credit_Engine!BL$19+Credit_Engine!BL$75+Credit_Engine!BL$131+Credit_Engine!BL$187+Credit_Engine!BL$243)/Ops!BL$149,0)</f>
        <v/>
      </c>
    </row>
    <row r="18">
      <c r="A18" s="98" t="inlineStr">
        <is>
          <t>Breach: 30+ DPD above maximum</t>
        </is>
      </c>
      <c r="B18" s="65" t="inlineStr"/>
      <c r="C18" s="114">
        <f>SUM(E18:BL18)</f>
        <v/>
      </c>
      <c r="E18" s="23">
        <f>IF(AND(Financing!E$23&gt;0,E17&gt;Inputs!$C$75),1,0)</f>
        <v/>
      </c>
      <c r="F18" s="23">
        <f>IF(AND(Financing!F$23&gt;0,F17&gt;Inputs!$C$75),1,0)</f>
        <v/>
      </c>
      <c r="G18" s="23">
        <f>IF(AND(Financing!G$23&gt;0,G17&gt;Inputs!$C$75),1,0)</f>
        <v/>
      </c>
      <c r="H18" s="23">
        <f>IF(AND(Financing!H$23&gt;0,H17&gt;Inputs!$C$75),1,0)</f>
        <v/>
      </c>
      <c r="I18" s="23">
        <f>IF(AND(Financing!I$23&gt;0,I17&gt;Inputs!$C$75),1,0)</f>
        <v/>
      </c>
      <c r="J18" s="23">
        <f>IF(AND(Financing!J$23&gt;0,J17&gt;Inputs!$C$75),1,0)</f>
        <v/>
      </c>
      <c r="K18" s="23">
        <f>IF(AND(Financing!K$23&gt;0,K17&gt;Inputs!$C$75),1,0)</f>
        <v/>
      </c>
      <c r="L18" s="23">
        <f>IF(AND(Financing!L$23&gt;0,L17&gt;Inputs!$C$75),1,0)</f>
        <v/>
      </c>
      <c r="M18" s="23">
        <f>IF(AND(Financing!M$23&gt;0,M17&gt;Inputs!$C$75),1,0)</f>
        <v/>
      </c>
      <c r="N18" s="23">
        <f>IF(AND(Financing!N$23&gt;0,N17&gt;Inputs!$C$75),1,0)</f>
        <v/>
      </c>
      <c r="O18" s="23">
        <f>IF(AND(Financing!O$23&gt;0,O17&gt;Inputs!$C$75),1,0)</f>
        <v/>
      </c>
      <c r="P18" s="23">
        <f>IF(AND(Financing!P$23&gt;0,P17&gt;Inputs!$C$75),1,0)</f>
        <v/>
      </c>
      <c r="Q18" s="23">
        <f>IF(AND(Financing!Q$23&gt;0,Q17&gt;Inputs!$C$75),1,0)</f>
        <v/>
      </c>
      <c r="R18" s="23">
        <f>IF(AND(Financing!R$23&gt;0,R17&gt;Inputs!$C$75),1,0)</f>
        <v/>
      </c>
      <c r="S18" s="23">
        <f>IF(AND(Financing!S$23&gt;0,S17&gt;Inputs!$C$75),1,0)</f>
        <v/>
      </c>
      <c r="T18" s="23">
        <f>IF(AND(Financing!T$23&gt;0,T17&gt;Inputs!$C$75),1,0)</f>
        <v/>
      </c>
      <c r="U18" s="23">
        <f>IF(AND(Financing!U$23&gt;0,U17&gt;Inputs!$C$75),1,0)</f>
        <v/>
      </c>
      <c r="V18" s="23">
        <f>IF(AND(Financing!V$23&gt;0,V17&gt;Inputs!$C$75),1,0)</f>
        <v/>
      </c>
      <c r="W18" s="23">
        <f>IF(AND(Financing!W$23&gt;0,W17&gt;Inputs!$C$75),1,0)</f>
        <v/>
      </c>
      <c r="X18" s="23">
        <f>IF(AND(Financing!X$23&gt;0,X17&gt;Inputs!$C$75),1,0)</f>
        <v/>
      </c>
      <c r="Y18" s="23">
        <f>IF(AND(Financing!Y$23&gt;0,Y17&gt;Inputs!$C$75),1,0)</f>
        <v/>
      </c>
      <c r="Z18" s="23">
        <f>IF(AND(Financing!Z$23&gt;0,Z17&gt;Inputs!$C$75),1,0)</f>
        <v/>
      </c>
      <c r="AA18" s="23">
        <f>IF(AND(Financing!AA$23&gt;0,AA17&gt;Inputs!$C$75),1,0)</f>
        <v/>
      </c>
      <c r="AB18" s="23">
        <f>IF(AND(Financing!AB$23&gt;0,AB17&gt;Inputs!$C$75),1,0)</f>
        <v/>
      </c>
      <c r="AC18" s="23">
        <f>IF(AND(Financing!AC$23&gt;0,AC17&gt;Inputs!$C$75),1,0)</f>
        <v/>
      </c>
      <c r="AD18" s="23">
        <f>IF(AND(Financing!AD$23&gt;0,AD17&gt;Inputs!$C$75),1,0)</f>
        <v/>
      </c>
      <c r="AE18" s="23">
        <f>IF(AND(Financing!AE$23&gt;0,AE17&gt;Inputs!$C$75),1,0)</f>
        <v/>
      </c>
      <c r="AF18" s="23">
        <f>IF(AND(Financing!AF$23&gt;0,AF17&gt;Inputs!$C$75),1,0)</f>
        <v/>
      </c>
      <c r="AG18" s="23">
        <f>IF(AND(Financing!AG$23&gt;0,AG17&gt;Inputs!$C$75),1,0)</f>
        <v/>
      </c>
      <c r="AH18" s="23">
        <f>IF(AND(Financing!AH$23&gt;0,AH17&gt;Inputs!$C$75),1,0)</f>
        <v/>
      </c>
      <c r="AI18" s="23">
        <f>IF(AND(Financing!AI$23&gt;0,AI17&gt;Inputs!$C$75),1,0)</f>
        <v/>
      </c>
      <c r="AJ18" s="23">
        <f>IF(AND(Financing!AJ$23&gt;0,AJ17&gt;Inputs!$C$75),1,0)</f>
        <v/>
      </c>
      <c r="AK18" s="23">
        <f>IF(AND(Financing!AK$23&gt;0,AK17&gt;Inputs!$C$75),1,0)</f>
        <v/>
      </c>
      <c r="AL18" s="23">
        <f>IF(AND(Financing!AL$23&gt;0,AL17&gt;Inputs!$C$75),1,0)</f>
        <v/>
      </c>
      <c r="AM18" s="23">
        <f>IF(AND(Financing!AM$23&gt;0,AM17&gt;Inputs!$C$75),1,0)</f>
        <v/>
      </c>
      <c r="AN18" s="23">
        <f>IF(AND(Financing!AN$23&gt;0,AN17&gt;Inputs!$C$75),1,0)</f>
        <v/>
      </c>
      <c r="AO18" s="23">
        <f>IF(AND(Financing!AO$23&gt;0,AO17&gt;Inputs!$C$75),1,0)</f>
        <v/>
      </c>
      <c r="AP18" s="23">
        <f>IF(AND(Financing!AP$23&gt;0,AP17&gt;Inputs!$C$75),1,0)</f>
        <v/>
      </c>
      <c r="AQ18" s="23">
        <f>IF(AND(Financing!AQ$23&gt;0,AQ17&gt;Inputs!$C$75),1,0)</f>
        <v/>
      </c>
      <c r="AR18" s="23">
        <f>IF(AND(Financing!AR$23&gt;0,AR17&gt;Inputs!$C$75),1,0)</f>
        <v/>
      </c>
      <c r="AS18" s="23">
        <f>IF(AND(Financing!AS$23&gt;0,AS17&gt;Inputs!$C$75),1,0)</f>
        <v/>
      </c>
      <c r="AT18" s="23">
        <f>IF(AND(Financing!AT$23&gt;0,AT17&gt;Inputs!$C$75),1,0)</f>
        <v/>
      </c>
      <c r="AU18" s="23">
        <f>IF(AND(Financing!AU$23&gt;0,AU17&gt;Inputs!$C$75),1,0)</f>
        <v/>
      </c>
      <c r="AV18" s="23">
        <f>IF(AND(Financing!AV$23&gt;0,AV17&gt;Inputs!$C$75),1,0)</f>
        <v/>
      </c>
      <c r="AW18" s="23">
        <f>IF(AND(Financing!AW$23&gt;0,AW17&gt;Inputs!$C$75),1,0)</f>
        <v/>
      </c>
      <c r="AX18" s="23">
        <f>IF(AND(Financing!AX$23&gt;0,AX17&gt;Inputs!$C$75),1,0)</f>
        <v/>
      </c>
      <c r="AY18" s="23">
        <f>IF(AND(Financing!AY$23&gt;0,AY17&gt;Inputs!$C$75),1,0)</f>
        <v/>
      </c>
      <c r="AZ18" s="23">
        <f>IF(AND(Financing!AZ$23&gt;0,AZ17&gt;Inputs!$C$75),1,0)</f>
        <v/>
      </c>
      <c r="BA18" s="23">
        <f>IF(AND(Financing!BA$23&gt;0,BA17&gt;Inputs!$C$75),1,0)</f>
        <v/>
      </c>
      <c r="BB18" s="23">
        <f>IF(AND(Financing!BB$23&gt;0,BB17&gt;Inputs!$C$75),1,0)</f>
        <v/>
      </c>
      <c r="BC18" s="23">
        <f>IF(AND(Financing!BC$23&gt;0,BC17&gt;Inputs!$C$75),1,0)</f>
        <v/>
      </c>
      <c r="BD18" s="23">
        <f>IF(AND(Financing!BD$23&gt;0,BD17&gt;Inputs!$C$75),1,0)</f>
        <v/>
      </c>
      <c r="BE18" s="23">
        <f>IF(AND(Financing!BE$23&gt;0,BE17&gt;Inputs!$C$75),1,0)</f>
        <v/>
      </c>
      <c r="BF18" s="23">
        <f>IF(AND(Financing!BF$23&gt;0,BF17&gt;Inputs!$C$75),1,0)</f>
        <v/>
      </c>
      <c r="BG18" s="23">
        <f>IF(AND(Financing!BG$23&gt;0,BG17&gt;Inputs!$C$75),1,0)</f>
        <v/>
      </c>
      <c r="BH18" s="23">
        <f>IF(AND(Financing!BH$23&gt;0,BH17&gt;Inputs!$C$75),1,0)</f>
        <v/>
      </c>
      <c r="BI18" s="23">
        <f>IF(AND(Financing!BI$23&gt;0,BI17&gt;Inputs!$C$75),1,0)</f>
        <v/>
      </c>
      <c r="BJ18" s="23">
        <f>IF(AND(Financing!BJ$23&gt;0,BJ17&gt;Inputs!$C$75),1,0)</f>
        <v/>
      </c>
      <c r="BK18" s="23">
        <f>IF(AND(Financing!BK$23&gt;0,BK17&gt;Inputs!$C$75),1,0)</f>
        <v/>
      </c>
      <c r="BL18" s="23">
        <f>IF(AND(Financing!BL$23&gt;0,BL17&gt;Inputs!$C$75),1,0)</f>
        <v/>
      </c>
    </row>
    <row r="19">
      <c r="A19" s="98" t="inlineStr">
        <is>
          <t>90+ DPD receivables / gross receivables (projection)</t>
        </is>
      </c>
      <c r="B19" s="65" t="inlineStr"/>
      <c r="C19" s="106">
        <f>MAX(E19:BL19)</f>
        <v/>
      </c>
      <c r="E19" s="81">
        <f>IFERROR((Credit_Engine!E$20+Credit_Engine!E$76+Credit_Engine!E$132+Credit_Engine!E$188+Credit_Engine!E$244)/Ops!E$149,0)</f>
        <v/>
      </c>
      <c r="F19" s="81">
        <f>IFERROR((Credit_Engine!F$20+Credit_Engine!F$76+Credit_Engine!F$132+Credit_Engine!F$188+Credit_Engine!F$244)/Ops!F$149,0)</f>
        <v/>
      </c>
      <c r="G19" s="81">
        <f>IFERROR((Credit_Engine!G$20+Credit_Engine!G$76+Credit_Engine!G$132+Credit_Engine!G$188+Credit_Engine!G$244)/Ops!G$149,0)</f>
        <v/>
      </c>
      <c r="H19" s="81">
        <f>IFERROR((Credit_Engine!H$20+Credit_Engine!H$76+Credit_Engine!H$132+Credit_Engine!H$188+Credit_Engine!H$244)/Ops!H$149,0)</f>
        <v/>
      </c>
      <c r="I19" s="81">
        <f>IFERROR((Credit_Engine!I$20+Credit_Engine!I$76+Credit_Engine!I$132+Credit_Engine!I$188+Credit_Engine!I$244)/Ops!I$149,0)</f>
        <v/>
      </c>
      <c r="J19" s="81">
        <f>IFERROR((Credit_Engine!J$20+Credit_Engine!J$76+Credit_Engine!J$132+Credit_Engine!J$188+Credit_Engine!J$244)/Ops!J$149,0)</f>
        <v/>
      </c>
      <c r="K19" s="81">
        <f>IFERROR((Credit_Engine!K$20+Credit_Engine!K$76+Credit_Engine!K$132+Credit_Engine!K$188+Credit_Engine!K$244)/Ops!K$149,0)</f>
        <v/>
      </c>
      <c r="L19" s="81">
        <f>IFERROR((Credit_Engine!L$20+Credit_Engine!L$76+Credit_Engine!L$132+Credit_Engine!L$188+Credit_Engine!L$244)/Ops!L$149,0)</f>
        <v/>
      </c>
      <c r="M19" s="81">
        <f>IFERROR((Credit_Engine!M$20+Credit_Engine!M$76+Credit_Engine!M$132+Credit_Engine!M$188+Credit_Engine!M$244)/Ops!M$149,0)</f>
        <v/>
      </c>
      <c r="N19" s="81">
        <f>IFERROR((Credit_Engine!N$20+Credit_Engine!N$76+Credit_Engine!N$132+Credit_Engine!N$188+Credit_Engine!N$244)/Ops!N$149,0)</f>
        <v/>
      </c>
      <c r="O19" s="81">
        <f>IFERROR((Credit_Engine!O$20+Credit_Engine!O$76+Credit_Engine!O$132+Credit_Engine!O$188+Credit_Engine!O$244)/Ops!O$149,0)</f>
        <v/>
      </c>
      <c r="P19" s="81">
        <f>IFERROR((Credit_Engine!P$20+Credit_Engine!P$76+Credit_Engine!P$132+Credit_Engine!P$188+Credit_Engine!P$244)/Ops!P$149,0)</f>
        <v/>
      </c>
      <c r="Q19" s="81">
        <f>IFERROR((Credit_Engine!Q$20+Credit_Engine!Q$76+Credit_Engine!Q$132+Credit_Engine!Q$188+Credit_Engine!Q$244)/Ops!Q$149,0)</f>
        <v/>
      </c>
      <c r="R19" s="81">
        <f>IFERROR((Credit_Engine!R$20+Credit_Engine!R$76+Credit_Engine!R$132+Credit_Engine!R$188+Credit_Engine!R$244)/Ops!R$149,0)</f>
        <v/>
      </c>
      <c r="S19" s="81">
        <f>IFERROR((Credit_Engine!S$20+Credit_Engine!S$76+Credit_Engine!S$132+Credit_Engine!S$188+Credit_Engine!S$244)/Ops!S$149,0)</f>
        <v/>
      </c>
      <c r="T19" s="81">
        <f>IFERROR((Credit_Engine!T$20+Credit_Engine!T$76+Credit_Engine!T$132+Credit_Engine!T$188+Credit_Engine!T$244)/Ops!T$149,0)</f>
        <v/>
      </c>
      <c r="U19" s="81">
        <f>IFERROR((Credit_Engine!U$20+Credit_Engine!U$76+Credit_Engine!U$132+Credit_Engine!U$188+Credit_Engine!U$244)/Ops!U$149,0)</f>
        <v/>
      </c>
      <c r="V19" s="81">
        <f>IFERROR((Credit_Engine!V$20+Credit_Engine!V$76+Credit_Engine!V$132+Credit_Engine!V$188+Credit_Engine!V$244)/Ops!V$149,0)</f>
        <v/>
      </c>
      <c r="W19" s="81">
        <f>IFERROR((Credit_Engine!W$20+Credit_Engine!W$76+Credit_Engine!W$132+Credit_Engine!W$188+Credit_Engine!W$244)/Ops!W$149,0)</f>
        <v/>
      </c>
      <c r="X19" s="81">
        <f>IFERROR((Credit_Engine!X$20+Credit_Engine!X$76+Credit_Engine!X$132+Credit_Engine!X$188+Credit_Engine!X$244)/Ops!X$149,0)</f>
        <v/>
      </c>
      <c r="Y19" s="81">
        <f>IFERROR((Credit_Engine!Y$20+Credit_Engine!Y$76+Credit_Engine!Y$132+Credit_Engine!Y$188+Credit_Engine!Y$244)/Ops!Y$149,0)</f>
        <v/>
      </c>
      <c r="Z19" s="81">
        <f>IFERROR((Credit_Engine!Z$20+Credit_Engine!Z$76+Credit_Engine!Z$132+Credit_Engine!Z$188+Credit_Engine!Z$244)/Ops!Z$149,0)</f>
        <v/>
      </c>
      <c r="AA19" s="81">
        <f>IFERROR((Credit_Engine!AA$20+Credit_Engine!AA$76+Credit_Engine!AA$132+Credit_Engine!AA$188+Credit_Engine!AA$244)/Ops!AA$149,0)</f>
        <v/>
      </c>
      <c r="AB19" s="81">
        <f>IFERROR((Credit_Engine!AB$20+Credit_Engine!AB$76+Credit_Engine!AB$132+Credit_Engine!AB$188+Credit_Engine!AB$244)/Ops!AB$149,0)</f>
        <v/>
      </c>
      <c r="AC19" s="81">
        <f>IFERROR((Credit_Engine!AC$20+Credit_Engine!AC$76+Credit_Engine!AC$132+Credit_Engine!AC$188+Credit_Engine!AC$244)/Ops!AC$149,0)</f>
        <v/>
      </c>
      <c r="AD19" s="81">
        <f>IFERROR((Credit_Engine!AD$20+Credit_Engine!AD$76+Credit_Engine!AD$132+Credit_Engine!AD$188+Credit_Engine!AD$244)/Ops!AD$149,0)</f>
        <v/>
      </c>
      <c r="AE19" s="81">
        <f>IFERROR((Credit_Engine!AE$20+Credit_Engine!AE$76+Credit_Engine!AE$132+Credit_Engine!AE$188+Credit_Engine!AE$244)/Ops!AE$149,0)</f>
        <v/>
      </c>
      <c r="AF19" s="81">
        <f>IFERROR((Credit_Engine!AF$20+Credit_Engine!AF$76+Credit_Engine!AF$132+Credit_Engine!AF$188+Credit_Engine!AF$244)/Ops!AF$149,0)</f>
        <v/>
      </c>
      <c r="AG19" s="81">
        <f>IFERROR((Credit_Engine!AG$20+Credit_Engine!AG$76+Credit_Engine!AG$132+Credit_Engine!AG$188+Credit_Engine!AG$244)/Ops!AG$149,0)</f>
        <v/>
      </c>
      <c r="AH19" s="81">
        <f>IFERROR((Credit_Engine!AH$20+Credit_Engine!AH$76+Credit_Engine!AH$132+Credit_Engine!AH$188+Credit_Engine!AH$244)/Ops!AH$149,0)</f>
        <v/>
      </c>
      <c r="AI19" s="81">
        <f>IFERROR((Credit_Engine!AI$20+Credit_Engine!AI$76+Credit_Engine!AI$132+Credit_Engine!AI$188+Credit_Engine!AI$244)/Ops!AI$149,0)</f>
        <v/>
      </c>
      <c r="AJ19" s="81">
        <f>IFERROR((Credit_Engine!AJ$20+Credit_Engine!AJ$76+Credit_Engine!AJ$132+Credit_Engine!AJ$188+Credit_Engine!AJ$244)/Ops!AJ$149,0)</f>
        <v/>
      </c>
      <c r="AK19" s="81">
        <f>IFERROR((Credit_Engine!AK$20+Credit_Engine!AK$76+Credit_Engine!AK$132+Credit_Engine!AK$188+Credit_Engine!AK$244)/Ops!AK$149,0)</f>
        <v/>
      </c>
      <c r="AL19" s="81">
        <f>IFERROR((Credit_Engine!AL$20+Credit_Engine!AL$76+Credit_Engine!AL$132+Credit_Engine!AL$188+Credit_Engine!AL$244)/Ops!AL$149,0)</f>
        <v/>
      </c>
      <c r="AM19" s="81">
        <f>IFERROR((Credit_Engine!AM$20+Credit_Engine!AM$76+Credit_Engine!AM$132+Credit_Engine!AM$188+Credit_Engine!AM$244)/Ops!AM$149,0)</f>
        <v/>
      </c>
      <c r="AN19" s="81">
        <f>IFERROR((Credit_Engine!AN$20+Credit_Engine!AN$76+Credit_Engine!AN$132+Credit_Engine!AN$188+Credit_Engine!AN$244)/Ops!AN$149,0)</f>
        <v/>
      </c>
      <c r="AO19" s="81">
        <f>IFERROR((Credit_Engine!AO$20+Credit_Engine!AO$76+Credit_Engine!AO$132+Credit_Engine!AO$188+Credit_Engine!AO$244)/Ops!AO$149,0)</f>
        <v/>
      </c>
      <c r="AP19" s="81">
        <f>IFERROR((Credit_Engine!AP$20+Credit_Engine!AP$76+Credit_Engine!AP$132+Credit_Engine!AP$188+Credit_Engine!AP$244)/Ops!AP$149,0)</f>
        <v/>
      </c>
      <c r="AQ19" s="81">
        <f>IFERROR((Credit_Engine!AQ$20+Credit_Engine!AQ$76+Credit_Engine!AQ$132+Credit_Engine!AQ$188+Credit_Engine!AQ$244)/Ops!AQ$149,0)</f>
        <v/>
      </c>
      <c r="AR19" s="81">
        <f>IFERROR((Credit_Engine!AR$20+Credit_Engine!AR$76+Credit_Engine!AR$132+Credit_Engine!AR$188+Credit_Engine!AR$244)/Ops!AR$149,0)</f>
        <v/>
      </c>
      <c r="AS19" s="81">
        <f>IFERROR((Credit_Engine!AS$20+Credit_Engine!AS$76+Credit_Engine!AS$132+Credit_Engine!AS$188+Credit_Engine!AS$244)/Ops!AS$149,0)</f>
        <v/>
      </c>
      <c r="AT19" s="81">
        <f>IFERROR((Credit_Engine!AT$20+Credit_Engine!AT$76+Credit_Engine!AT$132+Credit_Engine!AT$188+Credit_Engine!AT$244)/Ops!AT$149,0)</f>
        <v/>
      </c>
      <c r="AU19" s="81">
        <f>IFERROR((Credit_Engine!AU$20+Credit_Engine!AU$76+Credit_Engine!AU$132+Credit_Engine!AU$188+Credit_Engine!AU$244)/Ops!AU$149,0)</f>
        <v/>
      </c>
      <c r="AV19" s="81">
        <f>IFERROR((Credit_Engine!AV$20+Credit_Engine!AV$76+Credit_Engine!AV$132+Credit_Engine!AV$188+Credit_Engine!AV$244)/Ops!AV$149,0)</f>
        <v/>
      </c>
      <c r="AW19" s="81">
        <f>IFERROR((Credit_Engine!AW$20+Credit_Engine!AW$76+Credit_Engine!AW$132+Credit_Engine!AW$188+Credit_Engine!AW$244)/Ops!AW$149,0)</f>
        <v/>
      </c>
      <c r="AX19" s="81">
        <f>IFERROR((Credit_Engine!AX$20+Credit_Engine!AX$76+Credit_Engine!AX$132+Credit_Engine!AX$188+Credit_Engine!AX$244)/Ops!AX$149,0)</f>
        <v/>
      </c>
      <c r="AY19" s="81">
        <f>IFERROR((Credit_Engine!AY$20+Credit_Engine!AY$76+Credit_Engine!AY$132+Credit_Engine!AY$188+Credit_Engine!AY$244)/Ops!AY$149,0)</f>
        <v/>
      </c>
      <c r="AZ19" s="81">
        <f>IFERROR((Credit_Engine!AZ$20+Credit_Engine!AZ$76+Credit_Engine!AZ$132+Credit_Engine!AZ$188+Credit_Engine!AZ$244)/Ops!AZ$149,0)</f>
        <v/>
      </c>
      <c r="BA19" s="81">
        <f>IFERROR((Credit_Engine!BA$20+Credit_Engine!BA$76+Credit_Engine!BA$132+Credit_Engine!BA$188+Credit_Engine!BA$244)/Ops!BA$149,0)</f>
        <v/>
      </c>
      <c r="BB19" s="81">
        <f>IFERROR((Credit_Engine!BB$20+Credit_Engine!BB$76+Credit_Engine!BB$132+Credit_Engine!BB$188+Credit_Engine!BB$244)/Ops!BB$149,0)</f>
        <v/>
      </c>
      <c r="BC19" s="81">
        <f>IFERROR((Credit_Engine!BC$20+Credit_Engine!BC$76+Credit_Engine!BC$132+Credit_Engine!BC$188+Credit_Engine!BC$244)/Ops!BC$149,0)</f>
        <v/>
      </c>
      <c r="BD19" s="81">
        <f>IFERROR((Credit_Engine!BD$20+Credit_Engine!BD$76+Credit_Engine!BD$132+Credit_Engine!BD$188+Credit_Engine!BD$244)/Ops!BD$149,0)</f>
        <v/>
      </c>
      <c r="BE19" s="81">
        <f>IFERROR((Credit_Engine!BE$20+Credit_Engine!BE$76+Credit_Engine!BE$132+Credit_Engine!BE$188+Credit_Engine!BE$244)/Ops!BE$149,0)</f>
        <v/>
      </c>
      <c r="BF19" s="81">
        <f>IFERROR((Credit_Engine!BF$20+Credit_Engine!BF$76+Credit_Engine!BF$132+Credit_Engine!BF$188+Credit_Engine!BF$244)/Ops!BF$149,0)</f>
        <v/>
      </c>
      <c r="BG19" s="81">
        <f>IFERROR((Credit_Engine!BG$20+Credit_Engine!BG$76+Credit_Engine!BG$132+Credit_Engine!BG$188+Credit_Engine!BG$244)/Ops!BG$149,0)</f>
        <v/>
      </c>
      <c r="BH19" s="81">
        <f>IFERROR((Credit_Engine!BH$20+Credit_Engine!BH$76+Credit_Engine!BH$132+Credit_Engine!BH$188+Credit_Engine!BH$244)/Ops!BH$149,0)</f>
        <v/>
      </c>
      <c r="BI19" s="81">
        <f>IFERROR((Credit_Engine!BI$20+Credit_Engine!BI$76+Credit_Engine!BI$132+Credit_Engine!BI$188+Credit_Engine!BI$244)/Ops!BI$149,0)</f>
        <v/>
      </c>
      <c r="BJ19" s="81">
        <f>IFERROR((Credit_Engine!BJ$20+Credit_Engine!BJ$76+Credit_Engine!BJ$132+Credit_Engine!BJ$188+Credit_Engine!BJ$244)/Ops!BJ$149,0)</f>
        <v/>
      </c>
      <c r="BK19" s="81">
        <f>IFERROR((Credit_Engine!BK$20+Credit_Engine!BK$76+Credit_Engine!BK$132+Credit_Engine!BK$188+Credit_Engine!BK$244)/Ops!BK$149,0)</f>
        <v/>
      </c>
      <c r="BL19" s="81">
        <f>IFERROR((Credit_Engine!BL$20+Credit_Engine!BL$76+Credit_Engine!BL$132+Credit_Engine!BL$188+Credit_Engine!BL$244)/Ops!BL$149,0)</f>
        <v/>
      </c>
    </row>
    <row r="20">
      <c r="A20" s="98" t="inlineStr">
        <is>
          <t>Breach: 90+ DPD above maximum</t>
        </is>
      </c>
      <c r="B20" s="65" t="inlineStr"/>
      <c r="C20" s="114">
        <f>SUM(E20:BL20)</f>
        <v/>
      </c>
      <c r="E20" s="23">
        <f>IF(AND(Financing!E$23&gt;0,E19&gt;Inputs!$C$76),1,0)</f>
        <v/>
      </c>
      <c r="F20" s="23">
        <f>IF(AND(Financing!F$23&gt;0,F19&gt;Inputs!$C$76),1,0)</f>
        <v/>
      </c>
      <c r="G20" s="23">
        <f>IF(AND(Financing!G$23&gt;0,G19&gt;Inputs!$C$76),1,0)</f>
        <v/>
      </c>
      <c r="H20" s="23">
        <f>IF(AND(Financing!H$23&gt;0,H19&gt;Inputs!$C$76),1,0)</f>
        <v/>
      </c>
      <c r="I20" s="23">
        <f>IF(AND(Financing!I$23&gt;0,I19&gt;Inputs!$C$76),1,0)</f>
        <v/>
      </c>
      <c r="J20" s="23">
        <f>IF(AND(Financing!J$23&gt;0,J19&gt;Inputs!$C$76),1,0)</f>
        <v/>
      </c>
      <c r="K20" s="23">
        <f>IF(AND(Financing!K$23&gt;0,K19&gt;Inputs!$C$76),1,0)</f>
        <v/>
      </c>
      <c r="L20" s="23">
        <f>IF(AND(Financing!L$23&gt;0,L19&gt;Inputs!$C$76),1,0)</f>
        <v/>
      </c>
      <c r="M20" s="23">
        <f>IF(AND(Financing!M$23&gt;0,M19&gt;Inputs!$C$76),1,0)</f>
        <v/>
      </c>
      <c r="N20" s="23">
        <f>IF(AND(Financing!N$23&gt;0,N19&gt;Inputs!$C$76),1,0)</f>
        <v/>
      </c>
      <c r="O20" s="23">
        <f>IF(AND(Financing!O$23&gt;0,O19&gt;Inputs!$C$76),1,0)</f>
        <v/>
      </c>
      <c r="P20" s="23">
        <f>IF(AND(Financing!P$23&gt;0,P19&gt;Inputs!$C$76),1,0)</f>
        <v/>
      </c>
      <c r="Q20" s="23">
        <f>IF(AND(Financing!Q$23&gt;0,Q19&gt;Inputs!$C$76),1,0)</f>
        <v/>
      </c>
      <c r="R20" s="23">
        <f>IF(AND(Financing!R$23&gt;0,R19&gt;Inputs!$C$76),1,0)</f>
        <v/>
      </c>
      <c r="S20" s="23">
        <f>IF(AND(Financing!S$23&gt;0,S19&gt;Inputs!$C$76),1,0)</f>
        <v/>
      </c>
      <c r="T20" s="23">
        <f>IF(AND(Financing!T$23&gt;0,T19&gt;Inputs!$C$76),1,0)</f>
        <v/>
      </c>
      <c r="U20" s="23">
        <f>IF(AND(Financing!U$23&gt;0,U19&gt;Inputs!$C$76),1,0)</f>
        <v/>
      </c>
      <c r="V20" s="23">
        <f>IF(AND(Financing!V$23&gt;0,V19&gt;Inputs!$C$76),1,0)</f>
        <v/>
      </c>
      <c r="W20" s="23">
        <f>IF(AND(Financing!W$23&gt;0,W19&gt;Inputs!$C$76),1,0)</f>
        <v/>
      </c>
      <c r="X20" s="23">
        <f>IF(AND(Financing!X$23&gt;0,X19&gt;Inputs!$C$76),1,0)</f>
        <v/>
      </c>
      <c r="Y20" s="23">
        <f>IF(AND(Financing!Y$23&gt;0,Y19&gt;Inputs!$C$76),1,0)</f>
        <v/>
      </c>
      <c r="Z20" s="23">
        <f>IF(AND(Financing!Z$23&gt;0,Z19&gt;Inputs!$C$76),1,0)</f>
        <v/>
      </c>
      <c r="AA20" s="23">
        <f>IF(AND(Financing!AA$23&gt;0,AA19&gt;Inputs!$C$76),1,0)</f>
        <v/>
      </c>
      <c r="AB20" s="23">
        <f>IF(AND(Financing!AB$23&gt;0,AB19&gt;Inputs!$C$76),1,0)</f>
        <v/>
      </c>
      <c r="AC20" s="23">
        <f>IF(AND(Financing!AC$23&gt;0,AC19&gt;Inputs!$C$76),1,0)</f>
        <v/>
      </c>
      <c r="AD20" s="23">
        <f>IF(AND(Financing!AD$23&gt;0,AD19&gt;Inputs!$C$76),1,0)</f>
        <v/>
      </c>
      <c r="AE20" s="23">
        <f>IF(AND(Financing!AE$23&gt;0,AE19&gt;Inputs!$C$76),1,0)</f>
        <v/>
      </c>
      <c r="AF20" s="23">
        <f>IF(AND(Financing!AF$23&gt;0,AF19&gt;Inputs!$C$76),1,0)</f>
        <v/>
      </c>
      <c r="AG20" s="23">
        <f>IF(AND(Financing!AG$23&gt;0,AG19&gt;Inputs!$C$76),1,0)</f>
        <v/>
      </c>
      <c r="AH20" s="23">
        <f>IF(AND(Financing!AH$23&gt;0,AH19&gt;Inputs!$C$76),1,0)</f>
        <v/>
      </c>
      <c r="AI20" s="23">
        <f>IF(AND(Financing!AI$23&gt;0,AI19&gt;Inputs!$C$76),1,0)</f>
        <v/>
      </c>
      <c r="AJ20" s="23">
        <f>IF(AND(Financing!AJ$23&gt;0,AJ19&gt;Inputs!$C$76),1,0)</f>
        <v/>
      </c>
      <c r="AK20" s="23">
        <f>IF(AND(Financing!AK$23&gt;0,AK19&gt;Inputs!$C$76),1,0)</f>
        <v/>
      </c>
      <c r="AL20" s="23">
        <f>IF(AND(Financing!AL$23&gt;0,AL19&gt;Inputs!$C$76),1,0)</f>
        <v/>
      </c>
      <c r="AM20" s="23">
        <f>IF(AND(Financing!AM$23&gt;0,AM19&gt;Inputs!$C$76),1,0)</f>
        <v/>
      </c>
      <c r="AN20" s="23">
        <f>IF(AND(Financing!AN$23&gt;0,AN19&gt;Inputs!$C$76),1,0)</f>
        <v/>
      </c>
      <c r="AO20" s="23">
        <f>IF(AND(Financing!AO$23&gt;0,AO19&gt;Inputs!$C$76),1,0)</f>
        <v/>
      </c>
      <c r="AP20" s="23">
        <f>IF(AND(Financing!AP$23&gt;0,AP19&gt;Inputs!$C$76),1,0)</f>
        <v/>
      </c>
      <c r="AQ20" s="23">
        <f>IF(AND(Financing!AQ$23&gt;0,AQ19&gt;Inputs!$C$76),1,0)</f>
        <v/>
      </c>
      <c r="AR20" s="23">
        <f>IF(AND(Financing!AR$23&gt;0,AR19&gt;Inputs!$C$76),1,0)</f>
        <v/>
      </c>
      <c r="AS20" s="23">
        <f>IF(AND(Financing!AS$23&gt;0,AS19&gt;Inputs!$C$76),1,0)</f>
        <v/>
      </c>
      <c r="AT20" s="23">
        <f>IF(AND(Financing!AT$23&gt;0,AT19&gt;Inputs!$C$76),1,0)</f>
        <v/>
      </c>
      <c r="AU20" s="23">
        <f>IF(AND(Financing!AU$23&gt;0,AU19&gt;Inputs!$C$76),1,0)</f>
        <v/>
      </c>
      <c r="AV20" s="23">
        <f>IF(AND(Financing!AV$23&gt;0,AV19&gt;Inputs!$C$76),1,0)</f>
        <v/>
      </c>
      <c r="AW20" s="23">
        <f>IF(AND(Financing!AW$23&gt;0,AW19&gt;Inputs!$C$76),1,0)</f>
        <v/>
      </c>
      <c r="AX20" s="23">
        <f>IF(AND(Financing!AX$23&gt;0,AX19&gt;Inputs!$C$76),1,0)</f>
        <v/>
      </c>
      <c r="AY20" s="23">
        <f>IF(AND(Financing!AY$23&gt;0,AY19&gt;Inputs!$C$76),1,0)</f>
        <v/>
      </c>
      <c r="AZ20" s="23">
        <f>IF(AND(Financing!AZ$23&gt;0,AZ19&gt;Inputs!$C$76),1,0)</f>
        <v/>
      </c>
      <c r="BA20" s="23">
        <f>IF(AND(Financing!BA$23&gt;0,BA19&gt;Inputs!$C$76),1,0)</f>
        <v/>
      </c>
      <c r="BB20" s="23">
        <f>IF(AND(Financing!BB$23&gt;0,BB19&gt;Inputs!$C$76),1,0)</f>
        <v/>
      </c>
      <c r="BC20" s="23">
        <f>IF(AND(Financing!BC$23&gt;0,BC19&gt;Inputs!$C$76),1,0)</f>
        <v/>
      </c>
      <c r="BD20" s="23">
        <f>IF(AND(Financing!BD$23&gt;0,BD19&gt;Inputs!$C$76),1,0)</f>
        <v/>
      </c>
      <c r="BE20" s="23">
        <f>IF(AND(Financing!BE$23&gt;0,BE19&gt;Inputs!$C$76),1,0)</f>
        <v/>
      </c>
      <c r="BF20" s="23">
        <f>IF(AND(Financing!BF$23&gt;0,BF19&gt;Inputs!$C$76),1,0)</f>
        <v/>
      </c>
      <c r="BG20" s="23">
        <f>IF(AND(Financing!BG$23&gt;0,BG19&gt;Inputs!$C$76),1,0)</f>
        <v/>
      </c>
      <c r="BH20" s="23">
        <f>IF(AND(Financing!BH$23&gt;0,BH19&gt;Inputs!$C$76),1,0)</f>
        <v/>
      </c>
      <c r="BI20" s="23">
        <f>IF(AND(Financing!BI$23&gt;0,BI19&gt;Inputs!$C$76),1,0)</f>
        <v/>
      </c>
      <c r="BJ20" s="23">
        <f>IF(AND(Financing!BJ$23&gt;0,BJ19&gt;Inputs!$C$76),1,0)</f>
        <v/>
      </c>
      <c r="BK20" s="23">
        <f>IF(AND(Financing!BK$23&gt;0,BK19&gt;Inputs!$C$76),1,0)</f>
        <v/>
      </c>
      <c r="BL20" s="23">
        <f>IF(AND(Financing!BL$23&gt;0,BL19&gt;Inputs!$C$76),1,0)</f>
        <v/>
      </c>
    </row>
    <row r="21">
      <c r="A21" s="98" t="inlineStr">
        <is>
          <t>Borrowing-base headroom (borrowing base: drawn, LCY)</t>
        </is>
      </c>
      <c r="B21" s="65" t="inlineStr"/>
      <c r="C21" s="105">
        <f>MIN(E21:BL21)</f>
        <v/>
      </c>
      <c r="E21" s="80">
        <f>Financing!E$22-Financing!E$23</f>
        <v/>
      </c>
      <c r="F21" s="80">
        <f>Financing!F$22-Financing!F$23</f>
        <v/>
      </c>
      <c r="G21" s="80">
        <f>Financing!G$22-Financing!G$23</f>
        <v/>
      </c>
      <c r="H21" s="80">
        <f>Financing!H$22-Financing!H$23</f>
        <v/>
      </c>
      <c r="I21" s="80">
        <f>Financing!I$22-Financing!I$23</f>
        <v/>
      </c>
      <c r="J21" s="80">
        <f>Financing!J$22-Financing!J$23</f>
        <v/>
      </c>
      <c r="K21" s="80">
        <f>Financing!K$22-Financing!K$23</f>
        <v/>
      </c>
      <c r="L21" s="80">
        <f>Financing!L$22-Financing!L$23</f>
        <v/>
      </c>
      <c r="M21" s="80">
        <f>Financing!M$22-Financing!M$23</f>
        <v/>
      </c>
      <c r="N21" s="80">
        <f>Financing!N$22-Financing!N$23</f>
        <v/>
      </c>
      <c r="O21" s="80">
        <f>Financing!O$22-Financing!O$23</f>
        <v/>
      </c>
      <c r="P21" s="80">
        <f>Financing!P$22-Financing!P$23</f>
        <v/>
      </c>
      <c r="Q21" s="80">
        <f>Financing!Q$22-Financing!Q$23</f>
        <v/>
      </c>
      <c r="R21" s="80">
        <f>Financing!R$22-Financing!R$23</f>
        <v/>
      </c>
      <c r="S21" s="80">
        <f>Financing!S$22-Financing!S$23</f>
        <v/>
      </c>
      <c r="T21" s="80">
        <f>Financing!T$22-Financing!T$23</f>
        <v/>
      </c>
      <c r="U21" s="80">
        <f>Financing!U$22-Financing!U$23</f>
        <v/>
      </c>
      <c r="V21" s="80">
        <f>Financing!V$22-Financing!V$23</f>
        <v/>
      </c>
      <c r="W21" s="80">
        <f>Financing!W$22-Financing!W$23</f>
        <v/>
      </c>
      <c r="X21" s="80">
        <f>Financing!X$22-Financing!X$23</f>
        <v/>
      </c>
      <c r="Y21" s="80">
        <f>Financing!Y$22-Financing!Y$23</f>
        <v/>
      </c>
      <c r="Z21" s="80">
        <f>Financing!Z$22-Financing!Z$23</f>
        <v/>
      </c>
      <c r="AA21" s="80">
        <f>Financing!AA$22-Financing!AA$23</f>
        <v/>
      </c>
      <c r="AB21" s="80">
        <f>Financing!AB$22-Financing!AB$23</f>
        <v/>
      </c>
      <c r="AC21" s="80">
        <f>Financing!AC$22-Financing!AC$23</f>
        <v/>
      </c>
      <c r="AD21" s="80">
        <f>Financing!AD$22-Financing!AD$23</f>
        <v/>
      </c>
      <c r="AE21" s="80">
        <f>Financing!AE$22-Financing!AE$23</f>
        <v/>
      </c>
      <c r="AF21" s="80">
        <f>Financing!AF$22-Financing!AF$23</f>
        <v/>
      </c>
      <c r="AG21" s="80">
        <f>Financing!AG$22-Financing!AG$23</f>
        <v/>
      </c>
      <c r="AH21" s="80">
        <f>Financing!AH$22-Financing!AH$23</f>
        <v/>
      </c>
      <c r="AI21" s="80">
        <f>Financing!AI$22-Financing!AI$23</f>
        <v/>
      </c>
      <c r="AJ21" s="80">
        <f>Financing!AJ$22-Financing!AJ$23</f>
        <v/>
      </c>
      <c r="AK21" s="80">
        <f>Financing!AK$22-Financing!AK$23</f>
        <v/>
      </c>
      <c r="AL21" s="80">
        <f>Financing!AL$22-Financing!AL$23</f>
        <v/>
      </c>
      <c r="AM21" s="80">
        <f>Financing!AM$22-Financing!AM$23</f>
        <v/>
      </c>
      <c r="AN21" s="80">
        <f>Financing!AN$22-Financing!AN$23</f>
        <v/>
      </c>
      <c r="AO21" s="80">
        <f>Financing!AO$22-Financing!AO$23</f>
        <v/>
      </c>
      <c r="AP21" s="80">
        <f>Financing!AP$22-Financing!AP$23</f>
        <v/>
      </c>
      <c r="AQ21" s="80">
        <f>Financing!AQ$22-Financing!AQ$23</f>
        <v/>
      </c>
      <c r="AR21" s="80">
        <f>Financing!AR$22-Financing!AR$23</f>
        <v/>
      </c>
      <c r="AS21" s="80">
        <f>Financing!AS$22-Financing!AS$23</f>
        <v/>
      </c>
      <c r="AT21" s="80">
        <f>Financing!AT$22-Financing!AT$23</f>
        <v/>
      </c>
      <c r="AU21" s="80">
        <f>Financing!AU$22-Financing!AU$23</f>
        <v/>
      </c>
      <c r="AV21" s="80">
        <f>Financing!AV$22-Financing!AV$23</f>
        <v/>
      </c>
      <c r="AW21" s="80">
        <f>Financing!AW$22-Financing!AW$23</f>
        <v/>
      </c>
      <c r="AX21" s="80">
        <f>Financing!AX$22-Financing!AX$23</f>
        <v/>
      </c>
      <c r="AY21" s="80">
        <f>Financing!AY$22-Financing!AY$23</f>
        <v/>
      </c>
      <c r="AZ21" s="80">
        <f>Financing!AZ$22-Financing!AZ$23</f>
        <v/>
      </c>
      <c r="BA21" s="80">
        <f>Financing!BA$22-Financing!BA$23</f>
        <v/>
      </c>
      <c r="BB21" s="80">
        <f>Financing!BB$22-Financing!BB$23</f>
        <v/>
      </c>
      <c r="BC21" s="80">
        <f>Financing!BC$22-Financing!BC$23</f>
        <v/>
      </c>
      <c r="BD21" s="80">
        <f>Financing!BD$22-Financing!BD$23</f>
        <v/>
      </c>
      <c r="BE21" s="80">
        <f>Financing!BE$22-Financing!BE$23</f>
        <v/>
      </c>
      <c r="BF21" s="80">
        <f>Financing!BF$22-Financing!BF$23</f>
        <v/>
      </c>
      <c r="BG21" s="80">
        <f>Financing!BG$22-Financing!BG$23</f>
        <v/>
      </c>
      <c r="BH21" s="80">
        <f>Financing!BH$22-Financing!BH$23</f>
        <v/>
      </c>
      <c r="BI21" s="80">
        <f>Financing!BI$22-Financing!BI$23</f>
        <v/>
      </c>
      <c r="BJ21" s="80">
        <f>Financing!BJ$22-Financing!BJ$23</f>
        <v/>
      </c>
      <c r="BK21" s="80">
        <f>Financing!BK$22-Financing!BK$23</f>
        <v/>
      </c>
      <c r="BL21" s="80">
        <f>Financing!BL$22-Financing!BL$23</f>
        <v/>
      </c>
    </row>
    <row r="22">
      <c r="A22" s="98" t="inlineStr">
        <is>
          <t>Breach: facility drawn above borrowing base</t>
        </is>
      </c>
      <c r="B22" s="65" t="inlineStr"/>
      <c r="C22" s="114">
        <f>SUM(E22:BL22)</f>
        <v/>
      </c>
      <c r="E22" s="23">
        <f>IF(E21&lt;-1,1,0)</f>
        <v/>
      </c>
      <c r="F22" s="23">
        <f>IF(F21&lt;-1,1,0)</f>
        <v/>
      </c>
      <c r="G22" s="23">
        <f>IF(G21&lt;-1,1,0)</f>
        <v/>
      </c>
      <c r="H22" s="23">
        <f>IF(H21&lt;-1,1,0)</f>
        <v/>
      </c>
      <c r="I22" s="23">
        <f>IF(I21&lt;-1,1,0)</f>
        <v/>
      </c>
      <c r="J22" s="23">
        <f>IF(J21&lt;-1,1,0)</f>
        <v/>
      </c>
      <c r="K22" s="23">
        <f>IF(K21&lt;-1,1,0)</f>
        <v/>
      </c>
      <c r="L22" s="23">
        <f>IF(L21&lt;-1,1,0)</f>
        <v/>
      </c>
      <c r="M22" s="23">
        <f>IF(M21&lt;-1,1,0)</f>
        <v/>
      </c>
      <c r="N22" s="23">
        <f>IF(N21&lt;-1,1,0)</f>
        <v/>
      </c>
      <c r="O22" s="23">
        <f>IF(O21&lt;-1,1,0)</f>
        <v/>
      </c>
      <c r="P22" s="23">
        <f>IF(P21&lt;-1,1,0)</f>
        <v/>
      </c>
      <c r="Q22" s="23">
        <f>IF(Q21&lt;-1,1,0)</f>
        <v/>
      </c>
      <c r="R22" s="23">
        <f>IF(R21&lt;-1,1,0)</f>
        <v/>
      </c>
      <c r="S22" s="23">
        <f>IF(S21&lt;-1,1,0)</f>
        <v/>
      </c>
      <c r="T22" s="23">
        <f>IF(T21&lt;-1,1,0)</f>
        <v/>
      </c>
      <c r="U22" s="23">
        <f>IF(U21&lt;-1,1,0)</f>
        <v/>
      </c>
      <c r="V22" s="23">
        <f>IF(V21&lt;-1,1,0)</f>
        <v/>
      </c>
      <c r="W22" s="23">
        <f>IF(W21&lt;-1,1,0)</f>
        <v/>
      </c>
      <c r="X22" s="23">
        <f>IF(X21&lt;-1,1,0)</f>
        <v/>
      </c>
      <c r="Y22" s="23">
        <f>IF(Y21&lt;-1,1,0)</f>
        <v/>
      </c>
      <c r="Z22" s="23">
        <f>IF(Z21&lt;-1,1,0)</f>
        <v/>
      </c>
      <c r="AA22" s="23">
        <f>IF(AA21&lt;-1,1,0)</f>
        <v/>
      </c>
      <c r="AB22" s="23">
        <f>IF(AB21&lt;-1,1,0)</f>
        <v/>
      </c>
      <c r="AC22" s="23">
        <f>IF(AC21&lt;-1,1,0)</f>
        <v/>
      </c>
      <c r="AD22" s="23">
        <f>IF(AD21&lt;-1,1,0)</f>
        <v/>
      </c>
      <c r="AE22" s="23">
        <f>IF(AE21&lt;-1,1,0)</f>
        <v/>
      </c>
      <c r="AF22" s="23">
        <f>IF(AF21&lt;-1,1,0)</f>
        <v/>
      </c>
      <c r="AG22" s="23">
        <f>IF(AG21&lt;-1,1,0)</f>
        <v/>
      </c>
      <c r="AH22" s="23">
        <f>IF(AH21&lt;-1,1,0)</f>
        <v/>
      </c>
      <c r="AI22" s="23">
        <f>IF(AI21&lt;-1,1,0)</f>
        <v/>
      </c>
      <c r="AJ22" s="23">
        <f>IF(AJ21&lt;-1,1,0)</f>
        <v/>
      </c>
      <c r="AK22" s="23">
        <f>IF(AK21&lt;-1,1,0)</f>
        <v/>
      </c>
      <c r="AL22" s="23">
        <f>IF(AL21&lt;-1,1,0)</f>
        <v/>
      </c>
      <c r="AM22" s="23">
        <f>IF(AM21&lt;-1,1,0)</f>
        <v/>
      </c>
      <c r="AN22" s="23">
        <f>IF(AN21&lt;-1,1,0)</f>
        <v/>
      </c>
      <c r="AO22" s="23">
        <f>IF(AO21&lt;-1,1,0)</f>
        <v/>
      </c>
      <c r="AP22" s="23">
        <f>IF(AP21&lt;-1,1,0)</f>
        <v/>
      </c>
      <c r="AQ22" s="23">
        <f>IF(AQ21&lt;-1,1,0)</f>
        <v/>
      </c>
      <c r="AR22" s="23">
        <f>IF(AR21&lt;-1,1,0)</f>
        <v/>
      </c>
      <c r="AS22" s="23">
        <f>IF(AS21&lt;-1,1,0)</f>
        <v/>
      </c>
      <c r="AT22" s="23">
        <f>IF(AT21&lt;-1,1,0)</f>
        <v/>
      </c>
      <c r="AU22" s="23">
        <f>IF(AU21&lt;-1,1,0)</f>
        <v/>
      </c>
      <c r="AV22" s="23">
        <f>IF(AV21&lt;-1,1,0)</f>
        <v/>
      </c>
      <c r="AW22" s="23">
        <f>IF(AW21&lt;-1,1,0)</f>
        <v/>
      </c>
      <c r="AX22" s="23">
        <f>IF(AX21&lt;-1,1,0)</f>
        <v/>
      </c>
      <c r="AY22" s="23">
        <f>IF(AY21&lt;-1,1,0)</f>
        <v/>
      </c>
      <c r="AZ22" s="23">
        <f>IF(AZ21&lt;-1,1,0)</f>
        <v/>
      </c>
      <c r="BA22" s="23">
        <f>IF(BA21&lt;-1,1,0)</f>
        <v/>
      </c>
      <c r="BB22" s="23">
        <f>IF(BB21&lt;-1,1,0)</f>
        <v/>
      </c>
      <c r="BC22" s="23">
        <f>IF(BC21&lt;-1,1,0)</f>
        <v/>
      </c>
      <c r="BD22" s="23">
        <f>IF(BD21&lt;-1,1,0)</f>
        <v/>
      </c>
      <c r="BE22" s="23">
        <f>IF(BE21&lt;-1,1,0)</f>
        <v/>
      </c>
      <c r="BF22" s="23">
        <f>IF(BF21&lt;-1,1,0)</f>
        <v/>
      </c>
      <c r="BG22" s="23">
        <f>IF(BG21&lt;-1,1,0)</f>
        <v/>
      </c>
      <c r="BH22" s="23">
        <f>IF(BH21&lt;-1,1,0)</f>
        <v/>
      </c>
      <c r="BI22" s="23">
        <f>IF(BI21&lt;-1,1,0)</f>
        <v/>
      </c>
      <c r="BJ22" s="23">
        <f>IF(BJ21&lt;-1,1,0)</f>
        <v/>
      </c>
      <c r="BK22" s="23">
        <f>IF(BK21&lt;-1,1,0)</f>
        <v/>
      </c>
      <c r="BL22" s="23">
        <f>IF(BL21&lt;-1,1,0)</f>
        <v/>
      </c>
    </row>
    <row r="23">
      <c r="A23" s="98" t="inlineStr">
        <is>
          <t>Indicative stage-based ECL (projection, diagnostic)</t>
        </is>
      </c>
      <c r="B23" s="65" t="inlineStr"/>
      <c r="C23" s="105">
        <f>MAX(E23:BL23)</f>
        <v/>
      </c>
      <c r="E23" s="80">
        <f>Credit_Engine!E$32+Credit_Engine!E$88+Credit_Engine!E$144+Credit_Engine!E$200+Credit_Engine!E$256</f>
        <v/>
      </c>
      <c r="F23" s="80">
        <f>Credit_Engine!F$32+Credit_Engine!F$88+Credit_Engine!F$144+Credit_Engine!F$200+Credit_Engine!F$256</f>
        <v/>
      </c>
      <c r="G23" s="80">
        <f>Credit_Engine!G$32+Credit_Engine!G$88+Credit_Engine!G$144+Credit_Engine!G$200+Credit_Engine!G$256</f>
        <v/>
      </c>
      <c r="H23" s="80">
        <f>Credit_Engine!H$32+Credit_Engine!H$88+Credit_Engine!H$144+Credit_Engine!H$200+Credit_Engine!H$256</f>
        <v/>
      </c>
      <c r="I23" s="80">
        <f>Credit_Engine!I$32+Credit_Engine!I$88+Credit_Engine!I$144+Credit_Engine!I$200+Credit_Engine!I$256</f>
        <v/>
      </c>
      <c r="J23" s="80">
        <f>Credit_Engine!J$32+Credit_Engine!J$88+Credit_Engine!J$144+Credit_Engine!J$200+Credit_Engine!J$256</f>
        <v/>
      </c>
      <c r="K23" s="80">
        <f>Credit_Engine!K$32+Credit_Engine!K$88+Credit_Engine!K$144+Credit_Engine!K$200+Credit_Engine!K$256</f>
        <v/>
      </c>
      <c r="L23" s="80">
        <f>Credit_Engine!L$32+Credit_Engine!L$88+Credit_Engine!L$144+Credit_Engine!L$200+Credit_Engine!L$256</f>
        <v/>
      </c>
      <c r="M23" s="80">
        <f>Credit_Engine!M$32+Credit_Engine!M$88+Credit_Engine!M$144+Credit_Engine!M$200+Credit_Engine!M$256</f>
        <v/>
      </c>
      <c r="N23" s="80">
        <f>Credit_Engine!N$32+Credit_Engine!N$88+Credit_Engine!N$144+Credit_Engine!N$200+Credit_Engine!N$256</f>
        <v/>
      </c>
      <c r="O23" s="80">
        <f>Credit_Engine!O$32+Credit_Engine!O$88+Credit_Engine!O$144+Credit_Engine!O$200+Credit_Engine!O$256</f>
        <v/>
      </c>
      <c r="P23" s="80">
        <f>Credit_Engine!P$32+Credit_Engine!P$88+Credit_Engine!P$144+Credit_Engine!P$200+Credit_Engine!P$256</f>
        <v/>
      </c>
      <c r="Q23" s="80">
        <f>Credit_Engine!Q$32+Credit_Engine!Q$88+Credit_Engine!Q$144+Credit_Engine!Q$200+Credit_Engine!Q$256</f>
        <v/>
      </c>
      <c r="R23" s="80">
        <f>Credit_Engine!R$32+Credit_Engine!R$88+Credit_Engine!R$144+Credit_Engine!R$200+Credit_Engine!R$256</f>
        <v/>
      </c>
      <c r="S23" s="80">
        <f>Credit_Engine!S$32+Credit_Engine!S$88+Credit_Engine!S$144+Credit_Engine!S$200+Credit_Engine!S$256</f>
        <v/>
      </c>
      <c r="T23" s="80">
        <f>Credit_Engine!T$32+Credit_Engine!T$88+Credit_Engine!T$144+Credit_Engine!T$200+Credit_Engine!T$256</f>
        <v/>
      </c>
      <c r="U23" s="80">
        <f>Credit_Engine!U$32+Credit_Engine!U$88+Credit_Engine!U$144+Credit_Engine!U$200+Credit_Engine!U$256</f>
        <v/>
      </c>
      <c r="V23" s="80">
        <f>Credit_Engine!V$32+Credit_Engine!V$88+Credit_Engine!V$144+Credit_Engine!V$200+Credit_Engine!V$256</f>
        <v/>
      </c>
      <c r="W23" s="80">
        <f>Credit_Engine!W$32+Credit_Engine!W$88+Credit_Engine!W$144+Credit_Engine!W$200+Credit_Engine!W$256</f>
        <v/>
      </c>
      <c r="X23" s="80">
        <f>Credit_Engine!X$32+Credit_Engine!X$88+Credit_Engine!X$144+Credit_Engine!X$200+Credit_Engine!X$256</f>
        <v/>
      </c>
      <c r="Y23" s="80">
        <f>Credit_Engine!Y$32+Credit_Engine!Y$88+Credit_Engine!Y$144+Credit_Engine!Y$200+Credit_Engine!Y$256</f>
        <v/>
      </c>
      <c r="Z23" s="80">
        <f>Credit_Engine!Z$32+Credit_Engine!Z$88+Credit_Engine!Z$144+Credit_Engine!Z$200+Credit_Engine!Z$256</f>
        <v/>
      </c>
      <c r="AA23" s="80">
        <f>Credit_Engine!AA$32+Credit_Engine!AA$88+Credit_Engine!AA$144+Credit_Engine!AA$200+Credit_Engine!AA$256</f>
        <v/>
      </c>
      <c r="AB23" s="80">
        <f>Credit_Engine!AB$32+Credit_Engine!AB$88+Credit_Engine!AB$144+Credit_Engine!AB$200+Credit_Engine!AB$256</f>
        <v/>
      </c>
      <c r="AC23" s="80">
        <f>Credit_Engine!AC$32+Credit_Engine!AC$88+Credit_Engine!AC$144+Credit_Engine!AC$200+Credit_Engine!AC$256</f>
        <v/>
      </c>
      <c r="AD23" s="80">
        <f>Credit_Engine!AD$32+Credit_Engine!AD$88+Credit_Engine!AD$144+Credit_Engine!AD$200+Credit_Engine!AD$256</f>
        <v/>
      </c>
      <c r="AE23" s="80">
        <f>Credit_Engine!AE$32+Credit_Engine!AE$88+Credit_Engine!AE$144+Credit_Engine!AE$200+Credit_Engine!AE$256</f>
        <v/>
      </c>
      <c r="AF23" s="80">
        <f>Credit_Engine!AF$32+Credit_Engine!AF$88+Credit_Engine!AF$144+Credit_Engine!AF$200+Credit_Engine!AF$256</f>
        <v/>
      </c>
      <c r="AG23" s="80">
        <f>Credit_Engine!AG$32+Credit_Engine!AG$88+Credit_Engine!AG$144+Credit_Engine!AG$200+Credit_Engine!AG$256</f>
        <v/>
      </c>
      <c r="AH23" s="80">
        <f>Credit_Engine!AH$32+Credit_Engine!AH$88+Credit_Engine!AH$144+Credit_Engine!AH$200+Credit_Engine!AH$256</f>
        <v/>
      </c>
      <c r="AI23" s="80">
        <f>Credit_Engine!AI$32+Credit_Engine!AI$88+Credit_Engine!AI$144+Credit_Engine!AI$200+Credit_Engine!AI$256</f>
        <v/>
      </c>
      <c r="AJ23" s="80">
        <f>Credit_Engine!AJ$32+Credit_Engine!AJ$88+Credit_Engine!AJ$144+Credit_Engine!AJ$200+Credit_Engine!AJ$256</f>
        <v/>
      </c>
      <c r="AK23" s="80">
        <f>Credit_Engine!AK$32+Credit_Engine!AK$88+Credit_Engine!AK$144+Credit_Engine!AK$200+Credit_Engine!AK$256</f>
        <v/>
      </c>
      <c r="AL23" s="80">
        <f>Credit_Engine!AL$32+Credit_Engine!AL$88+Credit_Engine!AL$144+Credit_Engine!AL$200+Credit_Engine!AL$256</f>
        <v/>
      </c>
      <c r="AM23" s="80">
        <f>Credit_Engine!AM$32+Credit_Engine!AM$88+Credit_Engine!AM$144+Credit_Engine!AM$200+Credit_Engine!AM$256</f>
        <v/>
      </c>
      <c r="AN23" s="80">
        <f>Credit_Engine!AN$32+Credit_Engine!AN$88+Credit_Engine!AN$144+Credit_Engine!AN$200+Credit_Engine!AN$256</f>
        <v/>
      </c>
      <c r="AO23" s="80">
        <f>Credit_Engine!AO$32+Credit_Engine!AO$88+Credit_Engine!AO$144+Credit_Engine!AO$200+Credit_Engine!AO$256</f>
        <v/>
      </c>
      <c r="AP23" s="80">
        <f>Credit_Engine!AP$32+Credit_Engine!AP$88+Credit_Engine!AP$144+Credit_Engine!AP$200+Credit_Engine!AP$256</f>
        <v/>
      </c>
      <c r="AQ23" s="80">
        <f>Credit_Engine!AQ$32+Credit_Engine!AQ$88+Credit_Engine!AQ$144+Credit_Engine!AQ$200+Credit_Engine!AQ$256</f>
        <v/>
      </c>
      <c r="AR23" s="80">
        <f>Credit_Engine!AR$32+Credit_Engine!AR$88+Credit_Engine!AR$144+Credit_Engine!AR$200+Credit_Engine!AR$256</f>
        <v/>
      </c>
      <c r="AS23" s="80">
        <f>Credit_Engine!AS$32+Credit_Engine!AS$88+Credit_Engine!AS$144+Credit_Engine!AS$200+Credit_Engine!AS$256</f>
        <v/>
      </c>
      <c r="AT23" s="80">
        <f>Credit_Engine!AT$32+Credit_Engine!AT$88+Credit_Engine!AT$144+Credit_Engine!AT$200+Credit_Engine!AT$256</f>
        <v/>
      </c>
      <c r="AU23" s="80">
        <f>Credit_Engine!AU$32+Credit_Engine!AU$88+Credit_Engine!AU$144+Credit_Engine!AU$200+Credit_Engine!AU$256</f>
        <v/>
      </c>
      <c r="AV23" s="80">
        <f>Credit_Engine!AV$32+Credit_Engine!AV$88+Credit_Engine!AV$144+Credit_Engine!AV$200+Credit_Engine!AV$256</f>
        <v/>
      </c>
      <c r="AW23" s="80">
        <f>Credit_Engine!AW$32+Credit_Engine!AW$88+Credit_Engine!AW$144+Credit_Engine!AW$200+Credit_Engine!AW$256</f>
        <v/>
      </c>
      <c r="AX23" s="80">
        <f>Credit_Engine!AX$32+Credit_Engine!AX$88+Credit_Engine!AX$144+Credit_Engine!AX$200+Credit_Engine!AX$256</f>
        <v/>
      </c>
      <c r="AY23" s="80">
        <f>Credit_Engine!AY$32+Credit_Engine!AY$88+Credit_Engine!AY$144+Credit_Engine!AY$200+Credit_Engine!AY$256</f>
        <v/>
      </c>
      <c r="AZ23" s="80">
        <f>Credit_Engine!AZ$32+Credit_Engine!AZ$88+Credit_Engine!AZ$144+Credit_Engine!AZ$200+Credit_Engine!AZ$256</f>
        <v/>
      </c>
      <c r="BA23" s="80">
        <f>Credit_Engine!BA$32+Credit_Engine!BA$88+Credit_Engine!BA$144+Credit_Engine!BA$200+Credit_Engine!BA$256</f>
        <v/>
      </c>
      <c r="BB23" s="80">
        <f>Credit_Engine!BB$32+Credit_Engine!BB$88+Credit_Engine!BB$144+Credit_Engine!BB$200+Credit_Engine!BB$256</f>
        <v/>
      </c>
      <c r="BC23" s="80">
        <f>Credit_Engine!BC$32+Credit_Engine!BC$88+Credit_Engine!BC$144+Credit_Engine!BC$200+Credit_Engine!BC$256</f>
        <v/>
      </c>
      <c r="BD23" s="80">
        <f>Credit_Engine!BD$32+Credit_Engine!BD$88+Credit_Engine!BD$144+Credit_Engine!BD$200+Credit_Engine!BD$256</f>
        <v/>
      </c>
      <c r="BE23" s="80">
        <f>Credit_Engine!BE$32+Credit_Engine!BE$88+Credit_Engine!BE$144+Credit_Engine!BE$200+Credit_Engine!BE$256</f>
        <v/>
      </c>
      <c r="BF23" s="80">
        <f>Credit_Engine!BF$32+Credit_Engine!BF$88+Credit_Engine!BF$144+Credit_Engine!BF$200+Credit_Engine!BF$256</f>
        <v/>
      </c>
      <c r="BG23" s="80">
        <f>Credit_Engine!BG$32+Credit_Engine!BG$88+Credit_Engine!BG$144+Credit_Engine!BG$200+Credit_Engine!BG$256</f>
        <v/>
      </c>
      <c r="BH23" s="80">
        <f>Credit_Engine!BH$32+Credit_Engine!BH$88+Credit_Engine!BH$144+Credit_Engine!BH$200+Credit_Engine!BH$256</f>
        <v/>
      </c>
      <c r="BI23" s="80">
        <f>Credit_Engine!BI$32+Credit_Engine!BI$88+Credit_Engine!BI$144+Credit_Engine!BI$200+Credit_Engine!BI$256</f>
        <v/>
      </c>
      <c r="BJ23" s="80">
        <f>Credit_Engine!BJ$32+Credit_Engine!BJ$88+Credit_Engine!BJ$144+Credit_Engine!BJ$200+Credit_Engine!BJ$256</f>
        <v/>
      </c>
      <c r="BK23" s="80">
        <f>Credit_Engine!BK$32+Credit_Engine!BK$88+Credit_Engine!BK$144+Credit_Engine!BK$200+Credit_Engine!BK$256</f>
        <v/>
      </c>
      <c r="BL23" s="80">
        <f>Credit_Engine!BL$32+Credit_Engine!BL$88+Credit_Engine!BL$144+Credit_Engine!BL$200+Credit_Engine!BL$256</f>
        <v/>
      </c>
    </row>
    <row r="24">
      <c r="A24" s="98" t="inlineStr">
        <is>
          <t>Indicative ECL / gross receivables</t>
        </is>
      </c>
      <c r="B24" s="65" t="inlineStr"/>
      <c r="C24" s="106">
        <f>MAX(E24:BL24)</f>
        <v/>
      </c>
      <c r="E24" s="81">
        <f>IFERROR(E23/Ops!E$149,0)</f>
        <v/>
      </c>
      <c r="F24" s="81">
        <f>IFERROR(F23/Ops!F$149,0)</f>
        <v/>
      </c>
      <c r="G24" s="81">
        <f>IFERROR(G23/Ops!G$149,0)</f>
        <v/>
      </c>
      <c r="H24" s="81">
        <f>IFERROR(H23/Ops!H$149,0)</f>
        <v/>
      </c>
      <c r="I24" s="81">
        <f>IFERROR(I23/Ops!I$149,0)</f>
        <v/>
      </c>
      <c r="J24" s="81">
        <f>IFERROR(J23/Ops!J$149,0)</f>
        <v/>
      </c>
      <c r="K24" s="81">
        <f>IFERROR(K23/Ops!K$149,0)</f>
        <v/>
      </c>
      <c r="L24" s="81">
        <f>IFERROR(L23/Ops!L$149,0)</f>
        <v/>
      </c>
      <c r="M24" s="81">
        <f>IFERROR(M23/Ops!M$149,0)</f>
        <v/>
      </c>
      <c r="N24" s="81">
        <f>IFERROR(N23/Ops!N$149,0)</f>
        <v/>
      </c>
      <c r="O24" s="81">
        <f>IFERROR(O23/Ops!O$149,0)</f>
        <v/>
      </c>
      <c r="P24" s="81">
        <f>IFERROR(P23/Ops!P$149,0)</f>
        <v/>
      </c>
      <c r="Q24" s="81">
        <f>IFERROR(Q23/Ops!Q$149,0)</f>
        <v/>
      </c>
      <c r="R24" s="81">
        <f>IFERROR(R23/Ops!R$149,0)</f>
        <v/>
      </c>
      <c r="S24" s="81">
        <f>IFERROR(S23/Ops!S$149,0)</f>
        <v/>
      </c>
      <c r="T24" s="81">
        <f>IFERROR(T23/Ops!T$149,0)</f>
        <v/>
      </c>
      <c r="U24" s="81">
        <f>IFERROR(U23/Ops!U$149,0)</f>
        <v/>
      </c>
      <c r="V24" s="81">
        <f>IFERROR(V23/Ops!V$149,0)</f>
        <v/>
      </c>
      <c r="W24" s="81">
        <f>IFERROR(W23/Ops!W$149,0)</f>
        <v/>
      </c>
      <c r="X24" s="81">
        <f>IFERROR(X23/Ops!X$149,0)</f>
        <v/>
      </c>
      <c r="Y24" s="81">
        <f>IFERROR(Y23/Ops!Y$149,0)</f>
        <v/>
      </c>
      <c r="Z24" s="81">
        <f>IFERROR(Z23/Ops!Z$149,0)</f>
        <v/>
      </c>
      <c r="AA24" s="81">
        <f>IFERROR(AA23/Ops!AA$149,0)</f>
        <v/>
      </c>
      <c r="AB24" s="81">
        <f>IFERROR(AB23/Ops!AB$149,0)</f>
        <v/>
      </c>
      <c r="AC24" s="81">
        <f>IFERROR(AC23/Ops!AC$149,0)</f>
        <v/>
      </c>
      <c r="AD24" s="81">
        <f>IFERROR(AD23/Ops!AD$149,0)</f>
        <v/>
      </c>
      <c r="AE24" s="81">
        <f>IFERROR(AE23/Ops!AE$149,0)</f>
        <v/>
      </c>
      <c r="AF24" s="81">
        <f>IFERROR(AF23/Ops!AF$149,0)</f>
        <v/>
      </c>
      <c r="AG24" s="81">
        <f>IFERROR(AG23/Ops!AG$149,0)</f>
        <v/>
      </c>
      <c r="AH24" s="81">
        <f>IFERROR(AH23/Ops!AH$149,0)</f>
        <v/>
      </c>
      <c r="AI24" s="81">
        <f>IFERROR(AI23/Ops!AI$149,0)</f>
        <v/>
      </c>
      <c r="AJ24" s="81">
        <f>IFERROR(AJ23/Ops!AJ$149,0)</f>
        <v/>
      </c>
      <c r="AK24" s="81">
        <f>IFERROR(AK23/Ops!AK$149,0)</f>
        <v/>
      </c>
      <c r="AL24" s="81">
        <f>IFERROR(AL23/Ops!AL$149,0)</f>
        <v/>
      </c>
      <c r="AM24" s="81">
        <f>IFERROR(AM23/Ops!AM$149,0)</f>
        <v/>
      </c>
      <c r="AN24" s="81">
        <f>IFERROR(AN23/Ops!AN$149,0)</f>
        <v/>
      </c>
      <c r="AO24" s="81">
        <f>IFERROR(AO23/Ops!AO$149,0)</f>
        <v/>
      </c>
      <c r="AP24" s="81">
        <f>IFERROR(AP23/Ops!AP$149,0)</f>
        <v/>
      </c>
      <c r="AQ24" s="81">
        <f>IFERROR(AQ23/Ops!AQ$149,0)</f>
        <v/>
      </c>
      <c r="AR24" s="81">
        <f>IFERROR(AR23/Ops!AR$149,0)</f>
        <v/>
      </c>
      <c r="AS24" s="81">
        <f>IFERROR(AS23/Ops!AS$149,0)</f>
        <v/>
      </c>
      <c r="AT24" s="81">
        <f>IFERROR(AT23/Ops!AT$149,0)</f>
        <v/>
      </c>
      <c r="AU24" s="81">
        <f>IFERROR(AU23/Ops!AU$149,0)</f>
        <v/>
      </c>
      <c r="AV24" s="81">
        <f>IFERROR(AV23/Ops!AV$149,0)</f>
        <v/>
      </c>
      <c r="AW24" s="81">
        <f>IFERROR(AW23/Ops!AW$149,0)</f>
        <v/>
      </c>
      <c r="AX24" s="81">
        <f>IFERROR(AX23/Ops!AX$149,0)</f>
        <v/>
      </c>
      <c r="AY24" s="81">
        <f>IFERROR(AY23/Ops!AY$149,0)</f>
        <v/>
      </c>
      <c r="AZ24" s="81">
        <f>IFERROR(AZ23/Ops!AZ$149,0)</f>
        <v/>
      </c>
      <c r="BA24" s="81">
        <f>IFERROR(BA23/Ops!BA$149,0)</f>
        <v/>
      </c>
      <c r="BB24" s="81">
        <f>IFERROR(BB23/Ops!BB$149,0)</f>
        <v/>
      </c>
      <c r="BC24" s="81">
        <f>IFERROR(BC23/Ops!BC$149,0)</f>
        <v/>
      </c>
      <c r="BD24" s="81">
        <f>IFERROR(BD23/Ops!BD$149,0)</f>
        <v/>
      </c>
      <c r="BE24" s="81">
        <f>IFERROR(BE23/Ops!BE$149,0)</f>
        <v/>
      </c>
      <c r="BF24" s="81">
        <f>IFERROR(BF23/Ops!BF$149,0)</f>
        <v/>
      </c>
      <c r="BG24" s="81">
        <f>IFERROR(BG23/Ops!BG$149,0)</f>
        <v/>
      </c>
      <c r="BH24" s="81">
        <f>IFERROR(BH23/Ops!BH$149,0)</f>
        <v/>
      </c>
      <c r="BI24" s="81">
        <f>IFERROR(BI23/Ops!BI$149,0)</f>
        <v/>
      </c>
      <c r="BJ24" s="81">
        <f>IFERROR(BJ23/Ops!BJ$149,0)</f>
        <v/>
      </c>
      <c r="BK24" s="81">
        <f>IFERROR(BK23/Ops!BK$149,0)</f>
        <v/>
      </c>
      <c r="BL24" s="81">
        <f>IFERROR(BL23/Ops!BL$149,0)</f>
        <v/>
      </c>
    </row>
    <row r="25">
      <c r="A25" s="98" t="inlineStr">
        <is>
          <t>Composite credit covenant flag</t>
        </is>
      </c>
      <c r="B25" s="65" t="inlineStr"/>
      <c r="C25" s="114">
        <f>SUM(E25:BL25)</f>
        <v/>
      </c>
      <c r="E25" s="23">
        <f>MAX(E9,E11,E18,E20,E22)</f>
        <v/>
      </c>
      <c r="F25" s="23">
        <f>MAX(F9,F11,F18,F20,F22)</f>
        <v/>
      </c>
      <c r="G25" s="23">
        <f>MAX(G9,G11,G18,G20,G22)</f>
        <v/>
      </c>
      <c r="H25" s="23">
        <f>MAX(H9,H11,H18,H20,H22)</f>
        <v/>
      </c>
      <c r="I25" s="23">
        <f>MAX(I9,I11,I18,I20,I22)</f>
        <v/>
      </c>
      <c r="J25" s="23">
        <f>MAX(J9,J11,J18,J20,J22)</f>
        <v/>
      </c>
      <c r="K25" s="23">
        <f>MAX(K9,K11,K18,K20,K22)</f>
        <v/>
      </c>
      <c r="L25" s="23">
        <f>MAX(L9,L11,L18,L20,L22)</f>
        <v/>
      </c>
      <c r="M25" s="23">
        <f>MAX(M9,M11,M18,M20,M22)</f>
        <v/>
      </c>
      <c r="N25" s="23">
        <f>MAX(N9,N11,N18,N20,N22)</f>
        <v/>
      </c>
      <c r="O25" s="23">
        <f>MAX(O9,O11,O18,O20,O22)</f>
        <v/>
      </c>
      <c r="P25" s="23">
        <f>MAX(P9,P11,P18,P20,P22)</f>
        <v/>
      </c>
      <c r="Q25" s="23">
        <f>MAX(Q9,Q11,Q18,Q20,Q22)</f>
        <v/>
      </c>
      <c r="R25" s="23">
        <f>MAX(R9,R11,R18,R20,R22)</f>
        <v/>
      </c>
      <c r="S25" s="23">
        <f>MAX(S9,S11,S18,S20,S22)</f>
        <v/>
      </c>
      <c r="T25" s="23">
        <f>MAX(T9,T11,T18,T20,T22)</f>
        <v/>
      </c>
      <c r="U25" s="23">
        <f>MAX(U9,U11,U18,U20,U22)</f>
        <v/>
      </c>
      <c r="V25" s="23">
        <f>MAX(V9,V11,V18,V20,V22)</f>
        <v/>
      </c>
      <c r="W25" s="23">
        <f>MAX(W9,W11,W18,W20,W22)</f>
        <v/>
      </c>
      <c r="X25" s="23">
        <f>MAX(X9,X11,X18,X20,X22)</f>
        <v/>
      </c>
      <c r="Y25" s="23">
        <f>MAX(Y9,Y11,Y18,Y20,Y22)</f>
        <v/>
      </c>
      <c r="Z25" s="23">
        <f>MAX(Z9,Z11,Z18,Z20,Z22)</f>
        <v/>
      </c>
      <c r="AA25" s="23">
        <f>MAX(AA9,AA11,AA18,AA20,AA22)</f>
        <v/>
      </c>
      <c r="AB25" s="23">
        <f>MAX(AB9,AB11,AB18,AB20,AB22)</f>
        <v/>
      </c>
      <c r="AC25" s="23">
        <f>MAX(AC9,AC11,AC18,AC20,AC22)</f>
        <v/>
      </c>
      <c r="AD25" s="23">
        <f>MAX(AD9,AD11,AD18,AD20,AD22)</f>
        <v/>
      </c>
      <c r="AE25" s="23">
        <f>MAX(AE9,AE11,AE18,AE20,AE22)</f>
        <v/>
      </c>
      <c r="AF25" s="23">
        <f>MAX(AF9,AF11,AF18,AF20,AF22)</f>
        <v/>
      </c>
      <c r="AG25" s="23">
        <f>MAX(AG9,AG11,AG18,AG20,AG22)</f>
        <v/>
      </c>
      <c r="AH25" s="23">
        <f>MAX(AH9,AH11,AH18,AH20,AH22)</f>
        <v/>
      </c>
      <c r="AI25" s="23">
        <f>MAX(AI9,AI11,AI18,AI20,AI22)</f>
        <v/>
      </c>
      <c r="AJ25" s="23">
        <f>MAX(AJ9,AJ11,AJ18,AJ20,AJ22)</f>
        <v/>
      </c>
      <c r="AK25" s="23">
        <f>MAX(AK9,AK11,AK18,AK20,AK22)</f>
        <v/>
      </c>
      <c r="AL25" s="23">
        <f>MAX(AL9,AL11,AL18,AL20,AL22)</f>
        <v/>
      </c>
      <c r="AM25" s="23">
        <f>MAX(AM9,AM11,AM18,AM20,AM22)</f>
        <v/>
      </c>
      <c r="AN25" s="23">
        <f>MAX(AN9,AN11,AN18,AN20,AN22)</f>
        <v/>
      </c>
      <c r="AO25" s="23">
        <f>MAX(AO9,AO11,AO18,AO20,AO22)</f>
        <v/>
      </c>
      <c r="AP25" s="23">
        <f>MAX(AP9,AP11,AP18,AP20,AP22)</f>
        <v/>
      </c>
      <c r="AQ25" s="23">
        <f>MAX(AQ9,AQ11,AQ18,AQ20,AQ22)</f>
        <v/>
      </c>
      <c r="AR25" s="23">
        <f>MAX(AR9,AR11,AR18,AR20,AR22)</f>
        <v/>
      </c>
      <c r="AS25" s="23">
        <f>MAX(AS9,AS11,AS18,AS20,AS22)</f>
        <v/>
      </c>
      <c r="AT25" s="23">
        <f>MAX(AT9,AT11,AT18,AT20,AT22)</f>
        <v/>
      </c>
      <c r="AU25" s="23">
        <f>MAX(AU9,AU11,AU18,AU20,AU22)</f>
        <v/>
      </c>
      <c r="AV25" s="23">
        <f>MAX(AV9,AV11,AV18,AV20,AV22)</f>
        <v/>
      </c>
      <c r="AW25" s="23">
        <f>MAX(AW9,AW11,AW18,AW20,AW22)</f>
        <v/>
      </c>
      <c r="AX25" s="23">
        <f>MAX(AX9,AX11,AX18,AX20,AX22)</f>
        <v/>
      </c>
      <c r="AY25" s="23">
        <f>MAX(AY9,AY11,AY18,AY20,AY22)</f>
        <v/>
      </c>
      <c r="AZ25" s="23">
        <f>MAX(AZ9,AZ11,AZ18,AZ20,AZ22)</f>
        <v/>
      </c>
      <c r="BA25" s="23">
        <f>MAX(BA9,BA11,BA18,BA20,BA22)</f>
        <v/>
      </c>
      <c r="BB25" s="23">
        <f>MAX(BB9,BB11,BB18,BB20,BB22)</f>
        <v/>
      </c>
      <c r="BC25" s="23">
        <f>MAX(BC9,BC11,BC18,BC20,BC22)</f>
        <v/>
      </c>
      <c r="BD25" s="23">
        <f>MAX(BD9,BD11,BD18,BD20,BD22)</f>
        <v/>
      </c>
      <c r="BE25" s="23">
        <f>MAX(BE9,BE11,BE18,BE20,BE22)</f>
        <v/>
      </c>
      <c r="BF25" s="23">
        <f>MAX(BF9,BF11,BF18,BF20,BF22)</f>
        <v/>
      </c>
      <c r="BG25" s="23">
        <f>MAX(BG9,BG11,BG18,BG20,BG22)</f>
        <v/>
      </c>
      <c r="BH25" s="23">
        <f>MAX(BH9,BH11,BH18,BH20,BH22)</f>
        <v/>
      </c>
      <c r="BI25" s="23">
        <f>MAX(BI9,BI11,BI18,BI20,BI22)</f>
        <v/>
      </c>
      <c r="BJ25" s="23">
        <f>MAX(BJ9,BJ11,BJ18,BJ20,BJ22)</f>
        <v/>
      </c>
      <c r="BK25" s="23">
        <f>MAX(BK9,BK11,BK18,BK20,BK22)</f>
        <v/>
      </c>
      <c r="BL25" s="23">
        <f>MAX(BL9,BL11,BL18,BL20,BL22)</f>
        <v/>
      </c>
    </row>
    <row r="26">
      <c r="A26" s="100" t="inlineStr">
        <is>
          <t>Any covenant breached in month</t>
        </is>
      </c>
      <c r="B26" s="101" t="inlineStr"/>
      <c r="C26" s="107">
        <f>SUM(E26:BL26)</f>
        <v/>
      </c>
      <c r="D26" s="103" t="n"/>
      <c r="E26" s="108">
        <f>MAX(E25,E14,E16)</f>
        <v/>
      </c>
      <c r="F26" s="108">
        <f>MAX(F25,F14,F16)</f>
        <v/>
      </c>
      <c r="G26" s="108">
        <f>MAX(G25,G14,G16)</f>
        <v/>
      </c>
      <c r="H26" s="108">
        <f>MAX(H25,H14,H16)</f>
        <v/>
      </c>
      <c r="I26" s="108">
        <f>MAX(I25,I14,I16)</f>
        <v/>
      </c>
      <c r="J26" s="108">
        <f>MAX(J25,J14,J16)</f>
        <v/>
      </c>
      <c r="K26" s="108">
        <f>MAX(K25,K14,K16)</f>
        <v/>
      </c>
      <c r="L26" s="108">
        <f>MAX(L25,L14,L16)</f>
        <v/>
      </c>
      <c r="M26" s="108">
        <f>MAX(M25,M14,M16)</f>
        <v/>
      </c>
      <c r="N26" s="108">
        <f>MAX(N25,N14,N16)</f>
        <v/>
      </c>
      <c r="O26" s="108">
        <f>MAX(O25,O14,O16)</f>
        <v/>
      </c>
      <c r="P26" s="108">
        <f>MAX(P25,P14,P16)</f>
        <v/>
      </c>
      <c r="Q26" s="108">
        <f>MAX(Q25,Q14,Q16)</f>
        <v/>
      </c>
      <c r="R26" s="108">
        <f>MAX(R25,R14,R16)</f>
        <v/>
      </c>
      <c r="S26" s="108">
        <f>MAX(S25,S14,S16)</f>
        <v/>
      </c>
      <c r="T26" s="108">
        <f>MAX(T25,T14,T16)</f>
        <v/>
      </c>
      <c r="U26" s="108">
        <f>MAX(U25,U14,U16)</f>
        <v/>
      </c>
      <c r="V26" s="108">
        <f>MAX(V25,V14,V16)</f>
        <v/>
      </c>
      <c r="W26" s="108">
        <f>MAX(W25,W14,W16)</f>
        <v/>
      </c>
      <c r="X26" s="108">
        <f>MAX(X25,X14,X16)</f>
        <v/>
      </c>
      <c r="Y26" s="108">
        <f>MAX(Y25,Y14,Y16)</f>
        <v/>
      </c>
      <c r="Z26" s="108">
        <f>MAX(Z25,Z14,Z16)</f>
        <v/>
      </c>
      <c r="AA26" s="108">
        <f>MAX(AA25,AA14,AA16)</f>
        <v/>
      </c>
      <c r="AB26" s="108">
        <f>MAX(AB25,AB14,AB16)</f>
        <v/>
      </c>
      <c r="AC26" s="108">
        <f>MAX(AC25,AC14,AC16)</f>
        <v/>
      </c>
      <c r="AD26" s="108">
        <f>MAX(AD25,AD14,AD16)</f>
        <v/>
      </c>
      <c r="AE26" s="108">
        <f>MAX(AE25,AE14,AE16)</f>
        <v/>
      </c>
      <c r="AF26" s="108">
        <f>MAX(AF25,AF14,AF16)</f>
        <v/>
      </c>
      <c r="AG26" s="108">
        <f>MAX(AG25,AG14,AG16)</f>
        <v/>
      </c>
      <c r="AH26" s="108">
        <f>MAX(AH25,AH14,AH16)</f>
        <v/>
      </c>
      <c r="AI26" s="108">
        <f>MAX(AI25,AI14,AI16)</f>
        <v/>
      </c>
      <c r="AJ26" s="108">
        <f>MAX(AJ25,AJ14,AJ16)</f>
        <v/>
      </c>
      <c r="AK26" s="108">
        <f>MAX(AK25,AK14,AK16)</f>
        <v/>
      </c>
      <c r="AL26" s="108">
        <f>MAX(AL25,AL14,AL16)</f>
        <v/>
      </c>
      <c r="AM26" s="108">
        <f>MAX(AM25,AM14,AM16)</f>
        <v/>
      </c>
      <c r="AN26" s="108">
        <f>MAX(AN25,AN14,AN16)</f>
        <v/>
      </c>
      <c r="AO26" s="108">
        <f>MAX(AO25,AO14,AO16)</f>
        <v/>
      </c>
      <c r="AP26" s="108">
        <f>MAX(AP25,AP14,AP16)</f>
        <v/>
      </c>
      <c r="AQ26" s="108">
        <f>MAX(AQ25,AQ14,AQ16)</f>
        <v/>
      </c>
      <c r="AR26" s="108">
        <f>MAX(AR25,AR14,AR16)</f>
        <v/>
      </c>
      <c r="AS26" s="108">
        <f>MAX(AS25,AS14,AS16)</f>
        <v/>
      </c>
      <c r="AT26" s="108">
        <f>MAX(AT25,AT14,AT16)</f>
        <v/>
      </c>
      <c r="AU26" s="108">
        <f>MAX(AU25,AU14,AU16)</f>
        <v/>
      </c>
      <c r="AV26" s="108">
        <f>MAX(AV25,AV14,AV16)</f>
        <v/>
      </c>
      <c r="AW26" s="108">
        <f>MAX(AW25,AW14,AW16)</f>
        <v/>
      </c>
      <c r="AX26" s="108">
        <f>MAX(AX25,AX14,AX16)</f>
        <v/>
      </c>
      <c r="AY26" s="108">
        <f>MAX(AY25,AY14,AY16)</f>
        <v/>
      </c>
      <c r="AZ26" s="108">
        <f>MAX(AZ25,AZ14,AZ16)</f>
        <v/>
      </c>
      <c r="BA26" s="108">
        <f>MAX(BA25,BA14,BA16)</f>
        <v/>
      </c>
      <c r="BB26" s="108">
        <f>MAX(BB25,BB14,BB16)</f>
        <v/>
      </c>
      <c r="BC26" s="108">
        <f>MAX(BC25,BC14,BC16)</f>
        <v/>
      </c>
      <c r="BD26" s="108">
        <f>MAX(BD25,BD14,BD16)</f>
        <v/>
      </c>
      <c r="BE26" s="108">
        <f>MAX(BE25,BE14,BE16)</f>
        <v/>
      </c>
      <c r="BF26" s="108">
        <f>MAX(BF25,BF14,BF16)</f>
        <v/>
      </c>
      <c r="BG26" s="108">
        <f>MAX(BG25,BG14,BG16)</f>
        <v/>
      </c>
      <c r="BH26" s="108">
        <f>MAX(BH25,BH14,BH16)</f>
        <v/>
      </c>
      <c r="BI26" s="108">
        <f>MAX(BI25,BI14,BI16)</f>
        <v/>
      </c>
      <c r="BJ26" s="108">
        <f>MAX(BJ25,BJ14,BJ16)</f>
        <v/>
      </c>
      <c r="BK26" s="108">
        <f>MAX(BK25,BK14,BK16)</f>
        <v/>
      </c>
      <c r="BL26" s="108">
        <f>MAX(BL25,BL14,BL16)</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17.xml><?xml version="1.0" encoding="utf-8"?>
<worksheet xmlns="http://schemas.openxmlformats.org/spreadsheetml/2006/main">
  <sheetPr>
    <tabColor rgb="0000B050"/>
    <outlinePr summaryBelow="1" summaryRight="1"/>
    <pageSetUpPr fitToPage="1"/>
  </sheetPr>
  <dimension ref="A1:BL43"/>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64" customWidth="1" min="1" max="1"/>
    <col width="12" customWidth="1" min="2" max="2"/>
    <col width="18" customWidth="1" min="3" max="3"/>
    <col width="16" customWidth="1" min="4" max="4"/>
    <col width="16" customWidth="1" min="5" max="5"/>
    <col width="16" customWidth="1" min="6" max="6"/>
    <col width="16" customWidth="1" min="7" max="7"/>
    <col width="16" customWidth="1" min="8" max="8"/>
    <col width="16" customWidth="1" min="9" max="9"/>
  </cols>
  <sheetData>
    <row r="1">
      <c r="A1" s="17" t="inlineStr">
        <is>
          <t>Valuation &amp; investor returns</t>
        </is>
      </c>
    </row>
    <row r="2">
      <c r="A2" s="18" t="inlineStr">
        <is>
          <t>[FORECAST]  DCF of unlevered free cash flow (LCY) and equity investor returns (USD).</t>
        </is>
      </c>
    </row>
    <row r="3"/>
    <row r="4"/>
    <row r="5">
      <c r="D5" s="91" t="inlineStr">
        <is>
          <t>Year 0</t>
        </is>
      </c>
      <c r="E5" s="91" t="inlineStr">
        <is>
          <t>Year 1</t>
        </is>
      </c>
      <c r="F5" s="91" t="inlineStr">
        <is>
          <t>Year 2</t>
        </is>
      </c>
      <c r="G5" s="91" t="inlineStr">
        <is>
          <t>Year 3</t>
        </is>
      </c>
      <c r="H5" s="91" t="inlineStr">
        <is>
          <t>Year 4</t>
        </is>
      </c>
      <c r="I5" s="91" t="inlineStr">
        <is>
          <t>Year 5</t>
        </is>
      </c>
    </row>
    <row r="6">
      <c r="D6" s="91" t="n">
        <v>0</v>
      </c>
      <c r="E6" s="91" t="n">
        <v>1</v>
      </c>
      <c r="F6" s="91" t="n">
        <v>2</v>
      </c>
      <c r="G6" s="91" t="n">
        <v>3</v>
      </c>
      <c r="H6" s="91" t="n">
        <v>4</v>
      </c>
      <c r="I6" s="91" t="n">
        <v>5</v>
      </c>
    </row>
    <row r="7"/>
    <row r="8">
      <c r="A8" s="21" t="inlineStr">
        <is>
          <t>Unlevered free cash flow (LCY)</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34" t="inlineStr">
        <is>
          <t>EBITDA</t>
        </is>
      </c>
      <c r="E9" s="80">
        <f>SUMIFS(FS!$E$19:$BL$19,Timeline!$E$6:$BL$6,E$6)</f>
        <v/>
      </c>
      <c r="F9" s="80">
        <f>SUMIFS(FS!$E$19:$BL$19,Timeline!$E$6:$BL$6,F$6)</f>
        <v/>
      </c>
      <c r="G9" s="80">
        <f>SUMIFS(FS!$E$19:$BL$19,Timeline!$E$6:$BL$6,G$6)</f>
        <v/>
      </c>
      <c r="H9" s="80">
        <f>SUMIFS(FS!$E$19:$BL$19,Timeline!$E$6:$BL$6,H$6)</f>
        <v/>
      </c>
      <c r="I9" s="80">
        <f>SUMIFS(FS!$E$19:$BL$19,Timeline!$E$6:$BL$6,I$6)</f>
        <v/>
      </c>
    </row>
    <row r="10">
      <c r="A10" s="34" t="inlineStr">
        <is>
          <t>Less: income tax paid (levered tax: simplification)</t>
        </is>
      </c>
      <c r="E10" s="80">
        <f>SUMIFS(FS!$E$29:$BL$29,Timeline!$E$6:$BL$6,E$6)</f>
        <v/>
      </c>
      <c r="F10" s="80">
        <f>SUMIFS(FS!$E$29:$BL$29,Timeline!$E$6:$BL$6,F$6)</f>
        <v/>
      </c>
      <c r="G10" s="80">
        <f>SUMIFS(FS!$E$29:$BL$29,Timeline!$E$6:$BL$6,G$6)</f>
        <v/>
      </c>
      <c r="H10" s="80">
        <f>SUMIFS(FS!$E$29:$BL$29,Timeline!$E$6:$BL$6,H$6)</f>
        <v/>
      </c>
      <c r="I10" s="80">
        <f>SUMIFS(FS!$E$29:$BL$29,Timeline!$E$6:$BL$6,I$6)</f>
        <v/>
      </c>
    </row>
    <row r="11">
      <c r="A11" s="34" t="inlineStr">
        <is>
          <t>Less: capex</t>
        </is>
      </c>
      <c r="E11" s="80">
        <f>-SUMIFS(Costs!$E$26:$BL$26,Timeline!$E$6:$BL$6,E$6)</f>
        <v/>
      </c>
      <c r="F11" s="80">
        <f>-SUMIFS(Costs!$E$26:$BL$26,Timeline!$E$6:$BL$6,F$6)</f>
        <v/>
      </c>
      <c r="G11" s="80">
        <f>-SUMIFS(Costs!$E$26:$BL$26,Timeline!$E$6:$BL$6,G$6)</f>
        <v/>
      </c>
      <c r="H11" s="80">
        <f>-SUMIFS(Costs!$E$26:$BL$26,Timeline!$E$6:$BL$6,H$6)</f>
        <v/>
      </c>
      <c r="I11" s="80">
        <f>-SUMIFS(Costs!$E$26:$BL$26,Timeline!$E$6:$BL$6,I$6)</f>
        <v/>
      </c>
    </row>
    <row r="12">
      <c r="A12" s="34" t="inlineStr">
        <is>
          <t>Net working capital (net receivables + inventory: payables), year end</t>
        </is>
      </c>
      <c r="D12" s="80" t="n">
        <v>0</v>
      </c>
      <c r="E12" s="80">
        <f>INDEX(FS!$E$36:$BL$36,1,E$6*12)+INDEX(FS!$E$37:$BL$37,1,E$6*12)-INDEX(FS!$E$40:$BL$40,1,E$6*12)</f>
        <v/>
      </c>
      <c r="F12" s="80">
        <f>INDEX(FS!$E$36:$BL$36,1,F$6*12)+INDEX(FS!$E$37:$BL$37,1,F$6*12)-INDEX(FS!$E$40:$BL$40,1,F$6*12)</f>
        <v/>
      </c>
      <c r="G12" s="80">
        <f>INDEX(FS!$E$36:$BL$36,1,G$6*12)+INDEX(FS!$E$37:$BL$37,1,G$6*12)-INDEX(FS!$E$40:$BL$40,1,G$6*12)</f>
        <v/>
      </c>
      <c r="H12" s="80">
        <f>INDEX(FS!$E$36:$BL$36,1,H$6*12)+INDEX(FS!$E$37:$BL$37,1,H$6*12)-INDEX(FS!$E$40:$BL$40,1,H$6*12)</f>
        <v/>
      </c>
      <c r="I12" s="80">
        <f>INDEX(FS!$E$36:$BL$36,1,I$6*12)+INDEX(FS!$E$37:$BL$37,1,I$6*12)-INDEX(FS!$E$40:$BL$40,1,I$6*12)</f>
        <v/>
      </c>
    </row>
    <row r="13">
      <c r="A13" s="34" t="inlineStr">
        <is>
          <t>Less: increase in net working capital</t>
        </is>
      </c>
      <c r="E13" s="80">
        <f>-(E12-D12)</f>
        <v/>
      </c>
      <c r="F13" s="80">
        <f>-(F12-E12)</f>
        <v/>
      </c>
      <c r="G13" s="80">
        <f>-(G12-F12)</f>
        <v/>
      </c>
      <c r="H13" s="80">
        <f>-(H12-G12)</f>
        <v/>
      </c>
      <c r="I13" s="80">
        <f>-(I12-H12)</f>
        <v/>
      </c>
    </row>
    <row r="14">
      <c r="A14" s="19" t="inlineStr">
        <is>
          <t>Unlevered free cash flow (FCFF)</t>
        </is>
      </c>
      <c r="E14" s="93">
        <f>E9+E10+E11+E13</f>
        <v/>
      </c>
      <c r="F14" s="93">
        <f>F9+F10+F11+F13</f>
        <v/>
      </c>
      <c r="G14" s="93">
        <f>G9+G10+G11+G13</f>
        <v/>
      </c>
      <c r="H14" s="93">
        <f>H9+H10+H11+H13</f>
        <v/>
      </c>
      <c r="I14" s="93">
        <f>I9+I10+I11+I13</f>
        <v/>
      </c>
    </row>
    <row r="15">
      <c r="A15" s="34" t="inlineStr">
        <is>
          <t>Discount factor (mid-year)</t>
        </is>
      </c>
      <c r="E15" s="92">
        <f>1/(1+Inputs!$C$79)^(E$6-0.5)</f>
        <v/>
      </c>
      <c r="F15" s="92">
        <f>1/(1+Inputs!$C$79)^(F$6-0.5)</f>
        <v/>
      </c>
      <c r="G15" s="92">
        <f>1/(1+Inputs!$C$79)^(G$6-0.5)</f>
        <v/>
      </c>
      <c r="H15" s="92">
        <f>1/(1+Inputs!$C$79)^(H$6-0.5)</f>
        <v/>
      </c>
      <c r="I15" s="92">
        <f>1/(1+Inputs!$C$79)^(I$6-0.5)</f>
        <v/>
      </c>
    </row>
    <row r="16">
      <c r="A16" s="34" t="inlineStr">
        <is>
          <t>Present value of FCFF</t>
        </is>
      </c>
      <c r="E16" s="80">
        <f>E14*E15</f>
        <v/>
      </c>
      <c r="F16" s="80">
        <f>F14*F15</f>
        <v/>
      </c>
      <c r="G16" s="80">
        <f>G14*G15</f>
        <v/>
      </c>
      <c r="H16" s="80">
        <f>H14*H15</f>
        <v/>
      </c>
      <c r="I16" s="80">
        <f>I14*I15</f>
        <v/>
      </c>
    </row>
    <row r="17">
      <c r="A17" s="21" t="inlineStr">
        <is>
          <t>Equity investor (USD)</t>
        </is>
      </c>
      <c r="B17" s="22" t="n"/>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c r="AA17" s="22" t="n"/>
      <c r="AB17" s="22" t="n"/>
      <c r="AC17" s="22" t="n"/>
      <c r="AD17" s="22" t="n"/>
      <c r="AE17" s="22" t="n"/>
      <c r="AF17" s="22" t="n"/>
      <c r="AG17" s="22" t="n"/>
      <c r="AH17" s="22" t="n"/>
      <c r="AI17" s="22" t="n"/>
      <c r="AJ17" s="22" t="n"/>
      <c r="AK17" s="22" t="n"/>
      <c r="AL17" s="22" t="n"/>
      <c r="AM17" s="22" t="n"/>
      <c r="AN17" s="22" t="n"/>
      <c r="AO17" s="22" t="n"/>
      <c r="AP17" s="22" t="n"/>
      <c r="AQ17" s="22" t="n"/>
      <c r="AR17" s="22" t="n"/>
      <c r="AS17" s="22" t="n"/>
      <c r="AT17" s="22" t="n"/>
      <c r="AU17" s="22" t="n"/>
      <c r="AV17" s="22" t="n"/>
      <c r="AW17" s="22" t="n"/>
      <c r="AX17" s="22" t="n"/>
      <c r="AY17" s="22" t="n"/>
      <c r="AZ17" s="22" t="n"/>
      <c r="BA17" s="22" t="n"/>
      <c r="BB17" s="22" t="n"/>
      <c r="BC17" s="22" t="n"/>
      <c r="BD17" s="22" t="n"/>
      <c r="BE17" s="22" t="n"/>
      <c r="BF17" s="22" t="n"/>
      <c r="BG17" s="22" t="n"/>
      <c r="BH17" s="22" t="n"/>
      <c r="BI17" s="22" t="n"/>
      <c r="BJ17" s="22" t="n"/>
      <c r="BK17" s="22" t="n"/>
      <c r="BL17" s="22" t="n"/>
    </row>
    <row r="18">
      <c r="A18" s="34" t="inlineStr">
        <is>
          <t>Equity top-ups in year (LCY)</t>
        </is>
      </c>
      <c r="E18" s="80">
        <f>SUMIFS(FS!$E$64:$BL$64,Timeline!$E$6:$BL$6,E$6)</f>
        <v/>
      </c>
      <c r="F18" s="80">
        <f>SUMIFS(FS!$E$64:$BL$64,Timeline!$E$6:$BL$6,F$6)</f>
        <v/>
      </c>
      <c r="G18" s="80">
        <f>SUMIFS(FS!$E$64:$BL$64,Timeline!$E$6:$BL$6,G$6)</f>
        <v/>
      </c>
      <c r="H18" s="80">
        <f>SUMIFS(FS!$E$64:$BL$64,Timeline!$E$6:$BL$6,H$6)</f>
        <v/>
      </c>
      <c r="I18" s="80">
        <f>SUMIFS(FS!$E$64:$BL$64,Timeline!$E$6:$BL$6,I$6)</f>
        <v/>
      </c>
    </row>
    <row r="19">
      <c r="A19" s="34" t="inlineStr">
        <is>
          <t>Average FX in year (LCY / USD)</t>
        </is>
      </c>
      <c r="E19" s="92">
        <f>AVERAGEIFS(Timeline!$E$8:$BL$8,Timeline!$E$6:$BL$6,E$6)</f>
        <v/>
      </c>
      <c r="F19" s="92">
        <f>AVERAGEIFS(Timeline!$E$8:$BL$8,Timeline!$E$6:$BL$6,F$6)</f>
        <v/>
      </c>
      <c r="G19" s="92">
        <f>AVERAGEIFS(Timeline!$E$8:$BL$8,Timeline!$E$6:$BL$6,G$6)</f>
        <v/>
      </c>
      <c r="H19" s="92">
        <f>AVERAGEIFS(Timeline!$E$8:$BL$8,Timeline!$E$6:$BL$6,H$6)</f>
        <v/>
      </c>
      <c r="I19" s="92">
        <f>AVERAGEIFS(Timeline!$E$8:$BL$8,Timeline!$E$6:$BL$6,I$6)</f>
        <v/>
      </c>
    </row>
    <row r="20">
      <c r="A20" s="19" t="inlineStr">
        <is>
          <t>Investor cash flow (USD)</t>
        </is>
      </c>
      <c r="D20" s="93">
        <f>-Inputs!$C$81</f>
        <v/>
      </c>
      <c r="E20" s="93">
        <f>-C38*E18/E19</f>
        <v/>
      </c>
      <c r="F20" s="93">
        <f>-C38*F18/F19</f>
        <v/>
      </c>
      <c r="G20" s="93">
        <f>-C38*G18/G19</f>
        <v/>
      </c>
      <c r="H20" s="93">
        <f>-C38*H18/H19</f>
        <v/>
      </c>
      <c r="I20" s="93">
        <f>-C38*I18/I19+C38*C36</f>
        <v/>
      </c>
    </row>
    <row r="21"/>
    <row r="22">
      <c r="A22" s="21" t="inlineStr">
        <is>
          <t>Valuation summary</t>
        </is>
      </c>
      <c r="B22" s="22" t="n"/>
      <c r="C22" s="22" t="n"/>
      <c r="D22" s="22" t="n"/>
      <c r="E22" s="22" t="n"/>
      <c r="F22" s="22"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c r="AA22" s="22" t="n"/>
      <c r="AB22" s="22" t="n"/>
      <c r="AC22" s="22" t="n"/>
      <c r="AD22" s="22" t="n"/>
      <c r="AE22" s="22" t="n"/>
      <c r="AF22" s="22" t="n"/>
      <c r="AG22" s="22" t="n"/>
      <c r="AH22" s="22" t="n"/>
      <c r="AI22" s="22" t="n"/>
      <c r="AJ22" s="22" t="n"/>
      <c r="AK22" s="22" t="n"/>
      <c r="AL22" s="22" t="n"/>
      <c r="AM22" s="22" t="n"/>
      <c r="AN22" s="22" t="n"/>
      <c r="AO22" s="22" t="n"/>
      <c r="AP22" s="22" t="n"/>
      <c r="AQ22" s="22" t="n"/>
      <c r="AR22" s="22" t="n"/>
      <c r="AS22" s="22" t="n"/>
      <c r="AT22" s="22" t="n"/>
      <c r="AU22" s="22" t="n"/>
      <c r="AV22" s="22" t="n"/>
      <c r="AW22" s="22" t="n"/>
      <c r="AX22" s="22" t="n"/>
      <c r="AY22" s="22" t="n"/>
      <c r="AZ22" s="22" t="n"/>
      <c r="BA22" s="22" t="n"/>
      <c r="BB22" s="22" t="n"/>
      <c r="BC22" s="22" t="n"/>
      <c r="BD22" s="22" t="n"/>
      <c r="BE22" s="22" t="n"/>
      <c r="BF22" s="22" t="n"/>
      <c r="BG22" s="22" t="n"/>
      <c r="BH22" s="22" t="n"/>
      <c r="BI22" s="22" t="n"/>
      <c r="BJ22" s="22" t="n"/>
      <c r="BK22" s="22" t="n"/>
      <c r="BL22" s="22" t="n"/>
    </row>
    <row r="23">
      <c r="A23" s="34" t="inlineStr">
        <is>
          <t>Sum of PV of FCFF, Years 1-5 (LCY)</t>
        </is>
      </c>
      <c r="C23" s="80">
        <f>SUM(E16:I16)</f>
        <v/>
      </c>
    </row>
    <row r="24">
      <c r="A24" s="34" t="inlineStr">
        <is>
          <t>Normalised terminal FCFF: (EBITDA: tax: capex)_Y5 x (1+g): g x NWC_Y5 (LCY)</t>
        </is>
      </c>
      <c r="C24" s="80">
        <f>(I9+I10+I11)*(1+Inputs!$C$80)-Inputs!$C$80*I12</f>
        <v/>
      </c>
    </row>
    <row r="25">
      <c r="A25" s="34" t="inlineStr">
        <is>
          <t>Terminal value at end of Year 5 (Gordon growth on normalised FCFF, LCY)</t>
        </is>
      </c>
      <c r="C25" s="80">
        <f>IF(Inputs!$C$79&gt;Inputs!$C$80,C24/(Inputs!$C$79-Inputs!$C$80),0)</f>
        <v/>
      </c>
    </row>
    <row r="26">
      <c r="A26" s="34" t="inlineStr">
        <is>
          <t>PV of terminal value (LCY)</t>
        </is>
      </c>
      <c r="C26" s="80">
        <f>C25/(1+Inputs!$C$79)^5</f>
        <v/>
      </c>
    </row>
    <row r="27">
      <c r="A27" s="19" t="inlineStr">
        <is>
          <t>DCF enterprise value at model start (LCY)</t>
        </is>
      </c>
      <c r="C27" s="93">
        <f>C23+C26</f>
        <v/>
      </c>
    </row>
    <row r="28">
      <c r="A28" s="19" t="inlineStr">
        <is>
          <t>DCF enterprise value at model start (USD, opening FX)</t>
        </is>
      </c>
      <c r="C28" s="93">
        <f>C27/Inputs!$C$10</f>
        <v/>
      </c>
    </row>
    <row r="29">
      <c r="A29" s="34" t="inlineStr">
        <is>
          <t>Terminal value share of EV</t>
        </is>
      </c>
      <c r="C29" s="81">
        <f>IFERROR(C26/C27,0)</f>
        <v/>
      </c>
    </row>
    <row r="30"/>
    <row r="31">
      <c r="A31" s="34" t="inlineStr">
        <is>
          <t>Year 5 EBITDA (LCY)</t>
        </is>
      </c>
      <c r="C31" s="80">
        <f>I9</f>
        <v/>
      </c>
    </row>
    <row r="32">
      <c r="A32" s="34" t="inlineStr">
        <is>
          <t>Net debt at end of Year 5 (LCY)</t>
        </is>
      </c>
      <c r="C32" s="80">
        <f>INDEX(FS!$E$41:$BL$41,1,I$6*12)+INDEX(FS!$E$42:$BL$42,1,I$6*12)-INDEX(FS!$E$65:$BL$65,1,I$6*12)</f>
        <v/>
      </c>
    </row>
    <row r="33">
      <c r="A33" s="34" t="inlineStr">
        <is>
          <t>Book equity at end of Year 5 (LCY)</t>
        </is>
      </c>
      <c r="C33" s="80">
        <f>INDEX(FS!$E$46:$BL$46,1,I$6*12)</f>
        <v/>
      </c>
    </row>
    <row r="34">
      <c r="A34" s="34" t="inlineStr">
        <is>
          <t>Exit equity value, 100% (LCY)</t>
        </is>
      </c>
      <c r="C34" s="80">
        <f>MAX(0,IF(Inputs!$C$83=1,Inputs!$C$84*C31-C32,Inputs!$C$85*C33))</f>
        <v/>
      </c>
    </row>
    <row r="35">
      <c r="A35" s="34" t="inlineStr">
        <is>
          <t>FX at exit (LCY / USD)</t>
        </is>
      </c>
      <c r="C35" s="92">
        <f>INDEX(Timeline!$E$8:$BL$8,1,60)</f>
        <v/>
      </c>
    </row>
    <row r="36">
      <c r="A36" s="19" t="inlineStr">
        <is>
          <t>Exit equity value, 100% (USD)</t>
        </is>
      </c>
      <c r="C36" s="93">
        <f>C34/C35</f>
        <v/>
      </c>
    </row>
    <row r="37"/>
    <row r="38">
      <c r="A38" s="34" t="inlineStr">
        <is>
          <t>Investor stake (ticket / post-money)</t>
        </is>
      </c>
      <c r="C38" s="81">
        <f>IFERROR(Inputs!$C$81/(Inputs!$C$82+Inputs!$C$81),0)</f>
        <v/>
      </c>
    </row>
    <row r="39">
      <c r="A39" s="19" t="inlineStr">
        <is>
          <t>Investor IRR (USD)</t>
        </is>
      </c>
      <c r="C39" s="83">
        <f>IF(OR(COUNTIF(D20:I20,"&gt;0")=0,COUNTIF(D20:I20,"&lt;0")=0),"n/a: no sign change",IFERROR(IRR(D20:I20,0.1),IFERROR(IRR(D20:I20,-0.2),IFERROR(IRR(D20:I20,0.5),"n/a: no convergence"))))</f>
        <v/>
      </c>
    </row>
    <row r="40">
      <c r="A40" s="19" t="inlineStr">
        <is>
          <t>Investor MOIC (USD)</t>
        </is>
      </c>
      <c r="C40" s="116">
        <f>IFERROR(SUMIF(D20:I20,"&gt;0")/-SUMIF(D20:I20,"&lt;0"),0)</f>
        <v/>
      </c>
    </row>
    <row r="41"/>
    <row r="42">
      <c r="A42" s="18" t="inlineStr">
        <is>
          <t>Investor funds its pro-rata share of any equity top-up and receives no dividends before exit. LCY flows are converted to USD at average FX for the year; exit at year-end FX.</t>
        </is>
      </c>
    </row>
    <row r="43">
      <c r="A43" s="18" t="inlineStr">
        <is>
          <t>For PAYGo companies, growth of the receivables book is working capital, so FCFF is negative while the book grows. The terminal value therefore uses a normalised FCFF that reinvests only g x NWC (steady-state growth).</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18.xml><?xml version="1.0" encoding="utf-8"?>
<worksheet xmlns="http://schemas.openxmlformats.org/spreadsheetml/2006/main">
  <sheetPr>
    <tabColor rgb="0000B050"/>
    <outlinePr summaryBelow="1" summaryRight="1"/>
    <pageSetUpPr fitToPage="1"/>
  </sheetPr>
  <dimension ref="A1:BL38"/>
  <sheetViews>
    <sheetView showGridLines="0" workbookViewId="0">
      <selection activeCell="A1" sqref="A1"/>
    </sheetView>
  </sheetViews>
  <sheetFormatPr baseColWidth="8" defaultRowHeight="15"/>
  <cols>
    <col width="54" customWidth="1" min="1" max="1"/>
    <col width="14" customWidth="1" min="2" max="2"/>
    <col width="22" customWidth="1" min="3" max="3"/>
    <col width="22" customWidth="1" min="4" max="4"/>
    <col width="14" customWidth="1" min="5" max="5"/>
    <col width="14" customWidth="1" min="6" max="6"/>
    <col width="14" customWidth="1" min="7" max="7"/>
    <col width="14" customWidth="1" min="8" max="8"/>
  </cols>
  <sheetData>
    <row r="1">
      <c r="A1" s="17" t="inlineStr">
        <is>
          <t>FX exposure: currencies, hedging, transaction and translation effects</t>
        </is>
      </c>
    </row>
    <row r="2">
      <c r="A2" s="18" t="inlineStr">
        <is>
          <t>[FORECAST]  Presentation of the model's existing FX calculations. Transaction effects change cash in LCY; translation changes how LCY results look in USD; remeasurement of USD debt is a non-cash accounting entry.</t>
        </is>
      </c>
    </row>
    <row r="3"/>
    <row r="4">
      <c r="A4" s="21" t="inlineStr">
        <is>
          <t>A. Currency map (where each item sits and how the model treats it)</t>
        </is>
      </c>
      <c r="B4" s="22" t="n"/>
      <c r="C4" s="22" t="n"/>
      <c r="D4" s="22" t="n"/>
      <c r="E4" s="22" t="n"/>
      <c r="F4" s="22" t="n"/>
      <c r="G4" s="22" t="n"/>
      <c r="H4" s="22" t="n"/>
      <c r="I4" s="22" t="n"/>
      <c r="J4" s="22" t="n"/>
      <c r="K4" s="22" t="n"/>
      <c r="L4" s="22" t="n"/>
      <c r="M4" s="22" t="n"/>
      <c r="N4" s="22" t="n"/>
      <c r="O4" s="22" t="n"/>
      <c r="P4" s="22" t="n"/>
      <c r="Q4" s="22" t="n"/>
      <c r="R4" s="22" t="n"/>
      <c r="S4" s="22" t="n"/>
      <c r="T4" s="22" t="n"/>
      <c r="U4" s="22" t="n"/>
      <c r="V4" s="22" t="n"/>
      <c r="W4" s="22" t="n"/>
      <c r="X4" s="22" t="n"/>
      <c r="Y4" s="22" t="n"/>
      <c r="Z4" s="22" t="n"/>
      <c r="AA4" s="22" t="n"/>
      <c r="AB4" s="22" t="n"/>
      <c r="AC4" s="22" t="n"/>
      <c r="AD4" s="22" t="n"/>
      <c r="AE4" s="22" t="n"/>
      <c r="AF4" s="22" t="n"/>
      <c r="AG4" s="22" t="n"/>
      <c r="AH4" s="22" t="n"/>
      <c r="AI4" s="22" t="n"/>
      <c r="AJ4" s="22" t="n"/>
      <c r="AK4" s="22" t="n"/>
      <c r="AL4" s="22" t="n"/>
      <c r="AM4" s="22" t="n"/>
      <c r="AN4" s="22" t="n"/>
      <c r="AO4" s="22" t="n"/>
      <c r="AP4" s="22" t="n"/>
      <c r="AQ4" s="22" t="n"/>
      <c r="AR4" s="22" t="n"/>
      <c r="AS4" s="22" t="n"/>
      <c r="AT4" s="22" t="n"/>
      <c r="AU4" s="22" t="n"/>
      <c r="AV4" s="22" t="n"/>
      <c r="AW4" s="22" t="n"/>
      <c r="AX4" s="22" t="n"/>
      <c r="AY4" s="22" t="n"/>
      <c r="AZ4" s="22" t="n"/>
      <c r="BA4" s="22" t="n"/>
      <c r="BB4" s="22" t="n"/>
      <c r="BC4" s="22" t="n"/>
      <c r="BD4" s="22" t="n"/>
      <c r="BE4" s="22" t="n"/>
      <c r="BF4" s="22" t="n"/>
      <c r="BG4" s="22" t="n"/>
      <c r="BH4" s="22" t="n"/>
      <c r="BI4" s="22" t="n"/>
      <c r="BJ4" s="22" t="n"/>
      <c r="BK4" s="22" t="n"/>
      <c r="BL4" s="22" t="n"/>
    </row>
    <row r="5">
      <c r="A5" s="40" t="inlineStr">
        <is>
          <t>Item</t>
        </is>
      </c>
      <c r="B5" s="40" t="inlineStr">
        <is>
          <t>Currency</t>
        </is>
      </c>
      <c r="C5" s="40" t="inlineStr">
        <is>
          <t>Treatment in the model</t>
        </is>
      </c>
      <c r="E5" s="40" t="inlineStr">
        <is>
          <t>Year 5 (LCY m)</t>
        </is>
      </c>
    </row>
    <row r="6" ht="30" customHeight="1">
      <c r="A6" s="19" t="inlineStr">
        <is>
          <t>Revenue: hardware and PAYGo financing</t>
        </is>
      </c>
      <c r="B6" s="34" t="inlineStr">
        <is>
          <t>LCY</t>
        </is>
      </c>
      <c r="C6" s="117" t="inlineStr">
        <is>
          <t>Contract prices in LCY. New contracts are indexed by the pass-through input (Inputs).</t>
        </is>
      </c>
      <c r="E6" s="118">
        <f>Annual!I12/1000000</f>
        <v/>
      </c>
    </row>
    <row r="7" ht="30" customHeight="1">
      <c r="A7" s="19" t="inlineStr">
        <is>
          <t>Customer collections (mobile money)</t>
        </is>
      </c>
      <c r="B7" s="34" t="inlineStr">
        <is>
          <t>LCY</t>
        </is>
      </c>
      <c r="C7" s="117" t="inlineStr">
        <is>
          <t>Collected in LCY from the cohort engine.</t>
        </is>
      </c>
      <c r="E7" s="118">
        <f>SUMIFS(Ops!$E$140:$BL$140,Timeline!$E$6:$BL$6,5)/1000000</f>
        <v/>
      </c>
    </row>
    <row r="8" ht="30" customHeight="1">
      <c r="A8" s="19" t="inlineStr">
        <is>
          <t>PAYGo receivables</t>
        </is>
      </c>
      <c r="B8" s="34" t="inlineStr">
        <is>
          <t>LCY</t>
        </is>
      </c>
      <c r="C8" s="117" t="inlineStr">
        <is>
          <t>Gross receivables in LCY; no USD indexation of existing contracts.</t>
        </is>
      </c>
      <c r="E8" s="118">
        <f>Annual!I32/1000000</f>
        <v/>
      </c>
    </row>
    <row r="9" ht="30" customHeight="1">
      <c r="A9" s="19" t="inlineStr">
        <is>
          <t>Hardware (FOB) and freight, duty</t>
        </is>
      </c>
      <c r="B9" s="34" t="inlineStr">
        <is>
          <t>USD</t>
        </is>
      </c>
      <c r="C9" s="117" t="inlineStr">
        <is>
          <t>Converted at the month's FX rate when units are sold; inventory follows COGS.</t>
        </is>
      </c>
      <c r="E9" s="118">
        <f>SUMIFS(Costs!$E$8:$BL$8,Timeline!$E$6:$BL$6,5)/1000000</f>
        <v/>
      </c>
    </row>
    <row r="10" ht="30" customHeight="1">
      <c r="A10" s="19" t="inlineStr">
        <is>
          <t>Installation, commissions, opex</t>
        </is>
      </c>
      <c r="B10" s="34" t="inlineStr">
        <is>
          <t>LCY</t>
        </is>
      </c>
      <c r="C10" s="117" t="inlineStr">
        <is>
          <t>Indexed to local inflation.</t>
        </is>
      </c>
      <c r="E10" s="118">
        <f>SUMIFS(Costs!$E$20:$BL$20,Timeline!$E$6:$BL$6,5)/1000000</f>
        <v/>
      </c>
    </row>
    <row r="11" ht="30" customHeight="1">
      <c r="A11" s="19" t="inlineStr">
        <is>
          <t>RBF</t>
        </is>
      </c>
      <c r="B11" s="34" t="inlineStr">
        <is>
          <t>USD</t>
        </is>
      </c>
      <c r="C11" s="117" t="inlineStr">
        <is>
          <t>Set per unit in USD; received in LCY at the FX rate of the payment month.</t>
        </is>
      </c>
      <c r="E11" s="118">
        <f>Annual!I15/1000000</f>
        <v/>
      </c>
    </row>
    <row r="12" ht="30" customHeight="1">
      <c r="A12" s="19" t="inlineStr">
        <is>
          <t>USD term loan</t>
        </is>
      </c>
      <c r="B12" s="34" t="inlineStr">
        <is>
          <t>USD</t>
        </is>
      </c>
      <c r="C12" s="117" t="inlineStr">
        <is>
          <t>Remeasured monthly at the closing rate; unrealised FX loss in the income statement.</t>
        </is>
      </c>
      <c r="E12" s="118">
        <f>Annual!I39/1000000</f>
        <v/>
      </c>
    </row>
    <row r="13" ht="30" customHeight="1">
      <c r="A13" s="19" t="inlineStr">
        <is>
          <t>Receivables facility or securitisation</t>
        </is>
      </c>
      <c r="B13" s="34" t="inlineStr">
        <is>
          <t>LCY</t>
        </is>
      </c>
      <c r="C13" s="117" t="inlineStr">
        <is>
          <t>Drawn and repaid in LCY against the borrowing base.</t>
        </is>
      </c>
      <c r="E13" s="118">
        <f>Annual!I40/1000000</f>
        <v/>
      </c>
    </row>
    <row r="14" ht="30" customHeight="1">
      <c r="A14" s="19" t="inlineStr">
        <is>
          <t>Equity</t>
        </is>
      </c>
      <c r="B14" s="34" t="inlineStr">
        <is>
          <t>LCY (investor view in USD)</t>
        </is>
      </c>
      <c r="C14" s="117" t="inlineStr">
        <is>
          <t>Booked in LCY; the investor's IRR and MOIC are measured in USD on Valuation.</t>
        </is>
      </c>
      <c r="E14" s="118">
        <f>Annual!I44/1000000</f>
        <v/>
      </c>
    </row>
    <row r="15" ht="30" customHeight="1">
      <c r="A15" s="19" t="inlineStr">
        <is>
          <t>Hedging</t>
        </is>
      </c>
      <c r="B15" s="34" t="inlineStr">
        <is>
          <t>None</t>
        </is>
      </c>
      <c r="C15" s="117" t="inlineStr">
        <is>
          <t>No forward, swap or option is modelled. The depreciation path is a scenario lever (Scenarios).</t>
        </is>
      </c>
      <c r="E15" s="118">
        <f>""</f>
        <v/>
      </c>
    </row>
    <row r="16"/>
    <row r="17">
      <c r="A17" s="21" t="inlineStr">
        <is>
          <t>B. Exposure and effects by year (active scenario)</t>
        </is>
      </c>
      <c r="B17" s="22" t="n"/>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c r="AA17" s="22" t="n"/>
      <c r="AB17" s="22" t="n"/>
      <c r="AC17" s="22" t="n"/>
      <c r="AD17" s="22" t="n"/>
      <c r="AE17" s="22" t="n"/>
      <c r="AF17" s="22" t="n"/>
      <c r="AG17" s="22" t="n"/>
      <c r="AH17" s="22" t="n"/>
      <c r="AI17" s="22" t="n"/>
      <c r="AJ17" s="22" t="n"/>
      <c r="AK17" s="22" t="n"/>
      <c r="AL17" s="22" t="n"/>
      <c r="AM17" s="22" t="n"/>
      <c r="AN17" s="22" t="n"/>
      <c r="AO17" s="22" t="n"/>
      <c r="AP17" s="22" t="n"/>
      <c r="AQ17" s="22" t="n"/>
      <c r="AR17" s="22" t="n"/>
      <c r="AS17" s="22" t="n"/>
      <c r="AT17" s="22" t="n"/>
      <c r="AU17" s="22" t="n"/>
      <c r="AV17" s="22" t="n"/>
      <c r="AW17" s="22" t="n"/>
      <c r="AX17" s="22" t="n"/>
      <c r="AY17" s="22" t="n"/>
      <c r="AZ17" s="22" t="n"/>
      <c r="BA17" s="22" t="n"/>
      <c r="BB17" s="22" t="n"/>
      <c r="BC17" s="22" t="n"/>
      <c r="BD17" s="22" t="n"/>
      <c r="BE17" s="22" t="n"/>
      <c r="BF17" s="22" t="n"/>
      <c r="BG17" s="22" t="n"/>
      <c r="BH17" s="22" t="n"/>
      <c r="BI17" s="22" t="n"/>
      <c r="BJ17" s="22" t="n"/>
      <c r="BK17" s="22" t="n"/>
      <c r="BL17" s="22" t="n"/>
    </row>
    <row r="18">
      <c r="A18" s="40" t="inlineStr">
        <is>
          <t>Measure</t>
        </is>
      </c>
      <c r="B18" s="40" t="inlineStr">
        <is>
          <t>Unit</t>
        </is>
      </c>
      <c r="C18" s="40" t="inlineStr">
        <is>
          <t>Year 1</t>
        </is>
      </c>
      <c r="D18" s="40" t="inlineStr">
        <is>
          <t>Year 2</t>
        </is>
      </c>
      <c r="E18" s="40" t="inlineStr">
        <is>
          <t>Year 3</t>
        </is>
      </c>
      <c r="F18" s="40" t="inlineStr">
        <is>
          <t>Year 4</t>
        </is>
      </c>
      <c r="G18" s="40" t="inlineStr">
        <is>
          <t>Year 5</t>
        </is>
      </c>
      <c r="H18" s="40" t="inlineStr">
        <is>
          <t>Total</t>
        </is>
      </c>
    </row>
    <row r="19">
      <c r="A19" s="34" t="inlineStr">
        <is>
          <t>LCY depreciation against USD (scenario lever)</t>
        </is>
      </c>
      <c r="B19" s="65" t="inlineStr">
        <is>
          <t>% p.a.</t>
        </is>
      </c>
      <c r="C19" s="42">
        <f>Scenarios!$G$10</f>
        <v/>
      </c>
      <c r="D19" s="42">
        <f>Scenarios!$G$10</f>
        <v/>
      </c>
      <c r="E19" s="42">
        <f>Scenarios!$G$10</f>
        <v/>
      </c>
      <c r="F19" s="42">
        <f>Scenarios!$G$10</f>
        <v/>
      </c>
      <c r="G19" s="42">
        <f>Scenarios!$G$10</f>
        <v/>
      </c>
    </row>
    <row r="20">
      <c r="A20" s="34" t="inlineStr">
        <is>
          <t>FX rate at year end</t>
        </is>
      </c>
      <c r="B20" s="65" t="inlineStr">
        <is>
          <t>LCY / USD</t>
        </is>
      </c>
      <c r="C20" s="49">
        <f>INDEX(Timeline!$E$8:$BL$8,1,12)</f>
        <v/>
      </c>
      <c r="D20" s="49">
        <f>INDEX(Timeline!$E$8:$BL$8,1,24)</f>
        <v/>
      </c>
      <c r="E20" s="49">
        <f>INDEX(Timeline!$E$8:$BL$8,1,36)</f>
        <v/>
      </c>
      <c r="F20" s="49">
        <f>INDEX(Timeline!$E$8:$BL$8,1,48)</f>
        <v/>
      </c>
      <c r="G20" s="49">
        <f>INDEX(Timeline!$E$8:$BL$8,1,60)</f>
        <v/>
      </c>
    </row>
    <row r="21">
      <c r="A21" s="34" t="inlineStr">
        <is>
          <t>Pass-through of depreciation into new-contract prices</t>
        </is>
      </c>
      <c r="B21" s="65" t="inlineStr">
        <is>
          <t>%</t>
        </is>
      </c>
      <c r="C21" s="42">
        <f>Inputs!$C$14</f>
        <v/>
      </c>
      <c r="D21" s="42">
        <f>Inputs!$C$14</f>
        <v/>
      </c>
      <c r="E21" s="42">
        <f>Inputs!$C$14</f>
        <v/>
      </c>
      <c r="F21" s="42">
        <f>Inputs!$C$14</f>
        <v/>
      </c>
      <c r="G21" s="42">
        <f>Inputs!$C$14</f>
        <v/>
      </c>
    </row>
    <row r="22">
      <c r="A22" s="34" t="inlineStr">
        <is>
          <t>Share of debt in USD at year end</t>
        </is>
      </c>
      <c r="B22" s="65" t="inlineStr">
        <is>
          <t>%</t>
        </is>
      </c>
      <c r="C22" s="42">
        <f>IFERROR(Annual!E39/(Annual!E39+Annual!E40),0)</f>
        <v/>
      </c>
      <c r="D22" s="42">
        <f>IFERROR(Annual!F39/(Annual!F39+Annual!F40),0)</f>
        <v/>
      </c>
      <c r="E22" s="42">
        <f>IFERROR(Annual!G39/(Annual!G39+Annual!G40),0)</f>
        <v/>
      </c>
      <c r="F22" s="42">
        <f>IFERROR(Annual!H39/(Annual!H39+Annual!H40),0)</f>
        <v/>
      </c>
      <c r="G22" s="42">
        <f>IFERROR(Annual!I39/(Annual!I39+Annual!I40),0)</f>
        <v/>
      </c>
    </row>
    <row r="23">
      <c r="A23" s="34" t="inlineStr">
        <is>
          <t>Transaction: extra cost of USD-linked hardware (COGS and warranty)</t>
        </is>
      </c>
      <c r="B23" s="65" t="inlineStr">
        <is>
          <t>LCY m</t>
        </is>
      </c>
      <c r="C23" s="118">
        <f>SUMIFS(Timeline!$E$14:$BL$14,Timeline!$E$6:$BL$6,1)/1000000</f>
        <v/>
      </c>
      <c r="D23" s="118">
        <f>SUMIFS(Timeline!$E$14:$BL$14,Timeline!$E$6:$BL$6,2)/1000000</f>
        <v/>
      </c>
      <c r="E23" s="118">
        <f>SUMIFS(Timeline!$E$14:$BL$14,Timeline!$E$6:$BL$6,3)/1000000</f>
        <v/>
      </c>
      <c r="F23" s="118">
        <f>SUMIFS(Timeline!$E$14:$BL$14,Timeline!$E$6:$BL$6,4)/1000000</f>
        <v/>
      </c>
      <c r="G23" s="118">
        <f>SUMIFS(Timeline!$E$14:$BL$14,Timeline!$E$6:$BL$6,5)/1000000</f>
        <v/>
      </c>
      <c r="H23" s="119">
        <f>SUM(C23:G23)</f>
        <v/>
      </c>
    </row>
    <row r="24">
      <c r="A24" s="34" t="inlineStr">
        <is>
          <t>Transaction: extra interest on the USD term loan</t>
        </is>
      </c>
      <c r="B24" s="65" t="inlineStr">
        <is>
          <t>LCY m</t>
        </is>
      </c>
      <c r="C24" s="118">
        <f>SUMIFS(Timeline!$E$15:$BL$15,Timeline!$E$6:$BL$6,1)/1000000</f>
        <v/>
      </c>
      <c r="D24" s="118">
        <f>SUMIFS(Timeline!$E$15:$BL$15,Timeline!$E$6:$BL$6,2)/1000000</f>
        <v/>
      </c>
      <c r="E24" s="118">
        <f>SUMIFS(Timeline!$E$15:$BL$15,Timeline!$E$6:$BL$6,3)/1000000</f>
        <v/>
      </c>
      <c r="F24" s="118">
        <f>SUMIFS(Timeline!$E$15:$BL$15,Timeline!$E$6:$BL$6,4)/1000000</f>
        <v/>
      </c>
      <c r="G24" s="118">
        <f>SUMIFS(Timeline!$E$15:$BL$15,Timeline!$E$6:$BL$6,5)/1000000</f>
        <v/>
      </c>
      <c r="H24" s="119">
        <f>SUM(C24:G24)</f>
        <v/>
      </c>
    </row>
    <row r="25">
      <c r="A25" s="34" t="inlineStr">
        <is>
          <t>Transaction: extra LCY to repay USD principal</t>
        </is>
      </c>
      <c r="B25" s="65" t="inlineStr">
        <is>
          <t>LCY m</t>
        </is>
      </c>
      <c r="C25" s="118">
        <f>SUMIFS(Timeline!$E$16:$BL$16,Timeline!$E$6:$BL$6,1)/1000000</f>
        <v/>
      </c>
      <c r="D25" s="118">
        <f>SUMIFS(Timeline!$E$16:$BL$16,Timeline!$E$6:$BL$6,2)/1000000</f>
        <v/>
      </c>
      <c r="E25" s="118">
        <f>SUMIFS(Timeline!$E$16:$BL$16,Timeline!$E$6:$BL$6,3)/1000000</f>
        <v/>
      </c>
      <c r="F25" s="118">
        <f>SUMIFS(Timeline!$E$16:$BL$16,Timeline!$E$6:$BL$6,4)/1000000</f>
        <v/>
      </c>
      <c r="G25" s="118">
        <f>SUMIFS(Timeline!$E$16:$BL$16,Timeline!$E$6:$BL$6,5)/1000000</f>
        <v/>
      </c>
      <c r="H25" s="119">
        <f>SUM(C25:G25)</f>
        <v/>
      </c>
    </row>
    <row r="26">
      <c r="A26" s="34" t="inlineStr">
        <is>
          <t>Transaction: extra LCY received on USD-denominated RBF</t>
        </is>
      </c>
      <c r="B26" s="65" t="inlineStr">
        <is>
          <t>LCY m</t>
        </is>
      </c>
      <c r="C26" s="118">
        <f>SUMIFS(Timeline!$E$17:$BL$17,Timeline!$E$6:$BL$6,1)/1000000</f>
        <v/>
      </c>
      <c r="D26" s="118">
        <f>SUMIFS(Timeline!$E$17:$BL$17,Timeline!$E$6:$BL$6,2)/1000000</f>
        <v/>
      </c>
      <c r="E26" s="118">
        <f>SUMIFS(Timeline!$E$17:$BL$17,Timeline!$E$6:$BL$6,3)/1000000</f>
        <v/>
      </c>
      <c r="F26" s="118">
        <f>SUMIFS(Timeline!$E$17:$BL$17,Timeline!$E$6:$BL$6,4)/1000000</f>
        <v/>
      </c>
      <c r="G26" s="118">
        <f>SUMIFS(Timeline!$E$17:$BL$17,Timeline!$E$6:$BL$6,5)/1000000</f>
        <v/>
      </c>
      <c r="H26" s="119">
        <f>SUM(C26:G26)</f>
        <v/>
      </c>
    </row>
    <row r="27">
      <c r="A27" s="19" t="inlineStr">
        <is>
          <t>Net transaction effect on costs and RBF, before price pass-through (negative = cost)</t>
        </is>
      </c>
      <c r="B27" s="65" t="inlineStr">
        <is>
          <t>LCY m</t>
        </is>
      </c>
      <c r="C27" s="118">
        <f>SUMIFS(Timeline!$E$18:$BL$18,Timeline!$E$6:$BL$6,1)/1000000</f>
        <v/>
      </c>
      <c r="D27" s="118">
        <f>SUMIFS(Timeline!$E$18:$BL$18,Timeline!$E$6:$BL$6,2)/1000000</f>
        <v/>
      </c>
      <c r="E27" s="118">
        <f>SUMIFS(Timeline!$E$18:$BL$18,Timeline!$E$6:$BL$6,3)/1000000</f>
        <v/>
      </c>
      <c r="F27" s="118">
        <f>SUMIFS(Timeline!$E$18:$BL$18,Timeline!$E$6:$BL$6,4)/1000000</f>
        <v/>
      </c>
      <c r="G27" s="118">
        <f>SUMIFS(Timeline!$E$18:$BL$18,Timeline!$E$6:$BL$6,5)/1000000</f>
        <v/>
      </c>
      <c r="H27" s="119">
        <f>SUM(C27:G27)</f>
        <v/>
      </c>
    </row>
    <row r="28">
      <c r="A28" s="34" t="inlineStr">
        <is>
          <t>Remeasurement: unrealised FX loss on USD debt (FS; non-cash)</t>
        </is>
      </c>
      <c r="B28" s="65" t="inlineStr">
        <is>
          <t>LCY m</t>
        </is>
      </c>
      <c r="C28" s="118">
        <f>SUMIFS(Timeline!$E$19:$BL$19,Timeline!$E$6:$BL$6,1)/1000000</f>
        <v/>
      </c>
      <c r="D28" s="118">
        <f>SUMIFS(Timeline!$E$19:$BL$19,Timeline!$E$6:$BL$6,2)/1000000</f>
        <v/>
      </c>
      <c r="E28" s="118">
        <f>SUMIFS(Timeline!$E$19:$BL$19,Timeline!$E$6:$BL$6,3)/1000000</f>
        <v/>
      </c>
      <c r="F28" s="118">
        <f>SUMIFS(Timeline!$E$19:$BL$19,Timeline!$E$6:$BL$6,4)/1000000</f>
        <v/>
      </c>
      <c r="G28" s="118">
        <f>SUMIFS(Timeline!$E$19:$BL$19,Timeline!$E$6:$BL$6,5)/1000000</f>
        <v/>
      </c>
      <c r="H28" s="119">
        <f>SUM(C28:G28)</f>
        <v/>
      </c>
    </row>
    <row r="29">
      <c r="A29" s="34" t="inlineStr">
        <is>
          <t>Translation: revenue in USD at the opening rate</t>
        </is>
      </c>
      <c r="B29" s="65" t="inlineStr">
        <is>
          <t>USD m</t>
        </is>
      </c>
      <c r="C29" s="118">
        <f>SUMIFS(Timeline!$E$20:$BL$20,Timeline!$E$6:$BL$6,1)/1000000</f>
        <v/>
      </c>
      <c r="D29" s="118">
        <f>SUMIFS(Timeline!$E$20:$BL$20,Timeline!$E$6:$BL$6,2)/1000000</f>
        <v/>
      </c>
      <c r="E29" s="118">
        <f>SUMIFS(Timeline!$E$20:$BL$20,Timeline!$E$6:$BL$6,3)/1000000</f>
        <v/>
      </c>
      <c r="F29" s="118">
        <f>SUMIFS(Timeline!$E$20:$BL$20,Timeline!$E$6:$BL$6,4)/1000000</f>
        <v/>
      </c>
      <c r="G29" s="118">
        <f>SUMIFS(Timeline!$E$20:$BL$20,Timeline!$E$6:$BL$6,5)/1000000</f>
        <v/>
      </c>
      <c r="H29" s="119">
        <f>SUM(C29:G29)</f>
        <v/>
      </c>
    </row>
    <row r="30">
      <c r="A30" s="34" t="inlineStr">
        <is>
          <t>Translation: revenue in USD at the month's rate</t>
        </is>
      </c>
      <c r="B30" s="65" t="inlineStr">
        <is>
          <t>USD m</t>
        </is>
      </c>
      <c r="C30" s="118">
        <f>SUMIFS(Timeline!$E$21:$BL$21,Timeline!$E$6:$BL$6,1)/1000000</f>
        <v/>
      </c>
      <c r="D30" s="118">
        <f>SUMIFS(Timeline!$E$21:$BL$21,Timeline!$E$6:$BL$6,2)/1000000</f>
        <v/>
      </c>
      <c r="E30" s="118">
        <f>SUMIFS(Timeline!$E$21:$BL$21,Timeline!$E$6:$BL$6,3)/1000000</f>
        <v/>
      </c>
      <c r="F30" s="118">
        <f>SUMIFS(Timeline!$E$21:$BL$21,Timeline!$E$6:$BL$6,4)/1000000</f>
        <v/>
      </c>
      <c r="G30" s="118">
        <f>SUMIFS(Timeline!$E$21:$BL$21,Timeline!$E$6:$BL$6,5)/1000000</f>
        <v/>
      </c>
      <c r="H30" s="119">
        <f>SUM(C30:G30)</f>
        <v/>
      </c>
    </row>
    <row r="31">
      <c r="A31" s="34" t="inlineStr">
        <is>
          <t>Translation effect on revenue in USD (negative = lower in USD)</t>
        </is>
      </c>
      <c r="B31" s="65" t="inlineStr">
        <is>
          <t>USD m</t>
        </is>
      </c>
      <c r="C31" s="118">
        <f>SUMIFS(Timeline!$E$22:$BL$22,Timeline!$E$6:$BL$6,1)/1000000</f>
        <v/>
      </c>
      <c r="D31" s="118">
        <f>SUMIFS(Timeline!$E$22:$BL$22,Timeline!$E$6:$BL$6,2)/1000000</f>
        <v/>
      </c>
      <c r="E31" s="118">
        <f>SUMIFS(Timeline!$E$22:$BL$22,Timeline!$E$6:$BL$6,3)/1000000</f>
        <v/>
      </c>
      <c r="F31" s="118">
        <f>SUMIFS(Timeline!$E$22:$BL$22,Timeline!$E$6:$BL$6,4)/1000000</f>
        <v/>
      </c>
      <c r="G31" s="118">
        <f>SUMIFS(Timeline!$E$22:$BL$22,Timeline!$E$6:$BL$6,5)/1000000</f>
        <v/>
      </c>
      <c r="H31" s="119">
        <f>SUM(C31:G31)</f>
        <v/>
      </c>
    </row>
    <row r="32">
      <c r="A32" s="34" t="inlineStr">
        <is>
          <t>Translation effect on EBITDA in USD</t>
        </is>
      </c>
      <c r="B32" s="65" t="inlineStr">
        <is>
          <t>USD m</t>
        </is>
      </c>
      <c r="C32" s="118">
        <f>SUMIFS(Timeline!$E$23:$BL$23,Timeline!$E$6:$BL$6,1)/1000000</f>
        <v/>
      </c>
      <c r="D32" s="118">
        <f>SUMIFS(Timeline!$E$23:$BL$23,Timeline!$E$6:$BL$6,2)/1000000</f>
        <v/>
      </c>
      <c r="E32" s="118">
        <f>SUMIFS(Timeline!$E$23:$BL$23,Timeline!$E$6:$BL$6,3)/1000000</f>
        <v/>
      </c>
      <c r="F32" s="118">
        <f>SUMIFS(Timeline!$E$23:$BL$23,Timeline!$E$6:$BL$6,4)/1000000</f>
        <v/>
      </c>
      <c r="G32" s="118">
        <f>SUMIFS(Timeline!$E$23:$BL$23,Timeline!$E$6:$BL$6,5)/1000000</f>
        <v/>
      </c>
      <c r="H32" s="119">
        <f>SUM(C32:G32)</f>
        <v/>
      </c>
    </row>
    <row r="33">
      <c r="A33" s="34" t="inlineStr">
        <is>
          <t>Memo: hardware revenue added by price pass-through on new contracts (booked at sale, collected over the tenor)</t>
        </is>
      </c>
      <c r="B33" s="65" t="inlineStr">
        <is>
          <t>LCY m</t>
        </is>
      </c>
      <c r="C33" s="118">
        <f>SUMIFS(Timeline!$E$24:$BL$24,Timeline!$E$6:$BL$6,1)/1000000</f>
        <v/>
      </c>
      <c r="D33" s="118">
        <f>SUMIFS(Timeline!$E$24:$BL$24,Timeline!$E$6:$BL$6,2)/1000000</f>
        <v/>
      </c>
      <c r="E33" s="118">
        <f>SUMIFS(Timeline!$E$24:$BL$24,Timeline!$E$6:$BL$6,3)/1000000</f>
        <v/>
      </c>
      <c r="F33" s="118">
        <f>SUMIFS(Timeline!$E$24:$BL$24,Timeline!$E$6:$BL$6,4)/1000000</f>
        <v/>
      </c>
      <c r="G33" s="118">
        <f>SUMIFS(Timeline!$E$24:$BL$24,Timeline!$E$6:$BL$6,5)/1000000</f>
        <v/>
      </c>
      <c r="H33" s="119">
        <f>SUM(C33:G33)</f>
        <v/>
      </c>
    </row>
    <row r="34"/>
    <row r="35">
      <c r="A35" s="18" t="inlineStr">
        <is>
          <t>Transaction effects compare each LCY amount with what it would have been at the opening rate. They are already inside the statements; this table isolates them. The USD principal effect is the realised counterpart of the remeasurement loss.</t>
        </is>
      </c>
    </row>
    <row r="36">
      <c r="A36" s="18" t="inlineStr">
        <is>
          <t>The pass-through memo row is the offset on the revenue side: new contracts are priced up by the pass-through share of depreciation. It is booked at sale and collected over the tenor; the effect on financing income of older contracts is not isolated.</t>
        </is>
      </c>
    </row>
    <row r="37">
      <c r="A37" s="18" t="inlineStr">
        <is>
          <t>Translation does not move LCY cash. It changes how LCY revenue and EBITDA look to a USD investor and drives the USD IRR.</t>
        </is>
      </c>
    </row>
    <row r="38">
      <c r="A38" s="18" t="inlineStr">
        <is>
          <t>Monthly detail: Timeline, section FX EFFECTS. Stress the path on Scenarios (LCY depreciation) and read the change here and on Valuation.</t>
        </is>
      </c>
    </row>
  </sheetData>
  <mergeCells count="11">
    <mergeCell ref="C12:D12"/>
    <mergeCell ref="C6:D6"/>
    <mergeCell ref="C7:D7"/>
    <mergeCell ref="C10:D10"/>
    <mergeCell ref="C15:D15"/>
    <mergeCell ref="C11:D11"/>
    <mergeCell ref="C5:D5"/>
    <mergeCell ref="C14:D14"/>
    <mergeCell ref="C13:D13"/>
    <mergeCell ref="C9:D9"/>
    <mergeCell ref="C8:D8"/>
  </mergeCells>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19.xml><?xml version="1.0" encoding="utf-8"?>
<worksheet xmlns="http://schemas.openxmlformats.org/spreadsheetml/2006/main">
  <sheetPr>
    <tabColor rgb="0000B050"/>
    <outlinePr summaryBelow="1" summaryRight="1"/>
    <pageSetUpPr fitToPage="1"/>
  </sheetPr>
  <dimension ref="A1:G26"/>
  <sheetViews>
    <sheetView showGridLines="0" workbookViewId="0">
      <selection activeCell="A1" sqref="A1"/>
    </sheetView>
  </sheetViews>
  <sheetFormatPr baseColWidth="8" defaultRowHeight="15"/>
  <cols>
    <col width="62" customWidth="1" min="1" max="1"/>
    <col width="12" customWidth="1" min="2" max="2"/>
    <col width="18" customWidth="1" min="3" max="3"/>
    <col width="18" customWidth="1" min="4" max="4"/>
    <col width="18" customWidth="1" min="5" max="5"/>
    <col width="18" customWidth="1" min="6" max="6"/>
    <col width="18" customWidth="1" min="7" max="7"/>
  </cols>
  <sheetData>
    <row r="1">
      <c r="A1" s="17" t="inlineStr">
        <is>
          <t>Unit economics by tier (per unit, month-1 prices, active scenario)</t>
        </is>
      </c>
    </row>
    <row r="2">
      <c r="A2" s="18" t="inlineStr">
        <is>
          <t>[FORECAST]  Lifetime view of one PAYGo customer. Undiscounted unless stated.</t>
        </is>
      </c>
    </row>
    <row r="3"/>
    <row r="4">
      <c r="A4" s="40" t="inlineStr">
        <is>
          <t>Metric</t>
        </is>
      </c>
      <c r="B4" s="40" t="inlineStr">
        <is>
          <t>Unit</t>
        </is>
      </c>
      <c r="C4" s="40" t="inlineStr">
        <is>
          <t>Tier 1</t>
        </is>
      </c>
      <c r="D4" s="40" t="inlineStr">
        <is>
          <t>Tier 2</t>
        </is>
      </c>
      <c r="E4" s="40" t="inlineStr">
        <is>
          <t>Tier 3</t>
        </is>
      </c>
      <c r="F4" s="40" t="inlineStr">
        <is>
          <t>Tier 4</t>
        </is>
      </c>
      <c r="G4" s="40" t="inlineStr">
        <is>
          <t>Tier 5</t>
        </is>
      </c>
    </row>
    <row r="5">
      <c r="A5" s="34" t="inlineStr">
        <is>
          <t>Cash price</t>
        </is>
      </c>
      <c r="B5" s="65" t="inlineStr">
        <is>
          <t>LCY</t>
        </is>
      </c>
      <c r="C5" s="80">
        <f>Products!$C$13</f>
        <v/>
      </c>
      <c r="D5" s="80">
        <f>Products!$D$13</f>
        <v/>
      </c>
      <c r="E5" s="80">
        <f>Products!$E$13</f>
        <v/>
      </c>
      <c r="F5" s="80">
        <f>Products!$F$13</f>
        <v/>
      </c>
      <c r="G5" s="80">
        <f>Products!$G$13</f>
        <v/>
      </c>
    </row>
    <row r="6">
      <c r="A6" s="34" t="inlineStr">
        <is>
          <t>Total PAYGo contract value</t>
        </is>
      </c>
      <c r="B6" s="65" t="inlineStr">
        <is>
          <t>LCY</t>
        </is>
      </c>
      <c r="C6" s="80">
        <f>Products!$C$34</f>
        <v/>
      </c>
      <c r="D6" s="80">
        <f>Products!$D$34</f>
        <v/>
      </c>
      <c r="E6" s="80">
        <f>Products!$E$34</f>
        <v/>
      </c>
      <c r="F6" s="80">
        <f>Products!$F$34</f>
        <v/>
      </c>
      <c r="G6" s="80">
        <f>Products!$G$34</f>
        <v/>
      </c>
    </row>
    <row r="7">
      <c r="A7" s="34" t="inlineStr">
        <is>
          <t>Implied annual financing rate (nominal APR)</t>
        </is>
      </c>
      <c r="B7" s="65" t="inlineStr">
        <is>
          <t>%</t>
        </is>
      </c>
      <c r="C7" s="81">
        <f>Products!$C$39</f>
        <v/>
      </c>
      <c r="D7" s="81">
        <f>Products!$D$39</f>
        <v/>
      </c>
      <c r="E7" s="81">
        <f>Products!$E$39</f>
        <v/>
      </c>
      <c r="F7" s="81">
        <f>Products!$F$39</f>
        <v/>
      </c>
      <c r="G7" s="81">
        <f>Products!$G$39</f>
        <v/>
      </c>
    </row>
    <row r="8">
      <c r="A8" s="34" t="inlineStr">
        <is>
          <t>Down payment</t>
        </is>
      </c>
      <c r="B8" s="65" t="inlineStr">
        <is>
          <t>LCY</t>
        </is>
      </c>
      <c r="C8" s="80">
        <f>Products!$C$14</f>
        <v/>
      </c>
      <c r="D8" s="80">
        <f>Products!$D$14</f>
        <v/>
      </c>
      <c r="E8" s="80">
        <f>Products!$E$14</f>
        <v/>
      </c>
      <c r="F8" s="80">
        <f>Products!$F$14</f>
        <v/>
      </c>
      <c r="G8" s="80">
        <f>Products!$G$14</f>
        <v/>
      </c>
    </row>
    <row r="9">
      <c r="A9" s="34" t="inlineStr">
        <is>
          <t>Expected instalments collected</t>
        </is>
      </c>
      <c r="B9" s="65" t="inlineStr">
        <is>
          <t>LCY</t>
        </is>
      </c>
      <c r="C9" s="80">
        <f>Curves!$D$70</f>
        <v/>
      </c>
      <c r="D9" s="80">
        <f>Curves!$Q$70</f>
        <v/>
      </c>
      <c r="E9" s="80">
        <f>Curves!$AD$70</f>
        <v/>
      </c>
      <c r="F9" s="80">
        <f>Curves!$AQ$70</f>
        <v/>
      </c>
      <c r="G9" s="80">
        <f>Curves!$BD$70</f>
        <v/>
      </c>
    </row>
    <row r="10">
      <c r="A10" s="34" t="inlineStr">
        <is>
          <t>Expected lifetime customer cash (down payment + instalments)</t>
        </is>
      </c>
      <c r="B10" s="65" t="inlineStr">
        <is>
          <t>LCY</t>
        </is>
      </c>
      <c r="C10" s="80">
        <f>C8+C9</f>
        <v/>
      </c>
      <c r="D10" s="80">
        <f>D8+D9</f>
        <v/>
      </c>
      <c r="E10" s="80">
        <f>E8+E9</f>
        <v/>
      </c>
      <c r="F10" s="80">
        <f>F8+F9</f>
        <v/>
      </c>
      <c r="G10" s="80">
        <f>G8+G9</f>
        <v/>
      </c>
    </row>
    <row r="11">
      <c r="A11" s="34" t="inlineStr">
        <is>
          <t>Expected loss rate (missed / scheduled instalments)</t>
        </is>
      </c>
      <c r="B11" s="65" t="inlineStr">
        <is>
          <t>%</t>
        </is>
      </c>
      <c r="C11" s="81">
        <f>IFERROR(Curves!$E$70/Curves!$C$70,0)</f>
        <v/>
      </c>
      <c r="D11" s="81">
        <f>IFERROR(Curves!$R$70/Curves!$P$70,0)</f>
        <v/>
      </c>
      <c r="E11" s="81">
        <f>IFERROR(Curves!$AE$70/Curves!$AC$70,0)</f>
        <v/>
      </c>
      <c r="F11" s="81">
        <f>IFERROR(Curves!$AR$70/Curves!$AP$70,0)</f>
        <v/>
      </c>
      <c r="G11" s="81">
        <f>IFERROR(Curves!$BE$70/Curves!$BC$70,0)</f>
        <v/>
      </c>
    </row>
    <row r="12">
      <c r="A12" s="34" t="inlineStr">
        <is>
          <t>Lifetime collection rate (customer cash / contract value)</t>
        </is>
      </c>
      <c r="B12" s="65" t="inlineStr">
        <is>
          <t>%</t>
        </is>
      </c>
      <c r="C12" s="81">
        <f>IFERROR(C10/C6,0)</f>
        <v/>
      </c>
      <c r="D12" s="81">
        <f>IFERROR(D10/D6,0)</f>
        <v/>
      </c>
      <c r="E12" s="81">
        <f>IFERROR(E10/E6,0)</f>
        <v/>
      </c>
      <c r="F12" s="81">
        <f>IFERROR(F10/F6,0)</f>
        <v/>
      </c>
      <c r="G12" s="81">
        <f>IFERROR(G10/G6,0)</f>
        <v/>
      </c>
    </row>
    <row r="13">
      <c r="A13" s="34" t="inlineStr">
        <is>
          <t>Expected recoveries from repossession</t>
        </is>
      </c>
      <c r="B13" s="65" t="inlineStr">
        <is>
          <t>LCY</t>
        </is>
      </c>
      <c r="C13" s="80">
        <f>Curves!$I$70</f>
        <v/>
      </c>
      <c r="D13" s="80">
        <f>Curves!$V$70</f>
        <v/>
      </c>
      <c r="E13" s="80">
        <f>Curves!$AI$70</f>
        <v/>
      </c>
      <c r="F13" s="80">
        <f>Curves!$AV$70</f>
        <v/>
      </c>
      <c r="G13" s="80">
        <f>Curves!$BI$70</f>
        <v/>
      </c>
    </row>
    <row r="14">
      <c r="A14" s="34" t="inlineStr">
        <is>
          <t>RBF per unit (opening FX)</t>
        </is>
      </c>
      <c r="B14" s="65" t="inlineStr">
        <is>
          <t>LCY</t>
        </is>
      </c>
      <c r="C14" s="80">
        <f>Curves!$J$70</f>
        <v/>
      </c>
      <c r="D14" s="80">
        <f>Curves!$W$70</f>
        <v/>
      </c>
      <c r="E14" s="80">
        <f>Curves!$AJ$70</f>
        <v/>
      </c>
      <c r="F14" s="80">
        <f>Curves!$AW$70</f>
        <v/>
      </c>
      <c r="G14" s="80">
        <f>Curves!$BJ$70</f>
        <v/>
      </c>
    </row>
    <row r="15">
      <c r="A15" s="34" t="inlineStr">
        <is>
          <t>Landed hardware cost</t>
        </is>
      </c>
      <c r="B15" s="65" t="inlineStr">
        <is>
          <t>LCY</t>
        </is>
      </c>
      <c r="C15" s="80">
        <f>Products!$C$43</f>
        <v/>
      </c>
      <c r="D15" s="80">
        <f>Products!$D$43</f>
        <v/>
      </c>
      <c r="E15" s="80">
        <f>Products!$E$43</f>
        <v/>
      </c>
      <c r="F15" s="80">
        <f>Products!$F$43</f>
        <v/>
      </c>
      <c r="G15" s="80">
        <f>Products!$G$43</f>
        <v/>
      </c>
    </row>
    <row r="16">
      <c r="A16" s="34" t="inlineStr">
        <is>
          <t>Installation &amp; logistics</t>
        </is>
      </c>
      <c r="B16" s="65" t="inlineStr">
        <is>
          <t>LCY</t>
        </is>
      </c>
      <c r="C16" s="80">
        <f>Products!$C$19</f>
        <v/>
      </c>
      <c r="D16" s="80">
        <f>Products!$D$19</f>
        <v/>
      </c>
      <c r="E16" s="80">
        <f>Products!$E$19</f>
        <v/>
      </c>
      <c r="F16" s="80">
        <f>Products!$F$19</f>
        <v/>
      </c>
      <c r="G16" s="80">
        <f>Products!$G$19</f>
        <v/>
      </c>
    </row>
    <row r="17">
      <c r="A17" s="34" t="inlineStr">
        <is>
          <t>Warranty provision</t>
        </is>
      </c>
      <c r="B17" s="65" t="inlineStr">
        <is>
          <t>LCY</t>
        </is>
      </c>
      <c r="C17" s="80">
        <f>Products!$C$43*Products!$C$22</f>
        <v/>
      </c>
      <c r="D17" s="80">
        <f>Products!$D$43*Products!$D$22</f>
        <v/>
      </c>
      <c r="E17" s="80">
        <f>Products!$E$43*Products!$E$22</f>
        <v/>
      </c>
      <c r="F17" s="80">
        <f>Products!$F$43*Products!$F$22</f>
        <v/>
      </c>
      <c r="G17" s="80">
        <f>Products!$G$43*Products!$G$22</f>
        <v/>
      </c>
    </row>
    <row r="18">
      <c r="A18" s="34" t="inlineStr">
        <is>
          <t>Customer acquisition cost (CAC)</t>
        </is>
      </c>
      <c r="B18" s="65" t="inlineStr">
        <is>
          <t>LCY</t>
        </is>
      </c>
      <c r="C18" s="80">
        <f>Products!$C$44</f>
        <v/>
      </c>
      <c r="D18" s="80">
        <f>Products!$D$44</f>
        <v/>
      </c>
      <c r="E18" s="80">
        <f>Products!$E$44</f>
        <v/>
      </c>
      <c r="F18" s="80">
        <f>Products!$F$44</f>
        <v/>
      </c>
      <c r="G18" s="80">
        <f>Products!$G$44</f>
        <v/>
      </c>
    </row>
    <row r="19">
      <c r="A19" s="34" t="inlineStr">
        <is>
          <t>Payment fees + servicing over life</t>
        </is>
      </c>
      <c r="B19" s="65" t="inlineStr">
        <is>
          <t>LCY</t>
        </is>
      </c>
      <c r="C19" s="80">
        <f>C10*Inputs!$C$24+Inputs!$C$25*(SUM(Curves!$G$8:$G$68)-1)</f>
        <v/>
      </c>
      <c r="D19" s="80">
        <f>D10*Inputs!$C$24+Inputs!$C$25*(SUM(Curves!$T$8:$T$68)-1)</f>
        <v/>
      </c>
      <c r="E19" s="80">
        <f>E10*Inputs!$C$24+Inputs!$C$25*(SUM(Curves!$AG$8:$AG$68)-1)</f>
        <v/>
      </c>
      <c r="F19" s="80">
        <f>F10*Inputs!$C$24+Inputs!$C$25*(SUM(Curves!$AT$8:$AT$68)-1)</f>
        <v/>
      </c>
      <c r="G19" s="80">
        <f>G10*Inputs!$C$24+Inputs!$C$25*(SUM(Curves!$BG$8:$BG$68)-1)</f>
        <v/>
      </c>
    </row>
    <row r="20">
      <c r="A20" s="19" t="inlineStr">
        <is>
          <t>Lifetime contribution per unit</t>
        </is>
      </c>
      <c r="B20" s="65" t="inlineStr">
        <is>
          <t>LCY</t>
        </is>
      </c>
      <c r="C20" s="93">
        <f>C10+C13+C14-C15-C16-C17-C18-C19</f>
        <v/>
      </c>
      <c r="D20" s="93">
        <f>D10+D13+D14-D15-D16-D17-D18-D19</f>
        <v/>
      </c>
      <c r="E20" s="93">
        <f>E10+E13+E14-E15-E16-E17-E18-E19</f>
        <v/>
      </c>
      <c r="F20" s="93">
        <f>F10+F13+F14-F15-F16-F17-F18-F19</f>
        <v/>
      </c>
      <c r="G20" s="93">
        <f>G10+G13+G14-G15-G16-G17-G18-G19</f>
        <v/>
      </c>
    </row>
    <row r="21">
      <c r="A21" s="19" t="inlineStr">
        <is>
          <t>LTV / CAC (contribution before CAC / CAC)</t>
        </is>
      </c>
      <c r="B21" s="65" t="inlineStr">
        <is>
          <t>x</t>
        </is>
      </c>
      <c r="C21" s="116">
        <f>IFERROR((C20+C18)/C18,0)</f>
        <v/>
      </c>
      <c r="D21" s="116">
        <f>IFERROR((D20+D18)/D18,0)</f>
        <v/>
      </c>
      <c r="E21" s="116">
        <f>IFERROR((E20+E18)/E18,0)</f>
        <v/>
      </c>
      <c r="F21" s="116">
        <f>IFERROR((F20+F18)/F18,0)</f>
        <v/>
      </c>
      <c r="G21" s="116">
        <f>IFERROR((G20+G18)/G18,0)</f>
        <v/>
      </c>
    </row>
    <row r="22">
      <c r="A22" s="34" t="inlineStr">
        <is>
          <t>Cash payback (months after sale)</t>
        </is>
      </c>
      <c r="B22" s="65" t="inlineStr">
        <is>
          <t>months</t>
        </is>
      </c>
      <c r="C22" s="23">
        <f>IF(COUNTIF(Curves!$L$8:$L$68,"&lt;0")&gt;60,"Not paid back",COUNTIF(Curves!$L$8:$L$68,"&lt;0"))</f>
        <v/>
      </c>
      <c r="D22" s="23">
        <f>IF(COUNTIF(Curves!$Y$8:$Y$68,"&lt;0")&gt;60,"Not paid back",COUNTIF(Curves!$Y$8:$Y$68,"&lt;0"))</f>
        <v/>
      </c>
      <c r="E22" s="23">
        <f>IF(COUNTIF(Curves!$AL$8:$AL$68,"&lt;0")&gt;60,"Not paid back",COUNTIF(Curves!$AL$8:$AL$68,"&lt;0"))</f>
        <v/>
      </c>
      <c r="F22" s="23">
        <f>IF(COUNTIF(Curves!$AY$8:$AY$68,"&lt;0")&gt;60,"Not paid back",COUNTIF(Curves!$AY$8:$AY$68,"&lt;0"))</f>
        <v/>
      </c>
      <c r="G22" s="23">
        <f>IF(COUNTIF(Curves!$BL$8:$BL$68,"&lt;0")&gt;60,"Not paid back",COUNTIF(Curves!$BL$8:$BL$68,"&lt;0"))</f>
        <v/>
      </c>
    </row>
    <row r="23">
      <c r="A23" s="19" t="inlineStr">
        <is>
          <t>Unit IRR (annualised, unlevered)</t>
        </is>
      </c>
      <c r="B23" s="65" t="inlineStr">
        <is>
          <t>%</t>
        </is>
      </c>
      <c r="C23" s="83">
        <f>IF(OR(COUNTIF(Curves!$K$8:$K$68,"&gt;0")=0,COUNTIF(Curves!$K$8:$K$68,"&lt;0")=0),"n/a: no sign change",IFERROR((1+IRR(Curves!$K$8:$K$68,0.02))^12-1,IFERROR((1+IRR(Curves!$K$8:$K$68,-0.02))^12-1,IFERROR((1+IRR(Curves!$K$8:$K$68,0.1))^12-1,"n/a: no convergence"))))</f>
        <v/>
      </c>
      <c r="D23" s="83">
        <f>IF(OR(COUNTIF(Curves!$X$8:$X$68,"&gt;0")=0,COUNTIF(Curves!$X$8:$X$68,"&lt;0")=0),"n/a: no sign change",IFERROR((1+IRR(Curves!$X$8:$X$68,0.02))^12-1,IFERROR((1+IRR(Curves!$X$8:$X$68,-0.02))^12-1,IFERROR((1+IRR(Curves!$X$8:$X$68,0.1))^12-1,"n/a: no convergence"))))</f>
        <v/>
      </c>
      <c r="E23" s="83">
        <f>IF(OR(COUNTIF(Curves!$AK$8:$AK$68,"&gt;0")=0,COUNTIF(Curves!$AK$8:$AK$68,"&lt;0")=0),"n/a: no sign change",IFERROR((1+IRR(Curves!$AK$8:$AK$68,0.02))^12-1,IFERROR((1+IRR(Curves!$AK$8:$AK$68,-0.02))^12-1,IFERROR((1+IRR(Curves!$AK$8:$AK$68,0.1))^12-1,"n/a: no convergence"))))</f>
        <v/>
      </c>
      <c r="F23" s="83">
        <f>IF(OR(COUNTIF(Curves!$AX$8:$AX$68,"&gt;0")=0,COUNTIF(Curves!$AX$8:$AX$68,"&lt;0")=0),"n/a: no sign change",IFERROR((1+IRR(Curves!$AX$8:$AX$68,0.02))^12-1,IFERROR((1+IRR(Curves!$AX$8:$AX$68,-0.02))^12-1,IFERROR((1+IRR(Curves!$AX$8:$AX$68,0.1))^12-1,"n/a: no convergence"))))</f>
        <v/>
      </c>
      <c r="G23" s="83">
        <f>IF(OR(COUNTIF(Curves!$BK$8:$BK$68,"&gt;0")=0,COUNTIF(Curves!$BK$8:$BK$68,"&lt;0")=0),"n/a: no sign change",IFERROR((1+IRR(Curves!$BK$8:$BK$68,0.02))^12-1,IFERROR((1+IRR(Curves!$BK$8:$BK$68,-0.02))^12-1,IFERROR((1+IRR(Curves!$BK$8:$BK$68,0.1))^12-1,"n/a: no convergence"))))</f>
        <v/>
      </c>
    </row>
    <row r="24">
      <c r="A24" s="19" t="inlineStr">
        <is>
          <t>Unit NPV at the DCF discount rate</t>
        </is>
      </c>
      <c r="B24" s="65" t="inlineStr">
        <is>
          <t>LCY</t>
        </is>
      </c>
      <c r="C24" s="93">
        <f>NPV((1+Inputs!$C$79)^(1/12)-1,Curves!$K$8:$K$68)*(1+Inputs!$C$79)^(1/12)</f>
        <v/>
      </c>
      <c r="D24" s="93">
        <f>NPV((1+Inputs!$C$79)^(1/12)-1,Curves!$X$8:$X$68)*(1+Inputs!$C$79)^(1/12)</f>
        <v/>
      </c>
      <c r="E24" s="93">
        <f>NPV((1+Inputs!$C$79)^(1/12)-1,Curves!$AK$8:$AK$68)*(1+Inputs!$C$79)^(1/12)</f>
        <v/>
      </c>
      <c r="F24" s="93">
        <f>NPV((1+Inputs!$C$79)^(1/12)-1,Curves!$AX$8:$AX$68)*(1+Inputs!$C$79)^(1/12)</f>
        <v/>
      </c>
      <c r="G24" s="93">
        <f>NPV((1+Inputs!$C$79)^(1/12)-1,Curves!$BK$8:$BK$68)*(1+Inputs!$C$79)^(1/12)</f>
        <v/>
      </c>
    </row>
    <row r="25"/>
    <row r="26">
      <c r="A26" s="18" t="inlineStr">
        <is>
          <t>Servicing counts active months after the sale month. Payback counts months with negative cumulative cash flow (ages 0-60). Unit NPV discounts monthly at the DCF rate; age 0 undiscounted.</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20.xml><?xml version="1.0" encoding="utf-8"?>
<worksheet xmlns="http://schemas.openxmlformats.org/spreadsheetml/2006/main">
  <sheetPr>
    <tabColor rgb="0000B050"/>
    <outlinePr summaryBelow="1" summaryRight="1"/>
    <pageSetUpPr fitToPage="1"/>
  </sheetPr>
  <dimension ref="A1:I24"/>
  <sheetViews>
    <sheetView showGridLines="0" workbookViewId="0">
      <selection activeCell="A1" sqref="A1"/>
    </sheetView>
  </sheetViews>
  <sheetFormatPr baseColWidth="8" defaultRowHeight="15"/>
  <cols>
    <col width="4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7" t="inlineStr">
        <is>
          <t>Scenario &amp; sensitivity table (static, dated) and the live active case</t>
        </is>
      </c>
    </row>
    <row r="2">
      <c r="A2" s="18" t="inlineStr">
        <is>
          <t>Static rows: computed at DEFAULT inputs and recomputed inside this workbook for every case before release (date below). They do NOT update when inputs change; the LIVE row does.</t>
        </is>
      </c>
    </row>
    <row r="3"/>
    <row r="4"/>
    <row r="5" ht="32" customHeight="1">
      <c r="A5" s="40" t="inlineStr">
        <is>
          <t>Case</t>
        </is>
      </c>
      <c r="B5" s="40" t="inlineStr">
        <is>
          <t>Peak equity need (USD m)</t>
        </is>
      </c>
      <c r="C5" s="40" t="inlineStr">
        <is>
          <t>Year 5 revenue (USD m)</t>
        </is>
      </c>
      <c r="D5" s="40" t="inlineStr">
        <is>
          <t>Year 5 EBITDA margin</t>
        </is>
      </c>
      <c r="E5" s="40" t="inlineStr">
        <is>
          <t>Year 5 collection rate</t>
        </is>
      </c>
      <c r="F5" s="40" t="inlineStr">
        <is>
          <t>DCF EV (USD m)</t>
        </is>
      </c>
      <c r="G5" s="40" t="inlineStr">
        <is>
          <t>Investor IRR (USD)</t>
        </is>
      </c>
      <c r="H5" s="40" t="inlineStr">
        <is>
          <t>Investor MOIC</t>
        </is>
      </c>
      <c r="I5" s="40" t="inlineStr">
        <is>
          <t>Monthly covenant-breach months (excl. annual DSCR)</t>
        </is>
      </c>
    </row>
    <row r="6">
      <c r="A6" s="19" t="inlineStr">
        <is>
          <t>Base</t>
        </is>
      </c>
      <c r="B6" s="120" t="n">
        <v>10.00000000000001</v>
      </c>
      <c r="C6" s="120" t="n">
        <v>68.45433989094573</v>
      </c>
      <c r="D6" s="106" t="n">
        <v>0.2164325772311367</v>
      </c>
      <c r="E6" s="106" t="n">
        <v>0.7326369006328933</v>
      </c>
      <c r="F6" s="120" t="n">
        <v>15.64763484110675</v>
      </c>
      <c r="G6" s="106" t="n">
        <v>0.4637869744974965</v>
      </c>
      <c r="H6" s="115" t="n">
        <v>6.720311305215921</v>
      </c>
      <c r="I6" s="114" t="n">
        <v>0</v>
      </c>
    </row>
    <row r="7">
      <c r="A7" s="19" t="inlineStr">
        <is>
          <t>Downside</t>
        </is>
      </c>
      <c r="B7" s="120" t="n">
        <v>10.00000000000002</v>
      </c>
      <c r="C7" s="120" t="n">
        <v>52.67784653997816</v>
      </c>
      <c r="D7" s="106" t="n">
        <v>0.07286934296178846</v>
      </c>
      <c r="E7" s="106" t="n">
        <v>0.6706756296224096</v>
      </c>
      <c r="F7" s="120" t="n">
        <v>-9.028519388196313</v>
      </c>
      <c r="G7" s="106" t="n">
        <v>-0.2290502308821551</v>
      </c>
      <c r="H7" s="115" t="n">
        <v>0.2723519026276813</v>
      </c>
      <c r="I7" s="114" t="n">
        <v>44</v>
      </c>
    </row>
    <row r="8">
      <c r="A8" s="19" t="inlineStr">
        <is>
          <t>Severe</t>
        </is>
      </c>
      <c r="B8" s="120" t="n">
        <v>46.60293949451114</v>
      </c>
      <c r="C8" s="120" t="n">
        <v>33.64515478771439</v>
      </c>
      <c r="D8" s="106" t="n">
        <v>-0.1838036447234231</v>
      </c>
      <c r="E8" s="106" t="n">
        <v>0.5875345925029093</v>
      </c>
      <c r="F8" s="120" t="n">
        <v>-81.92205463919773</v>
      </c>
      <c r="G8" s="106" t="inlineStr">
        <is>
          <t>n/a</t>
        </is>
      </c>
      <c r="H8" s="115" t="n">
        <v>0</v>
      </c>
      <c r="I8" s="114" t="n">
        <v>48</v>
      </c>
    </row>
    <row r="9">
      <c r="A9" s="34" t="inlineStr">
        <is>
          <t>Base: default hazard x1.5</t>
        </is>
      </c>
      <c r="B9" s="121" t="n">
        <v>10.00000000000001</v>
      </c>
      <c r="C9" s="121" t="n">
        <v>68.45433989094573</v>
      </c>
      <c r="D9" s="122" t="n">
        <v>0.1568414668615241</v>
      </c>
      <c r="E9" s="122" t="n">
        <v>0.6612611237255343</v>
      </c>
      <c r="F9" s="121" t="n">
        <v>12.49667195918243</v>
      </c>
      <c r="G9" s="122" t="n">
        <v>0.3612809809288788</v>
      </c>
      <c r="H9" s="123" t="n">
        <v>4.674540040830746</v>
      </c>
      <c r="I9" s="124" t="n">
        <v>40</v>
      </c>
    </row>
    <row r="10">
      <c r="A10" s="34" t="inlineStr">
        <is>
          <t>Base: collection rate x0.95</t>
        </is>
      </c>
      <c r="B10" s="121" t="n">
        <v>10.00000000000001</v>
      </c>
      <c r="C10" s="121" t="n">
        <v>68.45433989094573</v>
      </c>
      <c r="D10" s="122" t="n">
        <v>0.182945469086821</v>
      </c>
      <c r="E10" s="122" t="n">
        <v>0.6960050556012488</v>
      </c>
      <c r="F10" s="121" t="n">
        <v>10.88948046115274</v>
      </c>
      <c r="G10" s="122" t="n">
        <v>0.4018354574992815</v>
      </c>
      <c r="H10" s="123" t="n">
        <v>5.413588031654012</v>
      </c>
      <c r="I10" s="124" t="n">
        <v>27</v>
      </c>
    </row>
    <row r="11">
      <c r="A11" s="34" t="inlineStr">
        <is>
          <t>Base: sales volume -20%</t>
        </is>
      </c>
      <c r="B11" s="121" t="n">
        <v>10.00000000000001</v>
      </c>
      <c r="C11" s="121" t="n">
        <v>54.7634719127566</v>
      </c>
      <c r="D11" s="122" t="n">
        <v>0.2036833523012526</v>
      </c>
      <c r="E11" s="122" t="n">
        <v>0.7326369006328936</v>
      </c>
      <c r="F11" s="121" t="n">
        <v>9.358939031300832</v>
      </c>
      <c r="G11" s="122" t="n">
        <v>0.3775146929989732</v>
      </c>
      <c r="H11" s="123" t="n">
        <v>4.959994550565484</v>
      </c>
      <c r="I11" s="124" t="n">
        <v>0</v>
      </c>
    </row>
    <row r="12">
      <c r="A12" s="34" t="inlineStr">
        <is>
          <t>Base: hardware cost +15%</t>
        </is>
      </c>
      <c r="B12" s="121" t="n">
        <v>10.00000000000002</v>
      </c>
      <c r="C12" s="121" t="n">
        <v>68.45433989094573</v>
      </c>
      <c r="D12" s="122" t="n">
        <v>0.1539361744199271</v>
      </c>
      <c r="E12" s="122" t="n">
        <v>0.7326369006328933</v>
      </c>
      <c r="F12" s="121" t="n">
        <v>7.822789412522847</v>
      </c>
      <c r="G12" s="122" t="n">
        <v>0.2952804508658018</v>
      </c>
      <c r="H12" s="123" t="n">
        <v>3.646020068161786</v>
      </c>
      <c r="I12" s="124" t="n">
        <v>38</v>
      </c>
    </row>
    <row r="13">
      <c r="A13" s="34" t="inlineStr">
        <is>
          <t>Base: LCY depreciation 20% p.a.</t>
        </is>
      </c>
      <c r="B13" s="121" t="n">
        <v>10.00000000000002</v>
      </c>
      <c r="C13" s="121" t="n">
        <v>49.5196675977165</v>
      </c>
      <c r="D13" s="122" t="n">
        <v>0.08234328908192966</v>
      </c>
      <c r="E13" s="122" t="n">
        <v>0.7374102474349031</v>
      </c>
      <c r="F13" s="121" t="n">
        <v>-7.817196520423285</v>
      </c>
      <c r="G13" s="122" t="n">
        <v>-0.1596203678697965</v>
      </c>
      <c r="H13" s="123" t="n">
        <v>0.4191578368192529</v>
      </c>
      <c r="I13" s="124" t="n">
        <v>41</v>
      </c>
    </row>
    <row r="14">
      <c r="A14" s="34" t="inlineStr">
        <is>
          <t>Base: no price increase on new contracts</t>
        </is>
      </c>
      <c r="B14" s="121" t="n">
        <v>10.00000000000001</v>
      </c>
      <c r="C14" s="121" t="n">
        <v>55.94171780870421</v>
      </c>
      <c r="D14" s="122" t="n">
        <v>0.1041426277805609</v>
      </c>
      <c r="E14" s="122" t="n">
        <v>0.7291054276036071</v>
      </c>
      <c r="F14" s="121" t="n">
        <v>-3.322123032354114</v>
      </c>
      <c r="G14" s="122" t="n">
        <v>0.07918062709728124</v>
      </c>
      <c r="H14" s="123" t="n">
        <v>1.463762788797732</v>
      </c>
      <c r="I14" s="124" t="n">
        <v>35</v>
      </c>
    </row>
    <row r="15">
      <c r="A15" s="34" t="inlineStr">
        <is>
          <t>Base: RBF programme off</t>
        </is>
      </c>
      <c r="B15" s="121" t="n">
        <v>10.00000000000001</v>
      </c>
      <c r="C15" s="121" t="n">
        <v>68.45433989094573</v>
      </c>
      <c r="D15" s="122" t="n">
        <v>0.2082740983693222</v>
      </c>
      <c r="E15" s="122" t="n">
        <v>0.7326369006328933</v>
      </c>
      <c r="F15" s="121" t="n">
        <v>13.96904175115793</v>
      </c>
      <c r="G15" s="122" t="n">
        <v>0.4466796529446833</v>
      </c>
      <c r="H15" s="123" t="n">
        <v>6.336681321091538</v>
      </c>
      <c r="I15" s="124" t="n">
        <v>0</v>
      </c>
    </row>
    <row r="16">
      <c r="A16" s="34" t="inlineStr">
        <is>
          <t>Base: mix T1 20%, T2 30%, T3 20%, T4 20%, T5 10%</t>
        </is>
      </c>
      <c r="B16" s="121" t="n">
        <v>10.00000000000002</v>
      </c>
      <c r="C16" s="121" t="n">
        <v>111.7709344292401</v>
      </c>
      <c r="D16" s="122" t="n">
        <v>0.2488730736006938</v>
      </c>
      <c r="E16" s="122" t="n">
        <v>0.7458667542106991</v>
      </c>
      <c r="F16" s="121" t="n">
        <v>37.40227510724844</v>
      </c>
      <c r="G16" s="122" t="n">
        <v>0.666118893548161</v>
      </c>
      <c r="H16" s="123" t="n">
        <v>12.83896296925061</v>
      </c>
      <c r="I16" s="124" t="n">
        <v>0</v>
      </c>
    </row>
    <row r="17">
      <c r="A17" s="34" t="inlineStr">
        <is>
          <t>Base: exit at 4.0x EBITDA</t>
        </is>
      </c>
      <c r="B17" s="121" t="n">
        <v>10.00000000000001</v>
      </c>
      <c r="C17" s="121" t="n">
        <v>68.45433989094573</v>
      </c>
      <c r="D17" s="122" t="n">
        <v>0.2164325772311367</v>
      </c>
      <c r="E17" s="122" t="n">
        <v>0.7326369006328933</v>
      </c>
      <c r="F17" s="121" t="n">
        <v>15.64763484110675</v>
      </c>
      <c r="G17" s="122" t="n">
        <v>0.3390674545601069</v>
      </c>
      <c r="H17" s="123" t="n">
        <v>4.305387783512129</v>
      </c>
      <c r="I17" s="124" t="n">
        <v>0</v>
      </c>
    </row>
    <row r="18">
      <c r="A18" s="34" t="inlineStr">
        <is>
          <t>Base: repayment-linked RBF (mode 2)</t>
        </is>
      </c>
      <c r="B18" s="121" t="n">
        <v>10.00000000000001</v>
      </c>
      <c r="C18" s="121" t="n">
        <v>68.45433989094573</v>
      </c>
      <c r="D18" s="122" t="n">
        <v>0.2164042909299387</v>
      </c>
      <c r="E18" s="122" t="n">
        <v>0.7326369006328933</v>
      </c>
      <c r="F18" s="121" t="n">
        <v>15.64181256518346</v>
      </c>
      <c r="G18" s="122" t="n">
        <v>0.4637290492872392</v>
      </c>
      <c r="H18" s="123" t="n">
        <v>6.718981724326048</v>
      </c>
      <c r="I18" s="124" t="n">
        <v>0</v>
      </c>
    </row>
    <row r="19">
      <c r="A19" s="34" t="inlineStr">
        <is>
          <t>Base: securitisation structure</t>
        </is>
      </c>
      <c r="B19" s="121" t="n">
        <v>10.00000000000001</v>
      </c>
      <c r="C19" s="121" t="n">
        <v>68.45433989094573</v>
      </c>
      <c r="D19" s="122" t="n">
        <v>0.2164325772311367</v>
      </c>
      <c r="E19" s="122" t="n">
        <v>0.7326369006328933</v>
      </c>
      <c r="F19" s="121" t="n">
        <v>15.32278867150357</v>
      </c>
      <c r="G19" s="122" t="n">
        <v>0.4649406130691316</v>
      </c>
      <c r="H19" s="123" t="n">
        <v>6.746835110872277</v>
      </c>
      <c r="I19" s="124" t="n">
        <v>0</v>
      </c>
    </row>
    <row r="20">
      <c r="A20" s="34" t="inlineStr">
        <is>
          <t>Base: borrowing base up to 90 DPD (base does not bind at default)</t>
        </is>
      </c>
      <c r="B20" s="121" t="n">
        <v>10.00000000000001</v>
      </c>
      <c r="C20" s="121" t="n">
        <v>68.45433989094573</v>
      </c>
      <c r="D20" s="122" t="n">
        <v>0.2164325772311367</v>
      </c>
      <c r="E20" s="122" t="n">
        <v>0.7326369006328933</v>
      </c>
      <c r="F20" s="121" t="n">
        <v>15.64763484110675</v>
      </c>
      <c r="G20" s="122" t="n">
        <v>0.4637869744974965</v>
      </c>
      <c r="H20" s="123" t="n">
        <v>6.720311305215921</v>
      </c>
      <c r="I20" s="124" t="n">
        <v>0</v>
      </c>
    </row>
    <row r="21"/>
    <row r="22">
      <c r="A22" s="18" t="inlineStr">
        <is>
          <t>Static table computed on 03 October 2026 at default inputs and recomputed inside this workbook for every case (largest relative difference below one in a billion). To test your own assumptions, read the LIVE row.</t>
        </is>
      </c>
    </row>
    <row r="23">
      <c r="A23" s="109" t="inlineStr">
        <is>
          <t>LIVE: active case with the current inputs (updates with every change)</t>
        </is>
      </c>
    </row>
    <row r="24">
      <c r="A24" s="20">
        <f>Scenarios!$G$13</f>
        <v/>
      </c>
      <c r="B24" s="125">
        <f>IF(ISNUMBER(KPIs!$C$57),KPIs!$C$57*1e-06,KPIs!$C$57)</f>
        <v/>
      </c>
      <c r="C24" s="125">
        <f>IF(ISNUMBER(KPIs!$I$35),KPIs!$I$35*1e-06,KPIs!$I$35)</f>
        <v/>
      </c>
      <c r="D24" s="46">
        <f>KPIs!$I$38</f>
        <v/>
      </c>
      <c r="E24" s="46">
        <f>KPIs!$I$19</f>
        <v/>
      </c>
      <c r="F24" s="125">
        <f>IF(ISNUMBER(Valuation!$C$28),Valuation!$C$28*1e-06,Valuation!$C$28)</f>
        <v/>
      </c>
      <c r="G24" s="46">
        <f>Valuation!$C$39</f>
        <v/>
      </c>
      <c r="H24" s="47">
        <f>Valuation!$C$40</f>
        <v/>
      </c>
      <c r="I24" s="45">
        <f>KPIs!$C$64</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drawing xmlns:r="http://schemas.openxmlformats.org/officeDocument/2006/relationships" r:id="rId1"/>
</worksheet>
</file>

<file path=xl/worksheets/sheet21.xml><?xml version="1.0" encoding="utf-8"?>
<worksheet xmlns="http://schemas.openxmlformats.org/spreadsheetml/2006/main">
  <sheetPr>
    <tabColor rgb="007030A0"/>
    <outlinePr summaryBelow="1" summaryRight="1"/>
    <pageSetUpPr fitToPage="1"/>
  </sheetPr>
  <dimension ref="A1:L31"/>
  <sheetViews>
    <sheetView showGridLines="0"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34" customWidth="1" min="11" max="11"/>
    <col width="70" customWidth="1" min="12" max="12"/>
  </cols>
  <sheetData>
    <row r="1">
      <c r="A1" s="17" t="inlineStr">
        <is>
          <t>How does this PAYGo company compare with real companies at scale?</t>
        </is>
      </c>
    </row>
    <row r="2">
      <c r="A2" s="18" t="inlineStr">
        <is>
          <t>Model (active scenario) vs graded peer records. Peer ranges use grade A-C usable records only; n shows how thin the evidence is.</t>
        </is>
      </c>
    </row>
    <row r="3"/>
    <row r="4"/>
    <row r="5">
      <c r="A5" s="40" t="inlineStr">
        <is>
          <t>KPI</t>
        </is>
      </c>
      <c r="B5" s="40" t="inlineStr">
        <is>
          <t>Model Y1</t>
        </is>
      </c>
      <c r="C5" s="40" t="inlineStr">
        <is>
          <t>Model Y2</t>
        </is>
      </c>
      <c r="D5" s="40" t="inlineStr">
        <is>
          <t>Model Y3</t>
        </is>
      </c>
      <c r="E5" s="40" t="inlineStr">
        <is>
          <t>Model Y4</t>
        </is>
      </c>
      <c r="F5" s="40" t="inlineStr">
        <is>
          <t>Model Y5</t>
        </is>
      </c>
      <c r="G5" s="40" t="inlineStr">
        <is>
          <t>Peer n</t>
        </is>
      </c>
      <c r="H5" s="40" t="inlineStr">
        <is>
          <t>Peer min</t>
        </is>
      </c>
      <c r="I5" s="40" t="inlineStr">
        <is>
          <t>Peer median</t>
        </is>
      </c>
      <c r="J5" s="40" t="inlineStr">
        <is>
          <t>Peer max</t>
        </is>
      </c>
      <c r="K5" s="40" t="inlineStr">
        <is>
          <t>Model Y5 vs peers</t>
        </is>
      </c>
      <c r="L5" s="94" t="inlineStr">
        <is>
          <t>Comparability warning</t>
        </is>
      </c>
    </row>
    <row r="6">
      <c r="A6" s="34" t="inlineStr">
        <is>
          <t>Gross margin</t>
        </is>
      </c>
      <c r="B6" s="42">
        <f>Benchmark_KPIs!D14</f>
        <v/>
      </c>
      <c r="C6" s="42">
        <f>Benchmark_KPIs!D15</f>
        <v/>
      </c>
      <c r="D6" s="42">
        <f>Benchmark_KPIs!D16</f>
        <v/>
      </c>
      <c r="E6" s="42">
        <f>Benchmark_KPIs!D17</f>
        <v/>
      </c>
      <c r="F6" s="42">
        <f>Benchmark_KPIs!D18</f>
        <v/>
      </c>
      <c r="G6" s="23">
        <f>COUNT(Benchmark_KPIs!$D$21:$D$28)</f>
        <v/>
      </c>
      <c r="H6" s="81">
        <f>IF(G6=0,"",MIN(Benchmark_KPIs!$D$21:$D$28))</f>
        <v/>
      </c>
      <c r="I6" s="81">
        <f>IF(G6=0,"",MEDIAN(Benchmark_KPIs!$D$21:$D$28))</f>
        <v/>
      </c>
      <c r="J6" s="81">
        <f>IF(G6=0,"",MAX(Benchmark_KPIs!$D$21:$D$28))</f>
        <v/>
      </c>
      <c r="K6" s="50">
        <f>IF(G6=0,"No graded peer data yet",IF(NOT(ISNUMBER(F6)),"Model value n/a",IF(F6&gt;J6,"Above peer range",IF(F6&lt;H6,"Below peer range","Within peer range")))&amp;IF(G6&lt;3," (n&lt;3: anecdotal)",""))</f>
        <v/>
      </c>
      <c r="L6" s="126" t="inlineStr">
        <is>
          <t>Cost of sales lines differ (installation, warranty, financing costs).</t>
        </is>
      </c>
    </row>
    <row r="7">
      <c r="A7" s="34" t="inlineStr">
        <is>
          <t>EBITDA margin</t>
        </is>
      </c>
      <c r="B7" s="42">
        <f>Benchmark_KPIs!E14</f>
        <v/>
      </c>
      <c r="C7" s="42">
        <f>Benchmark_KPIs!E15</f>
        <v/>
      </c>
      <c r="D7" s="42">
        <f>Benchmark_KPIs!E16</f>
        <v/>
      </c>
      <c r="E7" s="42">
        <f>Benchmark_KPIs!E17</f>
        <v/>
      </c>
      <c r="F7" s="42">
        <f>Benchmark_KPIs!E18</f>
        <v/>
      </c>
      <c r="G7" s="23">
        <f>COUNT(Benchmark_KPIs!$E$21:$E$28)</f>
        <v/>
      </c>
      <c r="H7" s="81">
        <f>IF(G7=0,"",MIN(Benchmark_KPIs!$E$21:$E$28))</f>
        <v/>
      </c>
      <c r="I7" s="81">
        <f>IF(G7=0,"",MEDIAN(Benchmark_KPIs!$E$21:$E$28))</f>
        <v/>
      </c>
      <c r="J7" s="81">
        <f>IF(G7=0,"",MAX(Benchmark_KPIs!$E$21:$E$28))</f>
        <v/>
      </c>
      <c r="K7" s="50">
        <f>IF(G7=0,"No graded peer data yet",IF(NOT(ISNUMBER(F7)),"Model value n/a",IF(F7&gt;J7,"Above peer range",IF(F7&lt;H7,"Below peer range","Within peer range")))&amp;IF(G7&lt;3," (n&lt;3: anecdotal)",""))</f>
        <v/>
      </c>
      <c r="L7" s="126" t="inlineStr">
        <is>
          <t>Companies define EBITDA differently; RBF and credit losses may sit above or below it.</t>
        </is>
      </c>
    </row>
    <row r="8">
      <c r="A8" s="34" t="inlineStr">
        <is>
          <t>Operating (EBIT) margin</t>
        </is>
      </c>
      <c r="B8" s="42">
        <f>Benchmark_KPIs!F14</f>
        <v/>
      </c>
      <c r="C8" s="42">
        <f>Benchmark_KPIs!F15</f>
        <v/>
      </c>
      <c r="D8" s="42">
        <f>Benchmark_KPIs!F16</f>
        <v/>
      </c>
      <c r="E8" s="42">
        <f>Benchmark_KPIs!F17</f>
        <v/>
      </c>
      <c r="F8" s="42">
        <f>Benchmark_KPIs!F18</f>
        <v/>
      </c>
      <c r="G8" s="23">
        <f>COUNT(Benchmark_KPIs!$F$21:$F$28)</f>
        <v/>
      </c>
      <c r="H8" s="81">
        <f>IF(G8=0,"",MIN(Benchmark_KPIs!$F$21:$F$28))</f>
        <v/>
      </c>
      <c r="I8" s="81">
        <f>IF(G8=0,"",MEDIAN(Benchmark_KPIs!$F$21:$F$28))</f>
        <v/>
      </c>
      <c r="J8" s="81">
        <f>IF(G8=0,"",MAX(Benchmark_KPIs!$F$21:$F$28))</f>
        <v/>
      </c>
      <c r="K8" s="50">
        <f>IF(G8=0,"No graded peer data yet",IF(NOT(ISNUMBER(F8)),"Model value n/a",IF(F8&gt;J8,"Above peer range",IF(F8&lt;H8,"Below peer range","Within peer range")))&amp;IF(G8&lt;3," (n&lt;3: anecdotal)",""))</f>
        <v/>
      </c>
      <c r="L8" s="126" t="inlineStr">
        <is>
          <t>Check definitions, periods and currency before comparing.</t>
        </is>
      </c>
    </row>
    <row r="9">
      <c r="A9" s="34" t="inlineStr">
        <is>
          <t>Net margin</t>
        </is>
      </c>
      <c r="B9" s="42">
        <f>Benchmark_KPIs!G14</f>
        <v/>
      </c>
      <c r="C9" s="42">
        <f>Benchmark_KPIs!G15</f>
        <v/>
      </c>
      <c r="D9" s="42">
        <f>Benchmark_KPIs!G16</f>
        <v/>
      </c>
      <c r="E9" s="42">
        <f>Benchmark_KPIs!G17</f>
        <v/>
      </c>
      <c r="F9" s="42">
        <f>Benchmark_KPIs!G18</f>
        <v/>
      </c>
      <c r="G9" s="23">
        <f>COUNT(Benchmark_KPIs!$G$21:$G$28)</f>
        <v/>
      </c>
      <c r="H9" s="81">
        <f>IF(G9=0,"",MIN(Benchmark_KPIs!$G$21:$G$28))</f>
        <v/>
      </c>
      <c r="I9" s="81">
        <f>IF(G9=0,"",MEDIAN(Benchmark_KPIs!$G$21:$G$28))</f>
        <v/>
      </c>
      <c r="J9" s="81">
        <f>IF(G9=0,"",MAX(Benchmark_KPIs!$G$21:$G$28))</f>
        <v/>
      </c>
      <c r="K9" s="50">
        <f>IF(G9=0,"No graded peer data yet",IF(NOT(ISNUMBER(F9)),"Model value n/a",IF(F9&gt;J9,"Above peer range",IF(F9&lt;H9,"Below peer range","Within peer range")))&amp;IF(G9&lt;3," (n&lt;3: anecdotal)",""))</f>
        <v/>
      </c>
      <c r="L9" s="126" t="inlineStr">
        <is>
          <t>Group accounts include non-PAYGo activities and other currencies.</t>
        </is>
      </c>
    </row>
    <row r="10">
      <c r="A10" s="34" t="inlineStr">
        <is>
          <t>Revenue growth</t>
        </is>
      </c>
      <c r="B10" s="42">
        <f>Benchmark_KPIs!H14</f>
        <v/>
      </c>
      <c r="C10" s="42">
        <f>Benchmark_KPIs!H15</f>
        <v/>
      </c>
      <c r="D10" s="42">
        <f>Benchmark_KPIs!H16</f>
        <v/>
      </c>
      <c r="E10" s="42">
        <f>Benchmark_KPIs!H17</f>
        <v/>
      </c>
      <c r="F10" s="42">
        <f>Benchmark_KPIs!H18</f>
        <v/>
      </c>
      <c r="G10" s="23">
        <f>COUNT(Benchmark_KPIs!$H$21:$H$28)</f>
        <v/>
      </c>
      <c r="H10" s="81">
        <f>IF(G10=0,"",MIN(Benchmark_KPIs!$H$21:$H$28))</f>
        <v/>
      </c>
      <c r="I10" s="81">
        <f>IF(G10=0,"",MEDIAN(Benchmark_KPIs!$H$21:$H$28))</f>
        <v/>
      </c>
      <c r="J10" s="81">
        <f>IF(G10=0,"",MAX(Benchmark_KPIs!$H$21:$H$28))</f>
        <v/>
      </c>
      <c r="K10" s="50">
        <f>IF(G10=0,"No graded peer data yet",IF(NOT(ISNUMBER(F10)),"Model value n/a",IF(F10&gt;J10,"Above peer range",IF(F10&lt;H10,"Below peer range","Within peer range")))&amp;IF(G10&lt;3," (n&lt;3: anecdotal)",""))</f>
        <v/>
      </c>
      <c r="L10" s="126" t="inlineStr">
        <is>
          <t>Fiscal years differ from model years; currency of growth matters.</t>
        </is>
      </c>
    </row>
    <row r="11">
      <c r="A11" s="34" t="inlineStr">
        <is>
          <t>Financing revenue / revenue</t>
        </is>
      </c>
      <c r="B11" s="42">
        <f>Benchmark_KPIs!I14</f>
        <v/>
      </c>
      <c r="C11" s="42">
        <f>Benchmark_KPIs!I15</f>
        <v/>
      </c>
      <c r="D11" s="42">
        <f>Benchmark_KPIs!I16</f>
        <v/>
      </c>
      <c r="E11" s="42">
        <f>Benchmark_KPIs!I17</f>
        <v/>
      </c>
      <c r="F11" s="42">
        <f>Benchmark_KPIs!I18</f>
        <v/>
      </c>
      <c r="G11" s="23">
        <f>COUNT(Benchmark_KPIs!$I$21:$I$28)</f>
        <v/>
      </c>
      <c r="H11" s="81">
        <f>IF(G11=0,"",MIN(Benchmark_KPIs!$I$21:$I$28))</f>
        <v/>
      </c>
      <c r="I11" s="81">
        <f>IF(G11=0,"",MEDIAN(Benchmark_KPIs!$I$21:$I$28))</f>
        <v/>
      </c>
      <c r="J11" s="81">
        <f>IF(G11=0,"",MAX(Benchmark_KPIs!$I$21:$I$28))</f>
        <v/>
      </c>
      <c r="K11" s="50">
        <f>IF(G11=0,"No graded peer data yet",IF(NOT(ISNUMBER(F11)),"Model value n/a",IF(F11&gt;J11,"Above peer range",IF(F11&lt;H11,"Below peer range","Within peer range")))&amp;IF(G11&lt;3," (n&lt;3: anecdotal)",""))</f>
        <v/>
      </c>
      <c r="L11" s="126" t="inlineStr">
        <is>
          <t>Revenue recognition policies split hardware and financing income differently.</t>
        </is>
      </c>
    </row>
    <row r="12">
      <c r="A12" s="34" t="inlineStr">
        <is>
          <t>Receivables days</t>
        </is>
      </c>
      <c r="B12" s="48">
        <f>Benchmark_KPIs!J14</f>
        <v/>
      </c>
      <c r="C12" s="48">
        <f>Benchmark_KPIs!J15</f>
        <v/>
      </c>
      <c r="D12" s="48">
        <f>Benchmark_KPIs!J16</f>
        <v/>
      </c>
      <c r="E12" s="48">
        <f>Benchmark_KPIs!J17</f>
        <v/>
      </c>
      <c r="F12" s="48">
        <f>Benchmark_KPIs!J18</f>
        <v/>
      </c>
      <c r="G12" s="23">
        <f>COUNT(Benchmark_KPIs!$J$21:$J$28)</f>
        <v/>
      </c>
      <c r="H12" s="23">
        <f>IF(G12=0,"",MIN(Benchmark_KPIs!$J$21:$J$28))</f>
        <v/>
      </c>
      <c r="I12" s="23">
        <f>IF(G12=0,"",MEDIAN(Benchmark_KPIs!$J$21:$J$28))</f>
        <v/>
      </c>
      <c r="J12" s="23">
        <f>IF(G12=0,"",MAX(Benchmark_KPIs!$J$21:$J$28))</f>
        <v/>
      </c>
      <c r="K12" s="50">
        <f>IF(G12=0,"No graded peer data yet",IF(NOT(ISNUMBER(F12)),"Model value n/a",IF(F12&gt;J12,"Above peer range",IF(F12&lt;H12,"Below peer range","Within peer range")))&amp;IF(G12&lt;3," (n&lt;3: anecdotal)",""))</f>
        <v/>
      </c>
      <c r="L12" s="126" t="inlineStr">
        <is>
          <t>Gross or net receivables; securitised books may be off balance sheet.</t>
        </is>
      </c>
    </row>
    <row r="13">
      <c r="A13" s="34" t="inlineStr">
        <is>
          <t>Inventory days</t>
        </is>
      </c>
      <c r="B13" s="48">
        <f>Benchmark_KPIs!K14</f>
        <v/>
      </c>
      <c r="C13" s="48">
        <f>Benchmark_KPIs!K15</f>
        <v/>
      </c>
      <c r="D13" s="48">
        <f>Benchmark_KPIs!K16</f>
        <v/>
      </c>
      <c r="E13" s="48">
        <f>Benchmark_KPIs!K17</f>
        <v/>
      </c>
      <c r="F13" s="48">
        <f>Benchmark_KPIs!K18</f>
        <v/>
      </c>
      <c r="G13" s="23">
        <f>COUNT(Benchmark_KPIs!$K$21:$K$28)</f>
        <v/>
      </c>
      <c r="H13" s="23">
        <f>IF(G13=0,"",MIN(Benchmark_KPIs!$K$21:$K$28))</f>
        <v/>
      </c>
      <c r="I13" s="23">
        <f>IF(G13=0,"",MEDIAN(Benchmark_KPIs!$K$21:$K$28))</f>
        <v/>
      </c>
      <c r="J13" s="23">
        <f>IF(G13=0,"",MAX(Benchmark_KPIs!$K$21:$K$28))</f>
        <v/>
      </c>
      <c r="K13" s="50">
        <f>IF(G13=0,"No graded peer data yet",IF(NOT(ISNUMBER(F13)),"Model value n/a",IF(F13&gt;J13,"Above peer range",IF(F13&lt;H13,"Below peer range","Within peer range")))&amp;IF(G13&lt;3," (n&lt;3: anecdotal)",""))</f>
        <v/>
      </c>
      <c r="L13" s="126" t="inlineStr">
        <is>
          <t>Check definitions, periods and currency before comparing.</t>
        </is>
      </c>
    </row>
    <row r="14">
      <c r="A14" s="34" t="inlineStr">
        <is>
          <t>Payables days</t>
        </is>
      </c>
      <c r="B14" s="48">
        <f>Benchmark_KPIs!L14</f>
        <v/>
      </c>
      <c r="C14" s="48">
        <f>Benchmark_KPIs!L15</f>
        <v/>
      </c>
      <c r="D14" s="48">
        <f>Benchmark_KPIs!L16</f>
        <v/>
      </c>
      <c r="E14" s="48">
        <f>Benchmark_KPIs!L17</f>
        <v/>
      </c>
      <c r="F14" s="48">
        <f>Benchmark_KPIs!L18</f>
        <v/>
      </c>
      <c r="G14" s="23">
        <f>COUNT(Benchmark_KPIs!$L$21:$L$28)</f>
        <v/>
      </c>
      <c r="H14" s="23">
        <f>IF(G14=0,"",MIN(Benchmark_KPIs!$L$21:$L$28))</f>
        <v/>
      </c>
      <c r="I14" s="23">
        <f>IF(G14=0,"",MEDIAN(Benchmark_KPIs!$L$21:$L$28))</f>
        <v/>
      </c>
      <c r="J14" s="23">
        <f>IF(G14=0,"",MAX(Benchmark_KPIs!$L$21:$L$28))</f>
        <v/>
      </c>
      <c r="K14" s="50">
        <f>IF(G14=0,"No graded peer data yet",IF(NOT(ISNUMBER(F14)),"Model value n/a",IF(F14&gt;J14,"Above peer range",IF(F14&lt;H14,"Below peer range","Within peer range")))&amp;IF(G14&lt;3," (n&lt;3: anecdotal)",""))</f>
        <v/>
      </c>
      <c r="L14" s="126" t="inlineStr">
        <is>
          <t>Check definitions, periods and currency before comparing.</t>
        </is>
      </c>
    </row>
    <row r="15">
      <c r="A15" s="34" t="inlineStr">
        <is>
          <t>Cash conversion cycle (days)</t>
        </is>
      </c>
      <c r="B15" s="48">
        <f>Benchmark_KPIs!M14</f>
        <v/>
      </c>
      <c r="C15" s="48">
        <f>Benchmark_KPIs!M15</f>
        <v/>
      </c>
      <c r="D15" s="48">
        <f>Benchmark_KPIs!M16</f>
        <v/>
      </c>
      <c r="E15" s="48">
        <f>Benchmark_KPIs!M17</f>
        <v/>
      </c>
      <c r="F15" s="48">
        <f>Benchmark_KPIs!M18</f>
        <v/>
      </c>
      <c r="G15" s="23">
        <f>COUNT(Benchmark_KPIs!$M$21:$M$28)</f>
        <v/>
      </c>
      <c r="H15" s="23">
        <f>IF(G15=0,"",MIN(Benchmark_KPIs!$M$21:$M$28))</f>
        <v/>
      </c>
      <c r="I15" s="23">
        <f>IF(G15=0,"",MEDIAN(Benchmark_KPIs!$M$21:$M$28))</f>
        <v/>
      </c>
      <c r="J15" s="23">
        <f>IF(G15=0,"",MAX(Benchmark_KPIs!$M$21:$M$28))</f>
        <v/>
      </c>
      <c r="K15" s="50">
        <f>IF(G15=0,"No graded peer data yet",IF(NOT(ISNUMBER(F15)),"Model value n/a",IF(F15&gt;J15,"Above peer range",IF(F15&lt;H15,"Below peer range","Within peer range")))&amp;IF(G15&lt;3," (n&lt;3: anecdotal)",""))</f>
        <v/>
      </c>
      <c r="L15" s="126" t="inlineStr">
        <is>
          <t>Check definitions, periods and currency before comparing.</t>
        </is>
      </c>
    </row>
    <row r="16">
      <c r="A16" s="34" t="inlineStr">
        <is>
          <t>Debt / net receivables</t>
        </is>
      </c>
      <c r="B16" s="43">
        <f>Benchmark_KPIs!N14</f>
        <v/>
      </c>
      <c r="C16" s="43">
        <f>Benchmark_KPIs!N15</f>
        <v/>
      </c>
      <c r="D16" s="43">
        <f>Benchmark_KPIs!N16</f>
        <v/>
      </c>
      <c r="E16" s="43">
        <f>Benchmark_KPIs!N17</f>
        <v/>
      </c>
      <c r="F16" s="43">
        <f>Benchmark_KPIs!N18</f>
        <v/>
      </c>
      <c r="G16" s="23">
        <f>COUNT(Benchmark_KPIs!$N$21:$N$28)</f>
        <v/>
      </c>
      <c r="H16" s="86">
        <f>IF(G16=0,"",MIN(Benchmark_KPIs!$N$21:$N$28))</f>
        <v/>
      </c>
      <c r="I16" s="86">
        <f>IF(G16=0,"",MEDIAN(Benchmark_KPIs!$N$21:$N$28))</f>
        <v/>
      </c>
      <c r="J16" s="86">
        <f>IF(G16=0,"",MAX(Benchmark_KPIs!$N$21:$N$28))</f>
        <v/>
      </c>
      <c r="K16" s="50">
        <f>IF(G16=0,"No graded peer data yet",IF(NOT(ISNUMBER(F16)),"Model value n/a",IF(F16&gt;J16,"Above peer range",IF(F16&lt;H16,"Below peer range","Within peer range")))&amp;IF(G16&lt;3," (n&lt;3: anecdotal)",""))</f>
        <v/>
      </c>
      <c r="L16" s="126" t="inlineStr">
        <is>
          <t>Check definitions, periods and currency before comparing.</t>
        </is>
      </c>
    </row>
    <row r="17">
      <c r="A17" s="34" t="inlineStr">
        <is>
          <t>Debt / EBITDA</t>
        </is>
      </c>
      <c r="B17" s="43">
        <f>Benchmark_KPIs!O14</f>
        <v/>
      </c>
      <c r="C17" s="43">
        <f>Benchmark_KPIs!O15</f>
        <v/>
      </c>
      <c r="D17" s="43">
        <f>Benchmark_KPIs!O16</f>
        <v/>
      </c>
      <c r="E17" s="43">
        <f>Benchmark_KPIs!O17</f>
        <v/>
      </c>
      <c r="F17" s="43">
        <f>Benchmark_KPIs!O18</f>
        <v/>
      </c>
      <c r="G17" s="23">
        <f>COUNT(Benchmark_KPIs!$O$21:$O$28)</f>
        <v/>
      </c>
      <c r="H17" s="86">
        <f>IF(G17=0,"",MIN(Benchmark_KPIs!$O$21:$O$28))</f>
        <v/>
      </c>
      <c r="I17" s="86">
        <f>IF(G17=0,"",MEDIAN(Benchmark_KPIs!$O$21:$O$28))</f>
        <v/>
      </c>
      <c r="J17" s="86">
        <f>IF(G17=0,"",MAX(Benchmark_KPIs!$O$21:$O$28))</f>
        <v/>
      </c>
      <c r="K17" s="50">
        <f>IF(G17=0,"No graded peer data yet",IF(NOT(ISNUMBER(F17)),"Model value n/a",IF(F17&gt;J17,"Above peer range",IF(F17&lt;H17,"Below peer range","Within peer range")))&amp;IF(G17&lt;3," (n&lt;3: anecdotal)",""))</f>
        <v/>
      </c>
      <c r="L17" s="126" t="inlineStr">
        <is>
          <t>Check definitions, periods and currency before comparing.</t>
        </is>
      </c>
    </row>
    <row r="18">
      <c r="A18" s="34" t="inlineStr">
        <is>
          <t>Total liabilities / total assets</t>
        </is>
      </c>
      <c r="B18" s="42">
        <f>Benchmark_KPIs!P14</f>
        <v/>
      </c>
      <c r="C18" s="42">
        <f>Benchmark_KPIs!P15</f>
        <v/>
      </c>
      <c r="D18" s="42">
        <f>Benchmark_KPIs!P16</f>
        <v/>
      </c>
      <c r="E18" s="42">
        <f>Benchmark_KPIs!P17</f>
        <v/>
      </c>
      <c r="F18" s="42">
        <f>Benchmark_KPIs!P18</f>
        <v/>
      </c>
      <c r="G18" s="23">
        <f>COUNT(Benchmark_KPIs!$P$21:$P$28)</f>
        <v/>
      </c>
      <c r="H18" s="81">
        <f>IF(G18=0,"",MIN(Benchmark_KPIs!$P$21:$P$28))</f>
        <v/>
      </c>
      <c r="I18" s="81">
        <f>IF(G18=0,"",MEDIAN(Benchmark_KPIs!$P$21:$P$28))</f>
        <v/>
      </c>
      <c r="J18" s="81">
        <f>IF(G18=0,"",MAX(Benchmark_KPIs!$P$21:$P$28))</f>
        <v/>
      </c>
      <c r="K18" s="50">
        <f>IF(G18=0,"No graded peer data yet",IF(NOT(ISNUMBER(F18)),"Model value n/a",IF(F18&gt;J18,"Above peer range",IF(F18&lt;H18,"Below peer range","Within peer range")))&amp;IF(G18&lt;3," (n&lt;3: anecdotal)",""))</f>
        <v/>
      </c>
      <c r="L18" s="126" t="inlineStr">
        <is>
          <t>Check definitions, periods and currency before comparing.</t>
        </is>
      </c>
    </row>
    <row r="19">
      <c r="A19" s="34" t="inlineStr">
        <is>
          <t>Equity (USD m; derived = assets: liabilities when not reported)</t>
        </is>
      </c>
      <c r="B19" s="127">
        <f>Benchmark_KPIs!Q14</f>
        <v/>
      </c>
      <c r="C19" s="127">
        <f>Benchmark_KPIs!Q15</f>
        <v/>
      </c>
      <c r="D19" s="127">
        <f>Benchmark_KPIs!Q16</f>
        <v/>
      </c>
      <c r="E19" s="127">
        <f>Benchmark_KPIs!Q17</f>
        <v/>
      </c>
      <c r="F19" s="127">
        <f>Benchmark_KPIs!Q18</f>
        <v/>
      </c>
      <c r="G19" s="23">
        <f>COUNT(Benchmark_KPIs!$Q$21:$Q$28)</f>
        <v/>
      </c>
      <c r="H19" s="128">
        <f>IF(G19=0,"",MIN(Benchmark_KPIs!$Q$21:$Q$28))</f>
        <v/>
      </c>
      <c r="I19" s="128">
        <f>IF(G19=0,"",MEDIAN(Benchmark_KPIs!$Q$21:$Q$28))</f>
        <v/>
      </c>
      <c r="J19" s="128">
        <f>IF(G19=0,"",MAX(Benchmark_KPIs!$Q$21:$Q$28))</f>
        <v/>
      </c>
      <c r="K19" s="50">
        <f>IF(G19=0,"No graded peer data yet",IF(NOT(ISNUMBER(F19)),"Model value n/a",IF(F19&gt;J19,"Above peer range",IF(F19&lt;H19,"Below peer range","Within peer range")))&amp;IF(G19&lt;3," (n&lt;3: anecdotal)",""))</f>
        <v/>
      </c>
      <c r="L19" s="126" t="inlineStr">
        <is>
          <t>Check definitions, periods and currency before comparing.</t>
        </is>
      </c>
    </row>
    <row r="20">
      <c r="A20" s="34" t="inlineStr">
        <is>
          <t>Return on equity (NI / equity)</t>
        </is>
      </c>
      <c r="B20" s="42">
        <f>Benchmark_KPIs!R14</f>
        <v/>
      </c>
      <c r="C20" s="42">
        <f>Benchmark_KPIs!R15</f>
        <v/>
      </c>
      <c r="D20" s="42">
        <f>Benchmark_KPIs!R16</f>
        <v/>
      </c>
      <c r="E20" s="42">
        <f>Benchmark_KPIs!R17</f>
        <v/>
      </c>
      <c r="F20" s="42">
        <f>Benchmark_KPIs!R18</f>
        <v/>
      </c>
      <c r="G20" s="23">
        <f>COUNT(Benchmark_KPIs!$R$21:$R$28)</f>
        <v/>
      </c>
      <c r="H20" s="81">
        <f>IF(G20=0,"",MIN(Benchmark_KPIs!$R$21:$R$28))</f>
        <v/>
      </c>
      <c r="I20" s="81">
        <f>IF(G20=0,"",MEDIAN(Benchmark_KPIs!$R$21:$R$28))</f>
        <v/>
      </c>
      <c r="J20" s="81">
        <f>IF(G20=0,"",MAX(Benchmark_KPIs!$R$21:$R$28))</f>
        <v/>
      </c>
      <c r="K20" s="50">
        <f>IF(G20=0,"No graded peer data yet",IF(NOT(ISNUMBER(F20)),"Model value n/a",IF(F20&gt;J20,"Above peer range",IF(F20&lt;H20,"Below peer range","Within peer range")))&amp;IF(G20&lt;3," (n&lt;3: anecdotal)",""))</f>
        <v/>
      </c>
      <c r="L20" s="126" t="inlineStr">
        <is>
          <t>Check definitions, periods and currency before comparing.</t>
        </is>
      </c>
    </row>
    <row r="21">
      <c r="A21" s="34" t="inlineStr">
        <is>
          <t>ECL / gross receivables</t>
        </is>
      </c>
      <c r="B21" s="42">
        <f>Benchmark_KPIs!S14</f>
        <v/>
      </c>
      <c r="C21" s="42">
        <f>Benchmark_KPIs!S15</f>
        <v/>
      </c>
      <c r="D21" s="42">
        <f>Benchmark_KPIs!S16</f>
        <v/>
      </c>
      <c r="E21" s="42">
        <f>Benchmark_KPIs!S17</f>
        <v/>
      </c>
      <c r="F21" s="42">
        <f>Benchmark_KPIs!S18</f>
        <v/>
      </c>
      <c r="G21" s="23">
        <f>COUNT(Benchmark_KPIs!$S$21:$S$28)</f>
        <v/>
      </c>
      <c r="H21" s="81">
        <f>IF(G21=0,"",MIN(Benchmark_KPIs!$S$21:$S$28))</f>
        <v/>
      </c>
      <c r="I21" s="81">
        <f>IF(G21=0,"",MEDIAN(Benchmark_KPIs!$S$21:$S$28))</f>
        <v/>
      </c>
      <c r="J21" s="81">
        <f>IF(G21=0,"",MAX(Benchmark_KPIs!$S$21:$S$28))</f>
        <v/>
      </c>
      <c r="K21" s="50">
        <f>IF(G21=0,"No graded peer data yet",IF(NOT(ISNUMBER(F21)),"Model value n/a",IF(F21&gt;J21,"Above peer range",IF(F21&lt;H21,"Below peer range","Within peer range")))&amp;IF(G21&lt;3," (n&lt;3: anecdotal)",""))</f>
        <v/>
      </c>
      <c r="L21" s="126" t="inlineStr">
        <is>
          <t>ECL policies, staging and write-off timing differ between companies.</t>
        </is>
      </c>
    </row>
    <row r="22">
      <c r="A22" s="34" t="inlineStr">
        <is>
          <t>ECL / revenue</t>
        </is>
      </c>
      <c r="B22" s="42">
        <f>Benchmark_KPIs!T14</f>
        <v/>
      </c>
      <c r="C22" s="42">
        <f>Benchmark_KPIs!T15</f>
        <v/>
      </c>
      <c r="D22" s="42">
        <f>Benchmark_KPIs!T16</f>
        <v/>
      </c>
      <c r="E22" s="42">
        <f>Benchmark_KPIs!T17</f>
        <v/>
      </c>
      <c r="F22" s="42">
        <f>Benchmark_KPIs!T18</f>
        <v/>
      </c>
      <c r="G22" s="23">
        <f>COUNT(Benchmark_KPIs!$T$21:$T$28)</f>
        <v/>
      </c>
      <c r="H22" s="81">
        <f>IF(G22=0,"",MIN(Benchmark_KPIs!$T$21:$T$28))</f>
        <v/>
      </c>
      <c r="I22" s="81">
        <f>IF(G22=0,"",MEDIAN(Benchmark_KPIs!$T$21:$T$28))</f>
        <v/>
      </c>
      <c r="J22" s="81">
        <f>IF(G22=0,"",MAX(Benchmark_KPIs!$T$21:$T$28))</f>
        <v/>
      </c>
      <c r="K22" s="50">
        <f>IF(G22=0,"No graded peer data yet",IF(NOT(ISNUMBER(F22)),"Model value n/a",IF(F22&gt;J22,"Above peer range",IF(F22&lt;H22,"Below peer range","Within peer range")))&amp;IF(G22&lt;3," (n&lt;3: anecdotal)",""))</f>
        <v/>
      </c>
      <c r="L22" s="126" t="inlineStr">
        <is>
          <t>ECL policies, staging and write-off timing differ between companies.</t>
        </is>
      </c>
    </row>
    <row r="23">
      <c r="A23" s="34" t="inlineStr">
        <is>
          <t>ECL / financing revenue</t>
        </is>
      </c>
      <c r="B23" s="42">
        <f>Benchmark_KPIs!U14</f>
        <v/>
      </c>
      <c r="C23" s="42">
        <f>Benchmark_KPIs!U15</f>
        <v/>
      </c>
      <c r="D23" s="42">
        <f>Benchmark_KPIs!U16</f>
        <v/>
      </c>
      <c r="E23" s="42">
        <f>Benchmark_KPIs!U17</f>
        <v/>
      </c>
      <c r="F23" s="42">
        <f>Benchmark_KPIs!U18</f>
        <v/>
      </c>
      <c r="G23" s="23">
        <f>COUNT(Benchmark_KPIs!$U$21:$U$28)</f>
        <v/>
      </c>
      <c r="H23" s="81">
        <f>IF(G23=0,"",MIN(Benchmark_KPIs!$U$21:$U$28))</f>
        <v/>
      </c>
      <c r="I23" s="81">
        <f>IF(G23=0,"",MEDIAN(Benchmark_KPIs!$U$21:$U$28))</f>
        <v/>
      </c>
      <c r="J23" s="81">
        <f>IF(G23=0,"",MAX(Benchmark_KPIs!$U$21:$U$28))</f>
        <v/>
      </c>
      <c r="K23" s="50">
        <f>IF(G23=0,"No graded peer data yet",IF(NOT(ISNUMBER(F23)),"Model value n/a",IF(F23&gt;J23,"Above peer range",IF(F23&lt;H23,"Below peer range","Within peer range")))&amp;IF(G23&lt;3," (n&lt;3: anecdotal)",""))</f>
        <v/>
      </c>
      <c r="L23" s="126" t="inlineStr">
        <is>
          <t>ECL policies, staging and write-off timing differ between companies.</t>
        </is>
      </c>
    </row>
    <row r="24">
      <c r="A24" s="34" t="inlineStr">
        <is>
          <t>Revenue per active customer (USD)</t>
        </is>
      </c>
      <c r="B24" s="41">
        <f>Benchmark_KPIs!V14</f>
        <v/>
      </c>
      <c r="C24" s="41">
        <f>Benchmark_KPIs!V15</f>
        <v/>
      </c>
      <c r="D24" s="41">
        <f>Benchmark_KPIs!V16</f>
        <v/>
      </c>
      <c r="E24" s="41">
        <f>Benchmark_KPIs!V17</f>
        <v/>
      </c>
      <c r="F24" s="41">
        <f>Benchmark_KPIs!V18</f>
        <v/>
      </c>
      <c r="G24" s="23">
        <f>COUNT(Benchmark_KPIs!$V$21:$V$28)</f>
        <v/>
      </c>
      <c r="H24" s="80">
        <f>IF(G24=0,"",MIN(Benchmark_KPIs!$V$21:$V$28))</f>
        <v/>
      </c>
      <c r="I24" s="80">
        <f>IF(G24=0,"",MEDIAN(Benchmark_KPIs!$V$21:$V$28))</f>
        <v/>
      </c>
      <c r="J24" s="80">
        <f>IF(G24=0,"",MAX(Benchmark_KPIs!$V$21:$V$28))</f>
        <v/>
      </c>
      <c r="K24" s="50">
        <f>IF(G24=0,"No graded peer data yet",IF(NOT(ISNUMBER(F24)),"Model value n/a",IF(F24&gt;J24,"Above peer range",IF(F24&lt;H24,"Below peer range","Within peer range")))&amp;IF(G24&lt;3," (n&lt;3: anecdotal)",""))</f>
        <v/>
      </c>
      <c r="L24" s="126" t="inlineStr">
        <is>
          <t>Active customer definitions differ (paying accounts, any product, any period).</t>
        </is>
      </c>
    </row>
    <row r="25">
      <c r="A25" s="34" t="inlineStr">
        <is>
          <t>Net receivables per active customer (USD)</t>
        </is>
      </c>
      <c r="B25" s="41">
        <f>Benchmark_KPIs!W14</f>
        <v/>
      </c>
      <c r="C25" s="41">
        <f>Benchmark_KPIs!W15</f>
        <v/>
      </c>
      <c r="D25" s="41">
        <f>Benchmark_KPIs!W16</f>
        <v/>
      </c>
      <c r="E25" s="41">
        <f>Benchmark_KPIs!W17</f>
        <v/>
      </c>
      <c r="F25" s="41">
        <f>Benchmark_KPIs!W18</f>
        <v/>
      </c>
      <c r="G25" s="23">
        <f>COUNT(Benchmark_KPIs!$W$21:$W$28)</f>
        <v/>
      </c>
      <c r="H25" s="80">
        <f>IF(G25=0,"",MIN(Benchmark_KPIs!$W$21:$W$28))</f>
        <v/>
      </c>
      <c r="I25" s="80">
        <f>IF(G25=0,"",MEDIAN(Benchmark_KPIs!$W$21:$W$28))</f>
        <v/>
      </c>
      <c r="J25" s="80">
        <f>IF(G25=0,"",MAX(Benchmark_KPIs!$W$21:$W$28))</f>
        <v/>
      </c>
      <c r="K25" s="50">
        <f>IF(G25=0,"No graded peer data yet",IF(NOT(ISNUMBER(F25)),"Model value n/a",IF(F25&gt;J25,"Above peer range",IF(F25&lt;H25,"Below peer range","Within peer range")))&amp;IF(G25&lt;3," (n&lt;3: anecdotal)",""))</f>
        <v/>
      </c>
      <c r="L25" s="126" t="inlineStr">
        <is>
          <t>Active customer definitions differ.</t>
        </is>
      </c>
    </row>
    <row r="26">
      <c r="A26" s="34" t="inlineStr">
        <is>
          <t>Active / cumulative customers</t>
        </is>
      </c>
      <c r="B26" s="42">
        <f>Benchmark_KPIs!X14</f>
        <v/>
      </c>
      <c r="C26" s="42">
        <f>Benchmark_KPIs!X15</f>
        <v/>
      </c>
      <c r="D26" s="42">
        <f>Benchmark_KPIs!X16</f>
        <v/>
      </c>
      <c r="E26" s="42">
        <f>Benchmark_KPIs!X17</f>
        <v/>
      </c>
      <c r="F26" s="42">
        <f>Benchmark_KPIs!X18</f>
        <v/>
      </c>
      <c r="G26" s="23">
        <f>COUNT(Benchmark_KPIs!$X$21:$X$28)</f>
        <v/>
      </c>
      <c r="H26" s="81">
        <f>IF(G26=0,"",MIN(Benchmark_KPIs!$X$21:$X$28))</f>
        <v/>
      </c>
      <c r="I26" s="81">
        <f>IF(G26=0,"",MEDIAN(Benchmark_KPIs!$X$21:$X$28))</f>
        <v/>
      </c>
      <c r="J26" s="81">
        <f>IF(G26=0,"",MAX(Benchmark_KPIs!$X$21:$X$28))</f>
        <v/>
      </c>
      <c r="K26" s="50">
        <f>IF(G26=0,"No graded peer data yet",IF(NOT(ISNUMBER(F26)),"Model value n/a",IF(F26&gt;J26,"Above peer range",IF(F26&lt;H26,"Below peer range","Within peer range")))&amp;IF(G26&lt;3," (n&lt;3: anecdotal)",""))</f>
        <v/>
      </c>
      <c r="L26" s="126" t="inlineStr">
        <is>
          <t>Cumulative customers and active customers are defined differently by each company.</t>
        </is>
      </c>
    </row>
    <row r="27">
      <c r="A27" s="34" t="inlineStr">
        <is>
          <t>Operational collection rate (not PERFORM RR)</t>
        </is>
      </c>
      <c r="B27" s="42">
        <f>Benchmark_KPIs!Y14</f>
        <v/>
      </c>
      <c r="C27" s="42">
        <f>Benchmark_KPIs!Y15</f>
        <v/>
      </c>
      <c r="D27" s="42">
        <f>Benchmark_KPIs!Y16</f>
        <v/>
      </c>
      <c r="E27" s="42">
        <f>Benchmark_KPIs!Y17</f>
        <v/>
      </c>
      <c r="F27" s="42">
        <f>Benchmark_KPIs!Y18</f>
        <v/>
      </c>
      <c r="G27" s="23">
        <f>COUNT(Benchmark_KPIs!$Y$21:$Y$28)</f>
        <v/>
      </c>
      <c r="H27" s="81">
        <f>IF(G27=0,"",MIN(Benchmark_KPIs!$Y$21:$Y$28))</f>
        <v/>
      </c>
      <c r="I27" s="81">
        <f>IF(G27=0,"",MEDIAN(Benchmark_KPIs!$Y$21:$Y$28))</f>
        <v/>
      </c>
      <c r="J27" s="81">
        <f>IF(G27=0,"",MAX(Benchmark_KPIs!$Y$21:$Y$28))</f>
        <v/>
      </c>
      <c r="K27" s="50">
        <f>IF(G27=0,"No graded peer data yet",IF(NOT(ISNUMBER(F27)),"Model value n/a",IF(F27&gt;J27,"Above peer range",IF(F27&lt;H27,"Below peer range","Within peer range")))&amp;IF(G27&lt;3," (n&lt;3: anecdotal)",""))</f>
        <v/>
      </c>
      <c r="L27" s="126" t="inlineStr">
        <is>
          <t>A company collection rate is not the model's operational collection rate unless deposits, period and denominator match; neither is the PERFORM Repayment Rate.</t>
        </is>
      </c>
    </row>
    <row r="28">
      <c r="A28" s="34" t="inlineStr">
        <is>
          <t>Customer ownership rate</t>
        </is>
      </c>
      <c r="B28" s="42">
        <f>Benchmark_KPIs!Z14</f>
        <v/>
      </c>
      <c r="C28" s="42">
        <f>Benchmark_KPIs!Z15</f>
        <v/>
      </c>
      <c r="D28" s="42">
        <f>Benchmark_KPIs!Z16</f>
        <v/>
      </c>
      <c r="E28" s="42">
        <f>Benchmark_KPIs!Z17</f>
        <v/>
      </c>
      <c r="F28" s="42">
        <f>Benchmark_KPIs!Z18</f>
        <v/>
      </c>
      <c r="G28" s="23">
        <f>COUNT(Benchmark_KPIs!$Z$21:$Z$28)</f>
        <v/>
      </c>
      <c r="H28" s="81">
        <f>IF(G28=0,"",MIN(Benchmark_KPIs!$Z$21:$Z$28))</f>
        <v/>
      </c>
      <c r="I28" s="81">
        <f>IF(G28=0,"",MEDIAN(Benchmark_KPIs!$Z$21:$Z$28))</f>
        <v/>
      </c>
      <c r="J28" s="81">
        <f>IF(G28=0,"",MAX(Benchmark_KPIs!$Z$21:$Z$28))</f>
        <v/>
      </c>
      <c r="K28" s="50">
        <f>IF(G28=0,"No graded peer data yet",IF(NOT(ISNUMBER(F28)),"Model value n/a",IF(F28&gt;J28,"Above peer range",IF(F28&lt;H28,"Below peer range","Within peer range")))&amp;IF(G28&lt;3," (n&lt;3: anecdotal)",""))</f>
        <v/>
      </c>
      <c r="L28" s="126" t="inlineStr">
        <is>
          <t>Ownership rate is comparable only on the PAYGo PERFORM 2026 definition (at 2x term).</t>
        </is>
      </c>
    </row>
    <row r="29"/>
    <row r="30"/>
    <row r="31">
      <c r="A31" s="18" t="inlineStr">
        <is>
          <t>CAC payback is not disclosed by companies; see Unit_Economics for the model. Watu is an asset-finance comparable (motorcycles / smartphones), not a solar company. Unresolved conflicts (e.g. M-KOPA FY2024 revenue: USD 416m vs USD 253.5m) are excluded until primary filings are read: see Benchmark_DB.</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22.xml><?xml version="1.0" encoding="utf-8"?>
<worksheet xmlns="http://schemas.openxmlformats.org/spreadsheetml/2006/main">
  <sheetPr>
    <tabColor rgb="007030A0"/>
    <outlinePr summaryBelow="1" summaryRight="1"/>
    <pageSetUpPr fitToPage="1"/>
  </sheetPr>
  <dimension ref="A1:Z28"/>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2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s>
  <sheetData>
    <row r="1">
      <c r="A1" s="17" t="inlineStr">
        <is>
          <t>Benchmark KPIs: derived ratios per company-year and for the model</t>
        </is>
      </c>
    </row>
    <row r="2">
      <c r="A2" s="18" t="inlineStr">
        <is>
          <t>Blank = not computable from usable records. Ratios are diagnostics, not performance norms.</t>
        </is>
      </c>
    </row>
    <row r="3"/>
    <row r="4"/>
    <row r="5" ht="54" customHeight="1">
      <c r="A5" s="40" t="inlineStr">
        <is>
          <t>Company</t>
        </is>
      </c>
      <c r="B5" s="40" t="inlineStr">
        <is>
          <t>Year</t>
        </is>
      </c>
      <c r="C5" s="40" t="inlineStr">
        <is>
          <t>Peer include</t>
        </is>
      </c>
      <c r="D5" s="40" t="inlineStr">
        <is>
          <t>Gross margin</t>
        </is>
      </c>
      <c r="E5" s="40" t="inlineStr">
        <is>
          <t>EBITDA margin</t>
        </is>
      </c>
      <c r="F5" s="40" t="inlineStr">
        <is>
          <t>Operating (EBIT) margin</t>
        </is>
      </c>
      <c r="G5" s="40" t="inlineStr">
        <is>
          <t>Net margin</t>
        </is>
      </c>
      <c r="H5" s="40" t="inlineStr">
        <is>
          <t>Revenue growth</t>
        </is>
      </c>
      <c r="I5" s="40" t="inlineStr">
        <is>
          <t>Financing revenue / revenue</t>
        </is>
      </c>
      <c r="J5" s="40" t="inlineStr">
        <is>
          <t>Receivables days</t>
        </is>
      </c>
      <c r="K5" s="40" t="inlineStr">
        <is>
          <t>Inventory days</t>
        </is>
      </c>
      <c r="L5" s="40" t="inlineStr">
        <is>
          <t>Payables days</t>
        </is>
      </c>
      <c r="M5" s="40" t="inlineStr">
        <is>
          <t>Cash conversion cycle (days)</t>
        </is>
      </c>
      <c r="N5" s="40" t="inlineStr">
        <is>
          <t>Debt / net receivables</t>
        </is>
      </c>
      <c r="O5" s="40" t="inlineStr">
        <is>
          <t>Debt / EBITDA</t>
        </is>
      </c>
      <c r="P5" s="40" t="inlineStr">
        <is>
          <t>Total liabilities / total assets</t>
        </is>
      </c>
      <c r="Q5" s="40" t="inlineStr">
        <is>
          <t>Equity (USD m; derived = assets: liabilities when not reported)</t>
        </is>
      </c>
      <c r="R5" s="40" t="inlineStr">
        <is>
          <t>Return on equity (NI / equity)</t>
        </is>
      </c>
      <c r="S5" s="40" t="inlineStr">
        <is>
          <t>ECL / gross receivables</t>
        </is>
      </c>
      <c r="T5" s="40" t="inlineStr">
        <is>
          <t>ECL / revenue</t>
        </is>
      </c>
      <c r="U5" s="40" t="inlineStr">
        <is>
          <t>ECL / financing revenue</t>
        </is>
      </c>
      <c r="V5" s="40" t="inlineStr">
        <is>
          <t>Revenue per active customer (USD)</t>
        </is>
      </c>
      <c r="W5" s="40" t="inlineStr">
        <is>
          <t>Net receivables per active customer (USD)</t>
        </is>
      </c>
      <c r="X5" s="40" t="inlineStr">
        <is>
          <t>Active / cumulative customers</t>
        </is>
      </c>
      <c r="Y5" s="40" t="inlineStr">
        <is>
          <t>Operational collection rate (not PERFORM RR)</t>
        </is>
      </c>
      <c r="Z5" s="40" t="inlineStr">
        <is>
          <t>Customer ownership rate</t>
        </is>
      </c>
    </row>
    <row r="6">
      <c r="A6" s="39">
        <f>Benchmark_Matrix!A6</f>
        <v/>
      </c>
      <c r="B6" s="48">
        <f>Benchmark_Matrix!B6</f>
        <v/>
      </c>
      <c r="C6" s="48">
        <f>Benchmark_Matrix!E6</f>
        <v/>
      </c>
      <c r="D6" s="81">
        <f>IFERROR(IF(Benchmark_Matrix!$I$6="",(Benchmark_Matrix!$F$6-Benchmark_Matrix!$H$6)/Benchmark_Matrix!$F$6,Benchmark_Matrix!$I$6/Benchmark_Matrix!$F$6),"")</f>
        <v/>
      </c>
      <c r="E6" s="81">
        <f>IFERROR(Benchmark_Matrix!$K$6/Benchmark_Matrix!$F$6,"")</f>
        <v/>
      </c>
      <c r="F6" s="81">
        <f>IFERROR(Benchmark_Matrix!$L$6/Benchmark_Matrix!$F$6,"")</f>
        <v/>
      </c>
      <c r="G6" s="81">
        <f>IFERROR(Benchmark_Matrix!$Q$6/Benchmark_Matrix!$F$6,"")</f>
        <v/>
      </c>
      <c r="H6" s="81">
        <f>IFERROR(Benchmark_Matrix!$F$6/SUMIFS(Benchmark_Matrix!$F$6:$F$18,Benchmark_Matrix!$A$6:$A$18,Benchmark_Matrix!$A6,Benchmark_Matrix!$B$6:$B$18,Benchmark_Matrix!$B6-1)-1,IF(Benchmark_Matrix!$AM$6="","",Benchmark_Matrix!$AM$6))</f>
        <v/>
      </c>
      <c r="I6" s="81">
        <f>IFERROR(Benchmark_Matrix!$G$6/Benchmark_Matrix!$F$6,"")</f>
        <v/>
      </c>
      <c r="J6" s="23">
        <f>IFERROR(IF(Benchmark_Matrix!$W$6="",Benchmark_Matrix!$U$6,Benchmark_Matrix!$W$6)/Benchmark_Matrix!$F$6*365,"")</f>
        <v/>
      </c>
      <c r="K6" s="23">
        <f>IFERROR(Benchmark_Matrix!$S$6/Benchmark_Matrix!$H$6*365,"")</f>
        <v/>
      </c>
      <c r="L6" s="23">
        <f>IFERROR(Benchmark_Matrix!$T$6/Benchmark_Matrix!$H$6*365,"")</f>
        <v/>
      </c>
      <c r="M6" s="23">
        <f>IFERROR(J6+K6-L6,"")</f>
        <v/>
      </c>
      <c r="N6" s="86">
        <f>IFERROR(Benchmark_Matrix!$Y$6/Benchmark_Matrix!$W$6,"")</f>
        <v/>
      </c>
      <c r="O6" s="86">
        <f>IFERROR(IF(Benchmark_Matrix!$K$6&lt;=0,"",Benchmark_Matrix!$Y$6/Benchmark_Matrix!$K$6),"")</f>
        <v/>
      </c>
      <c r="P6" s="81">
        <f>IFERROR(Benchmark_Matrix!$AC$6/Benchmark_Matrix!$AB$6,"")</f>
        <v/>
      </c>
      <c r="Q6" s="128">
        <f>IF(Benchmark_Matrix!$AA$6&lt;&gt;"",Benchmark_Matrix!$AA$6,IFERROR(Benchmark_Matrix!$AB$6-Benchmark_Matrix!$AC$6,""))</f>
        <v/>
      </c>
      <c r="R6" s="81">
        <f>IFERROR(Benchmark_Matrix!$Q$6/Q6,"")</f>
        <v/>
      </c>
      <c r="S6" s="81">
        <f>IFERROR(Benchmark_Matrix!$O$6/Benchmark_Matrix!$V$6,"")</f>
        <v/>
      </c>
      <c r="T6" s="81">
        <f>IFERROR(Benchmark_Matrix!$O$6/Benchmark_Matrix!$F$6,"")</f>
        <v/>
      </c>
      <c r="U6" s="81">
        <f>IFERROR(Benchmark_Matrix!$O$6/Benchmark_Matrix!$G$6,"")</f>
        <v/>
      </c>
      <c r="V6" s="80">
        <f>IFERROR(Benchmark_Matrix!$F$6*1000000/Benchmark_Matrix!$AI$6,"")</f>
        <v/>
      </c>
      <c r="W6" s="80">
        <f>IFERROR(Benchmark_Matrix!$W$6*1000000/Benchmark_Matrix!$AI$6,"")</f>
        <v/>
      </c>
      <c r="X6" s="81">
        <f>IFERROR(Benchmark_Matrix!$AI$6/Benchmark_Matrix!$AJ$6,"")</f>
        <v/>
      </c>
      <c r="Y6" s="81">
        <f>IF(Benchmark_Matrix!$AN$6="","",Benchmark_Matrix!$AN$6)</f>
        <v/>
      </c>
      <c r="Z6" s="81">
        <f>IF(Benchmark_Matrix!$AP$6="","",Benchmark_Matrix!$AP$6)</f>
        <v/>
      </c>
    </row>
    <row r="7">
      <c r="A7" s="39">
        <f>Benchmark_Matrix!A7</f>
        <v/>
      </c>
      <c r="B7" s="48">
        <f>Benchmark_Matrix!B7</f>
        <v/>
      </c>
      <c r="C7" s="48">
        <f>Benchmark_Matrix!E7</f>
        <v/>
      </c>
      <c r="D7" s="81">
        <f>IFERROR(IF(Benchmark_Matrix!$I$7="",(Benchmark_Matrix!$F$7-Benchmark_Matrix!$H$7)/Benchmark_Matrix!$F$7,Benchmark_Matrix!$I$7/Benchmark_Matrix!$F$7),"")</f>
        <v/>
      </c>
      <c r="E7" s="81">
        <f>IFERROR(Benchmark_Matrix!$K$7/Benchmark_Matrix!$F$7,"")</f>
        <v/>
      </c>
      <c r="F7" s="81">
        <f>IFERROR(Benchmark_Matrix!$L$7/Benchmark_Matrix!$F$7,"")</f>
        <v/>
      </c>
      <c r="G7" s="81">
        <f>IFERROR(Benchmark_Matrix!$Q$7/Benchmark_Matrix!$F$7,"")</f>
        <v/>
      </c>
      <c r="H7" s="81">
        <f>IFERROR(Benchmark_Matrix!$F$7/SUMIFS(Benchmark_Matrix!$F$6:$F$18,Benchmark_Matrix!$A$6:$A$18,Benchmark_Matrix!$A7,Benchmark_Matrix!$B$6:$B$18,Benchmark_Matrix!$B7-1)-1,IF(Benchmark_Matrix!$AM$7="","",Benchmark_Matrix!$AM$7))</f>
        <v/>
      </c>
      <c r="I7" s="81">
        <f>IFERROR(Benchmark_Matrix!$G$7/Benchmark_Matrix!$F$7,"")</f>
        <v/>
      </c>
      <c r="J7" s="23">
        <f>IFERROR(IF(Benchmark_Matrix!$W$7="",Benchmark_Matrix!$U$7,Benchmark_Matrix!$W$7)/Benchmark_Matrix!$F$7*365,"")</f>
        <v/>
      </c>
      <c r="K7" s="23">
        <f>IFERROR(Benchmark_Matrix!$S$7/Benchmark_Matrix!$H$7*365,"")</f>
        <v/>
      </c>
      <c r="L7" s="23">
        <f>IFERROR(Benchmark_Matrix!$T$7/Benchmark_Matrix!$H$7*365,"")</f>
        <v/>
      </c>
      <c r="M7" s="23">
        <f>IFERROR(J7+K7-L7,"")</f>
        <v/>
      </c>
      <c r="N7" s="86">
        <f>IFERROR(Benchmark_Matrix!$Y$7/Benchmark_Matrix!$W$7,"")</f>
        <v/>
      </c>
      <c r="O7" s="86">
        <f>IFERROR(IF(Benchmark_Matrix!$K$7&lt;=0,"",Benchmark_Matrix!$Y$7/Benchmark_Matrix!$K$7),"")</f>
        <v/>
      </c>
      <c r="P7" s="81">
        <f>IFERROR(Benchmark_Matrix!$AC$7/Benchmark_Matrix!$AB$7,"")</f>
        <v/>
      </c>
      <c r="Q7" s="128">
        <f>IF(Benchmark_Matrix!$AA$7&lt;&gt;"",Benchmark_Matrix!$AA$7,IFERROR(Benchmark_Matrix!$AB$7-Benchmark_Matrix!$AC$7,""))</f>
        <v/>
      </c>
      <c r="R7" s="81">
        <f>IFERROR(Benchmark_Matrix!$Q$7/Q7,"")</f>
        <v/>
      </c>
      <c r="S7" s="81">
        <f>IFERROR(Benchmark_Matrix!$O$7/Benchmark_Matrix!$V$7,"")</f>
        <v/>
      </c>
      <c r="T7" s="81">
        <f>IFERROR(Benchmark_Matrix!$O$7/Benchmark_Matrix!$F$7,"")</f>
        <v/>
      </c>
      <c r="U7" s="81">
        <f>IFERROR(Benchmark_Matrix!$O$7/Benchmark_Matrix!$G$7,"")</f>
        <v/>
      </c>
      <c r="V7" s="80">
        <f>IFERROR(Benchmark_Matrix!$F$7*1000000/Benchmark_Matrix!$AI$7,"")</f>
        <v/>
      </c>
      <c r="W7" s="80">
        <f>IFERROR(Benchmark_Matrix!$W$7*1000000/Benchmark_Matrix!$AI$7,"")</f>
        <v/>
      </c>
      <c r="X7" s="81">
        <f>IFERROR(Benchmark_Matrix!$AI$7/Benchmark_Matrix!$AJ$7,"")</f>
        <v/>
      </c>
      <c r="Y7" s="81">
        <f>IF(Benchmark_Matrix!$AN$7="","",Benchmark_Matrix!$AN$7)</f>
        <v/>
      </c>
      <c r="Z7" s="81">
        <f>IF(Benchmark_Matrix!$AP$7="","",Benchmark_Matrix!$AP$7)</f>
        <v/>
      </c>
    </row>
    <row r="8">
      <c r="A8" s="39">
        <f>Benchmark_Matrix!A8</f>
        <v/>
      </c>
      <c r="B8" s="48">
        <f>Benchmark_Matrix!B8</f>
        <v/>
      </c>
      <c r="C8" s="48">
        <f>Benchmark_Matrix!E8</f>
        <v/>
      </c>
      <c r="D8" s="81">
        <f>IFERROR(IF(Benchmark_Matrix!$I$8="",(Benchmark_Matrix!$F$8-Benchmark_Matrix!$H$8)/Benchmark_Matrix!$F$8,Benchmark_Matrix!$I$8/Benchmark_Matrix!$F$8),"")</f>
        <v/>
      </c>
      <c r="E8" s="81">
        <f>IFERROR(Benchmark_Matrix!$K$8/Benchmark_Matrix!$F$8,"")</f>
        <v/>
      </c>
      <c r="F8" s="81">
        <f>IFERROR(Benchmark_Matrix!$L$8/Benchmark_Matrix!$F$8,"")</f>
        <v/>
      </c>
      <c r="G8" s="81">
        <f>IFERROR(Benchmark_Matrix!$Q$8/Benchmark_Matrix!$F$8,"")</f>
        <v/>
      </c>
      <c r="H8" s="81">
        <f>IFERROR(Benchmark_Matrix!$F$8/SUMIFS(Benchmark_Matrix!$F$6:$F$18,Benchmark_Matrix!$A$6:$A$18,Benchmark_Matrix!$A8,Benchmark_Matrix!$B$6:$B$18,Benchmark_Matrix!$B8-1)-1,IF(Benchmark_Matrix!$AM$8="","",Benchmark_Matrix!$AM$8))</f>
        <v/>
      </c>
      <c r="I8" s="81">
        <f>IFERROR(Benchmark_Matrix!$G$8/Benchmark_Matrix!$F$8,"")</f>
        <v/>
      </c>
      <c r="J8" s="23">
        <f>IFERROR(IF(Benchmark_Matrix!$W$8="",Benchmark_Matrix!$U$8,Benchmark_Matrix!$W$8)/Benchmark_Matrix!$F$8*365,"")</f>
        <v/>
      </c>
      <c r="K8" s="23">
        <f>IFERROR(Benchmark_Matrix!$S$8/Benchmark_Matrix!$H$8*365,"")</f>
        <v/>
      </c>
      <c r="L8" s="23">
        <f>IFERROR(Benchmark_Matrix!$T$8/Benchmark_Matrix!$H$8*365,"")</f>
        <v/>
      </c>
      <c r="M8" s="23">
        <f>IFERROR(J8+K8-L8,"")</f>
        <v/>
      </c>
      <c r="N8" s="86">
        <f>IFERROR(Benchmark_Matrix!$Y$8/Benchmark_Matrix!$W$8,"")</f>
        <v/>
      </c>
      <c r="O8" s="86">
        <f>IFERROR(IF(Benchmark_Matrix!$K$8&lt;=0,"",Benchmark_Matrix!$Y$8/Benchmark_Matrix!$K$8),"")</f>
        <v/>
      </c>
      <c r="P8" s="81">
        <f>IFERROR(Benchmark_Matrix!$AC$8/Benchmark_Matrix!$AB$8,"")</f>
        <v/>
      </c>
      <c r="Q8" s="128">
        <f>IF(Benchmark_Matrix!$AA$8&lt;&gt;"",Benchmark_Matrix!$AA$8,IFERROR(Benchmark_Matrix!$AB$8-Benchmark_Matrix!$AC$8,""))</f>
        <v/>
      </c>
      <c r="R8" s="81">
        <f>IFERROR(Benchmark_Matrix!$Q$8/Q8,"")</f>
        <v/>
      </c>
      <c r="S8" s="81">
        <f>IFERROR(Benchmark_Matrix!$O$8/Benchmark_Matrix!$V$8,"")</f>
        <v/>
      </c>
      <c r="T8" s="81">
        <f>IFERROR(Benchmark_Matrix!$O$8/Benchmark_Matrix!$F$8,"")</f>
        <v/>
      </c>
      <c r="U8" s="81">
        <f>IFERROR(Benchmark_Matrix!$O$8/Benchmark_Matrix!$G$8,"")</f>
        <v/>
      </c>
      <c r="V8" s="80">
        <f>IFERROR(Benchmark_Matrix!$F$8*1000000/Benchmark_Matrix!$AI$8,"")</f>
        <v/>
      </c>
      <c r="W8" s="80">
        <f>IFERROR(Benchmark_Matrix!$W$8*1000000/Benchmark_Matrix!$AI$8,"")</f>
        <v/>
      </c>
      <c r="X8" s="81">
        <f>IFERROR(Benchmark_Matrix!$AI$8/Benchmark_Matrix!$AJ$8,"")</f>
        <v/>
      </c>
      <c r="Y8" s="81">
        <f>IF(Benchmark_Matrix!$AN$8="","",Benchmark_Matrix!$AN$8)</f>
        <v/>
      </c>
      <c r="Z8" s="81">
        <f>IF(Benchmark_Matrix!$AP$8="","",Benchmark_Matrix!$AP$8)</f>
        <v/>
      </c>
    </row>
    <row r="9">
      <c r="A9" s="39">
        <f>Benchmark_Matrix!A9</f>
        <v/>
      </c>
      <c r="B9" s="48">
        <f>Benchmark_Matrix!B9</f>
        <v/>
      </c>
      <c r="C9" s="48">
        <f>Benchmark_Matrix!E9</f>
        <v/>
      </c>
      <c r="D9" s="81">
        <f>IFERROR(IF(Benchmark_Matrix!$I$9="",(Benchmark_Matrix!$F$9-Benchmark_Matrix!$H$9)/Benchmark_Matrix!$F$9,Benchmark_Matrix!$I$9/Benchmark_Matrix!$F$9),"")</f>
        <v/>
      </c>
      <c r="E9" s="81">
        <f>IFERROR(Benchmark_Matrix!$K$9/Benchmark_Matrix!$F$9,"")</f>
        <v/>
      </c>
      <c r="F9" s="81">
        <f>IFERROR(Benchmark_Matrix!$L$9/Benchmark_Matrix!$F$9,"")</f>
        <v/>
      </c>
      <c r="G9" s="81">
        <f>IFERROR(Benchmark_Matrix!$Q$9/Benchmark_Matrix!$F$9,"")</f>
        <v/>
      </c>
      <c r="H9" s="81">
        <f>IFERROR(Benchmark_Matrix!$F$9/SUMIFS(Benchmark_Matrix!$F$6:$F$18,Benchmark_Matrix!$A$6:$A$18,Benchmark_Matrix!$A9,Benchmark_Matrix!$B$6:$B$18,Benchmark_Matrix!$B9-1)-1,IF(Benchmark_Matrix!$AM$9="","",Benchmark_Matrix!$AM$9))</f>
        <v/>
      </c>
      <c r="I9" s="81">
        <f>IFERROR(Benchmark_Matrix!$G$9/Benchmark_Matrix!$F$9,"")</f>
        <v/>
      </c>
      <c r="J9" s="23">
        <f>IFERROR(IF(Benchmark_Matrix!$W$9="",Benchmark_Matrix!$U$9,Benchmark_Matrix!$W$9)/Benchmark_Matrix!$F$9*365,"")</f>
        <v/>
      </c>
      <c r="K9" s="23">
        <f>IFERROR(Benchmark_Matrix!$S$9/Benchmark_Matrix!$H$9*365,"")</f>
        <v/>
      </c>
      <c r="L9" s="23">
        <f>IFERROR(Benchmark_Matrix!$T$9/Benchmark_Matrix!$H$9*365,"")</f>
        <v/>
      </c>
      <c r="M9" s="23">
        <f>IFERROR(J9+K9-L9,"")</f>
        <v/>
      </c>
      <c r="N9" s="86">
        <f>IFERROR(Benchmark_Matrix!$Y$9/Benchmark_Matrix!$W$9,"")</f>
        <v/>
      </c>
      <c r="O9" s="86">
        <f>IFERROR(IF(Benchmark_Matrix!$K$9&lt;=0,"",Benchmark_Matrix!$Y$9/Benchmark_Matrix!$K$9),"")</f>
        <v/>
      </c>
      <c r="P9" s="81">
        <f>IFERROR(Benchmark_Matrix!$AC$9/Benchmark_Matrix!$AB$9,"")</f>
        <v/>
      </c>
      <c r="Q9" s="128">
        <f>IF(Benchmark_Matrix!$AA$9&lt;&gt;"",Benchmark_Matrix!$AA$9,IFERROR(Benchmark_Matrix!$AB$9-Benchmark_Matrix!$AC$9,""))</f>
        <v/>
      </c>
      <c r="R9" s="81">
        <f>IFERROR(Benchmark_Matrix!$Q$9/Q9,"")</f>
        <v/>
      </c>
      <c r="S9" s="81">
        <f>IFERROR(Benchmark_Matrix!$O$9/Benchmark_Matrix!$V$9,"")</f>
        <v/>
      </c>
      <c r="T9" s="81">
        <f>IFERROR(Benchmark_Matrix!$O$9/Benchmark_Matrix!$F$9,"")</f>
        <v/>
      </c>
      <c r="U9" s="81">
        <f>IFERROR(Benchmark_Matrix!$O$9/Benchmark_Matrix!$G$9,"")</f>
        <v/>
      </c>
      <c r="V9" s="80">
        <f>IFERROR(Benchmark_Matrix!$F$9*1000000/Benchmark_Matrix!$AI$9,"")</f>
        <v/>
      </c>
      <c r="W9" s="80">
        <f>IFERROR(Benchmark_Matrix!$W$9*1000000/Benchmark_Matrix!$AI$9,"")</f>
        <v/>
      </c>
      <c r="X9" s="81">
        <f>IFERROR(Benchmark_Matrix!$AI$9/Benchmark_Matrix!$AJ$9,"")</f>
        <v/>
      </c>
      <c r="Y9" s="81">
        <f>IF(Benchmark_Matrix!$AN$9="","",Benchmark_Matrix!$AN$9)</f>
        <v/>
      </c>
      <c r="Z9" s="81">
        <f>IF(Benchmark_Matrix!$AP$9="","",Benchmark_Matrix!$AP$9)</f>
        <v/>
      </c>
    </row>
    <row r="10">
      <c r="A10" s="39">
        <f>Benchmark_Matrix!A10</f>
        <v/>
      </c>
      <c r="B10" s="48">
        <f>Benchmark_Matrix!B10</f>
        <v/>
      </c>
      <c r="C10" s="48">
        <f>Benchmark_Matrix!E10</f>
        <v/>
      </c>
      <c r="D10" s="81">
        <f>IFERROR(IF(Benchmark_Matrix!$I$10="",(Benchmark_Matrix!$F$10-Benchmark_Matrix!$H$10)/Benchmark_Matrix!$F$10,Benchmark_Matrix!$I$10/Benchmark_Matrix!$F$10),"")</f>
        <v/>
      </c>
      <c r="E10" s="81">
        <f>IFERROR(Benchmark_Matrix!$K$10/Benchmark_Matrix!$F$10,"")</f>
        <v/>
      </c>
      <c r="F10" s="81">
        <f>IFERROR(Benchmark_Matrix!$L$10/Benchmark_Matrix!$F$10,"")</f>
        <v/>
      </c>
      <c r="G10" s="81">
        <f>IFERROR(Benchmark_Matrix!$Q$10/Benchmark_Matrix!$F$10,"")</f>
        <v/>
      </c>
      <c r="H10" s="81">
        <f>IFERROR(Benchmark_Matrix!$F$10/SUMIFS(Benchmark_Matrix!$F$6:$F$18,Benchmark_Matrix!$A$6:$A$18,Benchmark_Matrix!$A10,Benchmark_Matrix!$B$6:$B$18,Benchmark_Matrix!$B10-1)-1,IF(Benchmark_Matrix!$AM$10="","",Benchmark_Matrix!$AM$10))</f>
        <v/>
      </c>
      <c r="I10" s="81">
        <f>IFERROR(Benchmark_Matrix!$G$10/Benchmark_Matrix!$F$10,"")</f>
        <v/>
      </c>
      <c r="J10" s="23">
        <f>IFERROR(IF(Benchmark_Matrix!$W$10="",Benchmark_Matrix!$U$10,Benchmark_Matrix!$W$10)/Benchmark_Matrix!$F$10*365,"")</f>
        <v/>
      </c>
      <c r="K10" s="23">
        <f>IFERROR(Benchmark_Matrix!$S$10/Benchmark_Matrix!$H$10*365,"")</f>
        <v/>
      </c>
      <c r="L10" s="23">
        <f>IFERROR(Benchmark_Matrix!$T$10/Benchmark_Matrix!$H$10*365,"")</f>
        <v/>
      </c>
      <c r="M10" s="23">
        <f>IFERROR(J10+K10-L10,"")</f>
        <v/>
      </c>
      <c r="N10" s="86">
        <f>IFERROR(Benchmark_Matrix!$Y$10/Benchmark_Matrix!$W$10,"")</f>
        <v/>
      </c>
      <c r="O10" s="86">
        <f>IFERROR(IF(Benchmark_Matrix!$K$10&lt;=0,"",Benchmark_Matrix!$Y$10/Benchmark_Matrix!$K$10),"")</f>
        <v/>
      </c>
      <c r="P10" s="81">
        <f>IFERROR(Benchmark_Matrix!$AC$10/Benchmark_Matrix!$AB$10,"")</f>
        <v/>
      </c>
      <c r="Q10" s="128">
        <f>IF(Benchmark_Matrix!$AA$10&lt;&gt;"",Benchmark_Matrix!$AA$10,IFERROR(Benchmark_Matrix!$AB$10-Benchmark_Matrix!$AC$10,""))</f>
        <v/>
      </c>
      <c r="R10" s="81">
        <f>IFERROR(Benchmark_Matrix!$Q$10/Q10,"")</f>
        <v/>
      </c>
      <c r="S10" s="81">
        <f>IFERROR(Benchmark_Matrix!$O$10/Benchmark_Matrix!$V$10,"")</f>
        <v/>
      </c>
      <c r="T10" s="81">
        <f>IFERROR(Benchmark_Matrix!$O$10/Benchmark_Matrix!$F$10,"")</f>
        <v/>
      </c>
      <c r="U10" s="81">
        <f>IFERROR(Benchmark_Matrix!$O$10/Benchmark_Matrix!$G$10,"")</f>
        <v/>
      </c>
      <c r="V10" s="80">
        <f>IFERROR(Benchmark_Matrix!$F$10*1000000/Benchmark_Matrix!$AI$10,"")</f>
        <v/>
      </c>
      <c r="W10" s="80">
        <f>IFERROR(Benchmark_Matrix!$W$10*1000000/Benchmark_Matrix!$AI$10,"")</f>
        <v/>
      </c>
      <c r="X10" s="81">
        <f>IFERROR(Benchmark_Matrix!$AI$10/Benchmark_Matrix!$AJ$10,"")</f>
        <v/>
      </c>
      <c r="Y10" s="81">
        <f>IF(Benchmark_Matrix!$AN$10="","",Benchmark_Matrix!$AN$10)</f>
        <v/>
      </c>
      <c r="Z10" s="81">
        <f>IF(Benchmark_Matrix!$AP$10="","",Benchmark_Matrix!$AP$10)</f>
        <v/>
      </c>
    </row>
    <row r="11">
      <c r="A11" s="39">
        <f>Benchmark_Matrix!A11</f>
        <v/>
      </c>
      <c r="B11" s="48">
        <f>Benchmark_Matrix!B11</f>
        <v/>
      </c>
      <c r="C11" s="48">
        <f>Benchmark_Matrix!E11</f>
        <v/>
      </c>
      <c r="D11" s="81">
        <f>IFERROR(IF(Benchmark_Matrix!$I$11="",(Benchmark_Matrix!$F$11-Benchmark_Matrix!$H$11)/Benchmark_Matrix!$F$11,Benchmark_Matrix!$I$11/Benchmark_Matrix!$F$11),"")</f>
        <v/>
      </c>
      <c r="E11" s="81">
        <f>IFERROR(Benchmark_Matrix!$K$11/Benchmark_Matrix!$F$11,"")</f>
        <v/>
      </c>
      <c r="F11" s="81">
        <f>IFERROR(Benchmark_Matrix!$L$11/Benchmark_Matrix!$F$11,"")</f>
        <v/>
      </c>
      <c r="G11" s="81">
        <f>IFERROR(Benchmark_Matrix!$Q$11/Benchmark_Matrix!$F$11,"")</f>
        <v/>
      </c>
      <c r="H11" s="81">
        <f>IFERROR(Benchmark_Matrix!$F$11/SUMIFS(Benchmark_Matrix!$F$6:$F$18,Benchmark_Matrix!$A$6:$A$18,Benchmark_Matrix!$A11,Benchmark_Matrix!$B$6:$B$18,Benchmark_Matrix!$B11-1)-1,IF(Benchmark_Matrix!$AM$11="","",Benchmark_Matrix!$AM$11))</f>
        <v/>
      </c>
      <c r="I11" s="81">
        <f>IFERROR(Benchmark_Matrix!$G$11/Benchmark_Matrix!$F$11,"")</f>
        <v/>
      </c>
      <c r="J11" s="23">
        <f>IFERROR(IF(Benchmark_Matrix!$W$11="",Benchmark_Matrix!$U$11,Benchmark_Matrix!$W$11)/Benchmark_Matrix!$F$11*365,"")</f>
        <v/>
      </c>
      <c r="K11" s="23">
        <f>IFERROR(Benchmark_Matrix!$S$11/Benchmark_Matrix!$H$11*365,"")</f>
        <v/>
      </c>
      <c r="L11" s="23">
        <f>IFERROR(Benchmark_Matrix!$T$11/Benchmark_Matrix!$H$11*365,"")</f>
        <v/>
      </c>
      <c r="M11" s="23">
        <f>IFERROR(J11+K11-L11,"")</f>
        <v/>
      </c>
      <c r="N11" s="86">
        <f>IFERROR(Benchmark_Matrix!$Y$11/Benchmark_Matrix!$W$11,"")</f>
        <v/>
      </c>
      <c r="O11" s="86">
        <f>IFERROR(IF(Benchmark_Matrix!$K$11&lt;=0,"",Benchmark_Matrix!$Y$11/Benchmark_Matrix!$K$11),"")</f>
        <v/>
      </c>
      <c r="P11" s="81">
        <f>IFERROR(Benchmark_Matrix!$AC$11/Benchmark_Matrix!$AB$11,"")</f>
        <v/>
      </c>
      <c r="Q11" s="128">
        <f>IF(Benchmark_Matrix!$AA$11&lt;&gt;"",Benchmark_Matrix!$AA$11,IFERROR(Benchmark_Matrix!$AB$11-Benchmark_Matrix!$AC$11,""))</f>
        <v/>
      </c>
      <c r="R11" s="81">
        <f>IFERROR(Benchmark_Matrix!$Q$11/Q11,"")</f>
        <v/>
      </c>
      <c r="S11" s="81">
        <f>IFERROR(Benchmark_Matrix!$O$11/Benchmark_Matrix!$V$11,"")</f>
        <v/>
      </c>
      <c r="T11" s="81">
        <f>IFERROR(Benchmark_Matrix!$O$11/Benchmark_Matrix!$F$11,"")</f>
        <v/>
      </c>
      <c r="U11" s="81">
        <f>IFERROR(Benchmark_Matrix!$O$11/Benchmark_Matrix!$G$11,"")</f>
        <v/>
      </c>
      <c r="V11" s="80">
        <f>IFERROR(Benchmark_Matrix!$F$11*1000000/Benchmark_Matrix!$AI$11,"")</f>
        <v/>
      </c>
      <c r="W11" s="80">
        <f>IFERROR(Benchmark_Matrix!$W$11*1000000/Benchmark_Matrix!$AI$11,"")</f>
        <v/>
      </c>
      <c r="X11" s="81">
        <f>IFERROR(Benchmark_Matrix!$AI$11/Benchmark_Matrix!$AJ$11,"")</f>
        <v/>
      </c>
      <c r="Y11" s="81">
        <f>IF(Benchmark_Matrix!$AN$11="","",Benchmark_Matrix!$AN$11)</f>
        <v/>
      </c>
      <c r="Z11" s="81">
        <f>IF(Benchmark_Matrix!$AP$11="","",Benchmark_Matrix!$AP$11)</f>
        <v/>
      </c>
    </row>
    <row r="12">
      <c r="A12" s="39">
        <f>Benchmark_Matrix!A12</f>
        <v/>
      </c>
      <c r="B12" s="48">
        <f>Benchmark_Matrix!B12</f>
        <v/>
      </c>
      <c r="C12" s="48">
        <f>Benchmark_Matrix!E12</f>
        <v/>
      </c>
      <c r="D12" s="81">
        <f>IFERROR(IF(Benchmark_Matrix!$I$12="",(Benchmark_Matrix!$F$12-Benchmark_Matrix!$H$12)/Benchmark_Matrix!$F$12,Benchmark_Matrix!$I$12/Benchmark_Matrix!$F$12),"")</f>
        <v/>
      </c>
      <c r="E12" s="81">
        <f>IFERROR(Benchmark_Matrix!$K$12/Benchmark_Matrix!$F$12,"")</f>
        <v/>
      </c>
      <c r="F12" s="81">
        <f>IFERROR(Benchmark_Matrix!$L$12/Benchmark_Matrix!$F$12,"")</f>
        <v/>
      </c>
      <c r="G12" s="81">
        <f>IFERROR(Benchmark_Matrix!$Q$12/Benchmark_Matrix!$F$12,"")</f>
        <v/>
      </c>
      <c r="H12" s="81">
        <f>IFERROR(Benchmark_Matrix!$F$12/SUMIFS(Benchmark_Matrix!$F$6:$F$18,Benchmark_Matrix!$A$6:$A$18,Benchmark_Matrix!$A12,Benchmark_Matrix!$B$6:$B$18,Benchmark_Matrix!$B12-1)-1,IF(Benchmark_Matrix!$AM$12="","",Benchmark_Matrix!$AM$12))</f>
        <v/>
      </c>
      <c r="I12" s="81">
        <f>IFERROR(Benchmark_Matrix!$G$12/Benchmark_Matrix!$F$12,"")</f>
        <v/>
      </c>
      <c r="J12" s="23">
        <f>IFERROR(IF(Benchmark_Matrix!$W$12="",Benchmark_Matrix!$U$12,Benchmark_Matrix!$W$12)/Benchmark_Matrix!$F$12*365,"")</f>
        <v/>
      </c>
      <c r="K12" s="23">
        <f>IFERROR(Benchmark_Matrix!$S$12/Benchmark_Matrix!$H$12*365,"")</f>
        <v/>
      </c>
      <c r="L12" s="23">
        <f>IFERROR(Benchmark_Matrix!$T$12/Benchmark_Matrix!$H$12*365,"")</f>
        <v/>
      </c>
      <c r="M12" s="23">
        <f>IFERROR(J12+K12-L12,"")</f>
        <v/>
      </c>
      <c r="N12" s="86">
        <f>IFERROR(Benchmark_Matrix!$Y$12/Benchmark_Matrix!$W$12,"")</f>
        <v/>
      </c>
      <c r="O12" s="86">
        <f>IFERROR(IF(Benchmark_Matrix!$K$12&lt;=0,"",Benchmark_Matrix!$Y$12/Benchmark_Matrix!$K$12),"")</f>
        <v/>
      </c>
      <c r="P12" s="81">
        <f>IFERROR(Benchmark_Matrix!$AC$12/Benchmark_Matrix!$AB$12,"")</f>
        <v/>
      </c>
      <c r="Q12" s="128">
        <f>IF(Benchmark_Matrix!$AA$12&lt;&gt;"",Benchmark_Matrix!$AA$12,IFERROR(Benchmark_Matrix!$AB$12-Benchmark_Matrix!$AC$12,""))</f>
        <v/>
      </c>
      <c r="R12" s="81">
        <f>IFERROR(Benchmark_Matrix!$Q$12/Q12,"")</f>
        <v/>
      </c>
      <c r="S12" s="81">
        <f>IFERROR(Benchmark_Matrix!$O$12/Benchmark_Matrix!$V$12,"")</f>
        <v/>
      </c>
      <c r="T12" s="81">
        <f>IFERROR(Benchmark_Matrix!$O$12/Benchmark_Matrix!$F$12,"")</f>
        <v/>
      </c>
      <c r="U12" s="81">
        <f>IFERROR(Benchmark_Matrix!$O$12/Benchmark_Matrix!$G$12,"")</f>
        <v/>
      </c>
      <c r="V12" s="80">
        <f>IFERROR(Benchmark_Matrix!$F$12*1000000/Benchmark_Matrix!$AI$12,"")</f>
        <v/>
      </c>
      <c r="W12" s="80">
        <f>IFERROR(Benchmark_Matrix!$W$12*1000000/Benchmark_Matrix!$AI$12,"")</f>
        <v/>
      </c>
      <c r="X12" s="81">
        <f>IFERROR(Benchmark_Matrix!$AI$12/Benchmark_Matrix!$AJ$12,"")</f>
        <v/>
      </c>
      <c r="Y12" s="81">
        <f>IF(Benchmark_Matrix!$AN$12="","",Benchmark_Matrix!$AN$12)</f>
        <v/>
      </c>
      <c r="Z12" s="81">
        <f>IF(Benchmark_Matrix!$AP$12="","",Benchmark_Matrix!$AP$12)</f>
        <v/>
      </c>
    </row>
    <row r="13">
      <c r="A13" s="39">
        <f>Benchmark_Matrix!A13</f>
        <v/>
      </c>
      <c r="B13" s="48">
        <f>Benchmark_Matrix!B13</f>
        <v/>
      </c>
      <c r="C13" s="48">
        <f>Benchmark_Matrix!E13</f>
        <v/>
      </c>
      <c r="D13" s="81">
        <f>IFERROR(IF(Benchmark_Matrix!$I$13="",(Benchmark_Matrix!$F$13-Benchmark_Matrix!$H$13)/Benchmark_Matrix!$F$13,Benchmark_Matrix!$I$13/Benchmark_Matrix!$F$13),"")</f>
        <v/>
      </c>
      <c r="E13" s="81">
        <f>IFERROR(Benchmark_Matrix!$K$13/Benchmark_Matrix!$F$13,"")</f>
        <v/>
      </c>
      <c r="F13" s="81">
        <f>IFERROR(Benchmark_Matrix!$L$13/Benchmark_Matrix!$F$13,"")</f>
        <v/>
      </c>
      <c r="G13" s="81">
        <f>IFERROR(Benchmark_Matrix!$Q$13/Benchmark_Matrix!$F$13,"")</f>
        <v/>
      </c>
      <c r="H13" s="81">
        <f>IFERROR(Benchmark_Matrix!$F$13/SUMIFS(Benchmark_Matrix!$F$6:$F$18,Benchmark_Matrix!$A$6:$A$18,Benchmark_Matrix!$A13,Benchmark_Matrix!$B$6:$B$18,Benchmark_Matrix!$B13-1)-1,IF(Benchmark_Matrix!$AM$13="","",Benchmark_Matrix!$AM$13))</f>
        <v/>
      </c>
      <c r="I13" s="81">
        <f>IFERROR(Benchmark_Matrix!$G$13/Benchmark_Matrix!$F$13,"")</f>
        <v/>
      </c>
      <c r="J13" s="23">
        <f>IFERROR(IF(Benchmark_Matrix!$W$13="",Benchmark_Matrix!$U$13,Benchmark_Matrix!$W$13)/Benchmark_Matrix!$F$13*365,"")</f>
        <v/>
      </c>
      <c r="K13" s="23">
        <f>IFERROR(Benchmark_Matrix!$S$13/Benchmark_Matrix!$H$13*365,"")</f>
        <v/>
      </c>
      <c r="L13" s="23">
        <f>IFERROR(Benchmark_Matrix!$T$13/Benchmark_Matrix!$H$13*365,"")</f>
        <v/>
      </c>
      <c r="M13" s="23">
        <f>IFERROR(J13+K13-L13,"")</f>
        <v/>
      </c>
      <c r="N13" s="86">
        <f>IFERROR(Benchmark_Matrix!$Y$13/Benchmark_Matrix!$W$13,"")</f>
        <v/>
      </c>
      <c r="O13" s="86">
        <f>IFERROR(IF(Benchmark_Matrix!$K$13&lt;=0,"",Benchmark_Matrix!$Y$13/Benchmark_Matrix!$K$13),"")</f>
        <v/>
      </c>
      <c r="P13" s="81">
        <f>IFERROR(Benchmark_Matrix!$AC$13/Benchmark_Matrix!$AB$13,"")</f>
        <v/>
      </c>
      <c r="Q13" s="128">
        <f>IF(Benchmark_Matrix!$AA$13&lt;&gt;"",Benchmark_Matrix!$AA$13,IFERROR(Benchmark_Matrix!$AB$13-Benchmark_Matrix!$AC$13,""))</f>
        <v/>
      </c>
      <c r="R13" s="81">
        <f>IFERROR(Benchmark_Matrix!$Q$13/Q13,"")</f>
        <v/>
      </c>
      <c r="S13" s="81">
        <f>IFERROR(Benchmark_Matrix!$O$13/Benchmark_Matrix!$V$13,"")</f>
        <v/>
      </c>
      <c r="T13" s="81">
        <f>IFERROR(Benchmark_Matrix!$O$13/Benchmark_Matrix!$F$13,"")</f>
        <v/>
      </c>
      <c r="U13" s="81">
        <f>IFERROR(Benchmark_Matrix!$O$13/Benchmark_Matrix!$G$13,"")</f>
        <v/>
      </c>
      <c r="V13" s="80">
        <f>IFERROR(Benchmark_Matrix!$F$13*1000000/Benchmark_Matrix!$AI$13,"")</f>
        <v/>
      </c>
      <c r="W13" s="80">
        <f>IFERROR(Benchmark_Matrix!$W$13*1000000/Benchmark_Matrix!$AI$13,"")</f>
        <v/>
      </c>
      <c r="X13" s="81">
        <f>IFERROR(Benchmark_Matrix!$AI$13/Benchmark_Matrix!$AJ$13,"")</f>
        <v/>
      </c>
      <c r="Y13" s="81">
        <f>IF(Benchmark_Matrix!$AN$13="","",Benchmark_Matrix!$AN$13)</f>
        <v/>
      </c>
      <c r="Z13" s="81">
        <f>IF(Benchmark_Matrix!$AP$13="","",Benchmark_Matrix!$AP$13)</f>
        <v/>
      </c>
    </row>
    <row r="14">
      <c r="A14" s="39">
        <f>Benchmark_Matrix!A14</f>
        <v/>
      </c>
      <c r="B14" s="48">
        <f>Benchmark_Matrix!B14</f>
        <v/>
      </c>
      <c r="C14" s="48">
        <f>Benchmark_Matrix!E14</f>
        <v/>
      </c>
      <c r="D14" s="81">
        <f>IFERROR(IF(Benchmark_Matrix!$I$14="",(Benchmark_Matrix!$F$14-Benchmark_Matrix!$H$14)/Benchmark_Matrix!$F$14,Benchmark_Matrix!$I$14/Benchmark_Matrix!$F$14),"")</f>
        <v/>
      </c>
      <c r="E14" s="81">
        <f>IFERROR(Benchmark_Matrix!$K$14/Benchmark_Matrix!$F$14,"")</f>
        <v/>
      </c>
      <c r="F14" s="81">
        <f>IFERROR(Benchmark_Matrix!$L$14/Benchmark_Matrix!$F$14,"")</f>
        <v/>
      </c>
      <c r="G14" s="81">
        <f>IFERROR(Benchmark_Matrix!$Q$14/Benchmark_Matrix!$F$14,"")</f>
        <v/>
      </c>
      <c r="H14" s="81">
        <f>IFERROR(Benchmark_Matrix!$F$14/SUMIFS(Benchmark_Matrix!$F$6:$F$18,Benchmark_Matrix!$A$6:$A$18,Benchmark_Matrix!$A14,Benchmark_Matrix!$B$6:$B$18,Benchmark_Matrix!$B14-1)-1,IF(Benchmark_Matrix!$AM$14="","",Benchmark_Matrix!$AM$14))</f>
        <v/>
      </c>
      <c r="I14" s="81">
        <f>IFERROR(Benchmark_Matrix!$G$14/Benchmark_Matrix!$F$14,"")</f>
        <v/>
      </c>
      <c r="J14" s="23">
        <f>IFERROR(IF(Benchmark_Matrix!$W$14="",Benchmark_Matrix!$U$14,Benchmark_Matrix!$W$14)/Benchmark_Matrix!$F$14*365,"")</f>
        <v/>
      </c>
      <c r="K14" s="23">
        <f>IFERROR(Benchmark_Matrix!$S$14/Benchmark_Matrix!$H$14*365,"")</f>
        <v/>
      </c>
      <c r="L14" s="23">
        <f>IFERROR(Benchmark_Matrix!$T$14/Benchmark_Matrix!$H$14*365,"")</f>
        <v/>
      </c>
      <c r="M14" s="23">
        <f>IFERROR(J14+K14-L14,"")</f>
        <v/>
      </c>
      <c r="N14" s="86">
        <f>IFERROR(Benchmark_Matrix!$Y$14/Benchmark_Matrix!$W$14,"")</f>
        <v/>
      </c>
      <c r="O14" s="86">
        <f>IFERROR(IF(Benchmark_Matrix!$K$14&lt;=0,"",Benchmark_Matrix!$Y$14/Benchmark_Matrix!$K$14),"")</f>
        <v/>
      </c>
      <c r="P14" s="81">
        <f>IFERROR(Benchmark_Matrix!$AC$14/Benchmark_Matrix!$AB$14,"")</f>
        <v/>
      </c>
      <c r="Q14" s="128">
        <f>IF(Benchmark_Matrix!$AA$14&lt;&gt;"",Benchmark_Matrix!$AA$14,IFERROR(Benchmark_Matrix!$AB$14-Benchmark_Matrix!$AC$14,""))</f>
        <v/>
      </c>
      <c r="R14" s="81">
        <f>IFERROR(Benchmark_Matrix!$Q$14/Q14,"")</f>
        <v/>
      </c>
      <c r="S14" s="81">
        <f>IFERROR(Benchmark_Matrix!$O$14/Benchmark_Matrix!$V$14,"")</f>
        <v/>
      </c>
      <c r="T14" s="81">
        <f>IFERROR(Benchmark_Matrix!$O$14/Benchmark_Matrix!$F$14,"")</f>
        <v/>
      </c>
      <c r="U14" s="81">
        <f>IFERROR(Benchmark_Matrix!$O$14/Benchmark_Matrix!$G$14,"")</f>
        <v/>
      </c>
      <c r="V14" s="80">
        <f>IFERROR(Benchmark_Matrix!$F$14*1000000/Benchmark_Matrix!$AI$14,"")</f>
        <v/>
      </c>
      <c r="W14" s="80">
        <f>IFERROR(Benchmark_Matrix!$W$14*1000000/Benchmark_Matrix!$AI$14,"")</f>
        <v/>
      </c>
      <c r="X14" s="81">
        <f>IFERROR(Benchmark_Matrix!$AI$14/Benchmark_Matrix!$AJ$14,"")</f>
        <v/>
      </c>
      <c r="Y14" s="81">
        <f>IF(Benchmark_Matrix!$AN$14="","",Benchmark_Matrix!$AN$14)</f>
        <v/>
      </c>
      <c r="Z14" s="81">
        <f>IF(Benchmark_Matrix!$AP$14="","",Benchmark_Matrix!$AP$14)</f>
        <v/>
      </c>
    </row>
    <row r="15">
      <c r="A15" s="39">
        <f>Benchmark_Matrix!A15</f>
        <v/>
      </c>
      <c r="B15" s="48">
        <f>Benchmark_Matrix!B15</f>
        <v/>
      </c>
      <c r="C15" s="48">
        <f>Benchmark_Matrix!E15</f>
        <v/>
      </c>
      <c r="D15" s="81">
        <f>IFERROR(IF(Benchmark_Matrix!$I$15="",(Benchmark_Matrix!$F$15-Benchmark_Matrix!$H$15)/Benchmark_Matrix!$F$15,Benchmark_Matrix!$I$15/Benchmark_Matrix!$F$15),"")</f>
        <v/>
      </c>
      <c r="E15" s="81">
        <f>IFERROR(Benchmark_Matrix!$K$15/Benchmark_Matrix!$F$15,"")</f>
        <v/>
      </c>
      <c r="F15" s="81">
        <f>IFERROR(Benchmark_Matrix!$L$15/Benchmark_Matrix!$F$15,"")</f>
        <v/>
      </c>
      <c r="G15" s="81">
        <f>IFERROR(Benchmark_Matrix!$Q$15/Benchmark_Matrix!$F$15,"")</f>
        <v/>
      </c>
      <c r="H15" s="81">
        <f>IFERROR(Benchmark_Matrix!$F$15/SUMIFS(Benchmark_Matrix!$F$6:$F$18,Benchmark_Matrix!$A$6:$A$18,Benchmark_Matrix!$A15,Benchmark_Matrix!$B$6:$B$18,Benchmark_Matrix!$B15-1)-1,IF(Benchmark_Matrix!$AM$15="","",Benchmark_Matrix!$AM$15))</f>
        <v/>
      </c>
      <c r="I15" s="81">
        <f>IFERROR(Benchmark_Matrix!$G$15/Benchmark_Matrix!$F$15,"")</f>
        <v/>
      </c>
      <c r="J15" s="23">
        <f>IFERROR(IF(Benchmark_Matrix!$W$15="",Benchmark_Matrix!$U$15,Benchmark_Matrix!$W$15)/Benchmark_Matrix!$F$15*365,"")</f>
        <v/>
      </c>
      <c r="K15" s="23">
        <f>IFERROR(Benchmark_Matrix!$S$15/Benchmark_Matrix!$H$15*365,"")</f>
        <v/>
      </c>
      <c r="L15" s="23">
        <f>IFERROR(Benchmark_Matrix!$T$15/Benchmark_Matrix!$H$15*365,"")</f>
        <v/>
      </c>
      <c r="M15" s="23">
        <f>IFERROR(J15+K15-L15,"")</f>
        <v/>
      </c>
      <c r="N15" s="86">
        <f>IFERROR(Benchmark_Matrix!$Y$15/Benchmark_Matrix!$W$15,"")</f>
        <v/>
      </c>
      <c r="O15" s="86">
        <f>IFERROR(IF(Benchmark_Matrix!$K$15&lt;=0,"",Benchmark_Matrix!$Y$15/Benchmark_Matrix!$K$15),"")</f>
        <v/>
      </c>
      <c r="P15" s="81">
        <f>IFERROR(Benchmark_Matrix!$AC$15/Benchmark_Matrix!$AB$15,"")</f>
        <v/>
      </c>
      <c r="Q15" s="128">
        <f>IF(Benchmark_Matrix!$AA$15&lt;&gt;"",Benchmark_Matrix!$AA$15,IFERROR(Benchmark_Matrix!$AB$15-Benchmark_Matrix!$AC$15,""))</f>
        <v/>
      </c>
      <c r="R15" s="81">
        <f>IFERROR(Benchmark_Matrix!$Q$15/Q15,"")</f>
        <v/>
      </c>
      <c r="S15" s="81">
        <f>IFERROR(Benchmark_Matrix!$O$15/Benchmark_Matrix!$V$15,"")</f>
        <v/>
      </c>
      <c r="T15" s="81">
        <f>IFERROR(Benchmark_Matrix!$O$15/Benchmark_Matrix!$F$15,"")</f>
        <v/>
      </c>
      <c r="U15" s="81">
        <f>IFERROR(Benchmark_Matrix!$O$15/Benchmark_Matrix!$G$15,"")</f>
        <v/>
      </c>
      <c r="V15" s="80">
        <f>IFERROR(Benchmark_Matrix!$F$15*1000000/Benchmark_Matrix!$AI$15,"")</f>
        <v/>
      </c>
      <c r="W15" s="80">
        <f>IFERROR(Benchmark_Matrix!$W$15*1000000/Benchmark_Matrix!$AI$15,"")</f>
        <v/>
      </c>
      <c r="X15" s="81">
        <f>IFERROR(Benchmark_Matrix!$AI$15/Benchmark_Matrix!$AJ$15,"")</f>
        <v/>
      </c>
      <c r="Y15" s="81">
        <f>IF(Benchmark_Matrix!$AN$15="","",Benchmark_Matrix!$AN$15)</f>
        <v/>
      </c>
      <c r="Z15" s="81">
        <f>IF(Benchmark_Matrix!$AP$15="","",Benchmark_Matrix!$AP$15)</f>
        <v/>
      </c>
    </row>
    <row r="16">
      <c r="A16" s="39">
        <f>Benchmark_Matrix!A16</f>
        <v/>
      </c>
      <c r="B16" s="48">
        <f>Benchmark_Matrix!B16</f>
        <v/>
      </c>
      <c r="C16" s="48">
        <f>Benchmark_Matrix!E16</f>
        <v/>
      </c>
      <c r="D16" s="81">
        <f>IFERROR(IF(Benchmark_Matrix!$I$16="",(Benchmark_Matrix!$F$16-Benchmark_Matrix!$H$16)/Benchmark_Matrix!$F$16,Benchmark_Matrix!$I$16/Benchmark_Matrix!$F$16),"")</f>
        <v/>
      </c>
      <c r="E16" s="81">
        <f>IFERROR(Benchmark_Matrix!$K$16/Benchmark_Matrix!$F$16,"")</f>
        <v/>
      </c>
      <c r="F16" s="81">
        <f>IFERROR(Benchmark_Matrix!$L$16/Benchmark_Matrix!$F$16,"")</f>
        <v/>
      </c>
      <c r="G16" s="81">
        <f>IFERROR(Benchmark_Matrix!$Q$16/Benchmark_Matrix!$F$16,"")</f>
        <v/>
      </c>
      <c r="H16" s="81">
        <f>IFERROR(Benchmark_Matrix!$F$16/SUMIFS(Benchmark_Matrix!$F$6:$F$18,Benchmark_Matrix!$A$6:$A$18,Benchmark_Matrix!$A16,Benchmark_Matrix!$B$6:$B$18,Benchmark_Matrix!$B16-1)-1,IF(Benchmark_Matrix!$AM$16="","",Benchmark_Matrix!$AM$16))</f>
        <v/>
      </c>
      <c r="I16" s="81">
        <f>IFERROR(Benchmark_Matrix!$G$16/Benchmark_Matrix!$F$16,"")</f>
        <v/>
      </c>
      <c r="J16" s="23">
        <f>IFERROR(IF(Benchmark_Matrix!$W$16="",Benchmark_Matrix!$U$16,Benchmark_Matrix!$W$16)/Benchmark_Matrix!$F$16*365,"")</f>
        <v/>
      </c>
      <c r="K16" s="23">
        <f>IFERROR(Benchmark_Matrix!$S$16/Benchmark_Matrix!$H$16*365,"")</f>
        <v/>
      </c>
      <c r="L16" s="23">
        <f>IFERROR(Benchmark_Matrix!$T$16/Benchmark_Matrix!$H$16*365,"")</f>
        <v/>
      </c>
      <c r="M16" s="23">
        <f>IFERROR(J16+K16-L16,"")</f>
        <v/>
      </c>
      <c r="N16" s="86">
        <f>IFERROR(Benchmark_Matrix!$Y$16/Benchmark_Matrix!$W$16,"")</f>
        <v/>
      </c>
      <c r="O16" s="86">
        <f>IFERROR(IF(Benchmark_Matrix!$K$16&lt;=0,"",Benchmark_Matrix!$Y$16/Benchmark_Matrix!$K$16),"")</f>
        <v/>
      </c>
      <c r="P16" s="81">
        <f>IFERROR(Benchmark_Matrix!$AC$16/Benchmark_Matrix!$AB$16,"")</f>
        <v/>
      </c>
      <c r="Q16" s="128">
        <f>IF(Benchmark_Matrix!$AA$16&lt;&gt;"",Benchmark_Matrix!$AA$16,IFERROR(Benchmark_Matrix!$AB$16-Benchmark_Matrix!$AC$16,""))</f>
        <v/>
      </c>
      <c r="R16" s="81">
        <f>IFERROR(Benchmark_Matrix!$Q$16/Q16,"")</f>
        <v/>
      </c>
      <c r="S16" s="81">
        <f>IFERROR(Benchmark_Matrix!$O$16/Benchmark_Matrix!$V$16,"")</f>
        <v/>
      </c>
      <c r="T16" s="81">
        <f>IFERROR(Benchmark_Matrix!$O$16/Benchmark_Matrix!$F$16,"")</f>
        <v/>
      </c>
      <c r="U16" s="81">
        <f>IFERROR(Benchmark_Matrix!$O$16/Benchmark_Matrix!$G$16,"")</f>
        <v/>
      </c>
      <c r="V16" s="80">
        <f>IFERROR(Benchmark_Matrix!$F$16*1000000/Benchmark_Matrix!$AI$16,"")</f>
        <v/>
      </c>
      <c r="W16" s="80">
        <f>IFERROR(Benchmark_Matrix!$W$16*1000000/Benchmark_Matrix!$AI$16,"")</f>
        <v/>
      </c>
      <c r="X16" s="81">
        <f>IFERROR(Benchmark_Matrix!$AI$16/Benchmark_Matrix!$AJ$16,"")</f>
        <v/>
      </c>
      <c r="Y16" s="81">
        <f>IF(Benchmark_Matrix!$AN$16="","",Benchmark_Matrix!$AN$16)</f>
        <v/>
      </c>
      <c r="Z16" s="81">
        <f>IF(Benchmark_Matrix!$AP$16="","",Benchmark_Matrix!$AP$16)</f>
        <v/>
      </c>
    </row>
    <row r="17">
      <c r="A17" s="39">
        <f>Benchmark_Matrix!A17</f>
        <v/>
      </c>
      <c r="B17" s="48">
        <f>Benchmark_Matrix!B17</f>
        <v/>
      </c>
      <c r="C17" s="48">
        <f>Benchmark_Matrix!E17</f>
        <v/>
      </c>
      <c r="D17" s="81">
        <f>IFERROR(IF(Benchmark_Matrix!$I$17="",(Benchmark_Matrix!$F$17-Benchmark_Matrix!$H$17)/Benchmark_Matrix!$F$17,Benchmark_Matrix!$I$17/Benchmark_Matrix!$F$17),"")</f>
        <v/>
      </c>
      <c r="E17" s="81">
        <f>IFERROR(Benchmark_Matrix!$K$17/Benchmark_Matrix!$F$17,"")</f>
        <v/>
      </c>
      <c r="F17" s="81">
        <f>IFERROR(Benchmark_Matrix!$L$17/Benchmark_Matrix!$F$17,"")</f>
        <v/>
      </c>
      <c r="G17" s="81">
        <f>IFERROR(Benchmark_Matrix!$Q$17/Benchmark_Matrix!$F$17,"")</f>
        <v/>
      </c>
      <c r="H17" s="81">
        <f>IFERROR(Benchmark_Matrix!$F$17/SUMIFS(Benchmark_Matrix!$F$6:$F$18,Benchmark_Matrix!$A$6:$A$18,Benchmark_Matrix!$A17,Benchmark_Matrix!$B$6:$B$18,Benchmark_Matrix!$B17-1)-1,IF(Benchmark_Matrix!$AM$17="","",Benchmark_Matrix!$AM$17))</f>
        <v/>
      </c>
      <c r="I17" s="81">
        <f>IFERROR(Benchmark_Matrix!$G$17/Benchmark_Matrix!$F$17,"")</f>
        <v/>
      </c>
      <c r="J17" s="23">
        <f>IFERROR(IF(Benchmark_Matrix!$W$17="",Benchmark_Matrix!$U$17,Benchmark_Matrix!$W$17)/Benchmark_Matrix!$F$17*365,"")</f>
        <v/>
      </c>
      <c r="K17" s="23">
        <f>IFERROR(Benchmark_Matrix!$S$17/Benchmark_Matrix!$H$17*365,"")</f>
        <v/>
      </c>
      <c r="L17" s="23">
        <f>IFERROR(Benchmark_Matrix!$T$17/Benchmark_Matrix!$H$17*365,"")</f>
        <v/>
      </c>
      <c r="M17" s="23">
        <f>IFERROR(J17+K17-L17,"")</f>
        <v/>
      </c>
      <c r="N17" s="86">
        <f>IFERROR(Benchmark_Matrix!$Y$17/Benchmark_Matrix!$W$17,"")</f>
        <v/>
      </c>
      <c r="O17" s="86">
        <f>IFERROR(IF(Benchmark_Matrix!$K$17&lt;=0,"",Benchmark_Matrix!$Y$17/Benchmark_Matrix!$K$17),"")</f>
        <v/>
      </c>
      <c r="P17" s="81">
        <f>IFERROR(Benchmark_Matrix!$AC$17/Benchmark_Matrix!$AB$17,"")</f>
        <v/>
      </c>
      <c r="Q17" s="128">
        <f>IF(Benchmark_Matrix!$AA$17&lt;&gt;"",Benchmark_Matrix!$AA$17,IFERROR(Benchmark_Matrix!$AB$17-Benchmark_Matrix!$AC$17,""))</f>
        <v/>
      </c>
      <c r="R17" s="81">
        <f>IFERROR(Benchmark_Matrix!$Q$17/Q17,"")</f>
        <v/>
      </c>
      <c r="S17" s="81">
        <f>IFERROR(Benchmark_Matrix!$O$17/Benchmark_Matrix!$V$17,"")</f>
        <v/>
      </c>
      <c r="T17" s="81">
        <f>IFERROR(Benchmark_Matrix!$O$17/Benchmark_Matrix!$F$17,"")</f>
        <v/>
      </c>
      <c r="U17" s="81">
        <f>IFERROR(Benchmark_Matrix!$O$17/Benchmark_Matrix!$G$17,"")</f>
        <v/>
      </c>
      <c r="V17" s="80">
        <f>IFERROR(Benchmark_Matrix!$F$17*1000000/Benchmark_Matrix!$AI$17,"")</f>
        <v/>
      </c>
      <c r="W17" s="80">
        <f>IFERROR(Benchmark_Matrix!$W$17*1000000/Benchmark_Matrix!$AI$17,"")</f>
        <v/>
      </c>
      <c r="X17" s="81">
        <f>IFERROR(Benchmark_Matrix!$AI$17/Benchmark_Matrix!$AJ$17,"")</f>
        <v/>
      </c>
      <c r="Y17" s="81">
        <f>IF(Benchmark_Matrix!$AN$17="","",Benchmark_Matrix!$AN$17)</f>
        <v/>
      </c>
      <c r="Z17" s="81">
        <f>IF(Benchmark_Matrix!$AP$17="","",Benchmark_Matrix!$AP$17)</f>
        <v/>
      </c>
    </row>
    <row r="18">
      <c r="A18" s="39">
        <f>Benchmark_Matrix!A18</f>
        <v/>
      </c>
      <c r="B18" s="48">
        <f>Benchmark_Matrix!B18</f>
        <v/>
      </c>
      <c r="C18" s="48">
        <f>Benchmark_Matrix!E18</f>
        <v/>
      </c>
      <c r="D18" s="81">
        <f>IFERROR(IF(Benchmark_Matrix!$I$18="",(Benchmark_Matrix!$F$18-Benchmark_Matrix!$H$18)/Benchmark_Matrix!$F$18,Benchmark_Matrix!$I$18/Benchmark_Matrix!$F$18),"")</f>
        <v/>
      </c>
      <c r="E18" s="81">
        <f>IFERROR(Benchmark_Matrix!$K$18/Benchmark_Matrix!$F$18,"")</f>
        <v/>
      </c>
      <c r="F18" s="81">
        <f>IFERROR(Benchmark_Matrix!$L$18/Benchmark_Matrix!$F$18,"")</f>
        <v/>
      </c>
      <c r="G18" s="81">
        <f>IFERROR(Benchmark_Matrix!$Q$18/Benchmark_Matrix!$F$18,"")</f>
        <v/>
      </c>
      <c r="H18" s="81">
        <f>IFERROR(Benchmark_Matrix!$F$18/SUMIFS(Benchmark_Matrix!$F$6:$F$18,Benchmark_Matrix!$A$6:$A$18,Benchmark_Matrix!$A18,Benchmark_Matrix!$B$6:$B$18,Benchmark_Matrix!$B18-1)-1,IF(Benchmark_Matrix!$AM$18="","",Benchmark_Matrix!$AM$18))</f>
        <v/>
      </c>
      <c r="I18" s="81">
        <f>IFERROR(Benchmark_Matrix!$G$18/Benchmark_Matrix!$F$18,"")</f>
        <v/>
      </c>
      <c r="J18" s="23">
        <f>IFERROR(IF(Benchmark_Matrix!$W$18="",Benchmark_Matrix!$U$18,Benchmark_Matrix!$W$18)/Benchmark_Matrix!$F$18*365,"")</f>
        <v/>
      </c>
      <c r="K18" s="23">
        <f>IFERROR(Benchmark_Matrix!$S$18/Benchmark_Matrix!$H$18*365,"")</f>
        <v/>
      </c>
      <c r="L18" s="23">
        <f>IFERROR(Benchmark_Matrix!$T$18/Benchmark_Matrix!$H$18*365,"")</f>
        <v/>
      </c>
      <c r="M18" s="23">
        <f>IFERROR(J18+K18-L18,"")</f>
        <v/>
      </c>
      <c r="N18" s="86">
        <f>IFERROR(Benchmark_Matrix!$Y$18/Benchmark_Matrix!$W$18,"")</f>
        <v/>
      </c>
      <c r="O18" s="86">
        <f>IFERROR(IF(Benchmark_Matrix!$K$18&lt;=0,"",Benchmark_Matrix!$Y$18/Benchmark_Matrix!$K$18),"")</f>
        <v/>
      </c>
      <c r="P18" s="81">
        <f>IFERROR(Benchmark_Matrix!$AC$18/Benchmark_Matrix!$AB$18,"")</f>
        <v/>
      </c>
      <c r="Q18" s="128">
        <f>IF(Benchmark_Matrix!$AA$18&lt;&gt;"",Benchmark_Matrix!$AA$18,IFERROR(Benchmark_Matrix!$AB$18-Benchmark_Matrix!$AC$18,""))</f>
        <v/>
      </c>
      <c r="R18" s="81">
        <f>IFERROR(Benchmark_Matrix!$Q$18/Q18,"")</f>
        <v/>
      </c>
      <c r="S18" s="81">
        <f>IFERROR(Benchmark_Matrix!$O$18/Benchmark_Matrix!$V$18,"")</f>
        <v/>
      </c>
      <c r="T18" s="81">
        <f>IFERROR(Benchmark_Matrix!$O$18/Benchmark_Matrix!$F$18,"")</f>
        <v/>
      </c>
      <c r="U18" s="81">
        <f>IFERROR(Benchmark_Matrix!$O$18/Benchmark_Matrix!$G$18,"")</f>
        <v/>
      </c>
      <c r="V18" s="80">
        <f>IFERROR(Benchmark_Matrix!$F$18*1000000/Benchmark_Matrix!$AI$18,"")</f>
        <v/>
      </c>
      <c r="W18" s="80">
        <f>IFERROR(Benchmark_Matrix!$W$18*1000000/Benchmark_Matrix!$AI$18,"")</f>
        <v/>
      </c>
      <c r="X18" s="81">
        <f>IFERROR(Benchmark_Matrix!$AI$18/Benchmark_Matrix!$AJ$18,"")</f>
        <v/>
      </c>
      <c r="Y18" s="81">
        <f>IF(Benchmark_Matrix!$AN$18="","",Benchmark_Matrix!$AN$18)</f>
        <v/>
      </c>
      <c r="Z18" s="81">
        <f>IF(Benchmark_Matrix!$AP$18="","",Benchmark_Matrix!$AP$18)</f>
        <v/>
      </c>
    </row>
    <row r="19"/>
    <row r="20">
      <c r="A20" s="109" t="inlineStr">
        <is>
          <t>Peer-only values (graded A-C, usable): feed the peer ranges</t>
        </is>
      </c>
    </row>
    <row r="21">
      <c r="A21" s="50">
        <f>A6</f>
        <v/>
      </c>
      <c r="B21" s="23">
        <f>B6</f>
        <v/>
      </c>
      <c r="D21" s="81">
        <f>IF(AND($C6=1,ISNUMBER(D6)),D6,"")</f>
        <v/>
      </c>
      <c r="E21" s="81">
        <f>IF(AND($C6=1,ISNUMBER(E6)),E6,"")</f>
        <v/>
      </c>
      <c r="F21" s="81">
        <f>IF(AND($C6=1,ISNUMBER(F6)),F6,"")</f>
        <v/>
      </c>
      <c r="G21" s="81">
        <f>IF(AND($C6=1,ISNUMBER(G6)),G6,"")</f>
        <v/>
      </c>
      <c r="H21" s="81">
        <f>IF(AND($C6=1,ISNUMBER(H6)),H6,"")</f>
        <v/>
      </c>
      <c r="I21" s="81">
        <f>IF(AND($C6=1,ISNUMBER(I6)),I6,"")</f>
        <v/>
      </c>
      <c r="J21" s="23">
        <f>IF(AND($C6=1,ISNUMBER(J6)),J6,"")</f>
        <v/>
      </c>
      <c r="K21" s="23">
        <f>IF(AND($C6=1,ISNUMBER(K6)),K6,"")</f>
        <v/>
      </c>
      <c r="L21" s="23">
        <f>IF(AND($C6=1,ISNUMBER(L6)),L6,"")</f>
        <v/>
      </c>
      <c r="M21" s="23">
        <f>IF(AND($C6=1,ISNUMBER(M6)),M6,"")</f>
        <v/>
      </c>
      <c r="N21" s="86">
        <f>IF(AND($C6=1,ISNUMBER(N6)),N6,"")</f>
        <v/>
      </c>
      <c r="O21" s="86">
        <f>IF(AND($C6=1,ISNUMBER(O6)),O6,"")</f>
        <v/>
      </c>
      <c r="P21" s="81">
        <f>IF(AND($C6=1,ISNUMBER(P6)),P6,"")</f>
        <v/>
      </c>
      <c r="Q21" s="128">
        <f>IF(AND($C6=1,ISNUMBER(Q6)),Q6,"")</f>
        <v/>
      </c>
      <c r="R21" s="81">
        <f>IF(AND($C6=1,ISNUMBER(R6)),R6,"")</f>
        <v/>
      </c>
      <c r="S21" s="81">
        <f>IF(AND($C6=1,ISNUMBER(S6)),S6,"")</f>
        <v/>
      </c>
      <c r="T21" s="81">
        <f>IF(AND($C6=1,ISNUMBER(T6)),T6,"")</f>
        <v/>
      </c>
      <c r="U21" s="81">
        <f>IF(AND($C6=1,ISNUMBER(U6)),U6,"")</f>
        <v/>
      </c>
      <c r="V21" s="80">
        <f>IF(AND($C6=1,ISNUMBER(V6)),V6,"")</f>
        <v/>
      </c>
      <c r="W21" s="80">
        <f>IF(AND($C6=1,ISNUMBER(W6)),W6,"")</f>
        <v/>
      </c>
      <c r="X21" s="81">
        <f>IF(AND($C6=1,ISNUMBER(X6)),X6,"")</f>
        <v/>
      </c>
      <c r="Y21" s="81">
        <f>IF(AND($C6=1,ISNUMBER(Y6)),Y6,"")</f>
        <v/>
      </c>
      <c r="Z21" s="81">
        <f>IF(AND($C6=1,ISNUMBER(Z6)),Z6,"")</f>
        <v/>
      </c>
    </row>
    <row r="22">
      <c r="A22" s="50">
        <f>A7</f>
        <v/>
      </c>
      <c r="B22" s="23">
        <f>B7</f>
        <v/>
      </c>
      <c r="D22" s="81">
        <f>IF(AND($C7=1,ISNUMBER(D7)),D7,"")</f>
        <v/>
      </c>
      <c r="E22" s="81">
        <f>IF(AND($C7=1,ISNUMBER(E7)),E7,"")</f>
        <v/>
      </c>
      <c r="F22" s="81">
        <f>IF(AND($C7=1,ISNUMBER(F7)),F7,"")</f>
        <v/>
      </c>
      <c r="G22" s="81">
        <f>IF(AND($C7=1,ISNUMBER(G7)),G7,"")</f>
        <v/>
      </c>
      <c r="H22" s="81">
        <f>IF(AND($C7=1,ISNUMBER(H7)),H7,"")</f>
        <v/>
      </c>
      <c r="I22" s="81">
        <f>IF(AND($C7=1,ISNUMBER(I7)),I7,"")</f>
        <v/>
      </c>
      <c r="J22" s="23">
        <f>IF(AND($C7=1,ISNUMBER(J7)),J7,"")</f>
        <v/>
      </c>
      <c r="K22" s="23">
        <f>IF(AND($C7=1,ISNUMBER(K7)),K7,"")</f>
        <v/>
      </c>
      <c r="L22" s="23">
        <f>IF(AND($C7=1,ISNUMBER(L7)),L7,"")</f>
        <v/>
      </c>
      <c r="M22" s="23">
        <f>IF(AND($C7=1,ISNUMBER(M7)),M7,"")</f>
        <v/>
      </c>
      <c r="N22" s="86">
        <f>IF(AND($C7=1,ISNUMBER(N7)),N7,"")</f>
        <v/>
      </c>
      <c r="O22" s="86">
        <f>IF(AND($C7=1,ISNUMBER(O7)),O7,"")</f>
        <v/>
      </c>
      <c r="P22" s="81">
        <f>IF(AND($C7=1,ISNUMBER(P7)),P7,"")</f>
        <v/>
      </c>
      <c r="Q22" s="128">
        <f>IF(AND($C7=1,ISNUMBER(Q7)),Q7,"")</f>
        <v/>
      </c>
      <c r="R22" s="81">
        <f>IF(AND($C7=1,ISNUMBER(R7)),R7,"")</f>
        <v/>
      </c>
      <c r="S22" s="81">
        <f>IF(AND($C7=1,ISNUMBER(S7)),S7,"")</f>
        <v/>
      </c>
      <c r="T22" s="81">
        <f>IF(AND($C7=1,ISNUMBER(T7)),T7,"")</f>
        <v/>
      </c>
      <c r="U22" s="81">
        <f>IF(AND($C7=1,ISNUMBER(U7)),U7,"")</f>
        <v/>
      </c>
      <c r="V22" s="80">
        <f>IF(AND($C7=1,ISNUMBER(V7)),V7,"")</f>
        <v/>
      </c>
      <c r="W22" s="80">
        <f>IF(AND($C7=1,ISNUMBER(W7)),W7,"")</f>
        <v/>
      </c>
      <c r="X22" s="81">
        <f>IF(AND($C7=1,ISNUMBER(X7)),X7,"")</f>
        <v/>
      </c>
      <c r="Y22" s="81">
        <f>IF(AND($C7=1,ISNUMBER(Y7)),Y7,"")</f>
        <v/>
      </c>
      <c r="Z22" s="81">
        <f>IF(AND($C7=1,ISNUMBER(Z7)),Z7,"")</f>
        <v/>
      </c>
    </row>
    <row r="23">
      <c r="A23" s="50">
        <f>A8</f>
        <v/>
      </c>
      <c r="B23" s="23">
        <f>B8</f>
        <v/>
      </c>
      <c r="D23" s="81">
        <f>IF(AND($C8=1,ISNUMBER(D8)),D8,"")</f>
        <v/>
      </c>
      <c r="E23" s="81">
        <f>IF(AND($C8=1,ISNUMBER(E8)),E8,"")</f>
        <v/>
      </c>
      <c r="F23" s="81">
        <f>IF(AND($C8=1,ISNUMBER(F8)),F8,"")</f>
        <v/>
      </c>
      <c r="G23" s="81">
        <f>IF(AND($C8=1,ISNUMBER(G8)),G8,"")</f>
        <v/>
      </c>
      <c r="H23" s="81">
        <f>IF(AND($C8=1,ISNUMBER(H8)),H8,"")</f>
        <v/>
      </c>
      <c r="I23" s="81">
        <f>IF(AND($C8=1,ISNUMBER(I8)),I8,"")</f>
        <v/>
      </c>
      <c r="J23" s="23">
        <f>IF(AND($C8=1,ISNUMBER(J8)),J8,"")</f>
        <v/>
      </c>
      <c r="K23" s="23">
        <f>IF(AND($C8=1,ISNUMBER(K8)),K8,"")</f>
        <v/>
      </c>
      <c r="L23" s="23">
        <f>IF(AND($C8=1,ISNUMBER(L8)),L8,"")</f>
        <v/>
      </c>
      <c r="M23" s="23">
        <f>IF(AND($C8=1,ISNUMBER(M8)),M8,"")</f>
        <v/>
      </c>
      <c r="N23" s="86">
        <f>IF(AND($C8=1,ISNUMBER(N8)),N8,"")</f>
        <v/>
      </c>
      <c r="O23" s="86">
        <f>IF(AND($C8=1,ISNUMBER(O8)),O8,"")</f>
        <v/>
      </c>
      <c r="P23" s="81">
        <f>IF(AND($C8=1,ISNUMBER(P8)),P8,"")</f>
        <v/>
      </c>
      <c r="Q23" s="128">
        <f>IF(AND($C8=1,ISNUMBER(Q8)),Q8,"")</f>
        <v/>
      </c>
      <c r="R23" s="81">
        <f>IF(AND($C8=1,ISNUMBER(R8)),R8,"")</f>
        <v/>
      </c>
      <c r="S23" s="81">
        <f>IF(AND($C8=1,ISNUMBER(S8)),S8,"")</f>
        <v/>
      </c>
      <c r="T23" s="81">
        <f>IF(AND($C8=1,ISNUMBER(T8)),T8,"")</f>
        <v/>
      </c>
      <c r="U23" s="81">
        <f>IF(AND($C8=1,ISNUMBER(U8)),U8,"")</f>
        <v/>
      </c>
      <c r="V23" s="80">
        <f>IF(AND($C8=1,ISNUMBER(V8)),V8,"")</f>
        <v/>
      </c>
      <c r="W23" s="80">
        <f>IF(AND($C8=1,ISNUMBER(W8)),W8,"")</f>
        <v/>
      </c>
      <c r="X23" s="81">
        <f>IF(AND($C8=1,ISNUMBER(X8)),X8,"")</f>
        <v/>
      </c>
      <c r="Y23" s="81">
        <f>IF(AND($C8=1,ISNUMBER(Y8)),Y8,"")</f>
        <v/>
      </c>
      <c r="Z23" s="81">
        <f>IF(AND($C8=1,ISNUMBER(Z8)),Z8,"")</f>
        <v/>
      </c>
    </row>
    <row r="24">
      <c r="A24" s="50">
        <f>A9</f>
        <v/>
      </c>
      <c r="B24" s="23">
        <f>B9</f>
        <v/>
      </c>
      <c r="D24" s="81">
        <f>IF(AND($C9=1,ISNUMBER(D9)),D9,"")</f>
        <v/>
      </c>
      <c r="E24" s="81">
        <f>IF(AND($C9=1,ISNUMBER(E9)),E9,"")</f>
        <v/>
      </c>
      <c r="F24" s="81">
        <f>IF(AND($C9=1,ISNUMBER(F9)),F9,"")</f>
        <v/>
      </c>
      <c r="G24" s="81">
        <f>IF(AND($C9=1,ISNUMBER(G9)),G9,"")</f>
        <v/>
      </c>
      <c r="H24" s="81">
        <f>IF(AND($C9=1,ISNUMBER(H9)),H9,"")</f>
        <v/>
      </c>
      <c r="I24" s="81">
        <f>IF(AND($C9=1,ISNUMBER(I9)),I9,"")</f>
        <v/>
      </c>
      <c r="J24" s="23">
        <f>IF(AND($C9=1,ISNUMBER(J9)),J9,"")</f>
        <v/>
      </c>
      <c r="K24" s="23">
        <f>IF(AND($C9=1,ISNUMBER(K9)),K9,"")</f>
        <v/>
      </c>
      <c r="L24" s="23">
        <f>IF(AND($C9=1,ISNUMBER(L9)),L9,"")</f>
        <v/>
      </c>
      <c r="M24" s="23">
        <f>IF(AND($C9=1,ISNUMBER(M9)),M9,"")</f>
        <v/>
      </c>
      <c r="N24" s="86">
        <f>IF(AND($C9=1,ISNUMBER(N9)),N9,"")</f>
        <v/>
      </c>
      <c r="O24" s="86">
        <f>IF(AND($C9=1,ISNUMBER(O9)),O9,"")</f>
        <v/>
      </c>
      <c r="P24" s="81">
        <f>IF(AND($C9=1,ISNUMBER(P9)),P9,"")</f>
        <v/>
      </c>
      <c r="Q24" s="128">
        <f>IF(AND($C9=1,ISNUMBER(Q9)),Q9,"")</f>
        <v/>
      </c>
      <c r="R24" s="81">
        <f>IF(AND($C9=1,ISNUMBER(R9)),R9,"")</f>
        <v/>
      </c>
      <c r="S24" s="81">
        <f>IF(AND($C9=1,ISNUMBER(S9)),S9,"")</f>
        <v/>
      </c>
      <c r="T24" s="81">
        <f>IF(AND($C9=1,ISNUMBER(T9)),T9,"")</f>
        <v/>
      </c>
      <c r="U24" s="81">
        <f>IF(AND($C9=1,ISNUMBER(U9)),U9,"")</f>
        <v/>
      </c>
      <c r="V24" s="80">
        <f>IF(AND($C9=1,ISNUMBER(V9)),V9,"")</f>
        <v/>
      </c>
      <c r="W24" s="80">
        <f>IF(AND($C9=1,ISNUMBER(W9)),W9,"")</f>
        <v/>
      </c>
      <c r="X24" s="81">
        <f>IF(AND($C9=1,ISNUMBER(X9)),X9,"")</f>
        <v/>
      </c>
      <c r="Y24" s="81">
        <f>IF(AND($C9=1,ISNUMBER(Y9)),Y9,"")</f>
        <v/>
      </c>
      <c r="Z24" s="81">
        <f>IF(AND($C9=1,ISNUMBER(Z9)),Z9,"")</f>
        <v/>
      </c>
    </row>
    <row r="25">
      <c r="A25" s="50">
        <f>A10</f>
        <v/>
      </c>
      <c r="B25" s="23">
        <f>B10</f>
        <v/>
      </c>
      <c r="D25" s="81">
        <f>IF(AND($C10=1,ISNUMBER(D10)),D10,"")</f>
        <v/>
      </c>
      <c r="E25" s="81">
        <f>IF(AND($C10=1,ISNUMBER(E10)),E10,"")</f>
        <v/>
      </c>
      <c r="F25" s="81">
        <f>IF(AND($C10=1,ISNUMBER(F10)),F10,"")</f>
        <v/>
      </c>
      <c r="G25" s="81">
        <f>IF(AND($C10=1,ISNUMBER(G10)),G10,"")</f>
        <v/>
      </c>
      <c r="H25" s="81">
        <f>IF(AND($C10=1,ISNUMBER(H10)),H10,"")</f>
        <v/>
      </c>
      <c r="I25" s="81">
        <f>IF(AND($C10=1,ISNUMBER(I10)),I10,"")</f>
        <v/>
      </c>
      <c r="J25" s="23">
        <f>IF(AND($C10=1,ISNUMBER(J10)),J10,"")</f>
        <v/>
      </c>
      <c r="K25" s="23">
        <f>IF(AND($C10=1,ISNUMBER(K10)),K10,"")</f>
        <v/>
      </c>
      <c r="L25" s="23">
        <f>IF(AND($C10=1,ISNUMBER(L10)),L10,"")</f>
        <v/>
      </c>
      <c r="M25" s="23">
        <f>IF(AND($C10=1,ISNUMBER(M10)),M10,"")</f>
        <v/>
      </c>
      <c r="N25" s="86">
        <f>IF(AND($C10=1,ISNUMBER(N10)),N10,"")</f>
        <v/>
      </c>
      <c r="O25" s="86">
        <f>IF(AND($C10=1,ISNUMBER(O10)),O10,"")</f>
        <v/>
      </c>
      <c r="P25" s="81">
        <f>IF(AND($C10=1,ISNUMBER(P10)),P10,"")</f>
        <v/>
      </c>
      <c r="Q25" s="128">
        <f>IF(AND($C10=1,ISNUMBER(Q10)),Q10,"")</f>
        <v/>
      </c>
      <c r="R25" s="81">
        <f>IF(AND($C10=1,ISNUMBER(R10)),R10,"")</f>
        <v/>
      </c>
      <c r="S25" s="81">
        <f>IF(AND($C10=1,ISNUMBER(S10)),S10,"")</f>
        <v/>
      </c>
      <c r="T25" s="81">
        <f>IF(AND($C10=1,ISNUMBER(T10)),T10,"")</f>
        <v/>
      </c>
      <c r="U25" s="81">
        <f>IF(AND($C10=1,ISNUMBER(U10)),U10,"")</f>
        <v/>
      </c>
      <c r="V25" s="80">
        <f>IF(AND($C10=1,ISNUMBER(V10)),V10,"")</f>
        <v/>
      </c>
      <c r="W25" s="80">
        <f>IF(AND($C10=1,ISNUMBER(W10)),W10,"")</f>
        <v/>
      </c>
      <c r="X25" s="81">
        <f>IF(AND($C10=1,ISNUMBER(X10)),X10,"")</f>
        <v/>
      </c>
      <c r="Y25" s="81">
        <f>IF(AND($C10=1,ISNUMBER(Y10)),Y10,"")</f>
        <v/>
      </c>
      <c r="Z25" s="81">
        <f>IF(AND($C10=1,ISNUMBER(Z10)),Z10,"")</f>
        <v/>
      </c>
    </row>
    <row r="26">
      <c r="A26" s="50">
        <f>A11</f>
        <v/>
      </c>
      <c r="B26" s="23">
        <f>B11</f>
        <v/>
      </c>
      <c r="D26" s="81">
        <f>IF(AND($C11=1,ISNUMBER(D11)),D11,"")</f>
        <v/>
      </c>
      <c r="E26" s="81">
        <f>IF(AND($C11=1,ISNUMBER(E11)),E11,"")</f>
        <v/>
      </c>
      <c r="F26" s="81">
        <f>IF(AND($C11=1,ISNUMBER(F11)),F11,"")</f>
        <v/>
      </c>
      <c r="G26" s="81">
        <f>IF(AND($C11=1,ISNUMBER(G11)),G11,"")</f>
        <v/>
      </c>
      <c r="H26" s="81">
        <f>IF(AND($C11=1,ISNUMBER(H11)),H11,"")</f>
        <v/>
      </c>
      <c r="I26" s="81">
        <f>IF(AND($C11=1,ISNUMBER(I11)),I11,"")</f>
        <v/>
      </c>
      <c r="J26" s="23">
        <f>IF(AND($C11=1,ISNUMBER(J11)),J11,"")</f>
        <v/>
      </c>
      <c r="K26" s="23">
        <f>IF(AND($C11=1,ISNUMBER(K11)),K11,"")</f>
        <v/>
      </c>
      <c r="L26" s="23">
        <f>IF(AND($C11=1,ISNUMBER(L11)),L11,"")</f>
        <v/>
      </c>
      <c r="M26" s="23">
        <f>IF(AND($C11=1,ISNUMBER(M11)),M11,"")</f>
        <v/>
      </c>
      <c r="N26" s="86">
        <f>IF(AND($C11=1,ISNUMBER(N11)),N11,"")</f>
        <v/>
      </c>
      <c r="O26" s="86">
        <f>IF(AND($C11=1,ISNUMBER(O11)),O11,"")</f>
        <v/>
      </c>
      <c r="P26" s="81">
        <f>IF(AND($C11=1,ISNUMBER(P11)),P11,"")</f>
        <v/>
      </c>
      <c r="Q26" s="128">
        <f>IF(AND($C11=1,ISNUMBER(Q11)),Q11,"")</f>
        <v/>
      </c>
      <c r="R26" s="81">
        <f>IF(AND($C11=1,ISNUMBER(R11)),R11,"")</f>
        <v/>
      </c>
      <c r="S26" s="81">
        <f>IF(AND($C11=1,ISNUMBER(S11)),S11,"")</f>
        <v/>
      </c>
      <c r="T26" s="81">
        <f>IF(AND($C11=1,ISNUMBER(T11)),T11,"")</f>
        <v/>
      </c>
      <c r="U26" s="81">
        <f>IF(AND($C11=1,ISNUMBER(U11)),U11,"")</f>
        <v/>
      </c>
      <c r="V26" s="80">
        <f>IF(AND($C11=1,ISNUMBER(V11)),V11,"")</f>
        <v/>
      </c>
      <c r="W26" s="80">
        <f>IF(AND($C11=1,ISNUMBER(W11)),W11,"")</f>
        <v/>
      </c>
      <c r="X26" s="81">
        <f>IF(AND($C11=1,ISNUMBER(X11)),X11,"")</f>
        <v/>
      </c>
      <c r="Y26" s="81">
        <f>IF(AND($C11=1,ISNUMBER(Y11)),Y11,"")</f>
        <v/>
      </c>
      <c r="Z26" s="81">
        <f>IF(AND($C11=1,ISNUMBER(Z11)),Z11,"")</f>
        <v/>
      </c>
    </row>
    <row r="27">
      <c r="A27" s="50">
        <f>A12</f>
        <v/>
      </c>
      <c r="B27" s="23">
        <f>B12</f>
        <v/>
      </c>
      <c r="D27" s="81">
        <f>IF(AND($C12=1,ISNUMBER(D12)),D12,"")</f>
        <v/>
      </c>
      <c r="E27" s="81">
        <f>IF(AND($C12=1,ISNUMBER(E12)),E12,"")</f>
        <v/>
      </c>
      <c r="F27" s="81">
        <f>IF(AND($C12=1,ISNUMBER(F12)),F12,"")</f>
        <v/>
      </c>
      <c r="G27" s="81">
        <f>IF(AND($C12=1,ISNUMBER(G12)),G12,"")</f>
        <v/>
      </c>
      <c r="H27" s="81">
        <f>IF(AND($C12=1,ISNUMBER(H12)),H12,"")</f>
        <v/>
      </c>
      <c r="I27" s="81">
        <f>IF(AND($C12=1,ISNUMBER(I12)),I12,"")</f>
        <v/>
      </c>
      <c r="J27" s="23">
        <f>IF(AND($C12=1,ISNUMBER(J12)),J12,"")</f>
        <v/>
      </c>
      <c r="K27" s="23">
        <f>IF(AND($C12=1,ISNUMBER(K12)),K12,"")</f>
        <v/>
      </c>
      <c r="L27" s="23">
        <f>IF(AND($C12=1,ISNUMBER(L12)),L12,"")</f>
        <v/>
      </c>
      <c r="M27" s="23">
        <f>IF(AND($C12=1,ISNUMBER(M12)),M12,"")</f>
        <v/>
      </c>
      <c r="N27" s="86">
        <f>IF(AND($C12=1,ISNUMBER(N12)),N12,"")</f>
        <v/>
      </c>
      <c r="O27" s="86">
        <f>IF(AND($C12=1,ISNUMBER(O12)),O12,"")</f>
        <v/>
      </c>
      <c r="P27" s="81">
        <f>IF(AND($C12=1,ISNUMBER(P12)),P12,"")</f>
        <v/>
      </c>
      <c r="Q27" s="128">
        <f>IF(AND($C12=1,ISNUMBER(Q12)),Q12,"")</f>
        <v/>
      </c>
      <c r="R27" s="81">
        <f>IF(AND($C12=1,ISNUMBER(R12)),R12,"")</f>
        <v/>
      </c>
      <c r="S27" s="81">
        <f>IF(AND($C12=1,ISNUMBER(S12)),S12,"")</f>
        <v/>
      </c>
      <c r="T27" s="81">
        <f>IF(AND($C12=1,ISNUMBER(T12)),T12,"")</f>
        <v/>
      </c>
      <c r="U27" s="81">
        <f>IF(AND($C12=1,ISNUMBER(U12)),U12,"")</f>
        <v/>
      </c>
      <c r="V27" s="80">
        <f>IF(AND($C12=1,ISNUMBER(V12)),V12,"")</f>
        <v/>
      </c>
      <c r="W27" s="80">
        <f>IF(AND($C12=1,ISNUMBER(W12)),W12,"")</f>
        <v/>
      </c>
      <c r="X27" s="81">
        <f>IF(AND($C12=1,ISNUMBER(X12)),X12,"")</f>
        <v/>
      </c>
      <c r="Y27" s="81">
        <f>IF(AND($C12=1,ISNUMBER(Y12)),Y12,"")</f>
        <v/>
      </c>
      <c r="Z27" s="81">
        <f>IF(AND($C12=1,ISNUMBER(Z12)),Z12,"")</f>
        <v/>
      </c>
    </row>
    <row r="28">
      <c r="A28" s="50">
        <f>A13</f>
        <v/>
      </c>
      <c r="B28" s="23">
        <f>B13</f>
        <v/>
      </c>
      <c r="D28" s="81">
        <f>IF(AND($C13=1,ISNUMBER(D13)),D13,"")</f>
        <v/>
      </c>
      <c r="E28" s="81">
        <f>IF(AND($C13=1,ISNUMBER(E13)),E13,"")</f>
        <v/>
      </c>
      <c r="F28" s="81">
        <f>IF(AND($C13=1,ISNUMBER(F13)),F13,"")</f>
        <v/>
      </c>
      <c r="G28" s="81">
        <f>IF(AND($C13=1,ISNUMBER(G13)),G13,"")</f>
        <v/>
      </c>
      <c r="H28" s="81">
        <f>IF(AND($C13=1,ISNUMBER(H13)),H13,"")</f>
        <v/>
      </c>
      <c r="I28" s="81">
        <f>IF(AND($C13=1,ISNUMBER(I13)),I13,"")</f>
        <v/>
      </c>
      <c r="J28" s="23">
        <f>IF(AND($C13=1,ISNUMBER(J13)),J13,"")</f>
        <v/>
      </c>
      <c r="K28" s="23">
        <f>IF(AND($C13=1,ISNUMBER(K13)),K13,"")</f>
        <v/>
      </c>
      <c r="L28" s="23">
        <f>IF(AND($C13=1,ISNUMBER(L13)),L13,"")</f>
        <v/>
      </c>
      <c r="M28" s="23">
        <f>IF(AND($C13=1,ISNUMBER(M13)),M13,"")</f>
        <v/>
      </c>
      <c r="N28" s="86">
        <f>IF(AND($C13=1,ISNUMBER(N13)),N13,"")</f>
        <v/>
      </c>
      <c r="O28" s="86">
        <f>IF(AND($C13=1,ISNUMBER(O13)),O13,"")</f>
        <v/>
      </c>
      <c r="P28" s="81">
        <f>IF(AND($C13=1,ISNUMBER(P13)),P13,"")</f>
        <v/>
      </c>
      <c r="Q28" s="128">
        <f>IF(AND($C13=1,ISNUMBER(Q13)),Q13,"")</f>
        <v/>
      </c>
      <c r="R28" s="81">
        <f>IF(AND($C13=1,ISNUMBER(R13)),R13,"")</f>
        <v/>
      </c>
      <c r="S28" s="81">
        <f>IF(AND($C13=1,ISNUMBER(S13)),S13,"")</f>
        <v/>
      </c>
      <c r="T28" s="81">
        <f>IF(AND($C13=1,ISNUMBER(T13)),T13,"")</f>
        <v/>
      </c>
      <c r="U28" s="81">
        <f>IF(AND($C13=1,ISNUMBER(U13)),U13,"")</f>
        <v/>
      </c>
      <c r="V28" s="80">
        <f>IF(AND($C13=1,ISNUMBER(V13)),V13,"")</f>
        <v/>
      </c>
      <c r="W28" s="80">
        <f>IF(AND($C13=1,ISNUMBER(W13)),W13,"")</f>
        <v/>
      </c>
      <c r="X28" s="81">
        <f>IF(AND($C13=1,ISNUMBER(X13)),X13,"")</f>
        <v/>
      </c>
      <c r="Y28" s="81">
        <f>IF(AND($C13=1,ISNUMBER(Y13)),Y13,"")</f>
        <v/>
      </c>
      <c r="Z28" s="81">
        <f>IF(AND($C13=1,ISNUMBER(Z13)),Z13,"")</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23.xml><?xml version="1.0" encoding="utf-8"?>
<worksheet xmlns="http://schemas.openxmlformats.org/spreadsheetml/2006/main">
  <sheetPr>
    <tabColor rgb="007030A0"/>
    <outlinePr summaryBelow="1" summaryRight="1"/>
    <pageSetUpPr fitToPage="1"/>
  </sheetPr>
  <dimension ref="A1:O16"/>
  <sheetViews>
    <sheetView showGridLines="0" workbookViewId="0">
      <selection activeCell="A1" sqref="A1"/>
    </sheetView>
  </sheetViews>
  <sheetFormatPr baseColWidth="8" defaultRowHeight="15"/>
  <cols>
    <col width="3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60" customWidth="1" min="15" max="15"/>
  </cols>
  <sheetData>
    <row r="1">
      <c r="A1" s="17" t="inlineStr">
        <is>
          <t>Market benchmark: PAYGo / off-grid companies vs this model</t>
        </is>
      </c>
    </row>
    <row r="2">
      <c r="A2" s="18" t="inlineStr">
        <is>
          <t>Values pulled from Source_Register as context, with their status in column N. None is VERIFIED today: read them as reported figures, not benchmarks. Conflicting and unused figures are not shown.</t>
        </is>
      </c>
    </row>
    <row r="3"/>
    <row r="4"/>
    <row r="5" ht="44" customHeight="1">
      <c r="A5" s="40" t="inlineStr">
        <is>
          <t>Company</t>
        </is>
      </c>
      <c r="B5" s="40" t="inlineStr">
        <is>
          <t>Revenue (USD m)</t>
        </is>
      </c>
      <c r="C5" s="40" t="inlineStr">
        <is>
          <t>Net profit (USD m)</t>
        </is>
      </c>
      <c r="D5" s="40" t="inlineStr">
        <is>
          <t>Revenue growth</t>
        </is>
      </c>
      <c r="E5" s="40" t="inlineStr">
        <is>
          <t>Net margin (derived)</t>
        </is>
      </c>
      <c r="F5" s="40" t="inlineStr">
        <is>
          <t>Securitisation / facility (USD m)</t>
        </is>
      </c>
      <c r="G5" s="40" t="inlineStr">
        <is>
          <t>Receivables financing capacity (USD m)</t>
        </is>
      </c>
      <c r="H5" s="40" t="inlineStr">
        <is>
          <t>Cumulative solar loans (USD m)</t>
        </is>
      </c>
      <c r="I5" s="40" t="inlineStr">
        <is>
          <t>Customers (m, cumulative)</t>
        </is>
      </c>
      <c r="J5" s="40" t="inlineStr">
        <is>
          <t>Systems financed</t>
        </is>
      </c>
      <c r="K5" s="40" t="inlineStr">
        <is>
          <t>Active customers</t>
        </is>
      </c>
      <c r="L5" s="40" t="inlineStr">
        <is>
          <t>Active / originated (derived)</t>
        </is>
      </c>
      <c r="M5" s="40" t="inlineStr">
        <is>
          <t>PAYGo / asset finance</t>
        </is>
      </c>
      <c r="N5" s="40" t="inlineStr">
        <is>
          <t>Source status</t>
        </is>
      </c>
      <c r="O5" s="40" t="inlineStr">
        <is>
          <t>Notes</t>
        </is>
      </c>
    </row>
    <row r="6">
      <c r="A6" s="19" t="inlineStr">
        <is>
          <t>M-KOPA</t>
        </is>
      </c>
      <c r="B6" s="118">
        <f>IF(OR(IFERROR(INDEX(Source_Register!$M$5:$M$68,MATCH("M-KOPA|Revenue",Source_Register!$Q$5:$Q$68,0)),"")="CONFLICTING SOURCES",IFERROR(INDEX(Source_Register!$M$5:$M$68,MATCH("M-KOPA|Revenue",Source_Register!$Q$5:$Q$68,0)),"")="NOT USED"),"",IFERROR(INDEX(Source_Register!$C$5:$C$68,MATCH("M-KOPA|Revenue",Source_Register!$Q$5:$Q$68,0)),""))</f>
        <v/>
      </c>
      <c r="C6" s="118">
        <f>IF(OR(IFERROR(INDEX(Source_Register!$M$5:$M$68,MATCH("M-KOPA|Net profit",Source_Register!$Q$5:$Q$68,0)),"")="CONFLICTING SOURCES",IFERROR(INDEX(Source_Register!$M$5:$M$68,MATCH("M-KOPA|Net profit",Source_Register!$Q$5:$Q$68,0)),"")="NOT USED"),"",IFERROR(INDEX(Source_Register!$C$5:$C$68,MATCH("M-KOPA|Net profit",Source_Register!$Q$5:$Q$68,0)),""))</f>
        <v/>
      </c>
      <c r="D6" s="42">
        <f>IF(OR(IFERROR(INDEX(Source_Register!$M$5:$M$68,MATCH("M-KOPA|Revenue growth",Source_Register!$Q$5:$Q$68,0)),"")="CONFLICTING SOURCES",IFERROR(INDEX(Source_Register!$M$5:$M$68,MATCH("M-KOPA|Revenue growth",Source_Register!$Q$5:$Q$68,0)),"")="NOT USED"),"",IFERROR(INDEX(Source_Register!$C$5:$C$68,MATCH("M-KOPA|Revenue growth",Source_Register!$Q$5:$Q$68,0)),""))</f>
        <v/>
      </c>
      <c r="E6" s="42">
        <f>IFERROR(C6/B6,"")</f>
        <v/>
      </c>
      <c r="F6" s="118">
        <f>""</f>
        <v/>
      </c>
      <c r="G6" s="118">
        <f>""</f>
        <v/>
      </c>
      <c r="H6" s="118">
        <f>""</f>
        <v/>
      </c>
      <c r="I6" s="118">
        <f>""</f>
        <v/>
      </c>
      <c r="J6" s="118">
        <f>""</f>
        <v/>
      </c>
      <c r="K6" s="118">
        <f>""</f>
        <v/>
      </c>
      <c r="L6" s="42">
        <f>""</f>
        <v/>
      </c>
      <c r="M6" s="34" t="inlineStr">
        <is>
          <t>Yes</t>
        </is>
      </c>
      <c r="N6" s="50">
        <f>IFERROR(INDEX(Source_Register!$M$5:$M$68,MATCH("M-KOPA|Revenue",Source_Register!$Q$5:$Q$68,0)),"")</f>
        <v/>
      </c>
      <c r="O6" s="129" t="inlineStr">
        <is>
          <t>Group revenue: CONFLICTING SOURCES (E4-04 USD 416m, E4-05 USD 253.5m), so revenue and margin are not shown. The primary filing held (E4-01) is M-KOPA UK LIMITED, a subsidiary whose revenue is carbon credit sales: not a PAYGo benchmark.</t>
        </is>
      </c>
    </row>
    <row r="7">
      <c r="A7" s="19" t="inlineStr">
        <is>
          <t>Sun King</t>
        </is>
      </c>
      <c r="B7" s="118">
        <f>""</f>
        <v/>
      </c>
      <c r="C7" s="118">
        <f>""</f>
        <v/>
      </c>
      <c r="D7" s="42">
        <f>""</f>
        <v/>
      </c>
      <c r="E7" s="42">
        <f>""</f>
        <v/>
      </c>
      <c r="F7" s="118">
        <f>IF(OR(IFERROR(INDEX(Source_Register!$M$5:$M$68,MATCH("Sun King|Securitisation 2025",Source_Register!$Q$5:$Q$68,0)),"")="CONFLICTING SOURCES",IFERROR(INDEX(Source_Register!$M$5:$M$68,MATCH("Sun King|Securitisation 2025",Source_Register!$Q$5:$Q$68,0)),"")="NOT USED"),"",IFERROR(INDEX(Source_Register!$C$5:$C$68,MATCH("Sun King|Securitisation 2025",Source_Register!$Q$5:$Q$68,0)),""))</f>
        <v/>
      </c>
      <c r="G7" s="118">
        <f>""</f>
        <v/>
      </c>
      <c r="H7" s="118">
        <f>IF(OR(IFERROR(INDEX(Source_Register!$M$5:$M$68,MATCH("Sun King|Cumulative solar loans",Source_Register!$Q$5:$Q$68,0)),"")="CONFLICTING SOURCES",IFERROR(INDEX(Source_Register!$M$5:$M$68,MATCH("Sun King|Cumulative solar loans",Source_Register!$Q$5:$Q$68,0)),"")="NOT USED"),"",IFERROR(INDEX(Source_Register!$C$5:$C$68,MATCH("Sun King|Cumulative solar loans",Source_Register!$Q$5:$Q$68,0)),""))</f>
        <v/>
      </c>
      <c r="I7" s="118">
        <f>IF(OR(IFERROR(INDEX(Source_Register!$M$5:$M$68,MATCH("Sun King|Cumulative loan customers",Source_Register!$Q$5:$Q$68,0)),"")="CONFLICTING SOURCES",IFERROR(INDEX(Source_Register!$M$5:$M$68,MATCH("Sun King|Cumulative loan customers",Source_Register!$Q$5:$Q$68,0)),"")="NOT USED"),"",IFERROR(INDEX(Source_Register!$C$5:$C$68,MATCH("Sun King|Cumulative loan customers",Source_Register!$Q$5:$Q$68,0)),""))</f>
        <v/>
      </c>
      <c r="J7" s="118">
        <f>""</f>
        <v/>
      </c>
      <c r="K7" s="118">
        <f>""</f>
        <v/>
      </c>
      <c r="L7" s="42">
        <f>""</f>
        <v/>
      </c>
      <c r="M7" s="34" t="inlineStr">
        <is>
          <t>Yes</t>
        </is>
      </c>
      <c r="N7" s="50">
        <f>IFERROR(INDEX(Source_Register!$M$5:$M$68,MATCH("Sun King|Securitisation 2025",Source_Register!$Q$5:$Q$68,0)),"")</f>
        <v/>
      </c>
      <c r="O7" s="129" t="inlineStr">
        <is>
          <t>Company disclosures not yet read in this project (E5-01 to E5-04). Customers are cumulative loan customers, not active.</t>
        </is>
      </c>
    </row>
    <row r="8">
      <c r="A8" s="19" t="inlineStr">
        <is>
          <t>d.light</t>
        </is>
      </c>
      <c r="B8" s="118">
        <f>""</f>
        <v/>
      </c>
      <c r="C8" s="118">
        <f>""</f>
        <v/>
      </c>
      <c r="D8" s="42">
        <f>IF(OR(IFERROR(INDEX(Source_Register!$M$5:$M$68,MATCH("d.light|Revenue growth",Source_Register!$Q$5:$Q$68,0)),"")="CONFLICTING SOURCES",IFERROR(INDEX(Source_Register!$M$5:$M$68,MATCH("d.light|Revenue growth",Source_Register!$Q$5:$Q$68,0)),"")="NOT USED"),"",IFERROR(INDEX(Source_Register!$C$5:$C$68,MATCH("d.light|Revenue growth",Source_Register!$Q$5:$Q$68,0)),""))</f>
        <v/>
      </c>
      <c r="E8" s="42">
        <f>""</f>
        <v/>
      </c>
      <c r="F8" s="118">
        <f>IF(OR(IFERROR(INDEX(Source_Register!$M$5:$M$68,MATCH("d.light|Securitisation facility 2024",Source_Register!$Q$5:$Q$68,0)),"")="CONFLICTING SOURCES",IFERROR(INDEX(Source_Register!$M$5:$M$68,MATCH("d.light|Securitisation facility 2024",Source_Register!$Q$5:$Q$68,0)),"")="NOT USED"),"",IFERROR(INDEX(Source_Register!$C$5:$C$68,MATCH("d.light|Securitisation facility 2024",Source_Register!$Q$5:$Q$68,0)),""))</f>
        <v/>
      </c>
      <c r="G8" s="118">
        <f>IF(OR(IFERROR(INDEX(Source_Register!$M$5:$M$68,MATCH("d.light|Securitisation purchasing capacity since 2020",Source_Register!$Q$5:$Q$68,0)),"")="CONFLICTING SOURCES",IFERROR(INDEX(Source_Register!$M$5:$M$68,MATCH("d.light|Securitisation purchasing capacity since 2020",Source_Register!$Q$5:$Q$68,0)),"")="NOT USED"),"",IFERROR(INDEX(Source_Register!$C$5:$C$68,MATCH("d.light|Securitisation purchasing capacity since 2020",Source_Register!$Q$5:$Q$68,0)),""))</f>
        <v/>
      </c>
      <c r="H8" s="118">
        <f>""</f>
        <v/>
      </c>
      <c r="I8" s="118">
        <f>""</f>
        <v/>
      </c>
      <c r="J8" s="118">
        <f>""</f>
        <v/>
      </c>
      <c r="K8" s="118">
        <f>""</f>
        <v/>
      </c>
      <c r="L8" s="42">
        <f>""</f>
        <v/>
      </c>
      <c r="M8" s="34" t="inlineStr">
        <is>
          <t>Yes</t>
        </is>
      </c>
      <c r="N8" s="50">
        <f>IFERROR(INDEX(Source_Register!$M$5:$M$68,MATCH("d.light|Securitisation facility 2024",Source_Register!$Q$5:$Q$68,0)),"")</f>
        <v/>
      </c>
      <c r="O8" s="129" t="inlineStr">
        <is>
          <t>Growth is H1 2023. Purchasing capacity is not debt raised. Revenue estimate (E6-04) not used.</t>
        </is>
      </c>
    </row>
    <row r="9">
      <c r="A9" s="19" t="inlineStr">
        <is>
          <t>Bboxx</t>
        </is>
      </c>
      <c r="B9" s="118">
        <f>""</f>
        <v/>
      </c>
      <c r="C9" s="118">
        <f>""</f>
        <v/>
      </c>
      <c r="D9" s="42">
        <f>""</f>
        <v/>
      </c>
      <c r="E9" s="42">
        <f>""</f>
        <v/>
      </c>
      <c r="F9" s="118">
        <f>""</f>
        <v/>
      </c>
      <c r="G9" s="118">
        <f>""</f>
        <v/>
      </c>
      <c r="H9" s="118">
        <f>""</f>
        <v/>
      </c>
      <c r="I9" s="118">
        <f>""</f>
        <v/>
      </c>
      <c r="J9" s="118">
        <f>""</f>
        <v/>
      </c>
      <c r="K9" s="118">
        <f>""</f>
        <v/>
      </c>
      <c r="L9" s="42">
        <f>""</f>
        <v/>
      </c>
      <c r="M9" s="34" t="inlineStr">
        <is>
          <t>Yes</t>
        </is>
      </c>
      <c r="N9" s="50">
        <f>"PENDING PRIMARY DOCUMENT"</f>
        <v/>
      </c>
      <c r="O9" s="129" t="inlineStr">
        <is>
          <t>Administration from 19 May 2025 as recorded (E7-01), pending the Gazette notice; latest filed accounts FY2022 (E7-02).</t>
        </is>
      </c>
    </row>
    <row r="10">
      <c r="A10" s="19" t="inlineStr">
        <is>
          <t>Pawame</t>
        </is>
      </c>
      <c r="B10" s="118">
        <f>""</f>
        <v/>
      </c>
      <c r="C10" s="118">
        <f>""</f>
        <v/>
      </c>
      <c r="D10" s="42">
        <f>""</f>
        <v/>
      </c>
      <c r="E10" s="42">
        <f>""</f>
        <v/>
      </c>
      <c r="F10" s="118">
        <f>""</f>
        <v/>
      </c>
      <c r="G10" s="118">
        <f>""</f>
        <v/>
      </c>
      <c r="H10" s="118">
        <f>""</f>
        <v/>
      </c>
      <c r="I10" s="118">
        <f>""</f>
        <v/>
      </c>
      <c r="J10" s="118">
        <f>IF(OR(IFERROR(INDEX(Source_Register!$M$5:$M$68,MATCH("Pawame|SHS financed",Source_Register!$Q$5:$Q$68,0)),"")="CONFLICTING SOURCES",IFERROR(INDEX(Source_Register!$M$5:$M$68,MATCH("Pawame|SHS financed",Source_Register!$Q$5:$Q$68,0)),"")="NOT USED"),"",IFERROR(INDEX(Source_Register!$C$5:$C$68,MATCH("Pawame|SHS financed",Source_Register!$Q$5:$Q$68,0)),""))</f>
        <v/>
      </c>
      <c r="K10" s="118">
        <f>IF(OR(IFERROR(INDEX(Source_Register!$M$5:$M$68,MATCH("Pawame|Active customers",Source_Register!$Q$5:$Q$68,0)),"")="CONFLICTING SOURCES",IFERROR(INDEX(Source_Register!$M$5:$M$68,MATCH("Pawame|Active customers",Source_Register!$Q$5:$Q$68,0)),"")="NOT USED"),"",IFERROR(INDEX(Source_Register!$C$5:$C$68,MATCH("Pawame|Active customers",Source_Register!$Q$5:$Q$68,0)),""))</f>
        <v/>
      </c>
      <c r="L10" s="42">
        <f>IFERROR(K10/J10,"")</f>
        <v/>
      </c>
      <c r="M10" s="34" t="inlineStr">
        <is>
          <t>Yes</t>
        </is>
      </c>
      <c r="N10" s="50">
        <f>IFERROR(INDEX(Source_Register!$M$5:$M$68,MATCH("Pawame|SHS financed",Source_Register!$Q$5:$Q$68,0)),"")</f>
        <v/>
      </c>
      <c r="O10" s="129" t="inlineStr">
        <is>
          <t>NOT USED: no public source found (X-01, X-02).</t>
        </is>
      </c>
    </row>
    <row r="11">
      <c r="A11" s="19" t="inlineStr">
        <is>
          <t>ZOLA Electric</t>
        </is>
      </c>
      <c r="B11" s="118">
        <f>""</f>
        <v/>
      </c>
      <c r="C11" s="118">
        <f>""</f>
        <v/>
      </c>
      <c r="D11" s="42">
        <f>""</f>
        <v/>
      </c>
      <c r="E11" s="42">
        <f>""</f>
        <v/>
      </c>
      <c r="F11" s="118">
        <f>IF(OR(IFERROR(INDEX(Source_Register!$M$5:$M$68,MATCH("ZOLA Electric|Financing round",Source_Register!$Q$5:$Q$68,0)),"")="CONFLICTING SOURCES",IFERROR(INDEX(Source_Register!$M$5:$M$68,MATCH("ZOLA Electric|Financing round",Source_Register!$Q$5:$Q$68,0)),"")="NOT USED"),"",IFERROR(INDEX(Source_Register!$C$5:$C$68,MATCH("ZOLA Electric|Financing round",Source_Register!$Q$5:$Q$68,0)),""))</f>
        <v/>
      </c>
      <c r="G11" s="118">
        <f>""</f>
        <v/>
      </c>
      <c r="H11" s="118">
        <f>""</f>
        <v/>
      </c>
      <c r="I11" s="118">
        <f>""</f>
        <v/>
      </c>
      <c r="J11" s="118">
        <f>""</f>
        <v/>
      </c>
      <c r="K11" s="118">
        <f>""</f>
        <v/>
      </c>
      <c r="L11" s="42">
        <f>""</f>
        <v/>
      </c>
      <c r="M11" s="34" t="inlineStr">
        <is>
          <t>Yes</t>
        </is>
      </c>
      <c r="N11" s="50">
        <f>IFERROR(INDEX(Source_Register!$M$5:$M$68,MATCH("ZOLA Electric|Financing round",Source_Register!$Q$5:$Q$68,0)),"")</f>
        <v/>
      </c>
      <c r="O11" s="129" t="inlineStr">
        <is>
          <t>USD 90m is the 2021 round (equity and debt), not a facility (E9-01).</t>
        </is>
      </c>
    </row>
    <row r="12"/>
    <row r="13">
      <c r="A13" s="109" t="inlineStr">
        <is>
          <t>THIS MODEL: active scenario, Year 5</t>
        </is>
      </c>
      <c r="B13" s="82">
        <f>KPIs!I35/1000000</f>
        <v/>
      </c>
      <c r="C13" s="82">
        <f>Annual!I28/AVERAGEIFS(Timeline!$E$8:$BL$8,Timeline!$E$6:$BL$6,5)/1000000</f>
        <v/>
      </c>
      <c r="D13" s="83">
        <f>IFERROR(KPIs!I34/KPIs!H34-1,"")</f>
        <v/>
      </c>
      <c r="E13" s="83">
        <f>IFERROR(C13/B13,"")</f>
        <v/>
      </c>
      <c r="F13" s="82">
        <f>Annual!I40/INDEX(Timeline!$E$8:$BL$8,1,60)/1000000</f>
        <v/>
      </c>
      <c r="G13" s="82">
        <f>MAX(Financing!$E$22:$BL$22)/INDEX(Timeline!$E$8:$BL$8,1,60)/1000000</f>
        <v/>
      </c>
      <c r="H13" s="82">
        <f>Annual!I32/INDEX(Timeline!$E$8:$BL$8,1,60)/1000000</f>
        <v/>
      </c>
      <c r="I13" s="82">
        <f>SUM(Ops!$E$134:$BL$134)/1000000</f>
        <v/>
      </c>
      <c r="J13" s="130">
        <f>SUM(Ops!$E$134:$BL$134)</f>
        <v/>
      </c>
      <c r="K13" s="130">
        <f>KPIs!I16</f>
        <v/>
      </c>
      <c r="L13" s="83">
        <f>IFERROR(K13/J13,"")</f>
        <v/>
      </c>
      <c r="M13" s="34" t="inlineStr">
        <is>
          <t>Yes</t>
        </is>
      </c>
      <c r="N13" s="34" t="inlineStr">
        <is>
          <t>Model (illustrative)</t>
        </is>
      </c>
      <c r="O13" s="126" t="inlineStr">
        <is>
          <t>Column G = peak borrowing base; column H = gross PAYGo receivables at Y5; column I = cumulative units sold (m).</t>
        </is>
      </c>
    </row>
    <row r="14"/>
    <row r="15">
      <c r="A15" s="18" t="inlineStr">
        <is>
          <t>Do not read single-company figures as targets. Only VERIFIED sources feed the Calibration sheet; everything else here is context.</t>
        </is>
      </c>
    </row>
    <row r="16">
      <c r="A16" s="18" t="inlineStr">
        <is>
          <t>Comparability warning: periods, entities, currencies and definitions differ between companies and from the model's Year 5 (see the period and status in Source_Register and the comparability flags on Benchmark_DB).</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24.xml><?xml version="1.0" encoding="utf-8"?>
<worksheet xmlns="http://schemas.openxmlformats.org/spreadsheetml/2006/main">
  <sheetPr>
    <tabColor rgb="007030A0"/>
    <outlinePr summaryBelow="1" summaryRight="1"/>
    <pageSetUpPr fitToPage="1"/>
  </sheetPr>
  <dimension ref="A1:F12"/>
  <sheetViews>
    <sheetView showGridLines="0" workbookViewId="0">
      <selection activeCell="A1" sqref="A1"/>
    </sheetView>
  </sheetViews>
  <sheetFormatPr baseColWidth="8" defaultRowHeight="15"/>
  <cols>
    <col width="26" customWidth="1" min="1" max="1"/>
    <col width="14" customWidth="1" min="2" max="2"/>
    <col width="14" customWidth="1" min="3" max="3"/>
    <col width="26" customWidth="1" min="4" max="4"/>
    <col width="60" customWidth="1" min="5" max="5"/>
    <col width="50" customWidth="1" min="6" max="6"/>
    <col width="1" customWidth="1" min="7" max="7"/>
  </cols>
  <sheetData>
    <row r="1">
      <c r="A1" s="17" t="inlineStr">
        <is>
          <t>Calibration: turning benchmarks into model assumptions</t>
        </is>
      </c>
    </row>
    <row r="2">
      <c r="A2" s="18" t="inlineStr">
        <is>
          <t>Diagnostics compare the active scenario with VERIFIED references only; a reference whose source is not verified is suspended. They flag questions; they do not change inputs.</t>
        </is>
      </c>
    </row>
    <row r="3"/>
    <row r="4"/>
    <row r="5">
      <c r="A5" s="40" t="inlineStr">
        <is>
          <t>Area</t>
        </is>
      </c>
      <c r="B5" s="40" t="inlineStr">
        <is>
          <t>Model (Y5)</t>
        </is>
      </c>
      <c r="C5" s="40" t="inlineStr">
        <is>
          <t>Reference</t>
        </is>
      </c>
      <c r="D5" s="40" t="inlineStr">
        <is>
          <t>Reference source</t>
        </is>
      </c>
      <c r="E5" s="40" t="inlineStr">
        <is>
          <t>Guidance</t>
        </is>
      </c>
      <c r="F5" s="40" t="inlineStr">
        <is>
          <t>Diagnostic</t>
        </is>
      </c>
    </row>
    <row r="6" ht="42" customHeight="1">
      <c r="A6" s="19" t="inlineStr">
        <is>
          <t>Revenue growth</t>
        </is>
      </c>
      <c r="B6" s="42">
        <f>Market_Benchmark!$D$13</f>
        <v/>
      </c>
      <c r="C6" s="42">
        <f>IF(OR(IFERROR(INDEX(Source_Register!$M$5:$M$68,MATCH("M-KOPA|Revenue growth",Source_Register!$Q$5:$Q$68,0)),"")="VERIFIED",IFERROR(INDEX(Source_Register!$M$5:$M$68,MATCH("M-KOPA|Revenue growth",Source_Register!$Q$5:$Q$68,0)),"")="VERIFIED (HISTORICAL)"),IFERROR(INDEX(Source_Register!$C$5:$C$68,MATCH("M-KOPA|Revenue growth",Source_Register!$Q$5:$Q$68,0)),""),"")</f>
        <v/>
      </c>
      <c r="D6" s="131">
        <f>"E4-06 M-KOPA group growth: "&amp;IFERROR(INDEX(Source_Register!$M$5:$M$68,MATCH("M-KOPA|Revenue growth",Source_Register!$Q$5:$Q$68,0)),"")&amp;"; E6-03 d.light H1 2023: "&amp;IFERROR(INDEX(Source_Register!$M$5:$M$68,MATCH("d.light|Revenue growth",Source_Register!$Q$5:$Q$68,0)),"")</f>
        <v/>
      </c>
      <c r="E6" s="117" t="inlineStr">
        <is>
          <t>Do not use one company as the benchmark. Run downside / base / upside growth scenarios.</t>
        </is>
      </c>
      <c r="F6" s="131">
        <f>IF(C6="","Reference suspended: source not VERIFIED (see Source_Register)",IF(B6&gt;C6,"Model growth above the reference: justify","Within the reference"))</f>
        <v/>
      </c>
    </row>
    <row r="7" ht="42" customHeight="1">
      <c r="A7" s="19" t="inlineStr">
        <is>
          <t>Net margin</t>
        </is>
      </c>
      <c r="B7" s="42">
        <f>Market_Benchmark!$E$13</f>
        <v/>
      </c>
      <c r="C7" s="42">
        <f>IFERROR(IF(OR(IFERROR(INDEX(Source_Register!$M$5:$M$68,MATCH("M-KOPA|Net profit",Source_Register!$Q$5:$Q$68,0)),"")="VERIFIED",IFERROR(INDEX(Source_Register!$M$5:$M$68,MATCH("M-KOPA|Net profit",Source_Register!$Q$5:$Q$68,0)),"")="VERIFIED (HISTORICAL)"),IFERROR(INDEX(Source_Register!$C$5:$C$68,MATCH("M-KOPA|Net profit",Source_Register!$Q$5:$Q$68,0)),""),"")/IF(OR(IFERROR(INDEX(Source_Register!$M$5:$M$68,MATCH("M-KOPA|Revenue",Source_Register!$Q$5:$Q$68,0)),"")="VERIFIED",IFERROR(INDEX(Source_Register!$M$5:$M$68,MATCH("M-KOPA|Revenue",Source_Register!$Q$5:$Q$68,0)),"")="VERIFIED (HISTORICAL)"),IFERROR(INDEX(Source_Register!$C$5:$C$68,MATCH("M-KOPA|Revenue",Source_Register!$Q$5:$Q$68,0)),""),""),"")</f>
        <v/>
      </c>
      <c r="D7" s="131">
        <f>"E4-04 / E4-07 M-KOPA group: revenue "&amp;IFERROR(INDEX(Source_Register!$M$5:$M$68,MATCH("M-KOPA|Revenue",Source_Register!$Q$5:$Q$68,0)),"")&amp;"; the primary filing held is a UK subsidiary (E4-01)"</f>
        <v/>
      </c>
      <c r="E7" s="117" t="inlineStr">
        <is>
          <t>No verified net margin reference at scale is available. A margin from conflicting revenue figures is not used.</t>
        </is>
      </c>
      <c r="F7" s="131">
        <f>IF(C7="","Reference suspended: source not VERIFIED (see Source_Register)",IFERROR(IF(B7&gt;3*C7,"Model margin "&amp;TEXT(B7/C7,"0.0")&amp;"x the scale reference: justify cost and credit assumptions","Within 3x of reference"),""))</f>
        <v/>
      </c>
    </row>
    <row r="8" ht="42" customHeight="1">
      <c r="A8" s="19" t="inlineStr">
        <is>
          <t>Debt / receivables</t>
        </is>
      </c>
      <c r="B8" s="42">
        <f>IFERROR(Market_Benchmark!$F$13/Market_Benchmark!$H$13,"")</f>
        <v/>
      </c>
      <c r="C8" s="127">
        <f>""</f>
        <v/>
      </c>
      <c r="D8" s="117" t="inlineStr">
        <is>
          <t>No verified ratio</t>
        </is>
      </c>
      <c r="E8" s="117" t="inlineStr">
        <is>
          <t>Add a receivables financing / securitisation scenario (Inputs: financing structure = 2).</t>
        </is>
      </c>
      <c r="F8" s="131">
        <f>"No verified benchmark"</f>
        <v/>
      </c>
    </row>
    <row r="9" ht="42" customHeight="1">
      <c r="A9" s="19" t="inlineStr">
        <is>
          <t>Portfolio maturity (active / originated)</t>
        </is>
      </c>
      <c r="B9" s="42">
        <f>Market_Benchmark!$L$13</f>
        <v/>
      </c>
      <c r="C9" s="127">
        <f>""</f>
        <v/>
      </c>
      <c r="D9" s="117" t="inlineStr">
        <is>
          <t>No sourced reference (X-01, X-02 not used)</t>
        </is>
      </c>
      <c r="E9" s="117" t="inlineStr">
        <is>
          <t>Use active / originated only as a diagnostic, never as a churn or default assumption.</t>
        </is>
      </c>
      <c r="F9" s="131">
        <f>"No verified reference"</f>
        <v/>
      </c>
    </row>
    <row r="10" ht="42" customHeight="1">
      <c r="A10" s="19" t="inlineStr">
        <is>
          <t>Credit: operational collection rate</t>
        </is>
      </c>
      <c r="B10" s="42">
        <f>KPIs!I19</f>
        <v/>
      </c>
      <c r="C10" s="42">
        <f>IF(OR(IFERROR(INDEX(Source_Register!$M$5:$M$68,MATCH("ESMAP / World Bank|Sector PAYGo collection rate",Source_Register!$Q$5:$Q$68,0)),"")="VERIFIED",IFERROR(INDEX(Source_Register!$M$5:$M$68,MATCH("ESMAP / World Bank|Sector PAYGo collection rate",Source_Register!$Q$5:$Q$68,0)),"")="VERIFIED (HISTORICAL)"),IFERROR(INDEX(Source_Register!$C$5:$C$68,MATCH("ESMAP / World Bank|Sector PAYGo collection rate",Source_Register!$Q$5:$Q$68,0)),""),"")</f>
        <v/>
      </c>
      <c r="D10" s="131">
        <f>"E1-14 ESMAP MTR 2024, average collection rate 2021-2023 (about 62%): "&amp;IFERROR(INDEX(Source_Register!$M$5:$M$68,MATCH("ESMAP / World Bank|Sector PAYGo collection rate",Source_Register!$Q$5:$Q$68,0)),"")</f>
        <v/>
      </c>
      <c r="E10" s="117" t="inlineStr">
        <is>
          <t>A sector collection rate is context for the model's operational collection rate. Neither is the PAYGo PERFORM 2026 Repayment Rate. The cohort engine has priority: calibrate with company cohort data.</t>
        </is>
      </c>
      <c r="F10" s="131">
        <f>IF(C10="","Reference suspended: source not VERIFIED (see Source_Register)",IFERROR(IF(B10&gt;C10+0.1,"Model collection rate more than 10 pts above the sector reference: calibrate with cohort data","Within 10 pts of the sector reference"),""))</f>
        <v/>
      </c>
    </row>
    <row r="11" ht="42" customHeight="1">
      <c r="A11" s="19" t="inlineStr">
        <is>
          <t>Receivables financing</t>
        </is>
      </c>
      <c r="B11" s="127">
        <f>Market_Benchmark!$F$13</f>
        <v/>
      </c>
      <c r="C11" s="127">
        <f>IF(OR(IFERROR(INDEX(Source_Register!$M$5:$M$68,MATCH("Sun King|Securitisation 2025",Source_Register!$Q$5:$Q$68,0)),"")="VERIFIED",IFERROR(INDEX(Source_Register!$M$5:$M$68,MATCH("Sun King|Securitisation 2025",Source_Register!$Q$5:$Q$68,0)),"")="VERIFIED (HISTORICAL)"),IFERROR(INDEX(Source_Register!$C$5:$C$68,MATCH("Sun King|Securitisation 2025",Source_Register!$Q$5:$Q$68,0)),""),"")</f>
        <v/>
      </c>
      <c r="D11" s="131">
        <f>"E5-04 Sun King 2025 securitisation: "&amp;IFERROR(INDEX(Source_Register!$M$5:$M$68,MATCH("Sun King|Securitisation 2025",Source_Register!$Q$5:$Q$68,0)),"")</f>
        <v/>
      </c>
      <c r="E11" s="117" t="inlineStr">
        <is>
          <t>Scaled PAYGo companies are reported to fund receivables through local-currency securitisations and warehouses.</t>
        </is>
      </c>
      <c r="F11" s="131">
        <f>"Option available: Inputs financing structure = 2 (securitisation)"</f>
        <v/>
      </c>
    </row>
    <row r="12" ht="42" customHeight="1">
      <c r="A12" s="19" t="inlineStr">
        <is>
          <t>Revenue mix</t>
        </is>
      </c>
      <c r="B12" s="42">
        <f>KPIs!I40</f>
        <v/>
      </c>
      <c r="C12" s="127">
        <f>""</f>
        <v/>
      </c>
      <c r="D12" s="117" t="inlineStr">
        <is>
          <t>Qualitative</t>
        </is>
      </c>
      <c r="E12" s="117" t="inlineStr">
        <is>
          <t>Revenue can include hardware, PAYGo financing, digital loans and other services (Inputs: other revenue).</t>
        </is>
      </c>
      <c r="F12" s="131">
        <f>IF(B12=0,"Other revenue switched off","Other revenue included: document take rate")</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25.xml><?xml version="1.0" encoding="utf-8"?>
<worksheet xmlns="http://schemas.openxmlformats.org/spreadsheetml/2006/main">
  <sheetPr>
    <tabColor rgb="007030A0"/>
    <outlinePr summaryBelow="1" summaryRight="1"/>
    <pageSetUpPr fitToPage="1"/>
  </sheetPr>
  <dimension ref="A1:G11"/>
  <sheetViews>
    <sheetView showGridLines="0" workbookViewId="0">
      <selection activeCell="A1" sqref="A1"/>
    </sheetView>
  </sheetViews>
  <sheetFormatPr baseColWidth="8" defaultRowHeight="15"/>
  <cols>
    <col width="14" customWidth="1" min="1" max="1"/>
    <col width="34" customWidth="1" min="2" max="2"/>
    <col width="34" customWidth="1" min="3" max="3"/>
    <col width="34" customWidth="1" min="4" max="4"/>
    <col width="34" customWidth="1" min="5" max="5"/>
    <col width="34" customWidth="1" min="6" max="6"/>
    <col width="22" customWidth="1" min="7" max="7"/>
  </cols>
  <sheetData>
    <row r="1">
      <c r="A1" s="17" t="inlineStr">
        <is>
          <t>Company cases: what scaled PAYGo companies teach the model</t>
        </is>
      </c>
    </row>
    <row r="2">
      <c r="A2" s="18" t="inlineStr">
        <is>
          <t>Facts come only from Source_Register (references cited, with their status). Lessons and implications are analytical judgements.</t>
        </is>
      </c>
    </row>
    <row r="3"/>
    <row r="4"/>
    <row r="5">
      <c r="A5" s="40" t="inlineStr">
        <is>
          <t>Company</t>
        </is>
      </c>
      <c r="B5" s="40" t="inlineStr">
        <is>
          <t>Business model (as reported)</t>
        </is>
      </c>
      <c r="C5" s="40" t="inlineStr">
        <is>
          <t>Financial evidence</t>
        </is>
      </c>
      <c r="D5" s="40" t="inlineStr">
        <is>
          <t>Financing evidence</t>
        </is>
      </c>
      <c r="E5" s="40" t="inlineStr">
        <is>
          <t>Credit / portfolio lesson</t>
        </is>
      </c>
      <c r="F5" s="40" t="inlineStr">
        <is>
          <t>Model implication</t>
        </is>
      </c>
      <c r="G5" s="40" t="inlineStr">
        <is>
          <t>Evidence status</t>
        </is>
      </c>
    </row>
    <row r="6" ht="72" customHeight="1">
      <c r="A6" s="132" t="inlineStr">
        <is>
          <t>M-KOPA</t>
        </is>
      </c>
      <c r="B6" s="38" t="inlineStr">
        <is>
          <t>PAYGo asset financing for underbanked customers (verify the current product mix in the group accounts).</t>
        </is>
      </c>
      <c r="C6" s="38" t="inlineStr">
        <is>
          <t>Group FY2024 revenue reported as USD 416m and as USD 253.5m: CONFLICTING SOURCES (E4-04, E4-05). The filing held, M-KOPA UK LIMITED, reports GBP 1.7m of carbon credit revenue (E4-01): a subsidiary, not the group.</t>
        </is>
      </c>
      <c r="D6" s="38" t="inlineStr">
        <is>
          <t>Not in register.</t>
        </is>
      </c>
      <c r="E6" s="38" t="inlineStr">
        <is>
          <t>A figure reported as coming from 'UK filings' must be traced to the reporting entity before use.</t>
        </is>
      </c>
      <c r="F6" s="38" t="inlineStr">
        <is>
          <t>No net margin reference is used until the consolidated accounts are read.</t>
        </is>
      </c>
      <c r="G6" s="38" t="inlineStr">
        <is>
          <t>CONFLICTING SOURCES</t>
        </is>
      </c>
    </row>
    <row r="7" ht="72" customHeight="1">
      <c r="A7" s="132" t="inlineStr">
        <is>
          <t>Sun King</t>
        </is>
      </c>
      <c r="B7" s="38" t="inlineStr">
        <is>
          <t>Off-grid solar sold on PAYGo at scale.</t>
        </is>
      </c>
      <c r="C7" s="38" t="inlineStr">
        <is>
          <t>Not in register (no income statement).</t>
        </is>
      </c>
      <c r="D7" s="38" t="inlineStr">
        <is>
          <t>Reported: about USD 1.3bn cumulative solar loans to almost 10m customers; KES securitisations of about USD 130m (2023) and USD 156m (2025) (E5-01 to E5-04).</t>
        </is>
      </c>
      <c r="E7" s="38" t="inlineStr">
        <is>
          <t>Receivables can be financed in local currency at scale once portfolio data are robust.</t>
        </is>
      </c>
      <c r="F7" s="38" t="inlineStr">
        <is>
          <t>Keep the securitisation option and the borrowing base central; local-currency funding reduces FX mismatch.</t>
        </is>
      </c>
      <c r="G7" s="38" t="inlineStr">
        <is>
          <t>PENDING PRIMARY DOCUMENT</t>
        </is>
      </c>
    </row>
    <row r="8" ht="72" customHeight="1">
      <c r="A8" s="132" t="inlineStr">
        <is>
          <t>d.light</t>
        </is>
      </c>
      <c r="B8" s="38" t="inlineStr">
        <is>
          <t>Off-grid solar products with PAYGo financing.</t>
        </is>
      </c>
      <c r="C8" s="38" t="inlineStr">
        <is>
          <t>Revenue reported +41% in H1 2023 (E6-03). A USD 301m revenue estimate is not used (E6-04).</t>
        </is>
      </c>
      <c r="D8" s="38" t="inlineStr">
        <is>
          <t>Reported: five securitisation facilities, about USD 718m purchasing capacity since 2020, including about USD 176m multi-currency facility in 2024 (E6-01, E6-02).</t>
        </is>
      </c>
      <c r="E8" s="38" t="inlineStr">
        <is>
          <t>Repeated securitisations require consistent cohort performance reporting.</t>
        </is>
      </c>
      <c r="F8" s="38" t="inlineStr">
        <is>
          <t>Cohort data (Vintage_Input) are a precondition for receivables financing.</t>
        </is>
      </c>
      <c r="G8" s="38" t="inlineStr">
        <is>
          <t>PENDING PRIMARY DOCUMENT</t>
        </is>
      </c>
    </row>
    <row r="9" ht="72" customHeight="1">
      <c r="A9" s="132" t="inlineStr">
        <is>
          <t>Bboxx</t>
        </is>
      </c>
      <c r="B9" s="38" t="inlineStr">
        <is>
          <t>PAYGo solar and energy services.</t>
        </is>
      </c>
      <c r="C9" s="38" t="inlineStr">
        <is>
          <t>Latest filed accounts FY2022; FY2023 overdue, as recorded (E7-02).</t>
        </is>
      </c>
      <c r="D9" s="38" t="inlineStr">
        <is>
          <t>Recorded as entering UK administration on 19 May 2025 (E7-01), pending the Gazette notice.</t>
        </is>
      </c>
      <c r="E9" s="38" t="inlineStr">
        <is>
          <t>Scale does not protect against liquidity and funding stress.</t>
        </is>
      </c>
      <c r="F9" s="38" t="inlineStr">
        <is>
          <t>Stress liquidity and covenants; never read Base as the only case.</t>
        </is>
      </c>
      <c r="G9" s="38" t="inlineStr">
        <is>
          <t>PENDING PRIMARY DOCUMENT</t>
        </is>
      </c>
    </row>
    <row r="10" ht="72" customHeight="1">
      <c r="A10" s="132" t="inlineStr">
        <is>
          <t>Pawame</t>
        </is>
      </c>
      <c r="B10" s="38" t="inlineStr">
        <is>
          <t>SHS on PAYGo.</t>
        </is>
      </c>
      <c r="C10" s="38" t="inlineStr">
        <is>
          <t>No public source found for the figures previously recorded (X-01, X-02).</t>
        </is>
      </c>
      <c r="D10" s="38" t="inlineStr">
        <is>
          <t>Not in register.</t>
        </is>
      </c>
      <c r="E10" s="38" t="inlineStr">
        <is>
          <t>Pending sourced data.</t>
        </is>
      </c>
      <c r="F10" s="38" t="inlineStr">
        <is>
          <t>No use until figures are sourced.</t>
        </is>
      </c>
      <c r="G10" s="38" t="inlineStr">
        <is>
          <t>NOT USED</t>
        </is>
      </c>
    </row>
    <row r="11" ht="72" customHeight="1">
      <c r="A11" s="132" t="inlineStr">
        <is>
          <t>ZOLA Electric</t>
        </is>
      </c>
      <c r="B11" s="38" t="inlineStr">
        <is>
          <t>Energy systems with PAYGo / asset financing (verify current model).</t>
        </is>
      </c>
      <c r="C11" s="38" t="inlineStr">
        <is>
          <t>No financial statements obtained.</t>
        </is>
      </c>
      <c r="D11" s="38" t="inlineStr">
        <is>
          <t>Reported USD 90m round in Sep 2021 (USD 45m equity, USD 45m debt) (E9-01).</t>
        </is>
      </c>
      <c r="E11" s="38" t="inlineStr">
        <is>
          <t>Pending financial statements.</t>
        </is>
      </c>
      <c r="F11" s="38" t="inlineStr">
        <is>
          <t>Qualitative case only.</t>
        </is>
      </c>
      <c r="G11" s="38" t="inlineStr">
        <is>
          <t>PENDING PRIMARY DOCUMENT</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26.xml><?xml version="1.0" encoding="utf-8"?>
<worksheet xmlns="http://schemas.openxmlformats.org/spreadsheetml/2006/main">
  <sheetPr>
    <tabColor rgb="007030A0"/>
    <outlinePr summaryBelow="1" summaryRight="1"/>
    <pageSetUpPr fitToPage="1"/>
  </sheetPr>
  <dimension ref="A1:Q6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12" customWidth="1" min="3" max="3"/>
    <col width="10" customWidth="1" min="4" max="4"/>
    <col width="14" customWidth="1" min="5" max="5"/>
    <col width="30" customWidth="1" min="6" max="6"/>
    <col width="22" customWidth="1" min="7" max="7"/>
    <col width="14" customWidth="1" min="8" max="8"/>
    <col width="12" customWidth="1" min="9" max="9"/>
    <col width="30" customWidth="1" min="10" max="10"/>
    <col width="28" customWidth="1" min="11" max="11"/>
    <col width="7" customWidth="1" min="12" max="12"/>
    <col width="22" customWidth="1" min="13" max="13"/>
    <col width="24" customWidth="1" min="14" max="14"/>
    <col width="24" customWidth="1" min="15" max="15"/>
    <col width="40" customWidth="1" min="16" max="16"/>
    <col width="30" customWidth="1" min="17" max="17"/>
  </cols>
  <sheetData>
    <row r="1">
      <c r="A1" s="17" t="inlineStr">
        <is>
          <t>Source register: market, sector and standard sources</t>
        </is>
      </c>
    </row>
    <row r="2">
      <c r="A2" s="18" t="inlineStr">
        <is>
          <t>Grade describes the source (A primary official or audited; B institutional or company disclosure; C reputable secondary; D unverified). Status describes what has been verified. Only VERIFIED claims feed Calibration. Full register: 04_SOURCE_REGISTER.</t>
        </is>
      </c>
    </row>
    <row r="3"/>
    <row r="4">
      <c r="A4" s="40" t="inlineStr">
        <is>
          <t>Ref</t>
        </is>
      </c>
      <c r="B4" s="40" t="inlineStr">
        <is>
          <t>Claim</t>
        </is>
      </c>
      <c r="C4" s="40" t="inlineStr">
        <is>
          <t>Value</t>
        </is>
      </c>
      <c r="D4" s="40" t="inlineStr">
        <is>
          <t>Unit</t>
        </is>
      </c>
      <c r="E4" s="40" t="inlineStr">
        <is>
          <t>Period</t>
        </is>
      </c>
      <c r="F4" s="40" t="inlineStr">
        <is>
          <t>Source</t>
        </is>
      </c>
      <c r="G4" s="40" t="inlineStr">
        <is>
          <t>Publisher</t>
        </is>
      </c>
      <c r="H4" s="40" t="inlineStr">
        <is>
          <t>Publication date</t>
        </is>
      </c>
      <c r="I4" s="40" t="inlineStr">
        <is>
          <t>Page</t>
        </is>
      </c>
      <c r="J4" s="40" t="inlineStr">
        <is>
          <t>URL / location</t>
        </is>
      </c>
      <c r="K4" s="40" t="inlineStr">
        <is>
          <t>Evidence type</t>
        </is>
      </c>
      <c r="L4" s="40" t="inlineStr">
        <is>
          <t>Grade</t>
        </is>
      </c>
      <c r="M4" s="40" t="inlineStr">
        <is>
          <t>Status</t>
        </is>
      </c>
      <c r="N4" s="40" t="inlineStr">
        <is>
          <t>Book usage</t>
        </is>
      </c>
      <c r="O4" s="40" t="inlineStr">
        <is>
          <t>Model usage</t>
        </is>
      </c>
      <c r="P4" s="40" t="inlineStr">
        <is>
          <t>Notes</t>
        </is>
      </c>
      <c r="Q4" s="40" t="inlineStr">
        <is>
          <t>Key</t>
        </is>
      </c>
    </row>
    <row r="5">
      <c r="A5" s="117" t="inlineStr">
        <is>
          <t>E1-01</t>
        </is>
      </c>
      <c r="B5" s="117" t="inlineStr">
        <is>
          <t>Off-grid solar products sold in 2022-2023 exceed 50 million, above the previous record of 47 million in 2019</t>
        </is>
      </c>
      <c r="C5" s="133" t="inlineStr">
        <is>
          <t>&gt;50</t>
        </is>
      </c>
      <c r="D5" s="117" t="inlineStr">
        <is>
          <t>million units</t>
        </is>
      </c>
      <c r="E5" s="117" t="inlineStr">
        <is>
          <t>2022-2023</t>
        </is>
      </c>
      <c r="F5" s="117" t="inlineStr">
        <is>
          <t>Off-Grid Solar Market Trends Report 2024</t>
        </is>
      </c>
      <c r="G5" s="117" t="inlineStr">
        <is>
          <t>ESMAP / World Bank, with GOGLA and Dalberg (as reported)</t>
        </is>
      </c>
      <c r="H5" s="117" t="inlineStr">
        <is>
          <t>2024 (month to verify)</t>
        </is>
      </c>
      <c r="I5" s="117" t="inlineStr">
        <is>
          <t>PAGE TO VERIFY</t>
        </is>
      </c>
      <c r="J5" s="117" t="inlineStr">
        <is>
          <t>https://www.esmap.org/sites/default/files/esmap-files/2024-Off-Grid-Solar-Market-Trends-Report.pdf (not opened from this environment)</t>
        </is>
      </c>
      <c r="K5" s="117" t="inlineStr">
        <is>
          <t>Client extraction from the report, 3 Oct 2026; primary PDF not held</t>
        </is>
      </c>
      <c r="L5" s="117" t="inlineStr">
        <is>
          <t>B</t>
        </is>
      </c>
      <c r="M5" s="134" t="inlineStr">
        <is>
          <t>PENDING PRIMARY DOCUMENT</t>
        </is>
      </c>
      <c r="N5" s="117" t="inlineStr">
        <is>
          <t>Planned: Ch 1, 11 (market context)</t>
        </is>
      </c>
      <c r="O5" s="117" t="inlineStr">
        <is>
          <t>None</t>
        </is>
      </c>
      <c r="P5" s="117" t="inlineStr"/>
      <c r="Q5" s="117" t="inlineStr"/>
    </row>
    <row r="6">
      <c r="A6" s="117" t="inlineStr">
        <is>
          <t>E1-02</t>
        </is>
      </c>
      <c r="B6" s="117" t="inlineStr">
        <is>
          <t>Global off-grid solar sector turnover</t>
        </is>
      </c>
      <c r="C6" s="135" t="n">
        <v>3.9</v>
      </c>
      <c r="D6" s="117" t="inlineStr">
        <is>
          <t>USD bn</t>
        </is>
      </c>
      <c r="E6" s="117" t="inlineStr">
        <is>
          <t>2022</t>
        </is>
      </c>
      <c r="F6" s="117" t="inlineStr">
        <is>
          <t>Off-Grid Solar Market Trends Report 2024</t>
        </is>
      </c>
      <c r="G6" s="117" t="inlineStr">
        <is>
          <t>ESMAP / World Bank, with GOGLA and Dalberg (as reported)</t>
        </is>
      </c>
      <c r="H6" s="117" t="inlineStr">
        <is>
          <t>2024 (month to verify)</t>
        </is>
      </c>
      <c r="I6" s="117" t="inlineStr">
        <is>
          <t>PAGE TO VERIFY</t>
        </is>
      </c>
      <c r="J6" s="117" t="inlineStr">
        <is>
          <t>https://www.esmap.org/sites/default/files/esmap-files/2024-Off-Grid-Solar-Market-Trends-Report.pdf (not opened from this environment)</t>
        </is>
      </c>
      <c r="K6" s="117" t="inlineStr">
        <is>
          <t>Client extraction from the report, 3 Oct 2026; primary PDF not held</t>
        </is>
      </c>
      <c r="L6" s="117" t="inlineStr">
        <is>
          <t>B</t>
        </is>
      </c>
      <c r="M6" s="134" t="inlineStr">
        <is>
          <t>PENDING PRIMARY DOCUMENT</t>
        </is>
      </c>
      <c r="N6" s="117" t="inlineStr">
        <is>
          <t>Planned: Ch 1</t>
        </is>
      </c>
      <c r="O6" s="117" t="inlineStr">
        <is>
          <t>None</t>
        </is>
      </c>
      <c r="P6" s="117" t="inlineStr"/>
      <c r="Q6" s="117" t="inlineStr"/>
    </row>
    <row r="7">
      <c r="A7" s="117" t="inlineStr">
        <is>
          <t>E1-03</t>
        </is>
      </c>
      <c r="B7" s="117" t="inlineStr">
        <is>
          <t>Global off-grid solar sector turnover</t>
        </is>
      </c>
      <c r="C7" s="135" t="n">
        <v>3.8</v>
      </c>
      <c r="D7" s="117" t="inlineStr">
        <is>
          <t>USD bn</t>
        </is>
      </c>
      <c r="E7" s="117" t="inlineStr">
        <is>
          <t>2023</t>
        </is>
      </c>
      <c r="F7" s="117" t="inlineStr">
        <is>
          <t>Off-Grid Solar Market Trends Report 2024</t>
        </is>
      </c>
      <c r="G7" s="117" t="inlineStr">
        <is>
          <t>ESMAP / World Bank, with GOGLA and Dalberg (as reported)</t>
        </is>
      </c>
      <c r="H7" s="117" t="inlineStr">
        <is>
          <t>2024 (month to verify)</t>
        </is>
      </c>
      <c r="I7" s="117" t="inlineStr">
        <is>
          <t>PAGE TO VERIFY</t>
        </is>
      </c>
      <c r="J7" s="117" t="inlineStr">
        <is>
          <t>https://www.esmap.org/sites/default/files/esmap-files/2024-Off-Grid-Solar-Market-Trends-Report.pdf (not opened from this environment)</t>
        </is>
      </c>
      <c r="K7" s="117" t="inlineStr">
        <is>
          <t>Client extraction from the report, 3 Oct 2026; primary PDF not held</t>
        </is>
      </c>
      <c r="L7" s="117" t="inlineStr">
        <is>
          <t>B</t>
        </is>
      </c>
      <c r="M7" s="134" t="inlineStr">
        <is>
          <t>PENDING PRIMARY DOCUMENT</t>
        </is>
      </c>
      <c r="N7" s="117" t="inlineStr">
        <is>
          <t>Planned: Ch 1</t>
        </is>
      </c>
      <c r="O7" s="117" t="inlineStr">
        <is>
          <t>None</t>
        </is>
      </c>
      <c r="P7" s="117" t="inlineStr">
        <is>
          <t>Reported as about 15% above the pre-COVID level despite inflation, currency depreciation and lower purchasing power.</t>
        </is>
      </c>
      <c r="Q7" s="117" t="inlineStr"/>
    </row>
    <row r="8">
      <c r="A8" s="117" t="inlineStr">
        <is>
          <t>E1-04</t>
        </is>
      </c>
      <c r="B8" s="117" t="inlineStr">
        <is>
          <t>Share of off-grid solar products sold by GOGLA affiliates on PAYGo terms</t>
        </is>
      </c>
      <c r="C8" s="136" t="n">
        <v>0.39</v>
      </c>
      <c r="D8" s="117" t="inlineStr">
        <is>
          <t>%</t>
        </is>
      </c>
      <c r="E8" s="117" t="inlineStr">
        <is>
          <t>2023 (24% in 2018)</t>
        </is>
      </c>
      <c r="F8" s="117" t="inlineStr">
        <is>
          <t>Off-Grid Solar Market Trends Report 2024</t>
        </is>
      </c>
      <c r="G8" s="117" t="inlineStr">
        <is>
          <t>ESMAP / World Bank, with GOGLA and Dalberg (as reported)</t>
        </is>
      </c>
      <c r="H8" s="117" t="inlineStr">
        <is>
          <t>2024 (month to verify)</t>
        </is>
      </c>
      <c r="I8" s="117" t="inlineStr">
        <is>
          <t>PAGE TO VERIFY</t>
        </is>
      </c>
      <c r="J8" s="117" t="inlineStr">
        <is>
          <t>https://www.esmap.org/sites/default/files/esmap-files/2024-Off-Grid-Solar-Market-Trends-Report.pdf (not opened from this environment)</t>
        </is>
      </c>
      <c r="K8" s="117" t="inlineStr">
        <is>
          <t>Client extraction from the report, 3 Oct 2026; primary PDF not held</t>
        </is>
      </c>
      <c r="L8" s="117" t="inlineStr">
        <is>
          <t>B</t>
        </is>
      </c>
      <c r="M8" s="134" t="inlineStr">
        <is>
          <t>PENDING PRIMARY DOCUMENT</t>
        </is>
      </c>
      <c r="N8" s="117" t="inlineStr">
        <is>
          <t>Planned: Ch 1</t>
        </is>
      </c>
      <c r="O8" s="117" t="inlineStr">
        <is>
          <t>None</t>
        </is>
      </c>
      <c r="P8" s="117" t="inlineStr"/>
      <c r="Q8" s="117" t="inlineStr"/>
    </row>
    <row r="9">
      <c r="A9" s="117" t="inlineStr">
        <is>
          <t>E1-05</t>
        </is>
      </c>
      <c r="B9" s="117" t="inlineStr">
        <is>
          <t>Share of small SHS sold on PAYGo terms</t>
        </is>
      </c>
      <c r="C9" s="136" t="n">
        <v>0.67</v>
      </c>
      <c r="D9" s="117" t="inlineStr">
        <is>
          <t>%</t>
        </is>
      </c>
      <c r="E9" s="117" t="inlineStr">
        <is>
          <t>2023 (year to verify)</t>
        </is>
      </c>
      <c r="F9" s="117" t="inlineStr">
        <is>
          <t>Off-Grid Solar Market Trends Report 2024</t>
        </is>
      </c>
      <c r="G9" s="117" t="inlineStr">
        <is>
          <t>ESMAP / World Bank, with GOGLA and Dalberg (as reported)</t>
        </is>
      </c>
      <c r="H9" s="117" t="inlineStr">
        <is>
          <t>2024 (month to verify)</t>
        </is>
      </c>
      <c r="I9" s="117" t="inlineStr">
        <is>
          <t>PAGE TO VERIFY</t>
        </is>
      </c>
      <c r="J9" s="117" t="inlineStr">
        <is>
          <t>https://www.esmap.org/sites/default/files/esmap-files/2024-Off-Grid-Solar-Market-Trends-Report.pdf (not opened from this environment)</t>
        </is>
      </c>
      <c r="K9" s="117" t="inlineStr">
        <is>
          <t>Client extraction from the report, 3 Oct 2026; primary PDF not held</t>
        </is>
      </c>
      <c r="L9" s="117" t="inlineStr">
        <is>
          <t>B</t>
        </is>
      </c>
      <c r="M9" s="134" t="inlineStr">
        <is>
          <t>PENDING PRIMARY DOCUMENT</t>
        </is>
      </c>
      <c r="N9" s="117" t="inlineStr">
        <is>
          <t>Planned: Ch 1</t>
        </is>
      </c>
      <c r="O9" s="117" t="inlineStr">
        <is>
          <t>None</t>
        </is>
      </c>
      <c r="P9" s="117" t="inlineStr"/>
      <c r="Q9" s="117" t="inlineStr"/>
    </row>
    <row r="10">
      <c r="A10" s="117" t="inlineStr">
        <is>
          <t>E1-06</t>
        </is>
      </c>
      <c r="B10" s="117" t="inlineStr">
        <is>
          <t>Share of large SHS sold on PAYGo terms</t>
        </is>
      </c>
      <c r="C10" s="136" t="n">
        <v>0.96</v>
      </c>
      <c r="D10" s="117" t="inlineStr">
        <is>
          <t>%</t>
        </is>
      </c>
      <c r="E10" s="117" t="inlineStr">
        <is>
          <t>2023 (year to verify)</t>
        </is>
      </c>
      <c r="F10" s="117" t="inlineStr">
        <is>
          <t>Off-Grid Solar Market Trends Report 2024</t>
        </is>
      </c>
      <c r="G10" s="117" t="inlineStr">
        <is>
          <t>ESMAP / World Bank, with GOGLA and Dalberg (as reported)</t>
        </is>
      </c>
      <c r="H10" s="117" t="inlineStr">
        <is>
          <t>2024 (month to verify)</t>
        </is>
      </c>
      <c r="I10" s="117" t="inlineStr">
        <is>
          <t>PAGE TO VERIFY</t>
        </is>
      </c>
      <c r="J10" s="117" t="inlineStr">
        <is>
          <t>https://www.esmap.org/sites/default/files/esmap-files/2024-Off-Grid-Solar-Market-Trends-Report.pdf (not opened from this environment)</t>
        </is>
      </c>
      <c r="K10" s="117" t="inlineStr">
        <is>
          <t>Client extraction from the report, 3 Oct 2026; primary PDF not held</t>
        </is>
      </c>
      <c r="L10" s="117" t="inlineStr">
        <is>
          <t>B</t>
        </is>
      </c>
      <c r="M10" s="134" t="inlineStr">
        <is>
          <t>PENDING PRIMARY DOCUMENT</t>
        </is>
      </c>
      <c r="N10" s="117" t="inlineStr">
        <is>
          <t>Planned: Ch 1</t>
        </is>
      </c>
      <c r="O10" s="117" t="inlineStr">
        <is>
          <t>None</t>
        </is>
      </c>
      <c r="P10" s="117" t="inlineStr"/>
      <c r="Q10" s="117" t="inlineStr"/>
    </row>
    <row r="11">
      <c r="A11" s="117" t="inlineStr">
        <is>
          <t>E1-07</t>
        </is>
      </c>
      <c r="B11" s="117" t="inlineStr">
        <is>
          <t>Affordability convention: monthly payment of at most 5% of household income is affordable; up to 10% is affordable 'at a stretch'</t>
        </is>
      </c>
      <c r="C11" s="133" t="inlineStr">
        <is>
          <t>5% / 10%</t>
        </is>
      </c>
      <c r="D11" s="117" t="inlineStr">
        <is>
          <t>share of income</t>
        </is>
      </c>
      <c r="E11" s="117" t="inlineStr">
        <is>
          <t>Methodology</t>
        </is>
      </c>
      <c r="F11" s="117" t="inlineStr">
        <is>
          <t>Off-Grid Solar Market Trends Report 2024</t>
        </is>
      </c>
      <c r="G11" s="117" t="inlineStr">
        <is>
          <t>ESMAP / World Bank, with GOGLA and Dalberg (as reported)</t>
        </is>
      </c>
      <c r="H11" s="117" t="inlineStr">
        <is>
          <t>2024 (month to verify)</t>
        </is>
      </c>
      <c r="I11" s="117" t="inlineStr">
        <is>
          <t>PAGE TO VERIFY</t>
        </is>
      </c>
      <c r="J11" s="117" t="inlineStr">
        <is>
          <t>https://www.esmap.org/sites/default/files/esmap-files/2024-Off-Grid-Solar-Market-Trends-Report.pdf (not opened from this environment)</t>
        </is>
      </c>
      <c r="K11" s="117" t="inlineStr">
        <is>
          <t>Client extraction from the report, 3 Oct 2026; primary PDF not held</t>
        </is>
      </c>
      <c r="L11" s="117" t="inlineStr">
        <is>
          <t>B</t>
        </is>
      </c>
      <c r="M11" s="134" t="inlineStr">
        <is>
          <t>PENDING PRIMARY DOCUMENT</t>
        </is>
      </c>
      <c r="N11" s="117" t="inlineStr">
        <is>
          <t>Planned: Ch 2.3, 13.7</t>
        </is>
      </c>
      <c r="O11" s="117" t="inlineStr">
        <is>
          <t>Context for Consumer_Risk threshold (model threshold stays a model policy assumption)</t>
        </is>
      </c>
      <c r="P11" s="117" t="inlineStr">
        <is>
          <t>A methodological convention of the report, not a regulation or a universal empirical limit. The model's default 10% corresponds to the upper bound of 'at a stretch'.</t>
        </is>
      </c>
      <c r="Q11" s="117" t="inlineStr"/>
    </row>
    <row r="12">
      <c r="A12" s="117" t="inlineStr">
        <is>
          <t>E1-08</t>
        </is>
      </c>
      <c r="B12" s="117" t="inlineStr">
        <is>
          <t>Population without access for whom a PAYGo Tier 1 product is affordable / at a stretch / not affordable (global)</t>
        </is>
      </c>
      <c r="C12" s="133" t="inlineStr">
        <is>
          <t>22% / 27% / 51%</t>
        </is>
      </c>
      <c r="D12" s="117" t="inlineStr">
        <is>
          <t>% of population</t>
        </is>
      </c>
      <c r="E12" s="117" t="inlineStr">
        <is>
          <t>Report year</t>
        </is>
      </c>
      <c r="F12" s="117" t="inlineStr">
        <is>
          <t>Off-Grid Solar Market Trends Report 2024</t>
        </is>
      </c>
      <c r="G12" s="117" t="inlineStr">
        <is>
          <t>ESMAP / World Bank, with GOGLA and Dalberg (as reported)</t>
        </is>
      </c>
      <c r="H12" s="117" t="inlineStr">
        <is>
          <t>2024 (month to verify)</t>
        </is>
      </c>
      <c r="I12" s="117" t="inlineStr">
        <is>
          <t>PAGE TO VERIFY</t>
        </is>
      </c>
      <c r="J12" s="117" t="inlineStr">
        <is>
          <t>https://www.esmap.org/sites/default/files/esmap-files/2024-Off-Grid-Solar-Market-Trends-Report.pdf (not opened from this environment)</t>
        </is>
      </c>
      <c r="K12" s="117" t="inlineStr">
        <is>
          <t>Client extraction from the report, 3 Oct 2026; primary PDF not held</t>
        </is>
      </c>
      <c r="L12" s="117" t="inlineStr">
        <is>
          <t>B</t>
        </is>
      </c>
      <c r="M12" s="134" t="inlineStr">
        <is>
          <t>PENDING PRIMARY DOCUMENT</t>
        </is>
      </c>
      <c r="N12" s="117" t="inlineStr">
        <is>
          <t>Planned: Ch 2</t>
        </is>
      </c>
      <c r="O12" s="117" t="inlineStr">
        <is>
          <t>None</t>
        </is>
      </c>
      <c r="P12" s="117" t="inlineStr"/>
      <c r="Q12" s="117" t="inlineStr"/>
    </row>
    <row r="13">
      <c r="A13" s="117" t="inlineStr">
        <is>
          <t>E1-09</t>
        </is>
      </c>
      <c r="B13" s="117" t="inlineStr">
        <is>
          <t>Same measure for a Tier 2 product (global)</t>
        </is>
      </c>
      <c r="C13" s="133" t="inlineStr">
        <is>
          <t>1% / 2% / 97%</t>
        </is>
      </c>
      <c r="D13" s="117" t="inlineStr">
        <is>
          <t>% of population</t>
        </is>
      </c>
      <c r="E13" s="117" t="inlineStr">
        <is>
          <t>Report year</t>
        </is>
      </c>
      <c r="F13" s="117" t="inlineStr">
        <is>
          <t>Off-Grid Solar Market Trends Report 2024</t>
        </is>
      </c>
      <c r="G13" s="117" t="inlineStr">
        <is>
          <t>ESMAP / World Bank, with GOGLA and Dalberg (as reported)</t>
        </is>
      </c>
      <c r="H13" s="117" t="inlineStr">
        <is>
          <t>2024 (month to verify)</t>
        </is>
      </c>
      <c r="I13" s="117" t="inlineStr">
        <is>
          <t>PAGE TO VERIFY</t>
        </is>
      </c>
      <c r="J13" s="117" t="inlineStr">
        <is>
          <t>https://www.esmap.org/sites/default/files/esmap-files/2024-Off-Grid-Solar-Market-Trends-Report.pdf (not opened from this environment)</t>
        </is>
      </c>
      <c r="K13" s="117" t="inlineStr">
        <is>
          <t>Client extraction from the report, 3 Oct 2026; primary PDF not held</t>
        </is>
      </c>
      <c r="L13" s="117" t="inlineStr">
        <is>
          <t>B</t>
        </is>
      </c>
      <c r="M13" s="134" t="inlineStr">
        <is>
          <t>PENDING PRIMARY DOCUMENT</t>
        </is>
      </c>
      <c r="N13" s="117" t="inlineStr">
        <is>
          <t>Planned: Ch 2</t>
        </is>
      </c>
      <c r="O13" s="117" t="inlineStr">
        <is>
          <t>None</t>
        </is>
      </c>
      <c r="P13" s="117" t="inlineStr"/>
      <c r="Q13" s="117" t="inlineStr"/>
    </row>
    <row r="14">
      <c r="A14" s="117" t="inlineStr">
        <is>
          <t>E1-10</t>
        </is>
      </c>
      <c r="B14" s="117" t="inlineStr">
        <is>
          <t>Sub-Saharan Africa: share of the population without access for whom PAYGo Tier 1 is affordable; share for whom it is affordable at a stretch</t>
        </is>
      </c>
      <c r="C14" s="133" t="inlineStr">
        <is>
          <t>16% / 46%</t>
        </is>
      </c>
      <c r="D14" s="117" t="inlineStr">
        <is>
          <t>% of population</t>
        </is>
      </c>
      <c r="E14" s="117" t="inlineStr">
        <is>
          <t>Report year</t>
        </is>
      </c>
      <c r="F14" s="117" t="inlineStr">
        <is>
          <t>Off-Grid Solar Market Trends Report 2024</t>
        </is>
      </c>
      <c r="G14" s="117" t="inlineStr">
        <is>
          <t>ESMAP / World Bank, with GOGLA and Dalberg (as reported)</t>
        </is>
      </c>
      <c r="H14" s="117" t="inlineStr">
        <is>
          <t>2024 (month to verify)</t>
        </is>
      </c>
      <c r="I14" s="117" t="inlineStr">
        <is>
          <t>PAGE TO VERIFY</t>
        </is>
      </c>
      <c r="J14" s="117" t="inlineStr">
        <is>
          <t>https://www.esmap.org/sites/default/files/esmap-files/2024-Off-Grid-Solar-Market-Trends-Report.pdf (not opened from this environment)</t>
        </is>
      </c>
      <c r="K14" s="117" t="inlineStr">
        <is>
          <t>Client extraction from the report, 3 Oct 2026; primary PDF not held</t>
        </is>
      </c>
      <c r="L14" s="117" t="inlineStr">
        <is>
          <t>B</t>
        </is>
      </c>
      <c r="M14" s="134" t="inlineStr">
        <is>
          <t>PENDING PRIMARY DOCUMENT</t>
        </is>
      </c>
      <c r="N14" s="117" t="inlineStr">
        <is>
          <t>Planned: Ch 2</t>
        </is>
      </c>
      <c r="O14" s="117" t="inlineStr">
        <is>
          <t>None</t>
        </is>
      </c>
      <c r="P14" s="117" t="inlineStr">
        <is>
          <t>DEFINITION TO VERIFY: the global split (22% + 27% = 49%) is incremental; it must be checked whether 46% for Sub-Saharan Africa is incremental or cumulative (16% included).</t>
        </is>
      </c>
      <c r="Q14" s="117" t="inlineStr"/>
    </row>
    <row r="15">
      <c r="A15" s="117" t="inlineStr">
        <is>
          <t>E1-11</t>
        </is>
      </c>
      <c r="B15" s="117" t="inlineStr">
        <is>
          <t>Share of people without access living in low-density rural, remote or conflict-affected areas</t>
        </is>
      </c>
      <c r="C15" s="136" t="n">
        <v>0.82</v>
      </c>
      <c r="D15" s="117" t="inlineStr">
        <is>
          <t>%</t>
        </is>
      </c>
      <c r="E15" s="117" t="inlineStr">
        <is>
          <t>Report year</t>
        </is>
      </c>
      <c r="F15" s="117" t="inlineStr">
        <is>
          <t>Off-Grid Solar Market Trends Report 2024</t>
        </is>
      </c>
      <c r="G15" s="117" t="inlineStr">
        <is>
          <t>ESMAP / World Bank, with GOGLA and Dalberg (as reported)</t>
        </is>
      </c>
      <c r="H15" s="117" t="inlineStr">
        <is>
          <t>2024 (month to verify)</t>
        </is>
      </c>
      <c r="I15" s="117" t="inlineStr">
        <is>
          <t>PAGE TO VERIFY</t>
        </is>
      </c>
      <c r="J15" s="117" t="inlineStr">
        <is>
          <t>https://www.esmap.org/sites/default/files/esmap-files/2024-Off-Grid-Solar-Market-Trends-Report.pdf (not opened from this environment)</t>
        </is>
      </c>
      <c r="K15" s="117" t="inlineStr">
        <is>
          <t>Client extraction from the report, 3 Oct 2026; primary PDF not held</t>
        </is>
      </c>
      <c r="L15" s="117" t="inlineStr">
        <is>
          <t>B</t>
        </is>
      </c>
      <c r="M15" s="134" t="inlineStr">
        <is>
          <t>PENDING PRIMARY DOCUMENT</t>
        </is>
      </c>
      <c r="N15" s="117" t="inlineStr">
        <is>
          <t>Planned: Ch 5</t>
        </is>
      </c>
      <c r="O15" s="117" t="inlineStr">
        <is>
          <t>None</t>
        </is>
      </c>
      <c r="P15" s="117" t="inlineStr"/>
      <c r="Q15" s="117" t="inlineStr"/>
    </row>
    <row r="16">
      <c r="A16" s="117" t="inlineStr">
        <is>
          <t>E1-12</t>
        </is>
      </c>
      <c r="B16" s="117" t="inlineStr">
        <is>
          <t>Cost of supplying a product in hard-to-reach areas: up to 57% higher; Tier 1 PAYGo example about USD 127 on average against about USD 199</t>
        </is>
      </c>
      <c r="C16" s="133" t="inlineStr">
        <is>
          <t>up to 57%</t>
        </is>
      </c>
      <c r="D16" s="117" t="inlineStr">
        <is>
          <t>% / USD</t>
        </is>
      </c>
      <c r="E16" s="117" t="inlineStr">
        <is>
          <t>Report year</t>
        </is>
      </c>
      <c r="F16" s="117" t="inlineStr">
        <is>
          <t>Off-Grid Solar Market Trends Report 2024</t>
        </is>
      </c>
      <c r="G16" s="117" t="inlineStr">
        <is>
          <t>ESMAP / World Bank, with GOGLA and Dalberg (as reported)</t>
        </is>
      </c>
      <c r="H16" s="117" t="inlineStr">
        <is>
          <t>2024 (month to verify)</t>
        </is>
      </c>
      <c r="I16" s="117" t="inlineStr">
        <is>
          <t>PAGE TO VERIFY</t>
        </is>
      </c>
      <c r="J16" s="117" t="inlineStr">
        <is>
          <t>https://www.esmap.org/sites/default/files/esmap-files/2024-Off-Grid-Solar-Market-Trends-Report.pdf (not opened from this environment)</t>
        </is>
      </c>
      <c r="K16" s="117" t="inlineStr">
        <is>
          <t>Client extraction from the report, 3 Oct 2026; primary PDF not held</t>
        </is>
      </c>
      <c r="L16" s="117" t="inlineStr">
        <is>
          <t>B</t>
        </is>
      </c>
      <c r="M16" s="134" t="inlineStr">
        <is>
          <t>PENDING PRIMARY DOCUMENT</t>
        </is>
      </c>
      <c r="N16" s="117" t="inlineStr">
        <is>
          <t>Planned: Ch 5 (cost to serve)</t>
        </is>
      </c>
      <c r="O16" s="117" t="inlineStr">
        <is>
          <t>Candidate for a remote-area cost-to-serve lever (not implemented)</t>
        </is>
      </c>
      <c r="P16" s="117" t="inlineStr"/>
      <c r="Q16" s="117" t="inlineStr"/>
    </row>
    <row r="17">
      <c r="A17" s="117" t="inlineStr">
        <is>
          <t>E1-13</t>
        </is>
      </c>
      <c r="B17" s="117" t="inlineStr">
        <is>
          <t>An increase of 2 to 3 percentage points in the cost of capital can raise the end-user price by about 5% in some contexts</t>
        </is>
      </c>
      <c r="C17" s="133" t="inlineStr">
        <is>
          <t>about 5%</t>
        </is>
      </c>
      <c r="D17" s="117" t="inlineStr">
        <is>
          <t>% of price</t>
        </is>
      </c>
      <c r="E17" s="117" t="inlineStr">
        <is>
          <t>Report year</t>
        </is>
      </c>
      <c r="F17" s="117" t="inlineStr">
        <is>
          <t>Off-Grid Solar Market Trends Report 2024</t>
        </is>
      </c>
      <c r="G17" s="117" t="inlineStr">
        <is>
          <t>ESMAP / World Bank, with GOGLA and Dalberg (as reported)</t>
        </is>
      </c>
      <c r="H17" s="117" t="inlineStr">
        <is>
          <t>2024 (month to verify)</t>
        </is>
      </c>
      <c r="I17" s="117" t="inlineStr">
        <is>
          <t>PAGE TO VERIFY</t>
        </is>
      </c>
      <c r="J17" s="117" t="inlineStr">
        <is>
          <t>https://www.esmap.org/sites/default/files/esmap-files/2024-Off-Grid-Solar-Market-Trends-Report.pdf (not opened from this environment)</t>
        </is>
      </c>
      <c r="K17" s="117" t="inlineStr">
        <is>
          <t>Client extraction from the report, 3 Oct 2026; primary PDF not held</t>
        </is>
      </c>
      <c r="L17" s="117" t="inlineStr">
        <is>
          <t>B</t>
        </is>
      </c>
      <c r="M17" s="134" t="inlineStr">
        <is>
          <t>PENDING PRIMARY DOCUMENT</t>
        </is>
      </c>
      <c r="N17" s="117" t="inlineStr">
        <is>
          <t>Planned: Ch 4, 11</t>
        </is>
      </c>
      <c r="O17" s="117" t="inlineStr">
        <is>
          <t>Candidate link from cost of funds to price (not implemented)</t>
        </is>
      </c>
      <c r="P17" s="117" t="inlineStr"/>
      <c r="Q17" s="117" t="inlineStr"/>
    </row>
    <row r="18">
      <c r="A18" s="117" t="inlineStr">
        <is>
          <t>E1-14</t>
        </is>
      </c>
      <c r="B18" s="117" t="inlineStr">
        <is>
          <t>Average PAYGo collection rate across reporting companies</t>
        </is>
      </c>
      <c r="C18" s="136" t="n">
        <v>0.62</v>
      </c>
      <c r="D18" s="117" t="inlineStr">
        <is>
          <t>%</t>
        </is>
      </c>
      <c r="E18" s="117" t="inlineStr">
        <is>
          <t>2021-2023 (book says 2023: period to verify)</t>
        </is>
      </c>
      <c r="F18" s="117" t="inlineStr">
        <is>
          <t>Off-Grid Solar Market Trends Report 2024</t>
        </is>
      </c>
      <c r="G18" s="117" t="inlineStr">
        <is>
          <t>ESMAP / World Bank, with GOGLA and Dalberg (as reported)</t>
        </is>
      </c>
      <c r="H18" s="117" t="inlineStr">
        <is>
          <t>2024 (month to verify)</t>
        </is>
      </c>
      <c r="I18" s="117" t="inlineStr">
        <is>
          <t>PAGE TO VERIFY</t>
        </is>
      </c>
      <c r="J18" s="117" t="inlineStr">
        <is>
          <t>https://www.esmap.org/sites/default/files/esmap-files/2024-Off-Grid-Solar-Market-Trends-Report.pdf (not opened from this environment)</t>
        </is>
      </c>
      <c r="K18" s="117" t="inlineStr">
        <is>
          <t>Client extraction from the report, 3 Oct 2026; primary PDF not held</t>
        </is>
      </c>
      <c r="L18" s="117" t="inlineStr">
        <is>
          <t>B</t>
        </is>
      </c>
      <c r="M18" s="134" t="inlineStr">
        <is>
          <t>PENDING PRIMARY DOCUMENT</t>
        </is>
      </c>
      <c r="N18" s="117" t="inlineStr">
        <is>
          <t>Ch 1.6, 7.4, 15 (as 'about 62% in 2023', secondary caveat)</t>
        </is>
      </c>
      <c r="O18" s="117" t="inlineStr">
        <is>
          <t>Calibration reference (credit), suspended until VERIFIED</t>
        </is>
      </c>
      <c r="P18" s="117" t="inlineStr">
        <is>
          <t>A collection rate, not the PAYGo PERFORM 2026 Repayment Rate. Definition (numerator, denominator, deposits, weighting) to verify before any comparison with the model's operational collection rate.</t>
        </is>
      </c>
      <c r="Q18" s="117" t="inlineStr">
        <is>
          <t>ESMAP / World Bank|Sector PAYGo collection rate</t>
        </is>
      </c>
    </row>
    <row r="19">
      <c r="A19" s="117" t="inlineStr">
        <is>
          <t>E1-15</t>
        </is>
      </c>
      <c r="B19" s="117" t="inlineStr">
        <is>
          <t>Collection rate by quartile: top quartile 75-80%; bottom quartile below 50%</t>
        </is>
      </c>
      <c r="C19" s="133" t="inlineStr">
        <is>
          <t>75-80% / &lt;50%</t>
        </is>
      </c>
      <c r="D19" s="117" t="inlineStr">
        <is>
          <t>%</t>
        </is>
      </c>
      <c r="E19" s="117" t="inlineStr">
        <is>
          <t>2021-2023</t>
        </is>
      </c>
      <c r="F19" s="117" t="inlineStr">
        <is>
          <t>Off-Grid Solar Market Trends Report 2024</t>
        </is>
      </c>
      <c r="G19" s="117" t="inlineStr">
        <is>
          <t>ESMAP / World Bank, with GOGLA and Dalberg (as reported)</t>
        </is>
      </c>
      <c r="H19" s="117" t="inlineStr">
        <is>
          <t>2024 (month to verify)</t>
        </is>
      </c>
      <c r="I19" s="117" t="inlineStr">
        <is>
          <t>PAGE TO VERIFY</t>
        </is>
      </c>
      <c r="J19" s="117" t="inlineStr">
        <is>
          <t>https://www.esmap.org/sites/default/files/esmap-files/2024-Off-Grid-Solar-Market-Trends-Report.pdf (not opened from this environment)</t>
        </is>
      </c>
      <c r="K19" s="117" t="inlineStr">
        <is>
          <t>Client extraction from the report, 3 Oct 2026; primary PDF not held</t>
        </is>
      </c>
      <c r="L19" s="117" t="inlineStr">
        <is>
          <t>B</t>
        </is>
      </c>
      <c r="M19" s="134" t="inlineStr">
        <is>
          <t>PENDING PRIMARY DOCUMENT</t>
        </is>
      </c>
      <c r="N19" s="117" t="inlineStr">
        <is>
          <t>Planned: Ch 7.4</t>
        </is>
      </c>
      <c r="O19" s="117" t="inlineStr">
        <is>
          <t>None</t>
        </is>
      </c>
      <c r="P19" s="117" t="inlineStr"/>
      <c r="Q19" s="117" t="inlineStr"/>
    </row>
    <row r="20">
      <c r="A20" s="117" t="inlineStr">
        <is>
          <t>E1-16</t>
        </is>
      </c>
      <c r="B20" s="117" t="inlineStr">
        <is>
          <t>Share of companies with write-off ratio plus RAR30 between 30% and 50%</t>
        </is>
      </c>
      <c r="C20" s="133" t="inlineStr">
        <is>
          <t>about 50% (18% in 2021)</t>
        </is>
      </c>
      <c r="D20" s="117" t="inlineStr">
        <is>
          <t>% of companies</t>
        </is>
      </c>
      <c r="E20" s="117" t="inlineStr">
        <is>
          <t>2023 vs 2021</t>
        </is>
      </c>
      <c r="F20" s="117" t="inlineStr">
        <is>
          <t>Off-Grid Solar Market Trends Report 2024</t>
        </is>
      </c>
      <c r="G20" s="117" t="inlineStr">
        <is>
          <t>ESMAP / World Bank, with GOGLA and Dalberg (as reported)</t>
        </is>
      </c>
      <c r="H20" s="117" t="inlineStr">
        <is>
          <t>2024 (month to verify)</t>
        </is>
      </c>
      <c r="I20" s="117" t="inlineStr">
        <is>
          <t>PAGE TO VERIFY</t>
        </is>
      </c>
      <c r="J20" s="117" t="inlineStr">
        <is>
          <t>https://www.esmap.org/sites/default/files/esmap-files/2024-Off-Grid-Solar-Market-Trends-Report.pdf (not opened from this environment)</t>
        </is>
      </c>
      <c r="K20" s="117" t="inlineStr">
        <is>
          <t>Client extraction from the report, 3 Oct 2026; primary PDF not held</t>
        </is>
      </c>
      <c r="L20" s="117" t="inlineStr">
        <is>
          <t>B</t>
        </is>
      </c>
      <c r="M20" s="134" t="inlineStr">
        <is>
          <t>PENDING PRIMARY DOCUMENT</t>
        </is>
      </c>
      <c r="N20" s="117" t="inlineStr">
        <is>
          <t>Ch 1.6, 7.4, 15 currently say 'about half of PAYGo customers had been written off or were more than 30 days late'</t>
        </is>
      </c>
      <c r="O20" s="117" t="inlineStr">
        <is>
          <t>None</t>
        </is>
      </c>
      <c r="P20" s="117" t="inlineStr">
        <is>
          <t>CONFLICTS WITH THE BOOK'S WORDING: the client extraction concerns half of companies within a ratio band, not half of customers. Book wording to be withdrawn. RAR30 and write-off ratio are 2021 PERFORM portfolio quality metrics (E2a-03, E2a-04).</t>
        </is>
      </c>
      <c r="Q20" s="117" t="inlineStr"/>
    </row>
    <row r="21">
      <c r="A21" s="117" t="inlineStr">
        <is>
          <t>E1-17</t>
        </is>
      </c>
      <c r="B21" s="117" t="inlineStr">
        <is>
          <t>Off-grid solar investment</t>
        </is>
      </c>
      <c r="C21" s="133" t="inlineStr">
        <is>
          <t>773 / 1,200 (746 in 2022; 425 in 2023)</t>
        </is>
      </c>
      <c r="D21" s="117" t="inlineStr">
        <is>
          <t>USD m</t>
        </is>
      </c>
      <c r="E21" s="117" t="inlineStr">
        <is>
          <t>2020-2021 / 2022-2023</t>
        </is>
      </c>
      <c r="F21" s="117" t="inlineStr">
        <is>
          <t>Off-Grid Solar Market Trends Report 2024</t>
        </is>
      </c>
      <c r="G21" s="117" t="inlineStr">
        <is>
          <t>ESMAP / World Bank, with GOGLA and Dalberg (as reported)</t>
        </is>
      </c>
      <c r="H21" s="117" t="inlineStr">
        <is>
          <t>2024 (month to verify)</t>
        </is>
      </c>
      <c r="I21" s="117" t="inlineStr">
        <is>
          <t>PAGE TO VERIFY</t>
        </is>
      </c>
      <c r="J21" s="117" t="inlineStr">
        <is>
          <t>https://www.esmap.org/sites/default/files/esmap-files/2024-Off-Grid-Solar-Market-Trends-Report.pdf (not opened from this environment)</t>
        </is>
      </c>
      <c r="K21" s="117" t="inlineStr">
        <is>
          <t>Client extraction from the report, 3 Oct 2026; primary PDF not held</t>
        </is>
      </c>
      <c r="L21" s="117" t="inlineStr">
        <is>
          <t>B</t>
        </is>
      </c>
      <c r="M21" s="134" t="inlineStr">
        <is>
          <t>PENDING PRIMARY DOCUMENT</t>
        </is>
      </c>
      <c r="N21" s="117" t="inlineStr">
        <is>
          <t>Planned: Ch 11</t>
        </is>
      </c>
      <c r="O21" s="117" t="inlineStr">
        <is>
          <t>None</t>
        </is>
      </c>
      <c r="P21" s="117" t="inlineStr">
        <is>
          <t>Large single transactions drive the annual figures. Internal consistency check: 746 + 425 = 1,171, about USD 1.2bn.</t>
        </is>
      </c>
      <c r="Q21" s="117" t="inlineStr"/>
    </row>
    <row r="22">
      <c r="A22" s="117" t="inlineStr">
        <is>
          <t>E1-18</t>
        </is>
      </c>
      <c r="B22" s="117" t="inlineStr">
        <is>
          <t>Debt share of off-grid solar investment, excluding one large Sun King equity transaction</t>
        </is>
      </c>
      <c r="C22" s="136" t="n">
        <v>0.75</v>
      </c>
      <c r="D22" s="117" t="inlineStr">
        <is>
          <t>%</t>
        </is>
      </c>
      <c r="E22" s="117" t="inlineStr">
        <is>
          <t>2021-2023</t>
        </is>
      </c>
      <c r="F22" s="117" t="inlineStr">
        <is>
          <t>Off-Grid Solar Market Trends Report 2024</t>
        </is>
      </c>
      <c r="G22" s="117" t="inlineStr">
        <is>
          <t>ESMAP / World Bank, with GOGLA and Dalberg (as reported)</t>
        </is>
      </c>
      <c r="H22" s="117" t="inlineStr">
        <is>
          <t>2024 (month to verify)</t>
        </is>
      </c>
      <c r="I22" s="117" t="inlineStr">
        <is>
          <t>PAGE TO VERIFY</t>
        </is>
      </c>
      <c r="J22" s="117" t="inlineStr">
        <is>
          <t>https://www.esmap.org/sites/default/files/esmap-files/2024-Off-Grid-Solar-Market-Trends-Report.pdf (not opened from this environment)</t>
        </is>
      </c>
      <c r="K22" s="117" t="inlineStr">
        <is>
          <t>Client extraction from the report, 3 Oct 2026; primary PDF not held</t>
        </is>
      </c>
      <c r="L22" s="117" t="inlineStr">
        <is>
          <t>B</t>
        </is>
      </c>
      <c r="M22" s="134" t="inlineStr">
        <is>
          <t>PENDING PRIMARY DOCUMENT</t>
        </is>
      </c>
      <c r="N22" s="117" t="inlineStr">
        <is>
          <t>Planned: Ch 11</t>
        </is>
      </c>
      <c r="O22" s="117" t="inlineStr">
        <is>
          <t>None</t>
        </is>
      </c>
      <c r="P22" s="117" t="inlineStr"/>
      <c r="Q22" s="117" t="inlineStr"/>
    </row>
    <row r="23">
      <c r="A23" s="117" t="inlineStr">
        <is>
          <t>E1-19</t>
        </is>
      </c>
      <c r="B23" s="117" t="inlineStr">
        <is>
          <t>Share of 2023 investment in local currency</t>
        </is>
      </c>
      <c r="C23" s="133" t="inlineStr">
        <is>
          <t>more than one third</t>
        </is>
      </c>
      <c r="D23" s="117" t="inlineStr">
        <is>
          <t>% of investment</t>
        </is>
      </c>
      <c r="E23" s="117" t="inlineStr">
        <is>
          <t>2023</t>
        </is>
      </c>
      <c r="F23" s="117" t="inlineStr">
        <is>
          <t>Off-Grid Solar Market Trends Report 2024</t>
        </is>
      </c>
      <c r="G23" s="117" t="inlineStr">
        <is>
          <t>ESMAP / World Bank, with GOGLA and Dalberg (as reported)</t>
        </is>
      </c>
      <c r="H23" s="117" t="inlineStr">
        <is>
          <t>2024 (month to verify)</t>
        </is>
      </c>
      <c r="I23" s="117" t="inlineStr">
        <is>
          <t>PAGE TO VERIFY</t>
        </is>
      </c>
      <c r="J23" s="117" t="inlineStr">
        <is>
          <t>https://www.esmap.org/sites/default/files/esmap-files/2024-Off-Grid-Solar-Market-Trends-Report.pdf (not opened from this environment)</t>
        </is>
      </c>
      <c r="K23" s="117" t="inlineStr">
        <is>
          <t>Client extraction from the report, 3 Oct 2026; primary PDF not held</t>
        </is>
      </c>
      <c r="L23" s="117" t="inlineStr">
        <is>
          <t>B</t>
        </is>
      </c>
      <c r="M23" s="134" t="inlineStr">
        <is>
          <t>PENDING PRIMARY DOCUMENT</t>
        </is>
      </c>
      <c r="N23" s="117" t="inlineStr">
        <is>
          <t>Planned: Ch 10, 11, 12</t>
        </is>
      </c>
      <c r="O23" s="117" t="inlineStr">
        <is>
          <t>None</t>
        </is>
      </c>
      <c r="P23" s="117" t="inlineStr"/>
      <c r="Q23" s="117" t="inlineStr"/>
    </row>
    <row r="24">
      <c r="A24" s="117" t="inlineStr">
        <is>
          <t>E1-20</t>
        </is>
      </c>
      <c r="B24" s="117" t="inlineStr">
        <is>
          <t>Off-balance-sheet financing, including local-currency securitisations matched to receivables currency, became a significant source of funding</t>
        </is>
      </c>
      <c r="C24" s="133" t="inlineStr">
        <is>
          <t>qualitative</t>
        </is>
      </c>
      <c r="D24" s="117" t="inlineStr">
        <is>
          <t>text</t>
        </is>
      </c>
      <c r="E24" s="117" t="inlineStr">
        <is>
          <t>Report period</t>
        </is>
      </c>
      <c r="F24" s="117" t="inlineStr">
        <is>
          <t>Off-Grid Solar Market Trends Report 2024</t>
        </is>
      </c>
      <c r="G24" s="117" t="inlineStr">
        <is>
          <t>ESMAP / World Bank, with GOGLA and Dalberg (as reported)</t>
        </is>
      </c>
      <c r="H24" s="117" t="inlineStr">
        <is>
          <t>2024 (month to verify)</t>
        </is>
      </c>
      <c r="I24" s="117" t="inlineStr">
        <is>
          <t>PAGE TO VERIFY</t>
        </is>
      </c>
      <c r="J24" s="117" t="inlineStr">
        <is>
          <t>https://www.esmap.org/sites/default/files/esmap-files/2024-Off-Grid-Solar-Market-Trends-Report.pdf (not opened from this environment)</t>
        </is>
      </c>
      <c r="K24" s="117" t="inlineStr">
        <is>
          <t>Client extraction from the report, 3 Oct 2026; primary PDF not held</t>
        </is>
      </c>
      <c r="L24" s="117" t="inlineStr">
        <is>
          <t>B</t>
        </is>
      </c>
      <c r="M24" s="134" t="inlineStr">
        <is>
          <t>PENDING PRIMARY DOCUMENT</t>
        </is>
      </c>
      <c r="N24" s="117" t="inlineStr">
        <is>
          <t>Planned: Ch 12</t>
        </is>
      </c>
      <c r="O24" s="117" t="inlineStr">
        <is>
          <t>None</t>
        </is>
      </c>
      <c r="P24" s="117" t="inlineStr"/>
      <c r="Q24" s="117" t="inlineStr"/>
    </row>
    <row r="25">
      <c r="A25" s="117" t="inlineStr">
        <is>
          <t>E1-21</t>
        </is>
      </c>
      <c r="B25" s="117" t="inlineStr">
        <is>
          <t>Share of small and medium off-grid solar companies citing access to finance as a significant challenge</t>
        </is>
      </c>
      <c r="C25" s="133" t="inlineStr">
        <is>
          <t>more than 60%</t>
        </is>
      </c>
      <c r="D25" s="117" t="inlineStr">
        <is>
          <t>% of companies</t>
        </is>
      </c>
      <c r="E25" s="117" t="inlineStr">
        <is>
          <t>Report period</t>
        </is>
      </c>
      <c r="F25" s="117" t="inlineStr">
        <is>
          <t>Off-Grid Solar Market Trends Report 2024</t>
        </is>
      </c>
      <c r="G25" s="117" t="inlineStr">
        <is>
          <t>ESMAP / World Bank, with GOGLA and Dalberg (as reported)</t>
        </is>
      </c>
      <c r="H25" s="117" t="inlineStr">
        <is>
          <t>2024 (month to verify)</t>
        </is>
      </c>
      <c r="I25" s="117" t="inlineStr">
        <is>
          <t>PAGE TO VERIFY</t>
        </is>
      </c>
      <c r="J25" s="117" t="inlineStr">
        <is>
          <t>https://www.esmap.org/sites/default/files/esmap-files/2024-Off-Grid-Solar-Market-Trends-Report.pdf (not opened from this environment)</t>
        </is>
      </c>
      <c r="K25" s="117" t="inlineStr">
        <is>
          <t>Client extraction from the report, 3 Oct 2026; primary PDF not held</t>
        </is>
      </c>
      <c r="L25" s="117" t="inlineStr">
        <is>
          <t>B</t>
        </is>
      </c>
      <c r="M25" s="134" t="inlineStr">
        <is>
          <t>PENDING PRIMARY DOCUMENT</t>
        </is>
      </c>
      <c r="N25" s="117" t="inlineStr">
        <is>
          <t>Planned: Ch 11</t>
        </is>
      </c>
      <c r="O25" s="117" t="inlineStr">
        <is>
          <t>None</t>
        </is>
      </c>
      <c r="P25" s="117" t="inlineStr"/>
      <c r="Q25" s="117" t="inlineStr"/>
    </row>
    <row r="26">
      <c r="A26" s="117" t="inlineStr">
        <is>
          <t>E1-22</t>
        </is>
      </c>
      <c r="B26" s="117" t="inlineStr">
        <is>
          <t>Cost of financing as a share of total costs of off-grid solar companies in low-income markets</t>
        </is>
      </c>
      <c r="C26" s="133" t="inlineStr">
        <is>
          <t>about 14%</t>
        </is>
      </c>
      <c r="D26" s="117" t="inlineStr">
        <is>
          <t>% of total costs</t>
        </is>
      </c>
      <c r="E26" s="117" t="inlineStr">
        <is>
          <t>Report period</t>
        </is>
      </c>
      <c r="F26" s="117" t="inlineStr">
        <is>
          <t>Off-Grid Solar Market Trends Report 2024</t>
        </is>
      </c>
      <c r="G26" s="117" t="inlineStr">
        <is>
          <t>ESMAP / World Bank, with GOGLA and Dalberg (as reported)</t>
        </is>
      </c>
      <c r="H26" s="117" t="inlineStr">
        <is>
          <t>2024 (month to verify)</t>
        </is>
      </c>
      <c r="I26" s="117" t="inlineStr">
        <is>
          <t>PAGE TO VERIFY</t>
        </is>
      </c>
      <c r="J26" s="117" t="inlineStr">
        <is>
          <t>https://www.esmap.org/sites/default/files/esmap-files/2024-Off-Grid-Solar-Market-Trends-Report.pdf (not opened from this environment)</t>
        </is>
      </c>
      <c r="K26" s="117" t="inlineStr">
        <is>
          <t>Client extraction from the report, 3 Oct 2026; primary PDF not held</t>
        </is>
      </c>
      <c r="L26" s="117" t="inlineStr">
        <is>
          <t>B</t>
        </is>
      </c>
      <c r="M26" s="134" t="inlineStr">
        <is>
          <t>PENDING PRIMARY DOCUMENT</t>
        </is>
      </c>
      <c r="N26" s="117" t="inlineStr">
        <is>
          <t>Planned: Ch 9, 11</t>
        </is>
      </c>
      <c r="O26" s="117" t="inlineStr">
        <is>
          <t>None</t>
        </is>
      </c>
      <c r="P26" s="117" t="inlineStr"/>
      <c r="Q26" s="117" t="inlineStr"/>
    </row>
    <row r="27">
      <c r="A27" s="117" t="inlineStr">
        <is>
          <t>E1-23</t>
        </is>
      </c>
      <c r="B27" s="117" t="inlineStr">
        <is>
          <t>Results-based financing committed since 2018; disbursed</t>
        </is>
      </c>
      <c r="C27" s="133" t="inlineStr">
        <is>
          <t>733 / about 350</t>
        </is>
      </c>
      <c r="D27" s="117" t="inlineStr">
        <is>
          <t>USD m</t>
        </is>
      </c>
      <c r="E27" s="117" t="inlineStr">
        <is>
          <t>2018 to report date</t>
        </is>
      </c>
      <c r="F27" s="117" t="inlineStr">
        <is>
          <t>Off-Grid Solar Market Trends Report 2024</t>
        </is>
      </c>
      <c r="G27" s="117" t="inlineStr">
        <is>
          <t>ESMAP / World Bank, with GOGLA and Dalberg (as reported)</t>
        </is>
      </c>
      <c r="H27" s="117" t="inlineStr">
        <is>
          <t>2024 (month to verify)</t>
        </is>
      </c>
      <c r="I27" s="117" t="inlineStr">
        <is>
          <t>PAGE TO VERIFY</t>
        </is>
      </c>
      <c r="J27" s="117" t="inlineStr">
        <is>
          <t>https://www.esmap.org/sites/default/files/esmap-files/2024-Off-Grid-Solar-Market-Trends-Report.pdf (not opened from this environment)</t>
        </is>
      </c>
      <c r="K27" s="117" t="inlineStr">
        <is>
          <t>Client extraction from the report, 3 Oct 2026; primary PDF not held</t>
        </is>
      </c>
      <c r="L27" s="117" t="inlineStr">
        <is>
          <t>B</t>
        </is>
      </c>
      <c r="M27" s="134" t="inlineStr">
        <is>
          <t>PENDING PRIMARY DOCUMENT</t>
        </is>
      </c>
      <c r="N27" s="117" t="inlineStr">
        <is>
          <t>Planned: Ch 13</t>
        </is>
      </c>
      <c r="O27" s="117" t="inlineStr">
        <is>
          <t>None</t>
        </is>
      </c>
      <c r="P27" s="117" t="inlineStr"/>
      <c r="Q27" s="117" t="inlineStr"/>
    </row>
    <row r="28">
      <c r="A28" s="117" t="inlineStr">
        <is>
          <t>E1-24</t>
        </is>
      </c>
      <c r="B28" s="117" t="inlineStr">
        <is>
          <t>Financing need to serve, by 2030, the 398 million people for whom off-grid solar is the least-cost option (about 41% of households to be electrified)</t>
        </is>
      </c>
      <c r="C28" s="133" t="inlineStr">
        <is>
          <t>about 21</t>
        </is>
      </c>
      <c r="D28" s="117" t="inlineStr">
        <is>
          <t>USD bn</t>
        </is>
      </c>
      <c r="E28" s="117" t="inlineStr">
        <is>
          <t>To 2030</t>
        </is>
      </c>
      <c r="F28" s="117" t="inlineStr">
        <is>
          <t>Off-Grid Solar Market Trends Report 2024</t>
        </is>
      </c>
      <c r="G28" s="117" t="inlineStr">
        <is>
          <t>ESMAP / World Bank, with GOGLA and Dalberg (as reported)</t>
        </is>
      </c>
      <c r="H28" s="117" t="inlineStr">
        <is>
          <t>2024 (month to verify)</t>
        </is>
      </c>
      <c r="I28" s="117" t="inlineStr">
        <is>
          <t>PAGE TO VERIFY</t>
        </is>
      </c>
      <c r="J28" s="117" t="inlineStr">
        <is>
          <t>https://www.esmap.org/sites/default/files/esmap-files/2024-Off-Grid-Solar-Market-Trends-Report.pdf (not opened from this environment)</t>
        </is>
      </c>
      <c r="K28" s="117" t="inlineStr">
        <is>
          <t>Client extraction from the report, 3 Oct 2026; primary PDF not held</t>
        </is>
      </c>
      <c r="L28" s="117" t="inlineStr">
        <is>
          <t>B</t>
        </is>
      </c>
      <c r="M28" s="134" t="inlineStr">
        <is>
          <t>PENDING PRIMARY DOCUMENT</t>
        </is>
      </c>
      <c r="N28" s="117" t="inlineStr">
        <is>
          <t>Planned: Ch 1, 13</t>
        </is>
      </c>
      <c r="O28" s="117" t="inlineStr">
        <is>
          <t>None</t>
        </is>
      </c>
      <c r="P28" s="117" t="inlineStr">
        <is>
          <t>About half public, half private; public funding from about USD 1bn in 2025 to about USD 2.1bn a year in 2028-2030; governments about 30-40% of total cost (client extraction).</t>
        </is>
      </c>
      <c r="Q28" s="117" t="inlineStr"/>
    </row>
    <row r="29">
      <c r="A29" s="117" t="inlineStr">
        <is>
          <t>E1-25</t>
        </is>
      </c>
      <c r="B29" s="117" t="inlineStr">
        <is>
          <t>People reached by off-grid solar on the current trajectory, of the 398 million least-cost population</t>
        </is>
      </c>
      <c r="C29" s="133" t="inlineStr">
        <is>
          <t>216 million (about 55%), about USD 9bn</t>
        </is>
      </c>
      <c r="D29" s="117" t="inlineStr">
        <is>
          <t>people / USD</t>
        </is>
      </c>
      <c r="E29" s="117" t="inlineStr">
        <is>
          <t>To 2030</t>
        </is>
      </c>
      <c r="F29" s="117" t="inlineStr">
        <is>
          <t>Off-Grid Solar Market Trends Report 2024</t>
        </is>
      </c>
      <c r="G29" s="117" t="inlineStr">
        <is>
          <t>ESMAP / World Bank, with GOGLA and Dalberg (as reported)</t>
        </is>
      </c>
      <c r="H29" s="117" t="inlineStr">
        <is>
          <t>2024 (month to verify)</t>
        </is>
      </c>
      <c r="I29" s="117" t="inlineStr">
        <is>
          <t>PAGE TO VERIFY</t>
        </is>
      </c>
      <c r="J29" s="117" t="inlineStr">
        <is>
          <t>https://www.esmap.org/sites/default/files/esmap-files/2024-Off-Grid-Solar-Market-Trends-Report.pdf (not opened from this environment)</t>
        </is>
      </c>
      <c r="K29" s="117" t="inlineStr">
        <is>
          <t>Client extraction from the report, 3 Oct 2026; primary PDF not held</t>
        </is>
      </c>
      <c r="L29" s="117" t="inlineStr">
        <is>
          <t>B</t>
        </is>
      </c>
      <c r="M29" s="134" t="inlineStr">
        <is>
          <t>PENDING PRIMARY DOCUMENT</t>
        </is>
      </c>
      <c r="N29" s="117" t="inlineStr">
        <is>
          <t>Planned: Ch 1, 13</t>
        </is>
      </c>
      <c r="O29" s="117" t="inlineStr">
        <is>
          <t>None</t>
        </is>
      </c>
      <c r="P29" s="117" t="inlineStr"/>
      <c r="Q29" s="117" t="inlineStr"/>
    </row>
    <row r="30">
      <c r="A30" s="117" t="inlineStr">
        <is>
          <t>E2-01</t>
        </is>
      </c>
      <c r="B30" s="117" t="inlineStr">
        <is>
          <t>The PAYGo PERFORM KPIs are five: RR Paid vs Plan (PvP); RR Paid vs Financed (PvFin); RR PvP @90 Days; RR PvP @2x; Ownership Rate @2x</t>
        </is>
      </c>
      <c r="C30" s="133" t="inlineStr">
        <is>
          <t>5 KPIs</t>
        </is>
      </c>
      <c r="D30" s="117" t="inlineStr">
        <is>
          <t>text</t>
        </is>
      </c>
      <c r="E30" s="117" t="inlineStr">
        <is>
          <t>Current</t>
        </is>
      </c>
      <c r="F30" s="117" t="inlineStr">
        <is>
          <t>PAYGo PERFORM KPIs: Industry Standards for End-User Asset Financing, Technical Guide</t>
        </is>
      </c>
      <c r="G30" s="117" t="inlineStr">
        <is>
          <t>GOGLA (PAYGo PERFORM initiative)</t>
        </is>
      </c>
      <c r="H30" s="117" t="inlineStr">
        <is>
          <t>June 2026</t>
        </is>
      </c>
      <c r="I30" s="117" t="inlineStr">
        <is>
          <t>8</t>
        </is>
      </c>
      <c r="J30" s="117" t="inlineStr">
        <is>
          <t>Project file (uploaded 3 Oct 2026)</t>
        </is>
      </c>
      <c r="K30" s="117" t="inlineStr">
        <is>
          <t>Industry standard, read in the project file</t>
        </is>
      </c>
      <c r="L30" s="117" t="inlineStr">
        <is>
          <t>B</t>
        </is>
      </c>
      <c r="M30" s="137" t="inlineStr">
        <is>
          <t>VERIFIED</t>
        </is>
      </c>
      <c r="N30" s="117" t="inlineStr">
        <is>
          <t>Ch 7 (to be restructured), Annex A</t>
        </is>
      </c>
      <c r="O30" s="117" t="inlineStr">
        <is>
          <t>Planned PERFORM 2026 block (change M3)</t>
        </is>
      </c>
      <c r="P30" s="117" t="inlineStr"/>
      <c r="Q30" s="117" t="inlineStr"/>
    </row>
    <row r="31">
      <c r="A31" s="117" t="inlineStr">
        <is>
          <t>E2-02</t>
        </is>
      </c>
      <c r="B31" s="117" t="inlineStr">
        <is>
          <t>Collection Rate and other substitute metrics must not be used in place of the Repayment Rate calculation; the only accepted alternative basis is cumulative arrears</t>
        </is>
      </c>
      <c r="C31" s="133" t="inlineStr">
        <is>
          <t>rule</t>
        </is>
      </c>
      <c r="D31" s="117" t="inlineStr">
        <is>
          <t>text</t>
        </is>
      </c>
      <c r="E31" s="117" t="inlineStr">
        <is>
          <t>Current</t>
        </is>
      </c>
      <c r="F31" s="117" t="inlineStr">
        <is>
          <t>PAYGo PERFORM KPIs: Industry Standards for End-User Asset Financing, Technical Guide</t>
        </is>
      </c>
      <c r="G31" s="117" t="inlineStr">
        <is>
          <t>GOGLA (PAYGo PERFORM initiative)</t>
        </is>
      </c>
      <c r="H31" s="117" t="inlineStr">
        <is>
          <t>June 2026</t>
        </is>
      </c>
      <c r="I31" s="117" t="inlineStr">
        <is>
          <t>10</t>
        </is>
      </c>
      <c r="J31" s="117" t="inlineStr">
        <is>
          <t>Project file (uploaded 3 Oct 2026)</t>
        </is>
      </c>
      <c r="K31" s="117" t="inlineStr">
        <is>
          <t>Industry standard, read in the project file</t>
        </is>
      </c>
      <c r="L31" s="117" t="inlineStr">
        <is>
          <t>B</t>
        </is>
      </c>
      <c r="M31" s="137" t="inlineStr">
        <is>
          <t>VERIFIED</t>
        </is>
      </c>
      <c r="N31" s="117" t="inlineStr">
        <is>
          <t>Ch 7</t>
        </is>
      </c>
      <c r="O31" s="117" t="inlineStr">
        <is>
          <t>KPIs labels (change M3)</t>
        </is>
      </c>
      <c r="P31" s="117" t="inlineStr"/>
      <c r="Q31" s="117" t="inlineStr"/>
    </row>
    <row r="32">
      <c r="A32" s="117" t="inlineStr">
        <is>
          <t>E2-03</t>
        </is>
      </c>
      <c r="B32" s="117" t="inlineStr">
        <is>
          <t>Repayment Rate rules: excludes deposits and prepayments; includes arrears payments and write-offs; cumulative since contract start after any free-use period; instalments normalised to daily equivalents; payments recognised pro rata when applied to due instalments</t>
        </is>
      </c>
      <c r="C32" s="133" t="inlineStr">
        <is>
          <t>rules</t>
        </is>
      </c>
      <c r="D32" s="117" t="inlineStr">
        <is>
          <t>text</t>
        </is>
      </c>
      <c r="E32" s="117" t="inlineStr">
        <is>
          <t>Current</t>
        </is>
      </c>
      <c r="F32" s="117" t="inlineStr">
        <is>
          <t>PAYGo PERFORM KPIs: Industry Standards for End-User Asset Financing, Technical Guide</t>
        </is>
      </c>
      <c r="G32" s="117" t="inlineStr">
        <is>
          <t>GOGLA (PAYGo PERFORM initiative)</t>
        </is>
      </c>
      <c r="H32" s="117" t="inlineStr">
        <is>
          <t>June 2026</t>
        </is>
      </c>
      <c r="I32" s="117" t="inlineStr">
        <is>
          <t>9-10</t>
        </is>
      </c>
      <c r="J32" s="117" t="inlineStr">
        <is>
          <t>Project file (uploaded 3 Oct 2026)</t>
        </is>
      </c>
      <c r="K32" s="117" t="inlineStr">
        <is>
          <t>Industry standard, read in the project file</t>
        </is>
      </c>
      <c r="L32" s="117" t="inlineStr">
        <is>
          <t>B</t>
        </is>
      </c>
      <c r="M32" s="137" t="inlineStr">
        <is>
          <t>VERIFIED</t>
        </is>
      </c>
      <c r="N32" s="117" t="inlineStr">
        <is>
          <t>Ch 6, 7</t>
        </is>
      </c>
      <c r="O32" s="117" t="inlineStr">
        <is>
          <t>Planned PERFORM 2026 block (change M3)</t>
        </is>
      </c>
      <c r="P32" s="117" t="inlineStr"/>
      <c r="Q32" s="117" t="inlineStr"/>
    </row>
    <row r="33">
      <c r="A33" s="117" t="inlineStr">
        <is>
          <t>E2-04</t>
        </is>
      </c>
      <c r="B33" s="117" t="inlineStr">
        <is>
          <t>Ownership Rate @2x: proportion of contracts fully paid as of twice the contract term, among contracts that have reached at least 2x</t>
        </is>
      </c>
      <c r="C33" s="133" t="inlineStr">
        <is>
          <t>definition</t>
        </is>
      </c>
      <c r="D33" s="117" t="inlineStr">
        <is>
          <t>text</t>
        </is>
      </c>
      <c r="E33" s="117" t="inlineStr">
        <is>
          <t>Current</t>
        </is>
      </c>
      <c r="F33" s="117" t="inlineStr">
        <is>
          <t>PAYGo PERFORM KPIs: Industry Standards for End-User Asset Financing, Technical Guide</t>
        </is>
      </c>
      <c r="G33" s="117" t="inlineStr">
        <is>
          <t>GOGLA (PAYGo PERFORM initiative)</t>
        </is>
      </c>
      <c r="H33" s="117" t="inlineStr">
        <is>
          <t>June 2026</t>
        </is>
      </c>
      <c r="I33" s="117" t="inlineStr">
        <is>
          <t>8; 16-18</t>
        </is>
      </c>
      <c r="J33" s="117" t="inlineStr">
        <is>
          <t>Project file (uploaded 3 Oct 2026)</t>
        </is>
      </c>
      <c r="K33" s="117" t="inlineStr">
        <is>
          <t>Industry standard, read in the project file</t>
        </is>
      </c>
      <c r="L33" s="117" t="inlineStr">
        <is>
          <t>B</t>
        </is>
      </c>
      <c r="M33" s="137" t="inlineStr">
        <is>
          <t>VERIFIED</t>
        </is>
      </c>
      <c r="N33" s="117" t="inlineStr">
        <is>
          <t>Ch 7, 13</t>
        </is>
      </c>
      <c r="O33" s="117" t="inlineStr">
        <is>
          <t>Vintage_Dashboard, RBF_Engine (ownership-linked RBF)</t>
        </is>
      </c>
      <c r="P33" s="117" t="inlineStr"/>
      <c r="Q33" s="117" t="inlineStr"/>
    </row>
    <row r="34">
      <c r="A34" s="117" t="inlineStr">
        <is>
          <t>E2-05</t>
        </is>
      </c>
      <c r="B34" s="117" t="inlineStr">
        <is>
          <t>At a Glance companion: core RR calculation rules (1) exclude deposits (2) exclude prepayments (3) include arrears payments (4) include write-offs (5) cumulative since contract start</t>
        </is>
      </c>
      <c r="C34" s="133" t="inlineStr">
        <is>
          <t>rules</t>
        </is>
      </c>
      <c r="D34" s="117" t="inlineStr">
        <is>
          <t>text</t>
        </is>
      </c>
      <c r="E34" s="117" t="inlineStr">
        <is>
          <t>Current</t>
        </is>
      </c>
      <c r="F34" s="117" t="inlineStr">
        <is>
          <t>PAYGo PERFORM KPIs, At a Glance</t>
        </is>
      </c>
      <c r="G34" s="117" t="inlineStr">
        <is>
          <t>GOGLA (PAYGo PERFORM initiative)</t>
        </is>
      </c>
      <c r="H34" s="117" t="inlineStr">
        <is>
          <t>June 2026</t>
        </is>
      </c>
      <c r="I34" s="117" t="inlineStr">
        <is>
          <t>5</t>
        </is>
      </c>
      <c r="J34" s="117" t="inlineStr">
        <is>
          <t>Project file (uploaded 3 Oct 2026)</t>
        </is>
      </c>
      <c r="K34" s="117" t="inlineStr">
        <is>
          <t>Industry standard, read in the project file</t>
        </is>
      </c>
      <c r="L34" s="117" t="inlineStr">
        <is>
          <t>B</t>
        </is>
      </c>
      <c r="M34" s="137" t="inlineStr">
        <is>
          <t>VERIFIED</t>
        </is>
      </c>
      <c r="N34" s="117" t="inlineStr">
        <is>
          <t>Ch 7</t>
        </is>
      </c>
      <c r="O34" s="117" t="inlineStr">
        <is>
          <t>None</t>
        </is>
      </c>
      <c r="P34" s="117" t="inlineStr"/>
      <c r="Q34" s="117" t="inlineStr"/>
    </row>
    <row r="35">
      <c r="A35" s="117" t="inlineStr">
        <is>
          <t>E2-06</t>
        </is>
      </c>
      <c r="B35" s="117" t="inlineStr">
        <is>
          <t>PAYGo PERFORM framework attributed to CGAP, GOGLA and Lighting Global with collection rate and receivables at risk as framework KPIs</t>
        </is>
      </c>
      <c r="C35" s="133" t="inlineStr">
        <is>
          <t>framework</t>
        </is>
      </c>
      <c r="D35" s="117" t="inlineStr">
        <is>
          <t>text</t>
        </is>
      </c>
      <c r="E35" s="117" t="inlineStr">
        <is>
          <t>2021</t>
        </is>
      </c>
      <c r="F35" s="117" t="inlineStr">
        <is>
          <t>PAYGo PERFORM Technical Guide: Financial, Operational, and Portfolio Quality KPIs for the PAYGo solar industry</t>
        </is>
      </c>
      <c r="G35" s="117" t="inlineStr">
        <is>
          <t>CGAP, GOGLA, IFC Lighting Global</t>
        </is>
      </c>
      <c r="H35" s="117" t="inlineStr">
        <is>
          <t>July 2021</t>
        </is>
      </c>
      <c r="I35" s="117" t="inlineStr">
        <is>
          <t>Front matter</t>
        </is>
      </c>
      <c r="J35" s="117" t="inlineStr">
        <is>
          <t>Project file (uploaded 3 Oct 2026; a byte-identical second copy was also uploaded)</t>
        </is>
      </c>
      <c r="K35" s="117" t="inlineStr">
        <is>
          <t>Industry standard (superseded), read in the project file</t>
        </is>
      </c>
      <c r="L35" s="117" t="inlineStr">
        <is>
          <t>B</t>
        </is>
      </c>
      <c r="M35" s="138" t="inlineStr">
        <is>
          <t>VERIFIED (HISTORICAL)</t>
        </is>
      </c>
      <c r="N35" s="117" t="inlineStr">
        <is>
          <t>Ch 7.1</t>
        </is>
      </c>
      <c r="O35" s="117" t="inlineStr">
        <is>
          <t>Previous register entry (SR21) replaced by E2-01 to E2-05 and E2a</t>
        </is>
      </c>
      <c r="P35" s="117" t="inlineStr">
        <is>
          <t>The 2021 framing is historical; the current standard is E2 (June 2026).</t>
        </is>
      </c>
      <c r="Q35" s="117" t="inlineStr"/>
    </row>
    <row r="36">
      <c r="A36" s="117" t="inlineStr">
        <is>
          <t>E2a-01</t>
        </is>
      </c>
      <c r="B36" s="117" t="inlineStr">
        <is>
          <t>Collection Rate: collected receivables payments over receivables payments due for the period, excluding deposits</t>
        </is>
      </c>
      <c r="C36" s="133" t="inlineStr">
        <is>
          <t>definition</t>
        </is>
      </c>
      <c r="D36" s="117" t="inlineStr">
        <is>
          <t>text</t>
        </is>
      </c>
      <c r="E36" s="117" t="inlineStr">
        <is>
          <t>2021</t>
        </is>
      </c>
      <c r="F36" s="117" t="inlineStr">
        <is>
          <t>PAYGo PERFORM Technical Guide: Financial, Operational, and Portfolio Quality KPIs for the PAYGo solar industry</t>
        </is>
      </c>
      <c r="G36" s="117" t="inlineStr">
        <is>
          <t>CGAP, GOGLA, IFC Lighting Global</t>
        </is>
      </c>
      <c r="H36" s="117" t="inlineStr">
        <is>
          <t>July 2021</t>
        </is>
      </c>
      <c r="I36" s="117" t="inlineStr">
        <is>
          <t>18-19</t>
        </is>
      </c>
      <c r="J36" s="117" t="inlineStr">
        <is>
          <t>Project file (uploaded 3 Oct 2026; a byte-identical second copy was also uploaded)</t>
        </is>
      </c>
      <c r="K36" s="117" t="inlineStr">
        <is>
          <t>Industry standard (superseded), read in the project file</t>
        </is>
      </c>
      <c r="L36" s="117" t="inlineStr">
        <is>
          <t>B</t>
        </is>
      </c>
      <c r="M36" s="138" t="inlineStr">
        <is>
          <t>VERIFIED (HISTORICAL)</t>
        </is>
      </c>
      <c r="N36" s="117" t="inlineStr">
        <is>
          <t>Ch 7.2</t>
        </is>
      </c>
      <c r="O36" s="117" t="inlineStr">
        <is>
          <t>KPIs (operational collection rate), Covenants</t>
        </is>
      </c>
      <c r="P36" s="117" t="inlineStr"/>
      <c r="Q36" s="117" t="inlineStr"/>
    </row>
    <row r="37">
      <c r="A37" s="117" t="inlineStr">
        <is>
          <t>E2a-02</t>
        </is>
      </c>
      <c r="B37" s="117" t="inlineStr">
        <is>
          <t>Receivables at Risk by consecutive days unpaid, RAR(CDU): gross outstanding receivables more than X consecutive days unpaid over gross outstanding receivables; suggested ageing RAR30, 90, 120, 180, 365</t>
        </is>
      </c>
      <c r="C37" s="133" t="inlineStr">
        <is>
          <t>definition</t>
        </is>
      </c>
      <c r="D37" s="117" t="inlineStr">
        <is>
          <t>text</t>
        </is>
      </c>
      <c r="E37" s="117" t="inlineStr">
        <is>
          <t>2021</t>
        </is>
      </c>
      <c r="F37" s="117" t="inlineStr">
        <is>
          <t>PAYGo PERFORM Technical Guide: Financial, Operational, and Portfolio Quality KPIs for the PAYGo solar industry</t>
        </is>
      </c>
      <c r="G37" s="117" t="inlineStr">
        <is>
          <t>CGAP, GOGLA, IFC Lighting Global</t>
        </is>
      </c>
      <c r="H37" s="117" t="inlineStr">
        <is>
          <t>July 2021</t>
        </is>
      </c>
      <c r="I37" s="117" t="inlineStr">
        <is>
          <t>21-23</t>
        </is>
      </c>
      <c r="J37" s="117" t="inlineStr">
        <is>
          <t>Project file (uploaded 3 Oct 2026; a byte-identical second copy was also uploaded)</t>
        </is>
      </c>
      <c r="K37" s="117" t="inlineStr">
        <is>
          <t>Industry standard (superseded), read in the project file</t>
        </is>
      </c>
      <c r="L37" s="117" t="inlineStr">
        <is>
          <t>B</t>
        </is>
      </c>
      <c r="M37" s="138" t="inlineStr">
        <is>
          <t>VERIFIED (HISTORICAL)</t>
        </is>
      </c>
      <c r="N37" s="117" t="inlineStr">
        <is>
          <t>Ch 7.2</t>
        </is>
      </c>
      <c r="O37" s="117" t="inlineStr">
        <is>
          <t>KPIs (model RaR is a curve-based proxy, not this definition)</t>
        </is>
      </c>
      <c r="P37" s="117" t="inlineStr"/>
      <c r="Q37" s="117" t="inlineStr"/>
    </row>
    <row r="38">
      <c r="A38" s="117" t="inlineStr">
        <is>
          <t>E2a-03</t>
        </is>
      </c>
      <c r="B38" s="117" t="inlineStr">
        <is>
          <t>Receivables at Risk by collection-rate threshold: gross outstanding receivables of customers with collection rate below Y%</t>
        </is>
      </c>
      <c r="C38" s="133" t="inlineStr">
        <is>
          <t>definition</t>
        </is>
      </c>
      <c r="D38" s="117" t="inlineStr">
        <is>
          <t>text</t>
        </is>
      </c>
      <c r="E38" s="117" t="inlineStr">
        <is>
          <t>2021</t>
        </is>
      </c>
      <c r="F38" s="117" t="inlineStr">
        <is>
          <t>PAYGo PERFORM Technical Guide: Financial, Operational, and Portfolio Quality KPIs for the PAYGo solar industry</t>
        </is>
      </c>
      <c r="G38" s="117" t="inlineStr">
        <is>
          <t>CGAP, GOGLA, IFC Lighting Global</t>
        </is>
      </c>
      <c r="H38" s="117" t="inlineStr">
        <is>
          <t>July 2021</t>
        </is>
      </c>
      <c r="I38" s="117" t="inlineStr">
        <is>
          <t>24</t>
        </is>
      </c>
      <c r="J38" s="117" t="inlineStr">
        <is>
          <t>Project file (uploaded 3 Oct 2026; a byte-identical second copy was also uploaded)</t>
        </is>
      </c>
      <c r="K38" s="117" t="inlineStr">
        <is>
          <t>Industry standard (superseded), read in the project file</t>
        </is>
      </c>
      <c r="L38" s="117" t="inlineStr">
        <is>
          <t>B</t>
        </is>
      </c>
      <c r="M38" s="138" t="inlineStr">
        <is>
          <t>VERIFIED (HISTORICAL)</t>
        </is>
      </c>
      <c r="N38" s="117" t="inlineStr">
        <is>
          <t>None</t>
        </is>
      </c>
      <c r="O38" s="117" t="inlineStr">
        <is>
          <t>None</t>
        </is>
      </c>
      <c r="P38" s="117" t="inlineStr"/>
      <c r="Q38" s="117" t="inlineStr"/>
    </row>
    <row r="39">
      <c r="A39" s="117" t="inlineStr">
        <is>
          <t>E2a-04</t>
        </is>
      </c>
      <c r="B39" s="117" t="inlineStr">
        <is>
          <t>Write-off Ratio: outstanding receivables of contracts written off in the period over average outstanding receivables</t>
        </is>
      </c>
      <c r="C39" s="133" t="inlineStr">
        <is>
          <t>definition</t>
        </is>
      </c>
      <c r="D39" s="117" t="inlineStr">
        <is>
          <t>text</t>
        </is>
      </c>
      <c r="E39" s="117" t="inlineStr">
        <is>
          <t>2021</t>
        </is>
      </c>
      <c r="F39" s="117" t="inlineStr">
        <is>
          <t>PAYGo PERFORM Technical Guide: Financial, Operational, and Portfolio Quality KPIs for the PAYGo solar industry</t>
        </is>
      </c>
      <c r="G39" s="117" t="inlineStr">
        <is>
          <t>CGAP, GOGLA, IFC Lighting Global</t>
        </is>
      </c>
      <c r="H39" s="117" t="inlineStr">
        <is>
          <t>July 2021</t>
        </is>
      </c>
      <c r="I39" s="117" t="inlineStr">
        <is>
          <t>27-28</t>
        </is>
      </c>
      <c r="J39" s="117" t="inlineStr">
        <is>
          <t>Project file (uploaded 3 Oct 2026; a byte-identical second copy was also uploaded)</t>
        </is>
      </c>
      <c r="K39" s="117" t="inlineStr">
        <is>
          <t>Industry standard (superseded), read in the project file</t>
        </is>
      </c>
      <c r="L39" s="117" t="inlineStr">
        <is>
          <t>B</t>
        </is>
      </c>
      <c r="M39" s="138" t="inlineStr">
        <is>
          <t>VERIFIED (HISTORICAL)</t>
        </is>
      </c>
      <c r="N39" s="117" t="inlineStr">
        <is>
          <t>Ch 7.2</t>
        </is>
      </c>
      <c r="O39" s="117" t="inlineStr">
        <is>
          <t>KPIs write-off rate (model definition differs: missed instalments written off as due)</t>
        </is>
      </c>
      <c r="P39" s="117" t="inlineStr"/>
      <c r="Q39" s="117" t="inlineStr"/>
    </row>
    <row r="40">
      <c r="A40" s="117" t="inlineStr">
        <is>
          <t>E2b-01</t>
        </is>
      </c>
      <c r="B40" s="117" t="inlineStr">
        <is>
          <t>PAYGo Accounting Brief: revenue recognition (IFRS 15), write-off and provisioning (IFRS 9) practice for PAYGo</t>
        </is>
      </c>
      <c r="C40" s="133" t="inlineStr">
        <is>
          <t>reference</t>
        </is>
      </c>
      <c r="D40" s="117" t="inlineStr">
        <is>
          <t>text</t>
        </is>
      </c>
      <c r="E40" s="117" t="inlineStr">
        <is>
          <t>2021</t>
        </is>
      </c>
      <c r="F40" s="117" t="inlineStr">
        <is>
          <t>PAYGo Accounting Brief</t>
        </is>
      </c>
      <c r="G40" s="117" t="inlineStr">
        <is>
          <t>PAYGo PERFORM initiative (CGAP, GOGLA, IFC Lighting Global); authored by MFR</t>
        </is>
      </c>
      <c r="H40" s="117" t="inlineStr">
        <is>
          <t>October 2021</t>
        </is>
      </c>
      <c r="I40" s="117" t="inlineStr">
        <is>
          <t>PAGE TO VERIFY</t>
        </is>
      </c>
      <c r="J40" s="117" t="inlineStr">
        <is>
          <t>Project file</t>
        </is>
      </c>
      <c r="K40" s="117" t="inlineStr">
        <is>
          <t>Practitioner guidance, held; not an accounting standard</t>
        </is>
      </c>
      <c r="L40" s="117" t="inlineStr">
        <is>
          <t>B</t>
        </is>
      </c>
      <c r="M40" s="139" t="inlineStr">
        <is>
          <t>NOT USED</t>
        </is>
      </c>
      <c r="N40" s="117" t="inlineStr">
        <is>
          <t>Planned: Ch 8 (context only)</t>
        </is>
      </c>
      <c r="O40" s="117" t="inlineStr">
        <is>
          <t>None</t>
        </is>
      </c>
      <c r="P40" s="117" t="inlineStr"/>
      <c r="Q40" s="117" t="inlineStr"/>
    </row>
    <row r="41">
      <c r="A41" s="117" t="inlineStr">
        <is>
          <t>E2c-01</t>
        </is>
      </c>
      <c r="B41" s="117" t="inlineStr">
        <is>
          <t>Guidance for Company Analysis, v3 Beta</t>
        </is>
      </c>
      <c r="C41" s="133" t="inlineStr">
        <is>
          <t>reference</t>
        </is>
      </c>
      <c r="D41" s="117" t="inlineStr">
        <is>
          <t>text</t>
        </is>
      </c>
      <c r="E41" s="117" t="inlineStr">
        <is>
          <t>2025</t>
        </is>
      </c>
      <c r="F41" s="117" t="inlineStr">
        <is>
          <t>PAYGo PERFORM: Guidance for Company Analysis, v3 Beta</t>
        </is>
      </c>
      <c r="G41" s="117" t="inlineStr">
        <is>
          <t>GOGLA (PAYGo PERFORM)</t>
        </is>
      </c>
      <c r="H41" s="117" t="inlineStr">
        <is>
          <t>July 2025</t>
        </is>
      </c>
      <c r="I41" s="117" t="inlineStr">
        <is>
          <t>PAGE TO VERIFY</t>
        </is>
      </c>
      <c r="J41" s="117" t="inlineStr">
        <is>
          <t>Project file</t>
        </is>
      </c>
      <c r="K41" s="117" t="inlineStr">
        <is>
          <t>Beta guidance, held</t>
        </is>
      </c>
      <c r="L41" s="117" t="inlineStr">
        <is>
          <t>B</t>
        </is>
      </c>
      <c r="M41" s="139" t="inlineStr">
        <is>
          <t>NOT USED</t>
        </is>
      </c>
      <c r="N41" s="117" t="inlineStr">
        <is>
          <t>Planned: Ch 15 (beta status to be stated)</t>
        </is>
      </c>
      <c r="O41" s="117" t="inlineStr">
        <is>
          <t>None</t>
        </is>
      </c>
      <c r="P41" s="117" t="inlineStr"/>
      <c r="Q41" s="117" t="inlineStr"/>
    </row>
    <row r="42">
      <c r="A42" s="117" t="inlineStr">
        <is>
          <t>E2d-01</t>
        </is>
      </c>
      <c r="B42" s="117" t="inlineStr">
        <is>
          <t>Guidance for PAYGo RBF Funds: metrics and incentives for sustained energy access</t>
        </is>
      </c>
      <c r="C42" s="133" t="inlineStr">
        <is>
          <t>reference</t>
        </is>
      </c>
      <c r="D42" s="117" t="inlineStr">
        <is>
          <t>text</t>
        </is>
      </c>
      <c r="E42" s="117" t="inlineStr">
        <is>
          <t>2026</t>
        </is>
      </c>
      <c r="F42" s="117" t="inlineStr">
        <is>
          <t>Guidance for PAYGo RBF Funds</t>
        </is>
      </c>
      <c r="G42" s="117" t="inlineStr">
        <is>
          <t>PAYGo PERFORM initiative</t>
        </is>
      </c>
      <c r="H42" s="117" t="inlineStr">
        <is>
          <t>April 2026</t>
        </is>
      </c>
      <c r="I42" s="117" t="inlineStr">
        <is>
          <t>PAGE TO VERIFY</t>
        </is>
      </c>
      <c r="J42" s="117" t="inlineStr">
        <is>
          <t>Project file</t>
        </is>
      </c>
      <c r="K42" s="117" t="inlineStr">
        <is>
          <t>Institutional guidance, held</t>
        </is>
      </c>
      <c r="L42" s="117" t="inlineStr">
        <is>
          <t>B</t>
        </is>
      </c>
      <c r="M42" s="139" t="inlineStr">
        <is>
          <t>NOT USED</t>
        </is>
      </c>
      <c r="N42" s="117" t="inlineStr">
        <is>
          <t>Planned: Ch 13</t>
        </is>
      </c>
      <c r="O42" s="117" t="inlineStr">
        <is>
          <t>Planned: RBF_Engine review (change M11)</t>
        </is>
      </c>
      <c r="P42" s="117" t="inlineStr">
        <is>
          <t>Replaces the SR22 list item for this document. The other GOGLA publications listed in SR22 are not held.</t>
        </is>
      </c>
      <c r="Q42" s="117" t="inlineStr"/>
    </row>
    <row r="43">
      <c r="A43" s="117" t="inlineStr">
        <is>
          <t>E3-01</t>
        </is>
      </c>
      <c r="B43" s="117" t="inlineStr">
        <is>
          <t>Multi-Tier Framework capacity thresholds (T4 at least 800 W / 3.4 kWh a day; T5 at least 2 kW / 8.2 kWh a day)</t>
        </is>
      </c>
      <c r="C43" s="133" t="inlineStr">
        <is>
          <t>T1-T5</t>
        </is>
      </c>
      <c r="D43" s="117" t="inlineStr">
        <is>
          <t>text</t>
        </is>
      </c>
      <c r="E43" s="117" t="inlineStr">
        <is>
          <t>2015</t>
        </is>
      </c>
      <c r="F43" s="117" t="inlineStr">
        <is>
          <t>Beyond Connections: Energy Access Redefined</t>
        </is>
      </c>
      <c r="G43" s="117" t="inlineStr">
        <is>
          <t>ESMAP / World Bank</t>
        </is>
      </c>
      <c r="H43" s="117" t="inlineStr">
        <is>
          <t>2015</t>
        </is>
      </c>
      <c r="I43" s="117" t="inlineStr">
        <is>
          <t>PAGE TO VERIFY</t>
        </is>
      </c>
      <c r="J43" s="117" t="inlineStr"/>
      <c r="K43" s="117" t="inlineStr">
        <is>
          <t>Thresholds recorded from earlier research; framework report not read</t>
        </is>
      </c>
      <c r="L43" s="117" t="inlineStr">
        <is>
          <t>B</t>
        </is>
      </c>
      <c r="M43" s="134" t="inlineStr">
        <is>
          <t>PENDING PRIMARY DOCUMENT</t>
        </is>
      </c>
      <c r="N43" s="117" t="inlineStr">
        <is>
          <t>Ch 2.6</t>
        </is>
      </c>
      <c r="O43" s="117" t="inlineStr">
        <is>
          <t>Products tier labels</t>
        </is>
      </c>
      <c r="P43" s="117" t="inlineStr"/>
      <c r="Q43" s="117" t="inlineStr"/>
    </row>
    <row r="44">
      <c r="A44" s="117" t="inlineStr">
        <is>
          <t>E4-01</t>
        </is>
      </c>
      <c r="B44" s="117" t="inlineStr">
        <is>
          <t>M-KOPA UK LIMITED revenue (sales of carbon credits)</t>
        </is>
      </c>
      <c r="C44" s="135" t="n">
        <v>1712776</v>
      </c>
      <c r="D44" s="117" t="inlineStr">
        <is>
          <t>GBP</t>
        </is>
      </c>
      <c r="E44" s="117" t="inlineStr">
        <is>
          <t>FY2024 (FY2023: 718,100)</t>
        </is>
      </c>
      <c r="F44" s="117" t="inlineStr">
        <is>
          <t>M-KOPA UK LIMITED, Annual Report and Accounts, year ended 31 December 2024</t>
        </is>
      </c>
      <c r="G44" s="117" t="inlineStr">
        <is>
          <t>Companies House (company 10229661)</t>
        </is>
      </c>
      <c r="H44" s="117" t="inlineStr">
        <is>
          <t>Approved 20 Jun 2025; filed 25 Sep 2025</t>
        </is>
      </c>
      <c r="I44" s="117" t="inlineStr">
        <is>
          <t>10 (filing page 8); 18 (filing page 16, note 2.1)</t>
        </is>
      </c>
      <c r="J44" s="117" t="inlineStr">
        <is>
          <t>Project file (uploaded 3 Oct 2026)</t>
        </is>
      </c>
      <c r="K44" s="117" t="inlineStr">
        <is>
          <t>Audited statutory accounts (auditor KLSA LLP), read page by page</t>
        </is>
      </c>
      <c r="L44" s="117" t="inlineStr">
        <is>
          <t>A</t>
        </is>
      </c>
      <c r="M44" s="137" t="inlineStr">
        <is>
          <t>VERIFIED</t>
        </is>
      </c>
      <c r="N44" s="117" t="inlineStr">
        <is>
          <t>Planned: Ch 15 (as an illustration of entity checking)</t>
        </is>
      </c>
      <c r="O44" s="117" t="inlineStr">
        <is>
          <t>Not used: different entity and activity; not a PAYGo benchmark</t>
        </is>
      </c>
      <c r="P44" s="117" t="inlineStr">
        <is>
          <t>UK research and development subsidiary; no employees; functional currency sterling; IFRS as adopted in the UK; not consolidated.</t>
        </is>
      </c>
      <c r="Q44" s="117" t="inlineStr"/>
    </row>
    <row r="45">
      <c r="A45" s="117" t="inlineStr">
        <is>
          <t>E4-02</t>
        </is>
      </c>
      <c r="B45" s="117" t="inlineStr">
        <is>
          <t>M-KOPA UK LIMITED profit for the year</t>
        </is>
      </c>
      <c r="C45" s="135" t="n">
        <v>1040472</v>
      </c>
      <c r="D45" s="117" t="inlineStr">
        <is>
          <t>GBP</t>
        </is>
      </c>
      <c r="E45" s="117" t="inlineStr">
        <is>
          <t>FY2024 (FY2023: 497,346)</t>
        </is>
      </c>
      <c r="F45" s="117" t="inlineStr">
        <is>
          <t>M-KOPA UK LIMITED, Annual Report and Accounts, year ended 31 December 2024</t>
        </is>
      </c>
      <c r="G45" s="117" t="inlineStr">
        <is>
          <t>Companies House (company 10229661)</t>
        </is>
      </c>
      <c r="H45" s="117" t="inlineStr">
        <is>
          <t>Approved 20 Jun 2025; filed 25 Sep 2025</t>
        </is>
      </c>
      <c r="I45" s="117" t="inlineStr">
        <is>
          <t>10 (filing page 8)</t>
        </is>
      </c>
      <c r="J45" s="117" t="inlineStr">
        <is>
          <t>Project file (uploaded 3 Oct 2026)</t>
        </is>
      </c>
      <c r="K45" s="117" t="inlineStr">
        <is>
          <t>Audited statutory accounts (auditor KLSA LLP), read page by page</t>
        </is>
      </c>
      <c r="L45" s="117" t="inlineStr">
        <is>
          <t>A</t>
        </is>
      </c>
      <c r="M45" s="137" t="inlineStr">
        <is>
          <t>VERIFIED</t>
        </is>
      </c>
      <c r="N45" s="117" t="inlineStr">
        <is>
          <t>None</t>
        </is>
      </c>
      <c r="O45" s="117" t="inlineStr">
        <is>
          <t>Not used</t>
        </is>
      </c>
      <c r="P45" s="117" t="inlineStr"/>
      <c r="Q45" s="117" t="inlineStr"/>
    </row>
    <row r="46">
      <c r="A46" s="117" t="inlineStr">
        <is>
          <t>E4-03</t>
        </is>
      </c>
      <c r="B46" s="117" t="inlineStr">
        <is>
          <t>M-KOPA UK LIMITED parent and ultimate parent: M-Kopa LLC (Delaware); M-Kopa Holdings Limited (London)</t>
        </is>
      </c>
      <c r="C46" s="133" t="inlineStr">
        <is>
          <t>text</t>
        </is>
      </c>
      <c r="D46" s="117" t="inlineStr">
        <is>
          <t>text</t>
        </is>
      </c>
      <c r="E46" s="117" t="inlineStr">
        <is>
          <t>FY2024</t>
        </is>
      </c>
      <c r="F46" s="117" t="inlineStr">
        <is>
          <t>M-KOPA UK LIMITED, Annual Report and Accounts, year ended 31 December 2024</t>
        </is>
      </c>
      <c r="G46" s="117" t="inlineStr">
        <is>
          <t>Companies House (company 10229661)</t>
        </is>
      </c>
      <c r="H46" s="117" t="inlineStr">
        <is>
          <t>Approved 20 Jun 2025; filed 25 Sep 2025</t>
        </is>
      </c>
      <c r="I46" s="117" t="inlineStr">
        <is>
          <t>3 (filing page 1)</t>
        </is>
      </c>
      <c r="J46" s="117" t="inlineStr">
        <is>
          <t>Project file (uploaded 3 Oct 2026)</t>
        </is>
      </c>
      <c r="K46" s="117" t="inlineStr">
        <is>
          <t>Audited statutory accounts (auditor KLSA LLP), read page by page</t>
        </is>
      </c>
      <c r="L46" s="117" t="inlineStr">
        <is>
          <t>A</t>
        </is>
      </c>
      <c r="M46" s="137" t="inlineStr">
        <is>
          <t>VERIFIED</t>
        </is>
      </c>
      <c r="N46" s="117" t="inlineStr">
        <is>
          <t>Planned: Ch 15</t>
        </is>
      </c>
      <c r="O46" s="117" t="inlineStr">
        <is>
          <t>None</t>
        </is>
      </c>
      <c r="P46" s="117" t="inlineStr">
        <is>
          <t>The project's benchmark files attribute the group figures to M-KOPA Holdings Ltd, Companies House 10891868. That number has not been checked against the register.</t>
        </is>
      </c>
      <c r="Q46" s="117" t="inlineStr"/>
    </row>
    <row r="47">
      <c r="A47" s="117" t="inlineStr">
        <is>
          <t>E4-04</t>
        </is>
      </c>
      <c r="B47" s="117" t="inlineStr">
        <is>
          <t>M-KOPA group revenue FY2024</t>
        </is>
      </c>
      <c r="C47" s="135" t="n">
        <v>416</v>
      </c>
      <c r="D47" s="117" t="inlineStr">
        <is>
          <t>USD m</t>
        </is>
      </c>
      <c r="E47" s="117" t="inlineStr">
        <is>
          <t>FY2024</t>
        </is>
      </c>
      <c r="F47" s="117" t="inlineStr">
        <is>
          <t>News article citing 'UK filings'</t>
        </is>
      </c>
      <c r="G47" s="117" t="inlineStr">
        <is>
          <t>TechCabal</t>
        </is>
      </c>
      <c r="H47" s="117" t="inlineStr">
        <is>
          <t>7 Oct 2025</t>
        </is>
      </c>
      <c r="I47" s="117" t="inlineStr">
        <is>
          <t>PAGE TO VERIFY</t>
        </is>
      </c>
      <c r="J47" s="117" t="inlineStr">
        <is>
          <t>https://techcabal.com/2025/10/07/m-kopa-turns-first-ever-profit-revenue-surges-66-416/</t>
        </is>
      </c>
      <c r="K47" s="117" t="inlineStr">
        <is>
          <t>Secondary report; entity and revenue line not identified</t>
        </is>
      </c>
      <c r="L47" s="117" t="inlineStr">
        <is>
          <t>C</t>
        </is>
      </c>
      <c r="M47" s="140" t="inlineStr">
        <is>
          <t>CONFLICTING SOURCES</t>
        </is>
      </c>
      <c r="N47" s="117" t="inlineStr">
        <is>
          <t>Ch 15 (presented as conflicting)</t>
        </is>
      </c>
      <c r="O47" s="117" t="inlineStr">
        <is>
          <t>Market_Benchmark and Calibration: suspended</t>
        </is>
      </c>
      <c r="P47" s="117" t="inlineStr">
        <is>
          <t>Conflicts with E4-05 (USD 253.5m). Not supported by E4-01 (different entity). Resolvable only with the consolidated accounts of the reporting group entity.</t>
        </is>
      </c>
      <c r="Q47" s="117" t="inlineStr">
        <is>
          <t>M-KOPA|Revenue</t>
        </is>
      </c>
    </row>
    <row r="48">
      <c r="A48" s="117" t="inlineStr">
        <is>
          <t>E4-05</t>
        </is>
      </c>
      <c r="B48" s="117" t="inlineStr">
        <is>
          <t>M-KOPA group revenue FY2024</t>
        </is>
      </c>
      <c r="C48" s="135" t="n">
        <v>253.5</v>
      </c>
      <c r="D48" s="117" t="inlineStr">
        <is>
          <t>USD m</t>
        </is>
      </c>
      <c r="E48" s="117" t="inlineStr">
        <is>
          <t>FY2024</t>
        </is>
      </c>
      <c r="F48" s="117" t="inlineStr">
        <is>
          <t>News article</t>
        </is>
      </c>
      <c r="G48" s="117" t="inlineStr">
        <is>
          <t>Kenyan Wall Street</t>
        </is>
      </c>
      <c r="H48" s="117" t="inlineStr">
        <is>
          <t>2025</t>
        </is>
      </c>
      <c r="I48" s="117" t="inlineStr">
        <is>
          <t>PAGE TO VERIFY</t>
        </is>
      </c>
      <c r="J48" s="117" t="inlineStr">
        <is>
          <t>https://kenyanwallstreet.com/m-kopa-posts-first-ever-profit-bets-on-e-mobility-for-next-growth-phase/</t>
        </is>
      </c>
      <c r="K48" s="117" t="inlineStr">
        <is>
          <t>Secondary report; may be a different revenue line</t>
        </is>
      </c>
      <c r="L48" s="117" t="inlineStr">
        <is>
          <t>C</t>
        </is>
      </c>
      <c r="M48" s="140" t="inlineStr">
        <is>
          <t>CONFLICTING SOURCES</t>
        </is>
      </c>
      <c r="N48" s="117" t="inlineStr">
        <is>
          <t>Ch 15 (presented as conflicting)</t>
        </is>
      </c>
      <c r="O48" s="117" t="inlineStr">
        <is>
          <t>Not used</t>
        </is>
      </c>
      <c r="P48" s="117" t="inlineStr"/>
      <c r="Q48" s="117" t="inlineStr"/>
    </row>
    <row r="49">
      <c r="A49" s="117" t="inlineStr">
        <is>
          <t>E4-06</t>
        </is>
      </c>
      <c r="B49" s="117" t="inlineStr">
        <is>
          <t>M-KOPA group revenue growth</t>
        </is>
      </c>
      <c r="C49" s="136" t="n">
        <v>0.66</v>
      </c>
      <c r="D49" s="117" t="inlineStr">
        <is>
          <t>%</t>
        </is>
      </c>
      <c r="E49" s="117" t="inlineStr">
        <is>
          <t>FY2024 vs FY2023</t>
        </is>
      </c>
      <c r="F49" s="117" t="inlineStr">
        <is>
          <t>News articles</t>
        </is>
      </c>
      <c r="G49" s="117" t="inlineStr">
        <is>
          <t>TechCabal; Kenyan Wall Street</t>
        </is>
      </c>
      <c r="H49" s="117" t="inlineStr">
        <is>
          <t>Oct 2025</t>
        </is>
      </c>
      <c r="I49" s="117" t="inlineStr">
        <is>
          <t>PAGE TO VERIFY</t>
        </is>
      </c>
      <c r="J49" s="117" t="inlineStr">
        <is>
          <t>https://techcabal.com/2025/10/07/m-kopa-turns-first-ever-profit-revenue-surges-66-416/</t>
        </is>
      </c>
      <c r="K49" s="117" t="inlineStr">
        <is>
          <t>Secondary report</t>
        </is>
      </c>
      <c r="L49" s="117" t="inlineStr">
        <is>
          <t>C</t>
        </is>
      </c>
      <c r="M49" s="134" t="inlineStr">
        <is>
          <t>PENDING PRIMARY DOCUMENT</t>
        </is>
      </c>
      <c r="N49" s="117" t="inlineStr">
        <is>
          <t>None</t>
        </is>
      </c>
      <c r="O49" s="117" t="inlineStr">
        <is>
          <t>Calibration growth reference: suspended</t>
        </is>
      </c>
      <c r="P49" s="117" t="inlineStr"/>
      <c r="Q49" s="117" t="inlineStr">
        <is>
          <t>M-KOPA|Revenue growth</t>
        </is>
      </c>
    </row>
    <row r="50">
      <c r="A50" s="117" t="inlineStr">
        <is>
          <t>E4-07</t>
        </is>
      </c>
      <c r="B50" s="117" t="inlineStr">
        <is>
          <t>M-KOPA group net profit</t>
        </is>
      </c>
      <c r="C50" s="135" t="n">
        <v>9.199999999999999</v>
      </c>
      <c r="D50" s="117" t="inlineStr">
        <is>
          <t>USD m</t>
        </is>
      </c>
      <c r="E50" s="117" t="inlineStr">
        <is>
          <t>FY2024</t>
        </is>
      </c>
      <c r="F50" s="117" t="inlineStr">
        <is>
          <t>News article</t>
        </is>
      </c>
      <c r="G50" s="117" t="inlineStr">
        <is>
          <t>TechCabal</t>
        </is>
      </c>
      <c r="H50" s="117" t="inlineStr">
        <is>
          <t>7 Oct 2025</t>
        </is>
      </c>
      <c r="I50" s="117" t="inlineStr">
        <is>
          <t>PAGE TO VERIFY</t>
        </is>
      </c>
      <c r="J50" s="117" t="inlineStr">
        <is>
          <t>https://techcabal.com/2025/10/07/m-kopa-turns-first-ever-profit-revenue-surges-66-416/</t>
        </is>
      </c>
      <c r="K50" s="117" t="inlineStr">
        <is>
          <t>Secondary report</t>
        </is>
      </c>
      <c r="L50" s="117" t="inlineStr">
        <is>
          <t>C</t>
        </is>
      </c>
      <c r="M50" s="134" t="inlineStr">
        <is>
          <t>PENDING PRIMARY DOCUMENT</t>
        </is>
      </c>
      <c r="N50" s="117" t="inlineStr">
        <is>
          <t>Ch 15</t>
        </is>
      </c>
      <c r="O50" s="117" t="inlineStr">
        <is>
          <t>Calibration net margin reference: suspended</t>
        </is>
      </c>
      <c r="P50" s="117" t="inlineStr"/>
      <c r="Q50" s="117" t="inlineStr">
        <is>
          <t>M-KOPA|Net profit</t>
        </is>
      </c>
    </row>
    <row r="51">
      <c r="A51" s="117" t="inlineStr">
        <is>
          <t>E4-08</t>
        </is>
      </c>
      <c r="B51" s="117" t="inlineStr">
        <is>
          <t>M-KOPA group net result, prior year</t>
        </is>
      </c>
      <c r="C51" s="133" t="inlineStr">
        <is>
          <t>-24.7 (or -20.6)</t>
        </is>
      </c>
      <c r="D51" s="117" t="inlineStr">
        <is>
          <t>USD m</t>
        </is>
      </c>
      <c r="E51" s="117" t="inlineStr">
        <is>
          <t>FY2023</t>
        </is>
      </c>
      <c r="F51" s="117" t="inlineStr">
        <is>
          <t>News articles</t>
        </is>
      </c>
      <c r="G51" s="117" t="inlineStr">
        <is>
          <t>TechCabal; Kenyan Wall Street</t>
        </is>
      </c>
      <c r="H51" s="117" t="inlineStr">
        <is>
          <t>2025</t>
        </is>
      </c>
      <c r="I51" s="117" t="inlineStr">
        <is>
          <t>PAGE TO VERIFY</t>
        </is>
      </c>
      <c r="J51" s="117" t="inlineStr">
        <is>
          <t>https://techcabal.com/2025/10/07/m-kopa-turns-first-ever-profit-revenue-surges-66-416/</t>
        </is>
      </c>
      <c r="K51" s="117" t="inlineStr">
        <is>
          <t>Secondary reports that conflict</t>
        </is>
      </c>
      <c r="L51" s="117" t="inlineStr">
        <is>
          <t>C</t>
        </is>
      </c>
      <c r="M51" s="140" t="inlineStr">
        <is>
          <t>CONFLICTING SOURCES</t>
        </is>
      </c>
      <c r="N51" s="117" t="inlineStr">
        <is>
          <t>Ch 15</t>
        </is>
      </c>
      <c r="O51" s="117" t="inlineStr">
        <is>
          <t>Not used</t>
        </is>
      </c>
      <c r="P51" s="117" t="inlineStr"/>
      <c r="Q51" s="117" t="inlineStr"/>
    </row>
    <row r="52">
      <c r="A52" s="117" t="inlineStr">
        <is>
          <t>E5-01</t>
        </is>
      </c>
      <c r="B52" s="117" t="inlineStr">
        <is>
          <t>Sun King cumulative solar loans</t>
        </is>
      </c>
      <c r="C52" s="135" t="n">
        <v>1300</v>
      </c>
      <c r="D52" s="117" t="inlineStr">
        <is>
          <t>USD m</t>
        </is>
      </c>
      <c r="E52" s="117" t="inlineStr">
        <is>
          <t>Cumulative to Jul 2025</t>
        </is>
      </c>
      <c r="F52" s="117" t="inlineStr">
        <is>
          <t>Citi press release on the Sun King securitisation</t>
        </is>
      </c>
      <c r="G52" s="117" t="inlineStr">
        <is>
          <t>Citigroup</t>
        </is>
      </c>
      <c r="H52" s="117" t="inlineStr">
        <is>
          <t>2025</t>
        </is>
      </c>
      <c r="I52" s="117" t="inlineStr">
        <is>
          <t>PAGE TO VERIFY</t>
        </is>
      </c>
      <c r="J52" s="117" t="inlineStr">
        <is>
          <t>https://www.citigroup.com/global/news/press-release/2025/citi-sun-king-securitization-deliver-solar-million-kenyans</t>
        </is>
      </c>
      <c r="K52" s="117" t="inlineStr">
        <is>
          <t>Company disclosure recorded from earlier research</t>
        </is>
      </c>
      <c r="L52" s="117" t="inlineStr">
        <is>
          <t>B</t>
        </is>
      </c>
      <c r="M52" s="134" t="inlineStr">
        <is>
          <t>PENDING PRIMARY DOCUMENT</t>
        </is>
      </c>
      <c r="N52" s="117" t="inlineStr">
        <is>
          <t>Ch 12, 15</t>
        </is>
      </c>
      <c r="O52" s="117" t="inlineStr">
        <is>
          <t>Market_Benchmark (shown, flagged)</t>
        </is>
      </c>
      <c r="P52" s="117" t="inlineStr"/>
      <c r="Q52" s="117" t="inlineStr">
        <is>
          <t>Sun King|Cumulative solar loans</t>
        </is>
      </c>
    </row>
    <row r="53">
      <c r="A53" s="117" t="inlineStr">
        <is>
          <t>E5-02</t>
        </is>
      </c>
      <c r="B53" s="117" t="inlineStr">
        <is>
          <t>Sun King cumulative loan customers (cumulative, not active)</t>
        </is>
      </c>
      <c r="C53" s="135" t="n">
        <v>10</v>
      </c>
      <c r="D53" s="117" t="inlineStr">
        <is>
          <t>million</t>
        </is>
      </c>
      <c r="E53" s="117" t="inlineStr">
        <is>
          <t>Cumulative to Jul 2025</t>
        </is>
      </c>
      <c r="F53" s="117" t="inlineStr">
        <is>
          <t>Citi press release</t>
        </is>
      </c>
      <c r="G53" s="117" t="inlineStr">
        <is>
          <t>Citigroup</t>
        </is>
      </c>
      <c r="H53" s="117" t="inlineStr">
        <is>
          <t>2025</t>
        </is>
      </c>
      <c r="I53" s="117" t="inlineStr">
        <is>
          <t>PAGE TO VERIFY</t>
        </is>
      </c>
      <c r="J53" s="117" t="inlineStr">
        <is>
          <t>https://www.citigroup.com/global/news/press-release/2025/citi-sun-king-securitization-deliver-solar-million-kenyans</t>
        </is>
      </c>
      <c r="K53" s="117" t="inlineStr">
        <is>
          <t>Company disclosure recorded from earlier research</t>
        </is>
      </c>
      <c r="L53" s="117" t="inlineStr">
        <is>
          <t>B</t>
        </is>
      </c>
      <c r="M53" s="134" t="inlineStr">
        <is>
          <t>PENDING PRIMARY DOCUMENT</t>
        </is>
      </c>
      <c r="N53" s="117" t="inlineStr">
        <is>
          <t>Ch 12, 15</t>
        </is>
      </c>
      <c r="O53" s="117" t="inlineStr">
        <is>
          <t>Market_Benchmark (shown, flagged)</t>
        </is>
      </c>
      <c r="P53" s="117" t="inlineStr"/>
      <c r="Q53" s="117" t="inlineStr">
        <is>
          <t>Sun King|Cumulative loan customers</t>
        </is>
      </c>
    </row>
    <row r="54">
      <c r="A54" s="117" t="inlineStr">
        <is>
          <t>E5-03</t>
        </is>
      </c>
      <c r="B54" s="117" t="inlineStr">
        <is>
          <t>Sun King local-currency securitisation in Kenya</t>
        </is>
      </c>
      <c r="C54" s="135" t="n">
        <v>130</v>
      </c>
      <c r="D54" s="117" t="inlineStr">
        <is>
          <t>USD m</t>
        </is>
      </c>
      <c r="E54" s="117" t="inlineStr">
        <is>
          <t>May 2023</t>
        </is>
      </c>
      <c r="F54" s="117" t="inlineStr">
        <is>
          <t>Sun King news release</t>
        </is>
      </c>
      <c r="G54" s="117" t="inlineStr">
        <is>
          <t>Sun King</t>
        </is>
      </c>
      <c r="H54" s="117" t="inlineStr">
        <is>
          <t>2023</t>
        </is>
      </c>
      <c r="I54" s="117" t="inlineStr">
        <is>
          <t>PAGE TO VERIFY</t>
        </is>
      </c>
      <c r="J54" s="117" t="inlineStr">
        <is>
          <t>https://sunking.com/news-blog/sun-king-and-citi-close-first-130-million-securitisation-to-broaden-access-to-finance-for-off-grid-solar-in-kenya/</t>
        </is>
      </c>
      <c r="K54" s="117" t="inlineStr">
        <is>
          <t>Company disclosure recorded from earlier research</t>
        </is>
      </c>
      <c r="L54" s="117" t="inlineStr">
        <is>
          <t>B</t>
        </is>
      </c>
      <c r="M54" s="134" t="inlineStr">
        <is>
          <t>PENDING PRIMARY DOCUMENT</t>
        </is>
      </c>
      <c r="N54" s="117" t="inlineStr">
        <is>
          <t>Ch 3.11, 11, 12</t>
        </is>
      </c>
      <c r="O54" s="117" t="inlineStr">
        <is>
          <t>None</t>
        </is>
      </c>
      <c r="P54" s="117" t="inlineStr"/>
      <c r="Q54" s="117" t="inlineStr"/>
    </row>
    <row r="55">
      <c r="A55" s="117" t="inlineStr">
        <is>
          <t>E5-04</t>
        </is>
      </c>
      <c r="B55" s="117" t="inlineStr">
        <is>
          <t>Sun King local-currency securitisation in Kenya (KES 20.1bn)</t>
        </is>
      </c>
      <c r="C55" s="135" t="n">
        <v>156</v>
      </c>
      <c r="D55" s="117" t="inlineStr">
        <is>
          <t>USD m</t>
        </is>
      </c>
      <c r="E55" s="117" t="inlineStr">
        <is>
          <t>Jul 2025</t>
        </is>
      </c>
      <c r="F55" s="117" t="inlineStr">
        <is>
          <t>Citi release; trade press</t>
        </is>
      </c>
      <c r="G55" s="117" t="inlineStr">
        <is>
          <t>Citigroup; pv magazine</t>
        </is>
      </c>
      <c r="H55" s="117" t="inlineStr">
        <is>
          <t>29 Jul 2025</t>
        </is>
      </c>
      <c r="I55" s="117" t="inlineStr">
        <is>
          <t>PAGE TO VERIFY</t>
        </is>
      </c>
      <c r="J55" s="117" t="inlineStr">
        <is>
          <t>https://www.pv-magazine.com/2025/07/29/sun-king-closes-156m-off-grid-solar-deal-in-kenya/</t>
        </is>
      </c>
      <c r="K55" s="117" t="inlineStr">
        <is>
          <t>Company disclosure and secondary report recorded from earlier research</t>
        </is>
      </c>
      <c r="L55" s="117" t="inlineStr">
        <is>
          <t>B</t>
        </is>
      </c>
      <c r="M55" s="134" t="inlineStr">
        <is>
          <t>PENDING PRIMARY DOCUMENT</t>
        </is>
      </c>
      <c r="N55" s="117" t="inlineStr">
        <is>
          <t>Ch 3.11, 11, 12</t>
        </is>
      </c>
      <c r="O55" s="117" t="inlineStr">
        <is>
          <t>Market_Benchmark (shown, flagged)</t>
        </is>
      </c>
      <c r="P55" s="117" t="inlineStr"/>
      <c r="Q55" s="117" t="inlineStr">
        <is>
          <t>Sun King|Securitisation 2025</t>
        </is>
      </c>
    </row>
    <row r="56">
      <c r="A56" s="117" t="inlineStr">
        <is>
          <t>E5-05</t>
        </is>
      </c>
      <c r="B56" s="117" t="inlineStr">
        <is>
          <t>Sun King MSME bond</t>
        </is>
      </c>
      <c r="C56" s="135" t="n">
        <v>6.5</v>
      </c>
      <c r="D56" s="117" t="inlineStr">
        <is>
          <t>USD m</t>
        </is>
      </c>
      <c r="E56" s="117" t="inlineStr">
        <is>
          <t>2024</t>
        </is>
      </c>
      <c r="F56" s="117" t="inlineStr">
        <is>
          <t>None found</t>
        </is>
      </c>
      <c r="G56" s="117" t="inlineStr"/>
      <c r="H56" s="117" t="inlineStr"/>
      <c r="I56" s="117" t="inlineStr"/>
      <c r="J56" s="117" t="inlineStr"/>
      <c r="K56" s="117" t="inlineStr">
        <is>
          <t>No public source found</t>
        </is>
      </c>
      <c r="L56" s="117" t="inlineStr">
        <is>
          <t>D</t>
        </is>
      </c>
      <c r="M56" s="139" t="inlineStr">
        <is>
          <t>NOT USED</t>
        </is>
      </c>
      <c r="N56" s="117" t="inlineStr">
        <is>
          <t>None</t>
        </is>
      </c>
      <c r="O56" s="117" t="inlineStr">
        <is>
          <t>Excluded</t>
        </is>
      </c>
      <c r="P56" s="117" t="inlineStr"/>
      <c r="Q56" s="117" t="inlineStr"/>
    </row>
    <row r="57">
      <c r="A57" s="117" t="inlineStr">
        <is>
          <t>E6-01</t>
        </is>
      </c>
      <c r="B57" s="117" t="inlineStr">
        <is>
          <t>d.light securitisation purchasing capacity since 2020 (five facilities; purchasing capacity, not debt raised)</t>
        </is>
      </c>
      <c r="C57" s="135" t="n">
        <v>718</v>
      </c>
      <c r="D57" s="117" t="inlineStr">
        <is>
          <t>USD m</t>
        </is>
      </c>
      <c r="E57" s="117" t="inlineStr">
        <is>
          <t>2020 to Jul 2024</t>
        </is>
      </c>
      <c r="F57" s="117" t="inlineStr">
        <is>
          <t>News article</t>
        </is>
      </c>
      <c r="G57" s="117" t="inlineStr">
        <is>
          <t>Techpoint Africa</t>
        </is>
      </c>
      <c r="H57" s="117" t="inlineStr">
        <is>
          <t>17 Jul 2024</t>
        </is>
      </c>
      <c r="I57" s="117" t="inlineStr">
        <is>
          <t>PAGE TO VERIFY</t>
        </is>
      </c>
      <c r="J57" s="117" t="inlineStr">
        <is>
          <t>https://techpoint.africa/2024/07/17/d-light-raises-176m/</t>
        </is>
      </c>
      <c r="K57" s="117" t="inlineStr">
        <is>
          <t>Secondary report</t>
        </is>
      </c>
      <c r="L57" s="117" t="inlineStr">
        <is>
          <t>C</t>
        </is>
      </c>
      <c r="M57" s="134" t="inlineStr">
        <is>
          <t>PENDING PRIMARY DOCUMENT</t>
        </is>
      </c>
      <c r="N57" s="117" t="inlineStr">
        <is>
          <t>Ch 3.11, 11, 12, 15</t>
        </is>
      </c>
      <c r="O57" s="117" t="inlineStr">
        <is>
          <t>Market_Benchmark (shown, flagged)</t>
        </is>
      </c>
      <c r="P57" s="117" t="inlineStr"/>
      <c r="Q57" s="117" t="inlineStr">
        <is>
          <t>d.light|Securitisation purchasing capacity since 2020</t>
        </is>
      </c>
    </row>
    <row r="58">
      <c r="A58" s="117" t="inlineStr">
        <is>
          <t>E6-02</t>
        </is>
      </c>
      <c r="B58" s="117" t="inlineStr">
        <is>
          <t>d.light multi-currency securitisation facility</t>
        </is>
      </c>
      <c r="C58" s="135" t="n">
        <v>176</v>
      </c>
      <c r="D58" s="117" t="inlineStr">
        <is>
          <t>USD m</t>
        </is>
      </c>
      <c r="E58" s="117" t="inlineStr">
        <is>
          <t>Jul 2024</t>
        </is>
      </c>
      <c r="F58" s="117" t="inlineStr">
        <is>
          <t>News articles</t>
        </is>
      </c>
      <c r="G58" s="117" t="inlineStr">
        <is>
          <t>Techpoint Africa; WeeTracker</t>
        </is>
      </c>
      <c r="H58" s="117" t="inlineStr">
        <is>
          <t>17 Jul 2024</t>
        </is>
      </c>
      <c r="I58" s="117" t="inlineStr">
        <is>
          <t>PAGE TO VERIFY</t>
        </is>
      </c>
      <c r="J58" s="117" t="inlineStr">
        <is>
          <t>https://techpoint.africa/2024/07/17/d-light-raises-176m/</t>
        </is>
      </c>
      <c r="K58" s="117" t="inlineStr">
        <is>
          <t>Secondary report</t>
        </is>
      </c>
      <c r="L58" s="117" t="inlineStr">
        <is>
          <t>C</t>
        </is>
      </c>
      <c r="M58" s="134" t="inlineStr">
        <is>
          <t>PENDING PRIMARY DOCUMENT</t>
        </is>
      </c>
      <c r="N58" s="117" t="inlineStr">
        <is>
          <t>Ch 12</t>
        </is>
      </c>
      <c r="O58" s="117" t="inlineStr">
        <is>
          <t>Market_Benchmark (shown, flagged)</t>
        </is>
      </c>
      <c r="P58" s="117" t="inlineStr"/>
      <c r="Q58" s="117" t="inlineStr">
        <is>
          <t>d.light|Securitisation facility 2024</t>
        </is>
      </c>
    </row>
    <row r="59">
      <c r="A59" s="117" t="inlineStr">
        <is>
          <t>E6-03</t>
        </is>
      </c>
      <c r="B59" s="117" t="inlineStr">
        <is>
          <t>d.light revenue growth</t>
        </is>
      </c>
      <c r="C59" s="136" t="n">
        <v>0.41</v>
      </c>
      <c r="D59" s="117" t="inlineStr">
        <is>
          <t>%</t>
        </is>
      </c>
      <c r="E59" s="117" t="inlineStr">
        <is>
          <t>H1 2023 vs H1 2022</t>
        </is>
      </c>
      <c r="F59" s="117" t="inlineStr">
        <is>
          <t>d.light press release</t>
        </is>
      </c>
      <c r="G59" s="117" t="inlineStr">
        <is>
          <t>d.light via PR Newswire</t>
        </is>
      </c>
      <c r="H59" s="117" t="inlineStr">
        <is>
          <t>Sep 2023</t>
        </is>
      </c>
      <c r="I59" s="117" t="inlineStr">
        <is>
          <t>PAGE TO VERIFY</t>
        </is>
      </c>
      <c r="J59" s="117" t="inlineStr">
        <is>
          <t>https://www.prnewswire.co.uk/news-releases/dlight-revenues-surge-by-41-percent-in-first-six-months-of-2023-driven-by-143-percent-growth-in-nigeria-301919233.html</t>
        </is>
      </c>
      <c r="K59" s="117" t="inlineStr">
        <is>
          <t>Company disclosure recorded from earlier research</t>
        </is>
      </c>
      <c r="L59" s="117" t="inlineStr">
        <is>
          <t>B</t>
        </is>
      </c>
      <c r="M59" s="134" t="inlineStr">
        <is>
          <t>PENDING PRIMARY DOCUMENT</t>
        </is>
      </c>
      <c r="N59" s="117" t="inlineStr">
        <is>
          <t>None</t>
        </is>
      </c>
      <c r="O59" s="117" t="inlineStr">
        <is>
          <t>Market_Benchmark (shown, flagged)</t>
        </is>
      </c>
      <c r="P59" s="117" t="inlineStr"/>
      <c r="Q59" s="117" t="inlineStr">
        <is>
          <t>d.light|Revenue growth</t>
        </is>
      </c>
    </row>
    <row r="60">
      <c r="A60" s="117" t="inlineStr">
        <is>
          <t>E6-04</t>
        </is>
      </c>
      <c r="B60" s="117" t="inlineStr">
        <is>
          <t>d.light revenue (third-party estimate)</t>
        </is>
      </c>
      <c r="C60" s="135" t="n">
        <v>301.2</v>
      </c>
      <c r="D60" s="117" t="inlineStr">
        <is>
          <t>USD m</t>
        </is>
      </c>
      <c r="E60" s="117" t="inlineStr">
        <is>
          <t>2023</t>
        </is>
      </c>
      <c r="F60" s="117" t="inlineStr">
        <is>
          <t>Company database</t>
        </is>
      </c>
      <c r="G60" s="117" t="inlineStr">
        <is>
          <t>bitscale.ai</t>
        </is>
      </c>
      <c r="H60" s="117" t="inlineStr">
        <is>
          <t>n/d</t>
        </is>
      </c>
      <c r="I60" s="117" t="inlineStr"/>
      <c r="J60" s="117" t="inlineStr">
        <is>
          <t>https://www.bitscale.ai/directory/dlight</t>
        </is>
      </c>
      <c r="K60" s="117" t="inlineStr">
        <is>
          <t>Third-party estimate, method not stated</t>
        </is>
      </c>
      <c r="L60" s="117" t="inlineStr">
        <is>
          <t>D</t>
        </is>
      </c>
      <c r="M60" s="139" t="inlineStr">
        <is>
          <t>NOT USED</t>
        </is>
      </c>
      <c r="N60" s="117" t="inlineStr">
        <is>
          <t>None</t>
        </is>
      </c>
      <c r="O60" s="117" t="inlineStr">
        <is>
          <t>Excluded</t>
        </is>
      </c>
      <c r="P60" s="117" t="inlineStr"/>
      <c r="Q60" s="117" t="inlineStr"/>
    </row>
    <row r="61">
      <c r="A61" s="117" t="inlineStr">
        <is>
          <t>E7-01</t>
        </is>
      </c>
      <c r="B61" s="117" t="inlineStr">
        <is>
          <t>BBOXX LTD (07177839): appointment of administrators</t>
        </is>
      </c>
      <c r="C61" s="133" t="inlineStr">
        <is>
          <t>19 May 2025</t>
        </is>
      </c>
      <c r="D61" s="117" t="inlineStr">
        <is>
          <t>date</t>
        </is>
      </c>
      <c r="E61" s="117" t="inlineStr">
        <is>
          <t>2025</t>
        </is>
      </c>
      <c r="F61" s="117" t="inlineStr">
        <is>
          <t>Notice of appointment of administrators</t>
        </is>
      </c>
      <c r="G61" s="117" t="inlineStr">
        <is>
          <t>The Gazette</t>
        </is>
      </c>
      <c r="H61" s="117" t="inlineStr">
        <is>
          <t>2025 (to verify)</t>
        </is>
      </c>
      <c r="I61" s="117" t="inlineStr">
        <is>
          <t>Notice</t>
        </is>
      </c>
      <c r="J61" s="117" t="inlineStr">
        <is>
          <t>https://www.thegazette.co.uk/notice/4891954 (not opened from this environment)</t>
        </is>
      </c>
      <c r="K61" s="117" t="inlineStr">
        <is>
          <t>Date recorded from earlier research (Gazette and administrator's announcement); notice not read in this project</t>
        </is>
      </c>
      <c r="L61" s="117" t="inlineStr">
        <is>
          <t>A</t>
        </is>
      </c>
      <c r="M61" s="134" t="inlineStr">
        <is>
          <t>PENDING PRIMARY DOCUMENT</t>
        </is>
      </c>
      <c r="N61" s="117" t="inlineStr">
        <is>
          <t>Ch 1.6, 14</t>
        </is>
      </c>
      <c r="O61" s="117" t="inlineStr">
        <is>
          <t>Company_Cases text</t>
        </is>
      </c>
      <c r="P61" s="117" t="inlineStr">
        <is>
          <t>The date must be the date of appointment stated in the formal notice, not a petition, hearing, publication or creditors' meeting date.</t>
        </is>
      </c>
      <c r="Q61" s="117" t="inlineStr"/>
    </row>
    <row r="62">
      <c r="A62" s="117" t="inlineStr">
        <is>
          <t>E7-02</t>
        </is>
      </c>
      <c r="B62" s="117" t="inlineStr">
        <is>
          <t>BBOXX LTD (07177839): latest filed accounts made up to 31 Dec 2022; FY2023 accounts overdue; status in administration</t>
        </is>
      </c>
      <c r="C62" s="133" t="inlineStr">
        <is>
          <t>text</t>
        </is>
      </c>
      <c r="D62" s="117" t="inlineStr">
        <is>
          <t>text</t>
        </is>
      </c>
      <c r="E62" s="117" t="inlineStr">
        <is>
          <t>2025</t>
        </is>
      </c>
      <c r="F62" s="117" t="inlineStr">
        <is>
          <t>Companies House register</t>
        </is>
      </c>
      <c r="G62" s="117" t="inlineStr">
        <is>
          <t>Companies House</t>
        </is>
      </c>
      <c r="H62" s="117" t="inlineStr">
        <is>
          <t>2025 (to verify)</t>
        </is>
      </c>
      <c r="I62" s="117" t="inlineStr"/>
      <c r="J62" s="117" t="inlineStr">
        <is>
          <t>https://find-and-update.company-information.service.gov.uk/company/07177839 (not opened from this environment)</t>
        </is>
      </c>
      <c r="K62" s="117" t="inlineStr">
        <is>
          <t>Recorded from earlier research</t>
        </is>
      </c>
      <c r="L62" s="117" t="inlineStr">
        <is>
          <t>A</t>
        </is>
      </c>
      <c r="M62" s="134" t="inlineStr">
        <is>
          <t>PENDING PRIMARY DOCUMENT</t>
        </is>
      </c>
      <c r="N62" s="117" t="inlineStr">
        <is>
          <t>Ch 1.6</t>
        </is>
      </c>
      <c r="O62" s="117" t="inlineStr">
        <is>
          <t>Company_Cases text</t>
        </is>
      </c>
      <c r="P62" s="117" t="inlineStr"/>
      <c r="Q62" s="117" t="inlineStr"/>
    </row>
    <row r="63">
      <c r="A63" s="117" t="inlineStr">
        <is>
          <t>E8-01</t>
        </is>
      </c>
      <c r="B63" s="117" t="inlineStr">
        <is>
          <t>Off-grid solar investment in 2024, down about 30%</t>
        </is>
      </c>
      <c r="C63" s="135" t="n">
        <v>299</v>
      </c>
      <c r="D63" s="117" t="inlineStr">
        <is>
          <t>USD m</t>
        </is>
      </c>
      <c r="E63" s="117" t="inlineStr">
        <is>
          <t>2024</t>
        </is>
      </c>
      <c r="F63" s="117" t="inlineStr">
        <is>
          <t>GOGLA investment data (as reported)</t>
        </is>
      </c>
      <c r="G63" s="117" t="inlineStr">
        <is>
          <t>GOGLA</t>
        </is>
      </c>
      <c r="H63" s="117" t="inlineStr">
        <is>
          <t>2025 (to verify)</t>
        </is>
      </c>
      <c r="I63" s="117" t="inlineStr">
        <is>
          <t>PAGE TO VERIFY</t>
        </is>
      </c>
      <c r="J63" s="117" t="inlineStr"/>
      <c r="K63" s="117" t="inlineStr">
        <is>
          <t>Secondary report</t>
        </is>
      </c>
      <c r="L63" s="117" t="inlineStr">
        <is>
          <t>B</t>
        </is>
      </c>
      <c r="M63" s="134" t="inlineStr">
        <is>
          <t>PENDING PRIMARY DOCUMENT</t>
        </is>
      </c>
      <c r="N63" s="117" t="inlineStr">
        <is>
          <t>Ch 11.1, 14</t>
        </is>
      </c>
      <c r="O63" s="117" t="inlineStr">
        <is>
          <t>None</t>
        </is>
      </c>
      <c r="P63" s="117" t="inlineStr">
        <is>
          <t>Consistency only, not verification: E1-17 gives USD 425m for 2023, and 425 x 0.7 is about 298.</t>
        </is>
      </c>
      <c r="Q63" s="117" t="inlineStr"/>
    </row>
    <row r="64">
      <c r="A64" s="117" t="inlineStr">
        <is>
          <t>E9-01</t>
        </is>
      </c>
      <c r="B64" s="117" t="inlineStr">
        <is>
          <t>ZOLA Electric financing round (USD 45m equity, USD 45m debt)</t>
        </is>
      </c>
      <c r="C64" s="135" t="n">
        <v>90</v>
      </c>
      <c r="D64" s="117" t="inlineStr">
        <is>
          <t>USD m</t>
        </is>
      </c>
      <c r="E64" s="117" t="inlineStr">
        <is>
          <t>Sep 2021</t>
        </is>
      </c>
      <c r="F64" s="117" t="inlineStr">
        <is>
          <t>News article</t>
        </is>
      </c>
      <c r="G64" s="117" t="inlineStr">
        <is>
          <t>TechCrunch</t>
        </is>
      </c>
      <c r="H64" s="117" t="inlineStr">
        <is>
          <t>23 Sep 2021</t>
        </is>
      </c>
      <c r="I64" s="117" t="inlineStr">
        <is>
          <t>PAGE TO VERIFY</t>
        </is>
      </c>
      <c r="J64" s="117" t="inlineStr">
        <is>
          <t>https://techcrunch.com/2021/09/23/zola-electric-closes-90m-funding-round-to-scale-technology-and-enter-new-markets</t>
        </is>
      </c>
      <c r="K64" s="117" t="inlineStr">
        <is>
          <t>Secondary report</t>
        </is>
      </c>
      <c r="L64" s="117" t="inlineStr">
        <is>
          <t>C</t>
        </is>
      </c>
      <c r="M64" s="134" t="inlineStr">
        <is>
          <t>PENDING PRIMARY DOCUMENT</t>
        </is>
      </c>
      <c r="N64" s="117" t="inlineStr">
        <is>
          <t>None</t>
        </is>
      </c>
      <c r="O64" s="117" t="inlineStr">
        <is>
          <t>Market_Benchmark (shown, flagged)</t>
        </is>
      </c>
      <c r="P64" s="117" t="inlineStr"/>
      <c r="Q64" s="117" t="inlineStr">
        <is>
          <t>ZOLA Electric|Financing round</t>
        </is>
      </c>
    </row>
    <row r="65">
      <c r="A65" s="117" t="inlineStr">
        <is>
          <t>E10-01</t>
        </is>
      </c>
      <c r="B65" s="117" t="inlineStr">
        <is>
          <t>SEforALL Universal Energy Facility pays results-based finance per verified connection</t>
        </is>
      </c>
      <c r="C65" s="133" t="inlineStr">
        <is>
          <t>qualitative</t>
        </is>
      </c>
      <c r="D65" s="117" t="inlineStr">
        <is>
          <t>text</t>
        </is>
      </c>
      <c r="E65" s="117" t="inlineStr">
        <is>
          <t>n/a</t>
        </is>
      </c>
      <c r="F65" s="117" t="inlineStr">
        <is>
          <t>SEforALL (as reported)</t>
        </is>
      </c>
      <c r="G65" s="117" t="inlineStr">
        <is>
          <t>SEforALL</t>
        </is>
      </c>
      <c r="H65" s="117" t="inlineStr">
        <is>
          <t>to verify</t>
        </is>
      </c>
      <c r="I65" s="117" t="inlineStr">
        <is>
          <t>PAGE TO VERIFY</t>
        </is>
      </c>
      <c r="J65" s="117" t="inlineStr"/>
      <c r="K65" s="117" t="inlineStr">
        <is>
          <t>Secondary description</t>
        </is>
      </c>
      <c r="L65" s="117" t="inlineStr">
        <is>
          <t>B</t>
        </is>
      </c>
      <c r="M65" s="134" t="inlineStr">
        <is>
          <t>PENDING PRIMARY DOCUMENT</t>
        </is>
      </c>
      <c r="N65" s="117" t="inlineStr">
        <is>
          <t>Ch 13.2</t>
        </is>
      </c>
      <c r="O65" s="117" t="inlineStr">
        <is>
          <t>None</t>
        </is>
      </c>
      <c r="P65" s="117" t="inlineStr"/>
      <c r="Q65" s="117" t="inlineStr"/>
    </row>
    <row r="66">
      <c r="A66" s="117" t="inlineStr">
        <is>
          <t>X-01</t>
        </is>
      </c>
      <c r="B66" s="117" t="inlineStr">
        <is>
          <t>Pawame SHS financed</t>
        </is>
      </c>
      <c r="C66" s="135" t="n">
        <v>18700</v>
      </c>
      <c r="D66" s="117" t="inlineStr">
        <is>
          <t>units</t>
        </is>
      </c>
      <c r="E66" s="117" t="inlineStr">
        <is>
          <t>n/a</t>
        </is>
      </c>
      <c r="F66" s="117" t="inlineStr">
        <is>
          <t>None found</t>
        </is>
      </c>
      <c r="G66" s="117" t="inlineStr"/>
      <c r="H66" s="117" t="inlineStr"/>
      <c r="I66" s="117" t="inlineStr"/>
      <c r="J66" s="117" t="inlineStr"/>
      <c r="K66" s="117" t="inlineStr">
        <is>
          <t>No public source found</t>
        </is>
      </c>
      <c r="L66" s="117" t="inlineStr">
        <is>
          <t>D</t>
        </is>
      </c>
      <c r="M66" s="139" t="inlineStr">
        <is>
          <t>NOT USED</t>
        </is>
      </c>
      <c r="N66" s="117" t="inlineStr">
        <is>
          <t>None</t>
        </is>
      </c>
      <c r="O66" s="117" t="inlineStr">
        <is>
          <t>Excluded</t>
        </is>
      </c>
      <c r="P66" s="117" t="inlineStr"/>
      <c r="Q66" s="117" t="inlineStr">
        <is>
          <t>Pawame|SHS financed</t>
        </is>
      </c>
    </row>
    <row r="67">
      <c r="A67" s="117" t="inlineStr">
        <is>
          <t>X-02</t>
        </is>
      </c>
      <c r="B67" s="117" t="inlineStr">
        <is>
          <t>Pawame active customers</t>
        </is>
      </c>
      <c r="C67" s="135" t="n">
        <v>16000</v>
      </c>
      <c r="D67" s="117" t="inlineStr">
        <is>
          <t>customers</t>
        </is>
      </c>
      <c r="E67" s="117" t="inlineStr">
        <is>
          <t>n/a</t>
        </is>
      </c>
      <c r="F67" s="117" t="inlineStr">
        <is>
          <t>None found</t>
        </is>
      </c>
      <c r="G67" s="117" t="inlineStr"/>
      <c r="H67" s="117" t="inlineStr"/>
      <c r="I67" s="117" t="inlineStr"/>
      <c r="J67" s="117" t="inlineStr"/>
      <c r="K67" s="117" t="inlineStr">
        <is>
          <t>No public source found</t>
        </is>
      </c>
      <c r="L67" s="117" t="inlineStr">
        <is>
          <t>D</t>
        </is>
      </c>
      <c r="M67" s="139" t="inlineStr">
        <is>
          <t>NOT USED</t>
        </is>
      </c>
      <c r="N67" s="117" t="inlineStr">
        <is>
          <t>None</t>
        </is>
      </c>
      <c r="O67" s="117" t="inlineStr">
        <is>
          <t>Excluded</t>
        </is>
      </c>
      <c r="P67" s="117" t="inlineStr"/>
      <c r="Q67" s="117" t="inlineStr">
        <is>
          <t>Pawame|Active customers</t>
        </is>
      </c>
    </row>
    <row r="68">
      <c r="A68" s="117" t="inlineStr">
        <is>
          <t>X-03</t>
        </is>
      </c>
      <c r="B68" s="117" t="inlineStr">
        <is>
          <t>IFC / AFC material on PAYGo receivables financing</t>
        </is>
      </c>
      <c r="C68" s="133" t="inlineStr">
        <is>
          <t>reference</t>
        </is>
      </c>
      <c r="D68" s="117" t="inlineStr">
        <is>
          <t>text</t>
        </is>
      </c>
      <c r="E68" s="117" t="inlineStr">
        <is>
          <t>various</t>
        </is>
      </c>
      <c r="F68" s="117" t="inlineStr">
        <is>
          <t>Not identified</t>
        </is>
      </c>
      <c r="G68" s="117" t="inlineStr"/>
      <c r="H68" s="117" t="inlineStr"/>
      <c r="I68" s="117" t="inlineStr"/>
      <c r="J68" s="117" t="inlineStr"/>
      <c r="K68" s="117" t="inlineStr">
        <is>
          <t>Listed for retrieval</t>
        </is>
      </c>
      <c r="L68" s="117" t="inlineStr">
        <is>
          <t>D</t>
        </is>
      </c>
      <c r="M68" s="139" t="inlineStr">
        <is>
          <t>NOT USED</t>
        </is>
      </c>
      <c r="N68" s="117" t="inlineStr">
        <is>
          <t>None</t>
        </is>
      </c>
      <c r="O68" s="117" t="inlineStr">
        <is>
          <t>None</t>
        </is>
      </c>
      <c r="P68" s="117" t="inlineStr"/>
      <c r="Q68" s="117" t="inlineStr"/>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27.xml><?xml version="1.0" encoding="utf-8"?>
<worksheet xmlns="http://schemas.openxmlformats.org/spreadsheetml/2006/main">
  <sheetPr>
    <tabColor rgb="007030A0"/>
    <outlinePr summaryBelow="1" summaryRight="1"/>
    <pageSetUpPr fitToPage="1"/>
  </sheetPr>
  <dimension ref="A1:AQ18"/>
  <sheetViews>
    <sheetView showGridLines="0" workbookViewId="0">
      <pane xSplit="5" ySplit="5" topLeftCell="F6"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s>
  <sheetData>
    <row r="1">
      <c r="A1" s="17" t="inlineStr">
        <is>
          <t>Benchmark matrix: company-year x line item (USD m unless count / ratio)</t>
        </is>
      </c>
    </row>
    <row r="2">
      <c r="A2" s="18" t="inlineStr">
        <is>
          <t>Peer rows: SUMIFS over usable full-year records. Model rows: live from the active scenario (flows at average FX, balances at year-end FX).</t>
        </is>
      </c>
    </row>
    <row r="3"/>
    <row r="4" ht="48" customHeight="1">
      <c r="F4" s="141" t="inlineStr">
        <is>
          <t>Revenue</t>
        </is>
      </c>
      <c r="G4" s="141" t="inlineStr">
        <is>
          <t>Financing / interest revenue</t>
        </is>
      </c>
      <c r="H4" s="141" t="inlineStr">
        <is>
          <t>Cost of sales</t>
        </is>
      </c>
      <c r="I4" s="141" t="inlineStr">
        <is>
          <t>Gross profit</t>
        </is>
      </c>
      <c r="J4" s="141" t="inlineStr">
        <is>
          <t>Operating expenses</t>
        </is>
      </c>
      <c r="K4" s="141" t="inlineStr">
        <is>
          <t>EBITDA</t>
        </is>
      </c>
      <c r="L4" s="141" t="inlineStr">
        <is>
          <t>EBIT / operating income</t>
        </is>
      </c>
      <c r="M4" s="141" t="inlineStr">
        <is>
          <t>Depreciation &amp; amortisation</t>
        </is>
      </c>
      <c r="N4" s="141" t="inlineStr">
        <is>
          <t>Finance costs</t>
        </is>
      </c>
      <c r="O4" s="141" t="inlineStr">
        <is>
          <t>Impairment / expected credit losses</t>
        </is>
      </c>
      <c r="P4" s="141" t="inlineStr">
        <is>
          <t>Income tax</t>
        </is>
      </c>
      <c r="Q4" s="141" t="inlineStr">
        <is>
          <t>Net income</t>
        </is>
      </c>
      <c r="R4" s="141" t="inlineStr">
        <is>
          <t>Cash</t>
        </is>
      </c>
      <c r="S4" s="141" t="inlineStr">
        <is>
          <t>Inventory</t>
        </is>
      </c>
      <c r="T4" s="141" t="inlineStr">
        <is>
          <t>Trade payables</t>
        </is>
      </c>
      <c r="U4" s="141" t="inlineStr">
        <is>
          <t>Trade receivables</t>
        </is>
      </c>
      <c r="V4" s="141" t="inlineStr">
        <is>
          <t>PAYGo receivables: gross</t>
        </is>
      </c>
      <c r="W4" s="141" t="inlineStr">
        <is>
          <t>PAYGo receivables: net</t>
        </is>
      </c>
      <c r="X4" s="141" t="inlineStr">
        <is>
          <t>Property, plant &amp; equipment</t>
        </is>
      </c>
      <c r="Y4" s="141" t="inlineStr">
        <is>
          <t>Borrowings</t>
        </is>
      </c>
      <c r="Z4" s="141" t="inlineStr">
        <is>
          <t>Lease liabilities</t>
        </is>
      </c>
      <c r="AA4" s="141" t="inlineStr">
        <is>
          <t>Equity</t>
        </is>
      </c>
      <c r="AB4" s="141" t="inlineStr">
        <is>
          <t>Total assets</t>
        </is>
      </c>
      <c r="AC4" s="141" t="inlineStr">
        <is>
          <t>Total liabilities</t>
        </is>
      </c>
      <c r="AD4" s="141" t="inlineStr">
        <is>
          <t>Operating cash flow</t>
        </is>
      </c>
      <c r="AE4" s="141" t="inlineStr">
        <is>
          <t>Capex</t>
        </is>
      </c>
      <c r="AF4" s="141" t="inlineStr">
        <is>
          <t>Debt raised</t>
        </is>
      </c>
      <c r="AG4" s="141" t="inlineStr">
        <is>
          <t>Equity raised</t>
        </is>
      </c>
      <c r="AH4" s="141" t="inlineStr">
        <is>
          <t>Securitisation / receivables financing closed</t>
        </is>
      </c>
      <c r="AI4" s="141" t="inlineStr">
        <is>
          <t>Active customers</t>
        </is>
      </c>
      <c r="AJ4" s="141" t="inlineStr">
        <is>
          <t>Cumulative customers (model: cumulative units sold)</t>
        </is>
      </c>
      <c r="AK4" s="141" t="inlineStr">
        <is>
          <t>Units sold</t>
        </is>
      </c>
      <c r="AL4" s="141" t="inlineStr">
        <is>
          <t>Cumulative financing disbursed (USD m)</t>
        </is>
      </c>
      <c r="AM4" s="141" t="inlineStr">
        <is>
          <t>Revenue growth (reported)</t>
        </is>
      </c>
      <c r="AN4" s="141" t="inlineStr">
        <is>
          <t>Operational collection rate (not PERFORM RR)</t>
        </is>
      </c>
      <c r="AO4" s="141" t="inlineStr">
        <is>
          <t>PAR30 / 30+ DPD ratio</t>
        </is>
      </c>
      <c r="AP4" s="141" t="inlineStr">
        <is>
          <t>Customer ownership rate</t>
        </is>
      </c>
      <c r="AQ4" s="141" t="inlineStr">
        <is>
          <t>Risk-adjusted gross profit (non-IFRS)</t>
        </is>
      </c>
    </row>
    <row r="5">
      <c r="A5" s="40" t="inlineStr">
        <is>
          <t>Company</t>
        </is>
      </c>
      <c r="B5" s="40" t="inlineStr">
        <is>
          <t>Year</t>
        </is>
      </c>
      <c r="C5" s="40" t="inlineStr">
        <is>
          <t>Row type</t>
        </is>
      </c>
      <c r="D5" s="40" t="inlineStr">
        <is>
          <t>Worst grade used</t>
        </is>
      </c>
      <c r="E5" s="40" t="inlineStr">
        <is>
          <t>Peer include</t>
        </is>
      </c>
      <c r="F5" s="40" t="inlineStr">
        <is>
          <t>REV</t>
        </is>
      </c>
      <c r="G5" s="40" t="inlineStr">
        <is>
          <t>REV_FIN</t>
        </is>
      </c>
      <c r="H5" s="40" t="inlineStr">
        <is>
          <t>COGS</t>
        </is>
      </c>
      <c r="I5" s="40" t="inlineStr">
        <is>
          <t>GP</t>
        </is>
      </c>
      <c r="J5" s="40" t="inlineStr">
        <is>
          <t>OPEX</t>
        </is>
      </c>
      <c r="K5" s="40" t="inlineStr">
        <is>
          <t>EBITDA</t>
        </is>
      </c>
      <c r="L5" s="40" t="inlineStr">
        <is>
          <t>EBIT</t>
        </is>
      </c>
      <c r="M5" s="40" t="inlineStr">
        <is>
          <t>DA</t>
        </is>
      </c>
      <c r="N5" s="40" t="inlineStr">
        <is>
          <t>FIN_COST</t>
        </is>
      </c>
      <c r="O5" s="40" t="inlineStr">
        <is>
          <t>ECL</t>
        </is>
      </c>
      <c r="P5" s="40" t="inlineStr">
        <is>
          <t>TAX</t>
        </is>
      </c>
      <c r="Q5" s="40" t="inlineStr">
        <is>
          <t>NI</t>
        </is>
      </c>
      <c r="R5" s="40" t="inlineStr">
        <is>
          <t>CASH</t>
        </is>
      </c>
      <c r="S5" s="40" t="inlineStr">
        <is>
          <t>INV</t>
        </is>
      </c>
      <c r="T5" s="40" t="inlineStr">
        <is>
          <t>AP</t>
        </is>
      </c>
      <c r="U5" s="40" t="inlineStr">
        <is>
          <t>TRADE_REC</t>
        </is>
      </c>
      <c r="V5" s="40" t="inlineStr">
        <is>
          <t>PAYGO_REC_GROSS</t>
        </is>
      </c>
      <c r="W5" s="40" t="inlineStr">
        <is>
          <t>PAYGO_REC_NET</t>
        </is>
      </c>
      <c r="X5" s="40" t="inlineStr">
        <is>
          <t>PPE</t>
        </is>
      </c>
      <c r="Y5" s="40" t="inlineStr">
        <is>
          <t>DEBT</t>
        </is>
      </c>
      <c r="Z5" s="40" t="inlineStr">
        <is>
          <t>LEASE</t>
        </is>
      </c>
      <c r="AA5" s="40" t="inlineStr">
        <is>
          <t>EQUITY</t>
        </is>
      </c>
      <c r="AB5" s="40" t="inlineStr">
        <is>
          <t>TOTAL_ASSETS</t>
        </is>
      </c>
      <c r="AC5" s="40" t="inlineStr">
        <is>
          <t>TOTAL_LIAB</t>
        </is>
      </c>
      <c r="AD5" s="40" t="inlineStr">
        <is>
          <t>CFO</t>
        </is>
      </c>
      <c r="AE5" s="40" t="inlineStr">
        <is>
          <t>CAPEX</t>
        </is>
      </c>
      <c r="AF5" s="40" t="inlineStr">
        <is>
          <t>DEBT_DRAW</t>
        </is>
      </c>
      <c r="AG5" s="40" t="inlineStr">
        <is>
          <t>EQUITY_RAISED</t>
        </is>
      </c>
      <c r="AH5" s="40" t="inlineStr">
        <is>
          <t>SECURITISATION</t>
        </is>
      </c>
      <c r="AI5" s="40" t="inlineStr">
        <is>
          <t>CUST_ACTIVE</t>
        </is>
      </c>
      <c r="AJ5" s="40" t="inlineStr">
        <is>
          <t>CUST_CUM</t>
        </is>
      </c>
      <c r="AK5" s="40" t="inlineStr">
        <is>
          <t>UNITS</t>
        </is>
      </c>
      <c r="AL5" s="40" t="inlineStr">
        <is>
          <t>LOANS_CUM</t>
        </is>
      </c>
      <c r="AM5" s="40" t="inlineStr">
        <is>
          <t>REV_GROWTH</t>
        </is>
      </c>
      <c r="AN5" s="40" t="inlineStr">
        <is>
          <t>COLL_RATE</t>
        </is>
      </c>
      <c r="AO5" s="40" t="inlineStr">
        <is>
          <t>PAR30</t>
        </is>
      </c>
      <c r="AP5" s="40" t="inlineStr">
        <is>
          <t>OWNERSHIP_RATE</t>
        </is>
      </c>
      <c r="AQ5" s="40" t="inlineStr">
        <is>
          <t>RAGP</t>
        </is>
      </c>
    </row>
    <row r="6">
      <c r="A6" s="34" t="inlineStr">
        <is>
          <t>Bboxx</t>
        </is>
      </c>
      <c r="B6" s="23" t="n">
        <v>2019</v>
      </c>
      <c r="C6" s="34" t="inlineStr">
        <is>
          <t>Peer</t>
        </is>
      </c>
      <c r="D6" s="50">
        <f>IF(COUNTIFS(Benchmark_DB!$B$5:$B$41,$A6,Benchmark_DB!$D$5:$D$41,$B6,Benchmark_DB!$N$5:$N$41,1,Benchmark_DB!$F$5:$F$41,12,Benchmark_DB!$S$5:$S$41,"E")&gt;0,"E",IF(COUNTIFS(Benchmark_DB!$B$5:$B$41,$A6,Benchmark_DB!$D$5:$D$41,$B6,Benchmark_DB!$N$5:$N$41,1,Benchmark_DB!$F$5:$F$41,12,Benchmark_DB!$S$5:$S$41,"D")&gt;0,"D",IF(COUNTIFS(Benchmark_DB!$B$5:$B$41,$A6,Benchmark_DB!$D$5:$D$41,$B6,Benchmark_DB!$N$5:$N$41,1,Benchmark_DB!$F$5:$F$41,12,Benchmark_DB!$S$5:$S$41,"C")&gt;0,"C",IF(COUNTIFS(Benchmark_DB!$B$5:$B$41,$A6,Benchmark_DB!$D$5:$D$41,$B6,Benchmark_DB!$N$5:$N$41,1,Benchmark_DB!$F$5:$F$41,12,Benchmark_DB!$S$5:$S$41,"B")&gt;0,"B",IF(COUNTIFS(Benchmark_DB!$B$5:$B$41,$A6,Benchmark_DB!$D$5:$D$41,$B6,Benchmark_DB!$N$5:$N$41,1,Benchmark_DB!$F$5:$F$41,12,Benchmark_DB!$S$5:$S$41,"A")&gt;0,"A","-")))))</f>
        <v/>
      </c>
      <c r="E6" s="23">
        <f>IF(OR(D6="A",D6="B",D6="C"),1,0)</f>
        <v/>
      </c>
      <c r="F6" s="142">
        <f>IF(COUNTIFS(Benchmark_DB!$B$5:$B$41,$A6,Benchmark_DB!$D$5:$D$41,$B6,Benchmark_DB!$N$5:$N$41,1,Benchmark_DB!$F$5:$F$41,12,Benchmark_DB!$H$5:$H$41,"REV")=0,"",SUMIFS(Benchmark_DB!$V$5:$V$41,Benchmark_DB!$B$5:$B$41,$A6,Benchmark_DB!$D$5:$D$41,$B6,Benchmark_DB!$N$5:$N$41,1,Benchmark_DB!$F$5:$F$41,12,Benchmark_DB!$H$5:$H$41,"REV"))</f>
        <v/>
      </c>
      <c r="G6" s="142">
        <f>IF(COUNTIFS(Benchmark_DB!$B$5:$B$41,$A6,Benchmark_DB!$D$5:$D$41,$B6,Benchmark_DB!$N$5:$N$41,1,Benchmark_DB!$F$5:$F$41,12,Benchmark_DB!$H$5:$H$41,"REV_FIN")=0,"",SUMIFS(Benchmark_DB!$V$5:$V$41,Benchmark_DB!$B$5:$B$41,$A6,Benchmark_DB!$D$5:$D$41,$B6,Benchmark_DB!$N$5:$N$41,1,Benchmark_DB!$F$5:$F$41,12,Benchmark_DB!$H$5:$H$41,"REV_FIN"))</f>
        <v/>
      </c>
      <c r="H6" s="142">
        <f>IF(COUNTIFS(Benchmark_DB!$B$5:$B$41,$A6,Benchmark_DB!$D$5:$D$41,$B6,Benchmark_DB!$N$5:$N$41,1,Benchmark_DB!$F$5:$F$41,12,Benchmark_DB!$H$5:$H$41,"COGS")=0,"",SUMIFS(Benchmark_DB!$V$5:$V$41,Benchmark_DB!$B$5:$B$41,$A6,Benchmark_DB!$D$5:$D$41,$B6,Benchmark_DB!$N$5:$N$41,1,Benchmark_DB!$F$5:$F$41,12,Benchmark_DB!$H$5:$H$41,"COGS"))</f>
        <v/>
      </c>
      <c r="I6" s="142">
        <f>IF(COUNTIFS(Benchmark_DB!$B$5:$B$41,$A6,Benchmark_DB!$D$5:$D$41,$B6,Benchmark_DB!$N$5:$N$41,1,Benchmark_DB!$F$5:$F$41,12,Benchmark_DB!$H$5:$H$41,"GP")=0,"",SUMIFS(Benchmark_DB!$V$5:$V$41,Benchmark_DB!$B$5:$B$41,$A6,Benchmark_DB!$D$5:$D$41,$B6,Benchmark_DB!$N$5:$N$41,1,Benchmark_DB!$F$5:$F$41,12,Benchmark_DB!$H$5:$H$41,"GP"))</f>
        <v/>
      </c>
      <c r="J6" s="142">
        <f>IF(COUNTIFS(Benchmark_DB!$B$5:$B$41,$A6,Benchmark_DB!$D$5:$D$41,$B6,Benchmark_DB!$N$5:$N$41,1,Benchmark_DB!$F$5:$F$41,12,Benchmark_DB!$H$5:$H$41,"OPEX")=0,"",SUMIFS(Benchmark_DB!$V$5:$V$41,Benchmark_DB!$B$5:$B$41,$A6,Benchmark_DB!$D$5:$D$41,$B6,Benchmark_DB!$N$5:$N$41,1,Benchmark_DB!$F$5:$F$41,12,Benchmark_DB!$H$5:$H$41,"OPEX"))</f>
        <v/>
      </c>
      <c r="K6" s="142">
        <f>IF(COUNTIFS(Benchmark_DB!$B$5:$B$41,$A6,Benchmark_DB!$D$5:$D$41,$B6,Benchmark_DB!$N$5:$N$41,1,Benchmark_DB!$F$5:$F$41,12,Benchmark_DB!$H$5:$H$41,"EBITDA")=0,"",SUMIFS(Benchmark_DB!$V$5:$V$41,Benchmark_DB!$B$5:$B$41,$A6,Benchmark_DB!$D$5:$D$41,$B6,Benchmark_DB!$N$5:$N$41,1,Benchmark_DB!$F$5:$F$41,12,Benchmark_DB!$H$5:$H$41,"EBITDA"))</f>
        <v/>
      </c>
      <c r="L6" s="142">
        <f>IF(COUNTIFS(Benchmark_DB!$B$5:$B$41,$A6,Benchmark_DB!$D$5:$D$41,$B6,Benchmark_DB!$N$5:$N$41,1,Benchmark_DB!$F$5:$F$41,12,Benchmark_DB!$H$5:$H$41,"EBIT")=0,"",SUMIFS(Benchmark_DB!$V$5:$V$41,Benchmark_DB!$B$5:$B$41,$A6,Benchmark_DB!$D$5:$D$41,$B6,Benchmark_DB!$N$5:$N$41,1,Benchmark_DB!$F$5:$F$41,12,Benchmark_DB!$H$5:$H$41,"EBIT"))</f>
        <v/>
      </c>
      <c r="M6" s="142">
        <f>IF(COUNTIFS(Benchmark_DB!$B$5:$B$41,$A6,Benchmark_DB!$D$5:$D$41,$B6,Benchmark_DB!$N$5:$N$41,1,Benchmark_DB!$F$5:$F$41,12,Benchmark_DB!$H$5:$H$41,"DA")=0,"",SUMIFS(Benchmark_DB!$V$5:$V$41,Benchmark_DB!$B$5:$B$41,$A6,Benchmark_DB!$D$5:$D$41,$B6,Benchmark_DB!$N$5:$N$41,1,Benchmark_DB!$F$5:$F$41,12,Benchmark_DB!$H$5:$H$41,"DA"))</f>
        <v/>
      </c>
      <c r="N6" s="142">
        <f>IF(COUNTIFS(Benchmark_DB!$B$5:$B$41,$A6,Benchmark_DB!$D$5:$D$41,$B6,Benchmark_DB!$N$5:$N$41,1,Benchmark_DB!$F$5:$F$41,12,Benchmark_DB!$H$5:$H$41,"FIN_COST")=0,"",SUMIFS(Benchmark_DB!$V$5:$V$41,Benchmark_DB!$B$5:$B$41,$A6,Benchmark_DB!$D$5:$D$41,$B6,Benchmark_DB!$N$5:$N$41,1,Benchmark_DB!$F$5:$F$41,12,Benchmark_DB!$H$5:$H$41,"FIN_COST"))</f>
        <v/>
      </c>
      <c r="O6" s="142">
        <f>IF(COUNTIFS(Benchmark_DB!$B$5:$B$41,$A6,Benchmark_DB!$D$5:$D$41,$B6,Benchmark_DB!$N$5:$N$41,1,Benchmark_DB!$F$5:$F$41,12,Benchmark_DB!$H$5:$H$41,"ECL")=0,"",SUMIFS(Benchmark_DB!$V$5:$V$41,Benchmark_DB!$B$5:$B$41,$A6,Benchmark_DB!$D$5:$D$41,$B6,Benchmark_DB!$N$5:$N$41,1,Benchmark_DB!$F$5:$F$41,12,Benchmark_DB!$H$5:$H$41,"ECL"))</f>
        <v/>
      </c>
      <c r="P6" s="142">
        <f>IF(COUNTIFS(Benchmark_DB!$B$5:$B$41,$A6,Benchmark_DB!$D$5:$D$41,$B6,Benchmark_DB!$N$5:$N$41,1,Benchmark_DB!$F$5:$F$41,12,Benchmark_DB!$H$5:$H$41,"TAX")=0,"",SUMIFS(Benchmark_DB!$V$5:$V$41,Benchmark_DB!$B$5:$B$41,$A6,Benchmark_DB!$D$5:$D$41,$B6,Benchmark_DB!$N$5:$N$41,1,Benchmark_DB!$F$5:$F$41,12,Benchmark_DB!$H$5:$H$41,"TAX"))</f>
        <v/>
      </c>
      <c r="Q6" s="142">
        <f>IF(COUNTIFS(Benchmark_DB!$B$5:$B$41,$A6,Benchmark_DB!$D$5:$D$41,$B6,Benchmark_DB!$N$5:$N$41,1,Benchmark_DB!$F$5:$F$41,12,Benchmark_DB!$H$5:$H$41,"NI")=0,"",SUMIFS(Benchmark_DB!$V$5:$V$41,Benchmark_DB!$B$5:$B$41,$A6,Benchmark_DB!$D$5:$D$41,$B6,Benchmark_DB!$N$5:$N$41,1,Benchmark_DB!$F$5:$F$41,12,Benchmark_DB!$H$5:$H$41,"NI"))</f>
        <v/>
      </c>
      <c r="R6" s="142">
        <f>IF(COUNTIFS(Benchmark_DB!$B$5:$B$41,$A6,Benchmark_DB!$D$5:$D$41,$B6,Benchmark_DB!$N$5:$N$41,1,Benchmark_DB!$F$5:$F$41,12,Benchmark_DB!$H$5:$H$41,"CASH")=0,"",SUMIFS(Benchmark_DB!$V$5:$V$41,Benchmark_DB!$B$5:$B$41,$A6,Benchmark_DB!$D$5:$D$41,$B6,Benchmark_DB!$N$5:$N$41,1,Benchmark_DB!$F$5:$F$41,12,Benchmark_DB!$H$5:$H$41,"CASH"))</f>
        <v/>
      </c>
      <c r="S6" s="142">
        <f>IF(COUNTIFS(Benchmark_DB!$B$5:$B$41,$A6,Benchmark_DB!$D$5:$D$41,$B6,Benchmark_DB!$N$5:$N$41,1,Benchmark_DB!$F$5:$F$41,12,Benchmark_DB!$H$5:$H$41,"INV")=0,"",SUMIFS(Benchmark_DB!$V$5:$V$41,Benchmark_DB!$B$5:$B$41,$A6,Benchmark_DB!$D$5:$D$41,$B6,Benchmark_DB!$N$5:$N$41,1,Benchmark_DB!$F$5:$F$41,12,Benchmark_DB!$H$5:$H$41,"INV"))</f>
        <v/>
      </c>
      <c r="T6" s="142">
        <f>IF(COUNTIFS(Benchmark_DB!$B$5:$B$41,$A6,Benchmark_DB!$D$5:$D$41,$B6,Benchmark_DB!$N$5:$N$41,1,Benchmark_DB!$F$5:$F$41,12,Benchmark_DB!$H$5:$H$41,"AP")=0,"",SUMIFS(Benchmark_DB!$V$5:$V$41,Benchmark_DB!$B$5:$B$41,$A6,Benchmark_DB!$D$5:$D$41,$B6,Benchmark_DB!$N$5:$N$41,1,Benchmark_DB!$F$5:$F$41,12,Benchmark_DB!$H$5:$H$41,"AP"))</f>
        <v/>
      </c>
      <c r="U6" s="142">
        <f>IF(COUNTIFS(Benchmark_DB!$B$5:$B$41,$A6,Benchmark_DB!$D$5:$D$41,$B6,Benchmark_DB!$N$5:$N$41,1,Benchmark_DB!$F$5:$F$41,12,Benchmark_DB!$H$5:$H$41,"TRADE_REC")=0,"",SUMIFS(Benchmark_DB!$V$5:$V$41,Benchmark_DB!$B$5:$B$41,$A6,Benchmark_DB!$D$5:$D$41,$B6,Benchmark_DB!$N$5:$N$41,1,Benchmark_DB!$F$5:$F$41,12,Benchmark_DB!$H$5:$H$41,"TRADE_REC"))</f>
        <v/>
      </c>
      <c r="V6" s="142">
        <f>IF(COUNTIFS(Benchmark_DB!$B$5:$B$41,$A6,Benchmark_DB!$D$5:$D$41,$B6,Benchmark_DB!$N$5:$N$41,1,Benchmark_DB!$F$5:$F$41,12,Benchmark_DB!$H$5:$H$41,"PAYGO_REC_GROSS")=0,"",SUMIFS(Benchmark_DB!$V$5:$V$41,Benchmark_DB!$B$5:$B$41,$A6,Benchmark_DB!$D$5:$D$41,$B6,Benchmark_DB!$N$5:$N$41,1,Benchmark_DB!$F$5:$F$41,12,Benchmark_DB!$H$5:$H$41,"PAYGO_REC_GROSS"))</f>
        <v/>
      </c>
      <c r="W6" s="142">
        <f>IF(COUNTIFS(Benchmark_DB!$B$5:$B$41,$A6,Benchmark_DB!$D$5:$D$41,$B6,Benchmark_DB!$N$5:$N$41,1,Benchmark_DB!$F$5:$F$41,12,Benchmark_DB!$H$5:$H$41,"PAYGO_REC_NET")=0,"",SUMIFS(Benchmark_DB!$V$5:$V$41,Benchmark_DB!$B$5:$B$41,$A6,Benchmark_DB!$D$5:$D$41,$B6,Benchmark_DB!$N$5:$N$41,1,Benchmark_DB!$F$5:$F$41,12,Benchmark_DB!$H$5:$H$41,"PAYGO_REC_NET"))</f>
        <v/>
      </c>
      <c r="X6" s="142">
        <f>IF(COUNTIFS(Benchmark_DB!$B$5:$B$41,$A6,Benchmark_DB!$D$5:$D$41,$B6,Benchmark_DB!$N$5:$N$41,1,Benchmark_DB!$F$5:$F$41,12,Benchmark_DB!$H$5:$H$41,"PPE")=0,"",SUMIFS(Benchmark_DB!$V$5:$V$41,Benchmark_DB!$B$5:$B$41,$A6,Benchmark_DB!$D$5:$D$41,$B6,Benchmark_DB!$N$5:$N$41,1,Benchmark_DB!$F$5:$F$41,12,Benchmark_DB!$H$5:$H$41,"PPE"))</f>
        <v/>
      </c>
      <c r="Y6" s="142">
        <f>IF(COUNTIFS(Benchmark_DB!$B$5:$B$41,$A6,Benchmark_DB!$D$5:$D$41,$B6,Benchmark_DB!$N$5:$N$41,1,Benchmark_DB!$F$5:$F$41,12,Benchmark_DB!$H$5:$H$41,"DEBT")=0,"",SUMIFS(Benchmark_DB!$V$5:$V$41,Benchmark_DB!$B$5:$B$41,$A6,Benchmark_DB!$D$5:$D$41,$B6,Benchmark_DB!$N$5:$N$41,1,Benchmark_DB!$F$5:$F$41,12,Benchmark_DB!$H$5:$H$41,"DEBT"))</f>
        <v/>
      </c>
      <c r="Z6" s="142">
        <f>IF(COUNTIFS(Benchmark_DB!$B$5:$B$41,$A6,Benchmark_DB!$D$5:$D$41,$B6,Benchmark_DB!$N$5:$N$41,1,Benchmark_DB!$F$5:$F$41,12,Benchmark_DB!$H$5:$H$41,"LEASE")=0,"",SUMIFS(Benchmark_DB!$V$5:$V$41,Benchmark_DB!$B$5:$B$41,$A6,Benchmark_DB!$D$5:$D$41,$B6,Benchmark_DB!$N$5:$N$41,1,Benchmark_DB!$F$5:$F$41,12,Benchmark_DB!$H$5:$H$41,"LEASE"))</f>
        <v/>
      </c>
      <c r="AA6" s="142">
        <f>IF(COUNTIFS(Benchmark_DB!$B$5:$B$41,$A6,Benchmark_DB!$D$5:$D$41,$B6,Benchmark_DB!$N$5:$N$41,1,Benchmark_DB!$F$5:$F$41,12,Benchmark_DB!$H$5:$H$41,"EQUITY")=0,"",SUMIFS(Benchmark_DB!$V$5:$V$41,Benchmark_DB!$B$5:$B$41,$A6,Benchmark_DB!$D$5:$D$41,$B6,Benchmark_DB!$N$5:$N$41,1,Benchmark_DB!$F$5:$F$41,12,Benchmark_DB!$H$5:$H$41,"EQUITY"))</f>
        <v/>
      </c>
      <c r="AB6" s="142">
        <f>IF(COUNTIFS(Benchmark_DB!$B$5:$B$41,$A6,Benchmark_DB!$D$5:$D$41,$B6,Benchmark_DB!$N$5:$N$41,1,Benchmark_DB!$F$5:$F$41,12,Benchmark_DB!$H$5:$H$41,"TOTAL_ASSETS")=0,"",SUMIFS(Benchmark_DB!$V$5:$V$41,Benchmark_DB!$B$5:$B$41,$A6,Benchmark_DB!$D$5:$D$41,$B6,Benchmark_DB!$N$5:$N$41,1,Benchmark_DB!$F$5:$F$41,12,Benchmark_DB!$H$5:$H$41,"TOTAL_ASSETS"))</f>
        <v/>
      </c>
      <c r="AC6" s="142">
        <f>IF(COUNTIFS(Benchmark_DB!$B$5:$B$41,$A6,Benchmark_DB!$D$5:$D$41,$B6,Benchmark_DB!$N$5:$N$41,1,Benchmark_DB!$F$5:$F$41,12,Benchmark_DB!$H$5:$H$41,"TOTAL_LIAB")=0,"",SUMIFS(Benchmark_DB!$V$5:$V$41,Benchmark_DB!$B$5:$B$41,$A6,Benchmark_DB!$D$5:$D$41,$B6,Benchmark_DB!$N$5:$N$41,1,Benchmark_DB!$F$5:$F$41,12,Benchmark_DB!$H$5:$H$41,"TOTAL_LIAB"))</f>
        <v/>
      </c>
      <c r="AD6" s="142">
        <f>IF(COUNTIFS(Benchmark_DB!$B$5:$B$41,$A6,Benchmark_DB!$D$5:$D$41,$B6,Benchmark_DB!$N$5:$N$41,1,Benchmark_DB!$F$5:$F$41,12,Benchmark_DB!$H$5:$H$41,"CFO")=0,"",SUMIFS(Benchmark_DB!$V$5:$V$41,Benchmark_DB!$B$5:$B$41,$A6,Benchmark_DB!$D$5:$D$41,$B6,Benchmark_DB!$N$5:$N$41,1,Benchmark_DB!$F$5:$F$41,12,Benchmark_DB!$H$5:$H$41,"CFO"))</f>
        <v/>
      </c>
      <c r="AE6" s="142">
        <f>IF(COUNTIFS(Benchmark_DB!$B$5:$B$41,$A6,Benchmark_DB!$D$5:$D$41,$B6,Benchmark_DB!$N$5:$N$41,1,Benchmark_DB!$F$5:$F$41,12,Benchmark_DB!$H$5:$H$41,"CAPEX")=0,"",SUMIFS(Benchmark_DB!$V$5:$V$41,Benchmark_DB!$B$5:$B$41,$A6,Benchmark_DB!$D$5:$D$41,$B6,Benchmark_DB!$N$5:$N$41,1,Benchmark_DB!$F$5:$F$41,12,Benchmark_DB!$H$5:$H$41,"CAPEX"))</f>
        <v/>
      </c>
      <c r="AF6" s="142">
        <f>IF(COUNTIFS(Benchmark_DB!$B$5:$B$41,$A6,Benchmark_DB!$D$5:$D$41,$B6,Benchmark_DB!$N$5:$N$41,1,Benchmark_DB!$F$5:$F$41,12,Benchmark_DB!$H$5:$H$41,"DEBT_DRAW")=0,"",SUMIFS(Benchmark_DB!$V$5:$V$41,Benchmark_DB!$B$5:$B$41,$A6,Benchmark_DB!$D$5:$D$41,$B6,Benchmark_DB!$N$5:$N$41,1,Benchmark_DB!$F$5:$F$41,12,Benchmark_DB!$H$5:$H$41,"DEBT_DRAW"))</f>
        <v/>
      </c>
      <c r="AG6" s="142">
        <f>IF(COUNTIFS(Benchmark_DB!$B$5:$B$41,$A6,Benchmark_DB!$D$5:$D$41,$B6,Benchmark_DB!$N$5:$N$41,1,Benchmark_DB!$F$5:$F$41,12,Benchmark_DB!$H$5:$H$41,"EQUITY_RAISED")=0,"",SUMIFS(Benchmark_DB!$V$5:$V$41,Benchmark_DB!$B$5:$B$41,$A6,Benchmark_DB!$D$5:$D$41,$B6,Benchmark_DB!$N$5:$N$41,1,Benchmark_DB!$F$5:$F$41,12,Benchmark_DB!$H$5:$H$41,"EQUITY_RAISED"))</f>
        <v/>
      </c>
      <c r="AH6" s="142">
        <f>IF(COUNTIFS(Benchmark_DB!$B$5:$B$41,$A6,Benchmark_DB!$D$5:$D$41,$B6,Benchmark_DB!$N$5:$N$41,1,Benchmark_DB!$F$5:$F$41,12,Benchmark_DB!$H$5:$H$41,"SECURITISATION")=0,"",SUMIFS(Benchmark_DB!$V$5:$V$41,Benchmark_DB!$B$5:$B$41,$A6,Benchmark_DB!$D$5:$D$41,$B6,Benchmark_DB!$N$5:$N$41,1,Benchmark_DB!$F$5:$F$41,12,Benchmark_DB!$H$5:$H$41,"SECURITISATION"))</f>
        <v/>
      </c>
      <c r="AI6" s="80">
        <f>IF(COUNTIFS(Benchmark_DB!$B$5:$B$41,$A6,Benchmark_DB!$D$5:$D$41,$B6,Benchmark_DB!$N$5:$N$41,1,Benchmark_DB!$F$5:$F$41,12,Benchmark_DB!$H$5:$H$41,"CUST_ACTIVE")=0,"",SUMIFS(Benchmark_DB!$V$5:$V$41,Benchmark_DB!$B$5:$B$41,$A6,Benchmark_DB!$D$5:$D$41,$B6,Benchmark_DB!$N$5:$N$41,1,Benchmark_DB!$F$5:$F$41,12,Benchmark_DB!$H$5:$H$41,"CUST_ACTIVE"))</f>
        <v/>
      </c>
      <c r="AJ6" s="80">
        <f>IF(COUNTIFS(Benchmark_DB!$B$5:$B$41,$A6,Benchmark_DB!$D$5:$D$41,$B6,Benchmark_DB!$N$5:$N$41,1,Benchmark_DB!$F$5:$F$41,12,Benchmark_DB!$H$5:$H$41,"CUST_CUM")=0,"",SUMIFS(Benchmark_DB!$V$5:$V$41,Benchmark_DB!$B$5:$B$41,$A6,Benchmark_DB!$D$5:$D$41,$B6,Benchmark_DB!$N$5:$N$41,1,Benchmark_DB!$F$5:$F$41,12,Benchmark_DB!$H$5:$H$41,"CUST_CUM"))</f>
        <v/>
      </c>
      <c r="AK6" s="80">
        <f>IF(COUNTIFS(Benchmark_DB!$B$5:$B$41,$A6,Benchmark_DB!$D$5:$D$41,$B6,Benchmark_DB!$N$5:$N$41,1,Benchmark_DB!$F$5:$F$41,12,Benchmark_DB!$H$5:$H$41,"UNITS")=0,"",SUMIFS(Benchmark_DB!$V$5:$V$41,Benchmark_DB!$B$5:$B$41,$A6,Benchmark_DB!$D$5:$D$41,$B6,Benchmark_DB!$N$5:$N$41,1,Benchmark_DB!$F$5:$F$41,12,Benchmark_DB!$H$5:$H$41,"UNITS"))</f>
        <v/>
      </c>
      <c r="AL6" s="142">
        <f>IF(COUNTIFS(Benchmark_DB!$B$5:$B$41,$A6,Benchmark_DB!$D$5:$D$41,$B6,Benchmark_DB!$N$5:$N$41,1,Benchmark_DB!$F$5:$F$41,12,Benchmark_DB!$H$5:$H$41,"LOANS_CUM")=0,"",SUMIFS(Benchmark_DB!$V$5:$V$41,Benchmark_DB!$B$5:$B$41,$A6,Benchmark_DB!$D$5:$D$41,$B6,Benchmark_DB!$N$5:$N$41,1,Benchmark_DB!$F$5:$F$41,12,Benchmark_DB!$H$5:$H$41,"LOANS_CUM"))</f>
        <v/>
      </c>
      <c r="AM6" s="81">
        <f>IF(COUNTIFS(Benchmark_DB!$B$5:$B$41,$A6,Benchmark_DB!$D$5:$D$41,$B6,Benchmark_DB!$N$5:$N$41,1,Benchmark_DB!$F$5:$F$41,12,Benchmark_DB!$H$5:$H$41,"REV_GROWTH")=0,"",SUMIFS(Benchmark_DB!$V$5:$V$41,Benchmark_DB!$B$5:$B$41,$A6,Benchmark_DB!$D$5:$D$41,$B6,Benchmark_DB!$N$5:$N$41,1,Benchmark_DB!$F$5:$F$41,12,Benchmark_DB!$H$5:$H$41,"REV_GROWTH"))</f>
        <v/>
      </c>
      <c r="AN6" s="81">
        <f>IF(COUNTIFS(Benchmark_DB!$B$5:$B$41,$A6,Benchmark_DB!$D$5:$D$41,$B6,Benchmark_DB!$N$5:$N$41,1,Benchmark_DB!$F$5:$F$41,12,Benchmark_DB!$H$5:$H$41,"COLL_RATE")=0,"",SUMIFS(Benchmark_DB!$V$5:$V$41,Benchmark_DB!$B$5:$B$41,$A6,Benchmark_DB!$D$5:$D$41,$B6,Benchmark_DB!$N$5:$N$41,1,Benchmark_DB!$F$5:$F$41,12,Benchmark_DB!$H$5:$H$41,"COLL_RATE"))</f>
        <v/>
      </c>
      <c r="AO6" s="81">
        <f>IF(COUNTIFS(Benchmark_DB!$B$5:$B$41,$A6,Benchmark_DB!$D$5:$D$41,$B6,Benchmark_DB!$N$5:$N$41,1,Benchmark_DB!$F$5:$F$41,12,Benchmark_DB!$H$5:$H$41,"PAR30")=0,"",SUMIFS(Benchmark_DB!$V$5:$V$41,Benchmark_DB!$B$5:$B$41,$A6,Benchmark_DB!$D$5:$D$41,$B6,Benchmark_DB!$N$5:$N$41,1,Benchmark_DB!$F$5:$F$41,12,Benchmark_DB!$H$5:$H$41,"PAR30"))</f>
        <v/>
      </c>
      <c r="AP6" s="81">
        <f>IF(COUNTIFS(Benchmark_DB!$B$5:$B$41,$A6,Benchmark_DB!$D$5:$D$41,$B6,Benchmark_DB!$N$5:$N$41,1,Benchmark_DB!$F$5:$F$41,12,Benchmark_DB!$H$5:$H$41,"OWNERSHIP_RATE")=0,"",SUMIFS(Benchmark_DB!$V$5:$V$41,Benchmark_DB!$B$5:$B$41,$A6,Benchmark_DB!$D$5:$D$41,$B6,Benchmark_DB!$N$5:$N$41,1,Benchmark_DB!$F$5:$F$41,12,Benchmark_DB!$H$5:$H$41,"OWNERSHIP_RATE"))</f>
        <v/>
      </c>
      <c r="AQ6" s="142">
        <f>IF(COUNTIFS(Benchmark_DB!$B$5:$B$41,$A6,Benchmark_DB!$D$5:$D$41,$B6,Benchmark_DB!$N$5:$N$41,1,Benchmark_DB!$F$5:$F$41,12,Benchmark_DB!$H$5:$H$41,"RAGP")=0,"",SUMIFS(Benchmark_DB!$V$5:$V$41,Benchmark_DB!$B$5:$B$41,$A6,Benchmark_DB!$D$5:$D$41,$B6,Benchmark_DB!$N$5:$N$41,1,Benchmark_DB!$F$5:$F$41,12,Benchmark_DB!$H$5:$H$41,"RAGP"))</f>
        <v/>
      </c>
    </row>
    <row r="7">
      <c r="A7" s="34" t="inlineStr">
        <is>
          <t>Sun King</t>
        </is>
      </c>
      <c r="B7" s="23" t="n">
        <v>2023</v>
      </c>
      <c r="C7" s="34" t="inlineStr">
        <is>
          <t>Peer</t>
        </is>
      </c>
      <c r="D7" s="50">
        <f>IF(COUNTIFS(Benchmark_DB!$B$5:$B$41,$A7,Benchmark_DB!$D$5:$D$41,$B7,Benchmark_DB!$N$5:$N$41,1,Benchmark_DB!$F$5:$F$41,12,Benchmark_DB!$S$5:$S$41,"E")&gt;0,"E",IF(COUNTIFS(Benchmark_DB!$B$5:$B$41,$A7,Benchmark_DB!$D$5:$D$41,$B7,Benchmark_DB!$N$5:$N$41,1,Benchmark_DB!$F$5:$F$41,12,Benchmark_DB!$S$5:$S$41,"D")&gt;0,"D",IF(COUNTIFS(Benchmark_DB!$B$5:$B$41,$A7,Benchmark_DB!$D$5:$D$41,$B7,Benchmark_DB!$N$5:$N$41,1,Benchmark_DB!$F$5:$F$41,12,Benchmark_DB!$S$5:$S$41,"C")&gt;0,"C",IF(COUNTIFS(Benchmark_DB!$B$5:$B$41,$A7,Benchmark_DB!$D$5:$D$41,$B7,Benchmark_DB!$N$5:$N$41,1,Benchmark_DB!$F$5:$F$41,12,Benchmark_DB!$S$5:$S$41,"B")&gt;0,"B",IF(COUNTIFS(Benchmark_DB!$B$5:$B$41,$A7,Benchmark_DB!$D$5:$D$41,$B7,Benchmark_DB!$N$5:$N$41,1,Benchmark_DB!$F$5:$F$41,12,Benchmark_DB!$S$5:$S$41,"A")&gt;0,"A","-")))))</f>
        <v/>
      </c>
      <c r="E7" s="23">
        <f>IF(OR(D7="A",D7="B",D7="C"),1,0)</f>
        <v/>
      </c>
      <c r="F7" s="142">
        <f>IF(COUNTIFS(Benchmark_DB!$B$5:$B$41,$A7,Benchmark_DB!$D$5:$D$41,$B7,Benchmark_DB!$N$5:$N$41,1,Benchmark_DB!$F$5:$F$41,12,Benchmark_DB!$H$5:$H$41,"REV")=0,"",SUMIFS(Benchmark_DB!$V$5:$V$41,Benchmark_DB!$B$5:$B$41,$A7,Benchmark_DB!$D$5:$D$41,$B7,Benchmark_DB!$N$5:$N$41,1,Benchmark_DB!$F$5:$F$41,12,Benchmark_DB!$H$5:$H$41,"REV"))</f>
        <v/>
      </c>
      <c r="G7" s="142">
        <f>IF(COUNTIFS(Benchmark_DB!$B$5:$B$41,$A7,Benchmark_DB!$D$5:$D$41,$B7,Benchmark_DB!$N$5:$N$41,1,Benchmark_DB!$F$5:$F$41,12,Benchmark_DB!$H$5:$H$41,"REV_FIN")=0,"",SUMIFS(Benchmark_DB!$V$5:$V$41,Benchmark_DB!$B$5:$B$41,$A7,Benchmark_DB!$D$5:$D$41,$B7,Benchmark_DB!$N$5:$N$41,1,Benchmark_DB!$F$5:$F$41,12,Benchmark_DB!$H$5:$H$41,"REV_FIN"))</f>
        <v/>
      </c>
      <c r="H7" s="142">
        <f>IF(COUNTIFS(Benchmark_DB!$B$5:$B$41,$A7,Benchmark_DB!$D$5:$D$41,$B7,Benchmark_DB!$N$5:$N$41,1,Benchmark_DB!$F$5:$F$41,12,Benchmark_DB!$H$5:$H$41,"COGS")=0,"",SUMIFS(Benchmark_DB!$V$5:$V$41,Benchmark_DB!$B$5:$B$41,$A7,Benchmark_DB!$D$5:$D$41,$B7,Benchmark_DB!$N$5:$N$41,1,Benchmark_DB!$F$5:$F$41,12,Benchmark_DB!$H$5:$H$41,"COGS"))</f>
        <v/>
      </c>
      <c r="I7" s="142">
        <f>IF(COUNTIFS(Benchmark_DB!$B$5:$B$41,$A7,Benchmark_DB!$D$5:$D$41,$B7,Benchmark_DB!$N$5:$N$41,1,Benchmark_DB!$F$5:$F$41,12,Benchmark_DB!$H$5:$H$41,"GP")=0,"",SUMIFS(Benchmark_DB!$V$5:$V$41,Benchmark_DB!$B$5:$B$41,$A7,Benchmark_DB!$D$5:$D$41,$B7,Benchmark_DB!$N$5:$N$41,1,Benchmark_DB!$F$5:$F$41,12,Benchmark_DB!$H$5:$H$41,"GP"))</f>
        <v/>
      </c>
      <c r="J7" s="142">
        <f>IF(COUNTIFS(Benchmark_DB!$B$5:$B$41,$A7,Benchmark_DB!$D$5:$D$41,$B7,Benchmark_DB!$N$5:$N$41,1,Benchmark_DB!$F$5:$F$41,12,Benchmark_DB!$H$5:$H$41,"OPEX")=0,"",SUMIFS(Benchmark_DB!$V$5:$V$41,Benchmark_DB!$B$5:$B$41,$A7,Benchmark_DB!$D$5:$D$41,$B7,Benchmark_DB!$N$5:$N$41,1,Benchmark_DB!$F$5:$F$41,12,Benchmark_DB!$H$5:$H$41,"OPEX"))</f>
        <v/>
      </c>
      <c r="K7" s="142">
        <f>IF(COUNTIFS(Benchmark_DB!$B$5:$B$41,$A7,Benchmark_DB!$D$5:$D$41,$B7,Benchmark_DB!$N$5:$N$41,1,Benchmark_DB!$F$5:$F$41,12,Benchmark_DB!$H$5:$H$41,"EBITDA")=0,"",SUMIFS(Benchmark_DB!$V$5:$V$41,Benchmark_DB!$B$5:$B$41,$A7,Benchmark_DB!$D$5:$D$41,$B7,Benchmark_DB!$N$5:$N$41,1,Benchmark_DB!$F$5:$F$41,12,Benchmark_DB!$H$5:$H$41,"EBITDA"))</f>
        <v/>
      </c>
      <c r="L7" s="142">
        <f>IF(COUNTIFS(Benchmark_DB!$B$5:$B$41,$A7,Benchmark_DB!$D$5:$D$41,$B7,Benchmark_DB!$N$5:$N$41,1,Benchmark_DB!$F$5:$F$41,12,Benchmark_DB!$H$5:$H$41,"EBIT")=0,"",SUMIFS(Benchmark_DB!$V$5:$V$41,Benchmark_DB!$B$5:$B$41,$A7,Benchmark_DB!$D$5:$D$41,$B7,Benchmark_DB!$N$5:$N$41,1,Benchmark_DB!$F$5:$F$41,12,Benchmark_DB!$H$5:$H$41,"EBIT"))</f>
        <v/>
      </c>
      <c r="M7" s="142">
        <f>IF(COUNTIFS(Benchmark_DB!$B$5:$B$41,$A7,Benchmark_DB!$D$5:$D$41,$B7,Benchmark_DB!$N$5:$N$41,1,Benchmark_DB!$F$5:$F$41,12,Benchmark_DB!$H$5:$H$41,"DA")=0,"",SUMIFS(Benchmark_DB!$V$5:$V$41,Benchmark_DB!$B$5:$B$41,$A7,Benchmark_DB!$D$5:$D$41,$B7,Benchmark_DB!$N$5:$N$41,1,Benchmark_DB!$F$5:$F$41,12,Benchmark_DB!$H$5:$H$41,"DA"))</f>
        <v/>
      </c>
      <c r="N7" s="142">
        <f>IF(COUNTIFS(Benchmark_DB!$B$5:$B$41,$A7,Benchmark_DB!$D$5:$D$41,$B7,Benchmark_DB!$N$5:$N$41,1,Benchmark_DB!$F$5:$F$41,12,Benchmark_DB!$H$5:$H$41,"FIN_COST")=0,"",SUMIFS(Benchmark_DB!$V$5:$V$41,Benchmark_DB!$B$5:$B$41,$A7,Benchmark_DB!$D$5:$D$41,$B7,Benchmark_DB!$N$5:$N$41,1,Benchmark_DB!$F$5:$F$41,12,Benchmark_DB!$H$5:$H$41,"FIN_COST"))</f>
        <v/>
      </c>
      <c r="O7" s="142">
        <f>IF(COUNTIFS(Benchmark_DB!$B$5:$B$41,$A7,Benchmark_DB!$D$5:$D$41,$B7,Benchmark_DB!$N$5:$N$41,1,Benchmark_DB!$F$5:$F$41,12,Benchmark_DB!$H$5:$H$41,"ECL")=0,"",SUMIFS(Benchmark_DB!$V$5:$V$41,Benchmark_DB!$B$5:$B$41,$A7,Benchmark_DB!$D$5:$D$41,$B7,Benchmark_DB!$N$5:$N$41,1,Benchmark_DB!$F$5:$F$41,12,Benchmark_DB!$H$5:$H$41,"ECL"))</f>
        <v/>
      </c>
      <c r="P7" s="142">
        <f>IF(COUNTIFS(Benchmark_DB!$B$5:$B$41,$A7,Benchmark_DB!$D$5:$D$41,$B7,Benchmark_DB!$N$5:$N$41,1,Benchmark_DB!$F$5:$F$41,12,Benchmark_DB!$H$5:$H$41,"TAX")=0,"",SUMIFS(Benchmark_DB!$V$5:$V$41,Benchmark_DB!$B$5:$B$41,$A7,Benchmark_DB!$D$5:$D$41,$B7,Benchmark_DB!$N$5:$N$41,1,Benchmark_DB!$F$5:$F$41,12,Benchmark_DB!$H$5:$H$41,"TAX"))</f>
        <v/>
      </c>
      <c r="Q7" s="142">
        <f>IF(COUNTIFS(Benchmark_DB!$B$5:$B$41,$A7,Benchmark_DB!$D$5:$D$41,$B7,Benchmark_DB!$N$5:$N$41,1,Benchmark_DB!$F$5:$F$41,12,Benchmark_DB!$H$5:$H$41,"NI")=0,"",SUMIFS(Benchmark_DB!$V$5:$V$41,Benchmark_DB!$B$5:$B$41,$A7,Benchmark_DB!$D$5:$D$41,$B7,Benchmark_DB!$N$5:$N$41,1,Benchmark_DB!$F$5:$F$41,12,Benchmark_DB!$H$5:$H$41,"NI"))</f>
        <v/>
      </c>
      <c r="R7" s="142">
        <f>IF(COUNTIFS(Benchmark_DB!$B$5:$B$41,$A7,Benchmark_DB!$D$5:$D$41,$B7,Benchmark_DB!$N$5:$N$41,1,Benchmark_DB!$F$5:$F$41,12,Benchmark_DB!$H$5:$H$41,"CASH")=0,"",SUMIFS(Benchmark_DB!$V$5:$V$41,Benchmark_DB!$B$5:$B$41,$A7,Benchmark_DB!$D$5:$D$41,$B7,Benchmark_DB!$N$5:$N$41,1,Benchmark_DB!$F$5:$F$41,12,Benchmark_DB!$H$5:$H$41,"CASH"))</f>
        <v/>
      </c>
      <c r="S7" s="142">
        <f>IF(COUNTIFS(Benchmark_DB!$B$5:$B$41,$A7,Benchmark_DB!$D$5:$D$41,$B7,Benchmark_DB!$N$5:$N$41,1,Benchmark_DB!$F$5:$F$41,12,Benchmark_DB!$H$5:$H$41,"INV")=0,"",SUMIFS(Benchmark_DB!$V$5:$V$41,Benchmark_DB!$B$5:$B$41,$A7,Benchmark_DB!$D$5:$D$41,$B7,Benchmark_DB!$N$5:$N$41,1,Benchmark_DB!$F$5:$F$41,12,Benchmark_DB!$H$5:$H$41,"INV"))</f>
        <v/>
      </c>
      <c r="T7" s="142">
        <f>IF(COUNTIFS(Benchmark_DB!$B$5:$B$41,$A7,Benchmark_DB!$D$5:$D$41,$B7,Benchmark_DB!$N$5:$N$41,1,Benchmark_DB!$F$5:$F$41,12,Benchmark_DB!$H$5:$H$41,"AP")=0,"",SUMIFS(Benchmark_DB!$V$5:$V$41,Benchmark_DB!$B$5:$B$41,$A7,Benchmark_DB!$D$5:$D$41,$B7,Benchmark_DB!$N$5:$N$41,1,Benchmark_DB!$F$5:$F$41,12,Benchmark_DB!$H$5:$H$41,"AP"))</f>
        <v/>
      </c>
      <c r="U7" s="142">
        <f>IF(COUNTIFS(Benchmark_DB!$B$5:$B$41,$A7,Benchmark_DB!$D$5:$D$41,$B7,Benchmark_DB!$N$5:$N$41,1,Benchmark_DB!$F$5:$F$41,12,Benchmark_DB!$H$5:$H$41,"TRADE_REC")=0,"",SUMIFS(Benchmark_DB!$V$5:$V$41,Benchmark_DB!$B$5:$B$41,$A7,Benchmark_DB!$D$5:$D$41,$B7,Benchmark_DB!$N$5:$N$41,1,Benchmark_DB!$F$5:$F$41,12,Benchmark_DB!$H$5:$H$41,"TRADE_REC"))</f>
        <v/>
      </c>
      <c r="V7" s="142">
        <f>IF(COUNTIFS(Benchmark_DB!$B$5:$B$41,$A7,Benchmark_DB!$D$5:$D$41,$B7,Benchmark_DB!$N$5:$N$41,1,Benchmark_DB!$F$5:$F$41,12,Benchmark_DB!$H$5:$H$41,"PAYGO_REC_GROSS")=0,"",SUMIFS(Benchmark_DB!$V$5:$V$41,Benchmark_DB!$B$5:$B$41,$A7,Benchmark_DB!$D$5:$D$41,$B7,Benchmark_DB!$N$5:$N$41,1,Benchmark_DB!$F$5:$F$41,12,Benchmark_DB!$H$5:$H$41,"PAYGO_REC_GROSS"))</f>
        <v/>
      </c>
      <c r="W7" s="142">
        <f>IF(COUNTIFS(Benchmark_DB!$B$5:$B$41,$A7,Benchmark_DB!$D$5:$D$41,$B7,Benchmark_DB!$N$5:$N$41,1,Benchmark_DB!$F$5:$F$41,12,Benchmark_DB!$H$5:$H$41,"PAYGO_REC_NET")=0,"",SUMIFS(Benchmark_DB!$V$5:$V$41,Benchmark_DB!$B$5:$B$41,$A7,Benchmark_DB!$D$5:$D$41,$B7,Benchmark_DB!$N$5:$N$41,1,Benchmark_DB!$F$5:$F$41,12,Benchmark_DB!$H$5:$H$41,"PAYGO_REC_NET"))</f>
        <v/>
      </c>
      <c r="X7" s="142">
        <f>IF(COUNTIFS(Benchmark_DB!$B$5:$B$41,$A7,Benchmark_DB!$D$5:$D$41,$B7,Benchmark_DB!$N$5:$N$41,1,Benchmark_DB!$F$5:$F$41,12,Benchmark_DB!$H$5:$H$41,"PPE")=0,"",SUMIFS(Benchmark_DB!$V$5:$V$41,Benchmark_DB!$B$5:$B$41,$A7,Benchmark_DB!$D$5:$D$41,$B7,Benchmark_DB!$N$5:$N$41,1,Benchmark_DB!$F$5:$F$41,12,Benchmark_DB!$H$5:$H$41,"PPE"))</f>
        <v/>
      </c>
      <c r="Y7" s="142">
        <f>IF(COUNTIFS(Benchmark_DB!$B$5:$B$41,$A7,Benchmark_DB!$D$5:$D$41,$B7,Benchmark_DB!$N$5:$N$41,1,Benchmark_DB!$F$5:$F$41,12,Benchmark_DB!$H$5:$H$41,"DEBT")=0,"",SUMIFS(Benchmark_DB!$V$5:$V$41,Benchmark_DB!$B$5:$B$41,$A7,Benchmark_DB!$D$5:$D$41,$B7,Benchmark_DB!$N$5:$N$41,1,Benchmark_DB!$F$5:$F$41,12,Benchmark_DB!$H$5:$H$41,"DEBT"))</f>
        <v/>
      </c>
      <c r="Z7" s="142">
        <f>IF(COUNTIFS(Benchmark_DB!$B$5:$B$41,$A7,Benchmark_DB!$D$5:$D$41,$B7,Benchmark_DB!$N$5:$N$41,1,Benchmark_DB!$F$5:$F$41,12,Benchmark_DB!$H$5:$H$41,"LEASE")=0,"",SUMIFS(Benchmark_DB!$V$5:$V$41,Benchmark_DB!$B$5:$B$41,$A7,Benchmark_DB!$D$5:$D$41,$B7,Benchmark_DB!$N$5:$N$41,1,Benchmark_DB!$F$5:$F$41,12,Benchmark_DB!$H$5:$H$41,"LEASE"))</f>
        <v/>
      </c>
      <c r="AA7" s="142">
        <f>IF(COUNTIFS(Benchmark_DB!$B$5:$B$41,$A7,Benchmark_DB!$D$5:$D$41,$B7,Benchmark_DB!$N$5:$N$41,1,Benchmark_DB!$F$5:$F$41,12,Benchmark_DB!$H$5:$H$41,"EQUITY")=0,"",SUMIFS(Benchmark_DB!$V$5:$V$41,Benchmark_DB!$B$5:$B$41,$A7,Benchmark_DB!$D$5:$D$41,$B7,Benchmark_DB!$N$5:$N$41,1,Benchmark_DB!$F$5:$F$41,12,Benchmark_DB!$H$5:$H$41,"EQUITY"))</f>
        <v/>
      </c>
      <c r="AB7" s="142">
        <f>IF(COUNTIFS(Benchmark_DB!$B$5:$B$41,$A7,Benchmark_DB!$D$5:$D$41,$B7,Benchmark_DB!$N$5:$N$41,1,Benchmark_DB!$F$5:$F$41,12,Benchmark_DB!$H$5:$H$41,"TOTAL_ASSETS")=0,"",SUMIFS(Benchmark_DB!$V$5:$V$41,Benchmark_DB!$B$5:$B$41,$A7,Benchmark_DB!$D$5:$D$41,$B7,Benchmark_DB!$N$5:$N$41,1,Benchmark_DB!$F$5:$F$41,12,Benchmark_DB!$H$5:$H$41,"TOTAL_ASSETS"))</f>
        <v/>
      </c>
      <c r="AC7" s="142">
        <f>IF(COUNTIFS(Benchmark_DB!$B$5:$B$41,$A7,Benchmark_DB!$D$5:$D$41,$B7,Benchmark_DB!$N$5:$N$41,1,Benchmark_DB!$F$5:$F$41,12,Benchmark_DB!$H$5:$H$41,"TOTAL_LIAB")=0,"",SUMIFS(Benchmark_DB!$V$5:$V$41,Benchmark_DB!$B$5:$B$41,$A7,Benchmark_DB!$D$5:$D$41,$B7,Benchmark_DB!$N$5:$N$41,1,Benchmark_DB!$F$5:$F$41,12,Benchmark_DB!$H$5:$H$41,"TOTAL_LIAB"))</f>
        <v/>
      </c>
      <c r="AD7" s="142">
        <f>IF(COUNTIFS(Benchmark_DB!$B$5:$B$41,$A7,Benchmark_DB!$D$5:$D$41,$B7,Benchmark_DB!$N$5:$N$41,1,Benchmark_DB!$F$5:$F$41,12,Benchmark_DB!$H$5:$H$41,"CFO")=0,"",SUMIFS(Benchmark_DB!$V$5:$V$41,Benchmark_DB!$B$5:$B$41,$A7,Benchmark_DB!$D$5:$D$41,$B7,Benchmark_DB!$N$5:$N$41,1,Benchmark_DB!$F$5:$F$41,12,Benchmark_DB!$H$5:$H$41,"CFO"))</f>
        <v/>
      </c>
      <c r="AE7" s="142">
        <f>IF(COUNTIFS(Benchmark_DB!$B$5:$B$41,$A7,Benchmark_DB!$D$5:$D$41,$B7,Benchmark_DB!$N$5:$N$41,1,Benchmark_DB!$F$5:$F$41,12,Benchmark_DB!$H$5:$H$41,"CAPEX")=0,"",SUMIFS(Benchmark_DB!$V$5:$V$41,Benchmark_DB!$B$5:$B$41,$A7,Benchmark_DB!$D$5:$D$41,$B7,Benchmark_DB!$N$5:$N$41,1,Benchmark_DB!$F$5:$F$41,12,Benchmark_DB!$H$5:$H$41,"CAPEX"))</f>
        <v/>
      </c>
      <c r="AF7" s="142">
        <f>IF(COUNTIFS(Benchmark_DB!$B$5:$B$41,$A7,Benchmark_DB!$D$5:$D$41,$B7,Benchmark_DB!$N$5:$N$41,1,Benchmark_DB!$F$5:$F$41,12,Benchmark_DB!$H$5:$H$41,"DEBT_DRAW")=0,"",SUMIFS(Benchmark_DB!$V$5:$V$41,Benchmark_DB!$B$5:$B$41,$A7,Benchmark_DB!$D$5:$D$41,$B7,Benchmark_DB!$N$5:$N$41,1,Benchmark_DB!$F$5:$F$41,12,Benchmark_DB!$H$5:$H$41,"DEBT_DRAW"))</f>
        <v/>
      </c>
      <c r="AG7" s="142">
        <f>IF(COUNTIFS(Benchmark_DB!$B$5:$B$41,$A7,Benchmark_DB!$D$5:$D$41,$B7,Benchmark_DB!$N$5:$N$41,1,Benchmark_DB!$F$5:$F$41,12,Benchmark_DB!$H$5:$H$41,"EQUITY_RAISED")=0,"",SUMIFS(Benchmark_DB!$V$5:$V$41,Benchmark_DB!$B$5:$B$41,$A7,Benchmark_DB!$D$5:$D$41,$B7,Benchmark_DB!$N$5:$N$41,1,Benchmark_DB!$F$5:$F$41,12,Benchmark_DB!$H$5:$H$41,"EQUITY_RAISED"))</f>
        <v/>
      </c>
      <c r="AH7" s="142">
        <f>IF(COUNTIFS(Benchmark_DB!$B$5:$B$41,$A7,Benchmark_DB!$D$5:$D$41,$B7,Benchmark_DB!$N$5:$N$41,1,Benchmark_DB!$F$5:$F$41,12,Benchmark_DB!$H$5:$H$41,"SECURITISATION")=0,"",SUMIFS(Benchmark_DB!$V$5:$V$41,Benchmark_DB!$B$5:$B$41,$A7,Benchmark_DB!$D$5:$D$41,$B7,Benchmark_DB!$N$5:$N$41,1,Benchmark_DB!$F$5:$F$41,12,Benchmark_DB!$H$5:$H$41,"SECURITISATION"))</f>
        <v/>
      </c>
      <c r="AI7" s="80">
        <f>IF(COUNTIFS(Benchmark_DB!$B$5:$B$41,$A7,Benchmark_DB!$D$5:$D$41,$B7,Benchmark_DB!$N$5:$N$41,1,Benchmark_DB!$F$5:$F$41,12,Benchmark_DB!$H$5:$H$41,"CUST_ACTIVE")=0,"",SUMIFS(Benchmark_DB!$V$5:$V$41,Benchmark_DB!$B$5:$B$41,$A7,Benchmark_DB!$D$5:$D$41,$B7,Benchmark_DB!$N$5:$N$41,1,Benchmark_DB!$F$5:$F$41,12,Benchmark_DB!$H$5:$H$41,"CUST_ACTIVE"))</f>
        <v/>
      </c>
      <c r="AJ7" s="80">
        <f>IF(COUNTIFS(Benchmark_DB!$B$5:$B$41,$A7,Benchmark_DB!$D$5:$D$41,$B7,Benchmark_DB!$N$5:$N$41,1,Benchmark_DB!$F$5:$F$41,12,Benchmark_DB!$H$5:$H$41,"CUST_CUM")=0,"",SUMIFS(Benchmark_DB!$V$5:$V$41,Benchmark_DB!$B$5:$B$41,$A7,Benchmark_DB!$D$5:$D$41,$B7,Benchmark_DB!$N$5:$N$41,1,Benchmark_DB!$F$5:$F$41,12,Benchmark_DB!$H$5:$H$41,"CUST_CUM"))</f>
        <v/>
      </c>
      <c r="AK7" s="80">
        <f>IF(COUNTIFS(Benchmark_DB!$B$5:$B$41,$A7,Benchmark_DB!$D$5:$D$41,$B7,Benchmark_DB!$N$5:$N$41,1,Benchmark_DB!$F$5:$F$41,12,Benchmark_DB!$H$5:$H$41,"UNITS")=0,"",SUMIFS(Benchmark_DB!$V$5:$V$41,Benchmark_DB!$B$5:$B$41,$A7,Benchmark_DB!$D$5:$D$41,$B7,Benchmark_DB!$N$5:$N$41,1,Benchmark_DB!$F$5:$F$41,12,Benchmark_DB!$H$5:$H$41,"UNITS"))</f>
        <v/>
      </c>
      <c r="AL7" s="142">
        <f>IF(COUNTIFS(Benchmark_DB!$B$5:$B$41,$A7,Benchmark_DB!$D$5:$D$41,$B7,Benchmark_DB!$N$5:$N$41,1,Benchmark_DB!$F$5:$F$41,12,Benchmark_DB!$H$5:$H$41,"LOANS_CUM")=0,"",SUMIFS(Benchmark_DB!$V$5:$V$41,Benchmark_DB!$B$5:$B$41,$A7,Benchmark_DB!$D$5:$D$41,$B7,Benchmark_DB!$N$5:$N$41,1,Benchmark_DB!$F$5:$F$41,12,Benchmark_DB!$H$5:$H$41,"LOANS_CUM"))</f>
        <v/>
      </c>
      <c r="AM7" s="81">
        <f>IF(COUNTIFS(Benchmark_DB!$B$5:$B$41,$A7,Benchmark_DB!$D$5:$D$41,$B7,Benchmark_DB!$N$5:$N$41,1,Benchmark_DB!$F$5:$F$41,12,Benchmark_DB!$H$5:$H$41,"REV_GROWTH")=0,"",SUMIFS(Benchmark_DB!$V$5:$V$41,Benchmark_DB!$B$5:$B$41,$A7,Benchmark_DB!$D$5:$D$41,$B7,Benchmark_DB!$N$5:$N$41,1,Benchmark_DB!$F$5:$F$41,12,Benchmark_DB!$H$5:$H$41,"REV_GROWTH"))</f>
        <v/>
      </c>
      <c r="AN7" s="81">
        <f>IF(COUNTIFS(Benchmark_DB!$B$5:$B$41,$A7,Benchmark_DB!$D$5:$D$41,$B7,Benchmark_DB!$N$5:$N$41,1,Benchmark_DB!$F$5:$F$41,12,Benchmark_DB!$H$5:$H$41,"COLL_RATE")=0,"",SUMIFS(Benchmark_DB!$V$5:$V$41,Benchmark_DB!$B$5:$B$41,$A7,Benchmark_DB!$D$5:$D$41,$B7,Benchmark_DB!$N$5:$N$41,1,Benchmark_DB!$F$5:$F$41,12,Benchmark_DB!$H$5:$H$41,"COLL_RATE"))</f>
        <v/>
      </c>
      <c r="AO7" s="81">
        <f>IF(COUNTIFS(Benchmark_DB!$B$5:$B$41,$A7,Benchmark_DB!$D$5:$D$41,$B7,Benchmark_DB!$N$5:$N$41,1,Benchmark_DB!$F$5:$F$41,12,Benchmark_DB!$H$5:$H$41,"PAR30")=0,"",SUMIFS(Benchmark_DB!$V$5:$V$41,Benchmark_DB!$B$5:$B$41,$A7,Benchmark_DB!$D$5:$D$41,$B7,Benchmark_DB!$N$5:$N$41,1,Benchmark_DB!$F$5:$F$41,12,Benchmark_DB!$H$5:$H$41,"PAR30"))</f>
        <v/>
      </c>
      <c r="AP7" s="81">
        <f>IF(COUNTIFS(Benchmark_DB!$B$5:$B$41,$A7,Benchmark_DB!$D$5:$D$41,$B7,Benchmark_DB!$N$5:$N$41,1,Benchmark_DB!$F$5:$F$41,12,Benchmark_DB!$H$5:$H$41,"OWNERSHIP_RATE")=0,"",SUMIFS(Benchmark_DB!$V$5:$V$41,Benchmark_DB!$B$5:$B$41,$A7,Benchmark_DB!$D$5:$D$41,$B7,Benchmark_DB!$N$5:$N$41,1,Benchmark_DB!$F$5:$F$41,12,Benchmark_DB!$H$5:$H$41,"OWNERSHIP_RATE"))</f>
        <v/>
      </c>
      <c r="AQ7" s="142">
        <f>IF(COUNTIFS(Benchmark_DB!$B$5:$B$41,$A7,Benchmark_DB!$D$5:$D$41,$B7,Benchmark_DB!$N$5:$N$41,1,Benchmark_DB!$F$5:$F$41,12,Benchmark_DB!$H$5:$H$41,"RAGP")=0,"",SUMIFS(Benchmark_DB!$V$5:$V$41,Benchmark_DB!$B$5:$B$41,$A7,Benchmark_DB!$D$5:$D$41,$B7,Benchmark_DB!$N$5:$N$41,1,Benchmark_DB!$F$5:$F$41,12,Benchmark_DB!$H$5:$H$41,"RAGP"))</f>
        <v/>
      </c>
    </row>
    <row r="8">
      <c r="A8" s="34" t="inlineStr">
        <is>
          <t>Sun King</t>
        </is>
      </c>
      <c r="B8" s="23" t="n">
        <v>2025</v>
      </c>
      <c r="C8" s="34" t="inlineStr">
        <is>
          <t>Peer</t>
        </is>
      </c>
      <c r="D8" s="50">
        <f>IF(COUNTIFS(Benchmark_DB!$B$5:$B$41,$A8,Benchmark_DB!$D$5:$D$41,$B8,Benchmark_DB!$N$5:$N$41,1,Benchmark_DB!$F$5:$F$41,12,Benchmark_DB!$S$5:$S$41,"E")&gt;0,"E",IF(COUNTIFS(Benchmark_DB!$B$5:$B$41,$A8,Benchmark_DB!$D$5:$D$41,$B8,Benchmark_DB!$N$5:$N$41,1,Benchmark_DB!$F$5:$F$41,12,Benchmark_DB!$S$5:$S$41,"D")&gt;0,"D",IF(COUNTIFS(Benchmark_DB!$B$5:$B$41,$A8,Benchmark_DB!$D$5:$D$41,$B8,Benchmark_DB!$N$5:$N$41,1,Benchmark_DB!$F$5:$F$41,12,Benchmark_DB!$S$5:$S$41,"C")&gt;0,"C",IF(COUNTIFS(Benchmark_DB!$B$5:$B$41,$A8,Benchmark_DB!$D$5:$D$41,$B8,Benchmark_DB!$N$5:$N$41,1,Benchmark_DB!$F$5:$F$41,12,Benchmark_DB!$S$5:$S$41,"B")&gt;0,"B",IF(COUNTIFS(Benchmark_DB!$B$5:$B$41,$A8,Benchmark_DB!$D$5:$D$41,$B8,Benchmark_DB!$N$5:$N$41,1,Benchmark_DB!$F$5:$F$41,12,Benchmark_DB!$S$5:$S$41,"A")&gt;0,"A","-")))))</f>
        <v/>
      </c>
      <c r="E8" s="23">
        <f>IF(OR(D8="A",D8="B",D8="C"),1,0)</f>
        <v/>
      </c>
      <c r="F8" s="142">
        <f>IF(COUNTIFS(Benchmark_DB!$B$5:$B$41,$A8,Benchmark_DB!$D$5:$D$41,$B8,Benchmark_DB!$N$5:$N$41,1,Benchmark_DB!$F$5:$F$41,12,Benchmark_DB!$H$5:$H$41,"REV")=0,"",SUMIFS(Benchmark_DB!$V$5:$V$41,Benchmark_DB!$B$5:$B$41,$A8,Benchmark_DB!$D$5:$D$41,$B8,Benchmark_DB!$N$5:$N$41,1,Benchmark_DB!$F$5:$F$41,12,Benchmark_DB!$H$5:$H$41,"REV"))</f>
        <v/>
      </c>
      <c r="G8" s="142">
        <f>IF(COUNTIFS(Benchmark_DB!$B$5:$B$41,$A8,Benchmark_DB!$D$5:$D$41,$B8,Benchmark_DB!$N$5:$N$41,1,Benchmark_DB!$F$5:$F$41,12,Benchmark_DB!$H$5:$H$41,"REV_FIN")=0,"",SUMIFS(Benchmark_DB!$V$5:$V$41,Benchmark_DB!$B$5:$B$41,$A8,Benchmark_DB!$D$5:$D$41,$B8,Benchmark_DB!$N$5:$N$41,1,Benchmark_DB!$F$5:$F$41,12,Benchmark_DB!$H$5:$H$41,"REV_FIN"))</f>
        <v/>
      </c>
      <c r="H8" s="142">
        <f>IF(COUNTIFS(Benchmark_DB!$B$5:$B$41,$A8,Benchmark_DB!$D$5:$D$41,$B8,Benchmark_DB!$N$5:$N$41,1,Benchmark_DB!$F$5:$F$41,12,Benchmark_DB!$H$5:$H$41,"COGS")=0,"",SUMIFS(Benchmark_DB!$V$5:$V$41,Benchmark_DB!$B$5:$B$41,$A8,Benchmark_DB!$D$5:$D$41,$B8,Benchmark_DB!$N$5:$N$41,1,Benchmark_DB!$F$5:$F$41,12,Benchmark_DB!$H$5:$H$41,"COGS"))</f>
        <v/>
      </c>
      <c r="I8" s="142">
        <f>IF(COUNTIFS(Benchmark_DB!$B$5:$B$41,$A8,Benchmark_DB!$D$5:$D$41,$B8,Benchmark_DB!$N$5:$N$41,1,Benchmark_DB!$F$5:$F$41,12,Benchmark_DB!$H$5:$H$41,"GP")=0,"",SUMIFS(Benchmark_DB!$V$5:$V$41,Benchmark_DB!$B$5:$B$41,$A8,Benchmark_DB!$D$5:$D$41,$B8,Benchmark_DB!$N$5:$N$41,1,Benchmark_DB!$F$5:$F$41,12,Benchmark_DB!$H$5:$H$41,"GP"))</f>
        <v/>
      </c>
      <c r="J8" s="142">
        <f>IF(COUNTIFS(Benchmark_DB!$B$5:$B$41,$A8,Benchmark_DB!$D$5:$D$41,$B8,Benchmark_DB!$N$5:$N$41,1,Benchmark_DB!$F$5:$F$41,12,Benchmark_DB!$H$5:$H$41,"OPEX")=0,"",SUMIFS(Benchmark_DB!$V$5:$V$41,Benchmark_DB!$B$5:$B$41,$A8,Benchmark_DB!$D$5:$D$41,$B8,Benchmark_DB!$N$5:$N$41,1,Benchmark_DB!$F$5:$F$41,12,Benchmark_DB!$H$5:$H$41,"OPEX"))</f>
        <v/>
      </c>
      <c r="K8" s="142">
        <f>IF(COUNTIFS(Benchmark_DB!$B$5:$B$41,$A8,Benchmark_DB!$D$5:$D$41,$B8,Benchmark_DB!$N$5:$N$41,1,Benchmark_DB!$F$5:$F$41,12,Benchmark_DB!$H$5:$H$41,"EBITDA")=0,"",SUMIFS(Benchmark_DB!$V$5:$V$41,Benchmark_DB!$B$5:$B$41,$A8,Benchmark_DB!$D$5:$D$41,$B8,Benchmark_DB!$N$5:$N$41,1,Benchmark_DB!$F$5:$F$41,12,Benchmark_DB!$H$5:$H$41,"EBITDA"))</f>
        <v/>
      </c>
      <c r="L8" s="142">
        <f>IF(COUNTIFS(Benchmark_DB!$B$5:$B$41,$A8,Benchmark_DB!$D$5:$D$41,$B8,Benchmark_DB!$N$5:$N$41,1,Benchmark_DB!$F$5:$F$41,12,Benchmark_DB!$H$5:$H$41,"EBIT")=0,"",SUMIFS(Benchmark_DB!$V$5:$V$41,Benchmark_DB!$B$5:$B$41,$A8,Benchmark_DB!$D$5:$D$41,$B8,Benchmark_DB!$N$5:$N$41,1,Benchmark_DB!$F$5:$F$41,12,Benchmark_DB!$H$5:$H$41,"EBIT"))</f>
        <v/>
      </c>
      <c r="M8" s="142">
        <f>IF(COUNTIFS(Benchmark_DB!$B$5:$B$41,$A8,Benchmark_DB!$D$5:$D$41,$B8,Benchmark_DB!$N$5:$N$41,1,Benchmark_DB!$F$5:$F$41,12,Benchmark_DB!$H$5:$H$41,"DA")=0,"",SUMIFS(Benchmark_DB!$V$5:$V$41,Benchmark_DB!$B$5:$B$41,$A8,Benchmark_DB!$D$5:$D$41,$B8,Benchmark_DB!$N$5:$N$41,1,Benchmark_DB!$F$5:$F$41,12,Benchmark_DB!$H$5:$H$41,"DA"))</f>
        <v/>
      </c>
      <c r="N8" s="142">
        <f>IF(COUNTIFS(Benchmark_DB!$B$5:$B$41,$A8,Benchmark_DB!$D$5:$D$41,$B8,Benchmark_DB!$N$5:$N$41,1,Benchmark_DB!$F$5:$F$41,12,Benchmark_DB!$H$5:$H$41,"FIN_COST")=0,"",SUMIFS(Benchmark_DB!$V$5:$V$41,Benchmark_DB!$B$5:$B$41,$A8,Benchmark_DB!$D$5:$D$41,$B8,Benchmark_DB!$N$5:$N$41,1,Benchmark_DB!$F$5:$F$41,12,Benchmark_DB!$H$5:$H$41,"FIN_COST"))</f>
        <v/>
      </c>
      <c r="O8" s="142">
        <f>IF(COUNTIFS(Benchmark_DB!$B$5:$B$41,$A8,Benchmark_DB!$D$5:$D$41,$B8,Benchmark_DB!$N$5:$N$41,1,Benchmark_DB!$F$5:$F$41,12,Benchmark_DB!$H$5:$H$41,"ECL")=0,"",SUMIFS(Benchmark_DB!$V$5:$V$41,Benchmark_DB!$B$5:$B$41,$A8,Benchmark_DB!$D$5:$D$41,$B8,Benchmark_DB!$N$5:$N$41,1,Benchmark_DB!$F$5:$F$41,12,Benchmark_DB!$H$5:$H$41,"ECL"))</f>
        <v/>
      </c>
      <c r="P8" s="142">
        <f>IF(COUNTIFS(Benchmark_DB!$B$5:$B$41,$A8,Benchmark_DB!$D$5:$D$41,$B8,Benchmark_DB!$N$5:$N$41,1,Benchmark_DB!$F$5:$F$41,12,Benchmark_DB!$H$5:$H$41,"TAX")=0,"",SUMIFS(Benchmark_DB!$V$5:$V$41,Benchmark_DB!$B$5:$B$41,$A8,Benchmark_DB!$D$5:$D$41,$B8,Benchmark_DB!$N$5:$N$41,1,Benchmark_DB!$F$5:$F$41,12,Benchmark_DB!$H$5:$H$41,"TAX"))</f>
        <v/>
      </c>
      <c r="Q8" s="142">
        <f>IF(COUNTIFS(Benchmark_DB!$B$5:$B$41,$A8,Benchmark_DB!$D$5:$D$41,$B8,Benchmark_DB!$N$5:$N$41,1,Benchmark_DB!$F$5:$F$41,12,Benchmark_DB!$H$5:$H$41,"NI")=0,"",SUMIFS(Benchmark_DB!$V$5:$V$41,Benchmark_DB!$B$5:$B$41,$A8,Benchmark_DB!$D$5:$D$41,$B8,Benchmark_DB!$N$5:$N$41,1,Benchmark_DB!$F$5:$F$41,12,Benchmark_DB!$H$5:$H$41,"NI"))</f>
        <v/>
      </c>
      <c r="R8" s="142">
        <f>IF(COUNTIFS(Benchmark_DB!$B$5:$B$41,$A8,Benchmark_DB!$D$5:$D$41,$B8,Benchmark_DB!$N$5:$N$41,1,Benchmark_DB!$F$5:$F$41,12,Benchmark_DB!$H$5:$H$41,"CASH")=0,"",SUMIFS(Benchmark_DB!$V$5:$V$41,Benchmark_DB!$B$5:$B$41,$A8,Benchmark_DB!$D$5:$D$41,$B8,Benchmark_DB!$N$5:$N$41,1,Benchmark_DB!$F$5:$F$41,12,Benchmark_DB!$H$5:$H$41,"CASH"))</f>
        <v/>
      </c>
      <c r="S8" s="142">
        <f>IF(COUNTIFS(Benchmark_DB!$B$5:$B$41,$A8,Benchmark_DB!$D$5:$D$41,$B8,Benchmark_DB!$N$5:$N$41,1,Benchmark_DB!$F$5:$F$41,12,Benchmark_DB!$H$5:$H$41,"INV")=0,"",SUMIFS(Benchmark_DB!$V$5:$V$41,Benchmark_DB!$B$5:$B$41,$A8,Benchmark_DB!$D$5:$D$41,$B8,Benchmark_DB!$N$5:$N$41,1,Benchmark_DB!$F$5:$F$41,12,Benchmark_DB!$H$5:$H$41,"INV"))</f>
        <v/>
      </c>
      <c r="T8" s="142">
        <f>IF(COUNTIFS(Benchmark_DB!$B$5:$B$41,$A8,Benchmark_DB!$D$5:$D$41,$B8,Benchmark_DB!$N$5:$N$41,1,Benchmark_DB!$F$5:$F$41,12,Benchmark_DB!$H$5:$H$41,"AP")=0,"",SUMIFS(Benchmark_DB!$V$5:$V$41,Benchmark_DB!$B$5:$B$41,$A8,Benchmark_DB!$D$5:$D$41,$B8,Benchmark_DB!$N$5:$N$41,1,Benchmark_DB!$F$5:$F$41,12,Benchmark_DB!$H$5:$H$41,"AP"))</f>
        <v/>
      </c>
      <c r="U8" s="142">
        <f>IF(COUNTIFS(Benchmark_DB!$B$5:$B$41,$A8,Benchmark_DB!$D$5:$D$41,$B8,Benchmark_DB!$N$5:$N$41,1,Benchmark_DB!$F$5:$F$41,12,Benchmark_DB!$H$5:$H$41,"TRADE_REC")=0,"",SUMIFS(Benchmark_DB!$V$5:$V$41,Benchmark_DB!$B$5:$B$41,$A8,Benchmark_DB!$D$5:$D$41,$B8,Benchmark_DB!$N$5:$N$41,1,Benchmark_DB!$F$5:$F$41,12,Benchmark_DB!$H$5:$H$41,"TRADE_REC"))</f>
        <v/>
      </c>
      <c r="V8" s="142">
        <f>IF(COUNTIFS(Benchmark_DB!$B$5:$B$41,$A8,Benchmark_DB!$D$5:$D$41,$B8,Benchmark_DB!$N$5:$N$41,1,Benchmark_DB!$F$5:$F$41,12,Benchmark_DB!$H$5:$H$41,"PAYGO_REC_GROSS")=0,"",SUMIFS(Benchmark_DB!$V$5:$V$41,Benchmark_DB!$B$5:$B$41,$A8,Benchmark_DB!$D$5:$D$41,$B8,Benchmark_DB!$N$5:$N$41,1,Benchmark_DB!$F$5:$F$41,12,Benchmark_DB!$H$5:$H$41,"PAYGO_REC_GROSS"))</f>
        <v/>
      </c>
      <c r="W8" s="142">
        <f>IF(COUNTIFS(Benchmark_DB!$B$5:$B$41,$A8,Benchmark_DB!$D$5:$D$41,$B8,Benchmark_DB!$N$5:$N$41,1,Benchmark_DB!$F$5:$F$41,12,Benchmark_DB!$H$5:$H$41,"PAYGO_REC_NET")=0,"",SUMIFS(Benchmark_DB!$V$5:$V$41,Benchmark_DB!$B$5:$B$41,$A8,Benchmark_DB!$D$5:$D$41,$B8,Benchmark_DB!$N$5:$N$41,1,Benchmark_DB!$F$5:$F$41,12,Benchmark_DB!$H$5:$H$41,"PAYGO_REC_NET"))</f>
        <v/>
      </c>
      <c r="X8" s="142">
        <f>IF(COUNTIFS(Benchmark_DB!$B$5:$B$41,$A8,Benchmark_DB!$D$5:$D$41,$B8,Benchmark_DB!$N$5:$N$41,1,Benchmark_DB!$F$5:$F$41,12,Benchmark_DB!$H$5:$H$41,"PPE")=0,"",SUMIFS(Benchmark_DB!$V$5:$V$41,Benchmark_DB!$B$5:$B$41,$A8,Benchmark_DB!$D$5:$D$41,$B8,Benchmark_DB!$N$5:$N$41,1,Benchmark_DB!$F$5:$F$41,12,Benchmark_DB!$H$5:$H$41,"PPE"))</f>
        <v/>
      </c>
      <c r="Y8" s="142">
        <f>IF(COUNTIFS(Benchmark_DB!$B$5:$B$41,$A8,Benchmark_DB!$D$5:$D$41,$B8,Benchmark_DB!$N$5:$N$41,1,Benchmark_DB!$F$5:$F$41,12,Benchmark_DB!$H$5:$H$41,"DEBT")=0,"",SUMIFS(Benchmark_DB!$V$5:$V$41,Benchmark_DB!$B$5:$B$41,$A8,Benchmark_DB!$D$5:$D$41,$B8,Benchmark_DB!$N$5:$N$41,1,Benchmark_DB!$F$5:$F$41,12,Benchmark_DB!$H$5:$H$41,"DEBT"))</f>
        <v/>
      </c>
      <c r="Z8" s="142">
        <f>IF(COUNTIFS(Benchmark_DB!$B$5:$B$41,$A8,Benchmark_DB!$D$5:$D$41,$B8,Benchmark_DB!$N$5:$N$41,1,Benchmark_DB!$F$5:$F$41,12,Benchmark_DB!$H$5:$H$41,"LEASE")=0,"",SUMIFS(Benchmark_DB!$V$5:$V$41,Benchmark_DB!$B$5:$B$41,$A8,Benchmark_DB!$D$5:$D$41,$B8,Benchmark_DB!$N$5:$N$41,1,Benchmark_DB!$F$5:$F$41,12,Benchmark_DB!$H$5:$H$41,"LEASE"))</f>
        <v/>
      </c>
      <c r="AA8" s="142">
        <f>IF(COUNTIFS(Benchmark_DB!$B$5:$B$41,$A8,Benchmark_DB!$D$5:$D$41,$B8,Benchmark_DB!$N$5:$N$41,1,Benchmark_DB!$F$5:$F$41,12,Benchmark_DB!$H$5:$H$41,"EQUITY")=0,"",SUMIFS(Benchmark_DB!$V$5:$V$41,Benchmark_DB!$B$5:$B$41,$A8,Benchmark_DB!$D$5:$D$41,$B8,Benchmark_DB!$N$5:$N$41,1,Benchmark_DB!$F$5:$F$41,12,Benchmark_DB!$H$5:$H$41,"EQUITY"))</f>
        <v/>
      </c>
      <c r="AB8" s="142">
        <f>IF(COUNTIFS(Benchmark_DB!$B$5:$B$41,$A8,Benchmark_DB!$D$5:$D$41,$B8,Benchmark_DB!$N$5:$N$41,1,Benchmark_DB!$F$5:$F$41,12,Benchmark_DB!$H$5:$H$41,"TOTAL_ASSETS")=0,"",SUMIFS(Benchmark_DB!$V$5:$V$41,Benchmark_DB!$B$5:$B$41,$A8,Benchmark_DB!$D$5:$D$41,$B8,Benchmark_DB!$N$5:$N$41,1,Benchmark_DB!$F$5:$F$41,12,Benchmark_DB!$H$5:$H$41,"TOTAL_ASSETS"))</f>
        <v/>
      </c>
      <c r="AC8" s="142">
        <f>IF(COUNTIFS(Benchmark_DB!$B$5:$B$41,$A8,Benchmark_DB!$D$5:$D$41,$B8,Benchmark_DB!$N$5:$N$41,1,Benchmark_DB!$F$5:$F$41,12,Benchmark_DB!$H$5:$H$41,"TOTAL_LIAB")=0,"",SUMIFS(Benchmark_DB!$V$5:$V$41,Benchmark_DB!$B$5:$B$41,$A8,Benchmark_DB!$D$5:$D$41,$B8,Benchmark_DB!$N$5:$N$41,1,Benchmark_DB!$F$5:$F$41,12,Benchmark_DB!$H$5:$H$41,"TOTAL_LIAB"))</f>
        <v/>
      </c>
      <c r="AD8" s="142">
        <f>IF(COUNTIFS(Benchmark_DB!$B$5:$B$41,$A8,Benchmark_DB!$D$5:$D$41,$B8,Benchmark_DB!$N$5:$N$41,1,Benchmark_DB!$F$5:$F$41,12,Benchmark_DB!$H$5:$H$41,"CFO")=0,"",SUMIFS(Benchmark_DB!$V$5:$V$41,Benchmark_DB!$B$5:$B$41,$A8,Benchmark_DB!$D$5:$D$41,$B8,Benchmark_DB!$N$5:$N$41,1,Benchmark_DB!$F$5:$F$41,12,Benchmark_DB!$H$5:$H$41,"CFO"))</f>
        <v/>
      </c>
      <c r="AE8" s="142">
        <f>IF(COUNTIFS(Benchmark_DB!$B$5:$B$41,$A8,Benchmark_DB!$D$5:$D$41,$B8,Benchmark_DB!$N$5:$N$41,1,Benchmark_DB!$F$5:$F$41,12,Benchmark_DB!$H$5:$H$41,"CAPEX")=0,"",SUMIFS(Benchmark_DB!$V$5:$V$41,Benchmark_DB!$B$5:$B$41,$A8,Benchmark_DB!$D$5:$D$41,$B8,Benchmark_DB!$N$5:$N$41,1,Benchmark_DB!$F$5:$F$41,12,Benchmark_DB!$H$5:$H$41,"CAPEX"))</f>
        <v/>
      </c>
      <c r="AF8" s="142">
        <f>IF(COUNTIFS(Benchmark_DB!$B$5:$B$41,$A8,Benchmark_DB!$D$5:$D$41,$B8,Benchmark_DB!$N$5:$N$41,1,Benchmark_DB!$F$5:$F$41,12,Benchmark_DB!$H$5:$H$41,"DEBT_DRAW")=0,"",SUMIFS(Benchmark_DB!$V$5:$V$41,Benchmark_DB!$B$5:$B$41,$A8,Benchmark_DB!$D$5:$D$41,$B8,Benchmark_DB!$N$5:$N$41,1,Benchmark_DB!$F$5:$F$41,12,Benchmark_DB!$H$5:$H$41,"DEBT_DRAW"))</f>
        <v/>
      </c>
      <c r="AG8" s="142">
        <f>IF(COUNTIFS(Benchmark_DB!$B$5:$B$41,$A8,Benchmark_DB!$D$5:$D$41,$B8,Benchmark_DB!$N$5:$N$41,1,Benchmark_DB!$F$5:$F$41,12,Benchmark_DB!$H$5:$H$41,"EQUITY_RAISED")=0,"",SUMIFS(Benchmark_DB!$V$5:$V$41,Benchmark_DB!$B$5:$B$41,$A8,Benchmark_DB!$D$5:$D$41,$B8,Benchmark_DB!$N$5:$N$41,1,Benchmark_DB!$F$5:$F$41,12,Benchmark_DB!$H$5:$H$41,"EQUITY_RAISED"))</f>
        <v/>
      </c>
      <c r="AH8" s="142">
        <f>IF(COUNTIFS(Benchmark_DB!$B$5:$B$41,$A8,Benchmark_DB!$D$5:$D$41,$B8,Benchmark_DB!$N$5:$N$41,1,Benchmark_DB!$F$5:$F$41,12,Benchmark_DB!$H$5:$H$41,"SECURITISATION")=0,"",SUMIFS(Benchmark_DB!$V$5:$V$41,Benchmark_DB!$B$5:$B$41,$A8,Benchmark_DB!$D$5:$D$41,$B8,Benchmark_DB!$N$5:$N$41,1,Benchmark_DB!$F$5:$F$41,12,Benchmark_DB!$H$5:$H$41,"SECURITISATION"))</f>
        <v/>
      </c>
      <c r="AI8" s="80">
        <f>IF(COUNTIFS(Benchmark_DB!$B$5:$B$41,$A8,Benchmark_DB!$D$5:$D$41,$B8,Benchmark_DB!$N$5:$N$41,1,Benchmark_DB!$F$5:$F$41,12,Benchmark_DB!$H$5:$H$41,"CUST_ACTIVE")=0,"",SUMIFS(Benchmark_DB!$V$5:$V$41,Benchmark_DB!$B$5:$B$41,$A8,Benchmark_DB!$D$5:$D$41,$B8,Benchmark_DB!$N$5:$N$41,1,Benchmark_DB!$F$5:$F$41,12,Benchmark_DB!$H$5:$H$41,"CUST_ACTIVE"))</f>
        <v/>
      </c>
      <c r="AJ8" s="80">
        <f>IF(COUNTIFS(Benchmark_DB!$B$5:$B$41,$A8,Benchmark_DB!$D$5:$D$41,$B8,Benchmark_DB!$N$5:$N$41,1,Benchmark_DB!$F$5:$F$41,12,Benchmark_DB!$H$5:$H$41,"CUST_CUM")=0,"",SUMIFS(Benchmark_DB!$V$5:$V$41,Benchmark_DB!$B$5:$B$41,$A8,Benchmark_DB!$D$5:$D$41,$B8,Benchmark_DB!$N$5:$N$41,1,Benchmark_DB!$F$5:$F$41,12,Benchmark_DB!$H$5:$H$41,"CUST_CUM"))</f>
        <v/>
      </c>
      <c r="AK8" s="80">
        <f>IF(COUNTIFS(Benchmark_DB!$B$5:$B$41,$A8,Benchmark_DB!$D$5:$D$41,$B8,Benchmark_DB!$N$5:$N$41,1,Benchmark_DB!$F$5:$F$41,12,Benchmark_DB!$H$5:$H$41,"UNITS")=0,"",SUMIFS(Benchmark_DB!$V$5:$V$41,Benchmark_DB!$B$5:$B$41,$A8,Benchmark_DB!$D$5:$D$41,$B8,Benchmark_DB!$N$5:$N$41,1,Benchmark_DB!$F$5:$F$41,12,Benchmark_DB!$H$5:$H$41,"UNITS"))</f>
        <v/>
      </c>
      <c r="AL8" s="142">
        <f>IF(COUNTIFS(Benchmark_DB!$B$5:$B$41,$A8,Benchmark_DB!$D$5:$D$41,$B8,Benchmark_DB!$N$5:$N$41,1,Benchmark_DB!$F$5:$F$41,12,Benchmark_DB!$H$5:$H$41,"LOANS_CUM")=0,"",SUMIFS(Benchmark_DB!$V$5:$V$41,Benchmark_DB!$B$5:$B$41,$A8,Benchmark_DB!$D$5:$D$41,$B8,Benchmark_DB!$N$5:$N$41,1,Benchmark_DB!$F$5:$F$41,12,Benchmark_DB!$H$5:$H$41,"LOANS_CUM"))</f>
        <v/>
      </c>
      <c r="AM8" s="81">
        <f>IF(COUNTIFS(Benchmark_DB!$B$5:$B$41,$A8,Benchmark_DB!$D$5:$D$41,$B8,Benchmark_DB!$N$5:$N$41,1,Benchmark_DB!$F$5:$F$41,12,Benchmark_DB!$H$5:$H$41,"REV_GROWTH")=0,"",SUMIFS(Benchmark_DB!$V$5:$V$41,Benchmark_DB!$B$5:$B$41,$A8,Benchmark_DB!$D$5:$D$41,$B8,Benchmark_DB!$N$5:$N$41,1,Benchmark_DB!$F$5:$F$41,12,Benchmark_DB!$H$5:$H$41,"REV_GROWTH"))</f>
        <v/>
      </c>
      <c r="AN8" s="81">
        <f>IF(COUNTIFS(Benchmark_DB!$B$5:$B$41,$A8,Benchmark_DB!$D$5:$D$41,$B8,Benchmark_DB!$N$5:$N$41,1,Benchmark_DB!$F$5:$F$41,12,Benchmark_DB!$H$5:$H$41,"COLL_RATE")=0,"",SUMIFS(Benchmark_DB!$V$5:$V$41,Benchmark_DB!$B$5:$B$41,$A8,Benchmark_DB!$D$5:$D$41,$B8,Benchmark_DB!$N$5:$N$41,1,Benchmark_DB!$F$5:$F$41,12,Benchmark_DB!$H$5:$H$41,"COLL_RATE"))</f>
        <v/>
      </c>
      <c r="AO8" s="81">
        <f>IF(COUNTIFS(Benchmark_DB!$B$5:$B$41,$A8,Benchmark_DB!$D$5:$D$41,$B8,Benchmark_DB!$N$5:$N$41,1,Benchmark_DB!$F$5:$F$41,12,Benchmark_DB!$H$5:$H$41,"PAR30")=0,"",SUMIFS(Benchmark_DB!$V$5:$V$41,Benchmark_DB!$B$5:$B$41,$A8,Benchmark_DB!$D$5:$D$41,$B8,Benchmark_DB!$N$5:$N$41,1,Benchmark_DB!$F$5:$F$41,12,Benchmark_DB!$H$5:$H$41,"PAR30"))</f>
        <v/>
      </c>
      <c r="AP8" s="81">
        <f>IF(COUNTIFS(Benchmark_DB!$B$5:$B$41,$A8,Benchmark_DB!$D$5:$D$41,$B8,Benchmark_DB!$N$5:$N$41,1,Benchmark_DB!$F$5:$F$41,12,Benchmark_DB!$H$5:$H$41,"OWNERSHIP_RATE")=0,"",SUMIFS(Benchmark_DB!$V$5:$V$41,Benchmark_DB!$B$5:$B$41,$A8,Benchmark_DB!$D$5:$D$41,$B8,Benchmark_DB!$N$5:$N$41,1,Benchmark_DB!$F$5:$F$41,12,Benchmark_DB!$H$5:$H$41,"OWNERSHIP_RATE"))</f>
        <v/>
      </c>
      <c r="AQ8" s="142">
        <f>IF(COUNTIFS(Benchmark_DB!$B$5:$B$41,$A8,Benchmark_DB!$D$5:$D$41,$B8,Benchmark_DB!$N$5:$N$41,1,Benchmark_DB!$F$5:$F$41,12,Benchmark_DB!$H$5:$H$41,"RAGP")=0,"",SUMIFS(Benchmark_DB!$V$5:$V$41,Benchmark_DB!$B$5:$B$41,$A8,Benchmark_DB!$D$5:$D$41,$B8,Benchmark_DB!$N$5:$N$41,1,Benchmark_DB!$F$5:$F$41,12,Benchmark_DB!$H$5:$H$41,"RAGP"))</f>
        <v/>
      </c>
    </row>
    <row r="9">
      <c r="A9" s="34" t="inlineStr">
        <is>
          <t>Watu</t>
        </is>
      </c>
      <c r="B9" s="23" t="n">
        <v>2024</v>
      </c>
      <c r="C9" s="34" t="inlineStr">
        <is>
          <t>Peer</t>
        </is>
      </c>
      <c r="D9" s="50">
        <f>IF(COUNTIFS(Benchmark_DB!$B$5:$B$41,$A9,Benchmark_DB!$D$5:$D$41,$B9,Benchmark_DB!$N$5:$N$41,1,Benchmark_DB!$F$5:$F$41,12,Benchmark_DB!$S$5:$S$41,"E")&gt;0,"E",IF(COUNTIFS(Benchmark_DB!$B$5:$B$41,$A9,Benchmark_DB!$D$5:$D$41,$B9,Benchmark_DB!$N$5:$N$41,1,Benchmark_DB!$F$5:$F$41,12,Benchmark_DB!$S$5:$S$41,"D")&gt;0,"D",IF(COUNTIFS(Benchmark_DB!$B$5:$B$41,$A9,Benchmark_DB!$D$5:$D$41,$B9,Benchmark_DB!$N$5:$N$41,1,Benchmark_DB!$F$5:$F$41,12,Benchmark_DB!$S$5:$S$41,"C")&gt;0,"C",IF(COUNTIFS(Benchmark_DB!$B$5:$B$41,$A9,Benchmark_DB!$D$5:$D$41,$B9,Benchmark_DB!$N$5:$N$41,1,Benchmark_DB!$F$5:$F$41,12,Benchmark_DB!$S$5:$S$41,"B")&gt;0,"B",IF(COUNTIFS(Benchmark_DB!$B$5:$B$41,$A9,Benchmark_DB!$D$5:$D$41,$B9,Benchmark_DB!$N$5:$N$41,1,Benchmark_DB!$F$5:$F$41,12,Benchmark_DB!$S$5:$S$41,"A")&gt;0,"A","-")))))</f>
        <v/>
      </c>
      <c r="E9" s="23">
        <f>IF(OR(D9="A",D9="B",D9="C"),1,0)</f>
        <v/>
      </c>
      <c r="F9" s="142">
        <f>IF(COUNTIFS(Benchmark_DB!$B$5:$B$41,$A9,Benchmark_DB!$D$5:$D$41,$B9,Benchmark_DB!$N$5:$N$41,1,Benchmark_DB!$F$5:$F$41,12,Benchmark_DB!$H$5:$H$41,"REV")=0,"",SUMIFS(Benchmark_DB!$V$5:$V$41,Benchmark_DB!$B$5:$B$41,$A9,Benchmark_DB!$D$5:$D$41,$B9,Benchmark_DB!$N$5:$N$41,1,Benchmark_DB!$F$5:$F$41,12,Benchmark_DB!$H$5:$H$41,"REV"))</f>
        <v/>
      </c>
      <c r="G9" s="142">
        <f>IF(COUNTIFS(Benchmark_DB!$B$5:$B$41,$A9,Benchmark_DB!$D$5:$D$41,$B9,Benchmark_DB!$N$5:$N$41,1,Benchmark_DB!$F$5:$F$41,12,Benchmark_DB!$H$5:$H$41,"REV_FIN")=0,"",SUMIFS(Benchmark_DB!$V$5:$V$41,Benchmark_DB!$B$5:$B$41,$A9,Benchmark_DB!$D$5:$D$41,$B9,Benchmark_DB!$N$5:$N$41,1,Benchmark_DB!$F$5:$F$41,12,Benchmark_DB!$H$5:$H$41,"REV_FIN"))</f>
        <v/>
      </c>
      <c r="H9" s="142">
        <f>IF(COUNTIFS(Benchmark_DB!$B$5:$B$41,$A9,Benchmark_DB!$D$5:$D$41,$B9,Benchmark_DB!$N$5:$N$41,1,Benchmark_DB!$F$5:$F$41,12,Benchmark_DB!$H$5:$H$41,"COGS")=0,"",SUMIFS(Benchmark_DB!$V$5:$V$41,Benchmark_DB!$B$5:$B$41,$A9,Benchmark_DB!$D$5:$D$41,$B9,Benchmark_DB!$N$5:$N$41,1,Benchmark_DB!$F$5:$F$41,12,Benchmark_DB!$H$5:$H$41,"COGS"))</f>
        <v/>
      </c>
      <c r="I9" s="142">
        <f>IF(COUNTIFS(Benchmark_DB!$B$5:$B$41,$A9,Benchmark_DB!$D$5:$D$41,$B9,Benchmark_DB!$N$5:$N$41,1,Benchmark_DB!$F$5:$F$41,12,Benchmark_DB!$H$5:$H$41,"GP")=0,"",SUMIFS(Benchmark_DB!$V$5:$V$41,Benchmark_DB!$B$5:$B$41,$A9,Benchmark_DB!$D$5:$D$41,$B9,Benchmark_DB!$N$5:$N$41,1,Benchmark_DB!$F$5:$F$41,12,Benchmark_DB!$H$5:$H$41,"GP"))</f>
        <v/>
      </c>
      <c r="J9" s="142">
        <f>IF(COUNTIFS(Benchmark_DB!$B$5:$B$41,$A9,Benchmark_DB!$D$5:$D$41,$B9,Benchmark_DB!$N$5:$N$41,1,Benchmark_DB!$F$5:$F$41,12,Benchmark_DB!$H$5:$H$41,"OPEX")=0,"",SUMIFS(Benchmark_DB!$V$5:$V$41,Benchmark_DB!$B$5:$B$41,$A9,Benchmark_DB!$D$5:$D$41,$B9,Benchmark_DB!$N$5:$N$41,1,Benchmark_DB!$F$5:$F$41,12,Benchmark_DB!$H$5:$H$41,"OPEX"))</f>
        <v/>
      </c>
      <c r="K9" s="142">
        <f>IF(COUNTIFS(Benchmark_DB!$B$5:$B$41,$A9,Benchmark_DB!$D$5:$D$41,$B9,Benchmark_DB!$N$5:$N$41,1,Benchmark_DB!$F$5:$F$41,12,Benchmark_DB!$H$5:$H$41,"EBITDA")=0,"",SUMIFS(Benchmark_DB!$V$5:$V$41,Benchmark_DB!$B$5:$B$41,$A9,Benchmark_DB!$D$5:$D$41,$B9,Benchmark_DB!$N$5:$N$41,1,Benchmark_DB!$F$5:$F$41,12,Benchmark_DB!$H$5:$H$41,"EBITDA"))</f>
        <v/>
      </c>
      <c r="L9" s="142">
        <f>IF(COUNTIFS(Benchmark_DB!$B$5:$B$41,$A9,Benchmark_DB!$D$5:$D$41,$B9,Benchmark_DB!$N$5:$N$41,1,Benchmark_DB!$F$5:$F$41,12,Benchmark_DB!$H$5:$H$41,"EBIT")=0,"",SUMIFS(Benchmark_DB!$V$5:$V$41,Benchmark_DB!$B$5:$B$41,$A9,Benchmark_DB!$D$5:$D$41,$B9,Benchmark_DB!$N$5:$N$41,1,Benchmark_DB!$F$5:$F$41,12,Benchmark_DB!$H$5:$H$41,"EBIT"))</f>
        <v/>
      </c>
      <c r="M9" s="142">
        <f>IF(COUNTIFS(Benchmark_DB!$B$5:$B$41,$A9,Benchmark_DB!$D$5:$D$41,$B9,Benchmark_DB!$N$5:$N$41,1,Benchmark_DB!$F$5:$F$41,12,Benchmark_DB!$H$5:$H$41,"DA")=0,"",SUMIFS(Benchmark_DB!$V$5:$V$41,Benchmark_DB!$B$5:$B$41,$A9,Benchmark_DB!$D$5:$D$41,$B9,Benchmark_DB!$N$5:$N$41,1,Benchmark_DB!$F$5:$F$41,12,Benchmark_DB!$H$5:$H$41,"DA"))</f>
        <v/>
      </c>
      <c r="N9" s="142">
        <f>IF(COUNTIFS(Benchmark_DB!$B$5:$B$41,$A9,Benchmark_DB!$D$5:$D$41,$B9,Benchmark_DB!$N$5:$N$41,1,Benchmark_DB!$F$5:$F$41,12,Benchmark_DB!$H$5:$H$41,"FIN_COST")=0,"",SUMIFS(Benchmark_DB!$V$5:$V$41,Benchmark_DB!$B$5:$B$41,$A9,Benchmark_DB!$D$5:$D$41,$B9,Benchmark_DB!$N$5:$N$41,1,Benchmark_DB!$F$5:$F$41,12,Benchmark_DB!$H$5:$H$41,"FIN_COST"))</f>
        <v/>
      </c>
      <c r="O9" s="142">
        <f>IF(COUNTIFS(Benchmark_DB!$B$5:$B$41,$A9,Benchmark_DB!$D$5:$D$41,$B9,Benchmark_DB!$N$5:$N$41,1,Benchmark_DB!$F$5:$F$41,12,Benchmark_DB!$H$5:$H$41,"ECL")=0,"",SUMIFS(Benchmark_DB!$V$5:$V$41,Benchmark_DB!$B$5:$B$41,$A9,Benchmark_DB!$D$5:$D$41,$B9,Benchmark_DB!$N$5:$N$41,1,Benchmark_DB!$F$5:$F$41,12,Benchmark_DB!$H$5:$H$41,"ECL"))</f>
        <v/>
      </c>
      <c r="P9" s="142">
        <f>IF(COUNTIFS(Benchmark_DB!$B$5:$B$41,$A9,Benchmark_DB!$D$5:$D$41,$B9,Benchmark_DB!$N$5:$N$41,1,Benchmark_DB!$F$5:$F$41,12,Benchmark_DB!$H$5:$H$41,"TAX")=0,"",SUMIFS(Benchmark_DB!$V$5:$V$41,Benchmark_DB!$B$5:$B$41,$A9,Benchmark_DB!$D$5:$D$41,$B9,Benchmark_DB!$N$5:$N$41,1,Benchmark_DB!$F$5:$F$41,12,Benchmark_DB!$H$5:$H$41,"TAX"))</f>
        <v/>
      </c>
      <c r="Q9" s="142">
        <f>IF(COUNTIFS(Benchmark_DB!$B$5:$B$41,$A9,Benchmark_DB!$D$5:$D$41,$B9,Benchmark_DB!$N$5:$N$41,1,Benchmark_DB!$F$5:$F$41,12,Benchmark_DB!$H$5:$H$41,"NI")=0,"",SUMIFS(Benchmark_DB!$V$5:$V$41,Benchmark_DB!$B$5:$B$41,$A9,Benchmark_DB!$D$5:$D$41,$B9,Benchmark_DB!$N$5:$N$41,1,Benchmark_DB!$F$5:$F$41,12,Benchmark_DB!$H$5:$H$41,"NI"))</f>
        <v/>
      </c>
      <c r="R9" s="142">
        <f>IF(COUNTIFS(Benchmark_DB!$B$5:$B$41,$A9,Benchmark_DB!$D$5:$D$41,$B9,Benchmark_DB!$N$5:$N$41,1,Benchmark_DB!$F$5:$F$41,12,Benchmark_DB!$H$5:$H$41,"CASH")=0,"",SUMIFS(Benchmark_DB!$V$5:$V$41,Benchmark_DB!$B$5:$B$41,$A9,Benchmark_DB!$D$5:$D$41,$B9,Benchmark_DB!$N$5:$N$41,1,Benchmark_DB!$F$5:$F$41,12,Benchmark_DB!$H$5:$H$41,"CASH"))</f>
        <v/>
      </c>
      <c r="S9" s="142">
        <f>IF(COUNTIFS(Benchmark_DB!$B$5:$B$41,$A9,Benchmark_DB!$D$5:$D$41,$B9,Benchmark_DB!$N$5:$N$41,1,Benchmark_DB!$F$5:$F$41,12,Benchmark_DB!$H$5:$H$41,"INV")=0,"",SUMIFS(Benchmark_DB!$V$5:$V$41,Benchmark_DB!$B$5:$B$41,$A9,Benchmark_DB!$D$5:$D$41,$B9,Benchmark_DB!$N$5:$N$41,1,Benchmark_DB!$F$5:$F$41,12,Benchmark_DB!$H$5:$H$41,"INV"))</f>
        <v/>
      </c>
      <c r="T9" s="142">
        <f>IF(COUNTIFS(Benchmark_DB!$B$5:$B$41,$A9,Benchmark_DB!$D$5:$D$41,$B9,Benchmark_DB!$N$5:$N$41,1,Benchmark_DB!$F$5:$F$41,12,Benchmark_DB!$H$5:$H$41,"AP")=0,"",SUMIFS(Benchmark_DB!$V$5:$V$41,Benchmark_DB!$B$5:$B$41,$A9,Benchmark_DB!$D$5:$D$41,$B9,Benchmark_DB!$N$5:$N$41,1,Benchmark_DB!$F$5:$F$41,12,Benchmark_DB!$H$5:$H$41,"AP"))</f>
        <v/>
      </c>
      <c r="U9" s="142">
        <f>IF(COUNTIFS(Benchmark_DB!$B$5:$B$41,$A9,Benchmark_DB!$D$5:$D$41,$B9,Benchmark_DB!$N$5:$N$41,1,Benchmark_DB!$F$5:$F$41,12,Benchmark_DB!$H$5:$H$41,"TRADE_REC")=0,"",SUMIFS(Benchmark_DB!$V$5:$V$41,Benchmark_DB!$B$5:$B$41,$A9,Benchmark_DB!$D$5:$D$41,$B9,Benchmark_DB!$N$5:$N$41,1,Benchmark_DB!$F$5:$F$41,12,Benchmark_DB!$H$5:$H$41,"TRADE_REC"))</f>
        <v/>
      </c>
      <c r="V9" s="142">
        <f>IF(COUNTIFS(Benchmark_DB!$B$5:$B$41,$A9,Benchmark_DB!$D$5:$D$41,$B9,Benchmark_DB!$N$5:$N$41,1,Benchmark_DB!$F$5:$F$41,12,Benchmark_DB!$H$5:$H$41,"PAYGO_REC_GROSS")=0,"",SUMIFS(Benchmark_DB!$V$5:$V$41,Benchmark_DB!$B$5:$B$41,$A9,Benchmark_DB!$D$5:$D$41,$B9,Benchmark_DB!$N$5:$N$41,1,Benchmark_DB!$F$5:$F$41,12,Benchmark_DB!$H$5:$H$41,"PAYGO_REC_GROSS"))</f>
        <v/>
      </c>
      <c r="W9" s="142">
        <f>IF(COUNTIFS(Benchmark_DB!$B$5:$B$41,$A9,Benchmark_DB!$D$5:$D$41,$B9,Benchmark_DB!$N$5:$N$41,1,Benchmark_DB!$F$5:$F$41,12,Benchmark_DB!$H$5:$H$41,"PAYGO_REC_NET")=0,"",SUMIFS(Benchmark_DB!$V$5:$V$41,Benchmark_DB!$B$5:$B$41,$A9,Benchmark_DB!$D$5:$D$41,$B9,Benchmark_DB!$N$5:$N$41,1,Benchmark_DB!$F$5:$F$41,12,Benchmark_DB!$H$5:$H$41,"PAYGO_REC_NET"))</f>
        <v/>
      </c>
      <c r="X9" s="142">
        <f>IF(COUNTIFS(Benchmark_DB!$B$5:$B$41,$A9,Benchmark_DB!$D$5:$D$41,$B9,Benchmark_DB!$N$5:$N$41,1,Benchmark_DB!$F$5:$F$41,12,Benchmark_DB!$H$5:$H$41,"PPE")=0,"",SUMIFS(Benchmark_DB!$V$5:$V$41,Benchmark_DB!$B$5:$B$41,$A9,Benchmark_DB!$D$5:$D$41,$B9,Benchmark_DB!$N$5:$N$41,1,Benchmark_DB!$F$5:$F$41,12,Benchmark_DB!$H$5:$H$41,"PPE"))</f>
        <v/>
      </c>
      <c r="Y9" s="142">
        <f>IF(COUNTIFS(Benchmark_DB!$B$5:$B$41,$A9,Benchmark_DB!$D$5:$D$41,$B9,Benchmark_DB!$N$5:$N$41,1,Benchmark_DB!$F$5:$F$41,12,Benchmark_DB!$H$5:$H$41,"DEBT")=0,"",SUMIFS(Benchmark_DB!$V$5:$V$41,Benchmark_DB!$B$5:$B$41,$A9,Benchmark_DB!$D$5:$D$41,$B9,Benchmark_DB!$N$5:$N$41,1,Benchmark_DB!$F$5:$F$41,12,Benchmark_DB!$H$5:$H$41,"DEBT"))</f>
        <v/>
      </c>
      <c r="Z9" s="142">
        <f>IF(COUNTIFS(Benchmark_DB!$B$5:$B$41,$A9,Benchmark_DB!$D$5:$D$41,$B9,Benchmark_DB!$N$5:$N$41,1,Benchmark_DB!$F$5:$F$41,12,Benchmark_DB!$H$5:$H$41,"LEASE")=0,"",SUMIFS(Benchmark_DB!$V$5:$V$41,Benchmark_DB!$B$5:$B$41,$A9,Benchmark_DB!$D$5:$D$41,$B9,Benchmark_DB!$N$5:$N$41,1,Benchmark_DB!$F$5:$F$41,12,Benchmark_DB!$H$5:$H$41,"LEASE"))</f>
        <v/>
      </c>
      <c r="AA9" s="142">
        <f>IF(COUNTIFS(Benchmark_DB!$B$5:$B$41,$A9,Benchmark_DB!$D$5:$D$41,$B9,Benchmark_DB!$N$5:$N$41,1,Benchmark_DB!$F$5:$F$41,12,Benchmark_DB!$H$5:$H$41,"EQUITY")=0,"",SUMIFS(Benchmark_DB!$V$5:$V$41,Benchmark_DB!$B$5:$B$41,$A9,Benchmark_DB!$D$5:$D$41,$B9,Benchmark_DB!$N$5:$N$41,1,Benchmark_DB!$F$5:$F$41,12,Benchmark_DB!$H$5:$H$41,"EQUITY"))</f>
        <v/>
      </c>
      <c r="AB9" s="142">
        <f>IF(COUNTIFS(Benchmark_DB!$B$5:$B$41,$A9,Benchmark_DB!$D$5:$D$41,$B9,Benchmark_DB!$N$5:$N$41,1,Benchmark_DB!$F$5:$F$41,12,Benchmark_DB!$H$5:$H$41,"TOTAL_ASSETS")=0,"",SUMIFS(Benchmark_DB!$V$5:$V$41,Benchmark_DB!$B$5:$B$41,$A9,Benchmark_DB!$D$5:$D$41,$B9,Benchmark_DB!$N$5:$N$41,1,Benchmark_DB!$F$5:$F$41,12,Benchmark_DB!$H$5:$H$41,"TOTAL_ASSETS"))</f>
        <v/>
      </c>
      <c r="AC9" s="142">
        <f>IF(COUNTIFS(Benchmark_DB!$B$5:$B$41,$A9,Benchmark_DB!$D$5:$D$41,$B9,Benchmark_DB!$N$5:$N$41,1,Benchmark_DB!$F$5:$F$41,12,Benchmark_DB!$H$5:$H$41,"TOTAL_LIAB")=0,"",SUMIFS(Benchmark_DB!$V$5:$V$41,Benchmark_DB!$B$5:$B$41,$A9,Benchmark_DB!$D$5:$D$41,$B9,Benchmark_DB!$N$5:$N$41,1,Benchmark_DB!$F$5:$F$41,12,Benchmark_DB!$H$5:$H$41,"TOTAL_LIAB"))</f>
        <v/>
      </c>
      <c r="AD9" s="142">
        <f>IF(COUNTIFS(Benchmark_DB!$B$5:$B$41,$A9,Benchmark_DB!$D$5:$D$41,$B9,Benchmark_DB!$N$5:$N$41,1,Benchmark_DB!$F$5:$F$41,12,Benchmark_DB!$H$5:$H$41,"CFO")=0,"",SUMIFS(Benchmark_DB!$V$5:$V$41,Benchmark_DB!$B$5:$B$41,$A9,Benchmark_DB!$D$5:$D$41,$B9,Benchmark_DB!$N$5:$N$41,1,Benchmark_DB!$F$5:$F$41,12,Benchmark_DB!$H$5:$H$41,"CFO"))</f>
        <v/>
      </c>
      <c r="AE9" s="142">
        <f>IF(COUNTIFS(Benchmark_DB!$B$5:$B$41,$A9,Benchmark_DB!$D$5:$D$41,$B9,Benchmark_DB!$N$5:$N$41,1,Benchmark_DB!$F$5:$F$41,12,Benchmark_DB!$H$5:$H$41,"CAPEX")=0,"",SUMIFS(Benchmark_DB!$V$5:$V$41,Benchmark_DB!$B$5:$B$41,$A9,Benchmark_DB!$D$5:$D$41,$B9,Benchmark_DB!$N$5:$N$41,1,Benchmark_DB!$F$5:$F$41,12,Benchmark_DB!$H$5:$H$41,"CAPEX"))</f>
        <v/>
      </c>
      <c r="AF9" s="142">
        <f>IF(COUNTIFS(Benchmark_DB!$B$5:$B$41,$A9,Benchmark_DB!$D$5:$D$41,$B9,Benchmark_DB!$N$5:$N$41,1,Benchmark_DB!$F$5:$F$41,12,Benchmark_DB!$H$5:$H$41,"DEBT_DRAW")=0,"",SUMIFS(Benchmark_DB!$V$5:$V$41,Benchmark_DB!$B$5:$B$41,$A9,Benchmark_DB!$D$5:$D$41,$B9,Benchmark_DB!$N$5:$N$41,1,Benchmark_DB!$F$5:$F$41,12,Benchmark_DB!$H$5:$H$41,"DEBT_DRAW"))</f>
        <v/>
      </c>
      <c r="AG9" s="142">
        <f>IF(COUNTIFS(Benchmark_DB!$B$5:$B$41,$A9,Benchmark_DB!$D$5:$D$41,$B9,Benchmark_DB!$N$5:$N$41,1,Benchmark_DB!$F$5:$F$41,12,Benchmark_DB!$H$5:$H$41,"EQUITY_RAISED")=0,"",SUMIFS(Benchmark_DB!$V$5:$V$41,Benchmark_DB!$B$5:$B$41,$A9,Benchmark_DB!$D$5:$D$41,$B9,Benchmark_DB!$N$5:$N$41,1,Benchmark_DB!$F$5:$F$41,12,Benchmark_DB!$H$5:$H$41,"EQUITY_RAISED"))</f>
        <v/>
      </c>
      <c r="AH9" s="142">
        <f>IF(COUNTIFS(Benchmark_DB!$B$5:$B$41,$A9,Benchmark_DB!$D$5:$D$41,$B9,Benchmark_DB!$N$5:$N$41,1,Benchmark_DB!$F$5:$F$41,12,Benchmark_DB!$H$5:$H$41,"SECURITISATION")=0,"",SUMIFS(Benchmark_DB!$V$5:$V$41,Benchmark_DB!$B$5:$B$41,$A9,Benchmark_DB!$D$5:$D$41,$B9,Benchmark_DB!$N$5:$N$41,1,Benchmark_DB!$F$5:$F$41,12,Benchmark_DB!$H$5:$H$41,"SECURITISATION"))</f>
        <v/>
      </c>
      <c r="AI9" s="80">
        <f>IF(COUNTIFS(Benchmark_DB!$B$5:$B$41,$A9,Benchmark_DB!$D$5:$D$41,$B9,Benchmark_DB!$N$5:$N$41,1,Benchmark_DB!$F$5:$F$41,12,Benchmark_DB!$H$5:$H$41,"CUST_ACTIVE")=0,"",SUMIFS(Benchmark_DB!$V$5:$V$41,Benchmark_DB!$B$5:$B$41,$A9,Benchmark_DB!$D$5:$D$41,$B9,Benchmark_DB!$N$5:$N$41,1,Benchmark_DB!$F$5:$F$41,12,Benchmark_DB!$H$5:$H$41,"CUST_ACTIVE"))</f>
        <v/>
      </c>
      <c r="AJ9" s="80">
        <f>IF(COUNTIFS(Benchmark_DB!$B$5:$B$41,$A9,Benchmark_DB!$D$5:$D$41,$B9,Benchmark_DB!$N$5:$N$41,1,Benchmark_DB!$F$5:$F$41,12,Benchmark_DB!$H$5:$H$41,"CUST_CUM")=0,"",SUMIFS(Benchmark_DB!$V$5:$V$41,Benchmark_DB!$B$5:$B$41,$A9,Benchmark_DB!$D$5:$D$41,$B9,Benchmark_DB!$N$5:$N$41,1,Benchmark_DB!$F$5:$F$41,12,Benchmark_DB!$H$5:$H$41,"CUST_CUM"))</f>
        <v/>
      </c>
      <c r="AK9" s="80">
        <f>IF(COUNTIFS(Benchmark_DB!$B$5:$B$41,$A9,Benchmark_DB!$D$5:$D$41,$B9,Benchmark_DB!$N$5:$N$41,1,Benchmark_DB!$F$5:$F$41,12,Benchmark_DB!$H$5:$H$41,"UNITS")=0,"",SUMIFS(Benchmark_DB!$V$5:$V$41,Benchmark_DB!$B$5:$B$41,$A9,Benchmark_DB!$D$5:$D$41,$B9,Benchmark_DB!$N$5:$N$41,1,Benchmark_DB!$F$5:$F$41,12,Benchmark_DB!$H$5:$H$41,"UNITS"))</f>
        <v/>
      </c>
      <c r="AL9" s="142">
        <f>IF(COUNTIFS(Benchmark_DB!$B$5:$B$41,$A9,Benchmark_DB!$D$5:$D$41,$B9,Benchmark_DB!$N$5:$N$41,1,Benchmark_DB!$F$5:$F$41,12,Benchmark_DB!$H$5:$H$41,"LOANS_CUM")=0,"",SUMIFS(Benchmark_DB!$V$5:$V$41,Benchmark_DB!$B$5:$B$41,$A9,Benchmark_DB!$D$5:$D$41,$B9,Benchmark_DB!$N$5:$N$41,1,Benchmark_DB!$F$5:$F$41,12,Benchmark_DB!$H$5:$H$41,"LOANS_CUM"))</f>
        <v/>
      </c>
      <c r="AM9" s="81">
        <f>IF(COUNTIFS(Benchmark_DB!$B$5:$B$41,$A9,Benchmark_DB!$D$5:$D$41,$B9,Benchmark_DB!$N$5:$N$41,1,Benchmark_DB!$F$5:$F$41,12,Benchmark_DB!$H$5:$H$41,"REV_GROWTH")=0,"",SUMIFS(Benchmark_DB!$V$5:$V$41,Benchmark_DB!$B$5:$B$41,$A9,Benchmark_DB!$D$5:$D$41,$B9,Benchmark_DB!$N$5:$N$41,1,Benchmark_DB!$F$5:$F$41,12,Benchmark_DB!$H$5:$H$41,"REV_GROWTH"))</f>
        <v/>
      </c>
      <c r="AN9" s="81">
        <f>IF(COUNTIFS(Benchmark_DB!$B$5:$B$41,$A9,Benchmark_DB!$D$5:$D$41,$B9,Benchmark_DB!$N$5:$N$41,1,Benchmark_DB!$F$5:$F$41,12,Benchmark_DB!$H$5:$H$41,"COLL_RATE")=0,"",SUMIFS(Benchmark_DB!$V$5:$V$41,Benchmark_DB!$B$5:$B$41,$A9,Benchmark_DB!$D$5:$D$41,$B9,Benchmark_DB!$N$5:$N$41,1,Benchmark_DB!$F$5:$F$41,12,Benchmark_DB!$H$5:$H$41,"COLL_RATE"))</f>
        <v/>
      </c>
      <c r="AO9" s="81">
        <f>IF(COUNTIFS(Benchmark_DB!$B$5:$B$41,$A9,Benchmark_DB!$D$5:$D$41,$B9,Benchmark_DB!$N$5:$N$41,1,Benchmark_DB!$F$5:$F$41,12,Benchmark_DB!$H$5:$H$41,"PAR30")=0,"",SUMIFS(Benchmark_DB!$V$5:$V$41,Benchmark_DB!$B$5:$B$41,$A9,Benchmark_DB!$D$5:$D$41,$B9,Benchmark_DB!$N$5:$N$41,1,Benchmark_DB!$F$5:$F$41,12,Benchmark_DB!$H$5:$H$41,"PAR30"))</f>
        <v/>
      </c>
      <c r="AP9" s="81">
        <f>IF(COUNTIFS(Benchmark_DB!$B$5:$B$41,$A9,Benchmark_DB!$D$5:$D$41,$B9,Benchmark_DB!$N$5:$N$41,1,Benchmark_DB!$F$5:$F$41,12,Benchmark_DB!$H$5:$H$41,"OWNERSHIP_RATE")=0,"",SUMIFS(Benchmark_DB!$V$5:$V$41,Benchmark_DB!$B$5:$B$41,$A9,Benchmark_DB!$D$5:$D$41,$B9,Benchmark_DB!$N$5:$N$41,1,Benchmark_DB!$F$5:$F$41,12,Benchmark_DB!$H$5:$H$41,"OWNERSHIP_RATE"))</f>
        <v/>
      </c>
      <c r="AQ9" s="142">
        <f>IF(COUNTIFS(Benchmark_DB!$B$5:$B$41,$A9,Benchmark_DB!$D$5:$D$41,$B9,Benchmark_DB!$N$5:$N$41,1,Benchmark_DB!$F$5:$F$41,12,Benchmark_DB!$H$5:$H$41,"RAGP")=0,"",SUMIFS(Benchmark_DB!$V$5:$V$41,Benchmark_DB!$B$5:$B$41,$A9,Benchmark_DB!$D$5:$D$41,$B9,Benchmark_DB!$N$5:$N$41,1,Benchmark_DB!$F$5:$F$41,12,Benchmark_DB!$H$5:$H$41,"RAGP"))</f>
        <v/>
      </c>
    </row>
    <row r="10">
      <c r="A10" s="34" t="inlineStr">
        <is>
          <t>Watu</t>
        </is>
      </c>
      <c r="B10" s="23" t="n">
        <v>2025</v>
      </c>
      <c r="C10" s="34" t="inlineStr">
        <is>
          <t>Peer</t>
        </is>
      </c>
      <c r="D10" s="50">
        <f>IF(COUNTIFS(Benchmark_DB!$B$5:$B$41,$A10,Benchmark_DB!$D$5:$D$41,$B10,Benchmark_DB!$N$5:$N$41,1,Benchmark_DB!$F$5:$F$41,12,Benchmark_DB!$S$5:$S$41,"E")&gt;0,"E",IF(COUNTIFS(Benchmark_DB!$B$5:$B$41,$A10,Benchmark_DB!$D$5:$D$41,$B10,Benchmark_DB!$N$5:$N$41,1,Benchmark_DB!$F$5:$F$41,12,Benchmark_DB!$S$5:$S$41,"D")&gt;0,"D",IF(COUNTIFS(Benchmark_DB!$B$5:$B$41,$A10,Benchmark_DB!$D$5:$D$41,$B10,Benchmark_DB!$N$5:$N$41,1,Benchmark_DB!$F$5:$F$41,12,Benchmark_DB!$S$5:$S$41,"C")&gt;0,"C",IF(COUNTIFS(Benchmark_DB!$B$5:$B$41,$A10,Benchmark_DB!$D$5:$D$41,$B10,Benchmark_DB!$N$5:$N$41,1,Benchmark_DB!$F$5:$F$41,12,Benchmark_DB!$S$5:$S$41,"B")&gt;0,"B",IF(COUNTIFS(Benchmark_DB!$B$5:$B$41,$A10,Benchmark_DB!$D$5:$D$41,$B10,Benchmark_DB!$N$5:$N$41,1,Benchmark_DB!$F$5:$F$41,12,Benchmark_DB!$S$5:$S$41,"A")&gt;0,"A","-")))))</f>
        <v/>
      </c>
      <c r="E10" s="23">
        <f>IF(OR(D10="A",D10="B",D10="C"),1,0)</f>
        <v/>
      </c>
      <c r="F10" s="142">
        <f>IF(COUNTIFS(Benchmark_DB!$B$5:$B$41,$A10,Benchmark_DB!$D$5:$D$41,$B10,Benchmark_DB!$N$5:$N$41,1,Benchmark_DB!$F$5:$F$41,12,Benchmark_DB!$H$5:$H$41,"REV")=0,"",SUMIFS(Benchmark_DB!$V$5:$V$41,Benchmark_DB!$B$5:$B$41,$A10,Benchmark_DB!$D$5:$D$41,$B10,Benchmark_DB!$N$5:$N$41,1,Benchmark_DB!$F$5:$F$41,12,Benchmark_DB!$H$5:$H$41,"REV"))</f>
        <v/>
      </c>
      <c r="G10" s="142">
        <f>IF(COUNTIFS(Benchmark_DB!$B$5:$B$41,$A10,Benchmark_DB!$D$5:$D$41,$B10,Benchmark_DB!$N$5:$N$41,1,Benchmark_DB!$F$5:$F$41,12,Benchmark_DB!$H$5:$H$41,"REV_FIN")=0,"",SUMIFS(Benchmark_DB!$V$5:$V$41,Benchmark_DB!$B$5:$B$41,$A10,Benchmark_DB!$D$5:$D$41,$B10,Benchmark_DB!$N$5:$N$41,1,Benchmark_DB!$F$5:$F$41,12,Benchmark_DB!$H$5:$H$41,"REV_FIN"))</f>
        <v/>
      </c>
      <c r="H10" s="142">
        <f>IF(COUNTIFS(Benchmark_DB!$B$5:$B$41,$A10,Benchmark_DB!$D$5:$D$41,$B10,Benchmark_DB!$N$5:$N$41,1,Benchmark_DB!$F$5:$F$41,12,Benchmark_DB!$H$5:$H$41,"COGS")=0,"",SUMIFS(Benchmark_DB!$V$5:$V$41,Benchmark_DB!$B$5:$B$41,$A10,Benchmark_DB!$D$5:$D$41,$B10,Benchmark_DB!$N$5:$N$41,1,Benchmark_DB!$F$5:$F$41,12,Benchmark_DB!$H$5:$H$41,"COGS"))</f>
        <v/>
      </c>
      <c r="I10" s="142">
        <f>IF(COUNTIFS(Benchmark_DB!$B$5:$B$41,$A10,Benchmark_DB!$D$5:$D$41,$B10,Benchmark_DB!$N$5:$N$41,1,Benchmark_DB!$F$5:$F$41,12,Benchmark_DB!$H$5:$H$41,"GP")=0,"",SUMIFS(Benchmark_DB!$V$5:$V$41,Benchmark_DB!$B$5:$B$41,$A10,Benchmark_DB!$D$5:$D$41,$B10,Benchmark_DB!$N$5:$N$41,1,Benchmark_DB!$F$5:$F$41,12,Benchmark_DB!$H$5:$H$41,"GP"))</f>
        <v/>
      </c>
      <c r="J10" s="142">
        <f>IF(COUNTIFS(Benchmark_DB!$B$5:$B$41,$A10,Benchmark_DB!$D$5:$D$41,$B10,Benchmark_DB!$N$5:$N$41,1,Benchmark_DB!$F$5:$F$41,12,Benchmark_DB!$H$5:$H$41,"OPEX")=0,"",SUMIFS(Benchmark_DB!$V$5:$V$41,Benchmark_DB!$B$5:$B$41,$A10,Benchmark_DB!$D$5:$D$41,$B10,Benchmark_DB!$N$5:$N$41,1,Benchmark_DB!$F$5:$F$41,12,Benchmark_DB!$H$5:$H$41,"OPEX"))</f>
        <v/>
      </c>
      <c r="K10" s="142">
        <f>IF(COUNTIFS(Benchmark_DB!$B$5:$B$41,$A10,Benchmark_DB!$D$5:$D$41,$B10,Benchmark_DB!$N$5:$N$41,1,Benchmark_DB!$F$5:$F$41,12,Benchmark_DB!$H$5:$H$41,"EBITDA")=0,"",SUMIFS(Benchmark_DB!$V$5:$V$41,Benchmark_DB!$B$5:$B$41,$A10,Benchmark_DB!$D$5:$D$41,$B10,Benchmark_DB!$N$5:$N$41,1,Benchmark_DB!$F$5:$F$41,12,Benchmark_DB!$H$5:$H$41,"EBITDA"))</f>
        <v/>
      </c>
      <c r="L10" s="142">
        <f>IF(COUNTIFS(Benchmark_DB!$B$5:$B$41,$A10,Benchmark_DB!$D$5:$D$41,$B10,Benchmark_DB!$N$5:$N$41,1,Benchmark_DB!$F$5:$F$41,12,Benchmark_DB!$H$5:$H$41,"EBIT")=0,"",SUMIFS(Benchmark_DB!$V$5:$V$41,Benchmark_DB!$B$5:$B$41,$A10,Benchmark_DB!$D$5:$D$41,$B10,Benchmark_DB!$N$5:$N$41,1,Benchmark_DB!$F$5:$F$41,12,Benchmark_DB!$H$5:$H$41,"EBIT"))</f>
        <v/>
      </c>
      <c r="M10" s="142">
        <f>IF(COUNTIFS(Benchmark_DB!$B$5:$B$41,$A10,Benchmark_DB!$D$5:$D$41,$B10,Benchmark_DB!$N$5:$N$41,1,Benchmark_DB!$F$5:$F$41,12,Benchmark_DB!$H$5:$H$41,"DA")=0,"",SUMIFS(Benchmark_DB!$V$5:$V$41,Benchmark_DB!$B$5:$B$41,$A10,Benchmark_DB!$D$5:$D$41,$B10,Benchmark_DB!$N$5:$N$41,1,Benchmark_DB!$F$5:$F$41,12,Benchmark_DB!$H$5:$H$41,"DA"))</f>
        <v/>
      </c>
      <c r="N10" s="142">
        <f>IF(COUNTIFS(Benchmark_DB!$B$5:$B$41,$A10,Benchmark_DB!$D$5:$D$41,$B10,Benchmark_DB!$N$5:$N$41,1,Benchmark_DB!$F$5:$F$41,12,Benchmark_DB!$H$5:$H$41,"FIN_COST")=0,"",SUMIFS(Benchmark_DB!$V$5:$V$41,Benchmark_DB!$B$5:$B$41,$A10,Benchmark_DB!$D$5:$D$41,$B10,Benchmark_DB!$N$5:$N$41,1,Benchmark_DB!$F$5:$F$41,12,Benchmark_DB!$H$5:$H$41,"FIN_COST"))</f>
        <v/>
      </c>
      <c r="O10" s="142">
        <f>IF(COUNTIFS(Benchmark_DB!$B$5:$B$41,$A10,Benchmark_DB!$D$5:$D$41,$B10,Benchmark_DB!$N$5:$N$41,1,Benchmark_DB!$F$5:$F$41,12,Benchmark_DB!$H$5:$H$41,"ECL")=0,"",SUMIFS(Benchmark_DB!$V$5:$V$41,Benchmark_DB!$B$5:$B$41,$A10,Benchmark_DB!$D$5:$D$41,$B10,Benchmark_DB!$N$5:$N$41,1,Benchmark_DB!$F$5:$F$41,12,Benchmark_DB!$H$5:$H$41,"ECL"))</f>
        <v/>
      </c>
      <c r="P10" s="142">
        <f>IF(COUNTIFS(Benchmark_DB!$B$5:$B$41,$A10,Benchmark_DB!$D$5:$D$41,$B10,Benchmark_DB!$N$5:$N$41,1,Benchmark_DB!$F$5:$F$41,12,Benchmark_DB!$H$5:$H$41,"TAX")=0,"",SUMIFS(Benchmark_DB!$V$5:$V$41,Benchmark_DB!$B$5:$B$41,$A10,Benchmark_DB!$D$5:$D$41,$B10,Benchmark_DB!$N$5:$N$41,1,Benchmark_DB!$F$5:$F$41,12,Benchmark_DB!$H$5:$H$41,"TAX"))</f>
        <v/>
      </c>
      <c r="Q10" s="142">
        <f>IF(COUNTIFS(Benchmark_DB!$B$5:$B$41,$A10,Benchmark_DB!$D$5:$D$41,$B10,Benchmark_DB!$N$5:$N$41,1,Benchmark_DB!$F$5:$F$41,12,Benchmark_DB!$H$5:$H$41,"NI")=0,"",SUMIFS(Benchmark_DB!$V$5:$V$41,Benchmark_DB!$B$5:$B$41,$A10,Benchmark_DB!$D$5:$D$41,$B10,Benchmark_DB!$N$5:$N$41,1,Benchmark_DB!$F$5:$F$41,12,Benchmark_DB!$H$5:$H$41,"NI"))</f>
        <v/>
      </c>
      <c r="R10" s="142">
        <f>IF(COUNTIFS(Benchmark_DB!$B$5:$B$41,$A10,Benchmark_DB!$D$5:$D$41,$B10,Benchmark_DB!$N$5:$N$41,1,Benchmark_DB!$F$5:$F$41,12,Benchmark_DB!$H$5:$H$41,"CASH")=0,"",SUMIFS(Benchmark_DB!$V$5:$V$41,Benchmark_DB!$B$5:$B$41,$A10,Benchmark_DB!$D$5:$D$41,$B10,Benchmark_DB!$N$5:$N$41,1,Benchmark_DB!$F$5:$F$41,12,Benchmark_DB!$H$5:$H$41,"CASH"))</f>
        <v/>
      </c>
      <c r="S10" s="142">
        <f>IF(COUNTIFS(Benchmark_DB!$B$5:$B$41,$A10,Benchmark_DB!$D$5:$D$41,$B10,Benchmark_DB!$N$5:$N$41,1,Benchmark_DB!$F$5:$F$41,12,Benchmark_DB!$H$5:$H$41,"INV")=0,"",SUMIFS(Benchmark_DB!$V$5:$V$41,Benchmark_DB!$B$5:$B$41,$A10,Benchmark_DB!$D$5:$D$41,$B10,Benchmark_DB!$N$5:$N$41,1,Benchmark_DB!$F$5:$F$41,12,Benchmark_DB!$H$5:$H$41,"INV"))</f>
        <v/>
      </c>
      <c r="T10" s="142">
        <f>IF(COUNTIFS(Benchmark_DB!$B$5:$B$41,$A10,Benchmark_DB!$D$5:$D$41,$B10,Benchmark_DB!$N$5:$N$41,1,Benchmark_DB!$F$5:$F$41,12,Benchmark_DB!$H$5:$H$41,"AP")=0,"",SUMIFS(Benchmark_DB!$V$5:$V$41,Benchmark_DB!$B$5:$B$41,$A10,Benchmark_DB!$D$5:$D$41,$B10,Benchmark_DB!$N$5:$N$41,1,Benchmark_DB!$F$5:$F$41,12,Benchmark_DB!$H$5:$H$41,"AP"))</f>
        <v/>
      </c>
      <c r="U10" s="142">
        <f>IF(COUNTIFS(Benchmark_DB!$B$5:$B$41,$A10,Benchmark_DB!$D$5:$D$41,$B10,Benchmark_DB!$N$5:$N$41,1,Benchmark_DB!$F$5:$F$41,12,Benchmark_DB!$H$5:$H$41,"TRADE_REC")=0,"",SUMIFS(Benchmark_DB!$V$5:$V$41,Benchmark_DB!$B$5:$B$41,$A10,Benchmark_DB!$D$5:$D$41,$B10,Benchmark_DB!$N$5:$N$41,1,Benchmark_DB!$F$5:$F$41,12,Benchmark_DB!$H$5:$H$41,"TRADE_REC"))</f>
        <v/>
      </c>
      <c r="V10" s="142">
        <f>IF(COUNTIFS(Benchmark_DB!$B$5:$B$41,$A10,Benchmark_DB!$D$5:$D$41,$B10,Benchmark_DB!$N$5:$N$41,1,Benchmark_DB!$F$5:$F$41,12,Benchmark_DB!$H$5:$H$41,"PAYGO_REC_GROSS")=0,"",SUMIFS(Benchmark_DB!$V$5:$V$41,Benchmark_DB!$B$5:$B$41,$A10,Benchmark_DB!$D$5:$D$41,$B10,Benchmark_DB!$N$5:$N$41,1,Benchmark_DB!$F$5:$F$41,12,Benchmark_DB!$H$5:$H$41,"PAYGO_REC_GROSS"))</f>
        <v/>
      </c>
      <c r="W10" s="142">
        <f>IF(COUNTIFS(Benchmark_DB!$B$5:$B$41,$A10,Benchmark_DB!$D$5:$D$41,$B10,Benchmark_DB!$N$5:$N$41,1,Benchmark_DB!$F$5:$F$41,12,Benchmark_DB!$H$5:$H$41,"PAYGO_REC_NET")=0,"",SUMIFS(Benchmark_DB!$V$5:$V$41,Benchmark_DB!$B$5:$B$41,$A10,Benchmark_DB!$D$5:$D$41,$B10,Benchmark_DB!$N$5:$N$41,1,Benchmark_DB!$F$5:$F$41,12,Benchmark_DB!$H$5:$H$41,"PAYGO_REC_NET"))</f>
        <v/>
      </c>
      <c r="X10" s="142">
        <f>IF(COUNTIFS(Benchmark_DB!$B$5:$B$41,$A10,Benchmark_DB!$D$5:$D$41,$B10,Benchmark_DB!$N$5:$N$41,1,Benchmark_DB!$F$5:$F$41,12,Benchmark_DB!$H$5:$H$41,"PPE")=0,"",SUMIFS(Benchmark_DB!$V$5:$V$41,Benchmark_DB!$B$5:$B$41,$A10,Benchmark_DB!$D$5:$D$41,$B10,Benchmark_DB!$N$5:$N$41,1,Benchmark_DB!$F$5:$F$41,12,Benchmark_DB!$H$5:$H$41,"PPE"))</f>
        <v/>
      </c>
      <c r="Y10" s="142">
        <f>IF(COUNTIFS(Benchmark_DB!$B$5:$B$41,$A10,Benchmark_DB!$D$5:$D$41,$B10,Benchmark_DB!$N$5:$N$41,1,Benchmark_DB!$F$5:$F$41,12,Benchmark_DB!$H$5:$H$41,"DEBT")=0,"",SUMIFS(Benchmark_DB!$V$5:$V$41,Benchmark_DB!$B$5:$B$41,$A10,Benchmark_DB!$D$5:$D$41,$B10,Benchmark_DB!$N$5:$N$41,1,Benchmark_DB!$F$5:$F$41,12,Benchmark_DB!$H$5:$H$41,"DEBT"))</f>
        <v/>
      </c>
      <c r="Z10" s="142">
        <f>IF(COUNTIFS(Benchmark_DB!$B$5:$B$41,$A10,Benchmark_DB!$D$5:$D$41,$B10,Benchmark_DB!$N$5:$N$41,1,Benchmark_DB!$F$5:$F$41,12,Benchmark_DB!$H$5:$H$41,"LEASE")=0,"",SUMIFS(Benchmark_DB!$V$5:$V$41,Benchmark_DB!$B$5:$B$41,$A10,Benchmark_DB!$D$5:$D$41,$B10,Benchmark_DB!$N$5:$N$41,1,Benchmark_DB!$F$5:$F$41,12,Benchmark_DB!$H$5:$H$41,"LEASE"))</f>
        <v/>
      </c>
      <c r="AA10" s="142">
        <f>IF(COUNTIFS(Benchmark_DB!$B$5:$B$41,$A10,Benchmark_DB!$D$5:$D$41,$B10,Benchmark_DB!$N$5:$N$41,1,Benchmark_DB!$F$5:$F$41,12,Benchmark_DB!$H$5:$H$41,"EQUITY")=0,"",SUMIFS(Benchmark_DB!$V$5:$V$41,Benchmark_DB!$B$5:$B$41,$A10,Benchmark_DB!$D$5:$D$41,$B10,Benchmark_DB!$N$5:$N$41,1,Benchmark_DB!$F$5:$F$41,12,Benchmark_DB!$H$5:$H$41,"EQUITY"))</f>
        <v/>
      </c>
      <c r="AB10" s="142">
        <f>IF(COUNTIFS(Benchmark_DB!$B$5:$B$41,$A10,Benchmark_DB!$D$5:$D$41,$B10,Benchmark_DB!$N$5:$N$41,1,Benchmark_DB!$F$5:$F$41,12,Benchmark_DB!$H$5:$H$41,"TOTAL_ASSETS")=0,"",SUMIFS(Benchmark_DB!$V$5:$V$41,Benchmark_DB!$B$5:$B$41,$A10,Benchmark_DB!$D$5:$D$41,$B10,Benchmark_DB!$N$5:$N$41,1,Benchmark_DB!$F$5:$F$41,12,Benchmark_DB!$H$5:$H$41,"TOTAL_ASSETS"))</f>
        <v/>
      </c>
      <c r="AC10" s="142">
        <f>IF(COUNTIFS(Benchmark_DB!$B$5:$B$41,$A10,Benchmark_DB!$D$5:$D$41,$B10,Benchmark_DB!$N$5:$N$41,1,Benchmark_DB!$F$5:$F$41,12,Benchmark_DB!$H$5:$H$41,"TOTAL_LIAB")=0,"",SUMIFS(Benchmark_DB!$V$5:$V$41,Benchmark_DB!$B$5:$B$41,$A10,Benchmark_DB!$D$5:$D$41,$B10,Benchmark_DB!$N$5:$N$41,1,Benchmark_DB!$F$5:$F$41,12,Benchmark_DB!$H$5:$H$41,"TOTAL_LIAB"))</f>
        <v/>
      </c>
      <c r="AD10" s="142">
        <f>IF(COUNTIFS(Benchmark_DB!$B$5:$B$41,$A10,Benchmark_DB!$D$5:$D$41,$B10,Benchmark_DB!$N$5:$N$41,1,Benchmark_DB!$F$5:$F$41,12,Benchmark_DB!$H$5:$H$41,"CFO")=0,"",SUMIFS(Benchmark_DB!$V$5:$V$41,Benchmark_DB!$B$5:$B$41,$A10,Benchmark_DB!$D$5:$D$41,$B10,Benchmark_DB!$N$5:$N$41,1,Benchmark_DB!$F$5:$F$41,12,Benchmark_DB!$H$5:$H$41,"CFO"))</f>
        <v/>
      </c>
      <c r="AE10" s="142">
        <f>IF(COUNTIFS(Benchmark_DB!$B$5:$B$41,$A10,Benchmark_DB!$D$5:$D$41,$B10,Benchmark_DB!$N$5:$N$41,1,Benchmark_DB!$F$5:$F$41,12,Benchmark_DB!$H$5:$H$41,"CAPEX")=0,"",SUMIFS(Benchmark_DB!$V$5:$V$41,Benchmark_DB!$B$5:$B$41,$A10,Benchmark_DB!$D$5:$D$41,$B10,Benchmark_DB!$N$5:$N$41,1,Benchmark_DB!$F$5:$F$41,12,Benchmark_DB!$H$5:$H$41,"CAPEX"))</f>
        <v/>
      </c>
      <c r="AF10" s="142">
        <f>IF(COUNTIFS(Benchmark_DB!$B$5:$B$41,$A10,Benchmark_DB!$D$5:$D$41,$B10,Benchmark_DB!$N$5:$N$41,1,Benchmark_DB!$F$5:$F$41,12,Benchmark_DB!$H$5:$H$41,"DEBT_DRAW")=0,"",SUMIFS(Benchmark_DB!$V$5:$V$41,Benchmark_DB!$B$5:$B$41,$A10,Benchmark_DB!$D$5:$D$41,$B10,Benchmark_DB!$N$5:$N$41,1,Benchmark_DB!$F$5:$F$41,12,Benchmark_DB!$H$5:$H$41,"DEBT_DRAW"))</f>
        <v/>
      </c>
      <c r="AG10" s="142">
        <f>IF(COUNTIFS(Benchmark_DB!$B$5:$B$41,$A10,Benchmark_DB!$D$5:$D$41,$B10,Benchmark_DB!$N$5:$N$41,1,Benchmark_DB!$F$5:$F$41,12,Benchmark_DB!$H$5:$H$41,"EQUITY_RAISED")=0,"",SUMIFS(Benchmark_DB!$V$5:$V$41,Benchmark_DB!$B$5:$B$41,$A10,Benchmark_DB!$D$5:$D$41,$B10,Benchmark_DB!$N$5:$N$41,1,Benchmark_DB!$F$5:$F$41,12,Benchmark_DB!$H$5:$H$41,"EQUITY_RAISED"))</f>
        <v/>
      </c>
      <c r="AH10" s="142">
        <f>IF(COUNTIFS(Benchmark_DB!$B$5:$B$41,$A10,Benchmark_DB!$D$5:$D$41,$B10,Benchmark_DB!$N$5:$N$41,1,Benchmark_DB!$F$5:$F$41,12,Benchmark_DB!$H$5:$H$41,"SECURITISATION")=0,"",SUMIFS(Benchmark_DB!$V$5:$V$41,Benchmark_DB!$B$5:$B$41,$A10,Benchmark_DB!$D$5:$D$41,$B10,Benchmark_DB!$N$5:$N$41,1,Benchmark_DB!$F$5:$F$41,12,Benchmark_DB!$H$5:$H$41,"SECURITISATION"))</f>
        <v/>
      </c>
      <c r="AI10" s="80">
        <f>IF(COUNTIFS(Benchmark_DB!$B$5:$B$41,$A10,Benchmark_DB!$D$5:$D$41,$B10,Benchmark_DB!$N$5:$N$41,1,Benchmark_DB!$F$5:$F$41,12,Benchmark_DB!$H$5:$H$41,"CUST_ACTIVE")=0,"",SUMIFS(Benchmark_DB!$V$5:$V$41,Benchmark_DB!$B$5:$B$41,$A10,Benchmark_DB!$D$5:$D$41,$B10,Benchmark_DB!$N$5:$N$41,1,Benchmark_DB!$F$5:$F$41,12,Benchmark_DB!$H$5:$H$41,"CUST_ACTIVE"))</f>
        <v/>
      </c>
      <c r="AJ10" s="80">
        <f>IF(COUNTIFS(Benchmark_DB!$B$5:$B$41,$A10,Benchmark_DB!$D$5:$D$41,$B10,Benchmark_DB!$N$5:$N$41,1,Benchmark_DB!$F$5:$F$41,12,Benchmark_DB!$H$5:$H$41,"CUST_CUM")=0,"",SUMIFS(Benchmark_DB!$V$5:$V$41,Benchmark_DB!$B$5:$B$41,$A10,Benchmark_DB!$D$5:$D$41,$B10,Benchmark_DB!$N$5:$N$41,1,Benchmark_DB!$F$5:$F$41,12,Benchmark_DB!$H$5:$H$41,"CUST_CUM"))</f>
        <v/>
      </c>
      <c r="AK10" s="80">
        <f>IF(COUNTIFS(Benchmark_DB!$B$5:$B$41,$A10,Benchmark_DB!$D$5:$D$41,$B10,Benchmark_DB!$N$5:$N$41,1,Benchmark_DB!$F$5:$F$41,12,Benchmark_DB!$H$5:$H$41,"UNITS")=0,"",SUMIFS(Benchmark_DB!$V$5:$V$41,Benchmark_DB!$B$5:$B$41,$A10,Benchmark_DB!$D$5:$D$41,$B10,Benchmark_DB!$N$5:$N$41,1,Benchmark_DB!$F$5:$F$41,12,Benchmark_DB!$H$5:$H$41,"UNITS"))</f>
        <v/>
      </c>
      <c r="AL10" s="142">
        <f>IF(COUNTIFS(Benchmark_DB!$B$5:$B$41,$A10,Benchmark_DB!$D$5:$D$41,$B10,Benchmark_DB!$N$5:$N$41,1,Benchmark_DB!$F$5:$F$41,12,Benchmark_DB!$H$5:$H$41,"LOANS_CUM")=0,"",SUMIFS(Benchmark_DB!$V$5:$V$41,Benchmark_DB!$B$5:$B$41,$A10,Benchmark_DB!$D$5:$D$41,$B10,Benchmark_DB!$N$5:$N$41,1,Benchmark_DB!$F$5:$F$41,12,Benchmark_DB!$H$5:$H$41,"LOANS_CUM"))</f>
        <v/>
      </c>
      <c r="AM10" s="81">
        <f>IF(COUNTIFS(Benchmark_DB!$B$5:$B$41,$A10,Benchmark_DB!$D$5:$D$41,$B10,Benchmark_DB!$N$5:$N$41,1,Benchmark_DB!$F$5:$F$41,12,Benchmark_DB!$H$5:$H$41,"REV_GROWTH")=0,"",SUMIFS(Benchmark_DB!$V$5:$V$41,Benchmark_DB!$B$5:$B$41,$A10,Benchmark_DB!$D$5:$D$41,$B10,Benchmark_DB!$N$5:$N$41,1,Benchmark_DB!$F$5:$F$41,12,Benchmark_DB!$H$5:$H$41,"REV_GROWTH"))</f>
        <v/>
      </c>
      <c r="AN10" s="81">
        <f>IF(COUNTIFS(Benchmark_DB!$B$5:$B$41,$A10,Benchmark_DB!$D$5:$D$41,$B10,Benchmark_DB!$N$5:$N$41,1,Benchmark_DB!$F$5:$F$41,12,Benchmark_DB!$H$5:$H$41,"COLL_RATE")=0,"",SUMIFS(Benchmark_DB!$V$5:$V$41,Benchmark_DB!$B$5:$B$41,$A10,Benchmark_DB!$D$5:$D$41,$B10,Benchmark_DB!$N$5:$N$41,1,Benchmark_DB!$F$5:$F$41,12,Benchmark_DB!$H$5:$H$41,"COLL_RATE"))</f>
        <v/>
      </c>
      <c r="AO10" s="81">
        <f>IF(COUNTIFS(Benchmark_DB!$B$5:$B$41,$A10,Benchmark_DB!$D$5:$D$41,$B10,Benchmark_DB!$N$5:$N$41,1,Benchmark_DB!$F$5:$F$41,12,Benchmark_DB!$H$5:$H$41,"PAR30")=0,"",SUMIFS(Benchmark_DB!$V$5:$V$41,Benchmark_DB!$B$5:$B$41,$A10,Benchmark_DB!$D$5:$D$41,$B10,Benchmark_DB!$N$5:$N$41,1,Benchmark_DB!$F$5:$F$41,12,Benchmark_DB!$H$5:$H$41,"PAR30"))</f>
        <v/>
      </c>
      <c r="AP10" s="81">
        <f>IF(COUNTIFS(Benchmark_DB!$B$5:$B$41,$A10,Benchmark_DB!$D$5:$D$41,$B10,Benchmark_DB!$N$5:$N$41,1,Benchmark_DB!$F$5:$F$41,12,Benchmark_DB!$H$5:$H$41,"OWNERSHIP_RATE")=0,"",SUMIFS(Benchmark_DB!$V$5:$V$41,Benchmark_DB!$B$5:$B$41,$A10,Benchmark_DB!$D$5:$D$41,$B10,Benchmark_DB!$N$5:$N$41,1,Benchmark_DB!$F$5:$F$41,12,Benchmark_DB!$H$5:$H$41,"OWNERSHIP_RATE"))</f>
        <v/>
      </c>
      <c r="AQ10" s="142">
        <f>IF(COUNTIFS(Benchmark_DB!$B$5:$B$41,$A10,Benchmark_DB!$D$5:$D$41,$B10,Benchmark_DB!$N$5:$N$41,1,Benchmark_DB!$F$5:$F$41,12,Benchmark_DB!$H$5:$H$41,"RAGP")=0,"",SUMIFS(Benchmark_DB!$V$5:$V$41,Benchmark_DB!$B$5:$B$41,$A10,Benchmark_DB!$D$5:$D$41,$B10,Benchmark_DB!$N$5:$N$41,1,Benchmark_DB!$F$5:$F$41,12,Benchmark_DB!$H$5:$H$41,"RAGP"))</f>
        <v/>
      </c>
    </row>
    <row r="11">
      <c r="A11" s="34" t="inlineStr">
        <is>
          <t>ZOLA Electric</t>
        </is>
      </c>
      <c r="B11" s="23" t="n">
        <v>2021</v>
      </c>
      <c r="C11" s="34" t="inlineStr">
        <is>
          <t>Peer</t>
        </is>
      </c>
      <c r="D11" s="50">
        <f>IF(COUNTIFS(Benchmark_DB!$B$5:$B$41,$A11,Benchmark_DB!$D$5:$D$41,$B11,Benchmark_DB!$N$5:$N$41,1,Benchmark_DB!$F$5:$F$41,12,Benchmark_DB!$S$5:$S$41,"E")&gt;0,"E",IF(COUNTIFS(Benchmark_DB!$B$5:$B$41,$A11,Benchmark_DB!$D$5:$D$41,$B11,Benchmark_DB!$N$5:$N$41,1,Benchmark_DB!$F$5:$F$41,12,Benchmark_DB!$S$5:$S$41,"D")&gt;0,"D",IF(COUNTIFS(Benchmark_DB!$B$5:$B$41,$A11,Benchmark_DB!$D$5:$D$41,$B11,Benchmark_DB!$N$5:$N$41,1,Benchmark_DB!$F$5:$F$41,12,Benchmark_DB!$S$5:$S$41,"C")&gt;0,"C",IF(COUNTIFS(Benchmark_DB!$B$5:$B$41,$A11,Benchmark_DB!$D$5:$D$41,$B11,Benchmark_DB!$N$5:$N$41,1,Benchmark_DB!$F$5:$F$41,12,Benchmark_DB!$S$5:$S$41,"B")&gt;0,"B",IF(COUNTIFS(Benchmark_DB!$B$5:$B$41,$A11,Benchmark_DB!$D$5:$D$41,$B11,Benchmark_DB!$N$5:$N$41,1,Benchmark_DB!$F$5:$F$41,12,Benchmark_DB!$S$5:$S$41,"A")&gt;0,"A","-")))))</f>
        <v/>
      </c>
      <c r="E11" s="23">
        <f>IF(OR(D11="A",D11="B",D11="C"),1,0)</f>
        <v/>
      </c>
      <c r="F11" s="142">
        <f>IF(COUNTIFS(Benchmark_DB!$B$5:$B$41,$A11,Benchmark_DB!$D$5:$D$41,$B11,Benchmark_DB!$N$5:$N$41,1,Benchmark_DB!$F$5:$F$41,12,Benchmark_DB!$H$5:$H$41,"REV")=0,"",SUMIFS(Benchmark_DB!$V$5:$V$41,Benchmark_DB!$B$5:$B$41,$A11,Benchmark_DB!$D$5:$D$41,$B11,Benchmark_DB!$N$5:$N$41,1,Benchmark_DB!$F$5:$F$41,12,Benchmark_DB!$H$5:$H$41,"REV"))</f>
        <v/>
      </c>
      <c r="G11" s="142">
        <f>IF(COUNTIFS(Benchmark_DB!$B$5:$B$41,$A11,Benchmark_DB!$D$5:$D$41,$B11,Benchmark_DB!$N$5:$N$41,1,Benchmark_DB!$F$5:$F$41,12,Benchmark_DB!$H$5:$H$41,"REV_FIN")=0,"",SUMIFS(Benchmark_DB!$V$5:$V$41,Benchmark_DB!$B$5:$B$41,$A11,Benchmark_DB!$D$5:$D$41,$B11,Benchmark_DB!$N$5:$N$41,1,Benchmark_DB!$F$5:$F$41,12,Benchmark_DB!$H$5:$H$41,"REV_FIN"))</f>
        <v/>
      </c>
      <c r="H11" s="142">
        <f>IF(COUNTIFS(Benchmark_DB!$B$5:$B$41,$A11,Benchmark_DB!$D$5:$D$41,$B11,Benchmark_DB!$N$5:$N$41,1,Benchmark_DB!$F$5:$F$41,12,Benchmark_DB!$H$5:$H$41,"COGS")=0,"",SUMIFS(Benchmark_DB!$V$5:$V$41,Benchmark_DB!$B$5:$B$41,$A11,Benchmark_DB!$D$5:$D$41,$B11,Benchmark_DB!$N$5:$N$41,1,Benchmark_DB!$F$5:$F$41,12,Benchmark_DB!$H$5:$H$41,"COGS"))</f>
        <v/>
      </c>
      <c r="I11" s="142">
        <f>IF(COUNTIFS(Benchmark_DB!$B$5:$B$41,$A11,Benchmark_DB!$D$5:$D$41,$B11,Benchmark_DB!$N$5:$N$41,1,Benchmark_DB!$F$5:$F$41,12,Benchmark_DB!$H$5:$H$41,"GP")=0,"",SUMIFS(Benchmark_DB!$V$5:$V$41,Benchmark_DB!$B$5:$B$41,$A11,Benchmark_DB!$D$5:$D$41,$B11,Benchmark_DB!$N$5:$N$41,1,Benchmark_DB!$F$5:$F$41,12,Benchmark_DB!$H$5:$H$41,"GP"))</f>
        <v/>
      </c>
      <c r="J11" s="142">
        <f>IF(COUNTIFS(Benchmark_DB!$B$5:$B$41,$A11,Benchmark_DB!$D$5:$D$41,$B11,Benchmark_DB!$N$5:$N$41,1,Benchmark_DB!$F$5:$F$41,12,Benchmark_DB!$H$5:$H$41,"OPEX")=0,"",SUMIFS(Benchmark_DB!$V$5:$V$41,Benchmark_DB!$B$5:$B$41,$A11,Benchmark_DB!$D$5:$D$41,$B11,Benchmark_DB!$N$5:$N$41,1,Benchmark_DB!$F$5:$F$41,12,Benchmark_DB!$H$5:$H$41,"OPEX"))</f>
        <v/>
      </c>
      <c r="K11" s="142">
        <f>IF(COUNTIFS(Benchmark_DB!$B$5:$B$41,$A11,Benchmark_DB!$D$5:$D$41,$B11,Benchmark_DB!$N$5:$N$41,1,Benchmark_DB!$F$5:$F$41,12,Benchmark_DB!$H$5:$H$41,"EBITDA")=0,"",SUMIFS(Benchmark_DB!$V$5:$V$41,Benchmark_DB!$B$5:$B$41,$A11,Benchmark_DB!$D$5:$D$41,$B11,Benchmark_DB!$N$5:$N$41,1,Benchmark_DB!$F$5:$F$41,12,Benchmark_DB!$H$5:$H$41,"EBITDA"))</f>
        <v/>
      </c>
      <c r="L11" s="142">
        <f>IF(COUNTIFS(Benchmark_DB!$B$5:$B$41,$A11,Benchmark_DB!$D$5:$D$41,$B11,Benchmark_DB!$N$5:$N$41,1,Benchmark_DB!$F$5:$F$41,12,Benchmark_DB!$H$5:$H$41,"EBIT")=0,"",SUMIFS(Benchmark_DB!$V$5:$V$41,Benchmark_DB!$B$5:$B$41,$A11,Benchmark_DB!$D$5:$D$41,$B11,Benchmark_DB!$N$5:$N$41,1,Benchmark_DB!$F$5:$F$41,12,Benchmark_DB!$H$5:$H$41,"EBIT"))</f>
        <v/>
      </c>
      <c r="M11" s="142">
        <f>IF(COUNTIFS(Benchmark_DB!$B$5:$B$41,$A11,Benchmark_DB!$D$5:$D$41,$B11,Benchmark_DB!$N$5:$N$41,1,Benchmark_DB!$F$5:$F$41,12,Benchmark_DB!$H$5:$H$41,"DA")=0,"",SUMIFS(Benchmark_DB!$V$5:$V$41,Benchmark_DB!$B$5:$B$41,$A11,Benchmark_DB!$D$5:$D$41,$B11,Benchmark_DB!$N$5:$N$41,1,Benchmark_DB!$F$5:$F$41,12,Benchmark_DB!$H$5:$H$41,"DA"))</f>
        <v/>
      </c>
      <c r="N11" s="142">
        <f>IF(COUNTIFS(Benchmark_DB!$B$5:$B$41,$A11,Benchmark_DB!$D$5:$D$41,$B11,Benchmark_DB!$N$5:$N$41,1,Benchmark_DB!$F$5:$F$41,12,Benchmark_DB!$H$5:$H$41,"FIN_COST")=0,"",SUMIFS(Benchmark_DB!$V$5:$V$41,Benchmark_DB!$B$5:$B$41,$A11,Benchmark_DB!$D$5:$D$41,$B11,Benchmark_DB!$N$5:$N$41,1,Benchmark_DB!$F$5:$F$41,12,Benchmark_DB!$H$5:$H$41,"FIN_COST"))</f>
        <v/>
      </c>
      <c r="O11" s="142">
        <f>IF(COUNTIFS(Benchmark_DB!$B$5:$B$41,$A11,Benchmark_DB!$D$5:$D$41,$B11,Benchmark_DB!$N$5:$N$41,1,Benchmark_DB!$F$5:$F$41,12,Benchmark_DB!$H$5:$H$41,"ECL")=0,"",SUMIFS(Benchmark_DB!$V$5:$V$41,Benchmark_DB!$B$5:$B$41,$A11,Benchmark_DB!$D$5:$D$41,$B11,Benchmark_DB!$N$5:$N$41,1,Benchmark_DB!$F$5:$F$41,12,Benchmark_DB!$H$5:$H$41,"ECL"))</f>
        <v/>
      </c>
      <c r="P11" s="142">
        <f>IF(COUNTIFS(Benchmark_DB!$B$5:$B$41,$A11,Benchmark_DB!$D$5:$D$41,$B11,Benchmark_DB!$N$5:$N$41,1,Benchmark_DB!$F$5:$F$41,12,Benchmark_DB!$H$5:$H$41,"TAX")=0,"",SUMIFS(Benchmark_DB!$V$5:$V$41,Benchmark_DB!$B$5:$B$41,$A11,Benchmark_DB!$D$5:$D$41,$B11,Benchmark_DB!$N$5:$N$41,1,Benchmark_DB!$F$5:$F$41,12,Benchmark_DB!$H$5:$H$41,"TAX"))</f>
        <v/>
      </c>
      <c r="Q11" s="142">
        <f>IF(COUNTIFS(Benchmark_DB!$B$5:$B$41,$A11,Benchmark_DB!$D$5:$D$41,$B11,Benchmark_DB!$N$5:$N$41,1,Benchmark_DB!$F$5:$F$41,12,Benchmark_DB!$H$5:$H$41,"NI")=0,"",SUMIFS(Benchmark_DB!$V$5:$V$41,Benchmark_DB!$B$5:$B$41,$A11,Benchmark_DB!$D$5:$D$41,$B11,Benchmark_DB!$N$5:$N$41,1,Benchmark_DB!$F$5:$F$41,12,Benchmark_DB!$H$5:$H$41,"NI"))</f>
        <v/>
      </c>
      <c r="R11" s="142">
        <f>IF(COUNTIFS(Benchmark_DB!$B$5:$B$41,$A11,Benchmark_DB!$D$5:$D$41,$B11,Benchmark_DB!$N$5:$N$41,1,Benchmark_DB!$F$5:$F$41,12,Benchmark_DB!$H$5:$H$41,"CASH")=0,"",SUMIFS(Benchmark_DB!$V$5:$V$41,Benchmark_DB!$B$5:$B$41,$A11,Benchmark_DB!$D$5:$D$41,$B11,Benchmark_DB!$N$5:$N$41,1,Benchmark_DB!$F$5:$F$41,12,Benchmark_DB!$H$5:$H$41,"CASH"))</f>
        <v/>
      </c>
      <c r="S11" s="142">
        <f>IF(COUNTIFS(Benchmark_DB!$B$5:$B$41,$A11,Benchmark_DB!$D$5:$D$41,$B11,Benchmark_DB!$N$5:$N$41,1,Benchmark_DB!$F$5:$F$41,12,Benchmark_DB!$H$5:$H$41,"INV")=0,"",SUMIFS(Benchmark_DB!$V$5:$V$41,Benchmark_DB!$B$5:$B$41,$A11,Benchmark_DB!$D$5:$D$41,$B11,Benchmark_DB!$N$5:$N$41,1,Benchmark_DB!$F$5:$F$41,12,Benchmark_DB!$H$5:$H$41,"INV"))</f>
        <v/>
      </c>
      <c r="T11" s="142">
        <f>IF(COUNTIFS(Benchmark_DB!$B$5:$B$41,$A11,Benchmark_DB!$D$5:$D$41,$B11,Benchmark_DB!$N$5:$N$41,1,Benchmark_DB!$F$5:$F$41,12,Benchmark_DB!$H$5:$H$41,"AP")=0,"",SUMIFS(Benchmark_DB!$V$5:$V$41,Benchmark_DB!$B$5:$B$41,$A11,Benchmark_DB!$D$5:$D$41,$B11,Benchmark_DB!$N$5:$N$41,1,Benchmark_DB!$F$5:$F$41,12,Benchmark_DB!$H$5:$H$41,"AP"))</f>
        <v/>
      </c>
      <c r="U11" s="142">
        <f>IF(COUNTIFS(Benchmark_DB!$B$5:$B$41,$A11,Benchmark_DB!$D$5:$D$41,$B11,Benchmark_DB!$N$5:$N$41,1,Benchmark_DB!$F$5:$F$41,12,Benchmark_DB!$H$5:$H$41,"TRADE_REC")=0,"",SUMIFS(Benchmark_DB!$V$5:$V$41,Benchmark_DB!$B$5:$B$41,$A11,Benchmark_DB!$D$5:$D$41,$B11,Benchmark_DB!$N$5:$N$41,1,Benchmark_DB!$F$5:$F$41,12,Benchmark_DB!$H$5:$H$41,"TRADE_REC"))</f>
        <v/>
      </c>
      <c r="V11" s="142">
        <f>IF(COUNTIFS(Benchmark_DB!$B$5:$B$41,$A11,Benchmark_DB!$D$5:$D$41,$B11,Benchmark_DB!$N$5:$N$41,1,Benchmark_DB!$F$5:$F$41,12,Benchmark_DB!$H$5:$H$41,"PAYGO_REC_GROSS")=0,"",SUMIFS(Benchmark_DB!$V$5:$V$41,Benchmark_DB!$B$5:$B$41,$A11,Benchmark_DB!$D$5:$D$41,$B11,Benchmark_DB!$N$5:$N$41,1,Benchmark_DB!$F$5:$F$41,12,Benchmark_DB!$H$5:$H$41,"PAYGO_REC_GROSS"))</f>
        <v/>
      </c>
      <c r="W11" s="142">
        <f>IF(COUNTIFS(Benchmark_DB!$B$5:$B$41,$A11,Benchmark_DB!$D$5:$D$41,$B11,Benchmark_DB!$N$5:$N$41,1,Benchmark_DB!$F$5:$F$41,12,Benchmark_DB!$H$5:$H$41,"PAYGO_REC_NET")=0,"",SUMIFS(Benchmark_DB!$V$5:$V$41,Benchmark_DB!$B$5:$B$41,$A11,Benchmark_DB!$D$5:$D$41,$B11,Benchmark_DB!$N$5:$N$41,1,Benchmark_DB!$F$5:$F$41,12,Benchmark_DB!$H$5:$H$41,"PAYGO_REC_NET"))</f>
        <v/>
      </c>
      <c r="X11" s="142">
        <f>IF(COUNTIFS(Benchmark_DB!$B$5:$B$41,$A11,Benchmark_DB!$D$5:$D$41,$B11,Benchmark_DB!$N$5:$N$41,1,Benchmark_DB!$F$5:$F$41,12,Benchmark_DB!$H$5:$H$41,"PPE")=0,"",SUMIFS(Benchmark_DB!$V$5:$V$41,Benchmark_DB!$B$5:$B$41,$A11,Benchmark_DB!$D$5:$D$41,$B11,Benchmark_DB!$N$5:$N$41,1,Benchmark_DB!$F$5:$F$41,12,Benchmark_DB!$H$5:$H$41,"PPE"))</f>
        <v/>
      </c>
      <c r="Y11" s="142">
        <f>IF(COUNTIFS(Benchmark_DB!$B$5:$B$41,$A11,Benchmark_DB!$D$5:$D$41,$B11,Benchmark_DB!$N$5:$N$41,1,Benchmark_DB!$F$5:$F$41,12,Benchmark_DB!$H$5:$H$41,"DEBT")=0,"",SUMIFS(Benchmark_DB!$V$5:$V$41,Benchmark_DB!$B$5:$B$41,$A11,Benchmark_DB!$D$5:$D$41,$B11,Benchmark_DB!$N$5:$N$41,1,Benchmark_DB!$F$5:$F$41,12,Benchmark_DB!$H$5:$H$41,"DEBT"))</f>
        <v/>
      </c>
      <c r="Z11" s="142">
        <f>IF(COUNTIFS(Benchmark_DB!$B$5:$B$41,$A11,Benchmark_DB!$D$5:$D$41,$B11,Benchmark_DB!$N$5:$N$41,1,Benchmark_DB!$F$5:$F$41,12,Benchmark_DB!$H$5:$H$41,"LEASE")=0,"",SUMIFS(Benchmark_DB!$V$5:$V$41,Benchmark_DB!$B$5:$B$41,$A11,Benchmark_DB!$D$5:$D$41,$B11,Benchmark_DB!$N$5:$N$41,1,Benchmark_DB!$F$5:$F$41,12,Benchmark_DB!$H$5:$H$41,"LEASE"))</f>
        <v/>
      </c>
      <c r="AA11" s="142">
        <f>IF(COUNTIFS(Benchmark_DB!$B$5:$B$41,$A11,Benchmark_DB!$D$5:$D$41,$B11,Benchmark_DB!$N$5:$N$41,1,Benchmark_DB!$F$5:$F$41,12,Benchmark_DB!$H$5:$H$41,"EQUITY")=0,"",SUMIFS(Benchmark_DB!$V$5:$V$41,Benchmark_DB!$B$5:$B$41,$A11,Benchmark_DB!$D$5:$D$41,$B11,Benchmark_DB!$N$5:$N$41,1,Benchmark_DB!$F$5:$F$41,12,Benchmark_DB!$H$5:$H$41,"EQUITY"))</f>
        <v/>
      </c>
      <c r="AB11" s="142">
        <f>IF(COUNTIFS(Benchmark_DB!$B$5:$B$41,$A11,Benchmark_DB!$D$5:$D$41,$B11,Benchmark_DB!$N$5:$N$41,1,Benchmark_DB!$F$5:$F$41,12,Benchmark_DB!$H$5:$H$41,"TOTAL_ASSETS")=0,"",SUMIFS(Benchmark_DB!$V$5:$V$41,Benchmark_DB!$B$5:$B$41,$A11,Benchmark_DB!$D$5:$D$41,$B11,Benchmark_DB!$N$5:$N$41,1,Benchmark_DB!$F$5:$F$41,12,Benchmark_DB!$H$5:$H$41,"TOTAL_ASSETS"))</f>
        <v/>
      </c>
      <c r="AC11" s="142">
        <f>IF(COUNTIFS(Benchmark_DB!$B$5:$B$41,$A11,Benchmark_DB!$D$5:$D$41,$B11,Benchmark_DB!$N$5:$N$41,1,Benchmark_DB!$F$5:$F$41,12,Benchmark_DB!$H$5:$H$41,"TOTAL_LIAB")=0,"",SUMIFS(Benchmark_DB!$V$5:$V$41,Benchmark_DB!$B$5:$B$41,$A11,Benchmark_DB!$D$5:$D$41,$B11,Benchmark_DB!$N$5:$N$41,1,Benchmark_DB!$F$5:$F$41,12,Benchmark_DB!$H$5:$H$41,"TOTAL_LIAB"))</f>
        <v/>
      </c>
      <c r="AD11" s="142">
        <f>IF(COUNTIFS(Benchmark_DB!$B$5:$B$41,$A11,Benchmark_DB!$D$5:$D$41,$B11,Benchmark_DB!$N$5:$N$41,1,Benchmark_DB!$F$5:$F$41,12,Benchmark_DB!$H$5:$H$41,"CFO")=0,"",SUMIFS(Benchmark_DB!$V$5:$V$41,Benchmark_DB!$B$5:$B$41,$A11,Benchmark_DB!$D$5:$D$41,$B11,Benchmark_DB!$N$5:$N$41,1,Benchmark_DB!$F$5:$F$41,12,Benchmark_DB!$H$5:$H$41,"CFO"))</f>
        <v/>
      </c>
      <c r="AE11" s="142">
        <f>IF(COUNTIFS(Benchmark_DB!$B$5:$B$41,$A11,Benchmark_DB!$D$5:$D$41,$B11,Benchmark_DB!$N$5:$N$41,1,Benchmark_DB!$F$5:$F$41,12,Benchmark_DB!$H$5:$H$41,"CAPEX")=0,"",SUMIFS(Benchmark_DB!$V$5:$V$41,Benchmark_DB!$B$5:$B$41,$A11,Benchmark_DB!$D$5:$D$41,$B11,Benchmark_DB!$N$5:$N$41,1,Benchmark_DB!$F$5:$F$41,12,Benchmark_DB!$H$5:$H$41,"CAPEX"))</f>
        <v/>
      </c>
      <c r="AF11" s="142">
        <f>IF(COUNTIFS(Benchmark_DB!$B$5:$B$41,$A11,Benchmark_DB!$D$5:$D$41,$B11,Benchmark_DB!$N$5:$N$41,1,Benchmark_DB!$F$5:$F$41,12,Benchmark_DB!$H$5:$H$41,"DEBT_DRAW")=0,"",SUMIFS(Benchmark_DB!$V$5:$V$41,Benchmark_DB!$B$5:$B$41,$A11,Benchmark_DB!$D$5:$D$41,$B11,Benchmark_DB!$N$5:$N$41,1,Benchmark_DB!$F$5:$F$41,12,Benchmark_DB!$H$5:$H$41,"DEBT_DRAW"))</f>
        <v/>
      </c>
      <c r="AG11" s="142">
        <f>IF(COUNTIFS(Benchmark_DB!$B$5:$B$41,$A11,Benchmark_DB!$D$5:$D$41,$B11,Benchmark_DB!$N$5:$N$41,1,Benchmark_DB!$F$5:$F$41,12,Benchmark_DB!$H$5:$H$41,"EQUITY_RAISED")=0,"",SUMIFS(Benchmark_DB!$V$5:$V$41,Benchmark_DB!$B$5:$B$41,$A11,Benchmark_DB!$D$5:$D$41,$B11,Benchmark_DB!$N$5:$N$41,1,Benchmark_DB!$F$5:$F$41,12,Benchmark_DB!$H$5:$H$41,"EQUITY_RAISED"))</f>
        <v/>
      </c>
      <c r="AH11" s="142">
        <f>IF(COUNTIFS(Benchmark_DB!$B$5:$B$41,$A11,Benchmark_DB!$D$5:$D$41,$B11,Benchmark_DB!$N$5:$N$41,1,Benchmark_DB!$F$5:$F$41,12,Benchmark_DB!$H$5:$H$41,"SECURITISATION")=0,"",SUMIFS(Benchmark_DB!$V$5:$V$41,Benchmark_DB!$B$5:$B$41,$A11,Benchmark_DB!$D$5:$D$41,$B11,Benchmark_DB!$N$5:$N$41,1,Benchmark_DB!$F$5:$F$41,12,Benchmark_DB!$H$5:$H$41,"SECURITISATION"))</f>
        <v/>
      </c>
      <c r="AI11" s="80">
        <f>IF(COUNTIFS(Benchmark_DB!$B$5:$B$41,$A11,Benchmark_DB!$D$5:$D$41,$B11,Benchmark_DB!$N$5:$N$41,1,Benchmark_DB!$F$5:$F$41,12,Benchmark_DB!$H$5:$H$41,"CUST_ACTIVE")=0,"",SUMIFS(Benchmark_DB!$V$5:$V$41,Benchmark_DB!$B$5:$B$41,$A11,Benchmark_DB!$D$5:$D$41,$B11,Benchmark_DB!$N$5:$N$41,1,Benchmark_DB!$F$5:$F$41,12,Benchmark_DB!$H$5:$H$41,"CUST_ACTIVE"))</f>
        <v/>
      </c>
      <c r="AJ11" s="80">
        <f>IF(COUNTIFS(Benchmark_DB!$B$5:$B$41,$A11,Benchmark_DB!$D$5:$D$41,$B11,Benchmark_DB!$N$5:$N$41,1,Benchmark_DB!$F$5:$F$41,12,Benchmark_DB!$H$5:$H$41,"CUST_CUM")=0,"",SUMIFS(Benchmark_DB!$V$5:$V$41,Benchmark_DB!$B$5:$B$41,$A11,Benchmark_DB!$D$5:$D$41,$B11,Benchmark_DB!$N$5:$N$41,1,Benchmark_DB!$F$5:$F$41,12,Benchmark_DB!$H$5:$H$41,"CUST_CUM"))</f>
        <v/>
      </c>
      <c r="AK11" s="80">
        <f>IF(COUNTIFS(Benchmark_DB!$B$5:$B$41,$A11,Benchmark_DB!$D$5:$D$41,$B11,Benchmark_DB!$N$5:$N$41,1,Benchmark_DB!$F$5:$F$41,12,Benchmark_DB!$H$5:$H$41,"UNITS")=0,"",SUMIFS(Benchmark_DB!$V$5:$V$41,Benchmark_DB!$B$5:$B$41,$A11,Benchmark_DB!$D$5:$D$41,$B11,Benchmark_DB!$N$5:$N$41,1,Benchmark_DB!$F$5:$F$41,12,Benchmark_DB!$H$5:$H$41,"UNITS"))</f>
        <v/>
      </c>
      <c r="AL11" s="142">
        <f>IF(COUNTIFS(Benchmark_DB!$B$5:$B$41,$A11,Benchmark_DB!$D$5:$D$41,$B11,Benchmark_DB!$N$5:$N$41,1,Benchmark_DB!$F$5:$F$41,12,Benchmark_DB!$H$5:$H$41,"LOANS_CUM")=0,"",SUMIFS(Benchmark_DB!$V$5:$V$41,Benchmark_DB!$B$5:$B$41,$A11,Benchmark_DB!$D$5:$D$41,$B11,Benchmark_DB!$N$5:$N$41,1,Benchmark_DB!$F$5:$F$41,12,Benchmark_DB!$H$5:$H$41,"LOANS_CUM"))</f>
        <v/>
      </c>
      <c r="AM11" s="81">
        <f>IF(COUNTIFS(Benchmark_DB!$B$5:$B$41,$A11,Benchmark_DB!$D$5:$D$41,$B11,Benchmark_DB!$N$5:$N$41,1,Benchmark_DB!$F$5:$F$41,12,Benchmark_DB!$H$5:$H$41,"REV_GROWTH")=0,"",SUMIFS(Benchmark_DB!$V$5:$V$41,Benchmark_DB!$B$5:$B$41,$A11,Benchmark_DB!$D$5:$D$41,$B11,Benchmark_DB!$N$5:$N$41,1,Benchmark_DB!$F$5:$F$41,12,Benchmark_DB!$H$5:$H$41,"REV_GROWTH"))</f>
        <v/>
      </c>
      <c r="AN11" s="81">
        <f>IF(COUNTIFS(Benchmark_DB!$B$5:$B$41,$A11,Benchmark_DB!$D$5:$D$41,$B11,Benchmark_DB!$N$5:$N$41,1,Benchmark_DB!$F$5:$F$41,12,Benchmark_DB!$H$5:$H$41,"COLL_RATE")=0,"",SUMIFS(Benchmark_DB!$V$5:$V$41,Benchmark_DB!$B$5:$B$41,$A11,Benchmark_DB!$D$5:$D$41,$B11,Benchmark_DB!$N$5:$N$41,1,Benchmark_DB!$F$5:$F$41,12,Benchmark_DB!$H$5:$H$41,"COLL_RATE"))</f>
        <v/>
      </c>
      <c r="AO11" s="81">
        <f>IF(COUNTIFS(Benchmark_DB!$B$5:$B$41,$A11,Benchmark_DB!$D$5:$D$41,$B11,Benchmark_DB!$N$5:$N$41,1,Benchmark_DB!$F$5:$F$41,12,Benchmark_DB!$H$5:$H$41,"PAR30")=0,"",SUMIFS(Benchmark_DB!$V$5:$V$41,Benchmark_DB!$B$5:$B$41,$A11,Benchmark_DB!$D$5:$D$41,$B11,Benchmark_DB!$N$5:$N$41,1,Benchmark_DB!$F$5:$F$41,12,Benchmark_DB!$H$5:$H$41,"PAR30"))</f>
        <v/>
      </c>
      <c r="AP11" s="81">
        <f>IF(COUNTIFS(Benchmark_DB!$B$5:$B$41,$A11,Benchmark_DB!$D$5:$D$41,$B11,Benchmark_DB!$N$5:$N$41,1,Benchmark_DB!$F$5:$F$41,12,Benchmark_DB!$H$5:$H$41,"OWNERSHIP_RATE")=0,"",SUMIFS(Benchmark_DB!$V$5:$V$41,Benchmark_DB!$B$5:$B$41,$A11,Benchmark_DB!$D$5:$D$41,$B11,Benchmark_DB!$N$5:$N$41,1,Benchmark_DB!$F$5:$F$41,12,Benchmark_DB!$H$5:$H$41,"OWNERSHIP_RATE"))</f>
        <v/>
      </c>
      <c r="AQ11" s="142">
        <f>IF(COUNTIFS(Benchmark_DB!$B$5:$B$41,$A11,Benchmark_DB!$D$5:$D$41,$B11,Benchmark_DB!$N$5:$N$41,1,Benchmark_DB!$F$5:$F$41,12,Benchmark_DB!$H$5:$H$41,"RAGP")=0,"",SUMIFS(Benchmark_DB!$V$5:$V$41,Benchmark_DB!$B$5:$B$41,$A11,Benchmark_DB!$D$5:$D$41,$B11,Benchmark_DB!$N$5:$N$41,1,Benchmark_DB!$F$5:$F$41,12,Benchmark_DB!$H$5:$H$41,"RAGP"))</f>
        <v/>
      </c>
    </row>
    <row r="12">
      <c r="A12" s="34" t="inlineStr">
        <is>
          <t>d.light</t>
        </is>
      </c>
      <c r="B12" s="23" t="n">
        <v>2023</v>
      </c>
      <c r="C12" s="34" t="inlineStr">
        <is>
          <t>Peer</t>
        </is>
      </c>
      <c r="D12" s="50">
        <f>IF(COUNTIFS(Benchmark_DB!$B$5:$B$41,$A12,Benchmark_DB!$D$5:$D$41,$B12,Benchmark_DB!$N$5:$N$41,1,Benchmark_DB!$F$5:$F$41,12,Benchmark_DB!$S$5:$S$41,"E")&gt;0,"E",IF(COUNTIFS(Benchmark_DB!$B$5:$B$41,$A12,Benchmark_DB!$D$5:$D$41,$B12,Benchmark_DB!$N$5:$N$41,1,Benchmark_DB!$F$5:$F$41,12,Benchmark_DB!$S$5:$S$41,"D")&gt;0,"D",IF(COUNTIFS(Benchmark_DB!$B$5:$B$41,$A12,Benchmark_DB!$D$5:$D$41,$B12,Benchmark_DB!$N$5:$N$41,1,Benchmark_DB!$F$5:$F$41,12,Benchmark_DB!$S$5:$S$41,"C")&gt;0,"C",IF(COUNTIFS(Benchmark_DB!$B$5:$B$41,$A12,Benchmark_DB!$D$5:$D$41,$B12,Benchmark_DB!$N$5:$N$41,1,Benchmark_DB!$F$5:$F$41,12,Benchmark_DB!$S$5:$S$41,"B")&gt;0,"B",IF(COUNTIFS(Benchmark_DB!$B$5:$B$41,$A12,Benchmark_DB!$D$5:$D$41,$B12,Benchmark_DB!$N$5:$N$41,1,Benchmark_DB!$F$5:$F$41,12,Benchmark_DB!$S$5:$S$41,"A")&gt;0,"A","-")))))</f>
        <v/>
      </c>
      <c r="E12" s="23">
        <f>IF(OR(D12="A",D12="B",D12="C"),1,0)</f>
        <v/>
      </c>
      <c r="F12" s="142">
        <f>IF(COUNTIFS(Benchmark_DB!$B$5:$B$41,$A12,Benchmark_DB!$D$5:$D$41,$B12,Benchmark_DB!$N$5:$N$41,1,Benchmark_DB!$F$5:$F$41,12,Benchmark_DB!$H$5:$H$41,"REV")=0,"",SUMIFS(Benchmark_DB!$V$5:$V$41,Benchmark_DB!$B$5:$B$41,$A12,Benchmark_DB!$D$5:$D$41,$B12,Benchmark_DB!$N$5:$N$41,1,Benchmark_DB!$F$5:$F$41,12,Benchmark_DB!$H$5:$H$41,"REV"))</f>
        <v/>
      </c>
      <c r="G12" s="142">
        <f>IF(COUNTIFS(Benchmark_DB!$B$5:$B$41,$A12,Benchmark_DB!$D$5:$D$41,$B12,Benchmark_DB!$N$5:$N$41,1,Benchmark_DB!$F$5:$F$41,12,Benchmark_DB!$H$5:$H$41,"REV_FIN")=0,"",SUMIFS(Benchmark_DB!$V$5:$V$41,Benchmark_DB!$B$5:$B$41,$A12,Benchmark_DB!$D$5:$D$41,$B12,Benchmark_DB!$N$5:$N$41,1,Benchmark_DB!$F$5:$F$41,12,Benchmark_DB!$H$5:$H$41,"REV_FIN"))</f>
        <v/>
      </c>
      <c r="H12" s="142">
        <f>IF(COUNTIFS(Benchmark_DB!$B$5:$B$41,$A12,Benchmark_DB!$D$5:$D$41,$B12,Benchmark_DB!$N$5:$N$41,1,Benchmark_DB!$F$5:$F$41,12,Benchmark_DB!$H$5:$H$41,"COGS")=0,"",SUMIFS(Benchmark_DB!$V$5:$V$41,Benchmark_DB!$B$5:$B$41,$A12,Benchmark_DB!$D$5:$D$41,$B12,Benchmark_DB!$N$5:$N$41,1,Benchmark_DB!$F$5:$F$41,12,Benchmark_DB!$H$5:$H$41,"COGS"))</f>
        <v/>
      </c>
      <c r="I12" s="142">
        <f>IF(COUNTIFS(Benchmark_DB!$B$5:$B$41,$A12,Benchmark_DB!$D$5:$D$41,$B12,Benchmark_DB!$N$5:$N$41,1,Benchmark_DB!$F$5:$F$41,12,Benchmark_DB!$H$5:$H$41,"GP")=0,"",SUMIFS(Benchmark_DB!$V$5:$V$41,Benchmark_DB!$B$5:$B$41,$A12,Benchmark_DB!$D$5:$D$41,$B12,Benchmark_DB!$N$5:$N$41,1,Benchmark_DB!$F$5:$F$41,12,Benchmark_DB!$H$5:$H$41,"GP"))</f>
        <v/>
      </c>
      <c r="J12" s="142">
        <f>IF(COUNTIFS(Benchmark_DB!$B$5:$B$41,$A12,Benchmark_DB!$D$5:$D$41,$B12,Benchmark_DB!$N$5:$N$41,1,Benchmark_DB!$F$5:$F$41,12,Benchmark_DB!$H$5:$H$41,"OPEX")=0,"",SUMIFS(Benchmark_DB!$V$5:$V$41,Benchmark_DB!$B$5:$B$41,$A12,Benchmark_DB!$D$5:$D$41,$B12,Benchmark_DB!$N$5:$N$41,1,Benchmark_DB!$F$5:$F$41,12,Benchmark_DB!$H$5:$H$41,"OPEX"))</f>
        <v/>
      </c>
      <c r="K12" s="142">
        <f>IF(COUNTIFS(Benchmark_DB!$B$5:$B$41,$A12,Benchmark_DB!$D$5:$D$41,$B12,Benchmark_DB!$N$5:$N$41,1,Benchmark_DB!$F$5:$F$41,12,Benchmark_DB!$H$5:$H$41,"EBITDA")=0,"",SUMIFS(Benchmark_DB!$V$5:$V$41,Benchmark_DB!$B$5:$B$41,$A12,Benchmark_DB!$D$5:$D$41,$B12,Benchmark_DB!$N$5:$N$41,1,Benchmark_DB!$F$5:$F$41,12,Benchmark_DB!$H$5:$H$41,"EBITDA"))</f>
        <v/>
      </c>
      <c r="L12" s="142">
        <f>IF(COUNTIFS(Benchmark_DB!$B$5:$B$41,$A12,Benchmark_DB!$D$5:$D$41,$B12,Benchmark_DB!$N$5:$N$41,1,Benchmark_DB!$F$5:$F$41,12,Benchmark_DB!$H$5:$H$41,"EBIT")=0,"",SUMIFS(Benchmark_DB!$V$5:$V$41,Benchmark_DB!$B$5:$B$41,$A12,Benchmark_DB!$D$5:$D$41,$B12,Benchmark_DB!$N$5:$N$41,1,Benchmark_DB!$F$5:$F$41,12,Benchmark_DB!$H$5:$H$41,"EBIT"))</f>
        <v/>
      </c>
      <c r="M12" s="142">
        <f>IF(COUNTIFS(Benchmark_DB!$B$5:$B$41,$A12,Benchmark_DB!$D$5:$D$41,$B12,Benchmark_DB!$N$5:$N$41,1,Benchmark_DB!$F$5:$F$41,12,Benchmark_DB!$H$5:$H$41,"DA")=0,"",SUMIFS(Benchmark_DB!$V$5:$V$41,Benchmark_DB!$B$5:$B$41,$A12,Benchmark_DB!$D$5:$D$41,$B12,Benchmark_DB!$N$5:$N$41,1,Benchmark_DB!$F$5:$F$41,12,Benchmark_DB!$H$5:$H$41,"DA"))</f>
        <v/>
      </c>
      <c r="N12" s="142">
        <f>IF(COUNTIFS(Benchmark_DB!$B$5:$B$41,$A12,Benchmark_DB!$D$5:$D$41,$B12,Benchmark_DB!$N$5:$N$41,1,Benchmark_DB!$F$5:$F$41,12,Benchmark_DB!$H$5:$H$41,"FIN_COST")=0,"",SUMIFS(Benchmark_DB!$V$5:$V$41,Benchmark_DB!$B$5:$B$41,$A12,Benchmark_DB!$D$5:$D$41,$B12,Benchmark_DB!$N$5:$N$41,1,Benchmark_DB!$F$5:$F$41,12,Benchmark_DB!$H$5:$H$41,"FIN_COST"))</f>
        <v/>
      </c>
      <c r="O12" s="142">
        <f>IF(COUNTIFS(Benchmark_DB!$B$5:$B$41,$A12,Benchmark_DB!$D$5:$D$41,$B12,Benchmark_DB!$N$5:$N$41,1,Benchmark_DB!$F$5:$F$41,12,Benchmark_DB!$H$5:$H$41,"ECL")=0,"",SUMIFS(Benchmark_DB!$V$5:$V$41,Benchmark_DB!$B$5:$B$41,$A12,Benchmark_DB!$D$5:$D$41,$B12,Benchmark_DB!$N$5:$N$41,1,Benchmark_DB!$F$5:$F$41,12,Benchmark_DB!$H$5:$H$41,"ECL"))</f>
        <v/>
      </c>
      <c r="P12" s="142">
        <f>IF(COUNTIFS(Benchmark_DB!$B$5:$B$41,$A12,Benchmark_DB!$D$5:$D$41,$B12,Benchmark_DB!$N$5:$N$41,1,Benchmark_DB!$F$5:$F$41,12,Benchmark_DB!$H$5:$H$41,"TAX")=0,"",SUMIFS(Benchmark_DB!$V$5:$V$41,Benchmark_DB!$B$5:$B$41,$A12,Benchmark_DB!$D$5:$D$41,$B12,Benchmark_DB!$N$5:$N$41,1,Benchmark_DB!$F$5:$F$41,12,Benchmark_DB!$H$5:$H$41,"TAX"))</f>
        <v/>
      </c>
      <c r="Q12" s="142">
        <f>IF(COUNTIFS(Benchmark_DB!$B$5:$B$41,$A12,Benchmark_DB!$D$5:$D$41,$B12,Benchmark_DB!$N$5:$N$41,1,Benchmark_DB!$F$5:$F$41,12,Benchmark_DB!$H$5:$H$41,"NI")=0,"",SUMIFS(Benchmark_DB!$V$5:$V$41,Benchmark_DB!$B$5:$B$41,$A12,Benchmark_DB!$D$5:$D$41,$B12,Benchmark_DB!$N$5:$N$41,1,Benchmark_DB!$F$5:$F$41,12,Benchmark_DB!$H$5:$H$41,"NI"))</f>
        <v/>
      </c>
      <c r="R12" s="142">
        <f>IF(COUNTIFS(Benchmark_DB!$B$5:$B$41,$A12,Benchmark_DB!$D$5:$D$41,$B12,Benchmark_DB!$N$5:$N$41,1,Benchmark_DB!$F$5:$F$41,12,Benchmark_DB!$H$5:$H$41,"CASH")=0,"",SUMIFS(Benchmark_DB!$V$5:$V$41,Benchmark_DB!$B$5:$B$41,$A12,Benchmark_DB!$D$5:$D$41,$B12,Benchmark_DB!$N$5:$N$41,1,Benchmark_DB!$F$5:$F$41,12,Benchmark_DB!$H$5:$H$41,"CASH"))</f>
        <v/>
      </c>
      <c r="S12" s="142">
        <f>IF(COUNTIFS(Benchmark_DB!$B$5:$B$41,$A12,Benchmark_DB!$D$5:$D$41,$B12,Benchmark_DB!$N$5:$N$41,1,Benchmark_DB!$F$5:$F$41,12,Benchmark_DB!$H$5:$H$41,"INV")=0,"",SUMIFS(Benchmark_DB!$V$5:$V$41,Benchmark_DB!$B$5:$B$41,$A12,Benchmark_DB!$D$5:$D$41,$B12,Benchmark_DB!$N$5:$N$41,1,Benchmark_DB!$F$5:$F$41,12,Benchmark_DB!$H$5:$H$41,"INV"))</f>
        <v/>
      </c>
      <c r="T12" s="142">
        <f>IF(COUNTIFS(Benchmark_DB!$B$5:$B$41,$A12,Benchmark_DB!$D$5:$D$41,$B12,Benchmark_DB!$N$5:$N$41,1,Benchmark_DB!$F$5:$F$41,12,Benchmark_DB!$H$5:$H$41,"AP")=0,"",SUMIFS(Benchmark_DB!$V$5:$V$41,Benchmark_DB!$B$5:$B$41,$A12,Benchmark_DB!$D$5:$D$41,$B12,Benchmark_DB!$N$5:$N$41,1,Benchmark_DB!$F$5:$F$41,12,Benchmark_DB!$H$5:$H$41,"AP"))</f>
        <v/>
      </c>
      <c r="U12" s="142">
        <f>IF(COUNTIFS(Benchmark_DB!$B$5:$B$41,$A12,Benchmark_DB!$D$5:$D$41,$B12,Benchmark_DB!$N$5:$N$41,1,Benchmark_DB!$F$5:$F$41,12,Benchmark_DB!$H$5:$H$41,"TRADE_REC")=0,"",SUMIFS(Benchmark_DB!$V$5:$V$41,Benchmark_DB!$B$5:$B$41,$A12,Benchmark_DB!$D$5:$D$41,$B12,Benchmark_DB!$N$5:$N$41,1,Benchmark_DB!$F$5:$F$41,12,Benchmark_DB!$H$5:$H$41,"TRADE_REC"))</f>
        <v/>
      </c>
      <c r="V12" s="142">
        <f>IF(COUNTIFS(Benchmark_DB!$B$5:$B$41,$A12,Benchmark_DB!$D$5:$D$41,$B12,Benchmark_DB!$N$5:$N$41,1,Benchmark_DB!$F$5:$F$41,12,Benchmark_DB!$H$5:$H$41,"PAYGO_REC_GROSS")=0,"",SUMIFS(Benchmark_DB!$V$5:$V$41,Benchmark_DB!$B$5:$B$41,$A12,Benchmark_DB!$D$5:$D$41,$B12,Benchmark_DB!$N$5:$N$41,1,Benchmark_DB!$F$5:$F$41,12,Benchmark_DB!$H$5:$H$41,"PAYGO_REC_GROSS"))</f>
        <v/>
      </c>
      <c r="W12" s="142">
        <f>IF(COUNTIFS(Benchmark_DB!$B$5:$B$41,$A12,Benchmark_DB!$D$5:$D$41,$B12,Benchmark_DB!$N$5:$N$41,1,Benchmark_DB!$F$5:$F$41,12,Benchmark_DB!$H$5:$H$41,"PAYGO_REC_NET")=0,"",SUMIFS(Benchmark_DB!$V$5:$V$41,Benchmark_DB!$B$5:$B$41,$A12,Benchmark_DB!$D$5:$D$41,$B12,Benchmark_DB!$N$5:$N$41,1,Benchmark_DB!$F$5:$F$41,12,Benchmark_DB!$H$5:$H$41,"PAYGO_REC_NET"))</f>
        <v/>
      </c>
      <c r="X12" s="142">
        <f>IF(COUNTIFS(Benchmark_DB!$B$5:$B$41,$A12,Benchmark_DB!$D$5:$D$41,$B12,Benchmark_DB!$N$5:$N$41,1,Benchmark_DB!$F$5:$F$41,12,Benchmark_DB!$H$5:$H$41,"PPE")=0,"",SUMIFS(Benchmark_DB!$V$5:$V$41,Benchmark_DB!$B$5:$B$41,$A12,Benchmark_DB!$D$5:$D$41,$B12,Benchmark_DB!$N$5:$N$41,1,Benchmark_DB!$F$5:$F$41,12,Benchmark_DB!$H$5:$H$41,"PPE"))</f>
        <v/>
      </c>
      <c r="Y12" s="142">
        <f>IF(COUNTIFS(Benchmark_DB!$B$5:$B$41,$A12,Benchmark_DB!$D$5:$D$41,$B12,Benchmark_DB!$N$5:$N$41,1,Benchmark_DB!$F$5:$F$41,12,Benchmark_DB!$H$5:$H$41,"DEBT")=0,"",SUMIFS(Benchmark_DB!$V$5:$V$41,Benchmark_DB!$B$5:$B$41,$A12,Benchmark_DB!$D$5:$D$41,$B12,Benchmark_DB!$N$5:$N$41,1,Benchmark_DB!$F$5:$F$41,12,Benchmark_DB!$H$5:$H$41,"DEBT"))</f>
        <v/>
      </c>
      <c r="Z12" s="142">
        <f>IF(COUNTIFS(Benchmark_DB!$B$5:$B$41,$A12,Benchmark_DB!$D$5:$D$41,$B12,Benchmark_DB!$N$5:$N$41,1,Benchmark_DB!$F$5:$F$41,12,Benchmark_DB!$H$5:$H$41,"LEASE")=0,"",SUMIFS(Benchmark_DB!$V$5:$V$41,Benchmark_DB!$B$5:$B$41,$A12,Benchmark_DB!$D$5:$D$41,$B12,Benchmark_DB!$N$5:$N$41,1,Benchmark_DB!$F$5:$F$41,12,Benchmark_DB!$H$5:$H$41,"LEASE"))</f>
        <v/>
      </c>
      <c r="AA12" s="142">
        <f>IF(COUNTIFS(Benchmark_DB!$B$5:$B$41,$A12,Benchmark_DB!$D$5:$D$41,$B12,Benchmark_DB!$N$5:$N$41,1,Benchmark_DB!$F$5:$F$41,12,Benchmark_DB!$H$5:$H$41,"EQUITY")=0,"",SUMIFS(Benchmark_DB!$V$5:$V$41,Benchmark_DB!$B$5:$B$41,$A12,Benchmark_DB!$D$5:$D$41,$B12,Benchmark_DB!$N$5:$N$41,1,Benchmark_DB!$F$5:$F$41,12,Benchmark_DB!$H$5:$H$41,"EQUITY"))</f>
        <v/>
      </c>
      <c r="AB12" s="142">
        <f>IF(COUNTIFS(Benchmark_DB!$B$5:$B$41,$A12,Benchmark_DB!$D$5:$D$41,$B12,Benchmark_DB!$N$5:$N$41,1,Benchmark_DB!$F$5:$F$41,12,Benchmark_DB!$H$5:$H$41,"TOTAL_ASSETS")=0,"",SUMIFS(Benchmark_DB!$V$5:$V$41,Benchmark_DB!$B$5:$B$41,$A12,Benchmark_DB!$D$5:$D$41,$B12,Benchmark_DB!$N$5:$N$41,1,Benchmark_DB!$F$5:$F$41,12,Benchmark_DB!$H$5:$H$41,"TOTAL_ASSETS"))</f>
        <v/>
      </c>
      <c r="AC12" s="142">
        <f>IF(COUNTIFS(Benchmark_DB!$B$5:$B$41,$A12,Benchmark_DB!$D$5:$D$41,$B12,Benchmark_DB!$N$5:$N$41,1,Benchmark_DB!$F$5:$F$41,12,Benchmark_DB!$H$5:$H$41,"TOTAL_LIAB")=0,"",SUMIFS(Benchmark_DB!$V$5:$V$41,Benchmark_DB!$B$5:$B$41,$A12,Benchmark_DB!$D$5:$D$41,$B12,Benchmark_DB!$N$5:$N$41,1,Benchmark_DB!$F$5:$F$41,12,Benchmark_DB!$H$5:$H$41,"TOTAL_LIAB"))</f>
        <v/>
      </c>
      <c r="AD12" s="142">
        <f>IF(COUNTIFS(Benchmark_DB!$B$5:$B$41,$A12,Benchmark_DB!$D$5:$D$41,$B12,Benchmark_DB!$N$5:$N$41,1,Benchmark_DB!$F$5:$F$41,12,Benchmark_DB!$H$5:$H$41,"CFO")=0,"",SUMIFS(Benchmark_DB!$V$5:$V$41,Benchmark_DB!$B$5:$B$41,$A12,Benchmark_DB!$D$5:$D$41,$B12,Benchmark_DB!$N$5:$N$41,1,Benchmark_DB!$F$5:$F$41,12,Benchmark_DB!$H$5:$H$41,"CFO"))</f>
        <v/>
      </c>
      <c r="AE12" s="142">
        <f>IF(COUNTIFS(Benchmark_DB!$B$5:$B$41,$A12,Benchmark_DB!$D$5:$D$41,$B12,Benchmark_DB!$N$5:$N$41,1,Benchmark_DB!$F$5:$F$41,12,Benchmark_DB!$H$5:$H$41,"CAPEX")=0,"",SUMIFS(Benchmark_DB!$V$5:$V$41,Benchmark_DB!$B$5:$B$41,$A12,Benchmark_DB!$D$5:$D$41,$B12,Benchmark_DB!$N$5:$N$41,1,Benchmark_DB!$F$5:$F$41,12,Benchmark_DB!$H$5:$H$41,"CAPEX"))</f>
        <v/>
      </c>
      <c r="AF12" s="142">
        <f>IF(COUNTIFS(Benchmark_DB!$B$5:$B$41,$A12,Benchmark_DB!$D$5:$D$41,$B12,Benchmark_DB!$N$5:$N$41,1,Benchmark_DB!$F$5:$F$41,12,Benchmark_DB!$H$5:$H$41,"DEBT_DRAW")=0,"",SUMIFS(Benchmark_DB!$V$5:$V$41,Benchmark_DB!$B$5:$B$41,$A12,Benchmark_DB!$D$5:$D$41,$B12,Benchmark_DB!$N$5:$N$41,1,Benchmark_DB!$F$5:$F$41,12,Benchmark_DB!$H$5:$H$41,"DEBT_DRAW"))</f>
        <v/>
      </c>
      <c r="AG12" s="142">
        <f>IF(COUNTIFS(Benchmark_DB!$B$5:$B$41,$A12,Benchmark_DB!$D$5:$D$41,$B12,Benchmark_DB!$N$5:$N$41,1,Benchmark_DB!$F$5:$F$41,12,Benchmark_DB!$H$5:$H$41,"EQUITY_RAISED")=0,"",SUMIFS(Benchmark_DB!$V$5:$V$41,Benchmark_DB!$B$5:$B$41,$A12,Benchmark_DB!$D$5:$D$41,$B12,Benchmark_DB!$N$5:$N$41,1,Benchmark_DB!$F$5:$F$41,12,Benchmark_DB!$H$5:$H$41,"EQUITY_RAISED"))</f>
        <v/>
      </c>
      <c r="AH12" s="142">
        <f>IF(COUNTIFS(Benchmark_DB!$B$5:$B$41,$A12,Benchmark_DB!$D$5:$D$41,$B12,Benchmark_DB!$N$5:$N$41,1,Benchmark_DB!$F$5:$F$41,12,Benchmark_DB!$H$5:$H$41,"SECURITISATION")=0,"",SUMIFS(Benchmark_DB!$V$5:$V$41,Benchmark_DB!$B$5:$B$41,$A12,Benchmark_DB!$D$5:$D$41,$B12,Benchmark_DB!$N$5:$N$41,1,Benchmark_DB!$F$5:$F$41,12,Benchmark_DB!$H$5:$H$41,"SECURITISATION"))</f>
        <v/>
      </c>
      <c r="AI12" s="80">
        <f>IF(COUNTIFS(Benchmark_DB!$B$5:$B$41,$A12,Benchmark_DB!$D$5:$D$41,$B12,Benchmark_DB!$N$5:$N$41,1,Benchmark_DB!$F$5:$F$41,12,Benchmark_DB!$H$5:$H$41,"CUST_ACTIVE")=0,"",SUMIFS(Benchmark_DB!$V$5:$V$41,Benchmark_DB!$B$5:$B$41,$A12,Benchmark_DB!$D$5:$D$41,$B12,Benchmark_DB!$N$5:$N$41,1,Benchmark_DB!$F$5:$F$41,12,Benchmark_DB!$H$5:$H$41,"CUST_ACTIVE"))</f>
        <v/>
      </c>
      <c r="AJ12" s="80">
        <f>IF(COUNTIFS(Benchmark_DB!$B$5:$B$41,$A12,Benchmark_DB!$D$5:$D$41,$B12,Benchmark_DB!$N$5:$N$41,1,Benchmark_DB!$F$5:$F$41,12,Benchmark_DB!$H$5:$H$41,"CUST_CUM")=0,"",SUMIFS(Benchmark_DB!$V$5:$V$41,Benchmark_DB!$B$5:$B$41,$A12,Benchmark_DB!$D$5:$D$41,$B12,Benchmark_DB!$N$5:$N$41,1,Benchmark_DB!$F$5:$F$41,12,Benchmark_DB!$H$5:$H$41,"CUST_CUM"))</f>
        <v/>
      </c>
      <c r="AK12" s="80">
        <f>IF(COUNTIFS(Benchmark_DB!$B$5:$B$41,$A12,Benchmark_DB!$D$5:$D$41,$B12,Benchmark_DB!$N$5:$N$41,1,Benchmark_DB!$F$5:$F$41,12,Benchmark_DB!$H$5:$H$41,"UNITS")=0,"",SUMIFS(Benchmark_DB!$V$5:$V$41,Benchmark_DB!$B$5:$B$41,$A12,Benchmark_DB!$D$5:$D$41,$B12,Benchmark_DB!$N$5:$N$41,1,Benchmark_DB!$F$5:$F$41,12,Benchmark_DB!$H$5:$H$41,"UNITS"))</f>
        <v/>
      </c>
      <c r="AL12" s="142">
        <f>IF(COUNTIFS(Benchmark_DB!$B$5:$B$41,$A12,Benchmark_DB!$D$5:$D$41,$B12,Benchmark_DB!$N$5:$N$41,1,Benchmark_DB!$F$5:$F$41,12,Benchmark_DB!$H$5:$H$41,"LOANS_CUM")=0,"",SUMIFS(Benchmark_DB!$V$5:$V$41,Benchmark_DB!$B$5:$B$41,$A12,Benchmark_DB!$D$5:$D$41,$B12,Benchmark_DB!$N$5:$N$41,1,Benchmark_DB!$F$5:$F$41,12,Benchmark_DB!$H$5:$H$41,"LOANS_CUM"))</f>
        <v/>
      </c>
      <c r="AM12" s="81">
        <f>IF(COUNTIFS(Benchmark_DB!$B$5:$B$41,$A12,Benchmark_DB!$D$5:$D$41,$B12,Benchmark_DB!$N$5:$N$41,1,Benchmark_DB!$F$5:$F$41,12,Benchmark_DB!$H$5:$H$41,"REV_GROWTH")=0,"",SUMIFS(Benchmark_DB!$V$5:$V$41,Benchmark_DB!$B$5:$B$41,$A12,Benchmark_DB!$D$5:$D$41,$B12,Benchmark_DB!$N$5:$N$41,1,Benchmark_DB!$F$5:$F$41,12,Benchmark_DB!$H$5:$H$41,"REV_GROWTH"))</f>
        <v/>
      </c>
      <c r="AN12" s="81">
        <f>IF(COUNTIFS(Benchmark_DB!$B$5:$B$41,$A12,Benchmark_DB!$D$5:$D$41,$B12,Benchmark_DB!$N$5:$N$41,1,Benchmark_DB!$F$5:$F$41,12,Benchmark_DB!$H$5:$H$41,"COLL_RATE")=0,"",SUMIFS(Benchmark_DB!$V$5:$V$41,Benchmark_DB!$B$5:$B$41,$A12,Benchmark_DB!$D$5:$D$41,$B12,Benchmark_DB!$N$5:$N$41,1,Benchmark_DB!$F$5:$F$41,12,Benchmark_DB!$H$5:$H$41,"COLL_RATE"))</f>
        <v/>
      </c>
      <c r="AO12" s="81">
        <f>IF(COUNTIFS(Benchmark_DB!$B$5:$B$41,$A12,Benchmark_DB!$D$5:$D$41,$B12,Benchmark_DB!$N$5:$N$41,1,Benchmark_DB!$F$5:$F$41,12,Benchmark_DB!$H$5:$H$41,"PAR30")=0,"",SUMIFS(Benchmark_DB!$V$5:$V$41,Benchmark_DB!$B$5:$B$41,$A12,Benchmark_DB!$D$5:$D$41,$B12,Benchmark_DB!$N$5:$N$41,1,Benchmark_DB!$F$5:$F$41,12,Benchmark_DB!$H$5:$H$41,"PAR30"))</f>
        <v/>
      </c>
      <c r="AP12" s="81">
        <f>IF(COUNTIFS(Benchmark_DB!$B$5:$B$41,$A12,Benchmark_DB!$D$5:$D$41,$B12,Benchmark_DB!$N$5:$N$41,1,Benchmark_DB!$F$5:$F$41,12,Benchmark_DB!$H$5:$H$41,"OWNERSHIP_RATE")=0,"",SUMIFS(Benchmark_DB!$V$5:$V$41,Benchmark_DB!$B$5:$B$41,$A12,Benchmark_DB!$D$5:$D$41,$B12,Benchmark_DB!$N$5:$N$41,1,Benchmark_DB!$F$5:$F$41,12,Benchmark_DB!$H$5:$H$41,"OWNERSHIP_RATE"))</f>
        <v/>
      </c>
      <c r="AQ12" s="142">
        <f>IF(COUNTIFS(Benchmark_DB!$B$5:$B$41,$A12,Benchmark_DB!$D$5:$D$41,$B12,Benchmark_DB!$N$5:$N$41,1,Benchmark_DB!$F$5:$F$41,12,Benchmark_DB!$H$5:$H$41,"RAGP")=0,"",SUMIFS(Benchmark_DB!$V$5:$V$41,Benchmark_DB!$B$5:$B$41,$A12,Benchmark_DB!$D$5:$D$41,$B12,Benchmark_DB!$N$5:$N$41,1,Benchmark_DB!$F$5:$F$41,12,Benchmark_DB!$H$5:$H$41,"RAGP"))</f>
        <v/>
      </c>
    </row>
    <row r="13">
      <c r="A13" s="34" t="inlineStr">
        <is>
          <t>d.light</t>
        </is>
      </c>
      <c r="B13" s="23" t="n">
        <v>2024</v>
      </c>
      <c r="C13" s="34" t="inlineStr">
        <is>
          <t>Peer</t>
        </is>
      </c>
      <c r="D13" s="50">
        <f>IF(COUNTIFS(Benchmark_DB!$B$5:$B$41,$A13,Benchmark_DB!$D$5:$D$41,$B13,Benchmark_DB!$N$5:$N$41,1,Benchmark_DB!$F$5:$F$41,12,Benchmark_DB!$S$5:$S$41,"E")&gt;0,"E",IF(COUNTIFS(Benchmark_DB!$B$5:$B$41,$A13,Benchmark_DB!$D$5:$D$41,$B13,Benchmark_DB!$N$5:$N$41,1,Benchmark_DB!$F$5:$F$41,12,Benchmark_DB!$S$5:$S$41,"D")&gt;0,"D",IF(COUNTIFS(Benchmark_DB!$B$5:$B$41,$A13,Benchmark_DB!$D$5:$D$41,$B13,Benchmark_DB!$N$5:$N$41,1,Benchmark_DB!$F$5:$F$41,12,Benchmark_DB!$S$5:$S$41,"C")&gt;0,"C",IF(COUNTIFS(Benchmark_DB!$B$5:$B$41,$A13,Benchmark_DB!$D$5:$D$41,$B13,Benchmark_DB!$N$5:$N$41,1,Benchmark_DB!$F$5:$F$41,12,Benchmark_DB!$S$5:$S$41,"B")&gt;0,"B",IF(COUNTIFS(Benchmark_DB!$B$5:$B$41,$A13,Benchmark_DB!$D$5:$D$41,$B13,Benchmark_DB!$N$5:$N$41,1,Benchmark_DB!$F$5:$F$41,12,Benchmark_DB!$S$5:$S$41,"A")&gt;0,"A","-")))))</f>
        <v/>
      </c>
      <c r="E13" s="23">
        <f>IF(OR(D13="A",D13="B",D13="C"),1,0)</f>
        <v/>
      </c>
      <c r="F13" s="142">
        <f>IF(COUNTIFS(Benchmark_DB!$B$5:$B$41,$A13,Benchmark_DB!$D$5:$D$41,$B13,Benchmark_DB!$N$5:$N$41,1,Benchmark_DB!$F$5:$F$41,12,Benchmark_DB!$H$5:$H$41,"REV")=0,"",SUMIFS(Benchmark_DB!$V$5:$V$41,Benchmark_DB!$B$5:$B$41,$A13,Benchmark_DB!$D$5:$D$41,$B13,Benchmark_DB!$N$5:$N$41,1,Benchmark_DB!$F$5:$F$41,12,Benchmark_DB!$H$5:$H$41,"REV"))</f>
        <v/>
      </c>
      <c r="G13" s="142">
        <f>IF(COUNTIFS(Benchmark_DB!$B$5:$B$41,$A13,Benchmark_DB!$D$5:$D$41,$B13,Benchmark_DB!$N$5:$N$41,1,Benchmark_DB!$F$5:$F$41,12,Benchmark_DB!$H$5:$H$41,"REV_FIN")=0,"",SUMIFS(Benchmark_DB!$V$5:$V$41,Benchmark_DB!$B$5:$B$41,$A13,Benchmark_DB!$D$5:$D$41,$B13,Benchmark_DB!$N$5:$N$41,1,Benchmark_DB!$F$5:$F$41,12,Benchmark_DB!$H$5:$H$41,"REV_FIN"))</f>
        <v/>
      </c>
      <c r="H13" s="142">
        <f>IF(COUNTIFS(Benchmark_DB!$B$5:$B$41,$A13,Benchmark_DB!$D$5:$D$41,$B13,Benchmark_DB!$N$5:$N$41,1,Benchmark_DB!$F$5:$F$41,12,Benchmark_DB!$H$5:$H$41,"COGS")=0,"",SUMIFS(Benchmark_DB!$V$5:$V$41,Benchmark_DB!$B$5:$B$41,$A13,Benchmark_DB!$D$5:$D$41,$B13,Benchmark_DB!$N$5:$N$41,1,Benchmark_DB!$F$5:$F$41,12,Benchmark_DB!$H$5:$H$41,"COGS"))</f>
        <v/>
      </c>
      <c r="I13" s="142">
        <f>IF(COUNTIFS(Benchmark_DB!$B$5:$B$41,$A13,Benchmark_DB!$D$5:$D$41,$B13,Benchmark_DB!$N$5:$N$41,1,Benchmark_DB!$F$5:$F$41,12,Benchmark_DB!$H$5:$H$41,"GP")=0,"",SUMIFS(Benchmark_DB!$V$5:$V$41,Benchmark_DB!$B$5:$B$41,$A13,Benchmark_DB!$D$5:$D$41,$B13,Benchmark_DB!$N$5:$N$41,1,Benchmark_DB!$F$5:$F$41,12,Benchmark_DB!$H$5:$H$41,"GP"))</f>
        <v/>
      </c>
      <c r="J13" s="142">
        <f>IF(COUNTIFS(Benchmark_DB!$B$5:$B$41,$A13,Benchmark_DB!$D$5:$D$41,$B13,Benchmark_DB!$N$5:$N$41,1,Benchmark_DB!$F$5:$F$41,12,Benchmark_DB!$H$5:$H$41,"OPEX")=0,"",SUMIFS(Benchmark_DB!$V$5:$V$41,Benchmark_DB!$B$5:$B$41,$A13,Benchmark_DB!$D$5:$D$41,$B13,Benchmark_DB!$N$5:$N$41,1,Benchmark_DB!$F$5:$F$41,12,Benchmark_DB!$H$5:$H$41,"OPEX"))</f>
        <v/>
      </c>
      <c r="K13" s="142">
        <f>IF(COUNTIFS(Benchmark_DB!$B$5:$B$41,$A13,Benchmark_DB!$D$5:$D$41,$B13,Benchmark_DB!$N$5:$N$41,1,Benchmark_DB!$F$5:$F$41,12,Benchmark_DB!$H$5:$H$41,"EBITDA")=0,"",SUMIFS(Benchmark_DB!$V$5:$V$41,Benchmark_DB!$B$5:$B$41,$A13,Benchmark_DB!$D$5:$D$41,$B13,Benchmark_DB!$N$5:$N$41,1,Benchmark_DB!$F$5:$F$41,12,Benchmark_DB!$H$5:$H$41,"EBITDA"))</f>
        <v/>
      </c>
      <c r="L13" s="142">
        <f>IF(COUNTIFS(Benchmark_DB!$B$5:$B$41,$A13,Benchmark_DB!$D$5:$D$41,$B13,Benchmark_DB!$N$5:$N$41,1,Benchmark_DB!$F$5:$F$41,12,Benchmark_DB!$H$5:$H$41,"EBIT")=0,"",SUMIFS(Benchmark_DB!$V$5:$V$41,Benchmark_DB!$B$5:$B$41,$A13,Benchmark_DB!$D$5:$D$41,$B13,Benchmark_DB!$N$5:$N$41,1,Benchmark_DB!$F$5:$F$41,12,Benchmark_DB!$H$5:$H$41,"EBIT"))</f>
        <v/>
      </c>
      <c r="M13" s="142">
        <f>IF(COUNTIFS(Benchmark_DB!$B$5:$B$41,$A13,Benchmark_DB!$D$5:$D$41,$B13,Benchmark_DB!$N$5:$N$41,1,Benchmark_DB!$F$5:$F$41,12,Benchmark_DB!$H$5:$H$41,"DA")=0,"",SUMIFS(Benchmark_DB!$V$5:$V$41,Benchmark_DB!$B$5:$B$41,$A13,Benchmark_DB!$D$5:$D$41,$B13,Benchmark_DB!$N$5:$N$41,1,Benchmark_DB!$F$5:$F$41,12,Benchmark_DB!$H$5:$H$41,"DA"))</f>
        <v/>
      </c>
      <c r="N13" s="142">
        <f>IF(COUNTIFS(Benchmark_DB!$B$5:$B$41,$A13,Benchmark_DB!$D$5:$D$41,$B13,Benchmark_DB!$N$5:$N$41,1,Benchmark_DB!$F$5:$F$41,12,Benchmark_DB!$H$5:$H$41,"FIN_COST")=0,"",SUMIFS(Benchmark_DB!$V$5:$V$41,Benchmark_DB!$B$5:$B$41,$A13,Benchmark_DB!$D$5:$D$41,$B13,Benchmark_DB!$N$5:$N$41,1,Benchmark_DB!$F$5:$F$41,12,Benchmark_DB!$H$5:$H$41,"FIN_COST"))</f>
        <v/>
      </c>
      <c r="O13" s="142">
        <f>IF(COUNTIFS(Benchmark_DB!$B$5:$B$41,$A13,Benchmark_DB!$D$5:$D$41,$B13,Benchmark_DB!$N$5:$N$41,1,Benchmark_DB!$F$5:$F$41,12,Benchmark_DB!$H$5:$H$41,"ECL")=0,"",SUMIFS(Benchmark_DB!$V$5:$V$41,Benchmark_DB!$B$5:$B$41,$A13,Benchmark_DB!$D$5:$D$41,$B13,Benchmark_DB!$N$5:$N$41,1,Benchmark_DB!$F$5:$F$41,12,Benchmark_DB!$H$5:$H$41,"ECL"))</f>
        <v/>
      </c>
      <c r="P13" s="142">
        <f>IF(COUNTIFS(Benchmark_DB!$B$5:$B$41,$A13,Benchmark_DB!$D$5:$D$41,$B13,Benchmark_DB!$N$5:$N$41,1,Benchmark_DB!$F$5:$F$41,12,Benchmark_DB!$H$5:$H$41,"TAX")=0,"",SUMIFS(Benchmark_DB!$V$5:$V$41,Benchmark_DB!$B$5:$B$41,$A13,Benchmark_DB!$D$5:$D$41,$B13,Benchmark_DB!$N$5:$N$41,1,Benchmark_DB!$F$5:$F$41,12,Benchmark_DB!$H$5:$H$41,"TAX"))</f>
        <v/>
      </c>
      <c r="Q13" s="142">
        <f>IF(COUNTIFS(Benchmark_DB!$B$5:$B$41,$A13,Benchmark_DB!$D$5:$D$41,$B13,Benchmark_DB!$N$5:$N$41,1,Benchmark_DB!$F$5:$F$41,12,Benchmark_DB!$H$5:$H$41,"NI")=0,"",SUMIFS(Benchmark_DB!$V$5:$V$41,Benchmark_DB!$B$5:$B$41,$A13,Benchmark_DB!$D$5:$D$41,$B13,Benchmark_DB!$N$5:$N$41,1,Benchmark_DB!$F$5:$F$41,12,Benchmark_DB!$H$5:$H$41,"NI"))</f>
        <v/>
      </c>
      <c r="R13" s="142">
        <f>IF(COUNTIFS(Benchmark_DB!$B$5:$B$41,$A13,Benchmark_DB!$D$5:$D$41,$B13,Benchmark_DB!$N$5:$N$41,1,Benchmark_DB!$F$5:$F$41,12,Benchmark_DB!$H$5:$H$41,"CASH")=0,"",SUMIFS(Benchmark_DB!$V$5:$V$41,Benchmark_DB!$B$5:$B$41,$A13,Benchmark_DB!$D$5:$D$41,$B13,Benchmark_DB!$N$5:$N$41,1,Benchmark_DB!$F$5:$F$41,12,Benchmark_DB!$H$5:$H$41,"CASH"))</f>
        <v/>
      </c>
      <c r="S13" s="142">
        <f>IF(COUNTIFS(Benchmark_DB!$B$5:$B$41,$A13,Benchmark_DB!$D$5:$D$41,$B13,Benchmark_DB!$N$5:$N$41,1,Benchmark_DB!$F$5:$F$41,12,Benchmark_DB!$H$5:$H$41,"INV")=0,"",SUMIFS(Benchmark_DB!$V$5:$V$41,Benchmark_DB!$B$5:$B$41,$A13,Benchmark_DB!$D$5:$D$41,$B13,Benchmark_DB!$N$5:$N$41,1,Benchmark_DB!$F$5:$F$41,12,Benchmark_DB!$H$5:$H$41,"INV"))</f>
        <v/>
      </c>
      <c r="T13" s="142">
        <f>IF(COUNTIFS(Benchmark_DB!$B$5:$B$41,$A13,Benchmark_DB!$D$5:$D$41,$B13,Benchmark_DB!$N$5:$N$41,1,Benchmark_DB!$F$5:$F$41,12,Benchmark_DB!$H$5:$H$41,"AP")=0,"",SUMIFS(Benchmark_DB!$V$5:$V$41,Benchmark_DB!$B$5:$B$41,$A13,Benchmark_DB!$D$5:$D$41,$B13,Benchmark_DB!$N$5:$N$41,1,Benchmark_DB!$F$5:$F$41,12,Benchmark_DB!$H$5:$H$41,"AP"))</f>
        <v/>
      </c>
      <c r="U13" s="142">
        <f>IF(COUNTIFS(Benchmark_DB!$B$5:$B$41,$A13,Benchmark_DB!$D$5:$D$41,$B13,Benchmark_DB!$N$5:$N$41,1,Benchmark_DB!$F$5:$F$41,12,Benchmark_DB!$H$5:$H$41,"TRADE_REC")=0,"",SUMIFS(Benchmark_DB!$V$5:$V$41,Benchmark_DB!$B$5:$B$41,$A13,Benchmark_DB!$D$5:$D$41,$B13,Benchmark_DB!$N$5:$N$41,1,Benchmark_DB!$F$5:$F$41,12,Benchmark_DB!$H$5:$H$41,"TRADE_REC"))</f>
        <v/>
      </c>
      <c r="V13" s="142">
        <f>IF(COUNTIFS(Benchmark_DB!$B$5:$B$41,$A13,Benchmark_DB!$D$5:$D$41,$B13,Benchmark_DB!$N$5:$N$41,1,Benchmark_DB!$F$5:$F$41,12,Benchmark_DB!$H$5:$H$41,"PAYGO_REC_GROSS")=0,"",SUMIFS(Benchmark_DB!$V$5:$V$41,Benchmark_DB!$B$5:$B$41,$A13,Benchmark_DB!$D$5:$D$41,$B13,Benchmark_DB!$N$5:$N$41,1,Benchmark_DB!$F$5:$F$41,12,Benchmark_DB!$H$5:$H$41,"PAYGO_REC_GROSS"))</f>
        <v/>
      </c>
      <c r="W13" s="142">
        <f>IF(COUNTIFS(Benchmark_DB!$B$5:$B$41,$A13,Benchmark_DB!$D$5:$D$41,$B13,Benchmark_DB!$N$5:$N$41,1,Benchmark_DB!$F$5:$F$41,12,Benchmark_DB!$H$5:$H$41,"PAYGO_REC_NET")=0,"",SUMIFS(Benchmark_DB!$V$5:$V$41,Benchmark_DB!$B$5:$B$41,$A13,Benchmark_DB!$D$5:$D$41,$B13,Benchmark_DB!$N$5:$N$41,1,Benchmark_DB!$F$5:$F$41,12,Benchmark_DB!$H$5:$H$41,"PAYGO_REC_NET"))</f>
        <v/>
      </c>
      <c r="X13" s="142">
        <f>IF(COUNTIFS(Benchmark_DB!$B$5:$B$41,$A13,Benchmark_DB!$D$5:$D$41,$B13,Benchmark_DB!$N$5:$N$41,1,Benchmark_DB!$F$5:$F$41,12,Benchmark_DB!$H$5:$H$41,"PPE")=0,"",SUMIFS(Benchmark_DB!$V$5:$V$41,Benchmark_DB!$B$5:$B$41,$A13,Benchmark_DB!$D$5:$D$41,$B13,Benchmark_DB!$N$5:$N$41,1,Benchmark_DB!$F$5:$F$41,12,Benchmark_DB!$H$5:$H$41,"PPE"))</f>
        <v/>
      </c>
      <c r="Y13" s="142">
        <f>IF(COUNTIFS(Benchmark_DB!$B$5:$B$41,$A13,Benchmark_DB!$D$5:$D$41,$B13,Benchmark_DB!$N$5:$N$41,1,Benchmark_DB!$F$5:$F$41,12,Benchmark_DB!$H$5:$H$41,"DEBT")=0,"",SUMIFS(Benchmark_DB!$V$5:$V$41,Benchmark_DB!$B$5:$B$41,$A13,Benchmark_DB!$D$5:$D$41,$B13,Benchmark_DB!$N$5:$N$41,1,Benchmark_DB!$F$5:$F$41,12,Benchmark_DB!$H$5:$H$41,"DEBT"))</f>
        <v/>
      </c>
      <c r="Z13" s="142">
        <f>IF(COUNTIFS(Benchmark_DB!$B$5:$B$41,$A13,Benchmark_DB!$D$5:$D$41,$B13,Benchmark_DB!$N$5:$N$41,1,Benchmark_DB!$F$5:$F$41,12,Benchmark_DB!$H$5:$H$41,"LEASE")=0,"",SUMIFS(Benchmark_DB!$V$5:$V$41,Benchmark_DB!$B$5:$B$41,$A13,Benchmark_DB!$D$5:$D$41,$B13,Benchmark_DB!$N$5:$N$41,1,Benchmark_DB!$F$5:$F$41,12,Benchmark_DB!$H$5:$H$41,"LEASE"))</f>
        <v/>
      </c>
      <c r="AA13" s="142">
        <f>IF(COUNTIFS(Benchmark_DB!$B$5:$B$41,$A13,Benchmark_DB!$D$5:$D$41,$B13,Benchmark_DB!$N$5:$N$41,1,Benchmark_DB!$F$5:$F$41,12,Benchmark_DB!$H$5:$H$41,"EQUITY")=0,"",SUMIFS(Benchmark_DB!$V$5:$V$41,Benchmark_DB!$B$5:$B$41,$A13,Benchmark_DB!$D$5:$D$41,$B13,Benchmark_DB!$N$5:$N$41,1,Benchmark_DB!$F$5:$F$41,12,Benchmark_DB!$H$5:$H$41,"EQUITY"))</f>
        <v/>
      </c>
      <c r="AB13" s="142">
        <f>IF(COUNTIFS(Benchmark_DB!$B$5:$B$41,$A13,Benchmark_DB!$D$5:$D$41,$B13,Benchmark_DB!$N$5:$N$41,1,Benchmark_DB!$F$5:$F$41,12,Benchmark_DB!$H$5:$H$41,"TOTAL_ASSETS")=0,"",SUMIFS(Benchmark_DB!$V$5:$V$41,Benchmark_DB!$B$5:$B$41,$A13,Benchmark_DB!$D$5:$D$41,$B13,Benchmark_DB!$N$5:$N$41,1,Benchmark_DB!$F$5:$F$41,12,Benchmark_DB!$H$5:$H$41,"TOTAL_ASSETS"))</f>
        <v/>
      </c>
      <c r="AC13" s="142">
        <f>IF(COUNTIFS(Benchmark_DB!$B$5:$B$41,$A13,Benchmark_DB!$D$5:$D$41,$B13,Benchmark_DB!$N$5:$N$41,1,Benchmark_DB!$F$5:$F$41,12,Benchmark_DB!$H$5:$H$41,"TOTAL_LIAB")=0,"",SUMIFS(Benchmark_DB!$V$5:$V$41,Benchmark_DB!$B$5:$B$41,$A13,Benchmark_DB!$D$5:$D$41,$B13,Benchmark_DB!$N$5:$N$41,1,Benchmark_DB!$F$5:$F$41,12,Benchmark_DB!$H$5:$H$41,"TOTAL_LIAB"))</f>
        <v/>
      </c>
      <c r="AD13" s="142">
        <f>IF(COUNTIFS(Benchmark_DB!$B$5:$B$41,$A13,Benchmark_DB!$D$5:$D$41,$B13,Benchmark_DB!$N$5:$N$41,1,Benchmark_DB!$F$5:$F$41,12,Benchmark_DB!$H$5:$H$41,"CFO")=0,"",SUMIFS(Benchmark_DB!$V$5:$V$41,Benchmark_DB!$B$5:$B$41,$A13,Benchmark_DB!$D$5:$D$41,$B13,Benchmark_DB!$N$5:$N$41,1,Benchmark_DB!$F$5:$F$41,12,Benchmark_DB!$H$5:$H$41,"CFO"))</f>
        <v/>
      </c>
      <c r="AE13" s="142">
        <f>IF(COUNTIFS(Benchmark_DB!$B$5:$B$41,$A13,Benchmark_DB!$D$5:$D$41,$B13,Benchmark_DB!$N$5:$N$41,1,Benchmark_DB!$F$5:$F$41,12,Benchmark_DB!$H$5:$H$41,"CAPEX")=0,"",SUMIFS(Benchmark_DB!$V$5:$V$41,Benchmark_DB!$B$5:$B$41,$A13,Benchmark_DB!$D$5:$D$41,$B13,Benchmark_DB!$N$5:$N$41,1,Benchmark_DB!$F$5:$F$41,12,Benchmark_DB!$H$5:$H$41,"CAPEX"))</f>
        <v/>
      </c>
      <c r="AF13" s="142">
        <f>IF(COUNTIFS(Benchmark_DB!$B$5:$B$41,$A13,Benchmark_DB!$D$5:$D$41,$B13,Benchmark_DB!$N$5:$N$41,1,Benchmark_DB!$F$5:$F$41,12,Benchmark_DB!$H$5:$H$41,"DEBT_DRAW")=0,"",SUMIFS(Benchmark_DB!$V$5:$V$41,Benchmark_DB!$B$5:$B$41,$A13,Benchmark_DB!$D$5:$D$41,$B13,Benchmark_DB!$N$5:$N$41,1,Benchmark_DB!$F$5:$F$41,12,Benchmark_DB!$H$5:$H$41,"DEBT_DRAW"))</f>
        <v/>
      </c>
      <c r="AG13" s="142">
        <f>IF(COUNTIFS(Benchmark_DB!$B$5:$B$41,$A13,Benchmark_DB!$D$5:$D$41,$B13,Benchmark_DB!$N$5:$N$41,1,Benchmark_DB!$F$5:$F$41,12,Benchmark_DB!$H$5:$H$41,"EQUITY_RAISED")=0,"",SUMIFS(Benchmark_DB!$V$5:$V$41,Benchmark_DB!$B$5:$B$41,$A13,Benchmark_DB!$D$5:$D$41,$B13,Benchmark_DB!$N$5:$N$41,1,Benchmark_DB!$F$5:$F$41,12,Benchmark_DB!$H$5:$H$41,"EQUITY_RAISED"))</f>
        <v/>
      </c>
      <c r="AH13" s="142">
        <f>IF(COUNTIFS(Benchmark_DB!$B$5:$B$41,$A13,Benchmark_DB!$D$5:$D$41,$B13,Benchmark_DB!$N$5:$N$41,1,Benchmark_DB!$F$5:$F$41,12,Benchmark_DB!$H$5:$H$41,"SECURITISATION")=0,"",SUMIFS(Benchmark_DB!$V$5:$V$41,Benchmark_DB!$B$5:$B$41,$A13,Benchmark_DB!$D$5:$D$41,$B13,Benchmark_DB!$N$5:$N$41,1,Benchmark_DB!$F$5:$F$41,12,Benchmark_DB!$H$5:$H$41,"SECURITISATION"))</f>
        <v/>
      </c>
      <c r="AI13" s="80">
        <f>IF(COUNTIFS(Benchmark_DB!$B$5:$B$41,$A13,Benchmark_DB!$D$5:$D$41,$B13,Benchmark_DB!$N$5:$N$41,1,Benchmark_DB!$F$5:$F$41,12,Benchmark_DB!$H$5:$H$41,"CUST_ACTIVE")=0,"",SUMIFS(Benchmark_DB!$V$5:$V$41,Benchmark_DB!$B$5:$B$41,$A13,Benchmark_DB!$D$5:$D$41,$B13,Benchmark_DB!$N$5:$N$41,1,Benchmark_DB!$F$5:$F$41,12,Benchmark_DB!$H$5:$H$41,"CUST_ACTIVE"))</f>
        <v/>
      </c>
      <c r="AJ13" s="80">
        <f>IF(COUNTIFS(Benchmark_DB!$B$5:$B$41,$A13,Benchmark_DB!$D$5:$D$41,$B13,Benchmark_DB!$N$5:$N$41,1,Benchmark_DB!$F$5:$F$41,12,Benchmark_DB!$H$5:$H$41,"CUST_CUM")=0,"",SUMIFS(Benchmark_DB!$V$5:$V$41,Benchmark_DB!$B$5:$B$41,$A13,Benchmark_DB!$D$5:$D$41,$B13,Benchmark_DB!$N$5:$N$41,1,Benchmark_DB!$F$5:$F$41,12,Benchmark_DB!$H$5:$H$41,"CUST_CUM"))</f>
        <v/>
      </c>
      <c r="AK13" s="80">
        <f>IF(COUNTIFS(Benchmark_DB!$B$5:$B$41,$A13,Benchmark_DB!$D$5:$D$41,$B13,Benchmark_DB!$N$5:$N$41,1,Benchmark_DB!$F$5:$F$41,12,Benchmark_DB!$H$5:$H$41,"UNITS")=0,"",SUMIFS(Benchmark_DB!$V$5:$V$41,Benchmark_DB!$B$5:$B$41,$A13,Benchmark_DB!$D$5:$D$41,$B13,Benchmark_DB!$N$5:$N$41,1,Benchmark_DB!$F$5:$F$41,12,Benchmark_DB!$H$5:$H$41,"UNITS"))</f>
        <v/>
      </c>
      <c r="AL13" s="142">
        <f>IF(COUNTIFS(Benchmark_DB!$B$5:$B$41,$A13,Benchmark_DB!$D$5:$D$41,$B13,Benchmark_DB!$N$5:$N$41,1,Benchmark_DB!$F$5:$F$41,12,Benchmark_DB!$H$5:$H$41,"LOANS_CUM")=0,"",SUMIFS(Benchmark_DB!$V$5:$V$41,Benchmark_DB!$B$5:$B$41,$A13,Benchmark_DB!$D$5:$D$41,$B13,Benchmark_DB!$N$5:$N$41,1,Benchmark_DB!$F$5:$F$41,12,Benchmark_DB!$H$5:$H$41,"LOANS_CUM"))</f>
        <v/>
      </c>
      <c r="AM13" s="81">
        <f>IF(COUNTIFS(Benchmark_DB!$B$5:$B$41,$A13,Benchmark_DB!$D$5:$D$41,$B13,Benchmark_DB!$N$5:$N$41,1,Benchmark_DB!$F$5:$F$41,12,Benchmark_DB!$H$5:$H$41,"REV_GROWTH")=0,"",SUMIFS(Benchmark_DB!$V$5:$V$41,Benchmark_DB!$B$5:$B$41,$A13,Benchmark_DB!$D$5:$D$41,$B13,Benchmark_DB!$N$5:$N$41,1,Benchmark_DB!$F$5:$F$41,12,Benchmark_DB!$H$5:$H$41,"REV_GROWTH"))</f>
        <v/>
      </c>
      <c r="AN13" s="81">
        <f>IF(COUNTIFS(Benchmark_DB!$B$5:$B$41,$A13,Benchmark_DB!$D$5:$D$41,$B13,Benchmark_DB!$N$5:$N$41,1,Benchmark_DB!$F$5:$F$41,12,Benchmark_DB!$H$5:$H$41,"COLL_RATE")=0,"",SUMIFS(Benchmark_DB!$V$5:$V$41,Benchmark_DB!$B$5:$B$41,$A13,Benchmark_DB!$D$5:$D$41,$B13,Benchmark_DB!$N$5:$N$41,1,Benchmark_DB!$F$5:$F$41,12,Benchmark_DB!$H$5:$H$41,"COLL_RATE"))</f>
        <v/>
      </c>
      <c r="AO13" s="81">
        <f>IF(COUNTIFS(Benchmark_DB!$B$5:$B$41,$A13,Benchmark_DB!$D$5:$D$41,$B13,Benchmark_DB!$N$5:$N$41,1,Benchmark_DB!$F$5:$F$41,12,Benchmark_DB!$H$5:$H$41,"PAR30")=0,"",SUMIFS(Benchmark_DB!$V$5:$V$41,Benchmark_DB!$B$5:$B$41,$A13,Benchmark_DB!$D$5:$D$41,$B13,Benchmark_DB!$N$5:$N$41,1,Benchmark_DB!$F$5:$F$41,12,Benchmark_DB!$H$5:$H$41,"PAR30"))</f>
        <v/>
      </c>
      <c r="AP13" s="81">
        <f>IF(COUNTIFS(Benchmark_DB!$B$5:$B$41,$A13,Benchmark_DB!$D$5:$D$41,$B13,Benchmark_DB!$N$5:$N$41,1,Benchmark_DB!$F$5:$F$41,12,Benchmark_DB!$H$5:$H$41,"OWNERSHIP_RATE")=0,"",SUMIFS(Benchmark_DB!$V$5:$V$41,Benchmark_DB!$B$5:$B$41,$A13,Benchmark_DB!$D$5:$D$41,$B13,Benchmark_DB!$N$5:$N$41,1,Benchmark_DB!$F$5:$F$41,12,Benchmark_DB!$H$5:$H$41,"OWNERSHIP_RATE"))</f>
        <v/>
      </c>
      <c r="AQ13" s="142">
        <f>IF(COUNTIFS(Benchmark_DB!$B$5:$B$41,$A13,Benchmark_DB!$D$5:$D$41,$B13,Benchmark_DB!$N$5:$N$41,1,Benchmark_DB!$F$5:$F$41,12,Benchmark_DB!$H$5:$H$41,"RAGP")=0,"",SUMIFS(Benchmark_DB!$V$5:$V$41,Benchmark_DB!$B$5:$B$41,$A13,Benchmark_DB!$D$5:$D$41,$B13,Benchmark_DB!$N$5:$N$41,1,Benchmark_DB!$F$5:$F$41,12,Benchmark_DB!$H$5:$H$41,"RAGP"))</f>
        <v/>
      </c>
    </row>
    <row r="14">
      <c r="A14" s="109" t="inlineStr">
        <is>
          <t>THIS MODEL (active scenario)</t>
        </is>
      </c>
      <c r="B14" s="23" t="n">
        <v>1</v>
      </c>
      <c r="C14" s="34" t="inlineStr">
        <is>
          <t>Model</t>
        </is>
      </c>
      <c r="D14" s="34" t="inlineStr">
        <is>
          <t>Model</t>
        </is>
      </c>
      <c r="E14" s="23" t="n">
        <v>0</v>
      </c>
      <c r="F14" s="142">
        <f>SUMIFS(FS!$E$12:$BL$12,Timeline!$E$6:$BL$6,1)/AVERAGEIFS(Timeline!$E$8:$BL$8,Timeline!$E$6:$BL$6,1)/1000000</f>
        <v/>
      </c>
      <c r="G14" s="142">
        <f>SUMIFS(FS!$E$10:$BL$10,Timeline!$E$6:$BL$6,1)/AVERAGEIFS(Timeline!$E$8:$BL$8,Timeline!$E$6:$BL$6,1)/1000000</f>
        <v/>
      </c>
      <c r="H14" s="142">
        <f>-SUMIFS(FS!$E$13:$BL$13,Timeline!$E$6:$BL$6,1)/AVERAGEIFS(Timeline!$E$8:$BL$8,Timeline!$E$6:$BL$6,1)/1000000</f>
        <v/>
      </c>
      <c r="I14" s="142">
        <f>SUMIFS(FS!$E$14:$BL$14,Timeline!$E$6:$BL$6,1)/AVERAGEIFS(Timeline!$E$8:$BL$8,Timeline!$E$6:$BL$6,1)/1000000</f>
        <v/>
      </c>
      <c r="J14" s="142">
        <f>-SUMIFS(FS!$E$16:$BL$16,Timeline!$E$6:$BL$6,1)/AVERAGEIFS(Timeline!$E$8:$BL$8,Timeline!$E$6:$BL$6,1)/1000000</f>
        <v/>
      </c>
      <c r="K14" s="142">
        <f>SUMIFS(FS!$E$19:$BL$19,Timeline!$E$6:$BL$6,1)/AVERAGEIFS(Timeline!$E$8:$BL$8,Timeline!$E$6:$BL$6,1)/1000000</f>
        <v/>
      </c>
      <c r="L14" s="142">
        <f>SUMIFS(FS!$E$21:$BL$21,Timeline!$E$6:$BL$6,1)/AVERAGEIFS(Timeline!$E$8:$BL$8,Timeline!$E$6:$BL$6,1)/1000000</f>
        <v/>
      </c>
      <c r="M14" s="142">
        <f>-SUMIFS(FS!$E$20:$BL$20,Timeline!$E$6:$BL$6,1)/AVERAGEIFS(Timeline!$E$8:$BL$8,Timeline!$E$6:$BL$6,1)/1000000</f>
        <v/>
      </c>
      <c r="N14" s="142">
        <f>-(SUMIFS(FS!$E$22:$BL$22,Timeline!$E$6:$BL$6,1)+SUMIFS(FS!$E$23:$BL$23,Timeline!$E$6:$BL$6,1)+SUMIFS(FS!$E$24:$BL$24,Timeline!$E$6:$BL$6,1))/AVERAGEIFS(Timeline!$E$8:$BL$8,Timeline!$E$6:$BL$6,1)/1000000</f>
        <v/>
      </c>
      <c r="O14" s="142">
        <f>-SUMIFS(FS!$E$17:$BL$17,Timeline!$E$6:$BL$6,1)/AVERAGEIFS(Timeline!$E$8:$BL$8,Timeline!$E$6:$BL$6,1)/1000000</f>
        <v/>
      </c>
      <c r="P14" s="142">
        <f>-SUMIFS(FS!$E$29:$BL$29,Timeline!$E$6:$BL$6,1)/AVERAGEIFS(Timeline!$E$8:$BL$8,Timeline!$E$6:$BL$6,1)/1000000</f>
        <v/>
      </c>
      <c r="Q14" s="142">
        <f>SUMIFS(FS!$E$30:$BL$30,Timeline!$E$6:$BL$6,1)/AVERAGEIFS(Timeline!$E$8:$BL$8,Timeline!$E$6:$BL$6,1)/1000000</f>
        <v/>
      </c>
      <c r="R14" s="142">
        <f>INDEX(FS!$E$65:$BL$65,1,12)/INDEX(Timeline!$E$8:$BL$8,1,12)/1000000</f>
        <v/>
      </c>
      <c r="S14" s="142">
        <f>INDEX(FS!$E$37:$BL$37,1,12)/INDEX(Timeline!$E$8:$BL$8,1,12)/1000000</f>
        <v/>
      </c>
      <c r="T14" s="142">
        <f>INDEX(FS!$E$40:$BL$40,1,12)/INDEX(Timeline!$E$8:$BL$8,1,12)/1000000</f>
        <v/>
      </c>
      <c r="U14" s="142">
        <f>""</f>
        <v/>
      </c>
      <c r="V14" s="142">
        <f>INDEX(FS!$E$34:$BL$34,1,12)/INDEX(Timeline!$E$8:$BL$8,1,12)/1000000</f>
        <v/>
      </c>
      <c r="W14" s="142">
        <f>INDEX(FS!$E$36:$BL$36,1,12)/INDEX(Timeline!$E$8:$BL$8,1,12)/1000000</f>
        <v/>
      </c>
      <c r="X14" s="142">
        <f>INDEX(FS!$E$38:$BL$38,1,12)/INDEX(Timeline!$E$8:$BL$8,1,12)/1000000</f>
        <v/>
      </c>
      <c r="Y14" s="142">
        <f>(INDEX(FS!$E$41:$BL$41,1,12)+INDEX(FS!$E$42:$BL$42,1,12))/INDEX(Timeline!$E$8:$BL$8,1,12)/1000000</f>
        <v/>
      </c>
      <c r="Z14" s="142">
        <f>""</f>
        <v/>
      </c>
      <c r="AA14" s="142">
        <f>INDEX(FS!$E$46:$BL$46,1,12)/INDEX(Timeline!$E$8:$BL$8,1,12)/1000000</f>
        <v/>
      </c>
      <c r="AB14" s="142">
        <f>INDEX(FS!$E$39:$BL$39,1,12)/INDEX(Timeline!$E$8:$BL$8,1,12)/1000000</f>
        <v/>
      </c>
      <c r="AC14" s="142">
        <f>INDEX(FS!$E$43:$BL$43,1,12)/INDEX(Timeline!$E$8:$BL$8,1,12)/1000000</f>
        <v/>
      </c>
      <c r="AD14" s="142">
        <f>SUMIFS(FS!$E$57:$BL$57,Timeline!$E$6:$BL$6,1)/AVERAGEIFS(Timeline!$E$8:$BL$8,Timeline!$E$6:$BL$6,1)/1000000</f>
        <v/>
      </c>
      <c r="AE14" s="142">
        <f>-SUMIFS(FS!$E$58:$BL$58,Timeline!$E$6:$BL$6,1)/AVERAGEIFS(Timeline!$E$8:$BL$8,Timeline!$E$6:$BL$6,1)/1000000</f>
        <v/>
      </c>
      <c r="AF14" s="142">
        <f>""</f>
        <v/>
      </c>
      <c r="AG14" s="142">
        <f>(SUMIFS(Financing!$E$9:$BL$9,Timeline!$E$6:$BL$6,1)+SUMIFS(Financing!$E$10:$BL$10,Timeline!$E$6:$BL$6,1))/AVERAGEIFS(Timeline!$E$8:$BL$8,Timeline!$E$6:$BL$6,1)/1000000</f>
        <v/>
      </c>
      <c r="AH14" s="142">
        <f>""</f>
        <v/>
      </c>
      <c r="AI14" s="80">
        <f>KPIs!E16</f>
        <v/>
      </c>
      <c r="AJ14" s="80">
        <f>SUMIFS(Ops!$E$134:$BL$134,Timeline!$E$4:$BL$4,"&lt;="&amp;12)</f>
        <v/>
      </c>
      <c r="AK14" s="80">
        <f>KPIs!E14</f>
        <v/>
      </c>
      <c r="AL14" s="142">
        <f>SUMIFS(Ops!$E$138:$BL$138,Timeline!$E$4:$BL$4,"&lt;="&amp;12)/INDEX(Timeline!$E$8:$BL$8,1,12)/1000000</f>
        <v/>
      </c>
      <c r="AM14" s="81">
        <f>""</f>
        <v/>
      </c>
      <c r="AN14" s="81">
        <f>KPIs!E19</f>
        <v/>
      </c>
      <c r="AO14" s="81">
        <f>KPIs!E24</f>
        <v/>
      </c>
      <c r="AP14" s="81">
        <f>""</f>
        <v/>
      </c>
      <c r="AQ14" s="142">
        <f>""</f>
        <v/>
      </c>
    </row>
    <row r="15">
      <c r="A15" s="109" t="inlineStr">
        <is>
          <t>THIS MODEL (active scenario)</t>
        </is>
      </c>
      <c r="B15" s="23" t="n">
        <v>2</v>
      </c>
      <c r="C15" s="34" t="inlineStr">
        <is>
          <t>Model</t>
        </is>
      </c>
      <c r="D15" s="34" t="inlineStr">
        <is>
          <t>Model</t>
        </is>
      </c>
      <c r="E15" s="23" t="n">
        <v>0</v>
      </c>
      <c r="F15" s="142">
        <f>SUMIFS(FS!$E$12:$BL$12,Timeline!$E$6:$BL$6,2)/AVERAGEIFS(Timeline!$E$8:$BL$8,Timeline!$E$6:$BL$6,2)/1000000</f>
        <v/>
      </c>
      <c r="G15" s="142">
        <f>SUMIFS(FS!$E$10:$BL$10,Timeline!$E$6:$BL$6,2)/AVERAGEIFS(Timeline!$E$8:$BL$8,Timeline!$E$6:$BL$6,2)/1000000</f>
        <v/>
      </c>
      <c r="H15" s="142">
        <f>-SUMIFS(FS!$E$13:$BL$13,Timeline!$E$6:$BL$6,2)/AVERAGEIFS(Timeline!$E$8:$BL$8,Timeline!$E$6:$BL$6,2)/1000000</f>
        <v/>
      </c>
      <c r="I15" s="142">
        <f>SUMIFS(FS!$E$14:$BL$14,Timeline!$E$6:$BL$6,2)/AVERAGEIFS(Timeline!$E$8:$BL$8,Timeline!$E$6:$BL$6,2)/1000000</f>
        <v/>
      </c>
      <c r="J15" s="142">
        <f>-SUMIFS(FS!$E$16:$BL$16,Timeline!$E$6:$BL$6,2)/AVERAGEIFS(Timeline!$E$8:$BL$8,Timeline!$E$6:$BL$6,2)/1000000</f>
        <v/>
      </c>
      <c r="K15" s="142">
        <f>SUMIFS(FS!$E$19:$BL$19,Timeline!$E$6:$BL$6,2)/AVERAGEIFS(Timeline!$E$8:$BL$8,Timeline!$E$6:$BL$6,2)/1000000</f>
        <v/>
      </c>
      <c r="L15" s="142">
        <f>SUMIFS(FS!$E$21:$BL$21,Timeline!$E$6:$BL$6,2)/AVERAGEIFS(Timeline!$E$8:$BL$8,Timeline!$E$6:$BL$6,2)/1000000</f>
        <v/>
      </c>
      <c r="M15" s="142">
        <f>-SUMIFS(FS!$E$20:$BL$20,Timeline!$E$6:$BL$6,2)/AVERAGEIFS(Timeline!$E$8:$BL$8,Timeline!$E$6:$BL$6,2)/1000000</f>
        <v/>
      </c>
      <c r="N15" s="142">
        <f>-(SUMIFS(FS!$E$22:$BL$22,Timeline!$E$6:$BL$6,2)+SUMIFS(FS!$E$23:$BL$23,Timeline!$E$6:$BL$6,2)+SUMIFS(FS!$E$24:$BL$24,Timeline!$E$6:$BL$6,2))/AVERAGEIFS(Timeline!$E$8:$BL$8,Timeline!$E$6:$BL$6,2)/1000000</f>
        <v/>
      </c>
      <c r="O15" s="142">
        <f>-SUMIFS(FS!$E$17:$BL$17,Timeline!$E$6:$BL$6,2)/AVERAGEIFS(Timeline!$E$8:$BL$8,Timeline!$E$6:$BL$6,2)/1000000</f>
        <v/>
      </c>
      <c r="P15" s="142">
        <f>-SUMIFS(FS!$E$29:$BL$29,Timeline!$E$6:$BL$6,2)/AVERAGEIFS(Timeline!$E$8:$BL$8,Timeline!$E$6:$BL$6,2)/1000000</f>
        <v/>
      </c>
      <c r="Q15" s="142">
        <f>SUMIFS(FS!$E$30:$BL$30,Timeline!$E$6:$BL$6,2)/AVERAGEIFS(Timeline!$E$8:$BL$8,Timeline!$E$6:$BL$6,2)/1000000</f>
        <v/>
      </c>
      <c r="R15" s="142">
        <f>INDEX(FS!$E$65:$BL$65,1,24)/INDEX(Timeline!$E$8:$BL$8,1,24)/1000000</f>
        <v/>
      </c>
      <c r="S15" s="142">
        <f>INDEX(FS!$E$37:$BL$37,1,24)/INDEX(Timeline!$E$8:$BL$8,1,24)/1000000</f>
        <v/>
      </c>
      <c r="T15" s="142">
        <f>INDEX(FS!$E$40:$BL$40,1,24)/INDEX(Timeline!$E$8:$BL$8,1,24)/1000000</f>
        <v/>
      </c>
      <c r="U15" s="142">
        <f>""</f>
        <v/>
      </c>
      <c r="V15" s="142">
        <f>INDEX(FS!$E$34:$BL$34,1,24)/INDEX(Timeline!$E$8:$BL$8,1,24)/1000000</f>
        <v/>
      </c>
      <c r="W15" s="142">
        <f>INDEX(FS!$E$36:$BL$36,1,24)/INDEX(Timeline!$E$8:$BL$8,1,24)/1000000</f>
        <v/>
      </c>
      <c r="X15" s="142">
        <f>INDEX(FS!$E$38:$BL$38,1,24)/INDEX(Timeline!$E$8:$BL$8,1,24)/1000000</f>
        <v/>
      </c>
      <c r="Y15" s="142">
        <f>(INDEX(FS!$E$41:$BL$41,1,24)+INDEX(FS!$E$42:$BL$42,1,24))/INDEX(Timeline!$E$8:$BL$8,1,24)/1000000</f>
        <v/>
      </c>
      <c r="Z15" s="142">
        <f>""</f>
        <v/>
      </c>
      <c r="AA15" s="142">
        <f>INDEX(FS!$E$46:$BL$46,1,24)/INDEX(Timeline!$E$8:$BL$8,1,24)/1000000</f>
        <v/>
      </c>
      <c r="AB15" s="142">
        <f>INDEX(FS!$E$39:$BL$39,1,24)/INDEX(Timeline!$E$8:$BL$8,1,24)/1000000</f>
        <v/>
      </c>
      <c r="AC15" s="142">
        <f>INDEX(FS!$E$43:$BL$43,1,24)/INDEX(Timeline!$E$8:$BL$8,1,24)/1000000</f>
        <v/>
      </c>
      <c r="AD15" s="142">
        <f>SUMIFS(FS!$E$57:$BL$57,Timeline!$E$6:$BL$6,2)/AVERAGEIFS(Timeline!$E$8:$BL$8,Timeline!$E$6:$BL$6,2)/1000000</f>
        <v/>
      </c>
      <c r="AE15" s="142">
        <f>-SUMIFS(FS!$E$58:$BL$58,Timeline!$E$6:$BL$6,2)/AVERAGEIFS(Timeline!$E$8:$BL$8,Timeline!$E$6:$BL$6,2)/1000000</f>
        <v/>
      </c>
      <c r="AF15" s="142">
        <f>""</f>
        <v/>
      </c>
      <c r="AG15" s="142">
        <f>(SUMIFS(Financing!$E$9:$BL$9,Timeline!$E$6:$BL$6,2)+SUMIFS(Financing!$E$10:$BL$10,Timeline!$E$6:$BL$6,2))/AVERAGEIFS(Timeline!$E$8:$BL$8,Timeline!$E$6:$BL$6,2)/1000000</f>
        <v/>
      </c>
      <c r="AH15" s="142">
        <f>""</f>
        <v/>
      </c>
      <c r="AI15" s="80">
        <f>KPIs!F16</f>
        <v/>
      </c>
      <c r="AJ15" s="80">
        <f>SUMIFS(Ops!$E$134:$BL$134,Timeline!$E$4:$BL$4,"&lt;="&amp;24)</f>
        <v/>
      </c>
      <c r="AK15" s="80">
        <f>KPIs!F14</f>
        <v/>
      </c>
      <c r="AL15" s="142">
        <f>SUMIFS(Ops!$E$138:$BL$138,Timeline!$E$4:$BL$4,"&lt;="&amp;24)/INDEX(Timeline!$E$8:$BL$8,1,24)/1000000</f>
        <v/>
      </c>
      <c r="AM15" s="81">
        <f>IFERROR(KPIs!F34/KPIs!E34-1,"")</f>
        <v/>
      </c>
      <c r="AN15" s="81">
        <f>KPIs!F19</f>
        <v/>
      </c>
      <c r="AO15" s="81">
        <f>KPIs!F24</f>
        <v/>
      </c>
      <c r="AP15" s="81">
        <f>""</f>
        <v/>
      </c>
      <c r="AQ15" s="142">
        <f>""</f>
        <v/>
      </c>
    </row>
    <row r="16">
      <c r="A16" s="109" t="inlineStr">
        <is>
          <t>THIS MODEL (active scenario)</t>
        </is>
      </c>
      <c r="B16" s="23" t="n">
        <v>3</v>
      </c>
      <c r="C16" s="34" t="inlineStr">
        <is>
          <t>Model</t>
        </is>
      </c>
      <c r="D16" s="34" t="inlineStr">
        <is>
          <t>Model</t>
        </is>
      </c>
      <c r="E16" s="23" t="n">
        <v>0</v>
      </c>
      <c r="F16" s="142">
        <f>SUMIFS(FS!$E$12:$BL$12,Timeline!$E$6:$BL$6,3)/AVERAGEIFS(Timeline!$E$8:$BL$8,Timeline!$E$6:$BL$6,3)/1000000</f>
        <v/>
      </c>
      <c r="G16" s="142">
        <f>SUMIFS(FS!$E$10:$BL$10,Timeline!$E$6:$BL$6,3)/AVERAGEIFS(Timeline!$E$8:$BL$8,Timeline!$E$6:$BL$6,3)/1000000</f>
        <v/>
      </c>
      <c r="H16" s="142">
        <f>-SUMIFS(FS!$E$13:$BL$13,Timeline!$E$6:$BL$6,3)/AVERAGEIFS(Timeline!$E$8:$BL$8,Timeline!$E$6:$BL$6,3)/1000000</f>
        <v/>
      </c>
      <c r="I16" s="142">
        <f>SUMIFS(FS!$E$14:$BL$14,Timeline!$E$6:$BL$6,3)/AVERAGEIFS(Timeline!$E$8:$BL$8,Timeline!$E$6:$BL$6,3)/1000000</f>
        <v/>
      </c>
      <c r="J16" s="142">
        <f>-SUMIFS(FS!$E$16:$BL$16,Timeline!$E$6:$BL$6,3)/AVERAGEIFS(Timeline!$E$8:$BL$8,Timeline!$E$6:$BL$6,3)/1000000</f>
        <v/>
      </c>
      <c r="K16" s="142">
        <f>SUMIFS(FS!$E$19:$BL$19,Timeline!$E$6:$BL$6,3)/AVERAGEIFS(Timeline!$E$8:$BL$8,Timeline!$E$6:$BL$6,3)/1000000</f>
        <v/>
      </c>
      <c r="L16" s="142">
        <f>SUMIFS(FS!$E$21:$BL$21,Timeline!$E$6:$BL$6,3)/AVERAGEIFS(Timeline!$E$8:$BL$8,Timeline!$E$6:$BL$6,3)/1000000</f>
        <v/>
      </c>
      <c r="M16" s="142">
        <f>-SUMIFS(FS!$E$20:$BL$20,Timeline!$E$6:$BL$6,3)/AVERAGEIFS(Timeline!$E$8:$BL$8,Timeline!$E$6:$BL$6,3)/1000000</f>
        <v/>
      </c>
      <c r="N16" s="142">
        <f>-(SUMIFS(FS!$E$22:$BL$22,Timeline!$E$6:$BL$6,3)+SUMIFS(FS!$E$23:$BL$23,Timeline!$E$6:$BL$6,3)+SUMIFS(FS!$E$24:$BL$24,Timeline!$E$6:$BL$6,3))/AVERAGEIFS(Timeline!$E$8:$BL$8,Timeline!$E$6:$BL$6,3)/1000000</f>
        <v/>
      </c>
      <c r="O16" s="142">
        <f>-SUMIFS(FS!$E$17:$BL$17,Timeline!$E$6:$BL$6,3)/AVERAGEIFS(Timeline!$E$8:$BL$8,Timeline!$E$6:$BL$6,3)/1000000</f>
        <v/>
      </c>
      <c r="P16" s="142">
        <f>-SUMIFS(FS!$E$29:$BL$29,Timeline!$E$6:$BL$6,3)/AVERAGEIFS(Timeline!$E$8:$BL$8,Timeline!$E$6:$BL$6,3)/1000000</f>
        <v/>
      </c>
      <c r="Q16" s="142">
        <f>SUMIFS(FS!$E$30:$BL$30,Timeline!$E$6:$BL$6,3)/AVERAGEIFS(Timeline!$E$8:$BL$8,Timeline!$E$6:$BL$6,3)/1000000</f>
        <v/>
      </c>
      <c r="R16" s="142">
        <f>INDEX(FS!$E$65:$BL$65,1,36)/INDEX(Timeline!$E$8:$BL$8,1,36)/1000000</f>
        <v/>
      </c>
      <c r="S16" s="142">
        <f>INDEX(FS!$E$37:$BL$37,1,36)/INDEX(Timeline!$E$8:$BL$8,1,36)/1000000</f>
        <v/>
      </c>
      <c r="T16" s="142">
        <f>INDEX(FS!$E$40:$BL$40,1,36)/INDEX(Timeline!$E$8:$BL$8,1,36)/1000000</f>
        <v/>
      </c>
      <c r="U16" s="142">
        <f>""</f>
        <v/>
      </c>
      <c r="V16" s="142">
        <f>INDEX(FS!$E$34:$BL$34,1,36)/INDEX(Timeline!$E$8:$BL$8,1,36)/1000000</f>
        <v/>
      </c>
      <c r="W16" s="142">
        <f>INDEX(FS!$E$36:$BL$36,1,36)/INDEX(Timeline!$E$8:$BL$8,1,36)/1000000</f>
        <v/>
      </c>
      <c r="X16" s="142">
        <f>INDEX(FS!$E$38:$BL$38,1,36)/INDEX(Timeline!$E$8:$BL$8,1,36)/1000000</f>
        <v/>
      </c>
      <c r="Y16" s="142">
        <f>(INDEX(FS!$E$41:$BL$41,1,36)+INDEX(FS!$E$42:$BL$42,1,36))/INDEX(Timeline!$E$8:$BL$8,1,36)/1000000</f>
        <v/>
      </c>
      <c r="Z16" s="142">
        <f>""</f>
        <v/>
      </c>
      <c r="AA16" s="142">
        <f>INDEX(FS!$E$46:$BL$46,1,36)/INDEX(Timeline!$E$8:$BL$8,1,36)/1000000</f>
        <v/>
      </c>
      <c r="AB16" s="142">
        <f>INDEX(FS!$E$39:$BL$39,1,36)/INDEX(Timeline!$E$8:$BL$8,1,36)/1000000</f>
        <v/>
      </c>
      <c r="AC16" s="142">
        <f>INDEX(FS!$E$43:$BL$43,1,36)/INDEX(Timeline!$E$8:$BL$8,1,36)/1000000</f>
        <v/>
      </c>
      <c r="AD16" s="142">
        <f>SUMIFS(FS!$E$57:$BL$57,Timeline!$E$6:$BL$6,3)/AVERAGEIFS(Timeline!$E$8:$BL$8,Timeline!$E$6:$BL$6,3)/1000000</f>
        <v/>
      </c>
      <c r="AE16" s="142">
        <f>-SUMIFS(FS!$E$58:$BL$58,Timeline!$E$6:$BL$6,3)/AVERAGEIFS(Timeline!$E$8:$BL$8,Timeline!$E$6:$BL$6,3)/1000000</f>
        <v/>
      </c>
      <c r="AF16" s="142">
        <f>""</f>
        <v/>
      </c>
      <c r="AG16" s="142">
        <f>(SUMIFS(Financing!$E$9:$BL$9,Timeline!$E$6:$BL$6,3)+SUMIFS(Financing!$E$10:$BL$10,Timeline!$E$6:$BL$6,3))/AVERAGEIFS(Timeline!$E$8:$BL$8,Timeline!$E$6:$BL$6,3)/1000000</f>
        <v/>
      </c>
      <c r="AH16" s="142">
        <f>""</f>
        <v/>
      </c>
      <c r="AI16" s="80">
        <f>KPIs!G16</f>
        <v/>
      </c>
      <c r="AJ16" s="80">
        <f>SUMIFS(Ops!$E$134:$BL$134,Timeline!$E$4:$BL$4,"&lt;="&amp;36)</f>
        <v/>
      </c>
      <c r="AK16" s="80">
        <f>KPIs!G14</f>
        <v/>
      </c>
      <c r="AL16" s="142">
        <f>SUMIFS(Ops!$E$138:$BL$138,Timeline!$E$4:$BL$4,"&lt;="&amp;36)/INDEX(Timeline!$E$8:$BL$8,1,36)/1000000</f>
        <v/>
      </c>
      <c r="AM16" s="81">
        <f>IFERROR(KPIs!G34/KPIs!F34-1,"")</f>
        <v/>
      </c>
      <c r="AN16" s="81">
        <f>KPIs!G19</f>
        <v/>
      </c>
      <c r="AO16" s="81">
        <f>KPIs!G24</f>
        <v/>
      </c>
      <c r="AP16" s="81">
        <f>""</f>
        <v/>
      </c>
      <c r="AQ16" s="142">
        <f>""</f>
        <v/>
      </c>
    </row>
    <row r="17">
      <c r="A17" s="109" t="inlineStr">
        <is>
          <t>THIS MODEL (active scenario)</t>
        </is>
      </c>
      <c r="B17" s="23" t="n">
        <v>4</v>
      </c>
      <c r="C17" s="34" t="inlineStr">
        <is>
          <t>Model</t>
        </is>
      </c>
      <c r="D17" s="34" t="inlineStr">
        <is>
          <t>Model</t>
        </is>
      </c>
      <c r="E17" s="23" t="n">
        <v>0</v>
      </c>
      <c r="F17" s="142">
        <f>SUMIFS(FS!$E$12:$BL$12,Timeline!$E$6:$BL$6,4)/AVERAGEIFS(Timeline!$E$8:$BL$8,Timeline!$E$6:$BL$6,4)/1000000</f>
        <v/>
      </c>
      <c r="G17" s="142">
        <f>SUMIFS(FS!$E$10:$BL$10,Timeline!$E$6:$BL$6,4)/AVERAGEIFS(Timeline!$E$8:$BL$8,Timeline!$E$6:$BL$6,4)/1000000</f>
        <v/>
      </c>
      <c r="H17" s="142">
        <f>-SUMIFS(FS!$E$13:$BL$13,Timeline!$E$6:$BL$6,4)/AVERAGEIFS(Timeline!$E$8:$BL$8,Timeline!$E$6:$BL$6,4)/1000000</f>
        <v/>
      </c>
      <c r="I17" s="142">
        <f>SUMIFS(FS!$E$14:$BL$14,Timeline!$E$6:$BL$6,4)/AVERAGEIFS(Timeline!$E$8:$BL$8,Timeline!$E$6:$BL$6,4)/1000000</f>
        <v/>
      </c>
      <c r="J17" s="142">
        <f>-SUMIFS(FS!$E$16:$BL$16,Timeline!$E$6:$BL$6,4)/AVERAGEIFS(Timeline!$E$8:$BL$8,Timeline!$E$6:$BL$6,4)/1000000</f>
        <v/>
      </c>
      <c r="K17" s="142">
        <f>SUMIFS(FS!$E$19:$BL$19,Timeline!$E$6:$BL$6,4)/AVERAGEIFS(Timeline!$E$8:$BL$8,Timeline!$E$6:$BL$6,4)/1000000</f>
        <v/>
      </c>
      <c r="L17" s="142">
        <f>SUMIFS(FS!$E$21:$BL$21,Timeline!$E$6:$BL$6,4)/AVERAGEIFS(Timeline!$E$8:$BL$8,Timeline!$E$6:$BL$6,4)/1000000</f>
        <v/>
      </c>
      <c r="M17" s="142">
        <f>-SUMIFS(FS!$E$20:$BL$20,Timeline!$E$6:$BL$6,4)/AVERAGEIFS(Timeline!$E$8:$BL$8,Timeline!$E$6:$BL$6,4)/1000000</f>
        <v/>
      </c>
      <c r="N17" s="142">
        <f>-(SUMIFS(FS!$E$22:$BL$22,Timeline!$E$6:$BL$6,4)+SUMIFS(FS!$E$23:$BL$23,Timeline!$E$6:$BL$6,4)+SUMIFS(FS!$E$24:$BL$24,Timeline!$E$6:$BL$6,4))/AVERAGEIFS(Timeline!$E$8:$BL$8,Timeline!$E$6:$BL$6,4)/1000000</f>
        <v/>
      </c>
      <c r="O17" s="142">
        <f>-SUMIFS(FS!$E$17:$BL$17,Timeline!$E$6:$BL$6,4)/AVERAGEIFS(Timeline!$E$8:$BL$8,Timeline!$E$6:$BL$6,4)/1000000</f>
        <v/>
      </c>
      <c r="P17" s="142">
        <f>-SUMIFS(FS!$E$29:$BL$29,Timeline!$E$6:$BL$6,4)/AVERAGEIFS(Timeline!$E$8:$BL$8,Timeline!$E$6:$BL$6,4)/1000000</f>
        <v/>
      </c>
      <c r="Q17" s="142">
        <f>SUMIFS(FS!$E$30:$BL$30,Timeline!$E$6:$BL$6,4)/AVERAGEIFS(Timeline!$E$8:$BL$8,Timeline!$E$6:$BL$6,4)/1000000</f>
        <v/>
      </c>
      <c r="R17" s="142">
        <f>INDEX(FS!$E$65:$BL$65,1,48)/INDEX(Timeline!$E$8:$BL$8,1,48)/1000000</f>
        <v/>
      </c>
      <c r="S17" s="142">
        <f>INDEX(FS!$E$37:$BL$37,1,48)/INDEX(Timeline!$E$8:$BL$8,1,48)/1000000</f>
        <v/>
      </c>
      <c r="T17" s="142">
        <f>INDEX(FS!$E$40:$BL$40,1,48)/INDEX(Timeline!$E$8:$BL$8,1,48)/1000000</f>
        <v/>
      </c>
      <c r="U17" s="142">
        <f>""</f>
        <v/>
      </c>
      <c r="V17" s="142">
        <f>INDEX(FS!$E$34:$BL$34,1,48)/INDEX(Timeline!$E$8:$BL$8,1,48)/1000000</f>
        <v/>
      </c>
      <c r="W17" s="142">
        <f>INDEX(FS!$E$36:$BL$36,1,48)/INDEX(Timeline!$E$8:$BL$8,1,48)/1000000</f>
        <v/>
      </c>
      <c r="X17" s="142">
        <f>INDEX(FS!$E$38:$BL$38,1,48)/INDEX(Timeline!$E$8:$BL$8,1,48)/1000000</f>
        <v/>
      </c>
      <c r="Y17" s="142">
        <f>(INDEX(FS!$E$41:$BL$41,1,48)+INDEX(FS!$E$42:$BL$42,1,48))/INDEX(Timeline!$E$8:$BL$8,1,48)/1000000</f>
        <v/>
      </c>
      <c r="Z17" s="142">
        <f>""</f>
        <v/>
      </c>
      <c r="AA17" s="142">
        <f>INDEX(FS!$E$46:$BL$46,1,48)/INDEX(Timeline!$E$8:$BL$8,1,48)/1000000</f>
        <v/>
      </c>
      <c r="AB17" s="142">
        <f>INDEX(FS!$E$39:$BL$39,1,48)/INDEX(Timeline!$E$8:$BL$8,1,48)/1000000</f>
        <v/>
      </c>
      <c r="AC17" s="142">
        <f>INDEX(FS!$E$43:$BL$43,1,48)/INDEX(Timeline!$E$8:$BL$8,1,48)/1000000</f>
        <v/>
      </c>
      <c r="AD17" s="142">
        <f>SUMIFS(FS!$E$57:$BL$57,Timeline!$E$6:$BL$6,4)/AVERAGEIFS(Timeline!$E$8:$BL$8,Timeline!$E$6:$BL$6,4)/1000000</f>
        <v/>
      </c>
      <c r="AE17" s="142">
        <f>-SUMIFS(FS!$E$58:$BL$58,Timeline!$E$6:$BL$6,4)/AVERAGEIFS(Timeline!$E$8:$BL$8,Timeline!$E$6:$BL$6,4)/1000000</f>
        <v/>
      </c>
      <c r="AF17" s="142">
        <f>""</f>
        <v/>
      </c>
      <c r="AG17" s="142">
        <f>(SUMIFS(Financing!$E$9:$BL$9,Timeline!$E$6:$BL$6,4)+SUMIFS(Financing!$E$10:$BL$10,Timeline!$E$6:$BL$6,4))/AVERAGEIFS(Timeline!$E$8:$BL$8,Timeline!$E$6:$BL$6,4)/1000000</f>
        <v/>
      </c>
      <c r="AH17" s="142">
        <f>""</f>
        <v/>
      </c>
      <c r="AI17" s="80">
        <f>KPIs!H16</f>
        <v/>
      </c>
      <c r="AJ17" s="80">
        <f>SUMIFS(Ops!$E$134:$BL$134,Timeline!$E$4:$BL$4,"&lt;="&amp;48)</f>
        <v/>
      </c>
      <c r="AK17" s="80">
        <f>KPIs!H14</f>
        <v/>
      </c>
      <c r="AL17" s="142">
        <f>SUMIFS(Ops!$E$138:$BL$138,Timeline!$E$4:$BL$4,"&lt;="&amp;48)/INDEX(Timeline!$E$8:$BL$8,1,48)/1000000</f>
        <v/>
      </c>
      <c r="AM17" s="81">
        <f>IFERROR(KPIs!H34/KPIs!G34-1,"")</f>
        <v/>
      </c>
      <c r="AN17" s="81">
        <f>KPIs!H19</f>
        <v/>
      </c>
      <c r="AO17" s="81">
        <f>KPIs!H24</f>
        <v/>
      </c>
      <c r="AP17" s="81">
        <f>""</f>
        <v/>
      </c>
      <c r="AQ17" s="142">
        <f>""</f>
        <v/>
      </c>
    </row>
    <row r="18">
      <c r="A18" s="109" t="inlineStr">
        <is>
          <t>THIS MODEL (active scenario)</t>
        </is>
      </c>
      <c r="B18" s="23" t="n">
        <v>5</v>
      </c>
      <c r="C18" s="34" t="inlineStr">
        <is>
          <t>Model</t>
        </is>
      </c>
      <c r="D18" s="34" t="inlineStr">
        <is>
          <t>Model</t>
        </is>
      </c>
      <c r="E18" s="23" t="n">
        <v>0</v>
      </c>
      <c r="F18" s="142">
        <f>SUMIFS(FS!$E$12:$BL$12,Timeline!$E$6:$BL$6,5)/AVERAGEIFS(Timeline!$E$8:$BL$8,Timeline!$E$6:$BL$6,5)/1000000</f>
        <v/>
      </c>
      <c r="G18" s="142">
        <f>SUMIFS(FS!$E$10:$BL$10,Timeline!$E$6:$BL$6,5)/AVERAGEIFS(Timeline!$E$8:$BL$8,Timeline!$E$6:$BL$6,5)/1000000</f>
        <v/>
      </c>
      <c r="H18" s="142">
        <f>-SUMIFS(FS!$E$13:$BL$13,Timeline!$E$6:$BL$6,5)/AVERAGEIFS(Timeline!$E$8:$BL$8,Timeline!$E$6:$BL$6,5)/1000000</f>
        <v/>
      </c>
      <c r="I18" s="142">
        <f>SUMIFS(FS!$E$14:$BL$14,Timeline!$E$6:$BL$6,5)/AVERAGEIFS(Timeline!$E$8:$BL$8,Timeline!$E$6:$BL$6,5)/1000000</f>
        <v/>
      </c>
      <c r="J18" s="142">
        <f>-SUMIFS(FS!$E$16:$BL$16,Timeline!$E$6:$BL$6,5)/AVERAGEIFS(Timeline!$E$8:$BL$8,Timeline!$E$6:$BL$6,5)/1000000</f>
        <v/>
      </c>
      <c r="K18" s="142">
        <f>SUMIFS(FS!$E$19:$BL$19,Timeline!$E$6:$BL$6,5)/AVERAGEIFS(Timeline!$E$8:$BL$8,Timeline!$E$6:$BL$6,5)/1000000</f>
        <v/>
      </c>
      <c r="L18" s="142">
        <f>SUMIFS(FS!$E$21:$BL$21,Timeline!$E$6:$BL$6,5)/AVERAGEIFS(Timeline!$E$8:$BL$8,Timeline!$E$6:$BL$6,5)/1000000</f>
        <v/>
      </c>
      <c r="M18" s="142">
        <f>-SUMIFS(FS!$E$20:$BL$20,Timeline!$E$6:$BL$6,5)/AVERAGEIFS(Timeline!$E$8:$BL$8,Timeline!$E$6:$BL$6,5)/1000000</f>
        <v/>
      </c>
      <c r="N18" s="142">
        <f>-(SUMIFS(FS!$E$22:$BL$22,Timeline!$E$6:$BL$6,5)+SUMIFS(FS!$E$23:$BL$23,Timeline!$E$6:$BL$6,5)+SUMIFS(FS!$E$24:$BL$24,Timeline!$E$6:$BL$6,5))/AVERAGEIFS(Timeline!$E$8:$BL$8,Timeline!$E$6:$BL$6,5)/1000000</f>
        <v/>
      </c>
      <c r="O18" s="142">
        <f>-SUMIFS(FS!$E$17:$BL$17,Timeline!$E$6:$BL$6,5)/AVERAGEIFS(Timeline!$E$8:$BL$8,Timeline!$E$6:$BL$6,5)/1000000</f>
        <v/>
      </c>
      <c r="P18" s="142">
        <f>-SUMIFS(FS!$E$29:$BL$29,Timeline!$E$6:$BL$6,5)/AVERAGEIFS(Timeline!$E$8:$BL$8,Timeline!$E$6:$BL$6,5)/1000000</f>
        <v/>
      </c>
      <c r="Q18" s="142">
        <f>SUMIFS(FS!$E$30:$BL$30,Timeline!$E$6:$BL$6,5)/AVERAGEIFS(Timeline!$E$8:$BL$8,Timeline!$E$6:$BL$6,5)/1000000</f>
        <v/>
      </c>
      <c r="R18" s="142">
        <f>INDEX(FS!$E$65:$BL$65,1,60)/INDEX(Timeline!$E$8:$BL$8,1,60)/1000000</f>
        <v/>
      </c>
      <c r="S18" s="142">
        <f>INDEX(FS!$E$37:$BL$37,1,60)/INDEX(Timeline!$E$8:$BL$8,1,60)/1000000</f>
        <v/>
      </c>
      <c r="T18" s="142">
        <f>INDEX(FS!$E$40:$BL$40,1,60)/INDEX(Timeline!$E$8:$BL$8,1,60)/1000000</f>
        <v/>
      </c>
      <c r="U18" s="142">
        <f>""</f>
        <v/>
      </c>
      <c r="V18" s="142">
        <f>INDEX(FS!$E$34:$BL$34,1,60)/INDEX(Timeline!$E$8:$BL$8,1,60)/1000000</f>
        <v/>
      </c>
      <c r="W18" s="142">
        <f>INDEX(FS!$E$36:$BL$36,1,60)/INDEX(Timeline!$E$8:$BL$8,1,60)/1000000</f>
        <v/>
      </c>
      <c r="X18" s="142">
        <f>INDEX(FS!$E$38:$BL$38,1,60)/INDEX(Timeline!$E$8:$BL$8,1,60)/1000000</f>
        <v/>
      </c>
      <c r="Y18" s="142">
        <f>(INDEX(FS!$E$41:$BL$41,1,60)+INDEX(FS!$E$42:$BL$42,1,60))/INDEX(Timeline!$E$8:$BL$8,1,60)/1000000</f>
        <v/>
      </c>
      <c r="Z18" s="142">
        <f>""</f>
        <v/>
      </c>
      <c r="AA18" s="142">
        <f>INDEX(FS!$E$46:$BL$46,1,60)/INDEX(Timeline!$E$8:$BL$8,1,60)/1000000</f>
        <v/>
      </c>
      <c r="AB18" s="142">
        <f>INDEX(FS!$E$39:$BL$39,1,60)/INDEX(Timeline!$E$8:$BL$8,1,60)/1000000</f>
        <v/>
      </c>
      <c r="AC18" s="142">
        <f>INDEX(FS!$E$43:$BL$43,1,60)/INDEX(Timeline!$E$8:$BL$8,1,60)/1000000</f>
        <v/>
      </c>
      <c r="AD18" s="142">
        <f>SUMIFS(FS!$E$57:$BL$57,Timeline!$E$6:$BL$6,5)/AVERAGEIFS(Timeline!$E$8:$BL$8,Timeline!$E$6:$BL$6,5)/1000000</f>
        <v/>
      </c>
      <c r="AE18" s="142">
        <f>-SUMIFS(FS!$E$58:$BL$58,Timeline!$E$6:$BL$6,5)/AVERAGEIFS(Timeline!$E$8:$BL$8,Timeline!$E$6:$BL$6,5)/1000000</f>
        <v/>
      </c>
      <c r="AF18" s="142">
        <f>""</f>
        <v/>
      </c>
      <c r="AG18" s="142">
        <f>(SUMIFS(Financing!$E$9:$BL$9,Timeline!$E$6:$BL$6,5)+SUMIFS(Financing!$E$10:$BL$10,Timeline!$E$6:$BL$6,5))/AVERAGEIFS(Timeline!$E$8:$BL$8,Timeline!$E$6:$BL$6,5)/1000000</f>
        <v/>
      </c>
      <c r="AH18" s="142">
        <f>""</f>
        <v/>
      </c>
      <c r="AI18" s="80">
        <f>KPIs!I16</f>
        <v/>
      </c>
      <c r="AJ18" s="80">
        <f>SUMIFS(Ops!$E$134:$BL$134,Timeline!$E$4:$BL$4,"&lt;="&amp;60)</f>
        <v/>
      </c>
      <c r="AK18" s="80">
        <f>KPIs!I14</f>
        <v/>
      </c>
      <c r="AL18" s="142">
        <f>SUMIFS(Ops!$E$138:$BL$138,Timeline!$E$4:$BL$4,"&lt;="&amp;60)/INDEX(Timeline!$E$8:$BL$8,1,60)/1000000</f>
        <v/>
      </c>
      <c r="AM18" s="81">
        <f>IFERROR(KPIs!I34/KPIs!H34-1,"")</f>
        <v/>
      </c>
      <c r="AN18" s="81">
        <f>KPIs!I19</f>
        <v/>
      </c>
      <c r="AO18" s="81">
        <f>KPIs!I24</f>
        <v/>
      </c>
      <c r="AP18" s="81">
        <f>""</f>
        <v/>
      </c>
      <c r="AQ18" s="142">
        <f>""</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28.xml><?xml version="1.0" encoding="utf-8"?>
<worksheet xmlns="http://schemas.openxmlformats.org/spreadsheetml/2006/main">
  <sheetPr>
    <tabColor rgb="007030A0"/>
    <outlinePr summaryBelow="1" summaryRight="1"/>
    <pageSetUpPr fitToPage="1"/>
  </sheetPr>
  <dimension ref="A1:Z4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26" customWidth="1" min="3" max="3"/>
    <col width="8" customWidth="1" min="4" max="4"/>
    <col width="11" customWidth="1" min="5" max="5"/>
    <col width="7" customWidth="1" min="6" max="6"/>
    <col width="7" customWidth="1" min="7" max="7"/>
    <col width="15" customWidth="1" min="8" max="8"/>
    <col width="10" customWidth="1" min="9" max="9"/>
    <col width="7" customWidth="1" min="10" max="10"/>
    <col width="12" customWidth="1" min="11" max="11"/>
    <col width="10" customWidth="1" min="12" max="12"/>
    <col width="26" customWidth="1" min="13" max="13"/>
    <col width="5" customWidth="1" min="14" max="14"/>
    <col width="24" customWidth="1" min="15" max="15"/>
    <col width="40" customWidth="1" min="16" max="16"/>
    <col width="11" customWidth="1" min="17" max="17"/>
    <col width="18" customWidth="1" min="18" max="18"/>
    <col width="6" customWidth="1" min="19" max="19"/>
    <col width="50" customWidth="1" min="20" max="20"/>
    <col width="8" customWidth="1" min="21" max="21"/>
    <col width="14" customWidth="1" min="22" max="22"/>
    <col width="14" customWidth="1" min="23" max="23"/>
    <col width="16" customWidth="1" min="24" max="24"/>
    <col width="46" customWidth="1" min="25" max="25"/>
    <col width="46" customWidth="1" min="26" max="26"/>
  </cols>
  <sheetData>
    <row r="1">
      <c r="A1" s="17" t="inlineStr">
        <is>
          <t>PAYGo financial benchmark database: raw records</t>
        </is>
      </c>
    </row>
    <row r="2">
      <c r="A2" s="18" t="inlineStr">
        <is>
          <t>Loaded from benchmarks/db/paygo_financial_db.csv: edit the CSV, never this sheet. use = 1 enters the matrix; conflicting, undated, half-year-only or D-grade records are kept but excluded.</t>
        </is>
      </c>
    </row>
    <row r="3"/>
    <row r="4">
      <c r="A4" s="40" t="inlineStr">
        <is>
          <t>id</t>
        </is>
      </c>
      <c r="B4" s="40" t="inlineStr">
        <is>
          <t>company</t>
        </is>
      </c>
      <c r="C4" s="40" t="inlineStr">
        <is>
          <t>entity</t>
        </is>
      </c>
      <c r="D4" s="40" t="inlineStr">
        <is>
          <t>fiscal_year</t>
        </is>
      </c>
      <c r="E4" s="40" t="inlineStr">
        <is>
          <t>period_end</t>
        </is>
      </c>
      <c r="F4" s="40" t="inlineStr">
        <is>
          <t>period_months</t>
        </is>
      </c>
      <c r="G4" s="40" t="inlineStr">
        <is>
          <t>statement</t>
        </is>
      </c>
      <c r="H4" s="40" t="inlineStr">
        <is>
          <t>item</t>
        </is>
      </c>
      <c r="I4" s="40" t="inlineStr">
        <is>
          <t>value</t>
        </is>
      </c>
      <c r="J4" s="40" t="inlineStr">
        <is>
          <t>currency</t>
        </is>
      </c>
      <c r="K4" s="40" t="inlineStr">
        <is>
          <t>scale</t>
        </is>
      </c>
      <c r="L4" s="40" t="inlineStr">
        <is>
          <t>fx_to_usd</t>
        </is>
      </c>
      <c r="M4" s="40" t="inlineStr">
        <is>
          <t>fx_note</t>
        </is>
      </c>
      <c r="N4" s="40" t="inlineStr">
        <is>
          <t>use</t>
        </is>
      </c>
      <c r="O4" s="40" t="inlineStr">
        <is>
          <t>publisher</t>
        </is>
      </c>
      <c r="P4" s="40" t="inlineStr">
        <is>
          <t>url</t>
        </is>
      </c>
      <c r="Q4" s="40" t="inlineStr">
        <is>
          <t>date_published</t>
        </is>
      </c>
      <c r="R4" s="40" t="inlineStr">
        <is>
          <t>status</t>
        </is>
      </c>
      <c r="S4" s="40" t="inlineStr">
        <is>
          <t>grade</t>
        </is>
      </c>
      <c r="T4" s="40" t="inlineStr">
        <is>
          <t>notes</t>
        </is>
      </c>
      <c r="U4" s="40" t="inlineStr">
        <is>
          <t>type</t>
        </is>
      </c>
      <c r="V4" s="40" t="inlineStr">
        <is>
          <t>normalised (USD m / count / ratio)</t>
        </is>
      </c>
      <c r="W4" s="94" t="inlineStr">
        <is>
          <t>country</t>
        </is>
      </c>
      <c r="X4" s="94" t="inlineStr">
        <is>
          <t>page</t>
        </is>
      </c>
      <c r="Y4" s="94" t="inlineStr">
        <is>
          <t>definition (what the figure measures)</t>
        </is>
      </c>
      <c r="Z4" s="94" t="inlineStr">
        <is>
          <t>comparable with the model?</t>
        </is>
      </c>
    </row>
    <row r="5">
      <c r="A5" s="143" t="inlineStr">
        <is>
          <t>DB001</t>
        </is>
      </c>
      <c r="B5" s="143" t="inlineStr">
        <is>
          <t>M-KOPA</t>
        </is>
      </c>
      <c r="C5" s="143" t="inlineStr">
        <is>
          <t>M-KOPA Holdings Ltd (CH 10891868)</t>
        </is>
      </c>
      <c r="D5" s="143" t="n">
        <v>2024</v>
      </c>
      <c r="E5" s="143" t="inlineStr">
        <is>
          <t>2024-12-31</t>
        </is>
      </c>
      <c r="F5" s="143" t="n">
        <v>12</v>
      </c>
      <c r="G5" s="143" t="inlineStr">
        <is>
          <t>IS</t>
        </is>
      </c>
      <c r="H5" s="143" t="inlineStr">
        <is>
          <t>REV</t>
        </is>
      </c>
      <c r="I5" s="144" t="n">
        <v>416</v>
      </c>
      <c r="J5" s="143" t="inlineStr">
        <is>
          <t>USD</t>
        </is>
      </c>
      <c r="K5" s="143" t="n">
        <v>1000000</v>
      </c>
      <c r="L5" s="144" t="n">
        <v>1</v>
      </c>
      <c r="M5" s="143" t="inlineStr">
        <is>
          <t>Source USD figure (KES 53.7bn)</t>
        </is>
      </c>
      <c r="N5" s="144" t="n">
        <v>0</v>
      </c>
      <c r="O5" s="143" t="inlineStr">
        <is>
          <t>TechCabal (citing UK filings)</t>
        </is>
      </c>
      <c r="P5" s="143" t="inlineStr">
        <is>
          <t>https://techcabal.com/2025/10/07/m-kopa-turns-first-ever-profit-revenue-surges-66-416/</t>
        </is>
      </c>
      <c r="Q5" s="143" t="inlineStr">
        <is>
          <t>2025-10-07</t>
        </is>
      </c>
      <c r="R5" s="143" t="inlineStr">
        <is>
          <t>CONFLICTING SOURCES</t>
        </is>
      </c>
      <c r="S5" s="143" t="inlineStr">
        <is>
          <t>C</t>
        </is>
      </c>
      <c r="T5" s="143" t="inlineStr">
        <is>
          <t>CONFLICT with DB002 (USD 253.5m). Excluded until the Companies House filing is read. Suspended 3 Oct 2026 (register E4): the entity attribution to CH 10891868 is unverified, and the filing held is M-KOPA UK LIMITED (10229661), a subsidiary whose revenue is carbon credit sales.</t>
        </is>
      </c>
      <c r="U5" s="145" t="inlineStr">
        <is>
          <t>money</t>
        </is>
      </c>
      <c r="V5" s="146">
        <f>IF(U5="money",IF(L5="","",I5*K5*L5/1000000),IF(U5="count",I5*K5,I5))</f>
        <v/>
      </c>
      <c r="W5" s="147" t="inlineStr">
        <is>
          <t>TO VERIFY</t>
        </is>
      </c>
      <c r="X5" s="147" t="inlineStr">
        <is>
          <t>PAGE TO VERIFY</t>
        </is>
      </c>
      <c r="Y5" s="147" t="inlineStr">
        <is>
          <t>Total revenue for the period (company's own recognition policy)</t>
        </is>
      </c>
      <c r="Z5" s="148">
        <f>IF(N5&lt;&gt;1,"No: excluded ("&amp;R5&amp;")",IF(F5&lt;&gt;12,"No: not a full year",IF(R5&lt;&gt;"VERIFIED","With care: status "&amp;R5&amp;"; definition and period to check","With care: check definition and fiscal year against model years")))</f>
        <v/>
      </c>
    </row>
    <row r="6">
      <c r="A6" s="143" t="inlineStr">
        <is>
          <t>DB002</t>
        </is>
      </c>
      <c r="B6" s="143" t="inlineStr">
        <is>
          <t>M-KOPA</t>
        </is>
      </c>
      <c r="C6" s="143" t="inlineStr">
        <is>
          <t>M-KOPA Holdings Ltd (CH 10891868)</t>
        </is>
      </c>
      <c r="D6" s="143" t="n">
        <v>2024</v>
      </c>
      <c r="E6" s="143" t="inlineStr">
        <is>
          <t>2024-12-31</t>
        </is>
      </c>
      <c r="F6" s="143" t="n">
        <v>12</v>
      </c>
      <c r="G6" s="143" t="inlineStr">
        <is>
          <t>IS</t>
        </is>
      </c>
      <c r="H6" s="143" t="inlineStr">
        <is>
          <t>REV</t>
        </is>
      </c>
      <c r="I6" s="144" t="n">
        <v>253.5</v>
      </c>
      <c r="J6" s="143" t="inlineStr">
        <is>
          <t>USD</t>
        </is>
      </c>
      <c r="K6" s="143" t="n">
        <v>1000000</v>
      </c>
      <c r="L6" s="144" t="n">
        <v>1</v>
      </c>
      <c r="M6" s="143" t="inlineStr">
        <is>
          <t>Source USD figure</t>
        </is>
      </c>
      <c r="N6" s="144" t="n">
        <v>0</v>
      </c>
      <c r="O6" s="143" t="inlineStr">
        <is>
          <t>Kenyan Wall Street / Dabafinance</t>
        </is>
      </c>
      <c r="P6" s="143" t="inlineStr">
        <is>
          <t>https://kenyanwallstreet.com/m-kopa-posts-first-ever-profit-bets-on-e-mobility-for-next-growth-phase/</t>
        </is>
      </c>
      <c r="Q6" s="143" t="inlineStr">
        <is>
          <t>2025</t>
        </is>
      </c>
      <c r="R6" s="143" t="inlineStr">
        <is>
          <t>CONFLICTING SOURCES</t>
        </is>
      </c>
      <c r="S6" s="143" t="inlineStr">
        <is>
          <t>C</t>
        </is>
      </c>
      <c r="T6" s="143" t="inlineStr">
        <is>
          <t>CONFLICT with DB001: may be a different revenue line (e.g. excluding interest income). Excluded until resolved. Suspended 3 Oct 2026 (register E4): the entity attribution to CH 10891868 is unverified, and the filing held is M-KOPA UK LIMITED (10229661), a subsidiary whose revenue is carbon credit sales.</t>
        </is>
      </c>
      <c r="U6" s="145" t="inlineStr">
        <is>
          <t>money</t>
        </is>
      </c>
      <c r="V6" s="146">
        <f>IF(U6="money",IF(L6="","",I6*K6*L6/1000000),IF(U6="count",I6*K6,I6))</f>
        <v/>
      </c>
      <c r="W6" s="147" t="inlineStr">
        <is>
          <t>TO VERIFY</t>
        </is>
      </c>
      <c r="X6" s="147" t="inlineStr">
        <is>
          <t>PAGE TO VERIFY</t>
        </is>
      </c>
      <c r="Y6" s="147" t="inlineStr">
        <is>
          <t>Total revenue for the period (company's own recognition policy)</t>
        </is>
      </c>
      <c r="Z6" s="148">
        <f>IF(N6&lt;&gt;1,"No: excluded ("&amp;R6&amp;")",IF(F6&lt;&gt;12,"No: not a full year",IF(R6&lt;&gt;"VERIFIED","With care: status "&amp;R6&amp;"; definition and period to check","With care: check definition and fiscal year against model years")))</f>
        <v/>
      </c>
    </row>
    <row r="7">
      <c r="A7" s="143" t="inlineStr">
        <is>
          <t>DB003</t>
        </is>
      </c>
      <c r="B7" s="143" t="inlineStr">
        <is>
          <t>M-KOPA</t>
        </is>
      </c>
      <c r="C7" s="143" t="inlineStr">
        <is>
          <t>M-KOPA Holdings Ltd (CH 10891868)</t>
        </is>
      </c>
      <c r="D7" s="143" t="n">
        <v>2024</v>
      </c>
      <c r="E7" s="143" t="inlineStr">
        <is>
          <t>2024-12-31</t>
        </is>
      </c>
      <c r="F7" s="143" t="n">
        <v>12</v>
      </c>
      <c r="G7" s="143" t="inlineStr">
        <is>
          <t>KPI</t>
        </is>
      </c>
      <c r="H7" s="143" t="inlineStr">
        <is>
          <t>REV_GROWTH</t>
        </is>
      </c>
      <c r="I7" s="144" t="n">
        <v>0.66</v>
      </c>
      <c r="J7" s="143" t="inlineStr">
        <is>
          <t>ratio</t>
        </is>
      </c>
      <c r="K7" s="143" t="n">
        <v>1</v>
      </c>
      <c r="L7" s="144" t="n"/>
      <c r="M7" s="143" t="inlineStr">
        <is>
          <t>Reported growth</t>
        </is>
      </c>
      <c r="N7" s="144" t="n">
        <v>0</v>
      </c>
      <c r="O7" s="143" t="inlineStr">
        <is>
          <t>TechCabal; Kenyan Wall Street</t>
        </is>
      </c>
      <c r="P7" s="143" t="inlineStr">
        <is>
          <t>https://techcabal.com/2025/10/07/m-kopa-turns-first-ever-profit-revenue-surges-66-416/</t>
        </is>
      </c>
      <c r="Q7" s="143" t="inlineStr">
        <is>
          <t>2025-10-07</t>
        </is>
      </c>
      <c r="R7" s="143" t="inlineStr">
        <is>
          <t>PENDING PRIMARY DOCUMENT</t>
        </is>
      </c>
      <c r="S7" s="143" t="inlineStr">
        <is>
          <t>C</t>
        </is>
      </c>
      <c r="T7" s="143" t="inlineStr">
        <is>
          <t>Both sources report +66%. Suspended 3 Oct 2026 (register E4): the entity attribution to CH 10891868 is unverified, and the filing held is M-KOPA UK LIMITED (10229661), a subsidiary whose revenue is carbon credit sales.</t>
        </is>
      </c>
      <c r="U7" s="145" t="inlineStr">
        <is>
          <t>ratio</t>
        </is>
      </c>
      <c r="V7" s="146">
        <f>IF(U7="money",IF(L7="","",I7*K7*L7/1000000),IF(U7="count",I7*K7,I7))</f>
        <v/>
      </c>
      <c r="W7" s="147" t="inlineStr">
        <is>
          <t>TO VERIFY</t>
        </is>
      </c>
      <c r="X7" s="147" t="inlineStr">
        <is>
          <t>PAGE TO VERIFY</t>
        </is>
      </c>
      <c r="Y7" s="147" t="inlineStr">
        <is>
          <t>Revenue growth on the prior period as reported</t>
        </is>
      </c>
      <c r="Z7" s="148">
        <f>IF(N7&lt;&gt;1,"No: excluded ("&amp;R7&amp;")",IF(F7&lt;&gt;12,"No: not a full year",IF(R7&lt;&gt;"VERIFIED","With care: status "&amp;R7&amp;"; definition and period to check","With care: check definition and fiscal year against model years")))</f>
        <v/>
      </c>
    </row>
    <row r="8">
      <c r="A8" s="143" t="inlineStr">
        <is>
          <t>DB004</t>
        </is>
      </c>
      <c r="B8" s="143" t="inlineStr">
        <is>
          <t>M-KOPA</t>
        </is>
      </c>
      <c r="C8" s="143" t="inlineStr">
        <is>
          <t>M-KOPA Holdings Ltd (CH 10891868)</t>
        </is>
      </c>
      <c r="D8" s="143" t="n">
        <v>2024</v>
      </c>
      <c r="E8" s="143" t="inlineStr">
        <is>
          <t>2024-12-31</t>
        </is>
      </c>
      <c r="F8" s="143" t="n">
        <v>12</v>
      </c>
      <c r="G8" s="143" t="inlineStr">
        <is>
          <t>IS</t>
        </is>
      </c>
      <c r="H8" s="143" t="inlineStr">
        <is>
          <t>NI</t>
        </is>
      </c>
      <c r="I8" s="144" t="n">
        <v>9.199999999999999</v>
      </c>
      <c r="J8" s="143" t="inlineStr">
        <is>
          <t>USD</t>
        </is>
      </c>
      <c r="K8" s="143" t="n">
        <v>1000000</v>
      </c>
      <c r="L8" s="144" t="n">
        <v>1</v>
      </c>
      <c r="M8" s="143" t="inlineStr">
        <is>
          <t>Source USD figure (KES 1.2bn)</t>
        </is>
      </c>
      <c r="N8" s="144" t="n">
        <v>0</v>
      </c>
      <c r="O8" s="143" t="inlineStr">
        <is>
          <t>TechCabal; Kenya Times</t>
        </is>
      </c>
      <c r="P8" s="143" t="inlineStr">
        <is>
          <t>https://thekenyatimes.com/business/m-kopa-records-ksh-1-2-billion-profit/</t>
        </is>
      </c>
      <c r="Q8" s="143" t="inlineStr">
        <is>
          <t>2025-10</t>
        </is>
      </c>
      <c r="R8" s="143" t="inlineStr">
        <is>
          <t>PENDING PRIMARY DOCUMENT</t>
        </is>
      </c>
      <c r="S8" s="143" t="inlineStr">
        <is>
          <t>C</t>
        </is>
      </c>
      <c r="T8" s="143" t="inlineStr">
        <is>
          <t>First reported profit. Suspended 3 Oct 2026 (register E4): the entity attribution to CH 10891868 is unverified, and the filing held is M-KOPA UK LIMITED (10229661), a subsidiary whose revenue is carbon credit sales.</t>
        </is>
      </c>
      <c r="U8" s="145" t="inlineStr">
        <is>
          <t>money</t>
        </is>
      </c>
      <c r="V8" s="146">
        <f>IF(U8="money",IF(L8="","",I8*K8*L8/1000000),IF(U8="count",I8*K8,I8))</f>
        <v/>
      </c>
      <c r="W8" s="147" t="inlineStr">
        <is>
          <t>TO VERIFY</t>
        </is>
      </c>
      <c r="X8" s="147" t="inlineStr">
        <is>
          <t>PAGE TO VERIFY</t>
        </is>
      </c>
      <c r="Y8" s="147" t="inlineStr">
        <is>
          <t>Net income after tax</t>
        </is>
      </c>
      <c r="Z8" s="148">
        <f>IF(N8&lt;&gt;1,"No: excluded ("&amp;R8&amp;")",IF(F8&lt;&gt;12,"No: not a full year",IF(R8&lt;&gt;"VERIFIED","With care: status "&amp;R8&amp;"; definition and period to check","With care: check definition and fiscal year against model years")))</f>
        <v/>
      </c>
    </row>
    <row r="9">
      <c r="A9" s="143" t="inlineStr">
        <is>
          <t>DB005</t>
        </is>
      </c>
      <c r="B9" s="143" t="inlineStr">
        <is>
          <t>M-KOPA</t>
        </is>
      </c>
      <c r="C9" s="143" t="inlineStr">
        <is>
          <t>M-KOPA Holdings Ltd (CH 10891868)</t>
        </is>
      </c>
      <c r="D9" s="143" t="n">
        <v>2023</v>
      </c>
      <c r="E9" s="143" t="inlineStr">
        <is>
          <t>2023-12-31</t>
        </is>
      </c>
      <c r="F9" s="143" t="n">
        <v>12</v>
      </c>
      <c r="G9" s="143" t="inlineStr">
        <is>
          <t>IS</t>
        </is>
      </c>
      <c r="H9" s="143" t="inlineStr">
        <is>
          <t>NI</t>
        </is>
      </c>
      <c r="I9" s="144" t="n">
        <v>-24.7</v>
      </c>
      <c r="J9" s="143" t="inlineStr">
        <is>
          <t>USD</t>
        </is>
      </c>
      <c r="K9" s="143" t="n">
        <v>1000000</v>
      </c>
      <c r="L9" s="144" t="n">
        <v>1</v>
      </c>
      <c r="M9" s="143" t="inlineStr">
        <is>
          <t>Source USD figure (KES -3.2bn)</t>
        </is>
      </c>
      <c r="N9" s="144" t="n">
        <v>0</v>
      </c>
      <c r="O9" s="143" t="inlineStr">
        <is>
          <t>TechCabal</t>
        </is>
      </c>
      <c r="P9" s="143" t="inlineStr">
        <is>
          <t>https://techcabal.com/2025/10/07/m-kopa-turns-first-ever-profit-revenue-surges-66-416/</t>
        </is>
      </c>
      <c r="Q9" s="143" t="inlineStr">
        <is>
          <t>2025-10-07</t>
        </is>
      </c>
      <c r="R9" s="143" t="inlineStr">
        <is>
          <t>CONFLICTING SOURCES</t>
        </is>
      </c>
      <c r="S9" s="143" t="inlineStr">
        <is>
          <t>C</t>
        </is>
      </c>
      <c r="T9" s="143" t="inlineStr">
        <is>
          <t>CONFLICT with DB006 (USD -20.6m). Excluded until resolved. Suspended 3 Oct 2026 (register E4): the entity attribution to CH 10891868 is unverified, and the filing held is M-KOPA UK LIMITED (10229661), a subsidiary whose revenue is carbon credit sales.</t>
        </is>
      </c>
      <c r="U9" s="145" t="inlineStr">
        <is>
          <t>money</t>
        </is>
      </c>
      <c r="V9" s="146">
        <f>IF(U9="money",IF(L9="","",I9*K9*L9/1000000),IF(U9="count",I9*K9,I9))</f>
        <v/>
      </c>
      <c r="W9" s="147" t="inlineStr">
        <is>
          <t>TO VERIFY</t>
        </is>
      </c>
      <c r="X9" s="147" t="inlineStr">
        <is>
          <t>PAGE TO VERIFY</t>
        </is>
      </c>
      <c r="Y9" s="147" t="inlineStr">
        <is>
          <t>Net income after tax</t>
        </is>
      </c>
      <c r="Z9" s="148">
        <f>IF(N9&lt;&gt;1,"No: excluded ("&amp;R9&amp;")",IF(F9&lt;&gt;12,"No: not a full year",IF(R9&lt;&gt;"VERIFIED","With care: status "&amp;R9&amp;"; definition and period to check","With care: check definition and fiscal year against model years")))</f>
        <v/>
      </c>
    </row>
    <row r="10">
      <c r="A10" s="143" t="inlineStr">
        <is>
          <t>DB006</t>
        </is>
      </c>
      <c r="B10" s="143" t="inlineStr">
        <is>
          <t>M-KOPA</t>
        </is>
      </c>
      <c r="C10" s="143" t="inlineStr">
        <is>
          <t>M-KOPA Holdings Ltd (CH 10891868)</t>
        </is>
      </c>
      <c r="D10" s="143" t="n">
        <v>2023</v>
      </c>
      <c r="E10" s="143" t="inlineStr">
        <is>
          <t>2023-12-31</t>
        </is>
      </c>
      <c r="F10" s="143" t="n">
        <v>12</v>
      </c>
      <c r="G10" s="143" t="inlineStr">
        <is>
          <t>IS</t>
        </is>
      </c>
      <c r="H10" s="143" t="inlineStr">
        <is>
          <t>NI</t>
        </is>
      </c>
      <c r="I10" s="144" t="n">
        <v>-20.6</v>
      </c>
      <c r="J10" s="143" t="inlineStr">
        <is>
          <t>USD</t>
        </is>
      </c>
      <c r="K10" s="143" t="n">
        <v>1000000</v>
      </c>
      <c r="L10" s="144" t="n">
        <v>1</v>
      </c>
      <c r="M10" s="143" t="inlineStr">
        <is>
          <t>Source USD figure</t>
        </is>
      </c>
      <c r="N10" s="144" t="n">
        <v>0</v>
      </c>
      <c r="O10" s="143" t="inlineStr">
        <is>
          <t>Kenyan Wall Street</t>
        </is>
      </c>
      <c r="P10" s="143" t="inlineStr">
        <is>
          <t>https://kenyanwallstreet.com/m-kopa-posts-first-ever-profit-bets-on-e-mobility-for-next-growth-phase/</t>
        </is>
      </c>
      <c r="Q10" s="143" t="inlineStr">
        <is>
          <t>2025</t>
        </is>
      </c>
      <c r="R10" s="143" t="inlineStr">
        <is>
          <t>CONFLICTING SOURCES</t>
        </is>
      </c>
      <c r="S10" s="143" t="inlineStr">
        <is>
          <t>C</t>
        </is>
      </c>
      <c r="T10" s="143" t="inlineStr">
        <is>
          <t>CONFLICT with DB005. Excluded until resolved. Suspended 3 Oct 2026 (register E4): the entity attribution to CH 10891868 is unverified, and the filing held is M-KOPA UK LIMITED (10229661), a subsidiary whose revenue is carbon credit sales.</t>
        </is>
      </c>
      <c r="U10" s="145" t="inlineStr">
        <is>
          <t>money</t>
        </is>
      </c>
      <c r="V10" s="146">
        <f>IF(U10="money",IF(L10="","",I10*K10*L10/1000000),IF(U10="count",I10*K10,I10))</f>
        <v/>
      </c>
      <c r="W10" s="147" t="inlineStr">
        <is>
          <t>TO VERIFY</t>
        </is>
      </c>
      <c r="X10" s="147" t="inlineStr">
        <is>
          <t>PAGE TO VERIFY</t>
        </is>
      </c>
      <c r="Y10" s="147" t="inlineStr">
        <is>
          <t>Net income after tax</t>
        </is>
      </c>
      <c r="Z10" s="148">
        <f>IF(N10&lt;&gt;1,"No: excluded ("&amp;R10&amp;")",IF(F10&lt;&gt;12,"No: not a full year",IF(R10&lt;&gt;"VERIFIED","With care: status "&amp;R10&amp;"; definition and period to check","With care: check definition and fiscal year against model years")))</f>
        <v/>
      </c>
    </row>
    <row r="11">
      <c r="A11" s="143" t="inlineStr">
        <is>
          <t>DB007</t>
        </is>
      </c>
      <c r="B11" s="143" t="inlineStr">
        <is>
          <t>M-KOPA</t>
        </is>
      </c>
      <c r="C11" s="143" t="inlineStr">
        <is>
          <t>M-KOPA Holdings Ltd (CH 10891868)</t>
        </is>
      </c>
      <c r="D11" s="143" t="n">
        <v>2024</v>
      </c>
      <c r="E11" s="143" t="inlineStr">
        <is>
          <t>2024-12-31</t>
        </is>
      </c>
      <c r="F11" s="143" t="n">
        <v>12</v>
      </c>
      <c r="G11" s="143" t="inlineStr">
        <is>
          <t>IS</t>
        </is>
      </c>
      <c r="H11" s="143" t="inlineStr">
        <is>
          <t>REV_FIN</t>
        </is>
      </c>
      <c r="I11" s="144" t="n">
        <v>164.5</v>
      </c>
      <c r="J11" s="143" t="inlineStr">
        <is>
          <t>USD</t>
        </is>
      </c>
      <c r="K11" s="143" t="n">
        <v>1000000</v>
      </c>
      <c r="L11" s="144" t="n">
        <v>1</v>
      </c>
      <c r="M11" s="143" t="inlineStr">
        <is>
          <t>Source USD figure</t>
        </is>
      </c>
      <c r="N11" s="144" t="n">
        <v>0</v>
      </c>
      <c r="O11" s="143" t="inlineStr">
        <is>
          <t>Kenyan Wall Street</t>
        </is>
      </c>
      <c r="P11" s="143" t="inlineStr">
        <is>
          <t>https://kenyanwallstreet.com/m-kopa-posts-first-ever-profit-bets-on-e-mobility-for-next-growth-phase/</t>
        </is>
      </c>
      <c r="Q11" s="143" t="inlineStr">
        <is>
          <t>2025</t>
        </is>
      </c>
      <c r="R11" s="143" t="inlineStr">
        <is>
          <t>PENDING PRIMARY DOCUMENT</t>
        </is>
      </c>
      <c r="S11" s="143" t="inlineStr">
        <is>
          <t>C</t>
        </is>
      </c>
      <c r="T11" s="143" t="inlineStr">
        <is>
          <t>Interest income on customer repayments. Suspended 3 Oct 2026 (register E4): the entity attribution to CH 10891868 is unverified, and the filing held is M-KOPA UK LIMITED (10229661), a subsidiary whose revenue is carbon credit sales.</t>
        </is>
      </c>
      <c r="U11" s="145" t="inlineStr">
        <is>
          <t>money</t>
        </is>
      </c>
      <c r="V11" s="146">
        <f>IF(U11="money",IF(L11="","",I11*K11*L11/1000000),IF(U11="count",I11*K11,I11))</f>
        <v/>
      </c>
      <c r="W11" s="147" t="inlineStr">
        <is>
          <t>TO VERIFY</t>
        </is>
      </c>
      <c r="X11" s="147" t="inlineStr">
        <is>
          <t>PAGE TO VERIFY</t>
        </is>
      </c>
      <c r="Y11" s="147" t="inlineStr">
        <is>
          <t>Financing / interest revenue</t>
        </is>
      </c>
      <c r="Z11" s="148">
        <f>IF(N11&lt;&gt;1,"No: excluded ("&amp;R11&amp;")",IF(F11&lt;&gt;12,"No: not a full year",IF(R11&lt;&gt;"VERIFIED","With care: status "&amp;R11&amp;"; definition and period to check","With care: check definition and fiscal year against model years")))</f>
        <v/>
      </c>
    </row>
    <row r="12">
      <c r="A12" s="143" t="inlineStr">
        <is>
          <t>DB008</t>
        </is>
      </c>
      <c r="B12" s="143" t="inlineStr">
        <is>
          <t>M-KOPA</t>
        </is>
      </c>
      <c r="C12" s="143" t="inlineStr">
        <is>
          <t>M-KOPA Holdings Ltd (CH 10891868)</t>
        </is>
      </c>
      <c r="D12" s="143" t="n">
        <v>2024</v>
      </c>
      <c r="E12" s="143" t="inlineStr">
        <is>
          <t>2024-12-31</t>
        </is>
      </c>
      <c r="F12" s="143" t="n">
        <v>12</v>
      </c>
      <c r="G12" s="143" t="inlineStr">
        <is>
          <t>IS</t>
        </is>
      </c>
      <c r="H12" s="143" t="inlineStr">
        <is>
          <t>ECL</t>
        </is>
      </c>
      <c r="I12" s="144" t="n">
        <v>63</v>
      </c>
      <c r="J12" s="143" t="inlineStr">
        <is>
          <t>USD</t>
        </is>
      </c>
      <c r="K12" s="143" t="n">
        <v>1000000</v>
      </c>
      <c r="L12" s="144" t="n">
        <v>1</v>
      </c>
      <c r="M12" s="143" t="inlineStr">
        <is>
          <t>Source USD figure</t>
        </is>
      </c>
      <c r="N12" s="144" t="n">
        <v>0</v>
      </c>
      <c r="O12" s="143" t="inlineStr">
        <is>
          <t>Kenyan Wall Street</t>
        </is>
      </c>
      <c r="P12" s="143" t="inlineStr">
        <is>
          <t>https://kenyanwallstreet.com/m-kopa-posts-first-ever-profit-bets-on-e-mobility-for-next-growth-phase/</t>
        </is>
      </c>
      <c r="Q12" s="143" t="inlineStr">
        <is>
          <t>2025</t>
        </is>
      </c>
      <c r="R12" s="143" t="inlineStr">
        <is>
          <t>PENDING PRIMARY DOCUMENT</t>
        </is>
      </c>
      <c r="S12" s="143" t="inlineStr">
        <is>
          <t>C</t>
        </is>
      </c>
      <c r="T12" s="143" t="inlineStr">
        <is>
          <t>Expected credit losses on loans (about 2x 2023). Suspended 3 Oct 2026 (register E4): the entity attribution to CH 10891868 is unverified, and the filing held is M-KOPA UK LIMITED (10229661), a subsidiary whose revenue is carbon credit sales.</t>
        </is>
      </c>
      <c r="U12" s="145" t="inlineStr">
        <is>
          <t>money</t>
        </is>
      </c>
      <c r="V12" s="146">
        <f>IF(U12="money",IF(L12="","",I12*K12*L12/1000000),IF(U12="count",I12*K12,I12))</f>
        <v/>
      </c>
      <c r="W12" s="147" t="inlineStr">
        <is>
          <t>TO VERIFY</t>
        </is>
      </c>
      <c r="X12" s="147" t="inlineStr">
        <is>
          <t>PAGE TO VERIFY</t>
        </is>
      </c>
      <c r="Y12" s="147" t="inlineStr">
        <is>
          <t>Impairment / expected credit losses</t>
        </is>
      </c>
      <c r="Z12" s="148">
        <f>IF(N12&lt;&gt;1,"No: excluded ("&amp;R12&amp;")",IF(F12&lt;&gt;12,"No: not a full year",IF(R12&lt;&gt;"VERIFIED","With care: status "&amp;R12&amp;"; definition and period to check","With care: check definition and fiscal year against model years")))</f>
        <v/>
      </c>
    </row>
    <row r="13">
      <c r="A13" s="143" t="inlineStr">
        <is>
          <t>DB009</t>
        </is>
      </c>
      <c r="B13" s="143" t="inlineStr">
        <is>
          <t>M-KOPA</t>
        </is>
      </c>
      <c r="C13" s="143" t="inlineStr">
        <is>
          <t>M-KOPA Holdings Ltd (CH 10891868)</t>
        </is>
      </c>
      <c r="D13" s="143" t="n">
        <v>2024</v>
      </c>
      <c r="E13" s="143" t="inlineStr">
        <is>
          <t>2024-12-31</t>
        </is>
      </c>
      <c r="F13" s="143" t="n">
        <v>12</v>
      </c>
      <c r="G13" s="143" t="inlineStr">
        <is>
          <t>IS</t>
        </is>
      </c>
      <c r="H13" s="143" t="inlineStr">
        <is>
          <t>EBIT</t>
        </is>
      </c>
      <c r="I13" s="144" t="n">
        <v>51</v>
      </c>
      <c r="J13" s="143" t="inlineStr">
        <is>
          <t>USD</t>
        </is>
      </c>
      <c r="K13" s="143" t="n">
        <v>1000000</v>
      </c>
      <c r="L13" s="144" t="n">
        <v>1</v>
      </c>
      <c r="M13" s="143" t="inlineStr">
        <is>
          <t>Source USD figure</t>
        </is>
      </c>
      <c r="N13" s="144" t="n">
        <v>0</v>
      </c>
      <c r="O13" s="143" t="inlineStr">
        <is>
          <t>Dabafinance / Kenyan Wall Street</t>
        </is>
      </c>
      <c r="P13" s="143" t="inlineStr">
        <is>
          <t>https://dabafinance.com/en/news/m-kopa-profit-2024-digital-finance-africa</t>
        </is>
      </c>
      <c r="Q13" s="143" t="inlineStr">
        <is>
          <t>2025</t>
        </is>
      </c>
      <c r="R13" s="143" t="inlineStr">
        <is>
          <t>PENDING PRIMARY DOCUMENT</t>
        </is>
      </c>
      <c r="S13" s="143" t="inlineStr">
        <is>
          <t>C</t>
        </is>
      </c>
      <c r="T13" s="143" t="inlineStr">
        <is>
          <t>Reported as operating income (about 5x 2023). Suspended 3 Oct 2026 (register E4): the entity attribution to CH 10891868 is unverified, and the filing held is M-KOPA UK LIMITED (10229661), a subsidiary whose revenue is carbon credit sales.</t>
        </is>
      </c>
      <c r="U13" s="145" t="inlineStr">
        <is>
          <t>money</t>
        </is>
      </c>
      <c r="V13" s="146">
        <f>IF(U13="money",IF(L13="","",I13*K13*L13/1000000),IF(U13="count",I13*K13,I13))</f>
        <v/>
      </c>
      <c r="W13" s="147" t="inlineStr">
        <is>
          <t>TO VERIFY</t>
        </is>
      </c>
      <c r="X13" s="147" t="inlineStr">
        <is>
          <t>PAGE TO VERIFY</t>
        </is>
      </c>
      <c r="Y13" s="147" t="inlineStr">
        <is>
          <t>EBIT / operating income</t>
        </is>
      </c>
      <c r="Z13" s="148">
        <f>IF(N13&lt;&gt;1,"No: excluded ("&amp;R13&amp;")",IF(F13&lt;&gt;12,"No: not a full year",IF(R13&lt;&gt;"VERIFIED","With care: status "&amp;R13&amp;"; definition and period to check","With care: check definition and fiscal year against model years")))</f>
        <v/>
      </c>
    </row>
    <row r="14">
      <c r="A14" s="143" t="inlineStr">
        <is>
          <t>DB010</t>
        </is>
      </c>
      <c r="B14" s="143" t="inlineStr">
        <is>
          <t>M-KOPA</t>
        </is>
      </c>
      <c r="C14" s="143" t="inlineStr">
        <is>
          <t>M-KOPA Holdings Ltd (CH 10891868)</t>
        </is>
      </c>
      <c r="D14" s="143" t="n">
        <v>2024</v>
      </c>
      <c r="E14" s="143" t="inlineStr">
        <is>
          <t>2024-12-31</t>
        </is>
      </c>
      <c r="F14" s="143" t="n">
        <v>12</v>
      </c>
      <c r="G14" s="143" t="inlineStr">
        <is>
          <t>KPI</t>
        </is>
      </c>
      <c r="H14" s="143" t="inlineStr">
        <is>
          <t>RAGP</t>
        </is>
      </c>
      <c r="I14" s="144" t="n">
        <v>173</v>
      </c>
      <c r="J14" s="143" t="inlineStr">
        <is>
          <t>USD</t>
        </is>
      </c>
      <c r="K14" s="143" t="n">
        <v>1000000</v>
      </c>
      <c r="L14" s="144" t="n">
        <v>1</v>
      </c>
      <c r="M14" s="143" t="inlineStr">
        <is>
          <t>Source USD figure</t>
        </is>
      </c>
      <c r="N14" s="144" t="n">
        <v>0</v>
      </c>
      <c r="O14" s="143" t="inlineStr">
        <is>
          <t>Dabafinance / Kenyan Wall Street</t>
        </is>
      </c>
      <c r="P14" s="143" t="inlineStr">
        <is>
          <t>https://dabafinance.com/en/news/m-kopa-profit-2024-digital-finance-africa</t>
        </is>
      </c>
      <c r="Q14" s="143" t="inlineStr">
        <is>
          <t>2025</t>
        </is>
      </c>
      <c r="R14" s="143" t="inlineStr">
        <is>
          <t>PENDING PRIMARY DOCUMENT</t>
        </is>
      </c>
      <c r="S14" s="143" t="inlineStr">
        <is>
          <t>C</t>
        </is>
      </c>
      <c r="T14" s="143" t="inlineStr">
        <is>
          <t>Risk-adjusted gross profit: NON-IFRS measure (+80%). Suspended 3 Oct 2026 (register E4): the entity attribution to CH 10891868 is unverified, and the filing held is M-KOPA UK LIMITED (10229661), a subsidiary whose revenue is carbon credit sales.</t>
        </is>
      </c>
      <c r="U14" s="145" t="inlineStr">
        <is>
          <t>money</t>
        </is>
      </c>
      <c r="V14" s="146">
        <f>IF(U14="money",IF(L14="","",I14*K14*L14/1000000),IF(U14="count",I14*K14,I14))</f>
        <v/>
      </c>
      <c r="W14" s="147" t="inlineStr">
        <is>
          <t>TO VERIFY</t>
        </is>
      </c>
      <c r="X14" s="147" t="inlineStr">
        <is>
          <t>PAGE TO VERIFY</t>
        </is>
      </c>
      <c r="Y14" s="147" t="inlineStr">
        <is>
          <t>Risk-adjusted gross profit (non-IFRS)</t>
        </is>
      </c>
      <c r="Z14" s="148">
        <f>IF(N14&lt;&gt;1,"No: excluded ("&amp;R14&amp;")",IF(F14&lt;&gt;12,"No: not a full year",IF(R14&lt;&gt;"VERIFIED","With care: status "&amp;R14&amp;"; definition and period to check","With care: check definition and fiscal year against model years")))</f>
        <v/>
      </c>
    </row>
    <row r="15">
      <c r="A15" s="143" t="inlineStr">
        <is>
          <t>DB011</t>
        </is>
      </c>
      <c r="B15" s="143" t="inlineStr">
        <is>
          <t>M-KOPA</t>
        </is>
      </c>
      <c r="C15" s="143" t="inlineStr">
        <is>
          <t>M-KOPA Holdings Ltd (CH 10891868)</t>
        </is>
      </c>
      <c r="D15" s="143" t="n">
        <v>2024</v>
      </c>
      <c r="E15" s="143" t="inlineStr">
        <is>
          <t>2024-12-31</t>
        </is>
      </c>
      <c r="F15" s="143" t="n">
        <v>12</v>
      </c>
      <c r="G15" s="143" t="inlineStr">
        <is>
          <t>BS</t>
        </is>
      </c>
      <c r="H15" s="143" t="inlineStr">
        <is>
          <t>TOTAL_ASSETS</t>
        </is>
      </c>
      <c r="I15" s="144" t="n">
        <v>363</v>
      </c>
      <c r="J15" s="143" t="inlineStr">
        <is>
          <t>USD</t>
        </is>
      </c>
      <c r="K15" s="143" t="n">
        <v>1000000</v>
      </c>
      <c r="L15" s="144" t="n">
        <v>1</v>
      </c>
      <c r="M15" s="143" t="inlineStr">
        <is>
          <t>Source USD figure</t>
        </is>
      </c>
      <c r="N15" s="144" t="n">
        <v>0</v>
      </c>
      <c r="O15" s="143" t="inlineStr">
        <is>
          <t>Kenyan Wall Street</t>
        </is>
      </c>
      <c r="P15" s="143" t="inlineStr">
        <is>
          <t>https://kenyanwallstreet.com/m-kopa-posts-first-ever-profit-bets-on-e-mobility-for-next-growth-phase/</t>
        </is>
      </c>
      <c r="Q15" s="143" t="inlineStr">
        <is>
          <t>2025</t>
        </is>
      </c>
      <c r="R15" s="143" t="inlineStr">
        <is>
          <t>PENDING PRIMARY DOCUMENT</t>
        </is>
      </c>
      <c r="S15" s="143" t="inlineStr">
        <is>
          <t>C</t>
        </is>
      </c>
      <c r="T15" s="143" t="inlineStr">
        <is>
          <t>Suspended 3 Oct 2026 (register E4): the entity attribution to CH 10891868 is unverified, and the filing held is M-KOPA UK LIMITED (10229661), a subsidiary whose revenue is carbon credit sales.</t>
        </is>
      </c>
      <c r="U15" s="145" t="inlineStr">
        <is>
          <t>money</t>
        </is>
      </c>
      <c r="V15" s="146">
        <f>IF(U15="money",IF(L15="","",I15*K15*L15/1000000),IF(U15="count",I15*K15,I15))</f>
        <v/>
      </c>
      <c r="W15" s="147" t="inlineStr">
        <is>
          <t>TO VERIFY</t>
        </is>
      </c>
      <c r="X15" s="147" t="inlineStr">
        <is>
          <t>PAGE TO VERIFY</t>
        </is>
      </c>
      <c r="Y15" s="147" t="inlineStr">
        <is>
          <t>Total assets</t>
        </is>
      </c>
      <c r="Z15" s="148">
        <f>IF(N15&lt;&gt;1,"No: excluded ("&amp;R15&amp;")",IF(F15&lt;&gt;12,"No: not a full year",IF(R15&lt;&gt;"VERIFIED","With care: status "&amp;R15&amp;"; definition and period to check","With care: check definition and fiscal year against model years")))</f>
        <v/>
      </c>
    </row>
    <row r="16">
      <c r="A16" s="143" t="inlineStr">
        <is>
          <t>DB012</t>
        </is>
      </c>
      <c r="B16" s="143" t="inlineStr">
        <is>
          <t>M-KOPA</t>
        </is>
      </c>
      <c r="C16" s="143" t="inlineStr">
        <is>
          <t>M-KOPA Holdings Ltd (CH 10891868)</t>
        </is>
      </c>
      <c r="D16" s="143" t="n">
        <v>2024</v>
      </c>
      <c r="E16" s="143" t="inlineStr">
        <is>
          <t>2024-12-31</t>
        </is>
      </c>
      <c r="F16" s="143" t="n">
        <v>12</v>
      </c>
      <c r="G16" s="143" t="inlineStr">
        <is>
          <t>BS</t>
        </is>
      </c>
      <c r="H16" s="143" t="inlineStr">
        <is>
          <t>TOTAL_LIAB</t>
        </is>
      </c>
      <c r="I16" s="144" t="n">
        <v>281</v>
      </c>
      <c r="J16" s="143" t="inlineStr">
        <is>
          <t>USD</t>
        </is>
      </c>
      <c r="K16" s="143" t="n">
        <v>1000000</v>
      </c>
      <c r="L16" s="144" t="n">
        <v>1</v>
      </c>
      <c r="M16" s="143" t="inlineStr">
        <is>
          <t>Source USD figure</t>
        </is>
      </c>
      <c r="N16" s="144" t="n">
        <v>0</v>
      </c>
      <c r="O16" s="143" t="inlineStr">
        <is>
          <t>Kenyan Wall Street</t>
        </is>
      </c>
      <c r="P16" s="143" t="inlineStr">
        <is>
          <t>https://kenyanwallstreet.com/m-kopa-posts-first-ever-profit-bets-on-e-mobility-for-next-growth-phase/</t>
        </is>
      </c>
      <c r="Q16" s="143" t="inlineStr">
        <is>
          <t>2025</t>
        </is>
      </c>
      <c r="R16" s="143" t="inlineStr">
        <is>
          <t>PENDING PRIMARY DOCUMENT</t>
        </is>
      </c>
      <c r="S16" s="143" t="inlineStr">
        <is>
          <t>C</t>
        </is>
      </c>
      <c r="T16" s="143" t="inlineStr">
        <is>
          <t>Equity is derived in Benchmark_KPIs (assets: liabilities); not reported. Suspended 3 Oct 2026 (register E4): the entity attribution to CH 10891868 is unverified, and the filing held is M-KOPA UK LIMITED (10229661), a subsidiary whose revenue is carbon credit sales.</t>
        </is>
      </c>
      <c r="U16" s="145" t="inlineStr">
        <is>
          <t>money</t>
        </is>
      </c>
      <c r="V16" s="146">
        <f>IF(U16="money",IF(L16="","",I16*K16*L16/1000000),IF(U16="count",I16*K16,I16))</f>
        <v/>
      </c>
      <c r="W16" s="147" t="inlineStr">
        <is>
          <t>TO VERIFY</t>
        </is>
      </c>
      <c r="X16" s="147" t="inlineStr">
        <is>
          <t>PAGE TO VERIFY</t>
        </is>
      </c>
      <c r="Y16" s="147" t="inlineStr">
        <is>
          <t>Total liabilities</t>
        </is>
      </c>
      <c r="Z16" s="148">
        <f>IF(N16&lt;&gt;1,"No: excluded ("&amp;R16&amp;")",IF(F16&lt;&gt;12,"No: not a full year",IF(R16&lt;&gt;"VERIFIED","With care: status "&amp;R16&amp;"; definition and period to check","With care: check definition and fiscal year against model years")))</f>
        <v/>
      </c>
    </row>
    <row r="17">
      <c r="A17" s="143" t="inlineStr">
        <is>
          <t>DB013</t>
        </is>
      </c>
      <c r="B17" s="143" t="inlineStr">
        <is>
          <t>M-KOPA</t>
        </is>
      </c>
      <c r="C17" s="143" t="inlineStr">
        <is>
          <t>M-KOPA Holdings Ltd (CH 10891868)</t>
        </is>
      </c>
      <c r="D17" s="143" t="n">
        <v>2024</v>
      </c>
      <c r="E17" s="143" t="inlineStr">
        <is>
          <t>2024-12-31</t>
        </is>
      </c>
      <c r="F17" s="143" t="n">
        <v>12</v>
      </c>
      <c r="G17" s="143" t="inlineStr">
        <is>
          <t>OP</t>
        </is>
      </c>
      <c r="H17" s="143" t="inlineStr">
        <is>
          <t>CUST_CUM</t>
        </is>
      </c>
      <c r="I17" s="144" t="n">
        <v>7</v>
      </c>
      <c r="J17" s="143" t="inlineStr">
        <is>
          <t>count</t>
        </is>
      </c>
      <c r="K17" s="143" t="n">
        <v>1000000</v>
      </c>
      <c r="L17" s="144" t="n"/>
      <c r="M17" s="143" t="inlineStr">
        <is>
          <t>Count</t>
        </is>
      </c>
      <c r="N17" s="144" t="n">
        <v>0</v>
      </c>
      <c r="O17" s="143" t="inlineStr">
        <is>
          <t>Kenyan Wall Street</t>
        </is>
      </c>
      <c r="P17" s="143" t="inlineStr">
        <is>
          <t>https://kenyanwallstreet.com/m-kopa-posts-first-ever-profit-bets-on-e-mobility-for-next-growth-phase/</t>
        </is>
      </c>
      <c r="Q17" s="143" t="inlineStr">
        <is>
          <t>2025</t>
        </is>
      </c>
      <c r="R17" s="143" t="inlineStr">
        <is>
          <t>PENDING PRIMARY DOCUMENT</t>
        </is>
      </c>
      <c r="S17" s="143" t="inlineStr">
        <is>
          <t>C</t>
        </is>
      </c>
      <c r="T17" s="143" t="inlineStr">
        <is>
          <t>Cumulative customers (7m+); KES 310bn+ cumulative credit disbursed. Suspended 3 Oct 2026 (register E4): the entity attribution to CH 10891868 is unverified, and the filing held is M-KOPA UK LIMITED (10229661), a subsidiary whose revenue is carbon credit sales.</t>
        </is>
      </c>
      <c r="U17" s="145" t="inlineStr">
        <is>
          <t>count</t>
        </is>
      </c>
      <c r="V17" s="146">
        <f>IF(U17="money",IF(L17="","",I17*K17*L17/1000000),IF(U17="count",I17*K17,I17))</f>
        <v/>
      </c>
      <c r="W17" s="147" t="inlineStr">
        <is>
          <t>TO VERIFY</t>
        </is>
      </c>
      <c r="X17" s="147" t="inlineStr">
        <is>
          <t>PAGE TO VERIFY</t>
        </is>
      </c>
      <c r="Y17" s="147" t="inlineStr">
        <is>
          <t>Cumulative customers since inception</t>
        </is>
      </c>
      <c r="Z17" s="148">
        <f>IF(N17&lt;&gt;1,"No: excluded ("&amp;R17&amp;")",IF(F17&lt;&gt;12,"No: not a full year",IF(R17&lt;&gt;"VERIFIED","With care: status "&amp;R17&amp;"; definition and period to check","With care: check definition and fiscal year against model years")))</f>
        <v/>
      </c>
    </row>
    <row r="18">
      <c r="A18" s="143" t="inlineStr">
        <is>
          <t>DB014</t>
        </is>
      </c>
      <c r="B18" s="143" t="inlineStr">
        <is>
          <t>M-KOPA</t>
        </is>
      </c>
      <c r="C18" s="143" t="inlineStr">
        <is>
          <t>M-KOPA Holdings Ltd (CH 10891868)</t>
        </is>
      </c>
      <c r="D18" s="143" t="n">
        <v>2023</v>
      </c>
      <c r="E18" s="143" t="inlineStr">
        <is>
          <t>2023-12-31</t>
        </is>
      </c>
      <c r="F18" s="143" t="n">
        <v>12</v>
      </c>
      <c r="G18" s="143" t="inlineStr">
        <is>
          <t>IS</t>
        </is>
      </c>
      <c r="H18" s="143" t="inlineStr">
        <is>
          <t>REV</t>
        </is>
      </c>
      <c r="I18" s="144" t="n">
        <v>248</v>
      </c>
      <c r="J18" s="143" t="inlineStr">
        <is>
          <t>USD</t>
        </is>
      </c>
      <c r="K18" s="143" t="n">
        <v>1000000</v>
      </c>
      <c r="L18" s="144" t="n">
        <v>1</v>
      </c>
      <c r="M18" s="143" t="inlineStr">
        <is>
          <t>Source USD figure</t>
        </is>
      </c>
      <c r="N18" s="144" t="n">
        <v>0</v>
      </c>
      <c r="O18" s="143" t="inlineStr">
        <is>
          <t>Search summary (source unclear)</t>
        </is>
      </c>
      <c r="P18" s="143" t="inlineStr">
        <is>
          <t>https://en.wikipedia.org/wiki/M-Kopa</t>
        </is>
      </c>
      <c r="Q18" s="143" t="inlineStr">
        <is>
          <t>n/d</t>
        </is>
      </c>
      <c r="R18" s="143" t="inlineStr">
        <is>
          <t>NOT USED</t>
        </is>
      </c>
      <c r="S18" s="143" t="inlineStr">
        <is>
          <t>D</t>
        </is>
      </c>
      <c r="T18" s="143" t="inlineStr">
        <is>
          <t>Source unclear: excluded. Suspended 3 Oct 2026 (register E4): the entity attribution to CH 10891868 is unverified, and the filing held is M-KOPA UK LIMITED (10229661), a subsidiary whose revenue is carbon credit sales.</t>
        </is>
      </c>
      <c r="U18" s="145" t="inlineStr">
        <is>
          <t>money</t>
        </is>
      </c>
      <c r="V18" s="146">
        <f>IF(U18="money",IF(L18="","",I18*K18*L18/1000000),IF(U18="count",I18*K18,I18))</f>
        <v/>
      </c>
      <c r="W18" s="147" t="inlineStr">
        <is>
          <t>TO VERIFY</t>
        </is>
      </c>
      <c r="X18" s="147" t="inlineStr">
        <is>
          <t>PAGE TO VERIFY</t>
        </is>
      </c>
      <c r="Y18" s="147" t="inlineStr">
        <is>
          <t>Total revenue for the period (company's own recognition policy)</t>
        </is>
      </c>
      <c r="Z18" s="148">
        <f>IF(N18&lt;&gt;1,"No: excluded ("&amp;R18&amp;")",IF(F18&lt;&gt;12,"No: not a full year",IF(R18&lt;&gt;"VERIFIED","With care: status "&amp;R18&amp;"; definition and period to check","With care: check definition and fiscal year against model years")))</f>
        <v/>
      </c>
    </row>
    <row r="19">
      <c r="A19" s="143" t="inlineStr">
        <is>
          <t>DB015</t>
        </is>
      </c>
      <c r="B19" s="143" t="inlineStr">
        <is>
          <t>Bboxx</t>
        </is>
      </c>
      <c r="C19" s="143" t="inlineStr">
        <is>
          <t>BBOXX LTD (CH 07177839)</t>
        </is>
      </c>
      <c r="D19" s="143" t="n">
        <v>2022</v>
      </c>
      <c r="E19" s="143" t="inlineStr">
        <is>
          <t>2022-12-31</t>
        </is>
      </c>
      <c r="F19" s="143" t="n">
        <v>12</v>
      </c>
      <c r="G19" s="143" t="inlineStr">
        <is>
          <t>IS</t>
        </is>
      </c>
      <c r="H19" s="143" t="inlineStr">
        <is>
          <t>REV</t>
        </is>
      </c>
      <c r="I19" s="144" t="n">
        <v>31.9</v>
      </c>
      <c r="J19" s="143" t="inlineStr">
        <is>
          <t>GBP</t>
        </is>
      </c>
      <c r="K19" s="143" t="n">
        <v>1000000</v>
      </c>
      <c r="L19" s="144" t="n"/>
      <c r="M19" s="143" t="inlineStr">
        <is>
          <t>No verified FX</t>
        </is>
      </c>
      <c r="N19" s="144" t="n">
        <v>0</v>
      </c>
      <c r="O19" s="143" t="inlineStr">
        <is>
          <t>Tracxn (aggregator)</t>
        </is>
      </c>
      <c r="P19" s="143" t="inlineStr">
        <is>
          <t>https://tracxn.com/d/legal-entities/united-kingdom/bboxx-ltd/__xMziLabWpSIZlMZbPsYe8bYftVfk4Wfa5ezh0gqc4Ak</t>
        </is>
      </c>
      <c r="Q19" s="143" t="inlineStr">
        <is>
          <t>n/d</t>
        </is>
      </c>
      <c r="R19" s="143" t="inlineStr">
        <is>
          <t>secondary aggregator; source to confirm</t>
        </is>
      </c>
      <c r="S19" s="143" t="inlineStr">
        <is>
          <t>D</t>
        </is>
      </c>
      <c r="T19" s="143" t="inlineStr">
        <is>
          <t>CONFLICT with DB016 (USD 21.34m). Extract filed accounts.</t>
        </is>
      </c>
      <c r="U19" s="145" t="inlineStr">
        <is>
          <t>money</t>
        </is>
      </c>
      <c r="V19" s="146">
        <f>IF(U19="money",IF(L19="","",I19*K19*L19/1000000),IF(U19="count",I19*K19,I19))</f>
        <v/>
      </c>
      <c r="W19" s="147" t="inlineStr">
        <is>
          <t>TO VERIFY</t>
        </is>
      </c>
      <c r="X19" s="147" t="inlineStr">
        <is>
          <t>PAGE TO VERIFY</t>
        </is>
      </c>
      <c r="Y19" s="147" t="inlineStr">
        <is>
          <t>Total revenue for the period (company's own recognition policy)</t>
        </is>
      </c>
      <c r="Z19" s="148">
        <f>IF(N19&lt;&gt;1,"No: excluded ("&amp;R19&amp;")",IF(F19&lt;&gt;12,"No: not a full year",IF(R19&lt;&gt;"VERIFIED","With care: status "&amp;R19&amp;"; definition and period to check","With care: check definition and fiscal year against model years")))</f>
        <v/>
      </c>
    </row>
    <row r="20">
      <c r="A20" s="143" t="inlineStr">
        <is>
          <t>DB016</t>
        </is>
      </c>
      <c r="B20" s="143" t="inlineStr">
        <is>
          <t>Bboxx</t>
        </is>
      </c>
      <c r="C20" s="143" t="inlineStr">
        <is>
          <t>BBOXX LTD (CH 07177839)</t>
        </is>
      </c>
      <c r="D20" s="143" t="n">
        <v>2022</v>
      </c>
      <c r="E20" s="143" t="inlineStr">
        <is>
          <t>2022-12-31</t>
        </is>
      </c>
      <c r="F20" s="143" t="n">
        <v>12</v>
      </c>
      <c r="G20" s="143" t="inlineStr">
        <is>
          <t>IS</t>
        </is>
      </c>
      <c r="H20" s="143" t="inlineStr">
        <is>
          <t>REV</t>
        </is>
      </c>
      <c r="I20" s="144" t="n">
        <v>21.34</v>
      </c>
      <c r="J20" s="143" t="inlineStr">
        <is>
          <t>USD</t>
        </is>
      </c>
      <c r="K20" s="143" t="n">
        <v>1000000</v>
      </c>
      <c r="L20" s="144" t="n">
        <v>1</v>
      </c>
      <c r="M20" s="143" t="inlineStr">
        <is>
          <t>Source USD figure</t>
        </is>
      </c>
      <c r="N20" s="144" t="n">
        <v>0</v>
      </c>
      <c r="O20" s="143" t="inlineStr">
        <is>
          <t>CB Insights (aggregator)</t>
        </is>
      </c>
      <c r="P20" s="143" t="inlineStr">
        <is>
          <t>https://www.cbinsights.com/company/bboxx/financials</t>
        </is>
      </c>
      <c r="Q20" s="143" t="inlineStr">
        <is>
          <t>n/d</t>
        </is>
      </c>
      <c r="R20" s="143" t="inlineStr">
        <is>
          <t>secondary aggregator; source to confirm</t>
        </is>
      </c>
      <c r="S20" s="143" t="inlineStr">
        <is>
          <t>D</t>
        </is>
      </c>
      <c r="T20" s="143" t="inlineStr">
        <is>
          <t>CONFLICT with DB015.</t>
        </is>
      </c>
      <c r="U20" s="145" t="inlineStr">
        <is>
          <t>money</t>
        </is>
      </c>
      <c r="V20" s="146">
        <f>IF(U20="money",IF(L20="","",I20*K20*L20/1000000),IF(U20="count",I20*K20,I20))</f>
        <v/>
      </c>
      <c r="W20" s="147" t="inlineStr">
        <is>
          <t>TO VERIFY</t>
        </is>
      </c>
      <c r="X20" s="147" t="inlineStr">
        <is>
          <t>PAGE TO VERIFY</t>
        </is>
      </c>
      <c r="Y20" s="147" t="inlineStr">
        <is>
          <t>Total revenue for the period (company's own recognition policy)</t>
        </is>
      </c>
      <c r="Z20" s="148">
        <f>IF(N20&lt;&gt;1,"No: excluded ("&amp;R20&amp;")",IF(F20&lt;&gt;12,"No: not a full year",IF(R20&lt;&gt;"VERIFIED","With care: status "&amp;R20&amp;"; definition and period to check","With care: check definition and fiscal year against model years")))</f>
        <v/>
      </c>
    </row>
    <row r="21">
      <c r="A21" s="143" t="inlineStr">
        <is>
          <t>DB017</t>
        </is>
      </c>
      <c r="B21" s="143" t="inlineStr">
        <is>
          <t>Bboxx</t>
        </is>
      </c>
      <c r="C21" s="143" t="inlineStr">
        <is>
          <t>BBOXX LTD (CH 07177839)</t>
        </is>
      </c>
      <c r="D21" s="143" t="n">
        <v>2018</v>
      </c>
      <c r="E21" s="143" t="inlineStr">
        <is>
          <t>2018-12-31</t>
        </is>
      </c>
      <c r="F21" s="143" t="n">
        <v>12</v>
      </c>
      <c r="G21" s="143" t="inlineStr">
        <is>
          <t>IS</t>
        </is>
      </c>
      <c r="H21" s="143" t="inlineStr">
        <is>
          <t>REV</t>
        </is>
      </c>
      <c r="I21" s="144" t="n">
        <v>13.2</v>
      </c>
      <c r="J21" s="143" t="inlineStr">
        <is>
          <t>GBP</t>
        </is>
      </c>
      <c r="K21" s="143" t="n">
        <v>1000000</v>
      </c>
      <c r="L21" s="144" t="n"/>
      <c r="M21" s="143" t="inlineStr">
        <is>
          <t>No verified FX</t>
        </is>
      </c>
      <c r="N21" s="144" t="n">
        <v>0</v>
      </c>
      <c r="O21" s="143" t="inlineStr">
        <is>
          <t>Aggregator (search summary)</t>
        </is>
      </c>
      <c r="P21" s="143" t="inlineStr">
        <is>
          <t>http://companycheck.co.uk/company/07177839/BBOXX-LTD</t>
        </is>
      </c>
      <c r="Q21" s="143" t="inlineStr">
        <is>
          <t>n/d</t>
        </is>
      </c>
      <c r="R21" s="143" t="inlineStr">
        <is>
          <t>secondary summary; source to confirm</t>
        </is>
      </c>
      <c r="S21" s="143" t="inlineStr">
        <is>
          <t>D</t>
        </is>
      </c>
      <c r="T21" s="143" t="inlineStr">
        <is>
          <t>Source unclear.</t>
        </is>
      </c>
      <c r="U21" s="145" t="inlineStr">
        <is>
          <t>money</t>
        </is>
      </c>
      <c r="V21" s="146">
        <f>IF(U21="money",IF(L21="","",I21*K21*L21/1000000),IF(U21="count",I21*K21,I21))</f>
        <v/>
      </c>
      <c r="W21" s="147" t="inlineStr">
        <is>
          <t>TO VERIFY</t>
        </is>
      </c>
      <c r="X21" s="147" t="inlineStr">
        <is>
          <t>PAGE TO VERIFY</t>
        </is>
      </c>
      <c r="Y21" s="147" t="inlineStr">
        <is>
          <t>Total revenue for the period (company's own recognition policy)</t>
        </is>
      </c>
      <c r="Z21" s="148">
        <f>IF(N21&lt;&gt;1,"No: excluded ("&amp;R21&amp;")",IF(F21&lt;&gt;12,"No: not a full year",IF(R21&lt;&gt;"VERIFIED","With care: status "&amp;R21&amp;"; definition and period to check","With care: check definition and fiscal year against model years")))</f>
        <v/>
      </c>
    </row>
    <row r="22">
      <c r="A22" s="143" t="inlineStr">
        <is>
          <t>DB018</t>
        </is>
      </c>
      <c r="B22" s="143" t="inlineStr">
        <is>
          <t>Bboxx</t>
        </is>
      </c>
      <c r="C22" s="143" t="inlineStr">
        <is>
          <t>BBOXX LTD (CH 07177839)</t>
        </is>
      </c>
      <c r="D22" s="143" t="n">
        <v>2018</v>
      </c>
      <c r="E22" s="143" t="inlineStr">
        <is>
          <t>2018-12-31</t>
        </is>
      </c>
      <c r="F22" s="143" t="n">
        <v>12</v>
      </c>
      <c r="G22" s="143" t="inlineStr">
        <is>
          <t>IS</t>
        </is>
      </c>
      <c r="H22" s="143" t="inlineStr">
        <is>
          <t>NI</t>
        </is>
      </c>
      <c r="I22" s="144" t="n">
        <v>-17.3</v>
      </c>
      <c r="J22" s="143" t="inlineStr">
        <is>
          <t>GBP</t>
        </is>
      </c>
      <c r="K22" s="143" t="n">
        <v>1000000</v>
      </c>
      <c r="L22" s="144" t="n"/>
      <c r="M22" s="143" t="inlineStr">
        <is>
          <t>No verified FX</t>
        </is>
      </c>
      <c r="N22" s="144" t="n">
        <v>0</v>
      </c>
      <c r="O22" s="143" t="inlineStr">
        <is>
          <t>Aggregator (search summary)</t>
        </is>
      </c>
      <c r="P22" s="143" t="inlineStr">
        <is>
          <t>http://companycheck.co.uk/company/07177839/BBOXX-LTD</t>
        </is>
      </c>
      <c r="Q22" s="143" t="inlineStr">
        <is>
          <t>n/d</t>
        </is>
      </c>
      <c r="R22" s="143" t="inlineStr">
        <is>
          <t>secondary summary; source to confirm</t>
        </is>
      </c>
      <c r="S22" s="143" t="inlineStr">
        <is>
          <t>D</t>
        </is>
      </c>
      <c r="T22" s="143" t="inlineStr">
        <is>
          <t>Source unclear.</t>
        </is>
      </c>
      <c r="U22" s="145" t="inlineStr">
        <is>
          <t>money</t>
        </is>
      </c>
      <c r="V22" s="146">
        <f>IF(U22="money",IF(L22="","",I22*K22*L22/1000000),IF(U22="count",I22*K22,I22))</f>
        <v/>
      </c>
      <c r="W22" s="147" t="inlineStr">
        <is>
          <t>TO VERIFY</t>
        </is>
      </c>
      <c r="X22" s="147" t="inlineStr">
        <is>
          <t>PAGE TO VERIFY</t>
        </is>
      </c>
      <c r="Y22" s="147" t="inlineStr">
        <is>
          <t>Net income after tax</t>
        </is>
      </c>
      <c r="Z22" s="148">
        <f>IF(N22&lt;&gt;1,"No: excluded ("&amp;R22&amp;")",IF(F22&lt;&gt;12,"No: not a full year",IF(R22&lt;&gt;"VERIFIED","With care: status "&amp;R22&amp;"; definition and period to check","With care: check definition and fiscal year against model years")))</f>
        <v/>
      </c>
    </row>
    <row r="23">
      <c r="A23" s="85" t="inlineStr">
        <is>
          <t>DB019</t>
        </is>
      </c>
      <c r="B23" s="85" t="inlineStr">
        <is>
          <t>Bboxx</t>
        </is>
      </c>
      <c r="C23" s="85" t="inlineStr">
        <is>
          <t>Bboxx group</t>
        </is>
      </c>
      <c r="D23" s="85" t="n">
        <v>2019</v>
      </c>
      <c r="E23" s="85" t="inlineStr">
        <is>
          <t>2019-12-31</t>
        </is>
      </c>
      <c r="F23" s="85" t="n">
        <v>12</v>
      </c>
      <c r="G23" s="85" t="inlineStr">
        <is>
          <t>OP</t>
        </is>
      </c>
      <c r="H23" s="85" t="inlineStr">
        <is>
          <t>CUST_ACTIVE</t>
        </is>
      </c>
      <c r="I23" s="149" t="n">
        <v>188000</v>
      </c>
      <c r="J23" s="85" t="inlineStr">
        <is>
          <t>count</t>
        </is>
      </c>
      <c r="K23" s="85" t="n">
        <v>1</v>
      </c>
      <c r="L23" s="149" t="n"/>
      <c r="M23" s="85" t="inlineStr">
        <is>
          <t>Count</t>
        </is>
      </c>
      <c r="N23" s="149" t="n">
        <v>1</v>
      </c>
      <c r="O23" s="85" t="inlineStr">
        <is>
          <t>Bboxx Annual Report 2019</t>
        </is>
      </c>
      <c r="P23" s="85" t="inlineStr">
        <is>
          <t>https://www.bboxx.com/wp-content/uploads/Bboxx_Annual_Report_2019.pdf</t>
        </is>
      </c>
      <c r="Q23" s="85" t="inlineStr">
        <is>
          <t>2020</t>
        </is>
      </c>
      <c r="R23" s="85" t="inlineStr">
        <is>
          <t>company report</t>
        </is>
      </c>
      <c r="S23" s="85" t="inlineStr">
        <is>
          <t>B</t>
        </is>
      </c>
      <c r="T23" s="85" t="inlineStr">
        <is>
          <t>11 markets. Financials in the PDF not accessed.</t>
        </is>
      </c>
      <c r="U23" s="147" t="inlineStr">
        <is>
          <t>count</t>
        </is>
      </c>
      <c r="V23" s="150">
        <f>IF(U23="money",IF(L23="","",I23*K23*L23/1000000),IF(U23="count",I23*K23,I23))</f>
        <v/>
      </c>
      <c r="W23" s="147" t="inlineStr">
        <is>
          <t>TO VERIFY</t>
        </is>
      </c>
      <c r="X23" s="147" t="inlineStr">
        <is>
          <t>PAGE TO VERIFY</t>
        </is>
      </c>
      <c r="Y23" s="147" t="inlineStr">
        <is>
          <t>Active customers as defined by the company (often not the same as accounts still paying)</t>
        </is>
      </c>
      <c r="Z23" s="148">
        <f>IF(N23&lt;&gt;1,"No: excluded ("&amp;R23&amp;")",IF(F23&lt;&gt;12,"No: not a full year",IF(R23&lt;&gt;"VERIFIED","With care: status "&amp;R23&amp;"; definition and period to check","With care: check definition and fiscal year against model years")))</f>
        <v/>
      </c>
    </row>
    <row r="24">
      <c r="A24" s="143" t="inlineStr">
        <is>
          <t>DB020</t>
        </is>
      </c>
      <c r="B24" s="143" t="inlineStr">
        <is>
          <t>Bboxx</t>
        </is>
      </c>
      <c r="C24" s="143" t="inlineStr">
        <is>
          <t>Bboxx group</t>
        </is>
      </c>
      <c r="D24" s="143" t="n">
        <v>2022</v>
      </c>
      <c r="E24" s="143" t="inlineStr">
        <is>
          <t>2022-12-31</t>
        </is>
      </c>
      <c r="F24" s="143" t="n">
        <v>12</v>
      </c>
      <c r="G24" s="143" t="inlineStr">
        <is>
          <t>OP</t>
        </is>
      </c>
      <c r="H24" s="143" t="inlineStr">
        <is>
          <t>UNITS</t>
        </is>
      </c>
      <c r="I24" s="144" t="n">
        <v>176000</v>
      </c>
      <c r="J24" s="143" t="inlineStr">
        <is>
          <t>count</t>
        </is>
      </c>
      <c r="K24" s="143" t="n">
        <v>1</v>
      </c>
      <c r="L24" s="144" t="n"/>
      <c r="M24" s="143" t="inlineStr">
        <is>
          <t>Count</t>
        </is>
      </c>
      <c r="N24" s="144" t="n">
        <v>0</v>
      </c>
      <c r="O24" s="143" t="inlineStr">
        <is>
          <t>Search summary (source unclear)</t>
        </is>
      </c>
      <c r="P24" s="143" t="inlineStr">
        <is>
          <t>https://impactalpha.com/?p=95466</t>
        </is>
      </c>
      <c r="Q24" s="143" t="inlineStr">
        <is>
          <t>2023</t>
        </is>
      </c>
      <c r="R24" s="143" t="inlineStr">
        <is>
          <t>secondary summary; source to confirm</t>
        </is>
      </c>
      <c r="S24" s="143" t="inlineStr">
        <is>
          <t>D</t>
        </is>
      </c>
      <c r="T24" s="143" t="inlineStr">
        <is>
          <t>&gt;176,000 products sold incl. PEG after Sep-2022 acquisition.</t>
        </is>
      </c>
      <c r="U24" s="145" t="inlineStr">
        <is>
          <t>count</t>
        </is>
      </c>
      <c r="V24" s="146">
        <f>IF(U24="money",IF(L24="","",I24*K24*L24/1000000),IF(U24="count",I24*K24,I24))</f>
        <v/>
      </c>
      <c r="W24" s="147" t="inlineStr">
        <is>
          <t>TO VERIFY</t>
        </is>
      </c>
      <c r="X24" s="147" t="inlineStr">
        <is>
          <t>PAGE TO VERIFY</t>
        </is>
      </c>
      <c r="Y24" s="147" t="inlineStr">
        <is>
          <t>Units sold in the period</t>
        </is>
      </c>
      <c r="Z24" s="148">
        <f>IF(N24&lt;&gt;1,"No: excluded ("&amp;R24&amp;")",IF(F24&lt;&gt;12,"No: not a full year",IF(R24&lt;&gt;"VERIFIED","With care: status "&amp;R24&amp;"; definition and period to check","With care: check definition and fiscal year against model years")))</f>
        <v/>
      </c>
    </row>
    <row r="25">
      <c r="A25" s="143" t="inlineStr">
        <is>
          <t>DB021</t>
        </is>
      </c>
      <c r="B25" s="143" t="inlineStr">
        <is>
          <t>Sun King</t>
        </is>
      </c>
      <c r="C25" s="143" t="inlineStr">
        <is>
          <t>Greenlight Planet group</t>
        </is>
      </c>
      <c r="D25" s="143" t="n"/>
      <c r="E25" s="143" t="n"/>
      <c r="F25" s="143" t="n"/>
      <c r="G25" s="143" t="inlineStr">
        <is>
          <t>IS</t>
        </is>
      </c>
      <c r="H25" s="143" t="inlineStr">
        <is>
          <t>REV</t>
        </is>
      </c>
      <c r="I25" s="144" t="n">
        <v>814.7</v>
      </c>
      <c r="J25" s="143" t="inlineStr">
        <is>
          <t>USD</t>
        </is>
      </c>
      <c r="K25" s="143" t="n">
        <v>1000000</v>
      </c>
      <c r="L25" s="144" t="n">
        <v>1</v>
      </c>
      <c r="M25" s="143" t="inlineStr">
        <is>
          <t>Source USD figure</t>
        </is>
      </c>
      <c r="N25" s="144" t="n">
        <v>0</v>
      </c>
      <c r="O25" s="143" t="inlineStr">
        <is>
          <t>ZoomInfo / CB Insights (aggregator)</t>
        </is>
      </c>
      <c r="P25" s="143" t="inlineStr">
        <is>
          <t>https://www.cbinsights.com/company/greenlight-planet/financials</t>
        </is>
      </c>
      <c r="Q25" s="143" t="inlineStr">
        <is>
          <t>n/d</t>
        </is>
      </c>
      <c r="R25" s="143" t="inlineStr">
        <is>
          <t>aggregator; source to confirm</t>
        </is>
      </c>
      <c r="S25" s="143" t="inlineStr">
        <is>
          <t>D</t>
        </is>
      </c>
      <c r="T25" s="143" t="inlineStr">
        <is>
          <t>Period not stated: excluded.</t>
        </is>
      </c>
      <c r="U25" s="145" t="inlineStr">
        <is>
          <t>money</t>
        </is>
      </c>
      <c r="V25" s="146">
        <f>IF(U25="money",IF(L25="","",I25*K25*L25/1000000),IF(U25="count",I25*K25,I25))</f>
        <v/>
      </c>
      <c r="W25" s="147" t="inlineStr">
        <is>
          <t>TO VERIFY</t>
        </is>
      </c>
      <c r="X25" s="147" t="inlineStr">
        <is>
          <t>PAGE TO VERIFY</t>
        </is>
      </c>
      <c r="Y25" s="147" t="inlineStr">
        <is>
          <t>Total revenue for the period (company's own recognition policy)</t>
        </is>
      </c>
      <c r="Z25" s="148">
        <f>IF(N25&lt;&gt;1,"No: excluded ("&amp;R25&amp;")",IF(F25&lt;&gt;12,"No: not a full year",IF(R25&lt;&gt;"VERIFIED","With care: status "&amp;R25&amp;"; definition and period to check","With care: check definition and fiscal year against model years")))</f>
        <v/>
      </c>
    </row>
    <row r="26">
      <c r="A26" s="85" t="inlineStr">
        <is>
          <t>DB022</t>
        </is>
      </c>
      <c r="B26" s="85" t="inlineStr">
        <is>
          <t>Sun King</t>
        </is>
      </c>
      <c r="C26" s="85" t="inlineStr">
        <is>
          <t>Greenlight Planet group</t>
        </is>
      </c>
      <c r="D26" s="85" t="n">
        <v>2025</v>
      </c>
      <c r="E26" s="85" t="inlineStr">
        <is>
          <t>2025-07-31</t>
        </is>
      </c>
      <c r="F26" s="85" t="n">
        <v>12</v>
      </c>
      <c r="G26" s="85" t="inlineStr">
        <is>
          <t>OP</t>
        </is>
      </c>
      <c r="H26" s="85" t="inlineStr">
        <is>
          <t>LOANS_CUM</t>
        </is>
      </c>
      <c r="I26" s="149" t="n">
        <v>1300</v>
      </c>
      <c r="J26" s="85" t="inlineStr">
        <is>
          <t>USD</t>
        </is>
      </c>
      <c r="K26" s="85" t="n">
        <v>1000000</v>
      </c>
      <c r="L26" s="149" t="n">
        <v>1</v>
      </c>
      <c r="M26" s="85" t="inlineStr">
        <is>
          <t>Source USD figure</t>
        </is>
      </c>
      <c r="N26" s="149" t="n">
        <v>1</v>
      </c>
      <c r="O26" s="85" t="inlineStr">
        <is>
          <t>Citigroup; African Business</t>
        </is>
      </c>
      <c r="P26" s="85" t="inlineStr">
        <is>
          <t>https://african.business/2025/10/energy-resources/sun-king-targets-next-growth-phase-after-156m-securitisation</t>
        </is>
      </c>
      <c r="Q26" s="85" t="inlineStr">
        <is>
          <t>2025-10</t>
        </is>
      </c>
      <c r="R26" s="85" t="inlineStr">
        <is>
          <t>secondary source; primary document not yet reviewed</t>
        </is>
      </c>
      <c r="S26" s="85" t="inlineStr">
        <is>
          <t>C</t>
        </is>
      </c>
      <c r="T26" s="85" t="inlineStr">
        <is>
          <t>Cumulative solar loans to Jul 2025.</t>
        </is>
      </c>
      <c r="U26" s="147" t="inlineStr">
        <is>
          <t>money</t>
        </is>
      </c>
      <c r="V26" s="150">
        <f>IF(U26="money",IF(L26="","",I26*K26*L26/1000000),IF(U26="count",I26*K26,I26))</f>
        <v/>
      </c>
      <c r="W26" s="147" t="inlineStr">
        <is>
          <t>TO VERIFY</t>
        </is>
      </c>
      <c r="X26" s="147" t="inlineStr">
        <is>
          <t>PAGE TO VERIFY</t>
        </is>
      </c>
      <c r="Y26" s="147" t="inlineStr">
        <is>
          <t>Cumulative financing disbursed</t>
        </is>
      </c>
      <c r="Z26" s="148">
        <f>IF(N26&lt;&gt;1,"No: excluded ("&amp;R26&amp;")",IF(F26&lt;&gt;12,"No: not a full year",IF(R26&lt;&gt;"VERIFIED","With care: status "&amp;R26&amp;"; definition and period to check","With care: check definition and fiscal year against model years")))</f>
        <v/>
      </c>
    </row>
    <row r="27">
      <c r="A27" s="85" t="inlineStr">
        <is>
          <t>DB023</t>
        </is>
      </c>
      <c r="B27" s="85" t="inlineStr">
        <is>
          <t>Sun King</t>
        </is>
      </c>
      <c r="C27" s="85" t="inlineStr">
        <is>
          <t>Greenlight Planet group</t>
        </is>
      </c>
      <c r="D27" s="85" t="n">
        <v>2025</v>
      </c>
      <c r="E27" s="85" t="inlineStr">
        <is>
          <t>2025-07-31</t>
        </is>
      </c>
      <c r="F27" s="85" t="n">
        <v>12</v>
      </c>
      <c r="G27" s="85" t="inlineStr">
        <is>
          <t>OP</t>
        </is>
      </c>
      <c r="H27" s="85" t="inlineStr">
        <is>
          <t>CUST_CUM</t>
        </is>
      </c>
      <c r="I27" s="149" t="n">
        <v>10</v>
      </c>
      <c r="J27" s="85" t="inlineStr">
        <is>
          <t>count</t>
        </is>
      </c>
      <c r="K27" s="85" t="n">
        <v>1000000</v>
      </c>
      <c r="L27" s="149" t="n"/>
      <c r="M27" s="85" t="inlineStr">
        <is>
          <t>Count</t>
        </is>
      </c>
      <c r="N27" s="149" t="n">
        <v>1</v>
      </c>
      <c r="O27" s="85" t="inlineStr">
        <is>
          <t>Citigroup; African Business</t>
        </is>
      </c>
      <c r="P27" s="85" t="inlineStr">
        <is>
          <t>https://african.business/2025/10/energy-resources/sun-king-targets-next-growth-phase-after-156m-securitisation</t>
        </is>
      </c>
      <c r="Q27" s="85" t="inlineStr">
        <is>
          <t>2025-10</t>
        </is>
      </c>
      <c r="R27" s="85" t="inlineStr">
        <is>
          <t>secondary source; primary document not yet reviewed</t>
        </is>
      </c>
      <c r="S27" s="85" t="inlineStr">
        <is>
          <t>C</t>
        </is>
      </c>
      <c r="T27" s="85" t="inlineStr">
        <is>
          <t>"Almost 10 million" cumulative loan customers: not active.</t>
        </is>
      </c>
      <c r="U27" s="147" t="inlineStr">
        <is>
          <t>count</t>
        </is>
      </c>
      <c r="V27" s="150">
        <f>IF(U27="money",IF(L27="","",I27*K27*L27/1000000),IF(U27="count",I27*K27,I27))</f>
        <v/>
      </c>
      <c r="W27" s="147" t="inlineStr">
        <is>
          <t>TO VERIFY</t>
        </is>
      </c>
      <c r="X27" s="147" t="inlineStr">
        <is>
          <t>PAGE TO VERIFY</t>
        </is>
      </c>
      <c r="Y27" s="147" t="inlineStr">
        <is>
          <t>Cumulative customers since inception</t>
        </is>
      </c>
      <c r="Z27" s="148">
        <f>IF(N27&lt;&gt;1,"No: excluded ("&amp;R27&amp;")",IF(F27&lt;&gt;12,"No: not a full year",IF(R27&lt;&gt;"VERIFIED","With care: status "&amp;R27&amp;"; definition and period to check","With care: check definition and fiscal year against model years")))</f>
        <v/>
      </c>
    </row>
    <row r="28">
      <c r="A28" s="85" t="inlineStr">
        <is>
          <t>DB024</t>
        </is>
      </c>
      <c r="B28" s="85" t="inlineStr">
        <is>
          <t>Sun King</t>
        </is>
      </c>
      <c r="C28" s="85" t="inlineStr">
        <is>
          <t>Sun King Kenya SPV</t>
        </is>
      </c>
      <c r="D28" s="85" t="n">
        <v>2025</v>
      </c>
      <c r="E28" s="85" t="inlineStr">
        <is>
          <t>2025-07-31</t>
        </is>
      </c>
      <c r="F28" s="85" t="n">
        <v>12</v>
      </c>
      <c r="G28" s="85" t="inlineStr">
        <is>
          <t>CF</t>
        </is>
      </c>
      <c r="H28" s="85" t="inlineStr">
        <is>
          <t>SECURITISATION</t>
        </is>
      </c>
      <c r="I28" s="149" t="n">
        <v>156</v>
      </c>
      <c r="J28" s="85" t="inlineStr">
        <is>
          <t>USD</t>
        </is>
      </c>
      <c r="K28" s="85" t="n">
        <v>1000000</v>
      </c>
      <c r="L28" s="149" t="n">
        <v>1</v>
      </c>
      <c r="M28" s="85" t="inlineStr">
        <is>
          <t>Source USD figure (KES 20.1bn)</t>
        </is>
      </c>
      <c r="N28" s="149" t="n">
        <v>1</v>
      </c>
      <c r="O28" s="85" t="inlineStr">
        <is>
          <t>Sun King / Citi</t>
        </is>
      </c>
      <c r="P28" s="85" t="inlineStr">
        <is>
          <t>https://sunking.com/news-blog/156m-sun-king-securitisation-to-deliver-solar-for-over-a-million-kenyans/</t>
        </is>
      </c>
      <c r="Q28" s="85" t="inlineStr">
        <is>
          <t>2025-07</t>
        </is>
      </c>
      <c r="R28" s="85" t="inlineStr">
        <is>
          <t>company release</t>
        </is>
      </c>
      <c r="S28" s="85" t="inlineStr">
        <is>
          <t>B</t>
        </is>
      </c>
      <c r="T28" s="85" t="inlineStr">
        <is>
          <t>125 senior (5 banks) + 31 mezzanine (DFIs).</t>
        </is>
      </c>
      <c r="U28" s="147" t="inlineStr">
        <is>
          <t>money</t>
        </is>
      </c>
      <c r="V28" s="150">
        <f>IF(U28="money",IF(L28="","",I28*K28*L28/1000000),IF(U28="count",I28*K28,I28))</f>
        <v/>
      </c>
      <c r="W28" s="147" t="inlineStr">
        <is>
          <t>TO VERIFY</t>
        </is>
      </c>
      <c r="X28" s="147" t="inlineStr">
        <is>
          <t>PAGE TO VERIFY</t>
        </is>
      </c>
      <c r="Y28" s="147" t="inlineStr">
        <is>
          <t>Size of the securitisation or facility closed (capacity, not drawn debt)</t>
        </is>
      </c>
      <c r="Z28" s="148">
        <f>IF(N28&lt;&gt;1,"No: excluded ("&amp;R28&amp;")",IF(F28&lt;&gt;12,"No: not a full year",IF(R28&lt;&gt;"VERIFIED","With care: status "&amp;R28&amp;"; definition and period to check","With care: check definition and fiscal year against model years")))</f>
        <v/>
      </c>
    </row>
    <row r="29">
      <c r="A29" s="85" t="inlineStr">
        <is>
          <t>DB025</t>
        </is>
      </c>
      <c r="B29" s="85" t="inlineStr">
        <is>
          <t>Sun King</t>
        </is>
      </c>
      <c r="C29" s="85" t="inlineStr">
        <is>
          <t>Sun King Kenya SPV</t>
        </is>
      </c>
      <c r="D29" s="85" t="n">
        <v>2023</v>
      </c>
      <c r="E29" s="85" t="inlineStr">
        <is>
          <t>2023-05-31</t>
        </is>
      </c>
      <c r="F29" s="85" t="n">
        <v>12</v>
      </c>
      <c r="G29" s="85" t="inlineStr">
        <is>
          <t>CF</t>
        </is>
      </c>
      <c r="H29" s="85" t="inlineStr">
        <is>
          <t>SECURITISATION</t>
        </is>
      </c>
      <c r="I29" s="149" t="n">
        <v>130</v>
      </c>
      <c r="J29" s="85" t="inlineStr">
        <is>
          <t>USD</t>
        </is>
      </c>
      <c r="K29" s="85" t="n">
        <v>1000000</v>
      </c>
      <c r="L29" s="149" t="n">
        <v>1</v>
      </c>
      <c r="M29" s="85" t="inlineStr">
        <is>
          <t>Source USD figure</t>
        </is>
      </c>
      <c r="N29" s="149" t="n">
        <v>1</v>
      </c>
      <c r="O29" s="85" t="inlineStr">
        <is>
          <t>Sun King</t>
        </is>
      </c>
      <c r="P29" s="85" t="inlineStr">
        <is>
          <t>https://sunking.com/news-blog/sun-king-and-citi-close-first-130-million-securitisation-to-broaden-access-to-finance-for-off-grid-solar-in-kenya/</t>
        </is>
      </c>
      <c r="Q29" s="85" t="inlineStr">
        <is>
          <t>2023</t>
        </is>
      </c>
      <c r="R29" s="85" t="inlineStr">
        <is>
          <t>company release</t>
        </is>
      </c>
      <c r="S29" s="85" t="inlineStr">
        <is>
          <t>B</t>
        </is>
      </c>
      <c r="T29" s="85" t="inlineStr">
        <is>
          <t>KES-denominated.</t>
        </is>
      </c>
      <c r="U29" s="147" t="inlineStr">
        <is>
          <t>money</t>
        </is>
      </c>
      <c r="V29" s="150">
        <f>IF(U29="money",IF(L29="","",I29*K29*L29/1000000),IF(U29="count",I29*K29,I29))</f>
        <v/>
      </c>
      <c r="W29" s="147" t="inlineStr">
        <is>
          <t>TO VERIFY</t>
        </is>
      </c>
      <c r="X29" s="147" t="inlineStr">
        <is>
          <t>PAGE TO VERIFY</t>
        </is>
      </c>
      <c r="Y29" s="147" t="inlineStr">
        <is>
          <t>Size of the securitisation or facility closed (capacity, not drawn debt)</t>
        </is>
      </c>
      <c r="Z29" s="148">
        <f>IF(N29&lt;&gt;1,"No: excluded ("&amp;R29&amp;")",IF(F29&lt;&gt;12,"No: not a full year",IF(R29&lt;&gt;"VERIFIED","With care: status "&amp;R29&amp;"; definition and period to check","With care: check definition and fiscal year against model years")))</f>
        <v/>
      </c>
    </row>
    <row r="30">
      <c r="A30" s="85" t="inlineStr">
        <is>
          <t>DB026</t>
        </is>
      </c>
      <c r="B30" s="85" t="inlineStr">
        <is>
          <t>d.light</t>
        </is>
      </c>
      <c r="C30" s="85" t="inlineStr">
        <is>
          <t>d.light group</t>
        </is>
      </c>
      <c r="D30" s="85" t="n">
        <v>2024</v>
      </c>
      <c r="E30" s="85" t="inlineStr">
        <is>
          <t>2024-07-31</t>
        </is>
      </c>
      <c r="F30" s="85" t="n">
        <v>12</v>
      </c>
      <c r="G30" s="85" t="inlineStr">
        <is>
          <t>CF</t>
        </is>
      </c>
      <c r="H30" s="85" t="inlineStr">
        <is>
          <t>SECURITISATION</t>
        </is>
      </c>
      <c r="I30" s="149" t="n">
        <v>176</v>
      </c>
      <c r="J30" s="85" t="inlineStr">
        <is>
          <t>USD</t>
        </is>
      </c>
      <c r="K30" s="85" t="n">
        <v>1000000</v>
      </c>
      <c r="L30" s="149" t="n">
        <v>1</v>
      </c>
      <c r="M30" s="85" t="inlineStr">
        <is>
          <t>Source USD figure</t>
        </is>
      </c>
      <c r="N30" s="149" t="n">
        <v>1</v>
      </c>
      <c r="O30" s="85" t="inlineStr">
        <is>
          <t>Techpoint Africa</t>
        </is>
      </c>
      <c r="P30" s="85" t="inlineStr">
        <is>
          <t>https://techpoint.africa/2024/07/17/d-light-raises-176m/</t>
        </is>
      </c>
      <c r="Q30" s="85" t="inlineStr">
        <is>
          <t>2024-07-17</t>
        </is>
      </c>
      <c r="R30" s="85" t="inlineStr">
        <is>
          <t>secondary source; primary document not yet reviewed</t>
        </is>
      </c>
      <c r="S30" s="85" t="inlineStr">
        <is>
          <t>C</t>
        </is>
      </c>
      <c r="T30" s="85" t="inlineStr">
        <is>
          <t>Multi-currency (Kenya / Tanzania / Uganda). 718m purchase value across 5 facilities since 2020.</t>
        </is>
      </c>
      <c r="U30" s="147" t="inlineStr">
        <is>
          <t>money</t>
        </is>
      </c>
      <c r="V30" s="150">
        <f>IF(U30="money",IF(L30="","",I30*K30*L30/1000000),IF(U30="count",I30*K30,I30))</f>
        <v/>
      </c>
      <c r="W30" s="147" t="inlineStr">
        <is>
          <t>TO VERIFY</t>
        </is>
      </c>
      <c r="X30" s="147" t="inlineStr">
        <is>
          <t>PAGE TO VERIFY</t>
        </is>
      </c>
      <c r="Y30" s="147" t="inlineStr">
        <is>
          <t>Size of the securitisation or facility closed (capacity, not drawn debt)</t>
        </is>
      </c>
      <c r="Z30" s="148">
        <f>IF(N30&lt;&gt;1,"No: excluded ("&amp;R30&amp;")",IF(F30&lt;&gt;12,"No: not a full year",IF(R30&lt;&gt;"VERIFIED","With care: status "&amp;R30&amp;"; definition and period to check","With care: check definition and fiscal year against model years")))</f>
        <v/>
      </c>
    </row>
    <row r="31">
      <c r="A31" s="85" t="inlineStr">
        <is>
          <t>DB027</t>
        </is>
      </c>
      <c r="B31" s="85" t="inlineStr">
        <is>
          <t>d.light</t>
        </is>
      </c>
      <c r="C31" s="85" t="inlineStr">
        <is>
          <t>d.light group</t>
        </is>
      </c>
      <c r="D31" s="85" t="n">
        <v>2023</v>
      </c>
      <c r="E31" s="85" t="inlineStr">
        <is>
          <t>2023-08-31</t>
        </is>
      </c>
      <c r="F31" s="85" t="n">
        <v>12</v>
      </c>
      <c r="G31" s="85" t="inlineStr">
        <is>
          <t>CF</t>
        </is>
      </c>
      <c r="H31" s="85" t="inlineStr">
        <is>
          <t>SECURITISATION</t>
        </is>
      </c>
      <c r="I31" s="149" t="n">
        <v>30</v>
      </c>
      <c r="J31" s="85" t="inlineStr">
        <is>
          <t>USD</t>
        </is>
      </c>
      <c r="K31" s="85" t="n">
        <v>1000000</v>
      </c>
      <c r="L31" s="149" t="n">
        <v>1</v>
      </c>
      <c r="M31" s="85" t="inlineStr">
        <is>
          <t>Source USD figure</t>
        </is>
      </c>
      <c r="N31" s="149" t="n">
        <v>1</v>
      </c>
      <c r="O31" s="85" t="inlineStr">
        <is>
          <t>Mercom</t>
        </is>
      </c>
      <c r="P31" s="85" t="inlineStr">
        <is>
          <t>https://www.mercomindia.com/d-light-secures-30-million-securitization-facility</t>
        </is>
      </c>
      <c r="Q31" s="85" t="inlineStr">
        <is>
          <t>2023</t>
        </is>
      </c>
      <c r="R31" s="85" t="inlineStr">
        <is>
          <t>secondary</t>
        </is>
      </c>
      <c r="S31" s="85" t="inlineStr">
        <is>
          <t>C</t>
        </is>
      </c>
      <c r="T31" s="85" t="inlineStr">
        <is>
          <t>From TDB; purchase capacity up to 125m of receivables.</t>
        </is>
      </c>
      <c r="U31" s="147" t="inlineStr">
        <is>
          <t>money</t>
        </is>
      </c>
      <c r="V31" s="150">
        <f>IF(U31="money",IF(L31="","",I31*K31*L31/1000000),IF(U31="count",I31*K31,I31))</f>
        <v/>
      </c>
      <c r="W31" s="147" t="inlineStr">
        <is>
          <t>TO VERIFY</t>
        </is>
      </c>
      <c r="X31" s="147" t="inlineStr">
        <is>
          <t>PAGE TO VERIFY</t>
        </is>
      </c>
      <c r="Y31" s="147" t="inlineStr">
        <is>
          <t>Size of the securitisation or facility closed (capacity, not drawn debt)</t>
        </is>
      </c>
      <c r="Z31" s="148">
        <f>IF(N31&lt;&gt;1,"No: excluded ("&amp;R31&amp;")",IF(F31&lt;&gt;12,"No: not a full year",IF(R31&lt;&gt;"VERIFIED","With care: status "&amp;R31&amp;"; definition and period to check","With care: check definition and fiscal year against model years")))</f>
        <v/>
      </c>
    </row>
    <row r="32">
      <c r="A32" s="85" t="inlineStr">
        <is>
          <t>DB028</t>
        </is>
      </c>
      <c r="B32" s="85" t="inlineStr">
        <is>
          <t>d.light</t>
        </is>
      </c>
      <c r="C32" s="85" t="inlineStr">
        <is>
          <t>d.light group</t>
        </is>
      </c>
      <c r="D32" s="85" t="n">
        <v>2023</v>
      </c>
      <c r="E32" s="85" t="inlineStr">
        <is>
          <t>2023-06-30</t>
        </is>
      </c>
      <c r="F32" s="85" t="n">
        <v>6</v>
      </c>
      <c r="G32" s="85" t="inlineStr">
        <is>
          <t>KPI</t>
        </is>
      </c>
      <c r="H32" s="85" t="inlineStr">
        <is>
          <t>REV_GROWTH</t>
        </is>
      </c>
      <c r="I32" s="149" t="n">
        <v>0.41</v>
      </c>
      <c r="J32" s="85" t="inlineStr">
        <is>
          <t>ratio</t>
        </is>
      </c>
      <c r="K32" s="85" t="n">
        <v>1</v>
      </c>
      <c r="L32" s="149" t="n"/>
      <c r="M32" s="85" t="inlineStr">
        <is>
          <t>Reported growth</t>
        </is>
      </c>
      <c r="N32" s="149" t="n">
        <v>1</v>
      </c>
      <c r="O32" s="85" t="inlineStr">
        <is>
          <t>d.light via PR Newswire</t>
        </is>
      </c>
      <c r="P32" s="85" t="inlineStr">
        <is>
          <t>https://www.prnewswire.co.uk/news-releases/dlight-revenues-surge-by-41-percent-in-first-six-months-of-2023-driven-by-143-percent-growth-in-nigeria-301919233.html</t>
        </is>
      </c>
      <c r="Q32" s="85" t="inlineStr">
        <is>
          <t>2023-09</t>
        </is>
      </c>
      <c r="R32" s="85" t="inlineStr">
        <is>
          <t>company release</t>
        </is>
      </c>
      <c r="S32" s="85" t="inlineStr">
        <is>
          <t>B</t>
        </is>
      </c>
      <c r="T32" s="85" t="inlineStr">
        <is>
          <t>Half-year: never mixed into annual KPIs.</t>
        </is>
      </c>
      <c r="U32" s="147" t="inlineStr">
        <is>
          <t>ratio</t>
        </is>
      </c>
      <c r="V32" s="150">
        <f>IF(U32="money",IF(L32="","",I32*K32*L32/1000000),IF(U32="count",I32*K32,I32))</f>
        <v/>
      </c>
      <c r="W32" s="147" t="inlineStr">
        <is>
          <t>TO VERIFY</t>
        </is>
      </c>
      <c r="X32" s="147" t="inlineStr">
        <is>
          <t>PAGE TO VERIFY</t>
        </is>
      </c>
      <c r="Y32" s="147" t="inlineStr">
        <is>
          <t>Revenue growth on the prior period as reported</t>
        </is>
      </c>
      <c r="Z32" s="148">
        <f>IF(N32&lt;&gt;1,"No: excluded ("&amp;R32&amp;")",IF(F32&lt;&gt;12,"No: not a full year",IF(R32&lt;&gt;"VERIFIED","With care: status "&amp;R32&amp;"; definition and period to check","With care: check definition and fiscal year against model years")))</f>
        <v/>
      </c>
    </row>
    <row r="33">
      <c r="A33" s="143" t="inlineStr">
        <is>
          <t>DB029</t>
        </is>
      </c>
      <c r="B33" s="143" t="inlineStr">
        <is>
          <t>d.light</t>
        </is>
      </c>
      <c r="C33" s="143" t="inlineStr">
        <is>
          <t>d.light group</t>
        </is>
      </c>
      <c r="D33" s="143" t="n">
        <v>2023</v>
      </c>
      <c r="E33" s="143" t="inlineStr">
        <is>
          <t>2023-12-31</t>
        </is>
      </c>
      <c r="F33" s="143" t="n">
        <v>12</v>
      </c>
      <c r="G33" s="143" t="inlineStr">
        <is>
          <t>IS</t>
        </is>
      </c>
      <c r="H33" s="143" t="inlineStr">
        <is>
          <t>REV</t>
        </is>
      </c>
      <c r="I33" s="144" t="n">
        <v>301.2</v>
      </c>
      <c r="J33" s="143" t="inlineStr">
        <is>
          <t>USD</t>
        </is>
      </c>
      <c r="K33" s="143" t="n">
        <v>1000000</v>
      </c>
      <c r="L33" s="144" t="n">
        <v>1</v>
      </c>
      <c r="M33" s="143" t="inlineStr">
        <is>
          <t>Source USD figure</t>
        </is>
      </c>
      <c r="N33" s="144" t="n">
        <v>0</v>
      </c>
      <c r="O33" s="143" t="inlineStr">
        <is>
          <t>Third-party database</t>
        </is>
      </c>
      <c r="P33" s="143" t="inlineStr">
        <is>
          <t>https://www.bitscale.ai/directory/dlight</t>
        </is>
      </c>
      <c r="Q33" s="143" t="inlineStr">
        <is>
          <t>n/d</t>
        </is>
      </c>
      <c r="R33" s="143" t="inlineStr">
        <is>
          <t>ESTIMATE</t>
        </is>
      </c>
      <c r="S33" s="143" t="inlineStr">
        <is>
          <t>D</t>
        </is>
      </c>
      <c r="T33" s="143" t="inlineStr">
        <is>
          <t>Do not use as a hard benchmark.</t>
        </is>
      </c>
      <c r="U33" s="145" t="inlineStr">
        <is>
          <t>money</t>
        </is>
      </c>
      <c r="V33" s="146">
        <f>IF(U33="money",IF(L33="","",I33*K33*L33/1000000),IF(U33="count",I33*K33,I33))</f>
        <v/>
      </c>
      <c r="W33" s="147" t="inlineStr">
        <is>
          <t>TO VERIFY</t>
        </is>
      </c>
      <c r="X33" s="147" t="inlineStr">
        <is>
          <t>PAGE TO VERIFY</t>
        </is>
      </c>
      <c r="Y33" s="147" t="inlineStr">
        <is>
          <t>Total revenue for the period (company's own recognition policy)</t>
        </is>
      </c>
      <c r="Z33" s="148">
        <f>IF(N33&lt;&gt;1,"No: excluded ("&amp;R33&amp;")",IF(F33&lt;&gt;12,"No: not a full year",IF(R33&lt;&gt;"VERIFIED","With care: status "&amp;R33&amp;"; definition and period to check","With care: check definition and fiscal year against model years")))</f>
        <v/>
      </c>
    </row>
    <row r="34">
      <c r="A34" s="85" t="inlineStr">
        <is>
          <t>DB030</t>
        </is>
      </c>
      <c r="B34" s="85" t="inlineStr">
        <is>
          <t>Watu</t>
        </is>
      </c>
      <c r="C34" s="85" t="inlineStr">
        <is>
          <t>Watu Credit / Holdings</t>
        </is>
      </c>
      <c r="D34" s="85" t="n">
        <v>2025</v>
      </c>
      <c r="E34" s="85" t="inlineStr">
        <is>
          <t>2025-12-31</t>
        </is>
      </c>
      <c r="F34" s="85" t="n">
        <v>12</v>
      </c>
      <c r="G34" s="85" t="inlineStr">
        <is>
          <t>IS</t>
        </is>
      </c>
      <c r="H34" s="85" t="inlineStr">
        <is>
          <t>REV</t>
        </is>
      </c>
      <c r="I34" s="149" t="n">
        <v>28.3</v>
      </c>
      <c r="J34" s="85" t="inlineStr">
        <is>
          <t>KES</t>
        </is>
      </c>
      <c r="K34" s="85" t="n">
        <v>1000000000</v>
      </c>
      <c r="L34" s="149" t="n">
        <v>0.007746</v>
      </c>
      <c r="M34" s="85" t="inlineStr">
        <is>
          <t>Implied by TechCabal USD conversion (USD 219.2m); replace with CBK average rate</t>
        </is>
      </c>
      <c r="N34" s="149" t="n">
        <v>1</v>
      </c>
      <c r="O34" s="85" t="inlineStr">
        <is>
          <t>TechCabal</t>
        </is>
      </c>
      <c r="P34" s="85" t="inlineStr">
        <is>
          <t>https://techcabal.com/2026/05/11/watu-posts-37-million-profit-smartphone-boom/</t>
        </is>
      </c>
      <c r="Q34" s="85" t="inlineStr">
        <is>
          <t>2026-05-11</t>
        </is>
      </c>
      <c r="R34" s="85" t="inlineStr">
        <is>
          <t>secondary source; primary document not yet reviewed</t>
        </is>
      </c>
      <c r="S34" s="85" t="inlineStr">
        <is>
          <t>C</t>
        </is>
      </c>
      <c r="T34" s="85" t="inlineStr">
        <is>
          <t>Asset-finance comparable (motorcycles / smartphones): not solar. +92.7% reported.</t>
        </is>
      </c>
      <c r="U34" s="147" t="inlineStr">
        <is>
          <t>money</t>
        </is>
      </c>
      <c r="V34" s="150">
        <f>IF(U34="money",IF(L34="","",I34*K34*L34/1000000),IF(U34="count",I34*K34,I34))</f>
        <v/>
      </c>
      <c r="W34" s="147" t="inlineStr">
        <is>
          <t>TO VERIFY</t>
        </is>
      </c>
      <c r="X34" s="147" t="inlineStr">
        <is>
          <t>PAGE TO VERIFY</t>
        </is>
      </c>
      <c r="Y34" s="147" t="inlineStr">
        <is>
          <t>Total revenue for the period (company's own recognition policy)</t>
        </is>
      </c>
      <c r="Z34" s="148">
        <f>IF(N34&lt;&gt;1,"No: excluded ("&amp;R34&amp;")",IF(F34&lt;&gt;12,"No: not a full year",IF(R34&lt;&gt;"VERIFIED","With care: status "&amp;R34&amp;"; definition and period to check","With care: check definition and fiscal year against model years")))</f>
        <v/>
      </c>
    </row>
    <row r="35">
      <c r="A35" s="85" t="inlineStr">
        <is>
          <t>DB031</t>
        </is>
      </c>
      <c r="B35" s="85" t="inlineStr">
        <is>
          <t>Watu</t>
        </is>
      </c>
      <c r="C35" s="85" t="inlineStr">
        <is>
          <t>Watu Credit / Holdings</t>
        </is>
      </c>
      <c r="D35" s="85" t="n">
        <v>2025</v>
      </c>
      <c r="E35" s="85" t="inlineStr">
        <is>
          <t>2025-12-31</t>
        </is>
      </c>
      <c r="F35" s="85" t="n">
        <v>12</v>
      </c>
      <c r="G35" s="85" t="inlineStr">
        <is>
          <t>IS</t>
        </is>
      </c>
      <c r="H35" s="85" t="inlineStr">
        <is>
          <t>NI</t>
        </is>
      </c>
      <c r="I35" s="149" t="n">
        <v>4.8</v>
      </c>
      <c r="J35" s="85" t="inlineStr">
        <is>
          <t>KES</t>
        </is>
      </c>
      <c r="K35" s="85" t="n">
        <v>1000000000</v>
      </c>
      <c r="L35" s="149" t="n">
        <v>0.007746</v>
      </c>
      <c r="M35" s="85" t="inlineStr">
        <is>
          <t>Implied by TechCabal USD conversion (USD 37m)</t>
        </is>
      </c>
      <c r="N35" s="149" t="n">
        <v>1</v>
      </c>
      <c r="O35" s="85" t="inlineStr">
        <is>
          <t>TechCabal</t>
        </is>
      </c>
      <c r="P35" s="85" t="inlineStr">
        <is>
          <t>https://techcabal.com/2026/05/11/watu-posts-37-million-profit-smartphone-boom/</t>
        </is>
      </c>
      <c r="Q35" s="85" t="inlineStr">
        <is>
          <t>2026-05-11</t>
        </is>
      </c>
      <c r="R35" s="85" t="inlineStr">
        <is>
          <t>secondary source; primary document not yet reviewed</t>
        </is>
      </c>
      <c r="S35" s="85" t="inlineStr">
        <is>
          <t>C</t>
        </is>
      </c>
      <c r="T35" s="85" t="n"/>
      <c r="U35" s="147" t="inlineStr">
        <is>
          <t>money</t>
        </is>
      </c>
      <c r="V35" s="150">
        <f>IF(U35="money",IF(L35="","",I35*K35*L35/1000000),IF(U35="count",I35*K35,I35))</f>
        <v/>
      </c>
      <c r="W35" s="147" t="inlineStr">
        <is>
          <t>TO VERIFY</t>
        </is>
      </c>
      <c r="X35" s="147" t="inlineStr">
        <is>
          <t>PAGE TO VERIFY</t>
        </is>
      </c>
      <c r="Y35" s="147" t="inlineStr">
        <is>
          <t>Net income after tax</t>
        </is>
      </c>
      <c r="Z35" s="148">
        <f>IF(N35&lt;&gt;1,"No: excluded ("&amp;R35&amp;")",IF(F35&lt;&gt;12,"No: not a full year",IF(R35&lt;&gt;"VERIFIED","With care: status "&amp;R35&amp;"; definition and period to check","With care: check definition and fiscal year against model years")))</f>
        <v/>
      </c>
    </row>
    <row r="36">
      <c r="A36" s="85" t="inlineStr">
        <is>
          <t>DB032</t>
        </is>
      </c>
      <c r="B36" s="85" t="inlineStr">
        <is>
          <t>Watu</t>
        </is>
      </c>
      <c r="C36" s="85" t="inlineStr">
        <is>
          <t>Watu Credit / Holdings</t>
        </is>
      </c>
      <c r="D36" s="85" t="n">
        <v>2025</v>
      </c>
      <c r="E36" s="85" t="inlineStr">
        <is>
          <t>2025-12-31</t>
        </is>
      </c>
      <c r="F36" s="85" t="n">
        <v>12</v>
      </c>
      <c r="G36" s="85" t="inlineStr">
        <is>
          <t>KPI</t>
        </is>
      </c>
      <c r="H36" s="85" t="inlineStr">
        <is>
          <t>REV_GROWTH</t>
        </is>
      </c>
      <c r="I36" s="149" t="n">
        <v>0.927</v>
      </c>
      <c r="J36" s="85" t="inlineStr">
        <is>
          <t>ratio</t>
        </is>
      </c>
      <c r="K36" s="85" t="n">
        <v>1</v>
      </c>
      <c r="L36" s="149" t="n"/>
      <c r="M36" s="85" t="inlineStr">
        <is>
          <t>Reported growth</t>
        </is>
      </c>
      <c r="N36" s="149" t="n">
        <v>1</v>
      </c>
      <c r="O36" s="85" t="inlineStr">
        <is>
          <t>TechCabal</t>
        </is>
      </c>
      <c r="P36" s="85" t="inlineStr">
        <is>
          <t>https://techcabal.com/2026/05/11/watu-posts-37-million-profit-smartphone-boom/</t>
        </is>
      </c>
      <c r="Q36" s="85" t="inlineStr">
        <is>
          <t>2026-05-11</t>
        </is>
      </c>
      <c r="R36" s="85" t="inlineStr">
        <is>
          <t>secondary source; primary document not yet reviewed</t>
        </is>
      </c>
      <c r="S36" s="85" t="inlineStr">
        <is>
          <t>C</t>
        </is>
      </c>
      <c r="T36" s="85" t="inlineStr">
        <is>
          <t>Inconsistent with FY2024 gross revenue of KES 29.9bn (different definition).</t>
        </is>
      </c>
      <c r="U36" s="147" t="inlineStr">
        <is>
          <t>ratio</t>
        </is>
      </c>
      <c r="V36" s="150">
        <f>IF(U36="money",IF(L36="","",I36*K36*L36/1000000),IF(U36="count",I36*K36,I36))</f>
        <v/>
      </c>
      <c r="W36" s="147" t="inlineStr">
        <is>
          <t>TO VERIFY</t>
        </is>
      </c>
      <c r="X36" s="147" t="inlineStr">
        <is>
          <t>PAGE TO VERIFY</t>
        </is>
      </c>
      <c r="Y36" s="147" t="inlineStr">
        <is>
          <t>Revenue growth on the prior period as reported</t>
        </is>
      </c>
      <c r="Z36" s="148">
        <f>IF(N36&lt;&gt;1,"No: excluded ("&amp;R36&amp;")",IF(F36&lt;&gt;12,"No: not a full year",IF(R36&lt;&gt;"VERIFIED","With care: status "&amp;R36&amp;"; definition and period to check","With care: check definition and fiscal year against model years")))</f>
        <v/>
      </c>
    </row>
    <row r="37">
      <c r="A37" s="143" t="inlineStr">
        <is>
          <t>DB033</t>
        </is>
      </c>
      <c r="B37" s="143" t="inlineStr">
        <is>
          <t>Watu</t>
        </is>
      </c>
      <c r="C37" s="143" t="inlineStr">
        <is>
          <t>Watu Credit / Holdings</t>
        </is>
      </c>
      <c r="D37" s="143" t="n">
        <v>2024</v>
      </c>
      <c r="E37" s="143" t="inlineStr">
        <is>
          <t>2024-12-31</t>
        </is>
      </c>
      <c r="F37" s="143" t="n">
        <v>12</v>
      </c>
      <c r="G37" s="143" t="inlineStr">
        <is>
          <t>IS</t>
        </is>
      </c>
      <c r="H37" s="143" t="inlineStr">
        <is>
          <t>REV</t>
        </is>
      </c>
      <c r="I37" s="144" t="n">
        <v>29.9</v>
      </c>
      <c r="J37" s="143" t="inlineStr">
        <is>
          <t>KES</t>
        </is>
      </c>
      <c r="K37" s="143" t="n">
        <v>1000000000</v>
      </c>
      <c r="L37" s="144" t="n">
        <v>0.007746</v>
      </c>
      <c r="M37" s="143" t="inlineStr">
        <is>
          <t>Approximation (FY2025-implied rate)</t>
        </is>
      </c>
      <c r="N37" s="144" t="n">
        <v>0</v>
      </c>
      <c r="O37" s="143" t="inlineStr">
        <is>
          <t>TechCabal</t>
        </is>
      </c>
      <c r="P37" s="143" t="inlineStr">
        <is>
          <t>https://techcabal.com/2025/05/22/watu-profits-drop-85-1-2-million/</t>
        </is>
      </c>
      <c r="Q37" s="143" t="inlineStr">
        <is>
          <t>2025-05-22</t>
        </is>
      </c>
      <c r="R37" s="143" t="inlineStr">
        <is>
          <t>secondary source; primary document not yet reviewed</t>
        </is>
      </c>
      <c r="S37" s="143" t="inlineStr">
        <is>
          <t>C</t>
        </is>
      </c>
      <c r="T37" s="143" t="inlineStr">
        <is>
          <t>"Gross revenue": definition differs from FY2025 revenue; excluded from the matrix.</t>
        </is>
      </c>
      <c r="U37" s="145" t="inlineStr">
        <is>
          <t>money</t>
        </is>
      </c>
      <c r="V37" s="146">
        <f>IF(U37="money",IF(L37="","",I37*K37*L37/1000000),IF(U37="count",I37*K37,I37))</f>
        <v/>
      </c>
      <c r="W37" s="147" t="inlineStr">
        <is>
          <t>TO VERIFY</t>
        </is>
      </c>
      <c r="X37" s="147" t="inlineStr">
        <is>
          <t>PAGE TO VERIFY</t>
        </is>
      </c>
      <c r="Y37" s="147" t="inlineStr">
        <is>
          <t>Total revenue for the period (company's own recognition policy)</t>
        </is>
      </c>
      <c r="Z37" s="148">
        <f>IF(N37&lt;&gt;1,"No: excluded ("&amp;R37&amp;")",IF(F37&lt;&gt;12,"No: not a full year",IF(R37&lt;&gt;"VERIFIED","With care: status "&amp;R37&amp;"; definition and period to check","With care: check definition and fiscal year against model years")))</f>
        <v/>
      </c>
    </row>
    <row r="38">
      <c r="A38" s="85" t="inlineStr">
        <is>
          <t>DB034</t>
        </is>
      </c>
      <c r="B38" s="85" t="inlineStr">
        <is>
          <t>Watu</t>
        </is>
      </c>
      <c r="C38" s="85" t="inlineStr">
        <is>
          <t>Watu Credit / Holdings</t>
        </is>
      </c>
      <c r="D38" s="85" t="n">
        <v>2024</v>
      </c>
      <c r="E38" s="85" t="inlineStr">
        <is>
          <t>2024-12-31</t>
        </is>
      </c>
      <c r="F38" s="85" t="n">
        <v>12</v>
      </c>
      <c r="G38" s="85" t="inlineStr">
        <is>
          <t>IS</t>
        </is>
      </c>
      <c r="H38" s="85" t="inlineStr">
        <is>
          <t>NI</t>
        </is>
      </c>
      <c r="I38" s="149" t="n">
        <v>0.157</v>
      </c>
      <c r="J38" s="85" t="inlineStr">
        <is>
          <t>KES</t>
        </is>
      </c>
      <c r="K38" s="85" t="n">
        <v>1000000000</v>
      </c>
      <c r="L38" s="149" t="n">
        <v>0.007746</v>
      </c>
      <c r="M38" s="85" t="inlineStr">
        <is>
          <t>Approximation (FY2025-implied rate)</t>
        </is>
      </c>
      <c r="N38" s="149" t="n">
        <v>1</v>
      </c>
      <c r="O38" s="85" t="inlineStr">
        <is>
          <t>TechCabal</t>
        </is>
      </c>
      <c r="P38" s="85" t="inlineStr">
        <is>
          <t>https://techcabal.com/2025/05/22/watu-profits-drop-85-1-2-million/</t>
        </is>
      </c>
      <c r="Q38" s="85" t="inlineStr">
        <is>
          <t>2025-05-22</t>
        </is>
      </c>
      <c r="R38" s="85" t="inlineStr">
        <is>
          <t>secondary source; primary document not yet reviewed</t>
        </is>
      </c>
      <c r="S38" s="85" t="inlineStr">
        <is>
          <t>C</t>
        </is>
      </c>
      <c r="T38" s="85" t="inlineStr">
        <is>
          <t>-85% vs FY2023. 1.9m active loans.</t>
        </is>
      </c>
      <c r="U38" s="147" t="inlineStr">
        <is>
          <t>money</t>
        </is>
      </c>
      <c r="V38" s="150">
        <f>IF(U38="money",IF(L38="","",I38*K38*L38/1000000),IF(U38="count",I38*K38,I38))</f>
        <v/>
      </c>
      <c r="W38" s="147" t="inlineStr">
        <is>
          <t>TO VERIFY</t>
        </is>
      </c>
      <c r="X38" s="147" t="inlineStr">
        <is>
          <t>PAGE TO VERIFY</t>
        </is>
      </c>
      <c r="Y38" s="147" t="inlineStr">
        <is>
          <t>Net income after tax</t>
        </is>
      </c>
      <c r="Z38" s="148">
        <f>IF(N38&lt;&gt;1,"No: excluded ("&amp;R38&amp;")",IF(F38&lt;&gt;12,"No: not a full year",IF(R38&lt;&gt;"VERIFIED","With care: status "&amp;R38&amp;"; definition and period to check","With care: check definition and fiscal year against model years")))</f>
        <v/>
      </c>
    </row>
    <row r="39">
      <c r="A39" s="143" t="inlineStr">
        <is>
          <t>DB035</t>
        </is>
      </c>
      <c r="B39" s="143" t="inlineStr">
        <is>
          <t>Engie Energy Access</t>
        </is>
      </c>
      <c r="C39" s="143" t="inlineStr">
        <is>
          <t>Fenix International (Uganda)</t>
        </is>
      </c>
      <c r="D39" s="143" t="n"/>
      <c r="E39" s="143" t="n"/>
      <c r="F39" s="143" t="n"/>
      <c r="G39" s="143" t="inlineStr">
        <is>
          <t>CF</t>
        </is>
      </c>
      <c r="H39" s="143" t="inlineStr">
        <is>
          <t>DEBT_DRAW</t>
        </is>
      </c>
      <c r="I39" s="144" t="n">
        <v>12.5</v>
      </c>
      <c r="J39" s="143" t="inlineStr">
        <is>
          <t>USD</t>
        </is>
      </c>
      <c r="K39" s="143" t="n">
        <v>1000000</v>
      </c>
      <c r="L39" s="144" t="n">
        <v>1</v>
      </c>
      <c r="M39" s="143" t="inlineStr">
        <is>
          <t>Source USD figure</t>
        </is>
      </c>
      <c r="N39" s="144" t="n">
        <v>0</v>
      </c>
      <c r="O39" s="143" t="inlineStr">
        <is>
          <t>Afrik21</t>
        </is>
      </c>
      <c r="P39" s="143" t="inlineStr">
        <is>
          <t>https://afrik21.africa/en/uganda-eib-lends-12-5m-to-fenix-for-solar-electrification-via-solar-kits/amp</t>
        </is>
      </c>
      <c r="Q39" s="143" t="inlineStr">
        <is>
          <t>n/d</t>
        </is>
      </c>
      <c r="R39" s="143" t="inlineStr">
        <is>
          <t>secondary</t>
        </is>
      </c>
      <c r="S39" s="143" t="inlineStr">
        <is>
          <t>C</t>
        </is>
      </c>
      <c r="T39" s="143" t="inlineStr">
        <is>
          <t>EIB loan; date not stated: excluded from year matrix.</t>
        </is>
      </c>
      <c r="U39" s="145" t="inlineStr">
        <is>
          <t>money</t>
        </is>
      </c>
      <c r="V39" s="146">
        <f>IF(U39="money",IF(L39="","",I39*K39*L39/1000000),IF(U39="count",I39*K39,I39))</f>
        <v/>
      </c>
      <c r="W39" s="147" t="inlineStr">
        <is>
          <t>TO VERIFY</t>
        </is>
      </c>
      <c r="X39" s="147" t="inlineStr">
        <is>
          <t>PAGE TO VERIFY</t>
        </is>
      </c>
      <c r="Y39" s="147" t="inlineStr">
        <is>
          <t>Debt raised</t>
        </is>
      </c>
      <c r="Z39" s="148">
        <f>IF(N39&lt;&gt;1,"No: excluded ("&amp;R39&amp;")",IF(F39&lt;&gt;12,"No: not a full year",IF(R39&lt;&gt;"VERIFIED","With care: status "&amp;R39&amp;"; definition and period to check","With care: check definition and fiscal year against model years")))</f>
        <v/>
      </c>
    </row>
    <row r="40">
      <c r="A40" s="85" t="inlineStr">
        <is>
          <t>DB036</t>
        </is>
      </c>
      <c r="B40" s="85" t="inlineStr">
        <is>
          <t>ZOLA Electric</t>
        </is>
      </c>
      <c r="C40" s="85" t="inlineStr">
        <is>
          <t>ZOLA Electric</t>
        </is>
      </c>
      <c r="D40" s="85" t="n">
        <v>2021</v>
      </c>
      <c r="E40" s="85" t="inlineStr">
        <is>
          <t>2021-09-30</t>
        </is>
      </c>
      <c r="F40" s="85" t="n">
        <v>12</v>
      </c>
      <c r="G40" s="85" t="inlineStr">
        <is>
          <t>CF</t>
        </is>
      </c>
      <c r="H40" s="85" t="inlineStr">
        <is>
          <t>EQUITY_RAISED</t>
        </is>
      </c>
      <c r="I40" s="149" t="n">
        <v>45</v>
      </c>
      <c r="J40" s="85" t="inlineStr">
        <is>
          <t>USD</t>
        </is>
      </c>
      <c r="K40" s="85" t="n">
        <v>1000000</v>
      </c>
      <c r="L40" s="149" t="n">
        <v>1</v>
      </c>
      <c r="M40" s="85" t="inlineStr">
        <is>
          <t>Source USD figure</t>
        </is>
      </c>
      <c r="N40" s="149" t="n">
        <v>1</v>
      </c>
      <c r="O40" s="85" t="inlineStr">
        <is>
          <t>TechCrunch</t>
        </is>
      </c>
      <c r="P40" s="85" t="inlineStr">
        <is>
          <t>https://techcrunch.com/2021/09/23/zola-electric-closes-90m-funding-round-to-scale-technology-and-enter-new-markets</t>
        </is>
      </c>
      <c r="Q40" s="85" t="inlineStr">
        <is>
          <t>2021-09-23</t>
        </is>
      </c>
      <c r="R40" s="85" t="inlineStr">
        <is>
          <t>secondary</t>
        </is>
      </c>
      <c r="S40" s="85" t="inlineStr">
        <is>
          <t>C</t>
        </is>
      </c>
      <c r="T40" s="85" t="inlineStr">
        <is>
          <t>Part of USD 90m round (45 equity + 45 debt).</t>
        </is>
      </c>
      <c r="U40" s="147" t="inlineStr">
        <is>
          <t>money</t>
        </is>
      </c>
      <c r="V40" s="150">
        <f>IF(U40="money",IF(L40="","",I40*K40*L40/1000000),IF(U40="count",I40*K40,I40))</f>
        <v/>
      </c>
      <c r="W40" s="147" t="inlineStr">
        <is>
          <t>TO VERIFY</t>
        </is>
      </c>
      <c r="X40" s="147" t="inlineStr">
        <is>
          <t>PAGE TO VERIFY</t>
        </is>
      </c>
      <c r="Y40" s="147" t="inlineStr">
        <is>
          <t>Equity raised</t>
        </is>
      </c>
      <c r="Z40" s="148">
        <f>IF(N40&lt;&gt;1,"No: excluded ("&amp;R40&amp;")",IF(F40&lt;&gt;12,"No: not a full year",IF(R40&lt;&gt;"VERIFIED","With care: status "&amp;R40&amp;"; definition and period to check","With care: check definition and fiscal year against model years")))</f>
        <v/>
      </c>
    </row>
    <row r="41">
      <c r="A41" s="85" t="inlineStr">
        <is>
          <t>DB037</t>
        </is>
      </c>
      <c r="B41" s="85" t="inlineStr">
        <is>
          <t>ZOLA Electric</t>
        </is>
      </c>
      <c r="C41" s="85" t="inlineStr">
        <is>
          <t>ZOLA Electric</t>
        </is>
      </c>
      <c r="D41" s="85" t="n">
        <v>2021</v>
      </c>
      <c r="E41" s="85" t="inlineStr">
        <is>
          <t>2021-09-30</t>
        </is>
      </c>
      <c r="F41" s="85" t="n">
        <v>12</v>
      </c>
      <c r="G41" s="85" t="inlineStr">
        <is>
          <t>CF</t>
        </is>
      </c>
      <c r="H41" s="85" t="inlineStr">
        <is>
          <t>DEBT_DRAW</t>
        </is>
      </c>
      <c r="I41" s="149" t="n">
        <v>45</v>
      </c>
      <c r="J41" s="85" t="inlineStr">
        <is>
          <t>USD</t>
        </is>
      </c>
      <c r="K41" s="85" t="n">
        <v>1000000</v>
      </c>
      <c r="L41" s="149" t="n">
        <v>1</v>
      </c>
      <c r="M41" s="85" t="inlineStr">
        <is>
          <t>Source USD figure</t>
        </is>
      </c>
      <c r="N41" s="149" t="n">
        <v>1</v>
      </c>
      <c r="O41" s="85" t="inlineStr">
        <is>
          <t>TechCrunch</t>
        </is>
      </c>
      <c r="P41" s="85" t="inlineStr">
        <is>
          <t>https://techcrunch.com/2021/09/23/zola-electric-closes-90m-funding-round-to-scale-technology-and-enter-new-markets</t>
        </is>
      </c>
      <c r="Q41" s="85" t="inlineStr">
        <is>
          <t>2021-09-23</t>
        </is>
      </c>
      <c r="R41" s="85" t="inlineStr">
        <is>
          <t>secondary</t>
        </is>
      </c>
      <c r="S41" s="85" t="inlineStr">
        <is>
          <t>C</t>
        </is>
      </c>
      <c r="T41" s="85" t="inlineStr">
        <is>
          <t>Debt from FMO and SunFunder.</t>
        </is>
      </c>
      <c r="U41" s="147" t="inlineStr">
        <is>
          <t>money</t>
        </is>
      </c>
      <c r="V41" s="150">
        <f>IF(U41="money",IF(L41="","",I41*K41*L41/1000000),IF(U41="count",I41*K41,I41))</f>
        <v/>
      </c>
      <c r="W41" s="147" t="inlineStr">
        <is>
          <t>TO VERIFY</t>
        </is>
      </c>
      <c r="X41" s="147" t="inlineStr">
        <is>
          <t>PAGE TO VERIFY</t>
        </is>
      </c>
      <c r="Y41" s="147" t="inlineStr">
        <is>
          <t>Debt raised</t>
        </is>
      </c>
      <c r="Z41" s="148">
        <f>IF(N41&lt;&gt;1,"No: excluded ("&amp;R41&amp;")",IF(F41&lt;&gt;12,"No: not a full year",IF(R41&lt;&gt;"VERIFIED","With care: status "&amp;R41&amp;"; definition and period to check","With care: check definition and fiscal year against model years")))</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29.xml><?xml version="1.0" encoding="utf-8"?>
<worksheet xmlns="http://schemas.openxmlformats.org/spreadsheetml/2006/main">
  <sheetPr>
    <outlinePr summaryBelow="1" summaryRight="1"/>
    <pageSetUpPr fitToPage="1"/>
  </sheetPr>
  <dimension ref="A1:BL62"/>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50" customWidth="1" min="1" max="1"/>
    <col width="12" customWidth="1" min="2" max="2"/>
    <col width="16" customWidth="1" min="3" max="3"/>
    <col width="16" customWidth="1" min="5" max="5"/>
    <col width="16" customWidth="1" min="6" max="6"/>
    <col width="16" customWidth="1" min="7" max="7"/>
    <col width="16" customWidth="1" min="8" max="8"/>
    <col width="16" customWidth="1" min="9" max="9"/>
  </cols>
  <sheetData>
    <row r="1">
      <c r="A1" s="17" t="inlineStr">
        <is>
          <t>Annual financial statements</t>
        </is>
      </c>
    </row>
    <row r="2">
      <c r="A2" s="18" t="inlineStr">
        <is>
          <t>[FORECAST]  Flows summed by year; balances at year end. LCY.  This is an analytical modelling treatment and does not constitute a determination of the applicable accounting treatment under IFRS.</t>
        </is>
      </c>
    </row>
    <row r="3"/>
    <row r="4"/>
    <row r="5">
      <c r="E5" s="91" t="inlineStr">
        <is>
          <t>Year 1</t>
        </is>
      </c>
      <c r="F5" s="91" t="inlineStr">
        <is>
          <t>Year 2</t>
        </is>
      </c>
      <c r="G5" s="91" t="inlineStr">
        <is>
          <t>Year 3</t>
        </is>
      </c>
      <c r="H5" s="91" t="inlineStr">
        <is>
          <t>Year 4</t>
        </is>
      </c>
      <c r="I5" s="91" t="inlineStr">
        <is>
          <t>Year 5</t>
        </is>
      </c>
    </row>
    <row r="6">
      <c r="E6" s="91" t="n">
        <v>1</v>
      </c>
      <c r="F6" s="91" t="n">
        <v>2</v>
      </c>
      <c r="G6" s="91" t="n">
        <v>3</v>
      </c>
      <c r="H6" s="91" t="n">
        <v>4</v>
      </c>
      <c r="I6" s="91" t="n">
        <v>5</v>
      </c>
    </row>
    <row r="7"/>
    <row r="8">
      <c r="A8" s="21" t="inlineStr">
        <is>
          <t>INCOME STATEMENT</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34" t="inlineStr">
        <is>
          <t>Hardware revenue (cash price)</t>
        </is>
      </c>
      <c r="E9" s="80">
        <f>SUMIFS(FS!$E$9:$BL$9,Timeline!$E$6:$BL$6,E$6)</f>
        <v/>
      </c>
      <c r="F9" s="80">
        <f>SUMIFS(FS!$E$9:$BL$9,Timeline!$E$6:$BL$6,F$6)</f>
        <v/>
      </c>
      <c r="G9" s="80">
        <f>SUMIFS(FS!$E$9:$BL$9,Timeline!$E$6:$BL$6,G$6)</f>
        <v/>
      </c>
      <c r="H9" s="80">
        <f>SUMIFS(FS!$E$9:$BL$9,Timeline!$E$6:$BL$6,H$6)</f>
        <v/>
      </c>
      <c r="I9" s="80">
        <f>SUMIFS(FS!$E$9:$BL$9,Timeline!$E$6:$BL$6,I$6)</f>
        <v/>
      </c>
    </row>
    <row r="10">
      <c r="A10" s="34" t="inlineStr">
        <is>
          <t>PAYGo financing income</t>
        </is>
      </c>
      <c r="E10" s="80">
        <f>SUMIFS(FS!$E$10:$BL$10,Timeline!$E$6:$BL$6,E$6)</f>
        <v/>
      </c>
      <c r="F10" s="80">
        <f>SUMIFS(FS!$E$10:$BL$10,Timeline!$E$6:$BL$6,F$6)</f>
        <v/>
      </c>
      <c r="G10" s="80">
        <f>SUMIFS(FS!$E$10:$BL$10,Timeline!$E$6:$BL$6,G$6)</f>
        <v/>
      </c>
      <c r="H10" s="80">
        <f>SUMIFS(FS!$E$10:$BL$10,Timeline!$E$6:$BL$6,H$6)</f>
        <v/>
      </c>
      <c r="I10" s="80">
        <f>SUMIFS(FS!$E$10:$BL$10,Timeline!$E$6:$BL$6,I$6)</f>
        <v/>
      </c>
    </row>
    <row r="11">
      <c r="A11" s="34" t="inlineStr">
        <is>
          <t>Other revenue (digital loans &amp; services)</t>
        </is>
      </c>
      <c r="E11" s="80">
        <f>SUMIFS(FS!$E$11:$BL$11,Timeline!$E$6:$BL$6,E$6)</f>
        <v/>
      </c>
      <c r="F11" s="80">
        <f>SUMIFS(FS!$E$11:$BL$11,Timeline!$E$6:$BL$6,F$6)</f>
        <v/>
      </c>
      <c r="G11" s="80">
        <f>SUMIFS(FS!$E$11:$BL$11,Timeline!$E$6:$BL$6,G$6)</f>
        <v/>
      </c>
      <c r="H11" s="80">
        <f>SUMIFS(FS!$E$11:$BL$11,Timeline!$E$6:$BL$6,H$6)</f>
        <v/>
      </c>
      <c r="I11" s="80">
        <f>SUMIFS(FS!$E$11:$BL$11,Timeline!$E$6:$BL$6,I$6)</f>
        <v/>
      </c>
    </row>
    <row r="12">
      <c r="A12" s="19" t="inlineStr">
        <is>
          <t>Total revenue</t>
        </is>
      </c>
      <c r="E12" s="93">
        <f>SUMIFS(FS!$E$12:$BL$12,Timeline!$E$6:$BL$6,E$6)</f>
        <v/>
      </c>
      <c r="F12" s="93">
        <f>SUMIFS(FS!$E$12:$BL$12,Timeline!$E$6:$BL$6,F$6)</f>
        <v/>
      </c>
      <c r="G12" s="93">
        <f>SUMIFS(FS!$E$12:$BL$12,Timeline!$E$6:$BL$6,G$6)</f>
        <v/>
      </c>
      <c r="H12" s="93">
        <f>SUMIFS(FS!$E$12:$BL$12,Timeline!$E$6:$BL$6,H$6)</f>
        <v/>
      </c>
      <c r="I12" s="93">
        <f>SUMIFS(FS!$E$12:$BL$12,Timeline!$E$6:$BL$6,I$6)</f>
        <v/>
      </c>
    </row>
    <row r="13">
      <c r="A13" s="34" t="inlineStr">
        <is>
          <t>Cost of sales (hardware, installation, other)</t>
        </is>
      </c>
      <c r="E13" s="80">
        <f>SUMIFS(FS!$E$13:$BL$13,Timeline!$E$6:$BL$6,E$6)</f>
        <v/>
      </c>
      <c r="F13" s="80">
        <f>SUMIFS(FS!$E$13:$BL$13,Timeline!$E$6:$BL$6,F$6)</f>
        <v/>
      </c>
      <c r="G13" s="80">
        <f>SUMIFS(FS!$E$13:$BL$13,Timeline!$E$6:$BL$6,G$6)</f>
        <v/>
      </c>
      <c r="H13" s="80">
        <f>SUMIFS(FS!$E$13:$BL$13,Timeline!$E$6:$BL$6,H$6)</f>
        <v/>
      </c>
      <c r="I13" s="80">
        <f>SUMIFS(FS!$E$13:$BL$13,Timeline!$E$6:$BL$6,I$6)</f>
        <v/>
      </c>
    </row>
    <row r="14">
      <c r="A14" s="19" t="inlineStr">
        <is>
          <t>Gross profit</t>
        </is>
      </c>
      <c r="E14" s="93">
        <f>SUMIFS(FS!$E$14:$BL$14,Timeline!$E$6:$BL$6,E$6)</f>
        <v/>
      </c>
      <c r="F14" s="93">
        <f>SUMIFS(FS!$E$14:$BL$14,Timeline!$E$6:$BL$6,F$6)</f>
        <v/>
      </c>
      <c r="G14" s="93">
        <f>SUMIFS(FS!$E$14:$BL$14,Timeline!$E$6:$BL$6,G$6)</f>
        <v/>
      </c>
      <c r="H14" s="93">
        <f>SUMIFS(FS!$E$14:$BL$14,Timeline!$E$6:$BL$6,H$6)</f>
        <v/>
      </c>
      <c r="I14" s="93">
        <f>SUMIFS(FS!$E$14:$BL$14,Timeline!$E$6:$BL$6,I$6)</f>
        <v/>
      </c>
    </row>
    <row r="15">
      <c r="A15" s="34" t="inlineStr">
        <is>
          <t>RBF / subsidy income</t>
        </is>
      </c>
      <c r="E15" s="80">
        <f>SUMIFS(FS!$E$15:$BL$15,Timeline!$E$6:$BL$6,E$6)</f>
        <v/>
      </c>
      <c r="F15" s="80">
        <f>SUMIFS(FS!$E$15:$BL$15,Timeline!$E$6:$BL$6,F$6)</f>
        <v/>
      </c>
      <c r="G15" s="80">
        <f>SUMIFS(FS!$E$15:$BL$15,Timeline!$E$6:$BL$6,G$6)</f>
        <v/>
      </c>
      <c r="H15" s="80">
        <f>SUMIFS(FS!$E$15:$BL$15,Timeline!$E$6:$BL$6,H$6)</f>
        <v/>
      </c>
      <c r="I15" s="80">
        <f>SUMIFS(FS!$E$15:$BL$15,Timeline!$E$6:$BL$6,I$6)</f>
        <v/>
      </c>
    </row>
    <row r="16">
      <c r="A16" s="34" t="inlineStr">
        <is>
          <t>Operating expenses</t>
        </is>
      </c>
      <c r="E16" s="80">
        <f>SUMIFS(FS!$E$16:$BL$16,Timeline!$E$6:$BL$6,E$6)</f>
        <v/>
      </c>
      <c r="F16" s="80">
        <f>SUMIFS(FS!$E$16:$BL$16,Timeline!$E$6:$BL$6,F$6)</f>
        <v/>
      </c>
      <c r="G16" s="80">
        <f>SUMIFS(FS!$E$16:$BL$16,Timeline!$E$6:$BL$6,G$6)</f>
        <v/>
      </c>
      <c r="H16" s="80">
        <f>SUMIFS(FS!$E$16:$BL$16,Timeline!$E$6:$BL$6,H$6)</f>
        <v/>
      </c>
      <c r="I16" s="80">
        <f>SUMIFS(FS!$E$16:$BL$16,Timeline!$E$6:$BL$6,I$6)</f>
        <v/>
      </c>
    </row>
    <row r="17">
      <c r="A17" s="34" t="inlineStr">
        <is>
          <t>Expected credit losses</t>
        </is>
      </c>
      <c r="E17" s="80">
        <f>SUMIFS(FS!$E$17:$BL$17,Timeline!$E$6:$BL$6,E$6)</f>
        <v/>
      </c>
      <c r="F17" s="80">
        <f>SUMIFS(FS!$E$17:$BL$17,Timeline!$E$6:$BL$6,F$6)</f>
        <v/>
      </c>
      <c r="G17" s="80">
        <f>SUMIFS(FS!$E$17:$BL$17,Timeline!$E$6:$BL$6,G$6)</f>
        <v/>
      </c>
      <c r="H17" s="80">
        <f>SUMIFS(FS!$E$17:$BL$17,Timeline!$E$6:$BL$6,H$6)</f>
        <v/>
      </c>
      <c r="I17" s="80">
        <f>SUMIFS(FS!$E$17:$BL$17,Timeline!$E$6:$BL$6,I$6)</f>
        <v/>
      </c>
    </row>
    <row r="18">
      <c r="A18" s="34" t="inlineStr">
        <is>
          <t>Recoveries on repossessed units</t>
        </is>
      </c>
      <c r="E18" s="80">
        <f>SUMIFS(FS!$E$18:$BL$18,Timeline!$E$6:$BL$6,E$6)</f>
        <v/>
      </c>
      <c r="F18" s="80">
        <f>SUMIFS(FS!$E$18:$BL$18,Timeline!$E$6:$BL$6,F$6)</f>
        <v/>
      </c>
      <c r="G18" s="80">
        <f>SUMIFS(FS!$E$18:$BL$18,Timeline!$E$6:$BL$6,G$6)</f>
        <v/>
      </c>
      <c r="H18" s="80">
        <f>SUMIFS(FS!$E$18:$BL$18,Timeline!$E$6:$BL$6,H$6)</f>
        <v/>
      </c>
      <c r="I18" s="80">
        <f>SUMIFS(FS!$E$18:$BL$18,Timeline!$E$6:$BL$6,I$6)</f>
        <v/>
      </c>
    </row>
    <row r="19">
      <c r="A19" s="19" t="inlineStr">
        <is>
          <t>EBITDA</t>
        </is>
      </c>
      <c r="E19" s="93">
        <f>SUMIFS(FS!$E$19:$BL$19,Timeline!$E$6:$BL$6,E$6)</f>
        <v/>
      </c>
      <c r="F19" s="93">
        <f>SUMIFS(FS!$E$19:$BL$19,Timeline!$E$6:$BL$6,F$6)</f>
        <v/>
      </c>
      <c r="G19" s="93">
        <f>SUMIFS(FS!$E$19:$BL$19,Timeline!$E$6:$BL$6,G$6)</f>
        <v/>
      </c>
      <c r="H19" s="93">
        <f>SUMIFS(FS!$E$19:$BL$19,Timeline!$E$6:$BL$6,H$6)</f>
        <v/>
      </c>
      <c r="I19" s="93">
        <f>SUMIFS(FS!$E$19:$BL$19,Timeline!$E$6:$BL$6,I$6)</f>
        <v/>
      </c>
    </row>
    <row r="20">
      <c r="A20" s="34" t="inlineStr">
        <is>
          <t>Depreciation</t>
        </is>
      </c>
      <c r="E20" s="80">
        <f>SUMIFS(FS!$E$20:$BL$20,Timeline!$E$6:$BL$6,E$6)</f>
        <v/>
      </c>
      <c r="F20" s="80">
        <f>SUMIFS(FS!$E$20:$BL$20,Timeline!$E$6:$BL$6,F$6)</f>
        <v/>
      </c>
      <c r="G20" s="80">
        <f>SUMIFS(FS!$E$20:$BL$20,Timeline!$E$6:$BL$6,G$6)</f>
        <v/>
      </c>
      <c r="H20" s="80">
        <f>SUMIFS(FS!$E$20:$BL$20,Timeline!$E$6:$BL$6,H$6)</f>
        <v/>
      </c>
      <c r="I20" s="80">
        <f>SUMIFS(FS!$E$20:$BL$20,Timeline!$E$6:$BL$6,I$6)</f>
        <v/>
      </c>
    </row>
    <row r="21">
      <c r="A21" s="34" t="inlineStr">
        <is>
          <t>EBIT</t>
        </is>
      </c>
      <c r="E21" s="80">
        <f>SUMIFS(FS!$E$21:$BL$21,Timeline!$E$6:$BL$6,E$6)</f>
        <v/>
      </c>
      <c r="F21" s="80">
        <f>SUMIFS(FS!$E$21:$BL$21,Timeline!$E$6:$BL$6,F$6)</f>
        <v/>
      </c>
      <c r="G21" s="80">
        <f>SUMIFS(FS!$E$21:$BL$21,Timeline!$E$6:$BL$6,G$6)</f>
        <v/>
      </c>
      <c r="H21" s="80">
        <f>SUMIFS(FS!$E$21:$BL$21,Timeline!$E$6:$BL$6,H$6)</f>
        <v/>
      </c>
      <c r="I21" s="80">
        <f>SUMIFS(FS!$E$21:$BL$21,Timeline!$E$6:$BL$6,I$6)</f>
        <v/>
      </c>
    </row>
    <row r="22">
      <c r="A22" s="34" t="inlineStr">
        <is>
          <t>Interest: USD term loan</t>
        </is>
      </c>
      <c r="E22" s="80">
        <f>SUMIFS(FS!$E$22:$BL$22,Timeline!$E$6:$BL$6,E$6)</f>
        <v/>
      </c>
      <c r="F22" s="80">
        <f>SUMIFS(FS!$E$22:$BL$22,Timeline!$E$6:$BL$6,F$6)</f>
        <v/>
      </c>
      <c r="G22" s="80">
        <f>SUMIFS(FS!$E$22:$BL$22,Timeline!$E$6:$BL$6,G$6)</f>
        <v/>
      </c>
      <c r="H22" s="80">
        <f>SUMIFS(FS!$E$22:$BL$22,Timeline!$E$6:$BL$6,H$6)</f>
        <v/>
      </c>
      <c r="I22" s="80">
        <f>SUMIFS(FS!$E$22:$BL$22,Timeline!$E$6:$BL$6,I$6)</f>
        <v/>
      </c>
    </row>
    <row r="23">
      <c r="A23" s="34" t="inlineStr">
        <is>
          <t>Interest: receivables facility</t>
        </is>
      </c>
      <c r="E23" s="80">
        <f>SUMIFS(FS!$E$23:$BL$23,Timeline!$E$6:$BL$6,E$6)</f>
        <v/>
      </c>
      <c r="F23" s="80">
        <f>SUMIFS(FS!$E$23:$BL$23,Timeline!$E$6:$BL$6,F$6)</f>
        <v/>
      </c>
      <c r="G23" s="80">
        <f>SUMIFS(FS!$E$23:$BL$23,Timeline!$E$6:$BL$6,G$6)</f>
        <v/>
      </c>
      <c r="H23" s="80">
        <f>SUMIFS(FS!$E$23:$BL$23,Timeline!$E$6:$BL$6,H$6)</f>
        <v/>
      </c>
      <c r="I23" s="80">
        <f>SUMIFS(FS!$E$23:$BL$23,Timeline!$E$6:$BL$6,I$6)</f>
        <v/>
      </c>
    </row>
    <row r="24">
      <c r="A24" s="34" t="inlineStr">
        <is>
          <t>Facility / securitisation fees</t>
        </is>
      </c>
      <c r="E24" s="80">
        <f>SUMIFS(FS!$E$24:$BL$24,Timeline!$E$6:$BL$6,E$6)</f>
        <v/>
      </c>
      <c r="F24" s="80">
        <f>SUMIFS(FS!$E$24:$BL$24,Timeline!$E$6:$BL$6,F$6)</f>
        <v/>
      </c>
      <c r="G24" s="80">
        <f>SUMIFS(FS!$E$24:$BL$24,Timeline!$E$6:$BL$6,G$6)</f>
        <v/>
      </c>
      <c r="H24" s="80">
        <f>SUMIFS(FS!$E$24:$BL$24,Timeline!$E$6:$BL$6,H$6)</f>
        <v/>
      </c>
      <c r="I24" s="80">
        <f>SUMIFS(FS!$E$24:$BL$24,Timeline!$E$6:$BL$6,I$6)</f>
        <v/>
      </c>
    </row>
    <row r="25">
      <c r="A25" s="34" t="inlineStr">
        <is>
          <t>FX (loss) / gain on USD debt</t>
        </is>
      </c>
      <c r="E25" s="80">
        <f>SUMIFS(FS!$E$25:$BL$25,Timeline!$E$6:$BL$6,E$6)</f>
        <v/>
      </c>
      <c r="F25" s="80">
        <f>SUMIFS(FS!$E$25:$BL$25,Timeline!$E$6:$BL$6,F$6)</f>
        <v/>
      </c>
      <c r="G25" s="80">
        <f>SUMIFS(FS!$E$25:$BL$25,Timeline!$E$6:$BL$6,G$6)</f>
        <v/>
      </c>
      <c r="H25" s="80">
        <f>SUMIFS(FS!$E$25:$BL$25,Timeline!$E$6:$BL$6,H$6)</f>
        <v/>
      </c>
      <c r="I25" s="80">
        <f>SUMIFS(FS!$E$25:$BL$25,Timeline!$E$6:$BL$6,I$6)</f>
        <v/>
      </c>
    </row>
    <row r="26">
      <c r="A26" s="34" t="inlineStr">
        <is>
          <t>Profit before tax</t>
        </is>
      </c>
      <c r="E26" s="80">
        <f>SUMIFS(FS!$E$26:$BL$26,Timeline!$E$6:$BL$6,E$6)</f>
        <v/>
      </c>
      <c r="F26" s="80">
        <f>SUMIFS(FS!$E$26:$BL$26,Timeline!$E$6:$BL$6,F$6)</f>
        <v/>
      </c>
      <c r="G26" s="80">
        <f>SUMIFS(FS!$E$26:$BL$26,Timeline!$E$6:$BL$6,G$6)</f>
        <v/>
      </c>
      <c r="H26" s="80">
        <f>SUMIFS(FS!$E$26:$BL$26,Timeline!$E$6:$BL$6,H$6)</f>
        <v/>
      </c>
      <c r="I26" s="80">
        <f>SUMIFS(FS!$E$26:$BL$26,Timeline!$E$6:$BL$6,I$6)</f>
        <v/>
      </c>
    </row>
    <row r="27">
      <c r="A27" s="34" t="inlineStr">
        <is>
          <t>Income tax</t>
        </is>
      </c>
      <c r="E27" s="80">
        <f>SUMIFS(FS!$E$29:$BL$29,Timeline!$E$6:$BL$6,E$6)</f>
        <v/>
      </c>
      <c r="F27" s="80">
        <f>SUMIFS(FS!$E$29:$BL$29,Timeline!$E$6:$BL$6,F$6)</f>
        <v/>
      </c>
      <c r="G27" s="80">
        <f>SUMIFS(FS!$E$29:$BL$29,Timeline!$E$6:$BL$6,G$6)</f>
        <v/>
      </c>
      <c r="H27" s="80">
        <f>SUMIFS(FS!$E$29:$BL$29,Timeline!$E$6:$BL$6,H$6)</f>
        <v/>
      </c>
      <c r="I27" s="80">
        <f>SUMIFS(FS!$E$29:$BL$29,Timeline!$E$6:$BL$6,I$6)</f>
        <v/>
      </c>
    </row>
    <row r="28">
      <c r="A28" s="19" t="inlineStr">
        <is>
          <t>Net income</t>
        </is>
      </c>
      <c r="E28" s="93">
        <f>SUMIFS(FS!$E$30:$BL$30,Timeline!$E$6:$BL$6,E$6)</f>
        <v/>
      </c>
      <c r="F28" s="93">
        <f>SUMIFS(FS!$E$30:$BL$30,Timeline!$E$6:$BL$6,F$6)</f>
        <v/>
      </c>
      <c r="G28" s="93">
        <f>SUMIFS(FS!$E$30:$BL$30,Timeline!$E$6:$BL$6,G$6)</f>
        <v/>
      </c>
      <c r="H28" s="93">
        <f>SUMIFS(FS!$E$30:$BL$30,Timeline!$E$6:$BL$6,H$6)</f>
        <v/>
      </c>
      <c r="I28" s="93">
        <f>SUMIFS(FS!$E$30:$BL$30,Timeline!$E$6:$BL$6,I$6)</f>
        <v/>
      </c>
    </row>
    <row r="29"/>
    <row r="30">
      <c r="A30" s="21" t="inlineStr">
        <is>
          <t>BALANCE SHEET</t>
        </is>
      </c>
      <c r="B30" s="22" t="n"/>
      <c r="C30" s="22" t="n"/>
      <c r="D30" s="22" t="n"/>
      <c r="E30" s="22" t="n"/>
      <c r="F30" s="22"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c r="AA30" s="22" t="n"/>
      <c r="AB30" s="22" t="n"/>
      <c r="AC30" s="22" t="n"/>
      <c r="AD30" s="22" t="n"/>
      <c r="AE30" s="22" t="n"/>
      <c r="AF30" s="22" t="n"/>
      <c r="AG30" s="22" t="n"/>
      <c r="AH30" s="22" t="n"/>
      <c r="AI30" s="22" t="n"/>
      <c r="AJ30" s="22" t="n"/>
      <c r="AK30" s="22" t="n"/>
      <c r="AL30" s="22" t="n"/>
      <c r="AM30" s="22" t="n"/>
      <c r="AN30" s="22" t="n"/>
      <c r="AO30" s="22" t="n"/>
      <c r="AP30" s="22" t="n"/>
      <c r="AQ30" s="22" t="n"/>
      <c r="AR30" s="22" t="n"/>
      <c r="AS30" s="22" t="n"/>
      <c r="AT30" s="22" t="n"/>
      <c r="AU30" s="22" t="n"/>
      <c r="AV30" s="22" t="n"/>
      <c r="AW30" s="22" t="n"/>
      <c r="AX30" s="22" t="n"/>
      <c r="AY30" s="22" t="n"/>
      <c r="AZ30" s="22" t="n"/>
      <c r="BA30" s="22" t="n"/>
      <c r="BB30" s="22" t="n"/>
      <c r="BC30" s="22" t="n"/>
      <c r="BD30" s="22" t="n"/>
      <c r="BE30" s="22" t="n"/>
      <c r="BF30" s="22" t="n"/>
      <c r="BG30" s="22" t="n"/>
      <c r="BH30" s="22" t="n"/>
      <c r="BI30" s="22" t="n"/>
      <c r="BJ30" s="22" t="n"/>
      <c r="BK30" s="22" t="n"/>
      <c r="BL30" s="22" t="n"/>
    </row>
    <row r="31">
      <c r="A31" s="34" t="inlineStr">
        <is>
          <t>Cash</t>
        </is>
      </c>
      <c r="E31" s="80">
        <f>INDEX(FS!$E$33:$BL$33,1,E$6*12)</f>
        <v/>
      </c>
      <c r="F31" s="80">
        <f>INDEX(FS!$E$33:$BL$33,1,F$6*12)</f>
        <v/>
      </c>
      <c r="G31" s="80">
        <f>INDEX(FS!$E$33:$BL$33,1,G$6*12)</f>
        <v/>
      </c>
      <c r="H31" s="80">
        <f>INDEX(FS!$E$33:$BL$33,1,H$6*12)</f>
        <v/>
      </c>
      <c r="I31" s="80">
        <f>INDEX(FS!$E$33:$BL$33,1,I$6*12)</f>
        <v/>
      </c>
    </row>
    <row r="32">
      <c r="A32" s="34" t="inlineStr">
        <is>
          <t>PAYGo receivables: gross</t>
        </is>
      </c>
      <c r="E32" s="80">
        <f>INDEX(FS!$E$34:$BL$34,1,E$6*12)</f>
        <v/>
      </c>
      <c r="F32" s="80">
        <f>INDEX(FS!$E$34:$BL$34,1,F$6*12)</f>
        <v/>
      </c>
      <c r="G32" s="80">
        <f>INDEX(FS!$E$34:$BL$34,1,G$6*12)</f>
        <v/>
      </c>
      <c r="H32" s="80">
        <f>INDEX(FS!$E$34:$BL$34,1,H$6*12)</f>
        <v/>
      </c>
      <c r="I32" s="80">
        <f>INDEX(FS!$E$34:$BL$34,1,I$6*12)</f>
        <v/>
      </c>
    </row>
    <row r="33">
      <c r="A33" s="34" t="inlineStr">
        <is>
          <t>Loss allowance (ECL)</t>
        </is>
      </c>
      <c r="E33" s="80">
        <f>INDEX(FS!$E$35:$BL$35,1,E$6*12)</f>
        <v/>
      </c>
      <c r="F33" s="80">
        <f>INDEX(FS!$E$35:$BL$35,1,F$6*12)</f>
        <v/>
      </c>
      <c r="G33" s="80">
        <f>INDEX(FS!$E$35:$BL$35,1,G$6*12)</f>
        <v/>
      </c>
      <c r="H33" s="80">
        <f>INDEX(FS!$E$35:$BL$35,1,H$6*12)</f>
        <v/>
      </c>
      <c r="I33" s="80">
        <f>INDEX(FS!$E$35:$BL$35,1,I$6*12)</f>
        <v/>
      </c>
    </row>
    <row r="34">
      <c r="A34" s="34" t="inlineStr">
        <is>
          <t>PAYGo receivables: net</t>
        </is>
      </c>
      <c r="E34" s="80">
        <f>INDEX(FS!$E$36:$BL$36,1,E$6*12)</f>
        <v/>
      </c>
      <c r="F34" s="80">
        <f>INDEX(FS!$E$36:$BL$36,1,F$6*12)</f>
        <v/>
      </c>
      <c r="G34" s="80">
        <f>INDEX(FS!$E$36:$BL$36,1,G$6*12)</f>
        <v/>
      </c>
      <c r="H34" s="80">
        <f>INDEX(FS!$E$36:$BL$36,1,H$6*12)</f>
        <v/>
      </c>
      <c r="I34" s="80">
        <f>INDEX(FS!$E$36:$BL$36,1,I$6*12)</f>
        <v/>
      </c>
    </row>
    <row r="35">
      <c r="A35" s="34" t="inlineStr">
        <is>
          <t>Inventory</t>
        </is>
      </c>
      <c r="E35" s="80">
        <f>INDEX(FS!$E$37:$BL$37,1,E$6*12)</f>
        <v/>
      </c>
      <c r="F35" s="80">
        <f>INDEX(FS!$E$37:$BL$37,1,F$6*12)</f>
        <v/>
      </c>
      <c r="G35" s="80">
        <f>INDEX(FS!$E$37:$BL$37,1,G$6*12)</f>
        <v/>
      </c>
      <c r="H35" s="80">
        <f>INDEX(FS!$E$37:$BL$37,1,H$6*12)</f>
        <v/>
      </c>
      <c r="I35" s="80">
        <f>INDEX(FS!$E$37:$BL$37,1,I$6*12)</f>
        <v/>
      </c>
    </row>
    <row r="36">
      <c r="A36" s="34" t="inlineStr">
        <is>
          <t>Net fixed assets</t>
        </is>
      </c>
      <c r="E36" s="80">
        <f>INDEX(FS!$E$38:$BL$38,1,E$6*12)</f>
        <v/>
      </c>
      <c r="F36" s="80">
        <f>INDEX(FS!$E$38:$BL$38,1,F$6*12)</f>
        <v/>
      </c>
      <c r="G36" s="80">
        <f>INDEX(FS!$E$38:$BL$38,1,G$6*12)</f>
        <v/>
      </c>
      <c r="H36" s="80">
        <f>INDEX(FS!$E$38:$BL$38,1,H$6*12)</f>
        <v/>
      </c>
      <c r="I36" s="80">
        <f>INDEX(FS!$E$38:$BL$38,1,I$6*12)</f>
        <v/>
      </c>
    </row>
    <row r="37">
      <c r="A37" s="19" t="inlineStr">
        <is>
          <t>Total assets</t>
        </is>
      </c>
      <c r="E37" s="93">
        <f>INDEX(FS!$E$39:$BL$39,1,E$6*12)</f>
        <v/>
      </c>
      <c r="F37" s="93">
        <f>INDEX(FS!$E$39:$BL$39,1,F$6*12)</f>
        <v/>
      </c>
      <c r="G37" s="93">
        <f>INDEX(FS!$E$39:$BL$39,1,G$6*12)</f>
        <v/>
      </c>
      <c r="H37" s="93">
        <f>INDEX(FS!$E$39:$BL$39,1,H$6*12)</f>
        <v/>
      </c>
      <c r="I37" s="93">
        <f>INDEX(FS!$E$39:$BL$39,1,I$6*12)</f>
        <v/>
      </c>
    </row>
    <row r="38">
      <c r="A38" s="34" t="inlineStr">
        <is>
          <t>Supplier payables</t>
        </is>
      </c>
      <c r="E38" s="80">
        <f>INDEX(FS!$E$40:$BL$40,1,E$6*12)</f>
        <v/>
      </c>
      <c r="F38" s="80">
        <f>INDEX(FS!$E$40:$BL$40,1,F$6*12)</f>
        <v/>
      </c>
      <c r="G38" s="80">
        <f>INDEX(FS!$E$40:$BL$40,1,G$6*12)</f>
        <v/>
      </c>
      <c r="H38" s="80">
        <f>INDEX(FS!$E$40:$BL$40,1,H$6*12)</f>
        <v/>
      </c>
      <c r="I38" s="80">
        <f>INDEX(FS!$E$40:$BL$40,1,I$6*12)</f>
        <v/>
      </c>
    </row>
    <row r="39">
      <c r="A39" s="34" t="inlineStr">
        <is>
          <t>USD term loan (in LCY)</t>
        </is>
      </c>
      <c r="E39" s="80">
        <f>INDEX(FS!$E$41:$BL$41,1,E$6*12)</f>
        <v/>
      </c>
      <c r="F39" s="80">
        <f>INDEX(FS!$E$41:$BL$41,1,F$6*12)</f>
        <v/>
      </c>
      <c r="G39" s="80">
        <f>INDEX(FS!$E$41:$BL$41,1,G$6*12)</f>
        <v/>
      </c>
      <c r="H39" s="80">
        <f>INDEX(FS!$E$41:$BL$41,1,H$6*12)</f>
        <v/>
      </c>
      <c r="I39" s="80">
        <f>INDEX(FS!$E$41:$BL$41,1,I$6*12)</f>
        <v/>
      </c>
    </row>
    <row r="40">
      <c r="A40" s="34" t="inlineStr">
        <is>
          <t>Receivables facility</t>
        </is>
      </c>
      <c r="E40" s="80">
        <f>INDEX(FS!$E$42:$BL$42,1,E$6*12)</f>
        <v/>
      </c>
      <c r="F40" s="80">
        <f>INDEX(FS!$E$42:$BL$42,1,F$6*12)</f>
        <v/>
      </c>
      <c r="G40" s="80">
        <f>INDEX(FS!$E$42:$BL$42,1,G$6*12)</f>
        <v/>
      </c>
      <c r="H40" s="80">
        <f>INDEX(FS!$E$42:$BL$42,1,H$6*12)</f>
        <v/>
      </c>
      <c r="I40" s="80">
        <f>INDEX(FS!$E$42:$BL$42,1,I$6*12)</f>
        <v/>
      </c>
    </row>
    <row r="41">
      <c r="A41" s="34" t="inlineStr">
        <is>
          <t>Total liabilities</t>
        </is>
      </c>
      <c r="E41" s="80">
        <f>INDEX(FS!$E$43:$BL$43,1,E$6*12)</f>
        <v/>
      </c>
      <c r="F41" s="80">
        <f>INDEX(FS!$E$43:$BL$43,1,F$6*12)</f>
        <v/>
      </c>
      <c r="G41" s="80">
        <f>INDEX(FS!$E$43:$BL$43,1,G$6*12)</f>
        <v/>
      </c>
      <c r="H41" s="80">
        <f>INDEX(FS!$E$43:$BL$43,1,H$6*12)</f>
        <v/>
      </c>
      <c r="I41" s="80">
        <f>INDEX(FS!$E$43:$BL$43,1,I$6*12)</f>
        <v/>
      </c>
    </row>
    <row r="42">
      <c r="A42" s="34" t="inlineStr">
        <is>
          <t>Share capital</t>
        </is>
      </c>
      <c r="E42" s="80">
        <f>INDEX(FS!$E$44:$BL$44,1,E$6*12)</f>
        <v/>
      </c>
      <c r="F42" s="80">
        <f>INDEX(FS!$E$44:$BL$44,1,F$6*12)</f>
        <v/>
      </c>
      <c r="G42" s="80">
        <f>INDEX(FS!$E$44:$BL$44,1,G$6*12)</f>
        <v/>
      </c>
      <c r="H42" s="80">
        <f>INDEX(FS!$E$44:$BL$44,1,H$6*12)</f>
        <v/>
      </c>
      <c r="I42" s="80">
        <f>INDEX(FS!$E$44:$BL$44,1,I$6*12)</f>
        <v/>
      </c>
    </row>
    <row r="43">
      <c r="A43" s="34" t="inlineStr">
        <is>
          <t>Retained earnings</t>
        </is>
      </c>
      <c r="E43" s="80">
        <f>INDEX(FS!$E$45:$BL$45,1,E$6*12)</f>
        <v/>
      </c>
      <c r="F43" s="80">
        <f>INDEX(FS!$E$45:$BL$45,1,F$6*12)</f>
        <v/>
      </c>
      <c r="G43" s="80">
        <f>INDEX(FS!$E$45:$BL$45,1,G$6*12)</f>
        <v/>
      </c>
      <c r="H43" s="80">
        <f>INDEX(FS!$E$45:$BL$45,1,H$6*12)</f>
        <v/>
      </c>
      <c r="I43" s="80">
        <f>INDEX(FS!$E$45:$BL$45,1,I$6*12)</f>
        <v/>
      </c>
    </row>
    <row r="44">
      <c r="A44" s="34" t="inlineStr">
        <is>
          <t>Total equity</t>
        </is>
      </c>
      <c r="E44" s="80">
        <f>INDEX(FS!$E$46:$BL$46,1,E$6*12)</f>
        <v/>
      </c>
      <c r="F44" s="80">
        <f>INDEX(FS!$E$46:$BL$46,1,F$6*12)</f>
        <v/>
      </c>
      <c r="G44" s="80">
        <f>INDEX(FS!$E$46:$BL$46,1,G$6*12)</f>
        <v/>
      </c>
      <c r="H44" s="80">
        <f>INDEX(FS!$E$46:$BL$46,1,H$6*12)</f>
        <v/>
      </c>
      <c r="I44" s="80">
        <f>INDEX(FS!$E$46:$BL$46,1,I$6*12)</f>
        <v/>
      </c>
    </row>
    <row r="45">
      <c r="A45" s="19" t="inlineStr">
        <is>
          <t>Total liabilities &amp; equity</t>
        </is>
      </c>
      <c r="E45" s="93">
        <f>INDEX(FS!$E$47:$BL$47,1,E$6*12)</f>
        <v/>
      </c>
      <c r="F45" s="93">
        <f>INDEX(FS!$E$47:$BL$47,1,F$6*12)</f>
        <v/>
      </c>
      <c r="G45" s="93">
        <f>INDEX(FS!$E$47:$BL$47,1,G$6*12)</f>
        <v/>
      </c>
      <c r="H45" s="93">
        <f>INDEX(FS!$E$47:$BL$47,1,H$6*12)</f>
        <v/>
      </c>
      <c r="I45" s="93">
        <f>INDEX(FS!$E$47:$BL$47,1,I$6*12)</f>
        <v/>
      </c>
    </row>
    <row r="46">
      <c r="A46" s="34" t="inlineStr">
        <is>
          <t>Balance check (should be 0)</t>
        </is>
      </c>
      <c r="E46" s="80">
        <f>INDEX(FS!$E$48:$BL$48,1,E$6*12)</f>
        <v/>
      </c>
      <c r="F46" s="80">
        <f>INDEX(FS!$E$48:$BL$48,1,F$6*12)</f>
        <v/>
      </c>
      <c r="G46" s="80">
        <f>INDEX(FS!$E$48:$BL$48,1,G$6*12)</f>
        <v/>
      </c>
      <c r="H46" s="80">
        <f>INDEX(FS!$E$48:$BL$48,1,H$6*12)</f>
        <v/>
      </c>
      <c r="I46" s="80">
        <f>INDEX(FS!$E$48:$BL$48,1,I$6*12)</f>
        <v/>
      </c>
    </row>
    <row r="47"/>
    <row r="48">
      <c r="A48" s="21" t="inlineStr">
        <is>
          <t>CASH FLOW STATEMENT</t>
        </is>
      </c>
      <c r="B48" s="22" t="n"/>
      <c r="C48" s="22" t="n"/>
      <c r="D48" s="22" t="n"/>
      <c r="E48" s="22" t="n"/>
      <c r="F48" s="22"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c r="AA48" s="22" t="n"/>
      <c r="AB48" s="22" t="n"/>
      <c r="AC48" s="22" t="n"/>
      <c r="AD48" s="22" t="n"/>
      <c r="AE48" s="22" t="n"/>
      <c r="AF48" s="22" t="n"/>
      <c r="AG48" s="22" t="n"/>
      <c r="AH48" s="22" t="n"/>
      <c r="AI48" s="22" t="n"/>
      <c r="AJ48" s="22" t="n"/>
      <c r="AK48" s="22" t="n"/>
      <c r="AL48" s="22" t="n"/>
      <c r="AM48" s="22" t="n"/>
      <c r="AN48" s="22" t="n"/>
      <c r="AO48" s="22" t="n"/>
      <c r="AP48" s="22" t="n"/>
      <c r="AQ48" s="22" t="n"/>
      <c r="AR48" s="22" t="n"/>
      <c r="AS48" s="22" t="n"/>
      <c r="AT48" s="22" t="n"/>
      <c r="AU48" s="22" t="n"/>
      <c r="AV48" s="22" t="n"/>
      <c r="AW48" s="22" t="n"/>
      <c r="AX48" s="22" t="n"/>
      <c r="AY48" s="22" t="n"/>
      <c r="AZ48" s="22" t="n"/>
      <c r="BA48" s="22" t="n"/>
      <c r="BB48" s="22" t="n"/>
      <c r="BC48" s="22" t="n"/>
      <c r="BD48" s="22" t="n"/>
      <c r="BE48" s="22" t="n"/>
      <c r="BF48" s="22" t="n"/>
      <c r="BG48" s="22" t="n"/>
      <c r="BH48" s="22" t="n"/>
      <c r="BI48" s="22" t="n"/>
      <c r="BJ48" s="22" t="n"/>
      <c r="BK48" s="22" t="n"/>
      <c r="BL48" s="22" t="n"/>
    </row>
    <row r="49">
      <c r="A49" s="34" t="inlineStr">
        <is>
          <t>Net income</t>
        </is>
      </c>
      <c r="E49" s="80">
        <f>SUMIFS(FS!$E$51:$BL$51,Timeline!$E$6:$BL$6,E$6)</f>
        <v/>
      </c>
      <c r="F49" s="80">
        <f>SUMIFS(FS!$E$51:$BL$51,Timeline!$E$6:$BL$6,F$6)</f>
        <v/>
      </c>
      <c r="G49" s="80">
        <f>SUMIFS(FS!$E$51:$BL$51,Timeline!$E$6:$BL$6,G$6)</f>
        <v/>
      </c>
      <c r="H49" s="80">
        <f>SUMIFS(FS!$E$51:$BL$51,Timeline!$E$6:$BL$6,H$6)</f>
        <v/>
      </c>
      <c r="I49" s="80">
        <f>SUMIFS(FS!$E$51:$BL$51,Timeline!$E$6:$BL$6,I$6)</f>
        <v/>
      </c>
    </row>
    <row r="50">
      <c r="A50" s="34" t="inlineStr">
        <is>
          <t>Add back: depreciation</t>
        </is>
      </c>
      <c r="E50" s="80">
        <f>SUMIFS(FS!$E$52:$BL$52,Timeline!$E$6:$BL$6,E$6)</f>
        <v/>
      </c>
      <c r="F50" s="80">
        <f>SUMIFS(FS!$E$52:$BL$52,Timeline!$E$6:$BL$6,F$6)</f>
        <v/>
      </c>
      <c r="G50" s="80">
        <f>SUMIFS(FS!$E$52:$BL$52,Timeline!$E$6:$BL$6,G$6)</f>
        <v/>
      </c>
      <c r="H50" s="80">
        <f>SUMIFS(FS!$E$52:$BL$52,Timeline!$E$6:$BL$6,H$6)</f>
        <v/>
      </c>
      <c r="I50" s="80">
        <f>SUMIFS(FS!$E$52:$BL$52,Timeline!$E$6:$BL$6,I$6)</f>
        <v/>
      </c>
    </row>
    <row r="51">
      <c r="A51" s="34" t="inlineStr">
        <is>
          <t>Add back: unrealised FX loss</t>
        </is>
      </c>
      <c r="E51" s="80">
        <f>SUMIFS(FS!$E$53:$BL$53,Timeline!$E$6:$BL$6,E$6)</f>
        <v/>
      </c>
      <c r="F51" s="80">
        <f>SUMIFS(FS!$E$53:$BL$53,Timeline!$E$6:$BL$6,F$6)</f>
        <v/>
      </c>
      <c r="G51" s="80">
        <f>SUMIFS(FS!$E$53:$BL$53,Timeline!$E$6:$BL$6,G$6)</f>
        <v/>
      </c>
      <c r="H51" s="80">
        <f>SUMIFS(FS!$E$53:$BL$53,Timeline!$E$6:$BL$6,H$6)</f>
        <v/>
      </c>
      <c r="I51" s="80">
        <f>SUMIFS(FS!$E$53:$BL$53,Timeline!$E$6:$BL$6,I$6)</f>
        <v/>
      </c>
    </row>
    <row r="52">
      <c r="A52" s="34" t="inlineStr">
        <is>
          <t>(Increase) / decrease in net receivables</t>
        </is>
      </c>
      <c r="E52" s="80">
        <f>SUMIFS(FS!$E$54:$BL$54,Timeline!$E$6:$BL$6,E$6)</f>
        <v/>
      </c>
      <c r="F52" s="80">
        <f>SUMIFS(FS!$E$54:$BL$54,Timeline!$E$6:$BL$6,F$6)</f>
        <v/>
      </c>
      <c r="G52" s="80">
        <f>SUMIFS(FS!$E$54:$BL$54,Timeline!$E$6:$BL$6,G$6)</f>
        <v/>
      </c>
      <c r="H52" s="80">
        <f>SUMIFS(FS!$E$54:$BL$54,Timeline!$E$6:$BL$6,H$6)</f>
        <v/>
      </c>
      <c r="I52" s="80">
        <f>SUMIFS(FS!$E$54:$BL$54,Timeline!$E$6:$BL$6,I$6)</f>
        <v/>
      </c>
    </row>
    <row r="53">
      <c r="A53" s="34" t="inlineStr">
        <is>
          <t>(Increase) / decrease in inventory</t>
        </is>
      </c>
      <c r="E53" s="80">
        <f>SUMIFS(FS!$E$55:$BL$55,Timeline!$E$6:$BL$6,E$6)</f>
        <v/>
      </c>
      <c r="F53" s="80">
        <f>SUMIFS(FS!$E$55:$BL$55,Timeline!$E$6:$BL$6,F$6)</f>
        <v/>
      </c>
      <c r="G53" s="80">
        <f>SUMIFS(FS!$E$55:$BL$55,Timeline!$E$6:$BL$6,G$6)</f>
        <v/>
      </c>
      <c r="H53" s="80">
        <f>SUMIFS(FS!$E$55:$BL$55,Timeline!$E$6:$BL$6,H$6)</f>
        <v/>
      </c>
      <c r="I53" s="80">
        <f>SUMIFS(FS!$E$55:$BL$55,Timeline!$E$6:$BL$6,I$6)</f>
        <v/>
      </c>
    </row>
    <row r="54">
      <c r="A54" s="34" t="inlineStr">
        <is>
          <t>Increase / (decrease) in payables</t>
        </is>
      </c>
      <c r="E54" s="80">
        <f>SUMIFS(FS!$E$56:$BL$56,Timeline!$E$6:$BL$6,E$6)</f>
        <v/>
      </c>
      <c r="F54" s="80">
        <f>SUMIFS(FS!$E$56:$BL$56,Timeline!$E$6:$BL$6,F$6)</f>
        <v/>
      </c>
      <c r="G54" s="80">
        <f>SUMIFS(FS!$E$56:$BL$56,Timeline!$E$6:$BL$6,G$6)</f>
        <v/>
      </c>
      <c r="H54" s="80">
        <f>SUMIFS(FS!$E$56:$BL$56,Timeline!$E$6:$BL$6,H$6)</f>
        <v/>
      </c>
      <c r="I54" s="80">
        <f>SUMIFS(FS!$E$56:$BL$56,Timeline!$E$6:$BL$6,I$6)</f>
        <v/>
      </c>
    </row>
    <row r="55">
      <c r="A55" s="19" t="inlineStr">
        <is>
          <t>Cash flow from operations</t>
        </is>
      </c>
      <c r="E55" s="93">
        <f>SUMIFS(FS!$E$57:$BL$57,Timeline!$E$6:$BL$6,E$6)</f>
        <v/>
      </c>
      <c r="F55" s="93">
        <f>SUMIFS(FS!$E$57:$BL$57,Timeline!$E$6:$BL$6,F$6)</f>
        <v/>
      </c>
      <c r="G55" s="93">
        <f>SUMIFS(FS!$E$57:$BL$57,Timeline!$E$6:$BL$6,G$6)</f>
        <v/>
      </c>
      <c r="H55" s="93">
        <f>SUMIFS(FS!$E$57:$BL$57,Timeline!$E$6:$BL$6,H$6)</f>
        <v/>
      </c>
      <c r="I55" s="93">
        <f>SUMIFS(FS!$E$57:$BL$57,Timeline!$E$6:$BL$6,I$6)</f>
        <v/>
      </c>
    </row>
    <row r="56">
      <c r="A56" s="34" t="inlineStr">
        <is>
          <t>Cash flow from investing (capex)</t>
        </is>
      </c>
      <c r="E56" s="80">
        <f>SUMIFS(FS!$E$58:$BL$58,Timeline!$E$6:$BL$6,E$6)</f>
        <v/>
      </c>
      <c r="F56" s="80">
        <f>SUMIFS(FS!$E$58:$BL$58,Timeline!$E$6:$BL$6,F$6)</f>
        <v/>
      </c>
      <c r="G56" s="80">
        <f>SUMIFS(FS!$E$58:$BL$58,Timeline!$E$6:$BL$6,G$6)</f>
        <v/>
      </c>
      <c r="H56" s="80">
        <f>SUMIFS(FS!$E$58:$BL$58,Timeline!$E$6:$BL$6,H$6)</f>
        <v/>
      </c>
      <c r="I56" s="80">
        <f>SUMIFS(FS!$E$58:$BL$58,Timeline!$E$6:$BL$6,I$6)</f>
        <v/>
      </c>
    </row>
    <row r="57">
      <c r="A57" s="34" t="inlineStr">
        <is>
          <t>Term loan drawdown / (repayment)</t>
        </is>
      </c>
      <c r="E57" s="80">
        <f>SUMIFS(FS!$E$59:$BL$59,Timeline!$E$6:$BL$6,E$6)</f>
        <v/>
      </c>
      <c r="F57" s="80">
        <f>SUMIFS(FS!$E$59:$BL$59,Timeline!$E$6:$BL$6,F$6)</f>
        <v/>
      </c>
      <c r="G57" s="80">
        <f>SUMIFS(FS!$E$59:$BL$59,Timeline!$E$6:$BL$6,G$6)</f>
        <v/>
      </c>
      <c r="H57" s="80">
        <f>SUMIFS(FS!$E$59:$BL$59,Timeline!$E$6:$BL$6,H$6)</f>
        <v/>
      </c>
      <c r="I57" s="80">
        <f>SUMIFS(FS!$E$59:$BL$59,Timeline!$E$6:$BL$6,I$6)</f>
        <v/>
      </c>
    </row>
    <row r="58">
      <c r="A58" s="34" t="inlineStr">
        <is>
          <t>Receivables facility drawdown / (repayment)</t>
        </is>
      </c>
      <c r="E58" s="80">
        <f>SUMIFS(FS!$E$60:$BL$60,Timeline!$E$6:$BL$6,E$6)</f>
        <v/>
      </c>
      <c r="F58" s="80">
        <f>SUMIFS(FS!$E$60:$BL$60,Timeline!$E$6:$BL$6,F$6)</f>
        <v/>
      </c>
      <c r="G58" s="80">
        <f>SUMIFS(FS!$E$60:$BL$60,Timeline!$E$6:$BL$6,G$6)</f>
        <v/>
      </c>
      <c r="H58" s="80">
        <f>SUMIFS(FS!$E$60:$BL$60,Timeline!$E$6:$BL$6,H$6)</f>
        <v/>
      </c>
      <c r="I58" s="80">
        <f>SUMIFS(FS!$E$60:$BL$60,Timeline!$E$6:$BL$6,I$6)</f>
        <v/>
      </c>
    </row>
    <row r="59">
      <c r="A59" s="34" t="inlineStr">
        <is>
          <t>Equity: initial</t>
        </is>
      </c>
      <c r="E59" s="80">
        <f>SUMIFS(FS!$E$61:$BL$61,Timeline!$E$6:$BL$6,E$6)</f>
        <v/>
      </c>
      <c r="F59" s="80">
        <f>SUMIFS(FS!$E$61:$BL$61,Timeline!$E$6:$BL$6,F$6)</f>
        <v/>
      </c>
      <c r="G59" s="80">
        <f>SUMIFS(FS!$E$61:$BL$61,Timeline!$E$6:$BL$6,G$6)</f>
        <v/>
      </c>
      <c r="H59" s="80">
        <f>SUMIFS(FS!$E$61:$BL$61,Timeline!$E$6:$BL$6,H$6)</f>
        <v/>
      </c>
      <c r="I59" s="80">
        <f>SUMIFS(FS!$E$61:$BL$61,Timeline!$E$6:$BL$6,I$6)</f>
        <v/>
      </c>
    </row>
    <row r="60">
      <c r="A60" s="34" t="inlineStr">
        <is>
          <t>Cash before equity top-up</t>
        </is>
      </c>
      <c r="E60" s="80">
        <f>INDEX(FS!$E$63:$BL$63,1,E$6*12)</f>
        <v/>
      </c>
      <c r="F60" s="80">
        <f>INDEX(FS!$E$63:$BL$63,1,F$6*12)</f>
        <v/>
      </c>
      <c r="G60" s="80">
        <f>INDEX(FS!$E$63:$BL$63,1,G$6*12)</f>
        <v/>
      </c>
      <c r="H60" s="80">
        <f>INDEX(FS!$E$63:$BL$63,1,H$6*12)</f>
        <v/>
      </c>
      <c r="I60" s="80">
        <f>INDEX(FS!$E$63:$BL$63,1,I$6*12)</f>
        <v/>
      </c>
    </row>
    <row r="61">
      <c r="A61" s="34" t="inlineStr">
        <is>
          <t>Equity top-up to maintain minimum cash</t>
        </is>
      </c>
      <c r="E61" s="80">
        <f>SUMIFS(FS!$E$64:$BL$64,Timeline!$E$6:$BL$6,E$6)</f>
        <v/>
      </c>
      <c r="F61" s="80">
        <f>SUMIFS(FS!$E$64:$BL$64,Timeline!$E$6:$BL$6,F$6)</f>
        <v/>
      </c>
      <c r="G61" s="80">
        <f>SUMIFS(FS!$E$64:$BL$64,Timeline!$E$6:$BL$6,G$6)</f>
        <v/>
      </c>
      <c r="H61" s="80">
        <f>SUMIFS(FS!$E$64:$BL$64,Timeline!$E$6:$BL$6,H$6)</f>
        <v/>
      </c>
      <c r="I61" s="80">
        <f>SUMIFS(FS!$E$64:$BL$64,Timeline!$E$6:$BL$6,I$6)</f>
        <v/>
      </c>
    </row>
    <row r="62">
      <c r="A62" s="19" t="inlineStr">
        <is>
          <t>Closing cash</t>
        </is>
      </c>
      <c r="E62" s="93">
        <f>INDEX(FS!$E$65:$BL$65,1,E$6*12)</f>
        <v/>
      </c>
      <c r="F62" s="93">
        <f>INDEX(FS!$E$65:$BL$65,1,F$6*12)</f>
        <v/>
      </c>
      <c r="G62" s="93">
        <f>INDEX(FS!$E$65:$BL$65,1,G$6*12)</f>
        <v/>
      </c>
      <c r="H62" s="93">
        <f>INDEX(FS!$E$65:$BL$65,1,H$6*12)</f>
        <v/>
      </c>
      <c r="I62" s="93">
        <f>INDEX(FS!$E$65:$BL$65,1,I$6*12)</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BL71"/>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Financial statements (monthly)</t>
        </is>
      </c>
    </row>
    <row r="2">
      <c r="A2" s="18" t="inlineStr">
        <is>
          <t>[FORECAST]  LCY. Simplified IFRS-style presentation; simplifications listed in the manual.  This is an analytical modelling treatment and does not constitute a determination of the applicable accounting treatment under IFRS.</t>
        </is>
      </c>
    </row>
    <row r="3"/>
    <row r="4">
      <c r="A4" s="94" t="inlineStr">
        <is>
          <t>Month #</t>
        </is>
      </c>
      <c r="B4" s="95" t="n"/>
      <c r="C4" s="95" t="n"/>
      <c r="D4" s="94" t="inlineStr">
        <is>
          <t>Opening</t>
        </is>
      </c>
      <c r="E4" s="96">
        <f>Timeline!E4</f>
        <v/>
      </c>
      <c r="F4" s="96">
        <f>Timeline!F4</f>
        <v/>
      </c>
      <c r="G4" s="96">
        <f>Timeline!G4</f>
        <v/>
      </c>
      <c r="H4" s="96">
        <f>Timeline!H4</f>
        <v/>
      </c>
      <c r="I4" s="96">
        <f>Timeline!I4</f>
        <v/>
      </c>
      <c r="J4" s="96">
        <f>Timeline!J4</f>
        <v/>
      </c>
      <c r="K4" s="96">
        <f>Timeline!K4</f>
        <v/>
      </c>
      <c r="L4" s="96">
        <f>Timeline!L4</f>
        <v/>
      </c>
      <c r="M4" s="96">
        <f>Timeline!M4</f>
        <v/>
      </c>
      <c r="N4" s="96">
        <f>Timeline!N4</f>
        <v/>
      </c>
      <c r="O4" s="96">
        <f>Timeline!O4</f>
        <v/>
      </c>
      <c r="P4" s="96">
        <f>Timeline!P4</f>
        <v/>
      </c>
      <c r="Q4" s="96">
        <f>Timeline!Q4</f>
        <v/>
      </c>
      <c r="R4" s="96">
        <f>Timeline!R4</f>
        <v/>
      </c>
      <c r="S4" s="96">
        <f>Timeline!S4</f>
        <v/>
      </c>
      <c r="T4" s="96">
        <f>Timeline!T4</f>
        <v/>
      </c>
      <c r="U4" s="96">
        <f>Timeline!U4</f>
        <v/>
      </c>
      <c r="V4" s="96">
        <f>Timeline!V4</f>
        <v/>
      </c>
      <c r="W4" s="96">
        <f>Timeline!W4</f>
        <v/>
      </c>
      <c r="X4" s="96">
        <f>Timeline!X4</f>
        <v/>
      </c>
      <c r="Y4" s="96">
        <f>Timeline!Y4</f>
        <v/>
      </c>
      <c r="Z4" s="96">
        <f>Timeline!Z4</f>
        <v/>
      </c>
      <c r="AA4" s="96">
        <f>Timeline!AA4</f>
        <v/>
      </c>
      <c r="AB4" s="96">
        <f>Timeline!AB4</f>
        <v/>
      </c>
      <c r="AC4" s="96">
        <f>Timeline!AC4</f>
        <v/>
      </c>
      <c r="AD4" s="96">
        <f>Timeline!AD4</f>
        <v/>
      </c>
      <c r="AE4" s="96">
        <f>Timeline!AE4</f>
        <v/>
      </c>
      <c r="AF4" s="96">
        <f>Timeline!AF4</f>
        <v/>
      </c>
      <c r="AG4" s="96">
        <f>Timeline!AG4</f>
        <v/>
      </c>
      <c r="AH4" s="96">
        <f>Timeline!AH4</f>
        <v/>
      </c>
      <c r="AI4" s="96">
        <f>Timeline!AI4</f>
        <v/>
      </c>
      <c r="AJ4" s="96">
        <f>Timeline!AJ4</f>
        <v/>
      </c>
      <c r="AK4" s="96">
        <f>Timeline!AK4</f>
        <v/>
      </c>
      <c r="AL4" s="96">
        <f>Timeline!AL4</f>
        <v/>
      </c>
      <c r="AM4" s="96">
        <f>Timeline!AM4</f>
        <v/>
      </c>
      <c r="AN4" s="96">
        <f>Timeline!AN4</f>
        <v/>
      </c>
      <c r="AO4" s="96">
        <f>Timeline!AO4</f>
        <v/>
      </c>
      <c r="AP4" s="96">
        <f>Timeline!AP4</f>
        <v/>
      </c>
      <c r="AQ4" s="96">
        <f>Timeline!AQ4</f>
        <v/>
      </c>
      <c r="AR4" s="96">
        <f>Timeline!AR4</f>
        <v/>
      </c>
      <c r="AS4" s="96">
        <f>Timeline!AS4</f>
        <v/>
      </c>
      <c r="AT4" s="96">
        <f>Timeline!AT4</f>
        <v/>
      </c>
      <c r="AU4" s="96">
        <f>Timeline!AU4</f>
        <v/>
      </c>
      <c r="AV4" s="96">
        <f>Timeline!AV4</f>
        <v/>
      </c>
      <c r="AW4" s="96">
        <f>Timeline!AW4</f>
        <v/>
      </c>
      <c r="AX4" s="96">
        <f>Timeline!AX4</f>
        <v/>
      </c>
      <c r="AY4" s="96">
        <f>Timeline!AY4</f>
        <v/>
      </c>
      <c r="AZ4" s="96">
        <f>Timeline!AZ4</f>
        <v/>
      </c>
      <c r="BA4" s="96">
        <f>Timeline!BA4</f>
        <v/>
      </c>
      <c r="BB4" s="96">
        <f>Timeline!BB4</f>
        <v/>
      </c>
      <c r="BC4" s="96">
        <f>Timeline!BC4</f>
        <v/>
      </c>
      <c r="BD4" s="96">
        <f>Timeline!BD4</f>
        <v/>
      </c>
      <c r="BE4" s="96">
        <f>Timeline!BE4</f>
        <v/>
      </c>
      <c r="BF4" s="96">
        <f>Timeline!BF4</f>
        <v/>
      </c>
      <c r="BG4" s="96">
        <f>Timeline!BG4</f>
        <v/>
      </c>
      <c r="BH4" s="96">
        <f>Timeline!BH4</f>
        <v/>
      </c>
      <c r="BI4" s="96">
        <f>Timeline!BI4</f>
        <v/>
      </c>
      <c r="BJ4" s="96">
        <f>Timeline!BJ4</f>
        <v/>
      </c>
      <c r="BK4" s="96">
        <f>Timeline!BK4</f>
        <v/>
      </c>
      <c r="BL4" s="96">
        <f>Timeline!BL4</f>
        <v/>
      </c>
    </row>
    <row r="5">
      <c r="A5" s="94" t="inlineStr">
        <is>
          <t>Period end</t>
        </is>
      </c>
      <c r="B5" s="95" t="n"/>
      <c r="C5" s="95" t="n"/>
      <c r="D5" s="94" t="n"/>
      <c r="E5" s="97">
        <f>Timeline!E5</f>
        <v/>
      </c>
      <c r="F5" s="97">
        <f>Timeline!F5</f>
        <v/>
      </c>
      <c r="G5" s="97">
        <f>Timeline!G5</f>
        <v/>
      </c>
      <c r="H5" s="97">
        <f>Timeline!H5</f>
        <v/>
      </c>
      <c r="I5" s="97">
        <f>Timeline!I5</f>
        <v/>
      </c>
      <c r="J5" s="97">
        <f>Timeline!J5</f>
        <v/>
      </c>
      <c r="K5" s="97">
        <f>Timeline!K5</f>
        <v/>
      </c>
      <c r="L5" s="97">
        <f>Timeline!L5</f>
        <v/>
      </c>
      <c r="M5" s="97">
        <f>Timeline!M5</f>
        <v/>
      </c>
      <c r="N5" s="97">
        <f>Timeline!N5</f>
        <v/>
      </c>
      <c r="O5" s="97">
        <f>Timeline!O5</f>
        <v/>
      </c>
      <c r="P5" s="97">
        <f>Timeline!P5</f>
        <v/>
      </c>
      <c r="Q5" s="97">
        <f>Timeline!Q5</f>
        <v/>
      </c>
      <c r="R5" s="97">
        <f>Timeline!R5</f>
        <v/>
      </c>
      <c r="S5" s="97">
        <f>Timeline!S5</f>
        <v/>
      </c>
      <c r="T5" s="97">
        <f>Timeline!T5</f>
        <v/>
      </c>
      <c r="U5" s="97">
        <f>Timeline!U5</f>
        <v/>
      </c>
      <c r="V5" s="97">
        <f>Timeline!V5</f>
        <v/>
      </c>
      <c r="W5" s="97">
        <f>Timeline!W5</f>
        <v/>
      </c>
      <c r="X5" s="97">
        <f>Timeline!X5</f>
        <v/>
      </c>
      <c r="Y5" s="97">
        <f>Timeline!Y5</f>
        <v/>
      </c>
      <c r="Z5" s="97">
        <f>Timeline!Z5</f>
        <v/>
      </c>
      <c r="AA5" s="97">
        <f>Timeline!AA5</f>
        <v/>
      </c>
      <c r="AB5" s="97">
        <f>Timeline!AB5</f>
        <v/>
      </c>
      <c r="AC5" s="97">
        <f>Timeline!AC5</f>
        <v/>
      </c>
      <c r="AD5" s="97">
        <f>Timeline!AD5</f>
        <v/>
      </c>
      <c r="AE5" s="97">
        <f>Timeline!AE5</f>
        <v/>
      </c>
      <c r="AF5" s="97">
        <f>Timeline!AF5</f>
        <v/>
      </c>
      <c r="AG5" s="97">
        <f>Timeline!AG5</f>
        <v/>
      </c>
      <c r="AH5" s="97">
        <f>Timeline!AH5</f>
        <v/>
      </c>
      <c r="AI5" s="97">
        <f>Timeline!AI5</f>
        <v/>
      </c>
      <c r="AJ5" s="97">
        <f>Timeline!AJ5</f>
        <v/>
      </c>
      <c r="AK5" s="97">
        <f>Timeline!AK5</f>
        <v/>
      </c>
      <c r="AL5" s="97">
        <f>Timeline!AL5</f>
        <v/>
      </c>
      <c r="AM5" s="97">
        <f>Timeline!AM5</f>
        <v/>
      </c>
      <c r="AN5" s="97">
        <f>Timeline!AN5</f>
        <v/>
      </c>
      <c r="AO5" s="97">
        <f>Timeline!AO5</f>
        <v/>
      </c>
      <c r="AP5" s="97">
        <f>Timeline!AP5</f>
        <v/>
      </c>
      <c r="AQ5" s="97">
        <f>Timeline!AQ5</f>
        <v/>
      </c>
      <c r="AR5" s="97">
        <f>Timeline!AR5</f>
        <v/>
      </c>
      <c r="AS5" s="97">
        <f>Timeline!AS5</f>
        <v/>
      </c>
      <c r="AT5" s="97">
        <f>Timeline!AT5</f>
        <v/>
      </c>
      <c r="AU5" s="97">
        <f>Timeline!AU5</f>
        <v/>
      </c>
      <c r="AV5" s="97">
        <f>Timeline!AV5</f>
        <v/>
      </c>
      <c r="AW5" s="97">
        <f>Timeline!AW5</f>
        <v/>
      </c>
      <c r="AX5" s="97">
        <f>Timeline!AX5</f>
        <v/>
      </c>
      <c r="AY5" s="97">
        <f>Timeline!AY5</f>
        <v/>
      </c>
      <c r="AZ5" s="97">
        <f>Timeline!AZ5</f>
        <v/>
      </c>
      <c r="BA5" s="97">
        <f>Timeline!BA5</f>
        <v/>
      </c>
      <c r="BB5" s="97">
        <f>Timeline!BB5</f>
        <v/>
      </c>
      <c r="BC5" s="97">
        <f>Timeline!BC5</f>
        <v/>
      </c>
      <c r="BD5" s="97">
        <f>Timeline!BD5</f>
        <v/>
      </c>
      <c r="BE5" s="97">
        <f>Timeline!BE5</f>
        <v/>
      </c>
      <c r="BF5" s="97">
        <f>Timeline!BF5</f>
        <v/>
      </c>
      <c r="BG5" s="97">
        <f>Timeline!BG5</f>
        <v/>
      </c>
      <c r="BH5" s="97">
        <f>Timeline!BH5</f>
        <v/>
      </c>
      <c r="BI5" s="97">
        <f>Timeline!BI5</f>
        <v/>
      </c>
      <c r="BJ5" s="97">
        <f>Timeline!BJ5</f>
        <v/>
      </c>
      <c r="BK5" s="97">
        <f>Timeline!BK5</f>
        <v/>
      </c>
      <c r="BL5" s="97">
        <f>Timeline!BL5</f>
        <v/>
      </c>
    </row>
    <row r="6">
      <c r="A6" s="94" t="inlineStr">
        <is>
          <t>Year #</t>
        </is>
      </c>
      <c r="B6" s="95" t="n"/>
      <c r="C6" s="95" t="n"/>
      <c r="D6" s="94" t="n"/>
      <c r="E6" s="96">
        <f>Timeline!E6</f>
        <v/>
      </c>
      <c r="F6" s="96">
        <f>Timeline!F6</f>
        <v/>
      </c>
      <c r="G6" s="96">
        <f>Timeline!G6</f>
        <v/>
      </c>
      <c r="H6" s="96">
        <f>Timeline!H6</f>
        <v/>
      </c>
      <c r="I6" s="96">
        <f>Timeline!I6</f>
        <v/>
      </c>
      <c r="J6" s="96">
        <f>Timeline!J6</f>
        <v/>
      </c>
      <c r="K6" s="96">
        <f>Timeline!K6</f>
        <v/>
      </c>
      <c r="L6" s="96">
        <f>Timeline!L6</f>
        <v/>
      </c>
      <c r="M6" s="96">
        <f>Timeline!M6</f>
        <v/>
      </c>
      <c r="N6" s="96">
        <f>Timeline!N6</f>
        <v/>
      </c>
      <c r="O6" s="96">
        <f>Timeline!O6</f>
        <v/>
      </c>
      <c r="P6" s="96">
        <f>Timeline!P6</f>
        <v/>
      </c>
      <c r="Q6" s="96">
        <f>Timeline!Q6</f>
        <v/>
      </c>
      <c r="R6" s="96">
        <f>Timeline!R6</f>
        <v/>
      </c>
      <c r="S6" s="96">
        <f>Timeline!S6</f>
        <v/>
      </c>
      <c r="T6" s="96">
        <f>Timeline!T6</f>
        <v/>
      </c>
      <c r="U6" s="96">
        <f>Timeline!U6</f>
        <v/>
      </c>
      <c r="V6" s="96">
        <f>Timeline!V6</f>
        <v/>
      </c>
      <c r="W6" s="96">
        <f>Timeline!W6</f>
        <v/>
      </c>
      <c r="X6" s="96">
        <f>Timeline!X6</f>
        <v/>
      </c>
      <c r="Y6" s="96">
        <f>Timeline!Y6</f>
        <v/>
      </c>
      <c r="Z6" s="96">
        <f>Timeline!Z6</f>
        <v/>
      </c>
      <c r="AA6" s="96">
        <f>Timeline!AA6</f>
        <v/>
      </c>
      <c r="AB6" s="96">
        <f>Timeline!AB6</f>
        <v/>
      </c>
      <c r="AC6" s="96">
        <f>Timeline!AC6</f>
        <v/>
      </c>
      <c r="AD6" s="96">
        <f>Timeline!AD6</f>
        <v/>
      </c>
      <c r="AE6" s="96">
        <f>Timeline!AE6</f>
        <v/>
      </c>
      <c r="AF6" s="96">
        <f>Timeline!AF6</f>
        <v/>
      </c>
      <c r="AG6" s="96">
        <f>Timeline!AG6</f>
        <v/>
      </c>
      <c r="AH6" s="96">
        <f>Timeline!AH6</f>
        <v/>
      </c>
      <c r="AI6" s="96">
        <f>Timeline!AI6</f>
        <v/>
      </c>
      <c r="AJ6" s="96">
        <f>Timeline!AJ6</f>
        <v/>
      </c>
      <c r="AK6" s="96">
        <f>Timeline!AK6</f>
        <v/>
      </c>
      <c r="AL6" s="96">
        <f>Timeline!AL6</f>
        <v/>
      </c>
      <c r="AM6" s="96">
        <f>Timeline!AM6</f>
        <v/>
      </c>
      <c r="AN6" s="96">
        <f>Timeline!AN6</f>
        <v/>
      </c>
      <c r="AO6" s="96">
        <f>Timeline!AO6</f>
        <v/>
      </c>
      <c r="AP6" s="96">
        <f>Timeline!AP6</f>
        <v/>
      </c>
      <c r="AQ6" s="96">
        <f>Timeline!AQ6</f>
        <v/>
      </c>
      <c r="AR6" s="96">
        <f>Timeline!AR6</f>
        <v/>
      </c>
      <c r="AS6" s="96">
        <f>Timeline!AS6</f>
        <v/>
      </c>
      <c r="AT6" s="96">
        <f>Timeline!AT6</f>
        <v/>
      </c>
      <c r="AU6" s="96">
        <f>Timeline!AU6</f>
        <v/>
      </c>
      <c r="AV6" s="96">
        <f>Timeline!AV6</f>
        <v/>
      </c>
      <c r="AW6" s="96">
        <f>Timeline!AW6</f>
        <v/>
      </c>
      <c r="AX6" s="96">
        <f>Timeline!AX6</f>
        <v/>
      </c>
      <c r="AY6" s="96">
        <f>Timeline!AY6</f>
        <v/>
      </c>
      <c r="AZ6" s="96">
        <f>Timeline!AZ6</f>
        <v/>
      </c>
      <c r="BA6" s="96">
        <f>Timeline!BA6</f>
        <v/>
      </c>
      <c r="BB6" s="96">
        <f>Timeline!BB6</f>
        <v/>
      </c>
      <c r="BC6" s="96">
        <f>Timeline!BC6</f>
        <v/>
      </c>
      <c r="BD6" s="96">
        <f>Timeline!BD6</f>
        <v/>
      </c>
      <c r="BE6" s="96">
        <f>Timeline!BE6</f>
        <v/>
      </c>
      <c r="BF6" s="96">
        <f>Timeline!BF6</f>
        <v/>
      </c>
      <c r="BG6" s="96">
        <f>Timeline!BG6</f>
        <v/>
      </c>
      <c r="BH6" s="96">
        <f>Timeline!BH6</f>
        <v/>
      </c>
      <c r="BI6" s="96">
        <f>Timeline!BI6</f>
        <v/>
      </c>
      <c r="BJ6" s="96">
        <f>Timeline!BJ6</f>
        <v/>
      </c>
      <c r="BK6" s="96">
        <f>Timeline!BK6</f>
        <v/>
      </c>
      <c r="BL6" s="96">
        <f>Timeline!BL6</f>
        <v/>
      </c>
    </row>
    <row r="7"/>
    <row r="8">
      <c r="A8" s="21" t="inlineStr">
        <is>
          <t>INCOME STATEMENT</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98" t="inlineStr">
        <is>
          <t>Hardware revenue (cash price)</t>
        </is>
      </c>
      <c r="B9" s="65" t="inlineStr">
        <is>
          <t>LCY</t>
        </is>
      </c>
      <c r="C9" s="105">
        <f>SUM(E9:BL9)</f>
        <v/>
      </c>
      <c r="E9" s="41">
        <f>Ops!E$137</f>
        <v/>
      </c>
      <c r="F9" s="41">
        <f>Ops!F$137</f>
        <v/>
      </c>
      <c r="G9" s="41">
        <f>Ops!G$137</f>
        <v/>
      </c>
      <c r="H9" s="41">
        <f>Ops!H$137</f>
        <v/>
      </c>
      <c r="I9" s="41">
        <f>Ops!I$137</f>
        <v/>
      </c>
      <c r="J9" s="41">
        <f>Ops!J$137</f>
        <v/>
      </c>
      <c r="K9" s="41">
        <f>Ops!K$137</f>
        <v/>
      </c>
      <c r="L9" s="41">
        <f>Ops!L$137</f>
        <v/>
      </c>
      <c r="M9" s="41">
        <f>Ops!M$137</f>
        <v/>
      </c>
      <c r="N9" s="41">
        <f>Ops!N$137</f>
        <v/>
      </c>
      <c r="O9" s="41">
        <f>Ops!O$137</f>
        <v/>
      </c>
      <c r="P9" s="41">
        <f>Ops!P$137</f>
        <v/>
      </c>
      <c r="Q9" s="41">
        <f>Ops!Q$137</f>
        <v/>
      </c>
      <c r="R9" s="41">
        <f>Ops!R$137</f>
        <v/>
      </c>
      <c r="S9" s="41">
        <f>Ops!S$137</f>
        <v/>
      </c>
      <c r="T9" s="41">
        <f>Ops!T$137</f>
        <v/>
      </c>
      <c r="U9" s="41">
        <f>Ops!U$137</f>
        <v/>
      </c>
      <c r="V9" s="41">
        <f>Ops!V$137</f>
        <v/>
      </c>
      <c r="W9" s="41">
        <f>Ops!W$137</f>
        <v/>
      </c>
      <c r="X9" s="41">
        <f>Ops!X$137</f>
        <v/>
      </c>
      <c r="Y9" s="41">
        <f>Ops!Y$137</f>
        <v/>
      </c>
      <c r="Z9" s="41">
        <f>Ops!Z$137</f>
        <v/>
      </c>
      <c r="AA9" s="41">
        <f>Ops!AA$137</f>
        <v/>
      </c>
      <c r="AB9" s="41">
        <f>Ops!AB$137</f>
        <v/>
      </c>
      <c r="AC9" s="41">
        <f>Ops!AC$137</f>
        <v/>
      </c>
      <c r="AD9" s="41">
        <f>Ops!AD$137</f>
        <v/>
      </c>
      <c r="AE9" s="41">
        <f>Ops!AE$137</f>
        <v/>
      </c>
      <c r="AF9" s="41">
        <f>Ops!AF$137</f>
        <v/>
      </c>
      <c r="AG9" s="41">
        <f>Ops!AG$137</f>
        <v/>
      </c>
      <c r="AH9" s="41">
        <f>Ops!AH$137</f>
        <v/>
      </c>
      <c r="AI9" s="41">
        <f>Ops!AI$137</f>
        <v/>
      </c>
      <c r="AJ9" s="41">
        <f>Ops!AJ$137</f>
        <v/>
      </c>
      <c r="AK9" s="41">
        <f>Ops!AK$137</f>
        <v/>
      </c>
      <c r="AL9" s="41">
        <f>Ops!AL$137</f>
        <v/>
      </c>
      <c r="AM9" s="41">
        <f>Ops!AM$137</f>
        <v/>
      </c>
      <c r="AN9" s="41">
        <f>Ops!AN$137</f>
        <v/>
      </c>
      <c r="AO9" s="41">
        <f>Ops!AO$137</f>
        <v/>
      </c>
      <c r="AP9" s="41">
        <f>Ops!AP$137</f>
        <v/>
      </c>
      <c r="AQ9" s="41">
        <f>Ops!AQ$137</f>
        <v/>
      </c>
      <c r="AR9" s="41">
        <f>Ops!AR$137</f>
        <v/>
      </c>
      <c r="AS9" s="41">
        <f>Ops!AS$137</f>
        <v/>
      </c>
      <c r="AT9" s="41">
        <f>Ops!AT$137</f>
        <v/>
      </c>
      <c r="AU9" s="41">
        <f>Ops!AU$137</f>
        <v/>
      </c>
      <c r="AV9" s="41">
        <f>Ops!AV$137</f>
        <v/>
      </c>
      <c r="AW9" s="41">
        <f>Ops!AW$137</f>
        <v/>
      </c>
      <c r="AX9" s="41">
        <f>Ops!AX$137</f>
        <v/>
      </c>
      <c r="AY9" s="41">
        <f>Ops!AY$137</f>
        <v/>
      </c>
      <c r="AZ9" s="41">
        <f>Ops!AZ$137</f>
        <v/>
      </c>
      <c r="BA9" s="41">
        <f>Ops!BA$137</f>
        <v/>
      </c>
      <c r="BB9" s="41">
        <f>Ops!BB$137</f>
        <v/>
      </c>
      <c r="BC9" s="41">
        <f>Ops!BC$137</f>
        <v/>
      </c>
      <c r="BD9" s="41">
        <f>Ops!BD$137</f>
        <v/>
      </c>
      <c r="BE9" s="41">
        <f>Ops!BE$137</f>
        <v/>
      </c>
      <c r="BF9" s="41">
        <f>Ops!BF$137</f>
        <v/>
      </c>
      <c r="BG9" s="41">
        <f>Ops!BG$137</f>
        <v/>
      </c>
      <c r="BH9" s="41">
        <f>Ops!BH$137</f>
        <v/>
      </c>
      <c r="BI9" s="41">
        <f>Ops!BI$137</f>
        <v/>
      </c>
      <c r="BJ9" s="41">
        <f>Ops!BJ$137</f>
        <v/>
      </c>
      <c r="BK9" s="41">
        <f>Ops!BK$137</f>
        <v/>
      </c>
      <c r="BL9" s="41">
        <f>Ops!BL$137</f>
        <v/>
      </c>
    </row>
    <row r="10">
      <c r="A10" s="98" t="inlineStr">
        <is>
          <t>PAYGo financing income</t>
        </is>
      </c>
      <c r="B10" s="65" t="inlineStr">
        <is>
          <t>LCY</t>
        </is>
      </c>
      <c r="C10" s="105">
        <f>SUM(E10:BL10)</f>
        <v/>
      </c>
      <c r="E10" s="41">
        <f>Ops!E$142</f>
        <v/>
      </c>
      <c r="F10" s="41">
        <f>Ops!F$142</f>
        <v/>
      </c>
      <c r="G10" s="41">
        <f>Ops!G$142</f>
        <v/>
      </c>
      <c r="H10" s="41">
        <f>Ops!H$142</f>
        <v/>
      </c>
      <c r="I10" s="41">
        <f>Ops!I$142</f>
        <v/>
      </c>
      <c r="J10" s="41">
        <f>Ops!J$142</f>
        <v/>
      </c>
      <c r="K10" s="41">
        <f>Ops!K$142</f>
        <v/>
      </c>
      <c r="L10" s="41">
        <f>Ops!L$142</f>
        <v/>
      </c>
      <c r="M10" s="41">
        <f>Ops!M$142</f>
        <v/>
      </c>
      <c r="N10" s="41">
        <f>Ops!N$142</f>
        <v/>
      </c>
      <c r="O10" s="41">
        <f>Ops!O$142</f>
        <v/>
      </c>
      <c r="P10" s="41">
        <f>Ops!P$142</f>
        <v/>
      </c>
      <c r="Q10" s="41">
        <f>Ops!Q$142</f>
        <v/>
      </c>
      <c r="R10" s="41">
        <f>Ops!R$142</f>
        <v/>
      </c>
      <c r="S10" s="41">
        <f>Ops!S$142</f>
        <v/>
      </c>
      <c r="T10" s="41">
        <f>Ops!T$142</f>
        <v/>
      </c>
      <c r="U10" s="41">
        <f>Ops!U$142</f>
        <v/>
      </c>
      <c r="V10" s="41">
        <f>Ops!V$142</f>
        <v/>
      </c>
      <c r="W10" s="41">
        <f>Ops!W$142</f>
        <v/>
      </c>
      <c r="X10" s="41">
        <f>Ops!X$142</f>
        <v/>
      </c>
      <c r="Y10" s="41">
        <f>Ops!Y$142</f>
        <v/>
      </c>
      <c r="Z10" s="41">
        <f>Ops!Z$142</f>
        <v/>
      </c>
      <c r="AA10" s="41">
        <f>Ops!AA$142</f>
        <v/>
      </c>
      <c r="AB10" s="41">
        <f>Ops!AB$142</f>
        <v/>
      </c>
      <c r="AC10" s="41">
        <f>Ops!AC$142</f>
        <v/>
      </c>
      <c r="AD10" s="41">
        <f>Ops!AD$142</f>
        <v/>
      </c>
      <c r="AE10" s="41">
        <f>Ops!AE$142</f>
        <v/>
      </c>
      <c r="AF10" s="41">
        <f>Ops!AF$142</f>
        <v/>
      </c>
      <c r="AG10" s="41">
        <f>Ops!AG$142</f>
        <v/>
      </c>
      <c r="AH10" s="41">
        <f>Ops!AH$142</f>
        <v/>
      </c>
      <c r="AI10" s="41">
        <f>Ops!AI$142</f>
        <v/>
      </c>
      <c r="AJ10" s="41">
        <f>Ops!AJ$142</f>
        <v/>
      </c>
      <c r="AK10" s="41">
        <f>Ops!AK$142</f>
        <v/>
      </c>
      <c r="AL10" s="41">
        <f>Ops!AL$142</f>
        <v/>
      </c>
      <c r="AM10" s="41">
        <f>Ops!AM$142</f>
        <v/>
      </c>
      <c r="AN10" s="41">
        <f>Ops!AN$142</f>
        <v/>
      </c>
      <c r="AO10" s="41">
        <f>Ops!AO$142</f>
        <v/>
      </c>
      <c r="AP10" s="41">
        <f>Ops!AP$142</f>
        <v/>
      </c>
      <c r="AQ10" s="41">
        <f>Ops!AQ$142</f>
        <v/>
      </c>
      <c r="AR10" s="41">
        <f>Ops!AR$142</f>
        <v/>
      </c>
      <c r="AS10" s="41">
        <f>Ops!AS$142</f>
        <v/>
      </c>
      <c r="AT10" s="41">
        <f>Ops!AT$142</f>
        <v/>
      </c>
      <c r="AU10" s="41">
        <f>Ops!AU$142</f>
        <v/>
      </c>
      <c r="AV10" s="41">
        <f>Ops!AV$142</f>
        <v/>
      </c>
      <c r="AW10" s="41">
        <f>Ops!AW$142</f>
        <v/>
      </c>
      <c r="AX10" s="41">
        <f>Ops!AX$142</f>
        <v/>
      </c>
      <c r="AY10" s="41">
        <f>Ops!AY$142</f>
        <v/>
      </c>
      <c r="AZ10" s="41">
        <f>Ops!AZ$142</f>
        <v/>
      </c>
      <c r="BA10" s="41">
        <f>Ops!BA$142</f>
        <v/>
      </c>
      <c r="BB10" s="41">
        <f>Ops!BB$142</f>
        <v/>
      </c>
      <c r="BC10" s="41">
        <f>Ops!BC$142</f>
        <v/>
      </c>
      <c r="BD10" s="41">
        <f>Ops!BD$142</f>
        <v/>
      </c>
      <c r="BE10" s="41">
        <f>Ops!BE$142</f>
        <v/>
      </c>
      <c r="BF10" s="41">
        <f>Ops!BF$142</f>
        <v/>
      </c>
      <c r="BG10" s="41">
        <f>Ops!BG$142</f>
        <v/>
      </c>
      <c r="BH10" s="41">
        <f>Ops!BH$142</f>
        <v/>
      </c>
      <c r="BI10" s="41">
        <f>Ops!BI$142</f>
        <v/>
      </c>
      <c r="BJ10" s="41">
        <f>Ops!BJ$142</f>
        <v/>
      </c>
      <c r="BK10" s="41">
        <f>Ops!BK$142</f>
        <v/>
      </c>
      <c r="BL10" s="41">
        <f>Ops!BL$142</f>
        <v/>
      </c>
    </row>
    <row r="11">
      <c r="A11" s="98" t="inlineStr">
        <is>
          <t>Other revenue (digital loans &amp; services)</t>
        </is>
      </c>
      <c r="B11" s="65" t="inlineStr">
        <is>
          <t>LCY</t>
        </is>
      </c>
      <c r="C11" s="105">
        <f>SUM(E11:BL11)</f>
        <v/>
      </c>
      <c r="E11" s="41">
        <f>Ops!E$162</f>
        <v/>
      </c>
      <c r="F11" s="41">
        <f>Ops!F$162</f>
        <v/>
      </c>
      <c r="G11" s="41">
        <f>Ops!G$162</f>
        <v/>
      </c>
      <c r="H11" s="41">
        <f>Ops!H$162</f>
        <v/>
      </c>
      <c r="I11" s="41">
        <f>Ops!I$162</f>
        <v/>
      </c>
      <c r="J11" s="41">
        <f>Ops!J$162</f>
        <v/>
      </c>
      <c r="K11" s="41">
        <f>Ops!K$162</f>
        <v/>
      </c>
      <c r="L11" s="41">
        <f>Ops!L$162</f>
        <v/>
      </c>
      <c r="M11" s="41">
        <f>Ops!M$162</f>
        <v/>
      </c>
      <c r="N11" s="41">
        <f>Ops!N$162</f>
        <v/>
      </c>
      <c r="O11" s="41">
        <f>Ops!O$162</f>
        <v/>
      </c>
      <c r="P11" s="41">
        <f>Ops!P$162</f>
        <v/>
      </c>
      <c r="Q11" s="41">
        <f>Ops!Q$162</f>
        <v/>
      </c>
      <c r="R11" s="41">
        <f>Ops!R$162</f>
        <v/>
      </c>
      <c r="S11" s="41">
        <f>Ops!S$162</f>
        <v/>
      </c>
      <c r="T11" s="41">
        <f>Ops!T$162</f>
        <v/>
      </c>
      <c r="U11" s="41">
        <f>Ops!U$162</f>
        <v/>
      </c>
      <c r="V11" s="41">
        <f>Ops!V$162</f>
        <v/>
      </c>
      <c r="W11" s="41">
        <f>Ops!W$162</f>
        <v/>
      </c>
      <c r="X11" s="41">
        <f>Ops!X$162</f>
        <v/>
      </c>
      <c r="Y11" s="41">
        <f>Ops!Y$162</f>
        <v/>
      </c>
      <c r="Z11" s="41">
        <f>Ops!Z$162</f>
        <v/>
      </c>
      <c r="AA11" s="41">
        <f>Ops!AA$162</f>
        <v/>
      </c>
      <c r="AB11" s="41">
        <f>Ops!AB$162</f>
        <v/>
      </c>
      <c r="AC11" s="41">
        <f>Ops!AC$162</f>
        <v/>
      </c>
      <c r="AD11" s="41">
        <f>Ops!AD$162</f>
        <v/>
      </c>
      <c r="AE11" s="41">
        <f>Ops!AE$162</f>
        <v/>
      </c>
      <c r="AF11" s="41">
        <f>Ops!AF$162</f>
        <v/>
      </c>
      <c r="AG11" s="41">
        <f>Ops!AG$162</f>
        <v/>
      </c>
      <c r="AH11" s="41">
        <f>Ops!AH$162</f>
        <v/>
      </c>
      <c r="AI11" s="41">
        <f>Ops!AI$162</f>
        <v/>
      </c>
      <c r="AJ11" s="41">
        <f>Ops!AJ$162</f>
        <v/>
      </c>
      <c r="AK11" s="41">
        <f>Ops!AK$162</f>
        <v/>
      </c>
      <c r="AL11" s="41">
        <f>Ops!AL$162</f>
        <v/>
      </c>
      <c r="AM11" s="41">
        <f>Ops!AM$162</f>
        <v/>
      </c>
      <c r="AN11" s="41">
        <f>Ops!AN$162</f>
        <v/>
      </c>
      <c r="AO11" s="41">
        <f>Ops!AO$162</f>
        <v/>
      </c>
      <c r="AP11" s="41">
        <f>Ops!AP$162</f>
        <v/>
      </c>
      <c r="AQ11" s="41">
        <f>Ops!AQ$162</f>
        <v/>
      </c>
      <c r="AR11" s="41">
        <f>Ops!AR$162</f>
        <v/>
      </c>
      <c r="AS11" s="41">
        <f>Ops!AS$162</f>
        <v/>
      </c>
      <c r="AT11" s="41">
        <f>Ops!AT$162</f>
        <v/>
      </c>
      <c r="AU11" s="41">
        <f>Ops!AU$162</f>
        <v/>
      </c>
      <c r="AV11" s="41">
        <f>Ops!AV$162</f>
        <v/>
      </c>
      <c r="AW11" s="41">
        <f>Ops!AW$162</f>
        <v/>
      </c>
      <c r="AX11" s="41">
        <f>Ops!AX$162</f>
        <v/>
      </c>
      <c r="AY11" s="41">
        <f>Ops!AY$162</f>
        <v/>
      </c>
      <c r="AZ11" s="41">
        <f>Ops!AZ$162</f>
        <v/>
      </c>
      <c r="BA11" s="41">
        <f>Ops!BA$162</f>
        <v/>
      </c>
      <c r="BB11" s="41">
        <f>Ops!BB$162</f>
        <v/>
      </c>
      <c r="BC11" s="41">
        <f>Ops!BC$162</f>
        <v/>
      </c>
      <c r="BD11" s="41">
        <f>Ops!BD$162</f>
        <v/>
      </c>
      <c r="BE11" s="41">
        <f>Ops!BE$162</f>
        <v/>
      </c>
      <c r="BF11" s="41">
        <f>Ops!BF$162</f>
        <v/>
      </c>
      <c r="BG11" s="41">
        <f>Ops!BG$162</f>
        <v/>
      </c>
      <c r="BH11" s="41">
        <f>Ops!BH$162</f>
        <v/>
      </c>
      <c r="BI11" s="41">
        <f>Ops!BI$162</f>
        <v/>
      </c>
      <c r="BJ11" s="41">
        <f>Ops!BJ$162</f>
        <v/>
      </c>
      <c r="BK11" s="41">
        <f>Ops!BK$162</f>
        <v/>
      </c>
      <c r="BL11" s="41">
        <f>Ops!BL$162</f>
        <v/>
      </c>
    </row>
    <row r="12">
      <c r="A12" s="100" t="inlineStr">
        <is>
          <t>Total revenue</t>
        </is>
      </c>
      <c r="B12" s="101" t="inlineStr">
        <is>
          <t>LCY</t>
        </is>
      </c>
      <c r="C12" s="102">
        <f>SUM(E12:BL12)</f>
        <v/>
      </c>
      <c r="D12" s="103" t="n"/>
      <c r="E12" s="104">
        <f>E9+E10+E11</f>
        <v/>
      </c>
      <c r="F12" s="104">
        <f>F9+F10+F11</f>
        <v/>
      </c>
      <c r="G12" s="104">
        <f>G9+G10+G11</f>
        <v/>
      </c>
      <c r="H12" s="104">
        <f>H9+H10+H11</f>
        <v/>
      </c>
      <c r="I12" s="104">
        <f>I9+I10+I11</f>
        <v/>
      </c>
      <c r="J12" s="104">
        <f>J9+J10+J11</f>
        <v/>
      </c>
      <c r="K12" s="104">
        <f>K9+K10+K11</f>
        <v/>
      </c>
      <c r="L12" s="104">
        <f>L9+L10+L11</f>
        <v/>
      </c>
      <c r="M12" s="104">
        <f>M9+M10+M11</f>
        <v/>
      </c>
      <c r="N12" s="104">
        <f>N9+N10+N11</f>
        <v/>
      </c>
      <c r="O12" s="104">
        <f>O9+O10+O11</f>
        <v/>
      </c>
      <c r="P12" s="104">
        <f>P9+P10+P11</f>
        <v/>
      </c>
      <c r="Q12" s="104">
        <f>Q9+Q10+Q11</f>
        <v/>
      </c>
      <c r="R12" s="104">
        <f>R9+R10+R11</f>
        <v/>
      </c>
      <c r="S12" s="104">
        <f>S9+S10+S11</f>
        <v/>
      </c>
      <c r="T12" s="104">
        <f>T9+T10+T11</f>
        <v/>
      </c>
      <c r="U12" s="104">
        <f>U9+U10+U11</f>
        <v/>
      </c>
      <c r="V12" s="104">
        <f>V9+V10+V11</f>
        <v/>
      </c>
      <c r="W12" s="104">
        <f>W9+W10+W11</f>
        <v/>
      </c>
      <c r="X12" s="104">
        <f>X9+X10+X11</f>
        <v/>
      </c>
      <c r="Y12" s="104">
        <f>Y9+Y10+Y11</f>
        <v/>
      </c>
      <c r="Z12" s="104">
        <f>Z9+Z10+Z11</f>
        <v/>
      </c>
      <c r="AA12" s="104">
        <f>AA9+AA10+AA11</f>
        <v/>
      </c>
      <c r="AB12" s="104">
        <f>AB9+AB10+AB11</f>
        <v/>
      </c>
      <c r="AC12" s="104">
        <f>AC9+AC10+AC11</f>
        <v/>
      </c>
      <c r="AD12" s="104">
        <f>AD9+AD10+AD11</f>
        <v/>
      </c>
      <c r="AE12" s="104">
        <f>AE9+AE10+AE11</f>
        <v/>
      </c>
      <c r="AF12" s="104">
        <f>AF9+AF10+AF11</f>
        <v/>
      </c>
      <c r="AG12" s="104">
        <f>AG9+AG10+AG11</f>
        <v/>
      </c>
      <c r="AH12" s="104">
        <f>AH9+AH10+AH11</f>
        <v/>
      </c>
      <c r="AI12" s="104">
        <f>AI9+AI10+AI11</f>
        <v/>
      </c>
      <c r="AJ12" s="104">
        <f>AJ9+AJ10+AJ11</f>
        <v/>
      </c>
      <c r="AK12" s="104">
        <f>AK9+AK10+AK11</f>
        <v/>
      </c>
      <c r="AL12" s="104">
        <f>AL9+AL10+AL11</f>
        <v/>
      </c>
      <c r="AM12" s="104">
        <f>AM9+AM10+AM11</f>
        <v/>
      </c>
      <c r="AN12" s="104">
        <f>AN9+AN10+AN11</f>
        <v/>
      </c>
      <c r="AO12" s="104">
        <f>AO9+AO10+AO11</f>
        <v/>
      </c>
      <c r="AP12" s="104">
        <f>AP9+AP10+AP11</f>
        <v/>
      </c>
      <c r="AQ12" s="104">
        <f>AQ9+AQ10+AQ11</f>
        <v/>
      </c>
      <c r="AR12" s="104">
        <f>AR9+AR10+AR11</f>
        <v/>
      </c>
      <c r="AS12" s="104">
        <f>AS9+AS10+AS11</f>
        <v/>
      </c>
      <c r="AT12" s="104">
        <f>AT9+AT10+AT11</f>
        <v/>
      </c>
      <c r="AU12" s="104">
        <f>AU9+AU10+AU11</f>
        <v/>
      </c>
      <c r="AV12" s="104">
        <f>AV9+AV10+AV11</f>
        <v/>
      </c>
      <c r="AW12" s="104">
        <f>AW9+AW10+AW11</f>
        <v/>
      </c>
      <c r="AX12" s="104">
        <f>AX9+AX10+AX11</f>
        <v/>
      </c>
      <c r="AY12" s="104">
        <f>AY9+AY10+AY11</f>
        <v/>
      </c>
      <c r="AZ12" s="104">
        <f>AZ9+AZ10+AZ11</f>
        <v/>
      </c>
      <c r="BA12" s="104">
        <f>BA9+BA10+BA11</f>
        <v/>
      </c>
      <c r="BB12" s="104">
        <f>BB9+BB10+BB11</f>
        <v/>
      </c>
      <c r="BC12" s="104">
        <f>BC9+BC10+BC11</f>
        <v/>
      </c>
      <c r="BD12" s="104">
        <f>BD9+BD10+BD11</f>
        <v/>
      </c>
      <c r="BE12" s="104">
        <f>BE9+BE10+BE11</f>
        <v/>
      </c>
      <c r="BF12" s="104">
        <f>BF9+BF10+BF11</f>
        <v/>
      </c>
      <c r="BG12" s="104">
        <f>BG9+BG10+BG11</f>
        <v/>
      </c>
      <c r="BH12" s="104">
        <f>BH9+BH10+BH11</f>
        <v/>
      </c>
      <c r="BI12" s="104">
        <f>BI9+BI10+BI11</f>
        <v/>
      </c>
      <c r="BJ12" s="104">
        <f>BJ9+BJ10+BJ11</f>
        <v/>
      </c>
      <c r="BK12" s="104">
        <f>BK9+BK10+BK11</f>
        <v/>
      </c>
      <c r="BL12" s="104">
        <f>BL9+BL10+BL11</f>
        <v/>
      </c>
    </row>
    <row r="13">
      <c r="A13" s="98" t="inlineStr">
        <is>
          <t>Cost of sales (hardware, installation, other)</t>
        </is>
      </c>
      <c r="B13" s="65" t="inlineStr">
        <is>
          <t>LCY</t>
        </is>
      </c>
      <c r="C13" s="105">
        <f>SUM(E13:BL13)</f>
        <v/>
      </c>
      <c r="E13" s="41">
        <f>-Costs!E$11</f>
        <v/>
      </c>
      <c r="F13" s="41">
        <f>-Costs!F$11</f>
        <v/>
      </c>
      <c r="G13" s="41">
        <f>-Costs!G$11</f>
        <v/>
      </c>
      <c r="H13" s="41">
        <f>-Costs!H$11</f>
        <v/>
      </c>
      <c r="I13" s="41">
        <f>-Costs!I$11</f>
        <v/>
      </c>
      <c r="J13" s="41">
        <f>-Costs!J$11</f>
        <v/>
      </c>
      <c r="K13" s="41">
        <f>-Costs!K$11</f>
        <v/>
      </c>
      <c r="L13" s="41">
        <f>-Costs!L$11</f>
        <v/>
      </c>
      <c r="M13" s="41">
        <f>-Costs!M$11</f>
        <v/>
      </c>
      <c r="N13" s="41">
        <f>-Costs!N$11</f>
        <v/>
      </c>
      <c r="O13" s="41">
        <f>-Costs!O$11</f>
        <v/>
      </c>
      <c r="P13" s="41">
        <f>-Costs!P$11</f>
        <v/>
      </c>
      <c r="Q13" s="41">
        <f>-Costs!Q$11</f>
        <v/>
      </c>
      <c r="R13" s="41">
        <f>-Costs!R$11</f>
        <v/>
      </c>
      <c r="S13" s="41">
        <f>-Costs!S$11</f>
        <v/>
      </c>
      <c r="T13" s="41">
        <f>-Costs!T$11</f>
        <v/>
      </c>
      <c r="U13" s="41">
        <f>-Costs!U$11</f>
        <v/>
      </c>
      <c r="V13" s="41">
        <f>-Costs!V$11</f>
        <v/>
      </c>
      <c r="W13" s="41">
        <f>-Costs!W$11</f>
        <v/>
      </c>
      <c r="X13" s="41">
        <f>-Costs!X$11</f>
        <v/>
      </c>
      <c r="Y13" s="41">
        <f>-Costs!Y$11</f>
        <v/>
      </c>
      <c r="Z13" s="41">
        <f>-Costs!Z$11</f>
        <v/>
      </c>
      <c r="AA13" s="41">
        <f>-Costs!AA$11</f>
        <v/>
      </c>
      <c r="AB13" s="41">
        <f>-Costs!AB$11</f>
        <v/>
      </c>
      <c r="AC13" s="41">
        <f>-Costs!AC$11</f>
        <v/>
      </c>
      <c r="AD13" s="41">
        <f>-Costs!AD$11</f>
        <v/>
      </c>
      <c r="AE13" s="41">
        <f>-Costs!AE$11</f>
        <v/>
      </c>
      <c r="AF13" s="41">
        <f>-Costs!AF$11</f>
        <v/>
      </c>
      <c r="AG13" s="41">
        <f>-Costs!AG$11</f>
        <v/>
      </c>
      <c r="AH13" s="41">
        <f>-Costs!AH$11</f>
        <v/>
      </c>
      <c r="AI13" s="41">
        <f>-Costs!AI$11</f>
        <v/>
      </c>
      <c r="AJ13" s="41">
        <f>-Costs!AJ$11</f>
        <v/>
      </c>
      <c r="AK13" s="41">
        <f>-Costs!AK$11</f>
        <v/>
      </c>
      <c r="AL13" s="41">
        <f>-Costs!AL$11</f>
        <v/>
      </c>
      <c r="AM13" s="41">
        <f>-Costs!AM$11</f>
        <v/>
      </c>
      <c r="AN13" s="41">
        <f>-Costs!AN$11</f>
        <v/>
      </c>
      <c r="AO13" s="41">
        <f>-Costs!AO$11</f>
        <v/>
      </c>
      <c r="AP13" s="41">
        <f>-Costs!AP$11</f>
        <v/>
      </c>
      <c r="AQ13" s="41">
        <f>-Costs!AQ$11</f>
        <v/>
      </c>
      <c r="AR13" s="41">
        <f>-Costs!AR$11</f>
        <v/>
      </c>
      <c r="AS13" s="41">
        <f>-Costs!AS$11</f>
        <v/>
      </c>
      <c r="AT13" s="41">
        <f>-Costs!AT$11</f>
        <v/>
      </c>
      <c r="AU13" s="41">
        <f>-Costs!AU$11</f>
        <v/>
      </c>
      <c r="AV13" s="41">
        <f>-Costs!AV$11</f>
        <v/>
      </c>
      <c r="AW13" s="41">
        <f>-Costs!AW$11</f>
        <v/>
      </c>
      <c r="AX13" s="41">
        <f>-Costs!AX$11</f>
        <v/>
      </c>
      <c r="AY13" s="41">
        <f>-Costs!AY$11</f>
        <v/>
      </c>
      <c r="AZ13" s="41">
        <f>-Costs!AZ$11</f>
        <v/>
      </c>
      <c r="BA13" s="41">
        <f>-Costs!BA$11</f>
        <v/>
      </c>
      <c r="BB13" s="41">
        <f>-Costs!BB$11</f>
        <v/>
      </c>
      <c r="BC13" s="41">
        <f>-Costs!BC$11</f>
        <v/>
      </c>
      <c r="BD13" s="41">
        <f>-Costs!BD$11</f>
        <v/>
      </c>
      <c r="BE13" s="41">
        <f>-Costs!BE$11</f>
        <v/>
      </c>
      <c r="BF13" s="41">
        <f>-Costs!BF$11</f>
        <v/>
      </c>
      <c r="BG13" s="41">
        <f>-Costs!BG$11</f>
        <v/>
      </c>
      <c r="BH13" s="41">
        <f>-Costs!BH$11</f>
        <v/>
      </c>
      <c r="BI13" s="41">
        <f>-Costs!BI$11</f>
        <v/>
      </c>
      <c r="BJ13" s="41">
        <f>-Costs!BJ$11</f>
        <v/>
      </c>
      <c r="BK13" s="41">
        <f>-Costs!BK$11</f>
        <v/>
      </c>
      <c r="BL13" s="41">
        <f>-Costs!BL$11</f>
        <v/>
      </c>
    </row>
    <row r="14">
      <c r="A14" s="100" t="inlineStr">
        <is>
          <t>Gross profit</t>
        </is>
      </c>
      <c r="B14" s="101" t="inlineStr">
        <is>
          <t>LCY</t>
        </is>
      </c>
      <c r="C14" s="102">
        <f>SUM(E14:BL14)</f>
        <v/>
      </c>
      <c r="D14" s="103" t="n"/>
      <c r="E14" s="104">
        <f>E12+E13</f>
        <v/>
      </c>
      <c r="F14" s="104">
        <f>F12+F13</f>
        <v/>
      </c>
      <c r="G14" s="104">
        <f>G12+G13</f>
        <v/>
      </c>
      <c r="H14" s="104">
        <f>H12+H13</f>
        <v/>
      </c>
      <c r="I14" s="104">
        <f>I12+I13</f>
        <v/>
      </c>
      <c r="J14" s="104">
        <f>J12+J13</f>
        <v/>
      </c>
      <c r="K14" s="104">
        <f>K12+K13</f>
        <v/>
      </c>
      <c r="L14" s="104">
        <f>L12+L13</f>
        <v/>
      </c>
      <c r="M14" s="104">
        <f>M12+M13</f>
        <v/>
      </c>
      <c r="N14" s="104">
        <f>N12+N13</f>
        <v/>
      </c>
      <c r="O14" s="104">
        <f>O12+O13</f>
        <v/>
      </c>
      <c r="P14" s="104">
        <f>P12+P13</f>
        <v/>
      </c>
      <c r="Q14" s="104">
        <f>Q12+Q13</f>
        <v/>
      </c>
      <c r="R14" s="104">
        <f>R12+R13</f>
        <v/>
      </c>
      <c r="S14" s="104">
        <f>S12+S13</f>
        <v/>
      </c>
      <c r="T14" s="104">
        <f>T12+T13</f>
        <v/>
      </c>
      <c r="U14" s="104">
        <f>U12+U13</f>
        <v/>
      </c>
      <c r="V14" s="104">
        <f>V12+V13</f>
        <v/>
      </c>
      <c r="W14" s="104">
        <f>W12+W13</f>
        <v/>
      </c>
      <c r="X14" s="104">
        <f>X12+X13</f>
        <v/>
      </c>
      <c r="Y14" s="104">
        <f>Y12+Y13</f>
        <v/>
      </c>
      <c r="Z14" s="104">
        <f>Z12+Z13</f>
        <v/>
      </c>
      <c r="AA14" s="104">
        <f>AA12+AA13</f>
        <v/>
      </c>
      <c r="AB14" s="104">
        <f>AB12+AB13</f>
        <v/>
      </c>
      <c r="AC14" s="104">
        <f>AC12+AC13</f>
        <v/>
      </c>
      <c r="AD14" s="104">
        <f>AD12+AD13</f>
        <v/>
      </c>
      <c r="AE14" s="104">
        <f>AE12+AE13</f>
        <v/>
      </c>
      <c r="AF14" s="104">
        <f>AF12+AF13</f>
        <v/>
      </c>
      <c r="AG14" s="104">
        <f>AG12+AG13</f>
        <v/>
      </c>
      <c r="AH14" s="104">
        <f>AH12+AH13</f>
        <v/>
      </c>
      <c r="AI14" s="104">
        <f>AI12+AI13</f>
        <v/>
      </c>
      <c r="AJ14" s="104">
        <f>AJ12+AJ13</f>
        <v/>
      </c>
      <c r="AK14" s="104">
        <f>AK12+AK13</f>
        <v/>
      </c>
      <c r="AL14" s="104">
        <f>AL12+AL13</f>
        <v/>
      </c>
      <c r="AM14" s="104">
        <f>AM12+AM13</f>
        <v/>
      </c>
      <c r="AN14" s="104">
        <f>AN12+AN13</f>
        <v/>
      </c>
      <c r="AO14" s="104">
        <f>AO12+AO13</f>
        <v/>
      </c>
      <c r="AP14" s="104">
        <f>AP12+AP13</f>
        <v/>
      </c>
      <c r="AQ14" s="104">
        <f>AQ12+AQ13</f>
        <v/>
      </c>
      <c r="AR14" s="104">
        <f>AR12+AR13</f>
        <v/>
      </c>
      <c r="AS14" s="104">
        <f>AS12+AS13</f>
        <v/>
      </c>
      <c r="AT14" s="104">
        <f>AT12+AT13</f>
        <v/>
      </c>
      <c r="AU14" s="104">
        <f>AU12+AU13</f>
        <v/>
      </c>
      <c r="AV14" s="104">
        <f>AV12+AV13</f>
        <v/>
      </c>
      <c r="AW14" s="104">
        <f>AW12+AW13</f>
        <v/>
      </c>
      <c r="AX14" s="104">
        <f>AX12+AX13</f>
        <v/>
      </c>
      <c r="AY14" s="104">
        <f>AY12+AY13</f>
        <v/>
      </c>
      <c r="AZ14" s="104">
        <f>AZ12+AZ13</f>
        <v/>
      </c>
      <c r="BA14" s="104">
        <f>BA12+BA13</f>
        <v/>
      </c>
      <c r="BB14" s="104">
        <f>BB12+BB13</f>
        <v/>
      </c>
      <c r="BC14" s="104">
        <f>BC12+BC13</f>
        <v/>
      </c>
      <c r="BD14" s="104">
        <f>BD12+BD13</f>
        <v/>
      </c>
      <c r="BE14" s="104">
        <f>BE12+BE13</f>
        <v/>
      </c>
      <c r="BF14" s="104">
        <f>BF12+BF13</f>
        <v/>
      </c>
      <c r="BG14" s="104">
        <f>BG12+BG13</f>
        <v/>
      </c>
      <c r="BH14" s="104">
        <f>BH12+BH13</f>
        <v/>
      </c>
      <c r="BI14" s="104">
        <f>BI12+BI13</f>
        <v/>
      </c>
      <c r="BJ14" s="104">
        <f>BJ12+BJ13</f>
        <v/>
      </c>
      <c r="BK14" s="104">
        <f>BK12+BK13</f>
        <v/>
      </c>
      <c r="BL14" s="104">
        <f>BL12+BL13</f>
        <v/>
      </c>
    </row>
    <row r="15">
      <c r="A15" s="98" t="inlineStr">
        <is>
          <t>RBF / subsidy income</t>
        </is>
      </c>
      <c r="B15" s="65" t="inlineStr">
        <is>
          <t>LCY</t>
        </is>
      </c>
      <c r="C15" s="105">
        <f>SUM(E15:BL15)</f>
        <v/>
      </c>
      <c r="E15" s="41">
        <f>Ops!E$145</f>
        <v/>
      </c>
      <c r="F15" s="41">
        <f>Ops!F$145</f>
        <v/>
      </c>
      <c r="G15" s="41">
        <f>Ops!G$145</f>
        <v/>
      </c>
      <c r="H15" s="41">
        <f>Ops!H$145</f>
        <v/>
      </c>
      <c r="I15" s="41">
        <f>Ops!I$145</f>
        <v/>
      </c>
      <c r="J15" s="41">
        <f>Ops!J$145</f>
        <v/>
      </c>
      <c r="K15" s="41">
        <f>Ops!K$145</f>
        <v/>
      </c>
      <c r="L15" s="41">
        <f>Ops!L$145</f>
        <v/>
      </c>
      <c r="M15" s="41">
        <f>Ops!M$145</f>
        <v/>
      </c>
      <c r="N15" s="41">
        <f>Ops!N$145</f>
        <v/>
      </c>
      <c r="O15" s="41">
        <f>Ops!O$145</f>
        <v/>
      </c>
      <c r="P15" s="41">
        <f>Ops!P$145</f>
        <v/>
      </c>
      <c r="Q15" s="41">
        <f>Ops!Q$145</f>
        <v/>
      </c>
      <c r="R15" s="41">
        <f>Ops!R$145</f>
        <v/>
      </c>
      <c r="S15" s="41">
        <f>Ops!S$145</f>
        <v/>
      </c>
      <c r="T15" s="41">
        <f>Ops!T$145</f>
        <v/>
      </c>
      <c r="U15" s="41">
        <f>Ops!U$145</f>
        <v/>
      </c>
      <c r="V15" s="41">
        <f>Ops!V$145</f>
        <v/>
      </c>
      <c r="W15" s="41">
        <f>Ops!W$145</f>
        <v/>
      </c>
      <c r="X15" s="41">
        <f>Ops!X$145</f>
        <v/>
      </c>
      <c r="Y15" s="41">
        <f>Ops!Y$145</f>
        <v/>
      </c>
      <c r="Z15" s="41">
        <f>Ops!Z$145</f>
        <v/>
      </c>
      <c r="AA15" s="41">
        <f>Ops!AA$145</f>
        <v/>
      </c>
      <c r="AB15" s="41">
        <f>Ops!AB$145</f>
        <v/>
      </c>
      <c r="AC15" s="41">
        <f>Ops!AC$145</f>
        <v/>
      </c>
      <c r="AD15" s="41">
        <f>Ops!AD$145</f>
        <v/>
      </c>
      <c r="AE15" s="41">
        <f>Ops!AE$145</f>
        <v/>
      </c>
      <c r="AF15" s="41">
        <f>Ops!AF$145</f>
        <v/>
      </c>
      <c r="AG15" s="41">
        <f>Ops!AG$145</f>
        <v/>
      </c>
      <c r="AH15" s="41">
        <f>Ops!AH$145</f>
        <v/>
      </c>
      <c r="AI15" s="41">
        <f>Ops!AI$145</f>
        <v/>
      </c>
      <c r="AJ15" s="41">
        <f>Ops!AJ$145</f>
        <v/>
      </c>
      <c r="AK15" s="41">
        <f>Ops!AK$145</f>
        <v/>
      </c>
      <c r="AL15" s="41">
        <f>Ops!AL$145</f>
        <v/>
      </c>
      <c r="AM15" s="41">
        <f>Ops!AM$145</f>
        <v/>
      </c>
      <c r="AN15" s="41">
        <f>Ops!AN$145</f>
        <v/>
      </c>
      <c r="AO15" s="41">
        <f>Ops!AO$145</f>
        <v/>
      </c>
      <c r="AP15" s="41">
        <f>Ops!AP$145</f>
        <v/>
      </c>
      <c r="AQ15" s="41">
        <f>Ops!AQ$145</f>
        <v/>
      </c>
      <c r="AR15" s="41">
        <f>Ops!AR$145</f>
        <v/>
      </c>
      <c r="AS15" s="41">
        <f>Ops!AS$145</f>
        <v/>
      </c>
      <c r="AT15" s="41">
        <f>Ops!AT$145</f>
        <v/>
      </c>
      <c r="AU15" s="41">
        <f>Ops!AU$145</f>
        <v/>
      </c>
      <c r="AV15" s="41">
        <f>Ops!AV$145</f>
        <v/>
      </c>
      <c r="AW15" s="41">
        <f>Ops!AW$145</f>
        <v/>
      </c>
      <c r="AX15" s="41">
        <f>Ops!AX$145</f>
        <v/>
      </c>
      <c r="AY15" s="41">
        <f>Ops!AY$145</f>
        <v/>
      </c>
      <c r="AZ15" s="41">
        <f>Ops!AZ$145</f>
        <v/>
      </c>
      <c r="BA15" s="41">
        <f>Ops!BA$145</f>
        <v/>
      </c>
      <c r="BB15" s="41">
        <f>Ops!BB$145</f>
        <v/>
      </c>
      <c r="BC15" s="41">
        <f>Ops!BC$145</f>
        <v/>
      </c>
      <c r="BD15" s="41">
        <f>Ops!BD$145</f>
        <v/>
      </c>
      <c r="BE15" s="41">
        <f>Ops!BE$145</f>
        <v/>
      </c>
      <c r="BF15" s="41">
        <f>Ops!BF$145</f>
        <v/>
      </c>
      <c r="BG15" s="41">
        <f>Ops!BG$145</f>
        <v/>
      </c>
      <c r="BH15" s="41">
        <f>Ops!BH$145</f>
        <v/>
      </c>
      <c r="BI15" s="41">
        <f>Ops!BI$145</f>
        <v/>
      </c>
      <c r="BJ15" s="41">
        <f>Ops!BJ$145</f>
        <v/>
      </c>
      <c r="BK15" s="41">
        <f>Ops!BK$145</f>
        <v/>
      </c>
      <c r="BL15" s="41">
        <f>Ops!BL$145</f>
        <v/>
      </c>
    </row>
    <row r="16">
      <c r="A16" s="98" t="inlineStr">
        <is>
          <t>Operating expenses</t>
        </is>
      </c>
      <c r="B16" s="65" t="inlineStr">
        <is>
          <t>LCY</t>
        </is>
      </c>
      <c r="C16" s="105">
        <f>SUM(E16:BL16)</f>
        <v/>
      </c>
      <c r="E16" s="41">
        <f>-Costs!E$20</f>
        <v/>
      </c>
      <c r="F16" s="41">
        <f>-Costs!F$20</f>
        <v/>
      </c>
      <c r="G16" s="41">
        <f>-Costs!G$20</f>
        <v/>
      </c>
      <c r="H16" s="41">
        <f>-Costs!H$20</f>
        <v/>
      </c>
      <c r="I16" s="41">
        <f>-Costs!I$20</f>
        <v/>
      </c>
      <c r="J16" s="41">
        <f>-Costs!J$20</f>
        <v/>
      </c>
      <c r="K16" s="41">
        <f>-Costs!K$20</f>
        <v/>
      </c>
      <c r="L16" s="41">
        <f>-Costs!L$20</f>
        <v/>
      </c>
      <c r="M16" s="41">
        <f>-Costs!M$20</f>
        <v/>
      </c>
      <c r="N16" s="41">
        <f>-Costs!N$20</f>
        <v/>
      </c>
      <c r="O16" s="41">
        <f>-Costs!O$20</f>
        <v/>
      </c>
      <c r="P16" s="41">
        <f>-Costs!P$20</f>
        <v/>
      </c>
      <c r="Q16" s="41">
        <f>-Costs!Q$20</f>
        <v/>
      </c>
      <c r="R16" s="41">
        <f>-Costs!R$20</f>
        <v/>
      </c>
      <c r="S16" s="41">
        <f>-Costs!S$20</f>
        <v/>
      </c>
      <c r="T16" s="41">
        <f>-Costs!T$20</f>
        <v/>
      </c>
      <c r="U16" s="41">
        <f>-Costs!U$20</f>
        <v/>
      </c>
      <c r="V16" s="41">
        <f>-Costs!V$20</f>
        <v/>
      </c>
      <c r="W16" s="41">
        <f>-Costs!W$20</f>
        <v/>
      </c>
      <c r="X16" s="41">
        <f>-Costs!X$20</f>
        <v/>
      </c>
      <c r="Y16" s="41">
        <f>-Costs!Y$20</f>
        <v/>
      </c>
      <c r="Z16" s="41">
        <f>-Costs!Z$20</f>
        <v/>
      </c>
      <c r="AA16" s="41">
        <f>-Costs!AA$20</f>
        <v/>
      </c>
      <c r="AB16" s="41">
        <f>-Costs!AB$20</f>
        <v/>
      </c>
      <c r="AC16" s="41">
        <f>-Costs!AC$20</f>
        <v/>
      </c>
      <c r="AD16" s="41">
        <f>-Costs!AD$20</f>
        <v/>
      </c>
      <c r="AE16" s="41">
        <f>-Costs!AE$20</f>
        <v/>
      </c>
      <c r="AF16" s="41">
        <f>-Costs!AF$20</f>
        <v/>
      </c>
      <c r="AG16" s="41">
        <f>-Costs!AG$20</f>
        <v/>
      </c>
      <c r="AH16" s="41">
        <f>-Costs!AH$20</f>
        <v/>
      </c>
      <c r="AI16" s="41">
        <f>-Costs!AI$20</f>
        <v/>
      </c>
      <c r="AJ16" s="41">
        <f>-Costs!AJ$20</f>
        <v/>
      </c>
      <c r="AK16" s="41">
        <f>-Costs!AK$20</f>
        <v/>
      </c>
      <c r="AL16" s="41">
        <f>-Costs!AL$20</f>
        <v/>
      </c>
      <c r="AM16" s="41">
        <f>-Costs!AM$20</f>
        <v/>
      </c>
      <c r="AN16" s="41">
        <f>-Costs!AN$20</f>
        <v/>
      </c>
      <c r="AO16" s="41">
        <f>-Costs!AO$20</f>
        <v/>
      </c>
      <c r="AP16" s="41">
        <f>-Costs!AP$20</f>
        <v/>
      </c>
      <c r="AQ16" s="41">
        <f>-Costs!AQ$20</f>
        <v/>
      </c>
      <c r="AR16" s="41">
        <f>-Costs!AR$20</f>
        <v/>
      </c>
      <c r="AS16" s="41">
        <f>-Costs!AS$20</f>
        <v/>
      </c>
      <c r="AT16" s="41">
        <f>-Costs!AT$20</f>
        <v/>
      </c>
      <c r="AU16" s="41">
        <f>-Costs!AU$20</f>
        <v/>
      </c>
      <c r="AV16" s="41">
        <f>-Costs!AV$20</f>
        <v/>
      </c>
      <c r="AW16" s="41">
        <f>-Costs!AW$20</f>
        <v/>
      </c>
      <c r="AX16" s="41">
        <f>-Costs!AX$20</f>
        <v/>
      </c>
      <c r="AY16" s="41">
        <f>-Costs!AY$20</f>
        <v/>
      </c>
      <c r="AZ16" s="41">
        <f>-Costs!AZ$20</f>
        <v/>
      </c>
      <c r="BA16" s="41">
        <f>-Costs!BA$20</f>
        <v/>
      </c>
      <c r="BB16" s="41">
        <f>-Costs!BB$20</f>
        <v/>
      </c>
      <c r="BC16" s="41">
        <f>-Costs!BC$20</f>
        <v/>
      </c>
      <c r="BD16" s="41">
        <f>-Costs!BD$20</f>
        <v/>
      </c>
      <c r="BE16" s="41">
        <f>-Costs!BE$20</f>
        <v/>
      </c>
      <c r="BF16" s="41">
        <f>-Costs!BF$20</f>
        <v/>
      </c>
      <c r="BG16" s="41">
        <f>-Costs!BG$20</f>
        <v/>
      </c>
      <c r="BH16" s="41">
        <f>-Costs!BH$20</f>
        <v/>
      </c>
      <c r="BI16" s="41">
        <f>-Costs!BI$20</f>
        <v/>
      </c>
      <c r="BJ16" s="41">
        <f>-Costs!BJ$20</f>
        <v/>
      </c>
      <c r="BK16" s="41">
        <f>-Costs!BK$20</f>
        <v/>
      </c>
      <c r="BL16" s="41">
        <f>-Costs!BL$20</f>
        <v/>
      </c>
    </row>
    <row r="17">
      <c r="A17" s="98" t="inlineStr">
        <is>
          <t>Expected credit losses</t>
        </is>
      </c>
      <c r="B17" s="65" t="inlineStr">
        <is>
          <t>LCY</t>
        </is>
      </c>
      <c r="C17" s="105">
        <f>SUM(E17:BL17)</f>
        <v/>
      </c>
      <c r="E17" s="41">
        <f>-Ops!E$143</f>
        <v/>
      </c>
      <c r="F17" s="41">
        <f>-Ops!F$143</f>
        <v/>
      </c>
      <c r="G17" s="41">
        <f>-Ops!G$143</f>
        <v/>
      </c>
      <c r="H17" s="41">
        <f>-Ops!H$143</f>
        <v/>
      </c>
      <c r="I17" s="41">
        <f>-Ops!I$143</f>
        <v/>
      </c>
      <c r="J17" s="41">
        <f>-Ops!J$143</f>
        <v/>
      </c>
      <c r="K17" s="41">
        <f>-Ops!K$143</f>
        <v/>
      </c>
      <c r="L17" s="41">
        <f>-Ops!L$143</f>
        <v/>
      </c>
      <c r="M17" s="41">
        <f>-Ops!M$143</f>
        <v/>
      </c>
      <c r="N17" s="41">
        <f>-Ops!N$143</f>
        <v/>
      </c>
      <c r="O17" s="41">
        <f>-Ops!O$143</f>
        <v/>
      </c>
      <c r="P17" s="41">
        <f>-Ops!P$143</f>
        <v/>
      </c>
      <c r="Q17" s="41">
        <f>-Ops!Q$143</f>
        <v/>
      </c>
      <c r="R17" s="41">
        <f>-Ops!R$143</f>
        <v/>
      </c>
      <c r="S17" s="41">
        <f>-Ops!S$143</f>
        <v/>
      </c>
      <c r="T17" s="41">
        <f>-Ops!T$143</f>
        <v/>
      </c>
      <c r="U17" s="41">
        <f>-Ops!U$143</f>
        <v/>
      </c>
      <c r="V17" s="41">
        <f>-Ops!V$143</f>
        <v/>
      </c>
      <c r="W17" s="41">
        <f>-Ops!W$143</f>
        <v/>
      </c>
      <c r="X17" s="41">
        <f>-Ops!X$143</f>
        <v/>
      </c>
      <c r="Y17" s="41">
        <f>-Ops!Y$143</f>
        <v/>
      </c>
      <c r="Z17" s="41">
        <f>-Ops!Z$143</f>
        <v/>
      </c>
      <c r="AA17" s="41">
        <f>-Ops!AA$143</f>
        <v/>
      </c>
      <c r="AB17" s="41">
        <f>-Ops!AB$143</f>
        <v/>
      </c>
      <c r="AC17" s="41">
        <f>-Ops!AC$143</f>
        <v/>
      </c>
      <c r="AD17" s="41">
        <f>-Ops!AD$143</f>
        <v/>
      </c>
      <c r="AE17" s="41">
        <f>-Ops!AE$143</f>
        <v/>
      </c>
      <c r="AF17" s="41">
        <f>-Ops!AF$143</f>
        <v/>
      </c>
      <c r="AG17" s="41">
        <f>-Ops!AG$143</f>
        <v/>
      </c>
      <c r="AH17" s="41">
        <f>-Ops!AH$143</f>
        <v/>
      </c>
      <c r="AI17" s="41">
        <f>-Ops!AI$143</f>
        <v/>
      </c>
      <c r="AJ17" s="41">
        <f>-Ops!AJ$143</f>
        <v/>
      </c>
      <c r="AK17" s="41">
        <f>-Ops!AK$143</f>
        <v/>
      </c>
      <c r="AL17" s="41">
        <f>-Ops!AL$143</f>
        <v/>
      </c>
      <c r="AM17" s="41">
        <f>-Ops!AM$143</f>
        <v/>
      </c>
      <c r="AN17" s="41">
        <f>-Ops!AN$143</f>
        <v/>
      </c>
      <c r="AO17" s="41">
        <f>-Ops!AO$143</f>
        <v/>
      </c>
      <c r="AP17" s="41">
        <f>-Ops!AP$143</f>
        <v/>
      </c>
      <c r="AQ17" s="41">
        <f>-Ops!AQ$143</f>
        <v/>
      </c>
      <c r="AR17" s="41">
        <f>-Ops!AR$143</f>
        <v/>
      </c>
      <c r="AS17" s="41">
        <f>-Ops!AS$143</f>
        <v/>
      </c>
      <c r="AT17" s="41">
        <f>-Ops!AT$143</f>
        <v/>
      </c>
      <c r="AU17" s="41">
        <f>-Ops!AU$143</f>
        <v/>
      </c>
      <c r="AV17" s="41">
        <f>-Ops!AV$143</f>
        <v/>
      </c>
      <c r="AW17" s="41">
        <f>-Ops!AW$143</f>
        <v/>
      </c>
      <c r="AX17" s="41">
        <f>-Ops!AX$143</f>
        <v/>
      </c>
      <c r="AY17" s="41">
        <f>-Ops!AY$143</f>
        <v/>
      </c>
      <c r="AZ17" s="41">
        <f>-Ops!AZ$143</f>
        <v/>
      </c>
      <c r="BA17" s="41">
        <f>-Ops!BA$143</f>
        <v/>
      </c>
      <c r="BB17" s="41">
        <f>-Ops!BB$143</f>
        <v/>
      </c>
      <c r="BC17" s="41">
        <f>-Ops!BC$143</f>
        <v/>
      </c>
      <c r="BD17" s="41">
        <f>-Ops!BD$143</f>
        <v/>
      </c>
      <c r="BE17" s="41">
        <f>-Ops!BE$143</f>
        <v/>
      </c>
      <c r="BF17" s="41">
        <f>-Ops!BF$143</f>
        <v/>
      </c>
      <c r="BG17" s="41">
        <f>-Ops!BG$143</f>
        <v/>
      </c>
      <c r="BH17" s="41">
        <f>-Ops!BH$143</f>
        <v/>
      </c>
      <c r="BI17" s="41">
        <f>-Ops!BI$143</f>
        <v/>
      </c>
      <c r="BJ17" s="41">
        <f>-Ops!BJ$143</f>
        <v/>
      </c>
      <c r="BK17" s="41">
        <f>-Ops!BK$143</f>
        <v/>
      </c>
      <c r="BL17" s="41">
        <f>-Ops!BL$143</f>
        <v/>
      </c>
    </row>
    <row r="18">
      <c r="A18" s="98" t="inlineStr">
        <is>
          <t>Recoveries on repossessed units</t>
        </is>
      </c>
      <c r="B18" s="65" t="inlineStr">
        <is>
          <t>LCY</t>
        </is>
      </c>
      <c r="C18" s="105">
        <f>SUM(E18:BL18)</f>
        <v/>
      </c>
      <c r="E18" s="41">
        <f>Ops!E$144</f>
        <v/>
      </c>
      <c r="F18" s="41">
        <f>Ops!F$144</f>
        <v/>
      </c>
      <c r="G18" s="41">
        <f>Ops!G$144</f>
        <v/>
      </c>
      <c r="H18" s="41">
        <f>Ops!H$144</f>
        <v/>
      </c>
      <c r="I18" s="41">
        <f>Ops!I$144</f>
        <v/>
      </c>
      <c r="J18" s="41">
        <f>Ops!J$144</f>
        <v/>
      </c>
      <c r="K18" s="41">
        <f>Ops!K$144</f>
        <v/>
      </c>
      <c r="L18" s="41">
        <f>Ops!L$144</f>
        <v/>
      </c>
      <c r="M18" s="41">
        <f>Ops!M$144</f>
        <v/>
      </c>
      <c r="N18" s="41">
        <f>Ops!N$144</f>
        <v/>
      </c>
      <c r="O18" s="41">
        <f>Ops!O$144</f>
        <v/>
      </c>
      <c r="P18" s="41">
        <f>Ops!P$144</f>
        <v/>
      </c>
      <c r="Q18" s="41">
        <f>Ops!Q$144</f>
        <v/>
      </c>
      <c r="R18" s="41">
        <f>Ops!R$144</f>
        <v/>
      </c>
      <c r="S18" s="41">
        <f>Ops!S$144</f>
        <v/>
      </c>
      <c r="T18" s="41">
        <f>Ops!T$144</f>
        <v/>
      </c>
      <c r="U18" s="41">
        <f>Ops!U$144</f>
        <v/>
      </c>
      <c r="V18" s="41">
        <f>Ops!V$144</f>
        <v/>
      </c>
      <c r="W18" s="41">
        <f>Ops!W$144</f>
        <v/>
      </c>
      <c r="X18" s="41">
        <f>Ops!X$144</f>
        <v/>
      </c>
      <c r="Y18" s="41">
        <f>Ops!Y$144</f>
        <v/>
      </c>
      <c r="Z18" s="41">
        <f>Ops!Z$144</f>
        <v/>
      </c>
      <c r="AA18" s="41">
        <f>Ops!AA$144</f>
        <v/>
      </c>
      <c r="AB18" s="41">
        <f>Ops!AB$144</f>
        <v/>
      </c>
      <c r="AC18" s="41">
        <f>Ops!AC$144</f>
        <v/>
      </c>
      <c r="AD18" s="41">
        <f>Ops!AD$144</f>
        <v/>
      </c>
      <c r="AE18" s="41">
        <f>Ops!AE$144</f>
        <v/>
      </c>
      <c r="AF18" s="41">
        <f>Ops!AF$144</f>
        <v/>
      </c>
      <c r="AG18" s="41">
        <f>Ops!AG$144</f>
        <v/>
      </c>
      <c r="AH18" s="41">
        <f>Ops!AH$144</f>
        <v/>
      </c>
      <c r="AI18" s="41">
        <f>Ops!AI$144</f>
        <v/>
      </c>
      <c r="AJ18" s="41">
        <f>Ops!AJ$144</f>
        <v/>
      </c>
      <c r="AK18" s="41">
        <f>Ops!AK$144</f>
        <v/>
      </c>
      <c r="AL18" s="41">
        <f>Ops!AL$144</f>
        <v/>
      </c>
      <c r="AM18" s="41">
        <f>Ops!AM$144</f>
        <v/>
      </c>
      <c r="AN18" s="41">
        <f>Ops!AN$144</f>
        <v/>
      </c>
      <c r="AO18" s="41">
        <f>Ops!AO$144</f>
        <v/>
      </c>
      <c r="AP18" s="41">
        <f>Ops!AP$144</f>
        <v/>
      </c>
      <c r="AQ18" s="41">
        <f>Ops!AQ$144</f>
        <v/>
      </c>
      <c r="AR18" s="41">
        <f>Ops!AR$144</f>
        <v/>
      </c>
      <c r="AS18" s="41">
        <f>Ops!AS$144</f>
        <v/>
      </c>
      <c r="AT18" s="41">
        <f>Ops!AT$144</f>
        <v/>
      </c>
      <c r="AU18" s="41">
        <f>Ops!AU$144</f>
        <v/>
      </c>
      <c r="AV18" s="41">
        <f>Ops!AV$144</f>
        <v/>
      </c>
      <c r="AW18" s="41">
        <f>Ops!AW$144</f>
        <v/>
      </c>
      <c r="AX18" s="41">
        <f>Ops!AX$144</f>
        <v/>
      </c>
      <c r="AY18" s="41">
        <f>Ops!AY$144</f>
        <v/>
      </c>
      <c r="AZ18" s="41">
        <f>Ops!AZ$144</f>
        <v/>
      </c>
      <c r="BA18" s="41">
        <f>Ops!BA$144</f>
        <v/>
      </c>
      <c r="BB18" s="41">
        <f>Ops!BB$144</f>
        <v/>
      </c>
      <c r="BC18" s="41">
        <f>Ops!BC$144</f>
        <v/>
      </c>
      <c r="BD18" s="41">
        <f>Ops!BD$144</f>
        <v/>
      </c>
      <c r="BE18" s="41">
        <f>Ops!BE$144</f>
        <v/>
      </c>
      <c r="BF18" s="41">
        <f>Ops!BF$144</f>
        <v/>
      </c>
      <c r="BG18" s="41">
        <f>Ops!BG$144</f>
        <v/>
      </c>
      <c r="BH18" s="41">
        <f>Ops!BH$144</f>
        <v/>
      </c>
      <c r="BI18" s="41">
        <f>Ops!BI$144</f>
        <v/>
      </c>
      <c r="BJ18" s="41">
        <f>Ops!BJ$144</f>
        <v/>
      </c>
      <c r="BK18" s="41">
        <f>Ops!BK$144</f>
        <v/>
      </c>
      <c r="BL18" s="41">
        <f>Ops!BL$144</f>
        <v/>
      </c>
    </row>
    <row r="19">
      <c r="A19" s="100" t="inlineStr">
        <is>
          <t>EBITDA</t>
        </is>
      </c>
      <c r="B19" s="101" t="inlineStr">
        <is>
          <t>LCY</t>
        </is>
      </c>
      <c r="C19" s="102">
        <f>SUM(E19:BL19)</f>
        <v/>
      </c>
      <c r="D19" s="103" t="n"/>
      <c r="E19" s="104">
        <f>E14+E15+E16+E17+E18</f>
        <v/>
      </c>
      <c r="F19" s="104">
        <f>F14+F15+F16+F17+F18</f>
        <v/>
      </c>
      <c r="G19" s="104">
        <f>G14+G15+G16+G17+G18</f>
        <v/>
      </c>
      <c r="H19" s="104">
        <f>H14+H15+H16+H17+H18</f>
        <v/>
      </c>
      <c r="I19" s="104">
        <f>I14+I15+I16+I17+I18</f>
        <v/>
      </c>
      <c r="J19" s="104">
        <f>J14+J15+J16+J17+J18</f>
        <v/>
      </c>
      <c r="K19" s="104">
        <f>K14+K15+K16+K17+K18</f>
        <v/>
      </c>
      <c r="L19" s="104">
        <f>L14+L15+L16+L17+L18</f>
        <v/>
      </c>
      <c r="M19" s="104">
        <f>M14+M15+M16+M17+M18</f>
        <v/>
      </c>
      <c r="N19" s="104">
        <f>N14+N15+N16+N17+N18</f>
        <v/>
      </c>
      <c r="O19" s="104">
        <f>O14+O15+O16+O17+O18</f>
        <v/>
      </c>
      <c r="P19" s="104">
        <f>P14+P15+P16+P17+P18</f>
        <v/>
      </c>
      <c r="Q19" s="104">
        <f>Q14+Q15+Q16+Q17+Q18</f>
        <v/>
      </c>
      <c r="R19" s="104">
        <f>R14+R15+R16+R17+R18</f>
        <v/>
      </c>
      <c r="S19" s="104">
        <f>S14+S15+S16+S17+S18</f>
        <v/>
      </c>
      <c r="T19" s="104">
        <f>T14+T15+T16+T17+T18</f>
        <v/>
      </c>
      <c r="U19" s="104">
        <f>U14+U15+U16+U17+U18</f>
        <v/>
      </c>
      <c r="V19" s="104">
        <f>V14+V15+V16+V17+V18</f>
        <v/>
      </c>
      <c r="W19" s="104">
        <f>W14+W15+W16+W17+W18</f>
        <v/>
      </c>
      <c r="X19" s="104">
        <f>X14+X15+X16+X17+X18</f>
        <v/>
      </c>
      <c r="Y19" s="104">
        <f>Y14+Y15+Y16+Y17+Y18</f>
        <v/>
      </c>
      <c r="Z19" s="104">
        <f>Z14+Z15+Z16+Z17+Z18</f>
        <v/>
      </c>
      <c r="AA19" s="104">
        <f>AA14+AA15+AA16+AA17+AA18</f>
        <v/>
      </c>
      <c r="AB19" s="104">
        <f>AB14+AB15+AB16+AB17+AB18</f>
        <v/>
      </c>
      <c r="AC19" s="104">
        <f>AC14+AC15+AC16+AC17+AC18</f>
        <v/>
      </c>
      <c r="AD19" s="104">
        <f>AD14+AD15+AD16+AD17+AD18</f>
        <v/>
      </c>
      <c r="AE19" s="104">
        <f>AE14+AE15+AE16+AE17+AE18</f>
        <v/>
      </c>
      <c r="AF19" s="104">
        <f>AF14+AF15+AF16+AF17+AF18</f>
        <v/>
      </c>
      <c r="AG19" s="104">
        <f>AG14+AG15+AG16+AG17+AG18</f>
        <v/>
      </c>
      <c r="AH19" s="104">
        <f>AH14+AH15+AH16+AH17+AH18</f>
        <v/>
      </c>
      <c r="AI19" s="104">
        <f>AI14+AI15+AI16+AI17+AI18</f>
        <v/>
      </c>
      <c r="AJ19" s="104">
        <f>AJ14+AJ15+AJ16+AJ17+AJ18</f>
        <v/>
      </c>
      <c r="AK19" s="104">
        <f>AK14+AK15+AK16+AK17+AK18</f>
        <v/>
      </c>
      <c r="AL19" s="104">
        <f>AL14+AL15+AL16+AL17+AL18</f>
        <v/>
      </c>
      <c r="AM19" s="104">
        <f>AM14+AM15+AM16+AM17+AM18</f>
        <v/>
      </c>
      <c r="AN19" s="104">
        <f>AN14+AN15+AN16+AN17+AN18</f>
        <v/>
      </c>
      <c r="AO19" s="104">
        <f>AO14+AO15+AO16+AO17+AO18</f>
        <v/>
      </c>
      <c r="AP19" s="104">
        <f>AP14+AP15+AP16+AP17+AP18</f>
        <v/>
      </c>
      <c r="AQ19" s="104">
        <f>AQ14+AQ15+AQ16+AQ17+AQ18</f>
        <v/>
      </c>
      <c r="AR19" s="104">
        <f>AR14+AR15+AR16+AR17+AR18</f>
        <v/>
      </c>
      <c r="AS19" s="104">
        <f>AS14+AS15+AS16+AS17+AS18</f>
        <v/>
      </c>
      <c r="AT19" s="104">
        <f>AT14+AT15+AT16+AT17+AT18</f>
        <v/>
      </c>
      <c r="AU19" s="104">
        <f>AU14+AU15+AU16+AU17+AU18</f>
        <v/>
      </c>
      <c r="AV19" s="104">
        <f>AV14+AV15+AV16+AV17+AV18</f>
        <v/>
      </c>
      <c r="AW19" s="104">
        <f>AW14+AW15+AW16+AW17+AW18</f>
        <v/>
      </c>
      <c r="AX19" s="104">
        <f>AX14+AX15+AX16+AX17+AX18</f>
        <v/>
      </c>
      <c r="AY19" s="104">
        <f>AY14+AY15+AY16+AY17+AY18</f>
        <v/>
      </c>
      <c r="AZ19" s="104">
        <f>AZ14+AZ15+AZ16+AZ17+AZ18</f>
        <v/>
      </c>
      <c r="BA19" s="104">
        <f>BA14+BA15+BA16+BA17+BA18</f>
        <v/>
      </c>
      <c r="BB19" s="104">
        <f>BB14+BB15+BB16+BB17+BB18</f>
        <v/>
      </c>
      <c r="BC19" s="104">
        <f>BC14+BC15+BC16+BC17+BC18</f>
        <v/>
      </c>
      <c r="BD19" s="104">
        <f>BD14+BD15+BD16+BD17+BD18</f>
        <v/>
      </c>
      <c r="BE19" s="104">
        <f>BE14+BE15+BE16+BE17+BE18</f>
        <v/>
      </c>
      <c r="BF19" s="104">
        <f>BF14+BF15+BF16+BF17+BF18</f>
        <v/>
      </c>
      <c r="BG19" s="104">
        <f>BG14+BG15+BG16+BG17+BG18</f>
        <v/>
      </c>
      <c r="BH19" s="104">
        <f>BH14+BH15+BH16+BH17+BH18</f>
        <v/>
      </c>
      <c r="BI19" s="104">
        <f>BI14+BI15+BI16+BI17+BI18</f>
        <v/>
      </c>
      <c r="BJ19" s="104">
        <f>BJ14+BJ15+BJ16+BJ17+BJ18</f>
        <v/>
      </c>
      <c r="BK19" s="104">
        <f>BK14+BK15+BK16+BK17+BK18</f>
        <v/>
      </c>
      <c r="BL19" s="104">
        <f>BL14+BL15+BL16+BL17+BL18</f>
        <v/>
      </c>
    </row>
    <row r="20">
      <c r="A20" s="98" t="inlineStr">
        <is>
          <t>Depreciation</t>
        </is>
      </c>
      <c r="B20" s="65" t="inlineStr">
        <is>
          <t>LCY</t>
        </is>
      </c>
      <c r="C20" s="105">
        <f>SUM(E20:BL20)</f>
        <v/>
      </c>
      <c r="E20" s="41">
        <f>-Costs!E$27</f>
        <v/>
      </c>
      <c r="F20" s="41">
        <f>-Costs!F$27</f>
        <v/>
      </c>
      <c r="G20" s="41">
        <f>-Costs!G$27</f>
        <v/>
      </c>
      <c r="H20" s="41">
        <f>-Costs!H$27</f>
        <v/>
      </c>
      <c r="I20" s="41">
        <f>-Costs!I$27</f>
        <v/>
      </c>
      <c r="J20" s="41">
        <f>-Costs!J$27</f>
        <v/>
      </c>
      <c r="K20" s="41">
        <f>-Costs!K$27</f>
        <v/>
      </c>
      <c r="L20" s="41">
        <f>-Costs!L$27</f>
        <v/>
      </c>
      <c r="M20" s="41">
        <f>-Costs!M$27</f>
        <v/>
      </c>
      <c r="N20" s="41">
        <f>-Costs!N$27</f>
        <v/>
      </c>
      <c r="O20" s="41">
        <f>-Costs!O$27</f>
        <v/>
      </c>
      <c r="P20" s="41">
        <f>-Costs!P$27</f>
        <v/>
      </c>
      <c r="Q20" s="41">
        <f>-Costs!Q$27</f>
        <v/>
      </c>
      <c r="R20" s="41">
        <f>-Costs!R$27</f>
        <v/>
      </c>
      <c r="S20" s="41">
        <f>-Costs!S$27</f>
        <v/>
      </c>
      <c r="T20" s="41">
        <f>-Costs!T$27</f>
        <v/>
      </c>
      <c r="U20" s="41">
        <f>-Costs!U$27</f>
        <v/>
      </c>
      <c r="V20" s="41">
        <f>-Costs!V$27</f>
        <v/>
      </c>
      <c r="W20" s="41">
        <f>-Costs!W$27</f>
        <v/>
      </c>
      <c r="X20" s="41">
        <f>-Costs!X$27</f>
        <v/>
      </c>
      <c r="Y20" s="41">
        <f>-Costs!Y$27</f>
        <v/>
      </c>
      <c r="Z20" s="41">
        <f>-Costs!Z$27</f>
        <v/>
      </c>
      <c r="AA20" s="41">
        <f>-Costs!AA$27</f>
        <v/>
      </c>
      <c r="AB20" s="41">
        <f>-Costs!AB$27</f>
        <v/>
      </c>
      <c r="AC20" s="41">
        <f>-Costs!AC$27</f>
        <v/>
      </c>
      <c r="AD20" s="41">
        <f>-Costs!AD$27</f>
        <v/>
      </c>
      <c r="AE20" s="41">
        <f>-Costs!AE$27</f>
        <v/>
      </c>
      <c r="AF20" s="41">
        <f>-Costs!AF$27</f>
        <v/>
      </c>
      <c r="AG20" s="41">
        <f>-Costs!AG$27</f>
        <v/>
      </c>
      <c r="AH20" s="41">
        <f>-Costs!AH$27</f>
        <v/>
      </c>
      <c r="AI20" s="41">
        <f>-Costs!AI$27</f>
        <v/>
      </c>
      <c r="AJ20" s="41">
        <f>-Costs!AJ$27</f>
        <v/>
      </c>
      <c r="AK20" s="41">
        <f>-Costs!AK$27</f>
        <v/>
      </c>
      <c r="AL20" s="41">
        <f>-Costs!AL$27</f>
        <v/>
      </c>
      <c r="AM20" s="41">
        <f>-Costs!AM$27</f>
        <v/>
      </c>
      <c r="AN20" s="41">
        <f>-Costs!AN$27</f>
        <v/>
      </c>
      <c r="AO20" s="41">
        <f>-Costs!AO$27</f>
        <v/>
      </c>
      <c r="AP20" s="41">
        <f>-Costs!AP$27</f>
        <v/>
      </c>
      <c r="AQ20" s="41">
        <f>-Costs!AQ$27</f>
        <v/>
      </c>
      <c r="AR20" s="41">
        <f>-Costs!AR$27</f>
        <v/>
      </c>
      <c r="AS20" s="41">
        <f>-Costs!AS$27</f>
        <v/>
      </c>
      <c r="AT20" s="41">
        <f>-Costs!AT$27</f>
        <v/>
      </c>
      <c r="AU20" s="41">
        <f>-Costs!AU$27</f>
        <v/>
      </c>
      <c r="AV20" s="41">
        <f>-Costs!AV$27</f>
        <v/>
      </c>
      <c r="AW20" s="41">
        <f>-Costs!AW$27</f>
        <v/>
      </c>
      <c r="AX20" s="41">
        <f>-Costs!AX$27</f>
        <v/>
      </c>
      <c r="AY20" s="41">
        <f>-Costs!AY$27</f>
        <v/>
      </c>
      <c r="AZ20" s="41">
        <f>-Costs!AZ$27</f>
        <v/>
      </c>
      <c r="BA20" s="41">
        <f>-Costs!BA$27</f>
        <v/>
      </c>
      <c r="BB20" s="41">
        <f>-Costs!BB$27</f>
        <v/>
      </c>
      <c r="BC20" s="41">
        <f>-Costs!BC$27</f>
        <v/>
      </c>
      <c r="BD20" s="41">
        <f>-Costs!BD$27</f>
        <v/>
      </c>
      <c r="BE20" s="41">
        <f>-Costs!BE$27</f>
        <v/>
      </c>
      <c r="BF20" s="41">
        <f>-Costs!BF$27</f>
        <v/>
      </c>
      <c r="BG20" s="41">
        <f>-Costs!BG$27</f>
        <v/>
      </c>
      <c r="BH20" s="41">
        <f>-Costs!BH$27</f>
        <v/>
      </c>
      <c r="BI20" s="41">
        <f>-Costs!BI$27</f>
        <v/>
      </c>
      <c r="BJ20" s="41">
        <f>-Costs!BJ$27</f>
        <v/>
      </c>
      <c r="BK20" s="41">
        <f>-Costs!BK$27</f>
        <v/>
      </c>
      <c r="BL20" s="41">
        <f>-Costs!BL$27</f>
        <v/>
      </c>
    </row>
    <row r="21">
      <c r="A21" s="100" t="inlineStr">
        <is>
          <t>EBIT</t>
        </is>
      </c>
      <c r="B21" s="101" t="inlineStr">
        <is>
          <t>LCY</t>
        </is>
      </c>
      <c r="C21" s="102">
        <f>SUM(E21:BL21)</f>
        <v/>
      </c>
      <c r="D21" s="103" t="n"/>
      <c r="E21" s="104">
        <f>E19+E20</f>
        <v/>
      </c>
      <c r="F21" s="104">
        <f>F19+F20</f>
        <v/>
      </c>
      <c r="G21" s="104">
        <f>G19+G20</f>
        <v/>
      </c>
      <c r="H21" s="104">
        <f>H19+H20</f>
        <v/>
      </c>
      <c r="I21" s="104">
        <f>I19+I20</f>
        <v/>
      </c>
      <c r="J21" s="104">
        <f>J19+J20</f>
        <v/>
      </c>
      <c r="K21" s="104">
        <f>K19+K20</f>
        <v/>
      </c>
      <c r="L21" s="104">
        <f>L19+L20</f>
        <v/>
      </c>
      <c r="M21" s="104">
        <f>M19+M20</f>
        <v/>
      </c>
      <c r="N21" s="104">
        <f>N19+N20</f>
        <v/>
      </c>
      <c r="O21" s="104">
        <f>O19+O20</f>
        <v/>
      </c>
      <c r="P21" s="104">
        <f>P19+P20</f>
        <v/>
      </c>
      <c r="Q21" s="104">
        <f>Q19+Q20</f>
        <v/>
      </c>
      <c r="R21" s="104">
        <f>R19+R20</f>
        <v/>
      </c>
      <c r="S21" s="104">
        <f>S19+S20</f>
        <v/>
      </c>
      <c r="T21" s="104">
        <f>T19+T20</f>
        <v/>
      </c>
      <c r="U21" s="104">
        <f>U19+U20</f>
        <v/>
      </c>
      <c r="V21" s="104">
        <f>V19+V20</f>
        <v/>
      </c>
      <c r="W21" s="104">
        <f>W19+W20</f>
        <v/>
      </c>
      <c r="X21" s="104">
        <f>X19+X20</f>
        <v/>
      </c>
      <c r="Y21" s="104">
        <f>Y19+Y20</f>
        <v/>
      </c>
      <c r="Z21" s="104">
        <f>Z19+Z20</f>
        <v/>
      </c>
      <c r="AA21" s="104">
        <f>AA19+AA20</f>
        <v/>
      </c>
      <c r="AB21" s="104">
        <f>AB19+AB20</f>
        <v/>
      </c>
      <c r="AC21" s="104">
        <f>AC19+AC20</f>
        <v/>
      </c>
      <c r="AD21" s="104">
        <f>AD19+AD20</f>
        <v/>
      </c>
      <c r="AE21" s="104">
        <f>AE19+AE20</f>
        <v/>
      </c>
      <c r="AF21" s="104">
        <f>AF19+AF20</f>
        <v/>
      </c>
      <c r="AG21" s="104">
        <f>AG19+AG20</f>
        <v/>
      </c>
      <c r="AH21" s="104">
        <f>AH19+AH20</f>
        <v/>
      </c>
      <c r="AI21" s="104">
        <f>AI19+AI20</f>
        <v/>
      </c>
      <c r="AJ21" s="104">
        <f>AJ19+AJ20</f>
        <v/>
      </c>
      <c r="AK21" s="104">
        <f>AK19+AK20</f>
        <v/>
      </c>
      <c r="AL21" s="104">
        <f>AL19+AL20</f>
        <v/>
      </c>
      <c r="AM21" s="104">
        <f>AM19+AM20</f>
        <v/>
      </c>
      <c r="AN21" s="104">
        <f>AN19+AN20</f>
        <v/>
      </c>
      <c r="AO21" s="104">
        <f>AO19+AO20</f>
        <v/>
      </c>
      <c r="AP21" s="104">
        <f>AP19+AP20</f>
        <v/>
      </c>
      <c r="AQ21" s="104">
        <f>AQ19+AQ20</f>
        <v/>
      </c>
      <c r="AR21" s="104">
        <f>AR19+AR20</f>
        <v/>
      </c>
      <c r="AS21" s="104">
        <f>AS19+AS20</f>
        <v/>
      </c>
      <c r="AT21" s="104">
        <f>AT19+AT20</f>
        <v/>
      </c>
      <c r="AU21" s="104">
        <f>AU19+AU20</f>
        <v/>
      </c>
      <c r="AV21" s="104">
        <f>AV19+AV20</f>
        <v/>
      </c>
      <c r="AW21" s="104">
        <f>AW19+AW20</f>
        <v/>
      </c>
      <c r="AX21" s="104">
        <f>AX19+AX20</f>
        <v/>
      </c>
      <c r="AY21" s="104">
        <f>AY19+AY20</f>
        <v/>
      </c>
      <c r="AZ21" s="104">
        <f>AZ19+AZ20</f>
        <v/>
      </c>
      <c r="BA21" s="104">
        <f>BA19+BA20</f>
        <v/>
      </c>
      <c r="BB21" s="104">
        <f>BB19+BB20</f>
        <v/>
      </c>
      <c r="BC21" s="104">
        <f>BC19+BC20</f>
        <v/>
      </c>
      <c r="BD21" s="104">
        <f>BD19+BD20</f>
        <v/>
      </c>
      <c r="BE21" s="104">
        <f>BE19+BE20</f>
        <v/>
      </c>
      <c r="BF21" s="104">
        <f>BF19+BF20</f>
        <v/>
      </c>
      <c r="BG21" s="104">
        <f>BG19+BG20</f>
        <v/>
      </c>
      <c r="BH21" s="104">
        <f>BH19+BH20</f>
        <v/>
      </c>
      <c r="BI21" s="104">
        <f>BI19+BI20</f>
        <v/>
      </c>
      <c r="BJ21" s="104">
        <f>BJ19+BJ20</f>
        <v/>
      </c>
      <c r="BK21" s="104">
        <f>BK19+BK20</f>
        <v/>
      </c>
      <c r="BL21" s="104">
        <f>BL19+BL20</f>
        <v/>
      </c>
    </row>
    <row r="22">
      <c r="A22" s="98" t="inlineStr">
        <is>
          <t>Interest: USD term loan</t>
        </is>
      </c>
      <c r="B22" s="65" t="inlineStr">
        <is>
          <t>LCY</t>
        </is>
      </c>
      <c r="C22" s="105">
        <f>SUM(E22:BL22)</f>
        <v/>
      </c>
      <c r="E22" s="41">
        <f>-Financing!E$16</f>
        <v/>
      </c>
      <c r="F22" s="41">
        <f>-Financing!F$16</f>
        <v/>
      </c>
      <c r="G22" s="41">
        <f>-Financing!G$16</f>
        <v/>
      </c>
      <c r="H22" s="41">
        <f>-Financing!H$16</f>
        <v/>
      </c>
      <c r="I22" s="41">
        <f>-Financing!I$16</f>
        <v/>
      </c>
      <c r="J22" s="41">
        <f>-Financing!J$16</f>
        <v/>
      </c>
      <c r="K22" s="41">
        <f>-Financing!K$16</f>
        <v/>
      </c>
      <c r="L22" s="41">
        <f>-Financing!L$16</f>
        <v/>
      </c>
      <c r="M22" s="41">
        <f>-Financing!M$16</f>
        <v/>
      </c>
      <c r="N22" s="41">
        <f>-Financing!N$16</f>
        <v/>
      </c>
      <c r="O22" s="41">
        <f>-Financing!O$16</f>
        <v/>
      </c>
      <c r="P22" s="41">
        <f>-Financing!P$16</f>
        <v/>
      </c>
      <c r="Q22" s="41">
        <f>-Financing!Q$16</f>
        <v/>
      </c>
      <c r="R22" s="41">
        <f>-Financing!R$16</f>
        <v/>
      </c>
      <c r="S22" s="41">
        <f>-Financing!S$16</f>
        <v/>
      </c>
      <c r="T22" s="41">
        <f>-Financing!T$16</f>
        <v/>
      </c>
      <c r="U22" s="41">
        <f>-Financing!U$16</f>
        <v/>
      </c>
      <c r="V22" s="41">
        <f>-Financing!V$16</f>
        <v/>
      </c>
      <c r="W22" s="41">
        <f>-Financing!W$16</f>
        <v/>
      </c>
      <c r="X22" s="41">
        <f>-Financing!X$16</f>
        <v/>
      </c>
      <c r="Y22" s="41">
        <f>-Financing!Y$16</f>
        <v/>
      </c>
      <c r="Z22" s="41">
        <f>-Financing!Z$16</f>
        <v/>
      </c>
      <c r="AA22" s="41">
        <f>-Financing!AA$16</f>
        <v/>
      </c>
      <c r="AB22" s="41">
        <f>-Financing!AB$16</f>
        <v/>
      </c>
      <c r="AC22" s="41">
        <f>-Financing!AC$16</f>
        <v/>
      </c>
      <c r="AD22" s="41">
        <f>-Financing!AD$16</f>
        <v/>
      </c>
      <c r="AE22" s="41">
        <f>-Financing!AE$16</f>
        <v/>
      </c>
      <c r="AF22" s="41">
        <f>-Financing!AF$16</f>
        <v/>
      </c>
      <c r="AG22" s="41">
        <f>-Financing!AG$16</f>
        <v/>
      </c>
      <c r="AH22" s="41">
        <f>-Financing!AH$16</f>
        <v/>
      </c>
      <c r="AI22" s="41">
        <f>-Financing!AI$16</f>
        <v/>
      </c>
      <c r="AJ22" s="41">
        <f>-Financing!AJ$16</f>
        <v/>
      </c>
      <c r="AK22" s="41">
        <f>-Financing!AK$16</f>
        <v/>
      </c>
      <c r="AL22" s="41">
        <f>-Financing!AL$16</f>
        <v/>
      </c>
      <c r="AM22" s="41">
        <f>-Financing!AM$16</f>
        <v/>
      </c>
      <c r="AN22" s="41">
        <f>-Financing!AN$16</f>
        <v/>
      </c>
      <c r="AO22" s="41">
        <f>-Financing!AO$16</f>
        <v/>
      </c>
      <c r="AP22" s="41">
        <f>-Financing!AP$16</f>
        <v/>
      </c>
      <c r="AQ22" s="41">
        <f>-Financing!AQ$16</f>
        <v/>
      </c>
      <c r="AR22" s="41">
        <f>-Financing!AR$16</f>
        <v/>
      </c>
      <c r="AS22" s="41">
        <f>-Financing!AS$16</f>
        <v/>
      </c>
      <c r="AT22" s="41">
        <f>-Financing!AT$16</f>
        <v/>
      </c>
      <c r="AU22" s="41">
        <f>-Financing!AU$16</f>
        <v/>
      </c>
      <c r="AV22" s="41">
        <f>-Financing!AV$16</f>
        <v/>
      </c>
      <c r="AW22" s="41">
        <f>-Financing!AW$16</f>
        <v/>
      </c>
      <c r="AX22" s="41">
        <f>-Financing!AX$16</f>
        <v/>
      </c>
      <c r="AY22" s="41">
        <f>-Financing!AY$16</f>
        <v/>
      </c>
      <c r="AZ22" s="41">
        <f>-Financing!AZ$16</f>
        <v/>
      </c>
      <c r="BA22" s="41">
        <f>-Financing!BA$16</f>
        <v/>
      </c>
      <c r="BB22" s="41">
        <f>-Financing!BB$16</f>
        <v/>
      </c>
      <c r="BC22" s="41">
        <f>-Financing!BC$16</f>
        <v/>
      </c>
      <c r="BD22" s="41">
        <f>-Financing!BD$16</f>
        <v/>
      </c>
      <c r="BE22" s="41">
        <f>-Financing!BE$16</f>
        <v/>
      </c>
      <c r="BF22" s="41">
        <f>-Financing!BF$16</f>
        <v/>
      </c>
      <c r="BG22" s="41">
        <f>-Financing!BG$16</f>
        <v/>
      </c>
      <c r="BH22" s="41">
        <f>-Financing!BH$16</f>
        <v/>
      </c>
      <c r="BI22" s="41">
        <f>-Financing!BI$16</f>
        <v/>
      </c>
      <c r="BJ22" s="41">
        <f>-Financing!BJ$16</f>
        <v/>
      </c>
      <c r="BK22" s="41">
        <f>-Financing!BK$16</f>
        <v/>
      </c>
      <c r="BL22" s="41">
        <f>-Financing!BL$16</f>
        <v/>
      </c>
    </row>
    <row r="23">
      <c r="A23" s="98" t="inlineStr">
        <is>
          <t>Interest: receivables facility</t>
        </is>
      </c>
      <c r="B23" s="65" t="inlineStr">
        <is>
          <t>LCY</t>
        </is>
      </c>
      <c r="C23" s="105">
        <f>SUM(E23:BL23)</f>
        <v/>
      </c>
      <c r="E23" s="41">
        <f>-Financing!E$25</f>
        <v/>
      </c>
      <c r="F23" s="41">
        <f>-Financing!F$25</f>
        <v/>
      </c>
      <c r="G23" s="41">
        <f>-Financing!G$25</f>
        <v/>
      </c>
      <c r="H23" s="41">
        <f>-Financing!H$25</f>
        <v/>
      </c>
      <c r="I23" s="41">
        <f>-Financing!I$25</f>
        <v/>
      </c>
      <c r="J23" s="41">
        <f>-Financing!J$25</f>
        <v/>
      </c>
      <c r="K23" s="41">
        <f>-Financing!K$25</f>
        <v/>
      </c>
      <c r="L23" s="41">
        <f>-Financing!L$25</f>
        <v/>
      </c>
      <c r="M23" s="41">
        <f>-Financing!M$25</f>
        <v/>
      </c>
      <c r="N23" s="41">
        <f>-Financing!N$25</f>
        <v/>
      </c>
      <c r="O23" s="41">
        <f>-Financing!O$25</f>
        <v/>
      </c>
      <c r="P23" s="41">
        <f>-Financing!P$25</f>
        <v/>
      </c>
      <c r="Q23" s="41">
        <f>-Financing!Q$25</f>
        <v/>
      </c>
      <c r="R23" s="41">
        <f>-Financing!R$25</f>
        <v/>
      </c>
      <c r="S23" s="41">
        <f>-Financing!S$25</f>
        <v/>
      </c>
      <c r="T23" s="41">
        <f>-Financing!T$25</f>
        <v/>
      </c>
      <c r="U23" s="41">
        <f>-Financing!U$25</f>
        <v/>
      </c>
      <c r="V23" s="41">
        <f>-Financing!V$25</f>
        <v/>
      </c>
      <c r="W23" s="41">
        <f>-Financing!W$25</f>
        <v/>
      </c>
      <c r="X23" s="41">
        <f>-Financing!X$25</f>
        <v/>
      </c>
      <c r="Y23" s="41">
        <f>-Financing!Y$25</f>
        <v/>
      </c>
      <c r="Z23" s="41">
        <f>-Financing!Z$25</f>
        <v/>
      </c>
      <c r="AA23" s="41">
        <f>-Financing!AA$25</f>
        <v/>
      </c>
      <c r="AB23" s="41">
        <f>-Financing!AB$25</f>
        <v/>
      </c>
      <c r="AC23" s="41">
        <f>-Financing!AC$25</f>
        <v/>
      </c>
      <c r="AD23" s="41">
        <f>-Financing!AD$25</f>
        <v/>
      </c>
      <c r="AE23" s="41">
        <f>-Financing!AE$25</f>
        <v/>
      </c>
      <c r="AF23" s="41">
        <f>-Financing!AF$25</f>
        <v/>
      </c>
      <c r="AG23" s="41">
        <f>-Financing!AG$25</f>
        <v/>
      </c>
      <c r="AH23" s="41">
        <f>-Financing!AH$25</f>
        <v/>
      </c>
      <c r="AI23" s="41">
        <f>-Financing!AI$25</f>
        <v/>
      </c>
      <c r="AJ23" s="41">
        <f>-Financing!AJ$25</f>
        <v/>
      </c>
      <c r="AK23" s="41">
        <f>-Financing!AK$25</f>
        <v/>
      </c>
      <c r="AL23" s="41">
        <f>-Financing!AL$25</f>
        <v/>
      </c>
      <c r="AM23" s="41">
        <f>-Financing!AM$25</f>
        <v/>
      </c>
      <c r="AN23" s="41">
        <f>-Financing!AN$25</f>
        <v/>
      </c>
      <c r="AO23" s="41">
        <f>-Financing!AO$25</f>
        <v/>
      </c>
      <c r="AP23" s="41">
        <f>-Financing!AP$25</f>
        <v/>
      </c>
      <c r="AQ23" s="41">
        <f>-Financing!AQ$25</f>
        <v/>
      </c>
      <c r="AR23" s="41">
        <f>-Financing!AR$25</f>
        <v/>
      </c>
      <c r="AS23" s="41">
        <f>-Financing!AS$25</f>
        <v/>
      </c>
      <c r="AT23" s="41">
        <f>-Financing!AT$25</f>
        <v/>
      </c>
      <c r="AU23" s="41">
        <f>-Financing!AU$25</f>
        <v/>
      </c>
      <c r="AV23" s="41">
        <f>-Financing!AV$25</f>
        <v/>
      </c>
      <c r="AW23" s="41">
        <f>-Financing!AW$25</f>
        <v/>
      </c>
      <c r="AX23" s="41">
        <f>-Financing!AX$25</f>
        <v/>
      </c>
      <c r="AY23" s="41">
        <f>-Financing!AY$25</f>
        <v/>
      </c>
      <c r="AZ23" s="41">
        <f>-Financing!AZ$25</f>
        <v/>
      </c>
      <c r="BA23" s="41">
        <f>-Financing!BA$25</f>
        <v/>
      </c>
      <c r="BB23" s="41">
        <f>-Financing!BB$25</f>
        <v/>
      </c>
      <c r="BC23" s="41">
        <f>-Financing!BC$25</f>
        <v/>
      </c>
      <c r="BD23" s="41">
        <f>-Financing!BD$25</f>
        <v/>
      </c>
      <c r="BE23" s="41">
        <f>-Financing!BE$25</f>
        <v/>
      </c>
      <c r="BF23" s="41">
        <f>-Financing!BF$25</f>
        <v/>
      </c>
      <c r="BG23" s="41">
        <f>-Financing!BG$25</f>
        <v/>
      </c>
      <c r="BH23" s="41">
        <f>-Financing!BH$25</f>
        <v/>
      </c>
      <c r="BI23" s="41">
        <f>-Financing!BI$25</f>
        <v/>
      </c>
      <c r="BJ23" s="41">
        <f>-Financing!BJ$25</f>
        <v/>
      </c>
      <c r="BK23" s="41">
        <f>-Financing!BK$25</f>
        <v/>
      </c>
      <c r="BL23" s="41">
        <f>-Financing!BL$25</f>
        <v/>
      </c>
    </row>
    <row r="24">
      <c r="A24" s="98" t="inlineStr">
        <is>
          <t>Facility / securitisation fees</t>
        </is>
      </c>
      <c r="B24" s="65" t="inlineStr">
        <is>
          <t>LCY</t>
        </is>
      </c>
      <c r="C24" s="105">
        <f>SUM(E24:BL24)</f>
        <v/>
      </c>
      <c r="E24" s="41">
        <f>-Financing!E$26</f>
        <v/>
      </c>
      <c r="F24" s="41">
        <f>-Financing!F$26</f>
        <v/>
      </c>
      <c r="G24" s="41">
        <f>-Financing!G$26</f>
        <v/>
      </c>
      <c r="H24" s="41">
        <f>-Financing!H$26</f>
        <v/>
      </c>
      <c r="I24" s="41">
        <f>-Financing!I$26</f>
        <v/>
      </c>
      <c r="J24" s="41">
        <f>-Financing!J$26</f>
        <v/>
      </c>
      <c r="K24" s="41">
        <f>-Financing!K$26</f>
        <v/>
      </c>
      <c r="L24" s="41">
        <f>-Financing!L$26</f>
        <v/>
      </c>
      <c r="M24" s="41">
        <f>-Financing!M$26</f>
        <v/>
      </c>
      <c r="N24" s="41">
        <f>-Financing!N$26</f>
        <v/>
      </c>
      <c r="O24" s="41">
        <f>-Financing!O$26</f>
        <v/>
      </c>
      <c r="P24" s="41">
        <f>-Financing!P$26</f>
        <v/>
      </c>
      <c r="Q24" s="41">
        <f>-Financing!Q$26</f>
        <v/>
      </c>
      <c r="R24" s="41">
        <f>-Financing!R$26</f>
        <v/>
      </c>
      <c r="S24" s="41">
        <f>-Financing!S$26</f>
        <v/>
      </c>
      <c r="T24" s="41">
        <f>-Financing!T$26</f>
        <v/>
      </c>
      <c r="U24" s="41">
        <f>-Financing!U$26</f>
        <v/>
      </c>
      <c r="V24" s="41">
        <f>-Financing!V$26</f>
        <v/>
      </c>
      <c r="W24" s="41">
        <f>-Financing!W$26</f>
        <v/>
      </c>
      <c r="X24" s="41">
        <f>-Financing!X$26</f>
        <v/>
      </c>
      <c r="Y24" s="41">
        <f>-Financing!Y$26</f>
        <v/>
      </c>
      <c r="Z24" s="41">
        <f>-Financing!Z$26</f>
        <v/>
      </c>
      <c r="AA24" s="41">
        <f>-Financing!AA$26</f>
        <v/>
      </c>
      <c r="AB24" s="41">
        <f>-Financing!AB$26</f>
        <v/>
      </c>
      <c r="AC24" s="41">
        <f>-Financing!AC$26</f>
        <v/>
      </c>
      <c r="AD24" s="41">
        <f>-Financing!AD$26</f>
        <v/>
      </c>
      <c r="AE24" s="41">
        <f>-Financing!AE$26</f>
        <v/>
      </c>
      <c r="AF24" s="41">
        <f>-Financing!AF$26</f>
        <v/>
      </c>
      <c r="AG24" s="41">
        <f>-Financing!AG$26</f>
        <v/>
      </c>
      <c r="AH24" s="41">
        <f>-Financing!AH$26</f>
        <v/>
      </c>
      <c r="AI24" s="41">
        <f>-Financing!AI$26</f>
        <v/>
      </c>
      <c r="AJ24" s="41">
        <f>-Financing!AJ$26</f>
        <v/>
      </c>
      <c r="AK24" s="41">
        <f>-Financing!AK$26</f>
        <v/>
      </c>
      <c r="AL24" s="41">
        <f>-Financing!AL$26</f>
        <v/>
      </c>
      <c r="AM24" s="41">
        <f>-Financing!AM$26</f>
        <v/>
      </c>
      <c r="AN24" s="41">
        <f>-Financing!AN$26</f>
        <v/>
      </c>
      <c r="AO24" s="41">
        <f>-Financing!AO$26</f>
        <v/>
      </c>
      <c r="AP24" s="41">
        <f>-Financing!AP$26</f>
        <v/>
      </c>
      <c r="AQ24" s="41">
        <f>-Financing!AQ$26</f>
        <v/>
      </c>
      <c r="AR24" s="41">
        <f>-Financing!AR$26</f>
        <v/>
      </c>
      <c r="AS24" s="41">
        <f>-Financing!AS$26</f>
        <v/>
      </c>
      <c r="AT24" s="41">
        <f>-Financing!AT$26</f>
        <v/>
      </c>
      <c r="AU24" s="41">
        <f>-Financing!AU$26</f>
        <v/>
      </c>
      <c r="AV24" s="41">
        <f>-Financing!AV$26</f>
        <v/>
      </c>
      <c r="AW24" s="41">
        <f>-Financing!AW$26</f>
        <v/>
      </c>
      <c r="AX24" s="41">
        <f>-Financing!AX$26</f>
        <v/>
      </c>
      <c r="AY24" s="41">
        <f>-Financing!AY$26</f>
        <v/>
      </c>
      <c r="AZ24" s="41">
        <f>-Financing!AZ$26</f>
        <v/>
      </c>
      <c r="BA24" s="41">
        <f>-Financing!BA$26</f>
        <v/>
      </c>
      <c r="BB24" s="41">
        <f>-Financing!BB$26</f>
        <v/>
      </c>
      <c r="BC24" s="41">
        <f>-Financing!BC$26</f>
        <v/>
      </c>
      <c r="BD24" s="41">
        <f>-Financing!BD$26</f>
        <v/>
      </c>
      <c r="BE24" s="41">
        <f>-Financing!BE$26</f>
        <v/>
      </c>
      <c r="BF24" s="41">
        <f>-Financing!BF$26</f>
        <v/>
      </c>
      <c r="BG24" s="41">
        <f>-Financing!BG$26</f>
        <v/>
      </c>
      <c r="BH24" s="41">
        <f>-Financing!BH$26</f>
        <v/>
      </c>
      <c r="BI24" s="41">
        <f>-Financing!BI$26</f>
        <v/>
      </c>
      <c r="BJ24" s="41">
        <f>-Financing!BJ$26</f>
        <v/>
      </c>
      <c r="BK24" s="41">
        <f>-Financing!BK$26</f>
        <v/>
      </c>
      <c r="BL24" s="41">
        <f>-Financing!BL$26</f>
        <v/>
      </c>
    </row>
    <row r="25">
      <c r="A25" s="98" t="inlineStr">
        <is>
          <t>FX (loss) / gain on USD debt</t>
        </is>
      </c>
      <c r="B25" s="65" t="inlineStr">
        <is>
          <t>LCY</t>
        </is>
      </c>
      <c r="C25" s="105">
        <f>SUM(E25:BL25)</f>
        <v/>
      </c>
      <c r="E25" s="41">
        <f>-Financing!E$20</f>
        <v/>
      </c>
      <c r="F25" s="41">
        <f>-Financing!F$20</f>
        <v/>
      </c>
      <c r="G25" s="41">
        <f>-Financing!G$20</f>
        <v/>
      </c>
      <c r="H25" s="41">
        <f>-Financing!H$20</f>
        <v/>
      </c>
      <c r="I25" s="41">
        <f>-Financing!I$20</f>
        <v/>
      </c>
      <c r="J25" s="41">
        <f>-Financing!J$20</f>
        <v/>
      </c>
      <c r="K25" s="41">
        <f>-Financing!K$20</f>
        <v/>
      </c>
      <c r="L25" s="41">
        <f>-Financing!L$20</f>
        <v/>
      </c>
      <c r="M25" s="41">
        <f>-Financing!M$20</f>
        <v/>
      </c>
      <c r="N25" s="41">
        <f>-Financing!N$20</f>
        <v/>
      </c>
      <c r="O25" s="41">
        <f>-Financing!O$20</f>
        <v/>
      </c>
      <c r="P25" s="41">
        <f>-Financing!P$20</f>
        <v/>
      </c>
      <c r="Q25" s="41">
        <f>-Financing!Q$20</f>
        <v/>
      </c>
      <c r="R25" s="41">
        <f>-Financing!R$20</f>
        <v/>
      </c>
      <c r="S25" s="41">
        <f>-Financing!S$20</f>
        <v/>
      </c>
      <c r="T25" s="41">
        <f>-Financing!T$20</f>
        <v/>
      </c>
      <c r="U25" s="41">
        <f>-Financing!U$20</f>
        <v/>
      </c>
      <c r="V25" s="41">
        <f>-Financing!V$20</f>
        <v/>
      </c>
      <c r="W25" s="41">
        <f>-Financing!W$20</f>
        <v/>
      </c>
      <c r="X25" s="41">
        <f>-Financing!X$20</f>
        <v/>
      </c>
      <c r="Y25" s="41">
        <f>-Financing!Y$20</f>
        <v/>
      </c>
      <c r="Z25" s="41">
        <f>-Financing!Z$20</f>
        <v/>
      </c>
      <c r="AA25" s="41">
        <f>-Financing!AA$20</f>
        <v/>
      </c>
      <c r="AB25" s="41">
        <f>-Financing!AB$20</f>
        <v/>
      </c>
      <c r="AC25" s="41">
        <f>-Financing!AC$20</f>
        <v/>
      </c>
      <c r="AD25" s="41">
        <f>-Financing!AD$20</f>
        <v/>
      </c>
      <c r="AE25" s="41">
        <f>-Financing!AE$20</f>
        <v/>
      </c>
      <c r="AF25" s="41">
        <f>-Financing!AF$20</f>
        <v/>
      </c>
      <c r="AG25" s="41">
        <f>-Financing!AG$20</f>
        <v/>
      </c>
      <c r="AH25" s="41">
        <f>-Financing!AH$20</f>
        <v/>
      </c>
      <c r="AI25" s="41">
        <f>-Financing!AI$20</f>
        <v/>
      </c>
      <c r="AJ25" s="41">
        <f>-Financing!AJ$20</f>
        <v/>
      </c>
      <c r="AK25" s="41">
        <f>-Financing!AK$20</f>
        <v/>
      </c>
      <c r="AL25" s="41">
        <f>-Financing!AL$20</f>
        <v/>
      </c>
      <c r="AM25" s="41">
        <f>-Financing!AM$20</f>
        <v/>
      </c>
      <c r="AN25" s="41">
        <f>-Financing!AN$20</f>
        <v/>
      </c>
      <c r="AO25" s="41">
        <f>-Financing!AO$20</f>
        <v/>
      </c>
      <c r="AP25" s="41">
        <f>-Financing!AP$20</f>
        <v/>
      </c>
      <c r="AQ25" s="41">
        <f>-Financing!AQ$20</f>
        <v/>
      </c>
      <c r="AR25" s="41">
        <f>-Financing!AR$20</f>
        <v/>
      </c>
      <c r="AS25" s="41">
        <f>-Financing!AS$20</f>
        <v/>
      </c>
      <c r="AT25" s="41">
        <f>-Financing!AT$20</f>
        <v/>
      </c>
      <c r="AU25" s="41">
        <f>-Financing!AU$20</f>
        <v/>
      </c>
      <c r="AV25" s="41">
        <f>-Financing!AV$20</f>
        <v/>
      </c>
      <c r="AW25" s="41">
        <f>-Financing!AW$20</f>
        <v/>
      </c>
      <c r="AX25" s="41">
        <f>-Financing!AX$20</f>
        <v/>
      </c>
      <c r="AY25" s="41">
        <f>-Financing!AY$20</f>
        <v/>
      </c>
      <c r="AZ25" s="41">
        <f>-Financing!AZ$20</f>
        <v/>
      </c>
      <c r="BA25" s="41">
        <f>-Financing!BA$20</f>
        <v/>
      </c>
      <c r="BB25" s="41">
        <f>-Financing!BB$20</f>
        <v/>
      </c>
      <c r="BC25" s="41">
        <f>-Financing!BC$20</f>
        <v/>
      </c>
      <c r="BD25" s="41">
        <f>-Financing!BD$20</f>
        <v/>
      </c>
      <c r="BE25" s="41">
        <f>-Financing!BE$20</f>
        <v/>
      </c>
      <c r="BF25" s="41">
        <f>-Financing!BF$20</f>
        <v/>
      </c>
      <c r="BG25" s="41">
        <f>-Financing!BG$20</f>
        <v/>
      </c>
      <c r="BH25" s="41">
        <f>-Financing!BH$20</f>
        <v/>
      </c>
      <c r="BI25" s="41">
        <f>-Financing!BI$20</f>
        <v/>
      </c>
      <c r="BJ25" s="41">
        <f>-Financing!BJ$20</f>
        <v/>
      </c>
      <c r="BK25" s="41">
        <f>-Financing!BK$20</f>
        <v/>
      </c>
      <c r="BL25" s="41">
        <f>-Financing!BL$20</f>
        <v/>
      </c>
    </row>
    <row r="26">
      <c r="A26" s="100" t="inlineStr">
        <is>
          <t>Profit before tax</t>
        </is>
      </c>
      <c r="B26" s="101" t="inlineStr">
        <is>
          <t>LCY</t>
        </is>
      </c>
      <c r="C26" s="102">
        <f>SUM(E26:BL26)</f>
        <v/>
      </c>
      <c r="D26" s="103" t="n"/>
      <c r="E26" s="104">
        <f>E21+E22+E23+E24+E25</f>
        <v/>
      </c>
      <c r="F26" s="104">
        <f>F21+F22+F23+F24+F25</f>
        <v/>
      </c>
      <c r="G26" s="104">
        <f>G21+G22+G23+G24+G25</f>
        <v/>
      </c>
      <c r="H26" s="104">
        <f>H21+H22+H23+H24+H25</f>
        <v/>
      </c>
      <c r="I26" s="104">
        <f>I21+I22+I23+I24+I25</f>
        <v/>
      </c>
      <c r="J26" s="104">
        <f>J21+J22+J23+J24+J25</f>
        <v/>
      </c>
      <c r="K26" s="104">
        <f>K21+K22+K23+K24+K25</f>
        <v/>
      </c>
      <c r="L26" s="104">
        <f>L21+L22+L23+L24+L25</f>
        <v/>
      </c>
      <c r="M26" s="104">
        <f>M21+M22+M23+M24+M25</f>
        <v/>
      </c>
      <c r="N26" s="104">
        <f>N21+N22+N23+N24+N25</f>
        <v/>
      </c>
      <c r="O26" s="104">
        <f>O21+O22+O23+O24+O25</f>
        <v/>
      </c>
      <c r="P26" s="104">
        <f>P21+P22+P23+P24+P25</f>
        <v/>
      </c>
      <c r="Q26" s="104">
        <f>Q21+Q22+Q23+Q24+Q25</f>
        <v/>
      </c>
      <c r="R26" s="104">
        <f>R21+R22+R23+R24+R25</f>
        <v/>
      </c>
      <c r="S26" s="104">
        <f>S21+S22+S23+S24+S25</f>
        <v/>
      </c>
      <c r="T26" s="104">
        <f>T21+T22+T23+T24+T25</f>
        <v/>
      </c>
      <c r="U26" s="104">
        <f>U21+U22+U23+U24+U25</f>
        <v/>
      </c>
      <c r="V26" s="104">
        <f>V21+V22+V23+V24+V25</f>
        <v/>
      </c>
      <c r="W26" s="104">
        <f>W21+W22+W23+W24+W25</f>
        <v/>
      </c>
      <c r="X26" s="104">
        <f>X21+X22+X23+X24+X25</f>
        <v/>
      </c>
      <c r="Y26" s="104">
        <f>Y21+Y22+Y23+Y24+Y25</f>
        <v/>
      </c>
      <c r="Z26" s="104">
        <f>Z21+Z22+Z23+Z24+Z25</f>
        <v/>
      </c>
      <c r="AA26" s="104">
        <f>AA21+AA22+AA23+AA24+AA25</f>
        <v/>
      </c>
      <c r="AB26" s="104">
        <f>AB21+AB22+AB23+AB24+AB25</f>
        <v/>
      </c>
      <c r="AC26" s="104">
        <f>AC21+AC22+AC23+AC24+AC25</f>
        <v/>
      </c>
      <c r="AD26" s="104">
        <f>AD21+AD22+AD23+AD24+AD25</f>
        <v/>
      </c>
      <c r="AE26" s="104">
        <f>AE21+AE22+AE23+AE24+AE25</f>
        <v/>
      </c>
      <c r="AF26" s="104">
        <f>AF21+AF22+AF23+AF24+AF25</f>
        <v/>
      </c>
      <c r="AG26" s="104">
        <f>AG21+AG22+AG23+AG24+AG25</f>
        <v/>
      </c>
      <c r="AH26" s="104">
        <f>AH21+AH22+AH23+AH24+AH25</f>
        <v/>
      </c>
      <c r="AI26" s="104">
        <f>AI21+AI22+AI23+AI24+AI25</f>
        <v/>
      </c>
      <c r="AJ26" s="104">
        <f>AJ21+AJ22+AJ23+AJ24+AJ25</f>
        <v/>
      </c>
      <c r="AK26" s="104">
        <f>AK21+AK22+AK23+AK24+AK25</f>
        <v/>
      </c>
      <c r="AL26" s="104">
        <f>AL21+AL22+AL23+AL24+AL25</f>
        <v/>
      </c>
      <c r="AM26" s="104">
        <f>AM21+AM22+AM23+AM24+AM25</f>
        <v/>
      </c>
      <c r="AN26" s="104">
        <f>AN21+AN22+AN23+AN24+AN25</f>
        <v/>
      </c>
      <c r="AO26" s="104">
        <f>AO21+AO22+AO23+AO24+AO25</f>
        <v/>
      </c>
      <c r="AP26" s="104">
        <f>AP21+AP22+AP23+AP24+AP25</f>
        <v/>
      </c>
      <c r="AQ26" s="104">
        <f>AQ21+AQ22+AQ23+AQ24+AQ25</f>
        <v/>
      </c>
      <c r="AR26" s="104">
        <f>AR21+AR22+AR23+AR24+AR25</f>
        <v/>
      </c>
      <c r="AS26" s="104">
        <f>AS21+AS22+AS23+AS24+AS25</f>
        <v/>
      </c>
      <c r="AT26" s="104">
        <f>AT21+AT22+AT23+AT24+AT25</f>
        <v/>
      </c>
      <c r="AU26" s="104">
        <f>AU21+AU22+AU23+AU24+AU25</f>
        <v/>
      </c>
      <c r="AV26" s="104">
        <f>AV21+AV22+AV23+AV24+AV25</f>
        <v/>
      </c>
      <c r="AW26" s="104">
        <f>AW21+AW22+AW23+AW24+AW25</f>
        <v/>
      </c>
      <c r="AX26" s="104">
        <f>AX21+AX22+AX23+AX24+AX25</f>
        <v/>
      </c>
      <c r="AY26" s="104">
        <f>AY21+AY22+AY23+AY24+AY25</f>
        <v/>
      </c>
      <c r="AZ26" s="104">
        <f>AZ21+AZ22+AZ23+AZ24+AZ25</f>
        <v/>
      </c>
      <c r="BA26" s="104">
        <f>BA21+BA22+BA23+BA24+BA25</f>
        <v/>
      </c>
      <c r="BB26" s="104">
        <f>BB21+BB22+BB23+BB24+BB25</f>
        <v/>
      </c>
      <c r="BC26" s="104">
        <f>BC21+BC22+BC23+BC24+BC25</f>
        <v/>
      </c>
      <c r="BD26" s="104">
        <f>BD21+BD22+BD23+BD24+BD25</f>
        <v/>
      </c>
      <c r="BE26" s="104">
        <f>BE21+BE22+BE23+BE24+BE25</f>
        <v/>
      </c>
      <c r="BF26" s="104">
        <f>BF21+BF22+BF23+BF24+BF25</f>
        <v/>
      </c>
      <c r="BG26" s="104">
        <f>BG21+BG22+BG23+BG24+BG25</f>
        <v/>
      </c>
      <c r="BH26" s="104">
        <f>BH21+BH22+BH23+BH24+BH25</f>
        <v/>
      </c>
      <c r="BI26" s="104">
        <f>BI21+BI22+BI23+BI24+BI25</f>
        <v/>
      </c>
      <c r="BJ26" s="104">
        <f>BJ21+BJ22+BJ23+BJ24+BJ25</f>
        <v/>
      </c>
      <c r="BK26" s="104">
        <f>BK21+BK22+BK23+BK24+BK25</f>
        <v/>
      </c>
      <c r="BL26" s="104">
        <f>BL21+BL22+BL23+BL24+BL25</f>
        <v/>
      </c>
    </row>
    <row r="27">
      <c r="A27" s="98" t="inlineStr">
        <is>
          <t xml:space="preserve">  memo: cumulative PBT</t>
        </is>
      </c>
      <c r="B27" s="65" t="inlineStr">
        <is>
          <t>LCY</t>
        </is>
      </c>
      <c r="C27" s="105">
        <f>BL27</f>
        <v/>
      </c>
      <c r="E27" s="80">
        <f>D27+E26</f>
        <v/>
      </c>
      <c r="F27" s="80">
        <f>E27+F26</f>
        <v/>
      </c>
      <c r="G27" s="80">
        <f>F27+G26</f>
        <v/>
      </c>
      <c r="H27" s="80">
        <f>G27+H26</f>
        <v/>
      </c>
      <c r="I27" s="80">
        <f>H27+I26</f>
        <v/>
      </c>
      <c r="J27" s="80">
        <f>I27+J26</f>
        <v/>
      </c>
      <c r="K27" s="80">
        <f>J27+K26</f>
        <v/>
      </c>
      <c r="L27" s="80">
        <f>K27+L26</f>
        <v/>
      </c>
      <c r="M27" s="80">
        <f>L27+M26</f>
        <v/>
      </c>
      <c r="N27" s="80">
        <f>M27+N26</f>
        <v/>
      </c>
      <c r="O27" s="80">
        <f>N27+O26</f>
        <v/>
      </c>
      <c r="P27" s="80">
        <f>O27+P26</f>
        <v/>
      </c>
      <c r="Q27" s="80">
        <f>P27+Q26</f>
        <v/>
      </c>
      <c r="R27" s="80">
        <f>Q27+R26</f>
        <v/>
      </c>
      <c r="S27" s="80">
        <f>R27+S26</f>
        <v/>
      </c>
      <c r="T27" s="80">
        <f>S27+T26</f>
        <v/>
      </c>
      <c r="U27" s="80">
        <f>T27+U26</f>
        <v/>
      </c>
      <c r="V27" s="80">
        <f>U27+V26</f>
        <v/>
      </c>
      <c r="W27" s="80">
        <f>V27+W26</f>
        <v/>
      </c>
      <c r="X27" s="80">
        <f>W27+X26</f>
        <v/>
      </c>
      <c r="Y27" s="80">
        <f>X27+Y26</f>
        <v/>
      </c>
      <c r="Z27" s="80">
        <f>Y27+Z26</f>
        <v/>
      </c>
      <c r="AA27" s="80">
        <f>Z27+AA26</f>
        <v/>
      </c>
      <c r="AB27" s="80">
        <f>AA27+AB26</f>
        <v/>
      </c>
      <c r="AC27" s="80">
        <f>AB27+AC26</f>
        <v/>
      </c>
      <c r="AD27" s="80">
        <f>AC27+AD26</f>
        <v/>
      </c>
      <c r="AE27" s="80">
        <f>AD27+AE26</f>
        <v/>
      </c>
      <c r="AF27" s="80">
        <f>AE27+AF26</f>
        <v/>
      </c>
      <c r="AG27" s="80">
        <f>AF27+AG26</f>
        <v/>
      </c>
      <c r="AH27" s="80">
        <f>AG27+AH26</f>
        <v/>
      </c>
      <c r="AI27" s="80">
        <f>AH27+AI26</f>
        <v/>
      </c>
      <c r="AJ27" s="80">
        <f>AI27+AJ26</f>
        <v/>
      </c>
      <c r="AK27" s="80">
        <f>AJ27+AK26</f>
        <v/>
      </c>
      <c r="AL27" s="80">
        <f>AK27+AL26</f>
        <v/>
      </c>
      <c r="AM27" s="80">
        <f>AL27+AM26</f>
        <v/>
      </c>
      <c r="AN27" s="80">
        <f>AM27+AN26</f>
        <v/>
      </c>
      <c r="AO27" s="80">
        <f>AN27+AO26</f>
        <v/>
      </c>
      <c r="AP27" s="80">
        <f>AO27+AP26</f>
        <v/>
      </c>
      <c r="AQ27" s="80">
        <f>AP27+AQ26</f>
        <v/>
      </c>
      <c r="AR27" s="80">
        <f>AQ27+AR26</f>
        <v/>
      </c>
      <c r="AS27" s="80">
        <f>AR27+AS26</f>
        <v/>
      </c>
      <c r="AT27" s="80">
        <f>AS27+AT26</f>
        <v/>
      </c>
      <c r="AU27" s="80">
        <f>AT27+AU26</f>
        <v/>
      </c>
      <c r="AV27" s="80">
        <f>AU27+AV26</f>
        <v/>
      </c>
      <c r="AW27" s="80">
        <f>AV27+AW26</f>
        <v/>
      </c>
      <c r="AX27" s="80">
        <f>AW27+AX26</f>
        <v/>
      </c>
      <c r="AY27" s="80">
        <f>AX27+AY26</f>
        <v/>
      </c>
      <c r="AZ27" s="80">
        <f>AY27+AZ26</f>
        <v/>
      </c>
      <c r="BA27" s="80">
        <f>AZ27+BA26</f>
        <v/>
      </c>
      <c r="BB27" s="80">
        <f>BA27+BB26</f>
        <v/>
      </c>
      <c r="BC27" s="80">
        <f>BB27+BC26</f>
        <v/>
      </c>
      <c r="BD27" s="80">
        <f>BC27+BD26</f>
        <v/>
      </c>
      <c r="BE27" s="80">
        <f>BD27+BE26</f>
        <v/>
      </c>
      <c r="BF27" s="80">
        <f>BE27+BF26</f>
        <v/>
      </c>
      <c r="BG27" s="80">
        <f>BF27+BG26</f>
        <v/>
      </c>
      <c r="BH27" s="80">
        <f>BG27+BH26</f>
        <v/>
      </c>
      <c r="BI27" s="80">
        <f>BH27+BI26</f>
        <v/>
      </c>
      <c r="BJ27" s="80">
        <f>BI27+BJ26</f>
        <v/>
      </c>
      <c r="BK27" s="80">
        <f>BJ27+BK26</f>
        <v/>
      </c>
      <c r="BL27" s="80">
        <f>BK27+BL26</f>
        <v/>
      </c>
    </row>
    <row r="28">
      <c r="A28" s="98" t="inlineStr">
        <is>
          <t xml:space="preserve">  memo: running maximum of cumulative PBT</t>
        </is>
      </c>
      <c r="B28" s="65" t="inlineStr">
        <is>
          <t>LCY</t>
        </is>
      </c>
      <c r="C28" s="105">
        <f>BL28</f>
        <v/>
      </c>
      <c r="E28" s="80">
        <f>MAX(D28,E27)</f>
        <v/>
      </c>
      <c r="F28" s="80">
        <f>MAX(E28,F27)</f>
        <v/>
      </c>
      <c r="G28" s="80">
        <f>MAX(F28,G27)</f>
        <v/>
      </c>
      <c r="H28" s="80">
        <f>MAX(G28,H27)</f>
        <v/>
      </c>
      <c r="I28" s="80">
        <f>MAX(H28,I27)</f>
        <v/>
      </c>
      <c r="J28" s="80">
        <f>MAX(I28,J27)</f>
        <v/>
      </c>
      <c r="K28" s="80">
        <f>MAX(J28,K27)</f>
        <v/>
      </c>
      <c r="L28" s="80">
        <f>MAX(K28,L27)</f>
        <v/>
      </c>
      <c r="M28" s="80">
        <f>MAX(L28,M27)</f>
        <v/>
      </c>
      <c r="N28" s="80">
        <f>MAX(M28,N27)</f>
        <v/>
      </c>
      <c r="O28" s="80">
        <f>MAX(N28,O27)</f>
        <v/>
      </c>
      <c r="P28" s="80">
        <f>MAX(O28,P27)</f>
        <v/>
      </c>
      <c r="Q28" s="80">
        <f>MAX(P28,Q27)</f>
        <v/>
      </c>
      <c r="R28" s="80">
        <f>MAX(Q28,R27)</f>
        <v/>
      </c>
      <c r="S28" s="80">
        <f>MAX(R28,S27)</f>
        <v/>
      </c>
      <c r="T28" s="80">
        <f>MAX(S28,T27)</f>
        <v/>
      </c>
      <c r="U28" s="80">
        <f>MAX(T28,U27)</f>
        <v/>
      </c>
      <c r="V28" s="80">
        <f>MAX(U28,V27)</f>
        <v/>
      </c>
      <c r="W28" s="80">
        <f>MAX(V28,W27)</f>
        <v/>
      </c>
      <c r="X28" s="80">
        <f>MAX(W28,X27)</f>
        <v/>
      </c>
      <c r="Y28" s="80">
        <f>MAX(X28,Y27)</f>
        <v/>
      </c>
      <c r="Z28" s="80">
        <f>MAX(Y28,Z27)</f>
        <v/>
      </c>
      <c r="AA28" s="80">
        <f>MAX(Z28,AA27)</f>
        <v/>
      </c>
      <c r="AB28" s="80">
        <f>MAX(AA28,AB27)</f>
        <v/>
      </c>
      <c r="AC28" s="80">
        <f>MAX(AB28,AC27)</f>
        <v/>
      </c>
      <c r="AD28" s="80">
        <f>MAX(AC28,AD27)</f>
        <v/>
      </c>
      <c r="AE28" s="80">
        <f>MAX(AD28,AE27)</f>
        <v/>
      </c>
      <c r="AF28" s="80">
        <f>MAX(AE28,AF27)</f>
        <v/>
      </c>
      <c r="AG28" s="80">
        <f>MAX(AF28,AG27)</f>
        <v/>
      </c>
      <c r="AH28" s="80">
        <f>MAX(AG28,AH27)</f>
        <v/>
      </c>
      <c r="AI28" s="80">
        <f>MAX(AH28,AI27)</f>
        <v/>
      </c>
      <c r="AJ28" s="80">
        <f>MAX(AI28,AJ27)</f>
        <v/>
      </c>
      <c r="AK28" s="80">
        <f>MAX(AJ28,AK27)</f>
        <v/>
      </c>
      <c r="AL28" s="80">
        <f>MAX(AK28,AL27)</f>
        <v/>
      </c>
      <c r="AM28" s="80">
        <f>MAX(AL28,AM27)</f>
        <v/>
      </c>
      <c r="AN28" s="80">
        <f>MAX(AM28,AN27)</f>
        <v/>
      </c>
      <c r="AO28" s="80">
        <f>MAX(AN28,AO27)</f>
        <v/>
      </c>
      <c r="AP28" s="80">
        <f>MAX(AO28,AP27)</f>
        <v/>
      </c>
      <c r="AQ28" s="80">
        <f>MAX(AP28,AQ27)</f>
        <v/>
      </c>
      <c r="AR28" s="80">
        <f>MAX(AQ28,AR27)</f>
        <v/>
      </c>
      <c r="AS28" s="80">
        <f>MAX(AR28,AS27)</f>
        <v/>
      </c>
      <c r="AT28" s="80">
        <f>MAX(AS28,AT27)</f>
        <v/>
      </c>
      <c r="AU28" s="80">
        <f>MAX(AT28,AU27)</f>
        <v/>
      </c>
      <c r="AV28" s="80">
        <f>MAX(AU28,AV27)</f>
        <v/>
      </c>
      <c r="AW28" s="80">
        <f>MAX(AV28,AW27)</f>
        <v/>
      </c>
      <c r="AX28" s="80">
        <f>MAX(AW28,AX27)</f>
        <v/>
      </c>
      <c r="AY28" s="80">
        <f>MAX(AX28,AY27)</f>
        <v/>
      </c>
      <c r="AZ28" s="80">
        <f>MAX(AY28,AZ27)</f>
        <v/>
      </c>
      <c r="BA28" s="80">
        <f>MAX(AZ28,BA27)</f>
        <v/>
      </c>
      <c r="BB28" s="80">
        <f>MAX(BA28,BB27)</f>
        <v/>
      </c>
      <c r="BC28" s="80">
        <f>MAX(BB28,BC27)</f>
        <v/>
      </c>
      <c r="BD28" s="80">
        <f>MAX(BC28,BD27)</f>
        <v/>
      </c>
      <c r="BE28" s="80">
        <f>MAX(BD28,BE27)</f>
        <v/>
      </c>
      <c r="BF28" s="80">
        <f>MAX(BE28,BF27)</f>
        <v/>
      </c>
      <c r="BG28" s="80">
        <f>MAX(BF28,BG27)</f>
        <v/>
      </c>
      <c r="BH28" s="80">
        <f>MAX(BG28,BH27)</f>
        <v/>
      </c>
      <c r="BI28" s="80">
        <f>MAX(BH28,BI27)</f>
        <v/>
      </c>
      <c r="BJ28" s="80">
        <f>MAX(BI28,BJ27)</f>
        <v/>
      </c>
      <c r="BK28" s="80">
        <f>MAX(BJ28,BK27)</f>
        <v/>
      </c>
      <c r="BL28" s="80">
        <f>MAX(BK28,BL27)</f>
        <v/>
      </c>
    </row>
    <row r="29">
      <c r="A29" s="98" t="inlineStr">
        <is>
          <t>Income tax</t>
        </is>
      </c>
      <c r="B29" s="65" t="inlineStr">
        <is>
          <t>LCY</t>
        </is>
      </c>
      <c r="C29" s="105">
        <f>SUM(E29:BL29)</f>
        <v/>
      </c>
      <c r="E29" s="80">
        <f>-Inputs!$C$12*(MAX(0,E28)-MAX(0,D28))</f>
        <v/>
      </c>
      <c r="F29" s="80">
        <f>-Inputs!$C$12*(MAX(0,F28)-MAX(0,E28))</f>
        <v/>
      </c>
      <c r="G29" s="80">
        <f>-Inputs!$C$12*(MAX(0,G28)-MAX(0,F28))</f>
        <v/>
      </c>
      <c r="H29" s="80">
        <f>-Inputs!$C$12*(MAX(0,H28)-MAX(0,G28))</f>
        <v/>
      </c>
      <c r="I29" s="80">
        <f>-Inputs!$C$12*(MAX(0,I28)-MAX(0,H28))</f>
        <v/>
      </c>
      <c r="J29" s="80">
        <f>-Inputs!$C$12*(MAX(0,J28)-MAX(0,I28))</f>
        <v/>
      </c>
      <c r="K29" s="80">
        <f>-Inputs!$C$12*(MAX(0,K28)-MAX(0,J28))</f>
        <v/>
      </c>
      <c r="L29" s="80">
        <f>-Inputs!$C$12*(MAX(0,L28)-MAX(0,K28))</f>
        <v/>
      </c>
      <c r="M29" s="80">
        <f>-Inputs!$C$12*(MAX(0,M28)-MAX(0,L28))</f>
        <v/>
      </c>
      <c r="N29" s="80">
        <f>-Inputs!$C$12*(MAX(0,N28)-MAX(0,M28))</f>
        <v/>
      </c>
      <c r="O29" s="80">
        <f>-Inputs!$C$12*(MAX(0,O28)-MAX(0,N28))</f>
        <v/>
      </c>
      <c r="P29" s="80">
        <f>-Inputs!$C$12*(MAX(0,P28)-MAX(0,O28))</f>
        <v/>
      </c>
      <c r="Q29" s="80">
        <f>-Inputs!$C$12*(MAX(0,Q28)-MAX(0,P28))</f>
        <v/>
      </c>
      <c r="R29" s="80">
        <f>-Inputs!$C$12*(MAX(0,R28)-MAX(0,Q28))</f>
        <v/>
      </c>
      <c r="S29" s="80">
        <f>-Inputs!$C$12*(MAX(0,S28)-MAX(0,R28))</f>
        <v/>
      </c>
      <c r="T29" s="80">
        <f>-Inputs!$C$12*(MAX(0,T28)-MAX(0,S28))</f>
        <v/>
      </c>
      <c r="U29" s="80">
        <f>-Inputs!$C$12*(MAX(0,U28)-MAX(0,T28))</f>
        <v/>
      </c>
      <c r="V29" s="80">
        <f>-Inputs!$C$12*(MAX(0,V28)-MAX(0,U28))</f>
        <v/>
      </c>
      <c r="W29" s="80">
        <f>-Inputs!$C$12*(MAX(0,W28)-MAX(0,V28))</f>
        <v/>
      </c>
      <c r="X29" s="80">
        <f>-Inputs!$C$12*(MAX(0,X28)-MAX(0,W28))</f>
        <v/>
      </c>
      <c r="Y29" s="80">
        <f>-Inputs!$C$12*(MAX(0,Y28)-MAX(0,X28))</f>
        <v/>
      </c>
      <c r="Z29" s="80">
        <f>-Inputs!$C$12*(MAX(0,Z28)-MAX(0,Y28))</f>
        <v/>
      </c>
      <c r="AA29" s="80">
        <f>-Inputs!$C$12*(MAX(0,AA28)-MAX(0,Z28))</f>
        <v/>
      </c>
      <c r="AB29" s="80">
        <f>-Inputs!$C$12*(MAX(0,AB28)-MAX(0,AA28))</f>
        <v/>
      </c>
      <c r="AC29" s="80">
        <f>-Inputs!$C$12*(MAX(0,AC28)-MAX(0,AB28))</f>
        <v/>
      </c>
      <c r="AD29" s="80">
        <f>-Inputs!$C$12*(MAX(0,AD28)-MAX(0,AC28))</f>
        <v/>
      </c>
      <c r="AE29" s="80">
        <f>-Inputs!$C$12*(MAX(0,AE28)-MAX(0,AD28))</f>
        <v/>
      </c>
      <c r="AF29" s="80">
        <f>-Inputs!$C$12*(MAX(0,AF28)-MAX(0,AE28))</f>
        <v/>
      </c>
      <c r="AG29" s="80">
        <f>-Inputs!$C$12*(MAX(0,AG28)-MAX(0,AF28))</f>
        <v/>
      </c>
      <c r="AH29" s="80">
        <f>-Inputs!$C$12*(MAX(0,AH28)-MAX(0,AG28))</f>
        <v/>
      </c>
      <c r="AI29" s="80">
        <f>-Inputs!$C$12*(MAX(0,AI28)-MAX(0,AH28))</f>
        <v/>
      </c>
      <c r="AJ29" s="80">
        <f>-Inputs!$C$12*(MAX(0,AJ28)-MAX(0,AI28))</f>
        <v/>
      </c>
      <c r="AK29" s="80">
        <f>-Inputs!$C$12*(MAX(0,AK28)-MAX(0,AJ28))</f>
        <v/>
      </c>
      <c r="AL29" s="80">
        <f>-Inputs!$C$12*(MAX(0,AL28)-MAX(0,AK28))</f>
        <v/>
      </c>
      <c r="AM29" s="80">
        <f>-Inputs!$C$12*(MAX(0,AM28)-MAX(0,AL28))</f>
        <v/>
      </c>
      <c r="AN29" s="80">
        <f>-Inputs!$C$12*(MAX(0,AN28)-MAX(0,AM28))</f>
        <v/>
      </c>
      <c r="AO29" s="80">
        <f>-Inputs!$C$12*(MAX(0,AO28)-MAX(0,AN28))</f>
        <v/>
      </c>
      <c r="AP29" s="80">
        <f>-Inputs!$C$12*(MAX(0,AP28)-MAX(0,AO28))</f>
        <v/>
      </c>
      <c r="AQ29" s="80">
        <f>-Inputs!$C$12*(MAX(0,AQ28)-MAX(0,AP28))</f>
        <v/>
      </c>
      <c r="AR29" s="80">
        <f>-Inputs!$C$12*(MAX(0,AR28)-MAX(0,AQ28))</f>
        <v/>
      </c>
      <c r="AS29" s="80">
        <f>-Inputs!$C$12*(MAX(0,AS28)-MAX(0,AR28))</f>
        <v/>
      </c>
      <c r="AT29" s="80">
        <f>-Inputs!$C$12*(MAX(0,AT28)-MAX(0,AS28))</f>
        <v/>
      </c>
      <c r="AU29" s="80">
        <f>-Inputs!$C$12*(MAX(0,AU28)-MAX(0,AT28))</f>
        <v/>
      </c>
      <c r="AV29" s="80">
        <f>-Inputs!$C$12*(MAX(0,AV28)-MAX(0,AU28))</f>
        <v/>
      </c>
      <c r="AW29" s="80">
        <f>-Inputs!$C$12*(MAX(0,AW28)-MAX(0,AV28))</f>
        <v/>
      </c>
      <c r="AX29" s="80">
        <f>-Inputs!$C$12*(MAX(0,AX28)-MAX(0,AW28))</f>
        <v/>
      </c>
      <c r="AY29" s="80">
        <f>-Inputs!$C$12*(MAX(0,AY28)-MAX(0,AX28))</f>
        <v/>
      </c>
      <c r="AZ29" s="80">
        <f>-Inputs!$C$12*(MAX(0,AZ28)-MAX(0,AY28))</f>
        <v/>
      </c>
      <c r="BA29" s="80">
        <f>-Inputs!$C$12*(MAX(0,BA28)-MAX(0,AZ28))</f>
        <v/>
      </c>
      <c r="BB29" s="80">
        <f>-Inputs!$C$12*(MAX(0,BB28)-MAX(0,BA28))</f>
        <v/>
      </c>
      <c r="BC29" s="80">
        <f>-Inputs!$C$12*(MAX(0,BC28)-MAX(0,BB28))</f>
        <v/>
      </c>
      <c r="BD29" s="80">
        <f>-Inputs!$C$12*(MAX(0,BD28)-MAX(0,BC28))</f>
        <v/>
      </c>
      <c r="BE29" s="80">
        <f>-Inputs!$C$12*(MAX(0,BE28)-MAX(0,BD28))</f>
        <v/>
      </c>
      <c r="BF29" s="80">
        <f>-Inputs!$C$12*(MAX(0,BF28)-MAX(0,BE28))</f>
        <v/>
      </c>
      <c r="BG29" s="80">
        <f>-Inputs!$C$12*(MAX(0,BG28)-MAX(0,BF28))</f>
        <v/>
      </c>
      <c r="BH29" s="80">
        <f>-Inputs!$C$12*(MAX(0,BH28)-MAX(0,BG28))</f>
        <v/>
      </c>
      <c r="BI29" s="80">
        <f>-Inputs!$C$12*(MAX(0,BI28)-MAX(0,BH28))</f>
        <v/>
      </c>
      <c r="BJ29" s="80">
        <f>-Inputs!$C$12*(MAX(0,BJ28)-MAX(0,BI28))</f>
        <v/>
      </c>
      <c r="BK29" s="80">
        <f>-Inputs!$C$12*(MAX(0,BK28)-MAX(0,BJ28))</f>
        <v/>
      </c>
      <c r="BL29" s="80">
        <f>-Inputs!$C$12*(MAX(0,BL28)-MAX(0,BK28))</f>
        <v/>
      </c>
    </row>
    <row r="30">
      <c r="A30" s="100" t="inlineStr">
        <is>
          <t>Net income</t>
        </is>
      </c>
      <c r="B30" s="101" t="inlineStr">
        <is>
          <t>LCY</t>
        </is>
      </c>
      <c r="C30" s="102">
        <f>SUM(E30:BL30)</f>
        <v/>
      </c>
      <c r="D30" s="103" t="n"/>
      <c r="E30" s="104">
        <f>E26+E29</f>
        <v/>
      </c>
      <c r="F30" s="104">
        <f>F26+F29</f>
        <v/>
      </c>
      <c r="G30" s="104">
        <f>G26+G29</f>
        <v/>
      </c>
      <c r="H30" s="104">
        <f>H26+H29</f>
        <v/>
      </c>
      <c r="I30" s="104">
        <f>I26+I29</f>
        <v/>
      </c>
      <c r="J30" s="104">
        <f>J26+J29</f>
        <v/>
      </c>
      <c r="K30" s="104">
        <f>K26+K29</f>
        <v/>
      </c>
      <c r="L30" s="104">
        <f>L26+L29</f>
        <v/>
      </c>
      <c r="M30" s="104">
        <f>M26+M29</f>
        <v/>
      </c>
      <c r="N30" s="104">
        <f>N26+N29</f>
        <v/>
      </c>
      <c r="O30" s="104">
        <f>O26+O29</f>
        <v/>
      </c>
      <c r="P30" s="104">
        <f>P26+P29</f>
        <v/>
      </c>
      <c r="Q30" s="104">
        <f>Q26+Q29</f>
        <v/>
      </c>
      <c r="R30" s="104">
        <f>R26+R29</f>
        <v/>
      </c>
      <c r="S30" s="104">
        <f>S26+S29</f>
        <v/>
      </c>
      <c r="T30" s="104">
        <f>T26+T29</f>
        <v/>
      </c>
      <c r="U30" s="104">
        <f>U26+U29</f>
        <v/>
      </c>
      <c r="V30" s="104">
        <f>V26+V29</f>
        <v/>
      </c>
      <c r="W30" s="104">
        <f>W26+W29</f>
        <v/>
      </c>
      <c r="X30" s="104">
        <f>X26+X29</f>
        <v/>
      </c>
      <c r="Y30" s="104">
        <f>Y26+Y29</f>
        <v/>
      </c>
      <c r="Z30" s="104">
        <f>Z26+Z29</f>
        <v/>
      </c>
      <c r="AA30" s="104">
        <f>AA26+AA29</f>
        <v/>
      </c>
      <c r="AB30" s="104">
        <f>AB26+AB29</f>
        <v/>
      </c>
      <c r="AC30" s="104">
        <f>AC26+AC29</f>
        <v/>
      </c>
      <c r="AD30" s="104">
        <f>AD26+AD29</f>
        <v/>
      </c>
      <c r="AE30" s="104">
        <f>AE26+AE29</f>
        <v/>
      </c>
      <c r="AF30" s="104">
        <f>AF26+AF29</f>
        <v/>
      </c>
      <c r="AG30" s="104">
        <f>AG26+AG29</f>
        <v/>
      </c>
      <c r="AH30" s="104">
        <f>AH26+AH29</f>
        <v/>
      </c>
      <c r="AI30" s="104">
        <f>AI26+AI29</f>
        <v/>
      </c>
      <c r="AJ30" s="104">
        <f>AJ26+AJ29</f>
        <v/>
      </c>
      <c r="AK30" s="104">
        <f>AK26+AK29</f>
        <v/>
      </c>
      <c r="AL30" s="104">
        <f>AL26+AL29</f>
        <v/>
      </c>
      <c r="AM30" s="104">
        <f>AM26+AM29</f>
        <v/>
      </c>
      <c r="AN30" s="104">
        <f>AN26+AN29</f>
        <v/>
      </c>
      <c r="AO30" s="104">
        <f>AO26+AO29</f>
        <v/>
      </c>
      <c r="AP30" s="104">
        <f>AP26+AP29</f>
        <v/>
      </c>
      <c r="AQ30" s="104">
        <f>AQ26+AQ29</f>
        <v/>
      </c>
      <c r="AR30" s="104">
        <f>AR26+AR29</f>
        <v/>
      </c>
      <c r="AS30" s="104">
        <f>AS26+AS29</f>
        <v/>
      </c>
      <c r="AT30" s="104">
        <f>AT26+AT29</f>
        <v/>
      </c>
      <c r="AU30" s="104">
        <f>AU26+AU29</f>
        <v/>
      </c>
      <c r="AV30" s="104">
        <f>AV26+AV29</f>
        <v/>
      </c>
      <c r="AW30" s="104">
        <f>AW26+AW29</f>
        <v/>
      </c>
      <c r="AX30" s="104">
        <f>AX26+AX29</f>
        <v/>
      </c>
      <c r="AY30" s="104">
        <f>AY26+AY29</f>
        <v/>
      </c>
      <c r="AZ30" s="104">
        <f>AZ26+AZ29</f>
        <v/>
      </c>
      <c r="BA30" s="104">
        <f>BA26+BA29</f>
        <v/>
      </c>
      <c r="BB30" s="104">
        <f>BB26+BB29</f>
        <v/>
      </c>
      <c r="BC30" s="104">
        <f>BC26+BC29</f>
        <v/>
      </c>
      <c r="BD30" s="104">
        <f>BD26+BD29</f>
        <v/>
      </c>
      <c r="BE30" s="104">
        <f>BE26+BE29</f>
        <v/>
      </c>
      <c r="BF30" s="104">
        <f>BF26+BF29</f>
        <v/>
      </c>
      <c r="BG30" s="104">
        <f>BG26+BG29</f>
        <v/>
      </c>
      <c r="BH30" s="104">
        <f>BH26+BH29</f>
        <v/>
      </c>
      <c r="BI30" s="104">
        <f>BI26+BI29</f>
        <v/>
      </c>
      <c r="BJ30" s="104">
        <f>BJ26+BJ29</f>
        <v/>
      </c>
      <c r="BK30" s="104">
        <f>BK26+BK29</f>
        <v/>
      </c>
      <c r="BL30" s="104">
        <f>BL26+BL29</f>
        <v/>
      </c>
    </row>
    <row r="31"/>
    <row r="32">
      <c r="A32" s="21" t="inlineStr">
        <is>
          <t>BALANCE SHEET</t>
        </is>
      </c>
      <c r="B32" s="22" t="n"/>
      <c r="C32" s="22" t="n"/>
      <c r="D32" s="22" t="n"/>
      <c r="E32" s="22" t="n"/>
      <c r="F32" s="22"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c r="AA32" s="22" t="n"/>
      <c r="AB32" s="22" t="n"/>
      <c r="AC32" s="22" t="n"/>
      <c r="AD32" s="22" t="n"/>
      <c r="AE32" s="22" t="n"/>
      <c r="AF32" s="22" t="n"/>
      <c r="AG32" s="22" t="n"/>
      <c r="AH32" s="22" t="n"/>
      <c r="AI32" s="22" t="n"/>
      <c r="AJ32" s="22" t="n"/>
      <c r="AK32" s="22" t="n"/>
      <c r="AL32" s="22" t="n"/>
      <c r="AM32" s="22" t="n"/>
      <c r="AN32" s="22" t="n"/>
      <c r="AO32" s="22" t="n"/>
      <c r="AP32" s="22" t="n"/>
      <c r="AQ32" s="22" t="n"/>
      <c r="AR32" s="22" t="n"/>
      <c r="AS32" s="22" t="n"/>
      <c r="AT32" s="22" t="n"/>
      <c r="AU32" s="22" t="n"/>
      <c r="AV32" s="22" t="n"/>
      <c r="AW32" s="22" t="n"/>
      <c r="AX32" s="22" t="n"/>
      <c r="AY32" s="22" t="n"/>
      <c r="AZ32" s="22" t="n"/>
      <c r="BA32" s="22" t="n"/>
      <c r="BB32" s="22" t="n"/>
      <c r="BC32" s="22" t="n"/>
      <c r="BD32" s="22" t="n"/>
      <c r="BE32" s="22" t="n"/>
      <c r="BF32" s="22" t="n"/>
      <c r="BG32" s="22" t="n"/>
      <c r="BH32" s="22" t="n"/>
      <c r="BI32" s="22" t="n"/>
      <c r="BJ32" s="22" t="n"/>
      <c r="BK32" s="22" t="n"/>
      <c r="BL32" s="22" t="n"/>
    </row>
    <row r="33">
      <c r="A33" s="98" t="inlineStr">
        <is>
          <t>Cash</t>
        </is>
      </c>
      <c r="B33" s="65" t="inlineStr">
        <is>
          <t>LCY</t>
        </is>
      </c>
      <c r="C33" s="105">
        <f>BL33</f>
        <v/>
      </c>
      <c r="E33" s="80">
        <f>E65</f>
        <v/>
      </c>
      <c r="F33" s="80">
        <f>F65</f>
        <v/>
      </c>
      <c r="G33" s="80">
        <f>G65</f>
        <v/>
      </c>
      <c r="H33" s="80">
        <f>H65</f>
        <v/>
      </c>
      <c r="I33" s="80">
        <f>I65</f>
        <v/>
      </c>
      <c r="J33" s="80">
        <f>J65</f>
        <v/>
      </c>
      <c r="K33" s="80">
        <f>K65</f>
        <v/>
      </c>
      <c r="L33" s="80">
        <f>L65</f>
        <v/>
      </c>
      <c r="M33" s="80">
        <f>M65</f>
        <v/>
      </c>
      <c r="N33" s="80">
        <f>N65</f>
        <v/>
      </c>
      <c r="O33" s="80">
        <f>O65</f>
        <v/>
      </c>
      <c r="P33" s="80">
        <f>P65</f>
        <v/>
      </c>
      <c r="Q33" s="80">
        <f>Q65</f>
        <v/>
      </c>
      <c r="R33" s="80">
        <f>R65</f>
        <v/>
      </c>
      <c r="S33" s="80">
        <f>S65</f>
        <v/>
      </c>
      <c r="T33" s="80">
        <f>T65</f>
        <v/>
      </c>
      <c r="U33" s="80">
        <f>U65</f>
        <v/>
      </c>
      <c r="V33" s="80">
        <f>V65</f>
        <v/>
      </c>
      <c r="W33" s="80">
        <f>W65</f>
        <v/>
      </c>
      <c r="X33" s="80">
        <f>X65</f>
        <v/>
      </c>
      <c r="Y33" s="80">
        <f>Y65</f>
        <v/>
      </c>
      <c r="Z33" s="80">
        <f>Z65</f>
        <v/>
      </c>
      <c r="AA33" s="80">
        <f>AA65</f>
        <v/>
      </c>
      <c r="AB33" s="80">
        <f>AB65</f>
        <v/>
      </c>
      <c r="AC33" s="80">
        <f>AC65</f>
        <v/>
      </c>
      <c r="AD33" s="80">
        <f>AD65</f>
        <v/>
      </c>
      <c r="AE33" s="80">
        <f>AE65</f>
        <v/>
      </c>
      <c r="AF33" s="80">
        <f>AF65</f>
        <v/>
      </c>
      <c r="AG33" s="80">
        <f>AG65</f>
        <v/>
      </c>
      <c r="AH33" s="80">
        <f>AH65</f>
        <v/>
      </c>
      <c r="AI33" s="80">
        <f>AI65</f>
        <v/>
      </c>
      <c r="AJ33" s="80">
        <f>AJ65</f>
        <v/>
      </c>
      <c r="AK33" s="80">
        <f>AK65</f>
        <v/>
      </c>
      <c r="AL33" s="80">
        <f>AL65</f>
        <v/>
      </c>
      <c r="AM33" s="80">
        <f>AM65</f>
        <v/>
      </c>
      <c r="AN33" s="80">
        <f>AN65</f>
        <v/>
      </c>
      <c r="AO33" s="80">
        <f>AO65</f>
        <v/>
      </c>
      <c r="AP33" s="80">
        <f>AP65</f>
        <v/>
      </c>
      <c r="AQ33" s="80">
        <f>AQ65</f>
        <v/>
      </c>
      <c r="AR33" s="80">
        <f>AR65</f>
        <v/>
      </c>
      <c r="AS33" s="80">
        <f>AS65</f>
        <v/>
      </c>
      <c r="AT33" s="80">
        <f>AT65</f>
        <v/>
      </c>
      <c r="AU33" s="80">
        <f>AU65</f>
        <v/>
      </c>
      <c r="AV33" s="80">
        <f>AV65</f>
        <v/>
      </c>
      <c r="AW33" s="80">
        <f>AW65</f>
        <v/>
      </c>
      <c r="AX33" s="80">
        <f>AX65</f>
        <v/>
      </c>
      <c r="AY33" s="80">
        <f>AY65</f>
        <v/>
      </c>
      <c r="AZ33" s="80">
        <f>AZ65</f>
        <v/>
      </c>
      <c r="BA33" s="80">
        <f>BA65</f>
        <v/>
      </c>
      <c r="BB33" s="80">
        <f>BB65</f>
        <v/>
      </c>
      <c r="BC33" s="80">
        <f>BC65</f>
        <v/>
      </c>
      <c r="BD33" s="80">
        <f>BD65</f>
        <v/>
      </c>
      <c r="BE33" s="80">
        <f>BE65</f>
        <v/>
      </c>
      <c r="BF33" s="80">
        <f>BF65</f>
        <v/>
      </c>
      <c r="BG33" s="80">
        <f>BG65</f>
        <v/>
      </c>
      <c r="BH33" s="80">
        <f>BH65</f>
        <v/>
      </c>
      <c r="BI33" s="80">
        <f>BI65</f>
        <v/>
      </c>
      <c r="BJ33" s="80">
        <f>BJ65</f>
        <v/>
      </c>
      <c r="BK33" s="80">
        <f>BK65</f>
        <v/>
      </c>
      <c r="BL33" s="80">
        <f>BL65</f>
        <v/>
      </c>
    </row>
    <row r="34">
      <c r="A34" s="98" t="inlineStr">
        <is>
          <t>PAYGo receivables: gross</t>
        </is>
      </c>
      <c r="B34" s="65" t="inlineStr">
        <is>
          <t>LCY</t>
        </is>
      </c>
      <c r="C34" s="105">
        <f>BL34</f>
        <v/>
      </c>
      <c r="E34" s="41">
        <f>Ops!E$149</f>
        <v/>
      </c>
      <c r="F34" s="41">
        <f>Ops!F$149</f>
        <v/>
      </c>
      <c r="G34" s="41">
        <f>Ops!G$149</f>
        <v/>
      </c>
      <c r="H34" s="41">
        <f>Ops!H$149</f>
        <v/>
      </c>
      <c r="I34" s="41">
        <f>Ops!I$149</f>
        <v/>
      </c>
      <c r="J34" s="41">
        <f>Ops!J$149</f>
        <v/>
      </c>
      <c r="K34" s="41">
        <f>Ops!K$149</f>
        <v/>
      </c>
      <c r="L34" s="41">
        <f>Ops!L$149</f>
        <v/>
      </c>
      <c r="M34" s="41">
        <f>Ops!M$149</f>
        <v/>
      </c>
      <c r="N34" s="41">
        <f>Ops!N$149</f>
        <v/>
      </c>
      <c r="O34" s="41">
        <f>Ops!O$149</f>
        <v/>
      </c>
      <c r="P34" s="41">
        <f>Ops!P$149</f>
        <v/>
      </c>
      <c r="Q34" s="41">
        <f>Ops!Q$149</f>
        <v/>
      </c>
      <c r="R34" s="41">
        <f>Ops!R$149</f>
        <v/>
      </c>
      <c r="S34" s="41">
        <f>Ops!S$149</f>
        <v/>
      </c>
      <c r="T34" s="41">
        <f>Ops!T$149</f>
        <v/>
      </c>
      <c r="U34" s="41">
        <f>Ops!U$149</f>
        <v/>
      </c>
      <c r="V34" s="41">
        <f>Ops!V$149</f>
        <v/>
      </c>
      <c r="W34" s="41">
        <f>Ops!W$149</f>
        <v/>
      </c>
      <c r="X34" s="41">
        <f>Ops!X$149</f>
        <v/>
      </c>
      <c r="Y34" s="41">
        <f>Ops!Y$149</f>
        <v/>
      </c>
      <c r="Z34" s="41">
        <f>Ops!Z$149</f>
        <v/>
      </c>
      <c r="AA34" s="41">
        <f>Ops!AA$149</f>
        <v/>
      </c>
      <c r="AB34" s="41">
        <f>Ops!AB$149</f>
        <v/>
      </c>
      <c r="AC34" s="41">
        <f>Ops!AC$149</f>
        <v/>
      </c>
      <c r="AD34" s="41">
        <f>Ops!AD$149</f>
        <v/>
      </c>
      <c r="AE34" s="41">
        <f>Ops!AE$149</f>
        <v/>
      </c>
      <c r="AF34" s="41">
        <f>Ops!AF$149</f>
        <v/>
      </c>
      <c r="AG34" s="41">
        <f>Ops!AG$149</f>
        <v/>
      </c>
      <c r="AH34" s="41">
        <f>Ops!AH$149</f>
        <v/>
      </c>
      <c r="AI34" s="41">
        <f>Ops!AI$149</f>
        <v/>
      </c>
      <c r="AJ34" s="41">
        <f>Ops!AJ$149</f>
        <v/>
      </c>
      <c r="AK34" s="41">
        <f>Ops!AK$149</f>
        <v/>
      </c>
      <c r="AL34" s="41">
        <f>Ops!AL$149</f>
        <v/>
      </c>
      <c r="AM34" s="41">
        <f>Ops!AM$149</f>
        <v/>
      </c>
      <c r="AN34" s="41">
        <f>Ops!AN$149</f>
        <v/>
      </c>
      <c r="AO34" s="41">
        <f>Ops!AO$149</f>
        <v/>
      </c>
      <c r="AP34" s="41">
        <f>Ops!AP$149</f>
        <v/>
      </c>
      <c r="AQ34" s="41">
        <f>Ops!AQ$149</f>
        <v/>
      </c>
      <c r="AR34" s="41">
        <f>Ops!AR$149</f>
        <v/>
      </c>
      <c r="AS34" s="41">
        <f>Ops!AS$149</f>
        <v/>
      </c>
      <c r="AT34" s="41">
        <f>Ops!AT$149</f>
        <v/>
      </c>
      <c r="AU34" s="41">
        <f>Ops!AU$149</f>
        <v/>
      </c>
      <c r="AV34" s="41">
        <f>Ops!AV$149</f>
        <v/>
      </c>
      <c r="AW34" s="41">
        <f>Ops!AW$149</f>
        <v/>
      </c>
      <c r="AX34" s="41">
        <f>Ops!AX$149</f>
        <v/>
      </c>
      <c r="AY34" s="41">
        <f>Ops!AY$149</f>
        <v/>
      </c>
      <c r="AZ34" s="41">
        <f>Ops!AZ$149</f>
        <v/>
      </c>
      <c r="BA34" s="41">
        <f>Ops!BA$149</f>
        <v/>
      </c>
      <c r="BB34" s="41">
        <f>Ops!BB$149</f>
        <v/>
      </c>
      <c r="BC34" s="41">
        <f>Ops!BC$149</f>
        <v/>
      </c>
      <c r="BD34" s="41">
        <f>Ops!BD$149</f>
        <v/>
      </c>
      <c r="BE34" s="41">
        <f>Ops!BE$149</f>
        <v/>
      </c>
      <c r="BF34" s="41">
        <f>Ops!BF$149</f>
        <v/>
      </c>
      <c r="BG34" s="41">
        <f>Ops!BG$149</f>
        <v/>
      </c>
      <c r="BH34" s="41">
        <f>Ops!BH$149</f>
        <v/>
      </c>
      <c r="BI34" s="41">
        <f>Ops!BI$149</f>
        <v/>
      </c>
      <c r="BJ34" s="41">
        <f>Ops!BJ$149</f>
        <v/>
      </c>
      <c r="BK34" s="41">
        <f>Ops!BK$149</f>
        <v/>
      </c>
      <c r="BL34" s="41">
        <f>Ops!BL$149</f>
        <v/>
      </c>
    </row>
    <row r="35">
      <c r="A35" s="98" t="inlineStr">
        <is>
          <t>Loss allowance (ECL)</t>
        </is>
      </c>
      <c r="B35" s="65" t="inlineStr">
        <is>
          <t>LCY</t>
        </is>
      </c>
      <c r="C35" s="105">
        <f>BL35</f>
        <v/>
      </c>
      <c r="E35" s="80">
        <f>D35-Ops!E$143+Ops!E$141</f>
        <v/>
      </c>
      <c r="F35" s="80">
        <f>E35-Ops!F$143+Ops!F$141</f>
        <v/>
      </c>
      <c r="G35" s="80">
        <f>F35-Ops!G$143+Ops!G$141</f>
        <v/>
      </c>
      <c r="H35" s="80">
        <f>G35-Ops!H$143+Ops!H$141</f>
        <v/>
      </c>
      <c r="I35" s="80">
        <f>H35-Ops!I$143+Ops!I$141</f>
        <v/>
      </c>
      <c r="J35" s="80">
        <f>I35-Ops!J$143+Ops!J$141</f>
        <v/>
      </c>
      <c r="K35" s="80">
        <f>J35-Ops!K$143+Ops!K$141</f>
        <v/>
      </c>
      <c r="L35" s="80">
        <f>K35-Ops!L$143+Ops!L$141</f>
        <v/>
      </c>
      <c r="M35" s="80">
        <f>L35-Ops!M$143+Ops!M$141</f>
        <v/>
      </c>
      <c r="N35" s="80">
        <f>M35-Ops!N$143+Ops!N$141</f>
        <v/>
      </c>
      <c r="O35" s="80">
        <f>N35-Ops!O$143+Ops!O$141</f>
        <v/>
      </c>
      <c r="P35" s="80">
        <f>O35-Ops!P$143+Ops!P$141</f>
        <v/>
      </c>
      <c r="Q35" s="80">
        <f>P35-Ops!Q$143+Ops!Q$141</f>
        <v/>
      </c>
      <c r="R35" s="80">
        <f>Q35-Ops!R$143+Ops!R$141</f>
        <v/>
      </c>
      <c r="S35" s="80">
        <f>R35-Ops!S$143+Ops!S$141</f>
        <v/>
      </c>
      <c r="T35" s="80">
        <f>S35-Ops!T$143+Ops!T$141</f>
        <v/>
      </c>
      <c r="U35" s="80">
        <f>T35-Ops!U$143+Ops!U$141</f>
        <v/>
      </c>
      <c r="V35" s="80">
        <f>U35-Ops!V$143+Ops!V$141</f>
        <v/>
      </c>
      <c r="W35" s="80">
        <f>V35-Ops!W$143+Ops!W$141</f>
        <v/>
      </c>
      <c r="X35" s="80">
        <f>W35-Ops!X$143+Ops!X$141</f>
        <v/>
      </c>
      <c r="Y35" s="80">
        <f>X35-Ops!Y$143+Ops!Y$141</f>
        <v/>
      </c>
      <c r="Z35" s="80">
        <f>Y35-Ops!Z$143+Ops!Z$141</f>
        <v/>
      </c>
      <c r="AA35" s="80">
        <f>Z35-Ops!AA$143+Ops!AA$141</f>
        <v/>
      </c>
      <c r="AB35" s="80">
        <f>AA35-Ops!AB$143+Ops!AB$141</f>
        <v/>
      </c>
      <c r="AC35" s="80">
        <f>AB35-Ops!AC$143+Ops!AC$141</f>
        <v/>
      </c>
      <c r="AD35" s="80">
        <f>AC35-Ops!AD$143+Ops!AD$141</f>
        <v/>
      </c>
      <c r="AE35" s="80">
        <f>AD35-Ops!AE$143+Ops!AE$141</f>
        <v/>
      </c>
      <c r="AF35" s="80">
        <f>AE35-Ops!AF$143+Ops!AF$141</f>
        <v/>
      </c>
      <c r="AG35" s="80">
        <f>AF35-Ops!AG$143+Ops!AG$141</f>
        <v/>
      </c>
      <c r="AH35" s="80">
        <f>AG35-Ops!AH$143+Ops!AH$141</f>
        <v/>
      </c>
      <c r="AI35" s="80">
        <f>AH35-Ops!AI$143+Ops!AI$141</f>
        <v/>
      </c>
      <c r="AJ35" s="80">
        <f>AI35-Ops!AJ$143+Ops!AJ$141</f>
        <v/>
      </c>
      <c r="AK35" s="80">
        <f>AJ35-Ops!AK$143+Ops!AK$141</f>
        <v/>
      </c>
      <c r="AL35" s="80">
        <f>AK35-Ops!AL$143+Ops!AL$141</f>
        <v/>
      </c>
      <c r="AM35" s="80">
        <f>AL35-Ops!AM$143+Ops!AM$141</f>
        <v/>
      </c>
      <c r="AN35" s="80">
        <f>AM35-Ops!AN$143+Ops!AN$141</f>
        <v/>
      </c>
      <c r="AO35" s="80">
        <f>AN35-Ops!AO$143+Ops!AO$141</f>
        <v/>
      </c>
      <c r="AP35" s="80">
        <f>AO35-Ops!AP$143+Ops!AP$141</f>
        <v/>
      </c>
      <c r="AQ35" s="80">
        <f>AP35-Ops!AQ$143+Ops!AQ$141</f>
        <v/>
      </c>
      <c r="AR35" s="80">
        <f>AQ35-Ops!AR$143+Ops!AR$141</f>
        <v/>
      </c>
      <c r="AS35" s="80">
        <f>AR35-Ops!AS$143+Ops!AS$141</f>
        <v/>
      </c>
      <c r="AT35" s="80">
        <f>AS35-Ops!AT$143+Ops!AT$141</f>
        <v/>
      </c>
      <c r="AU35" s="80">
        <f>AT35-Ops!AU$143+Ops!AU$141</f>
        <v/>
      </c>
      <c r="AV35" s="80">
        <f>AU35-Ops!AV$143+Ops!AV$141</f>
        <v/>
      </c>
      <c r="AW35" s="80">
        <f>AV35-Ops!AW$143+Ops!AW$141</f>
        <v/>
      </c>
      <c r="AX35" s="80">
        <f>AW35-Ops!AX$143+Ops!AX$141</f>
        <v/>
      </c>
      <c r="AY35" s="80">
        <f>AX35-Ops!AY$143+Ops!AY$141</f>
        <v/>
      </c>
      <c r="AZ35" s="80">
        <f>AY35-Ops!AZ$143+Ops!AZ$141</f>
        <v/>
      </c>
      <c r="BA35" s="80">
        <f>AZ35-Ops!BA$143+Ops!BA$141</f>
        <v/>
      </c>
      <c r="BB35" s="80">
        <f>BA35-Ops!BB$143+Ops!BB$141</f>
        <v/>
      </c>
      <c r="BC35" s="80">
        <f>BB35-Ops!BC$143+Ops!BC$141</f>
        <v/>
      </c>
      <c r="BD35" s="80">
        <f>BC35-Ops!BD$143+Ops!BD$141</f>
        <v/>
      </c>
      <c r="BE35" s="80">
        <f>BD35-Ops!BE$143+Ops!BE$141</f>
        <v/>
      </c>
      <c r="BF35" s="80">
        <f>BE35-Ops!BF$143+Ops!BF$141</f>
        <v/>
      </c>
      <c r="BG35" s="80">
        <f>BF35-Ops!BG$143+Ops!BG$141</f>
        <v/>
      </c>
      <c r="BH35" s="80">
        <f>BG35-Ops!BH$143+Ops!BH$141</f>
        <v/>
      </c>
      <c r="BI35" s="80">
        <f>BH35-Ops!BI$143+Ops!BI$141</f>
        <v/>
      </c>
      <c r="BJ35" s="80">
        <f>BI35-Ops!BJ$143+Ops!BJ$141</f>
        <v/>
      </c>
      <c r="BK35" s="80">
        <f>BJ35-Ops!BK$143+Ops!BK$141</f>
        <v/>
      </c>
      <c r="BL35" s="80">
        <f>BK35-Ops!BL$143+Ops!BL$141</f>
        <v/>
      </c>
    </row>
    <row r="36">
      <c r="A36" s="100" t="inlineStr">
        <is>
          <t>PAYGo receivables: net</t>
        </is>
      </c>
      <c r="B36" s="101" t="inlineStr">
        <is>
          <t>LCY</t>
        </is>
      </c>
      <c r="C36" s="102">
        <f>BL36</f>
        <v/>
      </c>
      <c r="D36" s="103" t="n"/>
      <c r="E36" s="104">
        <f>E34+E35</f>
        <v/>
      </c>
      <c r="F36" s="104">
        <f>F34+F35</f>
        <v/>
      </c>
      <c r="G36" s="104">
        <f>G34+G35</f>
        <v/>
      </c>
      <c r="H36" s="104">
        <f>H34+H35</f>
        <v/>
      </c>
      <c r="I36" s="104">
        <f>I34+I35</f>
        <v/>
      </c>
      <c r="J36" s="104">
        <f>J34+J35</f>
        <v/>
      </c>
      <c r="K36" s="104">
        <f>K34+K35</f>
        <v/>
      </c>
      <c r="L36" s="104">
        <f>L34+L35</f>
        <v/>
      </c>
      <c r="M36" s="104">
        <f>M34+M35</f>
        <v/>
      </c>
      <c r="N36" s="104">
        <f>N34+N35</f>
        <v/>
      </c>
      <c r="O36" s="104">
        <f>O34+O35</f>
        <v/>
      </c>
      <c r="P36" s="104">
        <f>P34+P35</f>
        <v/>
      </c>
      <c r="Q36" s="104">
        <f>Q34+Q35</f>
        <v/>
      </c>
      <c r="R36" s="104">
        <f>R34+R35</f>
        <v/>
      </c>
      <c r="S36" s="104">
        <f>S34+S35</f>
        <v/>
      </c>
      <c r="T36" s="104">
        <f>T34+T35</f>
        <v/>
      </c>
      <c r="U36" s="104">
        <f>U34+U35</f>
        <v/>
      </c>
      <c r="V36" s="104">
        <f>V34+V35</f>
        <v/>
      </c>
      <c r="W36" s="104">
        <f>W34+W35</f>
        <v/>
      </c>
      <c r="X36" s="104">
        <f>X34+X35</f>
        <v/>
      </c>
      <c r="Y36" s="104">
        <f>Y34+Y35</f>
        <v/>
      </c>
      <c r="Z36" s="104">
        <f>Z34+Z35</f>
        <v/>
      </c>
      <c r="AA36" s="104">
        <f>AA34+AA35</f>
        <v/>
      </c>
      <c r="AB36" s="104">
        <f>AB34+AB35</f>
        <v/>
      </c>
      <c r="AC36" s="104">
        <f>AC34+AC35</f>
        <v/>
      </c>
      <c r="AD36" s="104">
        <f>AD34+AD35</f>
        <v/>
      </c>
      <c r="AE36" s="104">
        <f>AE34+AE35</f>
        <v/>
      </c>
      <c r="AF36" s="104">
        <f>AF34+AF35</f>
        <v/>
      </c>
      <c r="AG36" s="104">
        <f>AG34+AG35</f>
        <v/>
      </c>
      <c r="AH36" s="104">
        <f>AH34+AH35</f>
        <v/>
      </c>
      <c r="AI36" s="104">
        <f>AI34+AI35</f>
        <v/>
      </c>
      <c r="AJ36" s="104">
        <f>AJ34+AJ35</f>
        <v/>
      </c>
      <c r="AK36" s="104">
        <f>AK34+AK35</f>
        <v/>
      </c>
      <c r="AL36" s="104">
        <f>AL34+AL35</f>
        <v/>
      </c>
      <c r="AM36" s="104">
        <f>AM34+AM35</f>
        <v/>
      </c>
      <c r="AN36" s="104">
        <f>AN34+AN35</f>
        <v/>
      </c>
      <c r="AO36" s="104">
        <f>AO34+AO35</f>
        <v/>
      </c>
      <c r="AP36" s="104">
        <f>AP34+AP35</f>
        <v/>
      </c>
      <c r="AQ36" s="104">
        <f>AQ34+AQ35</f>
        <v/>
      </c>
      <c r="AR36" s="104">
        <f>AR34+AR35</f>
        <v/>
      </c>
      <c r="AS36" s="104">
        <f>AS34+AS35</f>
        <v/>
      </c>
      <c r="AT36" s="104">
        <f>AT34+AT35</f>
        <v/>
      </c>
      <c r="AU36" s="104">
        <f>AU34+AU35</f>
        <v/>
      </c>
      <c r="AV36" s="104">
        <f>AV34+AV35</f>
        <v/>
      </c>
      <c r="AW36" s="104">
        <f>AW34+AW35</f>
        <v/>
      </c>
      <c r="AX36" s="104">
        <f>AX34+AX35</f>
        <v/>
      </c>
      <c r="AY36" s="104">
        <f>AY34+AY35</f>
        <v/>
      </c>
      <c r="AZ36" s="104">
        <f>AZ34+AZ35</f>
        <v/>
      </c>
      <c r="BA36" s="104">
        <f>BA34+BA35</f>
        <v/>
      </c>
      <c r="BB36" s="104">
        <f>BB34+BB35</f>
        <v/>
      </c>
      <c r="BC36" s="104">
        <f>BC34+BC35</f>
        <v/>
      </c>
      <c r="BD36" s="104">
        <f>BD34+BD35</f>
        <v/>
      </c>
      <c r="BE36" s="104">
        <f>BE34+BE35</f>
        <v/>
      </c>
      <c r="BF36" s="104">
        <f>BF34+BF35</f>
        <v/>
      </c>
      <c r="BG36" s="104">
        <f>BG34+BG35</f>
        <v/>
      </c>
      <c r="BH36" s="104">
        <f>BH34+BH35</f>
        <v/>
      </c>
      <c r="BI36" s="104">
        <f>BI34+BI35</f>
        <v/>
      </c>
      <c r="BJ36" s="104">
        <f>BJ34+BJ35</f>
        <v/>
      </c>
      <c r="BK36" s="104">
        <f>BK34+BK35</f>
        <v/>
      </c>
      <c r="BL36" s="104">
        <f>BL34+BL35</f>
        <v/>
      </c>
    </row>
    <row r="37">
      <c r="A37" s="98" t="inlineStr">
        <is>
          <t>Inventory</t>
        </is>
      </c>
      <c r="B37" s="65" t="inlineStr">
        <is>
          <t>LCY</t>
        </is>
      </c>
      <c r="C37" s="105">
        <f>BL37</f>
        <v/>
      </c>
      <c r="E37" s="41">
        <f>Costs!E$22</f>
        <v/>
      </c>
      <c r="F37" s="41">
        <f>Costs!F$22</f>
        <v/>
      </c>
      <c r="G37" s="41">
        <f>Costs!G$22</f>
        <v/>
      </c>
      <c r="H37" s="41">
        <f>Costs!H$22</f>
        <v/>
      </c>
      <c r="I37" s="41">
        <f>Costs!I$22</f>
        <v/>
      </c>
      <c r="J37" s="41">
        <f>Costs!J$22</f>
        <v/>
      </c>
      <c r="K37" s="41">
        <f>Costs!K$22</f>
        <v/>
      </c>
      <c r="L37" s="41">
        <f>Costs!L$22</f>
        <v/>
      </c>
      <c r="M37" s="41">
        <f>Costs!M$22</f>
        <v/>
      </c>
      <c r="N37" s="41">
        <f>Costs!N$22</f>
        <v/>
      </c>
      <c r="O37" s="41">
        <f>Costs!O$22</f>
        <v/>
      </c>
      <c r="P37" s="41">
        <f>Costs!P$22</f>
        <v/>
      </c>
      <c r="Q37" s="41">
        <f>Costs!Q$22</f>
        <v/>
      </c>
      <c r="R37" s="41">
        <f>Costs!R$22</f>
        <v/>
      </c>
      <c r="S37" s="41">
        <f>Costs!S$22</f>
        <v/>
      </c>
      <c r="T37" s="41">
        <f>Costs!T$22</f>
        <v/>
      </c>
      <c r="U37" s="41">
        <f>Costs!U$22</f>
        <v/>
      </c>
      <c r="V37" s="41">
        <f>Costs!V$22</f>
        <v/>
      </c>
      <c r="W37" s="41">
        <f>Costs!W$22</f>
        <v/>
      </c>
      <c r="X37" s="41">
        <f>Costs!X$22</f>
        <v/>
      </c>
      <c r="Y37" s="41">
        <f>Costs!Y$22</f>
        <v/>
      </c>
      <c r="Z37" s="41">
        <f>Costs!Z$22</f>
        <v/>
      </c>
      <c r="AA37" s="41">
        <f>Costs!AA$22</f>
        <v/>
      </c>
      <c r="AB37" s="41">
        <f>Costs!AB$22</f>
        <v/>
      </c>
      <c r="AC37" s="41">
        <f>Costs!AC$22</f>
        <v/>
      </c>
      <c r="AD37" s="41">
        <f>Costs!AD$22</f>
        <v/>
      </c>
      <c r="AE37" s="41">
        <f>Costs!AE$22</f>
        <v/>
      </c>
      <c r="AF37" s="41">
        <f>Costs!AF$22</f>
        <v/>
      </c>
      <c r="AG37" s="41">
        <f>Costs!AG$22</f>
        <v/>
      </c>
      <c r="AH37" s="41">
        <f>Costs!AH$22</f>
        <v/>
      </c>
      <c r="AI37" s="41">
        <f>Costs!AI$22</f>
        <v/>
      </c>
      <c r="AJ37" s="41">
        <f>Costs!AJ$22</f>
        <v/>
      </c>
      <c r="AK37" s="41">
        <f>Costs!AK$22</f>
        <v/>
      </c>
      <c r="AL37" s="41">
        <f>Costs!AL$22</f>
        <v/>
      </c>
      <c r="AM37" s="41">
        <f>Costs!AM$22</f>
        <v/>
      </c>
      <c r="AN37" s="41">
        <f>Costs!AN$22</f>
        <v/>
      </c>
      <c r="AO37" s="41">
        <f>Costs!AO$22</f>
        <v/>
      </c>
      <c r="AP37" s="41">
        <f>Costs!AP$22</f>
        <v/>
      </c>
      <c r="AQ37" s="41">
        <f>Costs!AQ$22</f>
        <v/>
      </c>
      <c r="AR37" s="41">
        <f>Costs!AR$22</f>
        <v/>
      </c>
      <c r="AS37" s="41">
        <f>Costs!AS$22</f>
        <v/>
      </c>
      <c r="AT37" s="41">
        <f>Costs!AT$22</f>
        <v/>
      </c>
      <c r="AU37" s="41">
        <f>Costs!AU$22</f>
        <v/>
      </c>
      <c r="AV37" s="41">
        <f>Costs!AV$22</f>
        <v/>
      </c>
      <c r="AW37" s="41">
        <f>Costs!AW$22</f>
        <v/>
      </c>
      <c r="AX37" s="41">
        <f>Costs!AX$22</f>
        <v/>
      </c>
      <c r="AY37" s="41">
        <f>Costs!AY$22</f>
        <v/>
      </c>
      <c r="AZ37" s="41">
        <f>Costs!AZ$22</f>
        <v/>
      </c>
      <c r="BA37" s="41">
        <f>Costs!BA$22</f>
        <v/>
      </c>
      <c r="BB37" s="41">
        <f>Costs!BB$22</f>
        <v/>
      </c>
      <c r="BC37" s="41">
        <f>Costs!BC$22</f>
        <v/>
      </c>
      <c r="BD37" s="41">
        <f>Costs!BD$22</f>
        <v/>
      </c>
      <c r="BE37" s="41">
        <f>Costs!BE$22</f>
        <v/>
      </c>
      <c r="BF37" s="41">
        <f>Costs!BF$22</f>
        <v/>
      </c>
      <c r="BG37" s="41">
        <f>Costs!BG$22</f>
        <v/>
      </c>
      <c r="BH37" s="41">
        <f>Costs!BH$22</f>
        <v/>
      </c>
      <c r="BI37" s="41">
        <f>Costs!BI$22</f>
        <v/>
      </c>
      <c r="BJ37" s="41">
        <f>Costs!BJ$22</f>
        <v/>
      </c>
      <c r="BK37" s="41">
        <f>Costs!BK$22</f>
        <v/>
      </c>
      <c r="BL37" s="41">
        <f>Costs!BL$22</f>
        <v/>
      </c>
    </row>
    <row r="38">
      <c r="A38" s="98" t="inlineStr">
        <is>
          <t>Net fixed assets</t>
        </is>
      </c>
      <c r="B38" s="65" t="inlineStr">
        <is>
          <t>LCY</t>
        </is>
      </c>
      <c r="C38" s="105">
        <f>BL38</f>
        <v/>
      </c>
      <c r="E38" s="41">
        <f>Costs!E$28</f>
        <v/>
      </c>
      <c r="F38" s="41">
        <f>Costs!F$28</f>
        <v/>
      </c>
      <c r="G38" s="41">
        <f>Costs!G$28</f>
        <v/>
      </c>
      <c r="H38" s="41">
        <f>Costs!H$28</f>
        <v/>
      </c>
      <c r="I38" s="41">
        <f>Costs!I$28</f>
        <v/>
      </c>
      <c r="J38" s="41">
        <f>Costs!J$28</f>
        <v/>
      </c>
      <c r="K38" s="41">
        <f>Costs!K$28</f>
        <v/>
      </c>
      <c r="L38" s="41">
        <f>Costs!L$28</f>
        <v/>
      </c>
      <c r="M38" s="41">
        <f>Costs!M$28</f>
        <v/>
      </c>
      <c r="N38" s="41">
        <f>Costs!N$28</f>
        <v/>
      </c>
      <c r="O38" s="41">
        <f>Costs!O$28</f>
        <v/>
      </c>
      <c r="P38" s="41">
        <f>Costs!P$28</f>
        <v/>
      </c>
      <c r="Q38" s="41">
        <f>Costs!Q$28</f>
        <v/>
      </c>
      <c r="R38" s="41">
        <f>Costs!R$28</f>
        <v/>
      </c>
      <c r="S38" s="41">
        <f>Costs!S$28</f>
        <v/>
      </c>
      <c r="T38" s="41">
        <f>Costs!T$28</f>
        <v/>
      </c>
      <c r="U38" s="41">
        <f>Costs!U$28</f>
        <v/>
      </c>
      <c r="V38" s="41">
        <f>Costs!V$28</f>
        <v/>
      </c>
      <c r="W38" s="41">
        <f>Costs!W$28</f>
        <v/>
      </c>
      <c r="X38" s="41">
        <f>Costs!X$28</f>
        <v/>
      </c>
      <c r="Y38" s="41">
        <f>Costs!Y$28</f>
        <v/>
      </c>
      <c r="Z38" s="41">
        <f>Costs!Z$28</f>
        <v/>
      </c>
      <c r="AA38" s="41">
        <f>Costs!AA$28</f>
        <v/>
      </c>
      <c r="AB38" s="41">
        <f>Costs!AB$28</f>
        <v/>
      </c>
      <c r="AC38" s="41">
        <f>Costs!AC$28</f>
        <v/>
      </c>
      <c r="AD38" s="41">
        <f>Costs!AD$28</f>
        <v/>
      </c>
      <c r="AE38" s="41">
        <f>Costs!AE$28</f>
        <v/>
      </c>
      <c r="AF38" s="41">
        <f>Costs!AF$28</f>
        <v/>
      </c>
      <c r="AG38" s="41">
        <f>Costs!AG$28</f>
        <v/>
      </c>
      <c r="AH38" s="41">
        <f>Costs!AH$28</f>
        <v/>
      </c>
      <c r="AI38" s="41">
        <f>Costs!AI$28</f>
        <v/>
      </c>
      <c r="AJ38" s="41">
        <f>Costs!AJ$28</f>
        <v/>
      </c>
      <c r="AK38" s="41">
        <f>Costs!AK$28</f>
        <v/>
      </c>
      <c r="AL38" s="41">
        <f>Costs!AL$28</f>
        <v/>
      </c>
      <c r="AM38" s="41">
        <f>Costs!AM$28</f>
        <v/>
      </c>
      <c r="AN38" s="41">
        <f>Costs!AN$28</f>
        <v/>
      </c>
      <c r="AO38" s="41">
        <f>Costs!AO$28</f>
        <v/>
      </c>
      <c r="AP38" s="41">
        <f>Costs!AP$28</f>
        <v/>
      </c>
      <c r="AQ38" s="41">
        <f>Costs!AQ$28</f>
        <v/>
      </c>
      <c r="AR38" s="41">
        <f>Costs!AR$28</f>
        <v/>
      </c>
      <c r="AS38" s="41">
        <f>Costs!AS$28</f>
        <v/>
      </c>
      <c r="AT38" s="41">
        <f>Costs!AT$28</f>
        <v/>
      </c>
      <c r="AU38" s="41">
        <f>Costs!AU$28</f>
        <v/>
      </c>
      <c r="AV38" s="41">
        <f>Costs!AV$28</f>
        <v/>
      </c>
      <c r="AW38" s="41">
        <f>Costs!AW$28</f>
        <v/>
      </c>
      <c r="AX38" s="41">
        <f>Costs!AX$28</f>
        <v/>
      </c>
      <c r="AY38" s="41">
        <f>Costs!AY$28</f>
        <v/>
      </c>
      <c r="AZ38" s="41">
        <f>Costs!AZ$28</f>
        <v/>
      </c>
      <c r="BA38" s="41">
        <f>Costs!BA$28</f>
        <v/>
      </c>
      <c r="BB38" s="41">
        <f>Costs!BB$28</f>
        <v/>
      </c>
      <c r="BC38" s="41">
        <f>Costs!BC$28</f>
        <v/>
      </c>
      <c r="BD38" s="41">
        <f>Costs!BD$28</f>
        <v/>
      </c>
      <c r="BE38" s="41">
        <f>Costs!BE$28</f>
        <v/>
      </c>
      <c r="BF38" s="41">
        <f>Costs!BF$28</f>
        <v/>
      </c>
      <c r="BG38" s="41">
        <f>Costs!BG$28</f>
        <v/>
      </c>
      <c r="BH38" s="41">
        <f>Costs!BH$28</f>
        <v/>
      </c>
      <c r="BI38" s="41">
        <f>Costs!BI$28</f>
        <v/>
      </c>
      <c r="BJ38" s="41">
        <f>Costs!BJ$28</f>
        <v/>
      </c>
      <c r="BK38" s="41">
        <f>Costs!BK$28</f>
        <v/>
      </c>
      <c r="BL38" s="41">
        <f>Costs!BL$28</f>
        <v/>
      </c>
    </row>
    <row r="39">
      <c r="A39" s="100" t="inlineStr">
        <is>
          <t>Total assets</t>
        </is>
      </c>
      <c r="B39" s="101" t="inlineStr">
        <is>
          <t>LCY</t>
        </is>
      </c>
      <c r="C39" s="102">
        <f>BL39</f>
        <v/>
      </c>
      <c r="D39" s="103" t="n"/>
      <c r="E39" s="104">
        <f>E33+E36+E37+E38</f>
        <v/>
      </c>
      <c r="F39" s="104">
        <f>F33+F36+F37+F38</f>
        <v/>
      </c>
      <c r="G39" s="104">
        <f>G33+G36+G37+G38</f>
        <v/>
      </c>
      <c r="H39" s="104">
        <f>H33+H36+H37+H38</f>
        <v/>
      </c>
      <c r="I39" s="104">
        <f>I33+I36+I37+I38</f>
        <v/>
      </c>
      <c r="J39" s="104">
        <f>J33+J36+J37+J38</f>
        <v/>
      </c>
      <c r="K39" s="104">
        <f>K33+K36+K37+K38</f>
        <v/>
      </c>
      <c r="L39" s="104">
        <f>L33+L36+L37+L38</f>
        <v/>
      </c>
      <c r="M39" s="104">
        <f>M33+M36+M37+M38</f>
        <v/>
      </c>
      <c r="N39" s="104">
        <f>N33+N36+N37+N38</f>
        <v/>
      </c>
      <c r="O39" s="104">
        <f>O33+O36+O37+O38</f>
        <v/>
      </c>
      <c r="P39" s="104">
        <f>P33+P36+P37+P38</f>
        <v/>
      </c>
      <c r="Q39" s="104">
        <f>Q33+Q36+Q37+Q38</f>
        <v/>
      </c>
      <c r="R39" s="104">
        <f>R33+R36+R37+R38</f>
        <v/>
      </c>
      <c r="S39" s="104">
        <f>S33+S36+S37+S38</f>
        <v/>
      </c>
      <c r="T39" s="104">
        <f>T33+T36+T37+T38</f>
        <v/>
      </c>
      <c r="U39" s="104">
        <f>U33+U36+U37+U38</f>
        <v/>
      </c>
      <c r="V39" s="104">
        <f>V33+V36+V37+V38</f>
        <v/>
      </c>
      <c r="W39" s="104">
        <f>W33+W36+W37+W38</f>
        <v/>
      </c>
      <c r="X39" s="104">
        <f>X33+X36+X37+X38</f>
        <v/>
      </c>
      <c r="Y39" s="104">
        <f>Y33+Y36+Y37+Y38</f>
        <v/>
      </c>
      <c r="Z39" s="104">
        <f>Z33+Z36+Z37+Z38</f>
        <v/>
      </c>
      <c r="AA39" s="104">
        <f>AA33+AA36+AA37+AA38</f>
        <v/>
      </c>
      <c r="AB39" s="104">
        <f>AB33+AB36+AB37+AB38</f>
        <v/>
      </c>
      <c r="AC39" s="104">
        <f>AC33+AC36+AC37+AC38</f>
        <v/>
      </c>
      <c r="AD39" s="104">
        <f>AD33+AD36+AD37+AD38</f>
        <v/>
      </c>
      <c r="AE39" s="104">
        <f>AE33+AE36+AE37+AE38</f>
        <v/>
      </c>
      <c r="AF39" s="104">
        <f>AF33+AF36+AF37+AF38</f>
        <v/>
      </c>
      <c r="AG39" s="104">
        <f>AG33+AG36+AG37+AG38</f>
        <v/>
      </c>
      <c r="AH39" s="104">
        <f>AH33+AH36+AH37+AH38</f>
        <v/>
      </c>
      <c r="AI39" s="104">
        <f>AI33+AI36+AI37+AI38</f>
        <v/>
      </c>
      <c r="AJ39" s="104">
        <f>AJ33+AJ36+AJ37+AJ38</f>
        <v/>
      </c>
      <c r="AK39" s="104">
        <f>AK33+AK36+AK37+AK38</f>
        <v/>
      </c>
      <c r="AL39" s="104">
        <f>AL33+AL36+AL37+AL38</f>
        <v/>
      </c>
      <c r="AM39" s="104">
        <f>AM33+AM36+AM37+AM38</f>
        <v/>
      </c>
      <c r="AN39" s="104">
        <f>AN33+AN36+AN37+AN38</f>
        <v/>
      </c>
      <c r="AO39" s="104">
        <f>AO33+AO36+AO37+AO38</f>
        <v/>
      </c>
      <c r="AP39" s="104">
        <f>AP33+AP36+AP37+AP38</f>
        <v/>
      </c>
      <c r="AQ39" s="104">
        <f>AQ33+AQ36+AQ37+AQ38</f>
        <v/>
      </c>
      <c r="AR39" s="104">
        <f>AR33+AR36+AR37+AR38</f>
        <v/>
      </c>
      <c r="AS39" s="104">
        <f>AS33+AS36+AS37+AS38</f>
        <v/>
      </c>
      <c r="AT39" s="104">
        <f>AT33+AT36+AT37+AT38</f>
        <v/>
      </c>
      <c r="AU39" s="104">
        <f>AU33+AU36+AU37+AU38</f>
        <v/>
      </c>
      <c r="AV39" s="104">
        <f>AV33+AV36+AV37+AV38</f>
        <v/>
      </c>
      <c r="AW39" s="104">
        <f>AW33+AW36+AW37+AW38</f>
        <v/>
      </c>
      <c r="AX39" s="104">
        <f>AX33+AX36+AX37+AX38</f>
        <v/>
      </c>
      <c r="AY39" s="104">
        <f>AY33+AY36+AY37+AY38</f>
        <v/>
      </c>
      <c r="AZ39" s="104">
        <f>AZ33+AZ36+AZ37+AZ38</f>
        <v/>
      </c>
      <c r="BA39" s="104">
        <f>BA33+BA36+BA37+BA38</f>
        <v/>
      </c>
      <c r="BB39" s="104">
        <f>BB33+BB36+BB37+BB38</f>
        <v/>
      </c>
      <c r="BC39" s="104">
        <f>BC33+BC36+BC37+BC38</f>
        <v/>
      </c>
      <c r="BD39" s="104">
        <f>BD33+BD36+BD37+BD38</f>
        <v/>
      </c>
      <c r="BE39" s="104">
        <f>BE33+BE36+BE37+BE38</f>
        <v/>
      </c>
      <c r="BF39" s="104">
        <f>BF33+BF36+BF37+BF38</f>
        <v/>
      </c>
      <c r="BG39" s="104">
        <f>BG33+BG36+BG37+BG38</f>
        <v/>
      </c>
      <c r="BH39" s="104">
        <f>BH33+BH36+BH37+BH38</f>
        <v/>
      </c>
      <c r="BI39" s="104">
        <f>BI33+BI36+BI37+BI38</f>
        <v/>
      </c>
      <c r="BJ39" s="104">
        <f>BJ33+BJ36+BJ37+BJ38</f>
        <v/>
      </c>
      <c r="BK39" s="104">
        <f>BK33+BK36+BK37+BK38</f>
        <v/>
      </c>
      <c r="BL39" s="104">
        <f>BL33+BL36+BL37+BL38</f>
        <v/>
      </c>
    </row>
    <row r="40">
      <c r="A40" s="98" t="inlineStr">
        <is>
          <t>Supplier payables</t>
        </is>
      </c>
      <c r="B40" s="65" t="inlineStr">
        <is>
          <t>LCY</t>
        </is>
      </c>
      <c r="C40" s="105">
        <f>BL40</f>
        <v/>
      </c>
      <c r="E40" s="41">
        <f>Costs!E$24</f>
        <v/>
      </c>
      <c r="F40" s="41">
        <f>Costs!F$24</f>
        <v/>
      </c>
      <c r="G40" s="41">
        <f>Costs!G$24</f>
        <v/>
      </c>
      <c r="H40" s="41">
        <f>Costs!H$24</f>
        <v/>
      </c>
      <c r="I40" s="41">
        <f>Costs!I$24</f>
        <v/>
      </c>
      <c r="J40" s="41">
        <f>Costs!J$24</f>
        <v/>
      </c>
      <c r="K40" s="41">
        <f>Costs!K$24</f>
        <v/>
      </c>
      <c r="L40" s="41">
        <f>Costs!L$24</f>
        <v/>
      </c>
      <c r="M40" s="41">
        <f>Costs!M$24</f>
        <v/>
      </c>
      <c r="N40" s="41">
        <f>Costs!N$24</f>
        <v/>
      </c>
      <c r="O40" s="41">
        <f>Costs!O$24</f>
        <v/>
      </c>
      <c r="P40" s="41">
        <f>Costs!P$24</f>
        <v/>
      </c>
      <c r="Q40" s="41">
        <f>Costs!Q$24</f>
        <v/>
      </c>
      <c r="R40" s="41">
        <f>Costs!R$24</f>
        <v/>
      </c>
      <c r="S40" s="41">
        <f>Costs!S$24</f>
        <v/>
      </c>
      <c r="T40" s="41">
        <f>Costs!T$24</f>
        <v/>
      </c>
      <c r="U40" s="41">
        <f>Costs!U$24</f>
        <v/>
      </c>
      <c r="V40" s="41">
        <f>Costs!V$24</f>
        <v/>
      </c>
      <c r="W40" s="41">
        <f>Costs!W$24</f>
        <v/>
      </c>
      <c r="X40" s="41">
        <f>Costs!X$24</f>
        <v/>
      </c>
      <c r="Y40" s="41">
        <f>Costs!Y$24</f>
        <v/>
      </c>
      <c r="Z40" s="41">
        <f>Costs!Z$24</f>
        <v/>
      </c>
      <c r="AA40" s="41">
        <f>Costs!AA$24</f>
        <v/>
      </c>
      <c r="AB40" s="41">
        <f>Costs!AB$24</f>
        <v/>
      </c>
      <c r="AC40" s="41">
        <f>Costs!AC$24</f>
        <v/>
      </c>
      <c r="AD40" s="41">
        <f>Costs!AD$24</f>
        <v/>
      </c>
      <c r="AE40" s="41">
        <f>Costs!AE$24</f>
        <v/>
      </c>
      <c r="AF40" s="41">
        <f>Costs!AF$24</f>
        <v/>
      </c>
      <c r="AG40" s="41">
        <f>Costs!AG$24</f>
        <v/>
      </c>
      <c r="AH40" s="41">
        <f>Costs!AH$24</f>
        <v/>
      </c>
      <c r="AI40" s="41">
        <f>Costs!AI$24</f>
        <v/>
      </c>
      <c r="AJ40" s="41">
        <f>Costs!AJ$24</f>
        <v/>
      </c>
      <c r="AK40" s="41">
        <f>Costs!AK$24</f>
        <v/>
      </c>
      <c r="AL40" s="41">
        <f>Costs!AL$24</f>
        <v/>
      </c>
      <c r="AM40" s="41">
        <f>Costs!AM$24</f>
        <v/>
      </c>
      <c r="AN40" s="41">
        <f>Costs!AN$24</f>
        <v/>
      </c>
      <c r="AO40" s="41">
        <f>Costs!AO$24</f>
        <v/>
      </c>
      <c r="AP40" s="41">
        <f>Costs!AP$24</f>
        <v/>
      </c>
      <c r="AQ40" s="41">
        <f>Costs!AQ$24</f>
        <v/>
      </c>
      <c r="AR40" s="41">
        <f>Costs!AR$24</f>
        <v/>
      </c>
      <c r="AS40" s="41">
        <f>Costs!AS$24</f>
        <v/>
      </c>
      <c r="AT40" s="41">
        <f>Costs!AT$24</f>
        <v/>
      </c>
      <c r="AU40" s="41">
        <f>Costs!AU$24</f>
        <v/>
      </c>
      <c r="AV40" s="41">
        <f>Costs!AV$24</f>
        <v/>
      </c>
      <c r="AW40" s="41">
        <f>Costs!AW$24</f>
        <v/>
      </c>
      <c r="AX40" s="41">
        <f>Costs!AX$24</f>
        <v/>
      </c>
      <c r="AY40" s="41">
        <f>Costs!AY$24</f>
        <v/>
      </c>
      <c r="AZ40" s="41">
        <f>Costs!AZ$24</f>
        <v/>
      </c>
      <c r="BA40" s="41">
        <f>Costs!BA$24</f>
        <v/>
      </c>
      <c r="BB40" s="41">
        <f>Costs!BB$24</f>
        <v/>
      </c>
      <c r="BC40" s="41">
        <f>Costs!BC$24</f>
        <v/>
      </c>
      <c r="BD40" s="41">
        <f>Costs!BD$24</f>
        <v/>
      </c>
      <c r="BE40" s="41">
        <f>Costs!BE$24</f>
        <v/>
      </c>
      <c r="BF40" s="41">
        <f>Costs!BF$24</f>
        <v/>
      </c>
      <c r="BG40" s="41">
        <f>Costs!BG$24</f>
        <v/>
      </c>
      <c r="BH40" s="41">
        <f>Costs!BH$24</f>
        <v/>
      </c>
      <c r="BI40" s="41">
        <f>Costs!BI$24</f>
        <v/>
      </c>
      <c r="BJ40" s="41">
        <f>Costs!BJ$24</f>
        <v/>
      </c>
      <c r="BK40" s="41">
        <f>Costs!BK$24</f>
        <v/>
      </c>
      <c r="BL40" s="41">
        <f>Costs!BL$24</f>
        <v/>
      </c>
    </row>
    <row r="41">
      <c r="A41" s="98" t="inlineStr">
        <is>
          <t>USD term loan (in LCY)</t>
        </is>
      </c>
      <c r="B41" s="65" t="inlineStr">
        <is>
          <t>LCY</t>
        </is>
      </c>
      <c r="C41" s="105">
        <f>BL41</f>
        <v/>
      </c>
      <c r="E41" s="41">
        <f>Financing!E$19</f>
        <v/>
      </c>
      <c r="F41" s="41">
        <f>Financing!F$19</f>
        <v/>
      </c>
      <c r="G41" s="41">
        <f>Financing!G$19</f>
        <v/>
      </c>
      <c r="H41" s="41">
        <f>Financing!H$19</f>
        <v/>
      </c>
      <c r="I41" s="41">
        <f>Financing!I$19</f>
        <v/>
      </c>
      <c r="J41" s="41">
        <f>Financing!J$19</f>
        <v/>
      </c>
      <c r="K41" s="41">
        <f>Financing!K$19</f>
        <v/>
      </c>
      <c r="L41" s="41">
        <f>Financing!L$19</f>
        <v/>
      </c>
      <c r="M41" s="41">
        <f>Financing!M$19</f>
        <v/>
      </c>
      <c r="N41" s="41">
        <f>Financing!N$19</f>
        <v/>
      </c>
      <c r="O41" s="41">
        <f>Financing!O$19</f>
        <v/>
      </c>
      <c r="P41" s="41">
        <f>Financing!P$19</f>
        <v/>
      </c>
      <c r="Q41" s="41">
        <f>Financing!Q$19</f>
        <v/>
      </c>
      <c r="R41" s="41">
        <f>Financing!R$19</f>
        <v/>
      </c>
      <c r="S41" s="41">
        <f>Financing!S$19</f>
        <v/>
      </c>
      <c r="T41" s="41">
        <f>Financing!T$19</f>
        <v/>
      </c>
      <c r="U41" s="41">
        <f>Financing!U$19</f>
        <v/>
      </c>
      <c r="V41" s="41">
        <f>Financing!V$19</f>
        <v/>
      </c>
      <c r="W41" s="41">
        <f>Financing!W$19</f>
        <v/>
      </c>
      <c r="X41" s="41">
        <f>Financing!X$19</f>
        <v/>
      </c>
      <c r="Y41" s="41">
        <f>Financing!Y$19</f>
        <v/>
      </c>
      <c r="Z41" s="41">
        <f>Financing!Z$19</f>
        <v/>
      </c>
      <c r="AA41" s="41">
        <f>Financing!AA$19</f>
        <v/>
      </c>
      <c r="AB41" s="41">
        <f>Financing!AB$19</f>
        <v/>
      </c>
      <c r="AC41" s="41">
        <f>Financing!AC$19</f>
        <v/>
      </c>
      <c r="AD41" s="41">
        <f>Financing!AD$19</f>
        <v/>
      </c>
      <c r="AE41" s="41">
        <f>Financing!AE$19</f>
        <v/>
      </c>
      <c r="AF41" s="41">
        <f>Financing!AF$19</f>
        <v/>
      </c>
      <c r="AG41" s="41">
        <f>Financing!AG$19</f>
        <v/>
      </c>
      <c r="AH41" s="41">
        <f>Financing!AH$19</f>
        <v/>
      </c>
      <c r="AI41" s="41">
        <f>Financing!AI$19</f>
        <v/>
      </c>
      <c r="AJ41" s="41">
        <f>Financing!AJ$19</f>
        <v/>
      </c>
      <c r="AK41" s="41">
        <f>Financing!AK$19</f>
        <v/>
      </c>
      <c r="AL41" s="41">
        <f>Financing!AL$19</f>
        <v/>
      </c>
      <c r="AM41" s="41">
        <f>Financing!AM$19</f>
        <v/>
      </c>
      <c r="AN41" s="41">
        <f>Financing!AN$19</f>
        <v/>
      </c>
      <c r="AO41" s="41">
        <f>Financing!AO$19</f>
        <v/>
      </c>
      <c r="AP41" s="41">
        <f>Financing!AP$19</f>
        <v/>
      </c>
      <c r="AQ41" s="41">
        <f>Financing!AQ$19</f>
        <v/>
      </c>
      <c r="AR41" s="41">
        <f>Financing!AR$19</f>
        <v/>
      </c>
      <c r="AS41" s="41">
        <f>Financing!AS$19</f>
        <v/>
      </c>
      <c r="AT41" s="41">
        <f>Financing!AT$19</f>
        <v/>
      </c>
      <c r="AU41" s="41">
        <f>Financing!AU$19</f>
        <v/>
      </c>
      <c r="AV41" s="41">
        <f>Financing!AV$19</f>
        <v/>
      </c>
      <c r="AW41" s="41">
        <f>Financing!AW$19</f>
        <v/>
      </c>
      <c r="AX41" s="41">
        <f>Financing!AX$19</f>
        <v/>
      </c>
      <c r="AY41" s="41">
        <f>Financing!AY$19</f>
        <v/>
      </c>
      <c r="AZ41" s="41">
        <f>Financing!AZ$19</f>
        <v/>
      </c>
      <c r="BA41" s="41">
        <f>Financing!BA$19</f>
        <v/>
      </c>
      <c r="BB41" s="41">
        <f>Financing!BB$19</f>
        <v/>
      </c>
      <c r="BC41" s="41">
        <f>Financing!BC$19</f>
        <v/>
      </c>
      <c r="BD41" s="41">
        <f>Financing!BD$19</f>
        <v/>
      </c>
      <c r="BE41" s="41">
        <f>Financing!BE$19</f>
        <v/>
      </c>
      <c r="BF41" s="41">
        <f>Financing!BF$19</f>
        <v/>
      </c>
      <c r="BG41" s="41">
        <f>Financing!BG$19</f>
        <v/>
      </c>
      <c r="BH41" s="41">
        <f>Financing!BH$19</f>
        <v/>
      </c>
      <c r="BI41" s="41">
        <f>Financing!BI$19</f>
        <v/>
      </c>
      <c r="BJ41" s="41">
        <f>Financing!BJ$19</f>
        <v/>
      </c>
      <c r="BK41" s="41">
        <f>Financing!BK$19</f>
        <v/>
      </c>
      <c r="BL41" s="41">
        <f>Financing!BL$19</f>
        <v/>
      </c>
    </row>
    <row r="42">
      <c r="A42" s="98" t="inlineStr">
        <is>
          <t>Receivables facility</t>
        </is>
      </c>
      <c r="B42" s="65" t="inlineStr">
        <is>
          <t>LCY</t>
        </is>
      </c>
      <c r="C42" s="105">
        <f>BL42</f>
        <v/>
      </c>
      <c r="E42" s="41">
        <f>Financing!E$23</f>
        <v/>
      </c>
      <c r="F42" s="41">
        <f>Financing!F$23</f>
        <v/>
      </c>
      <c r="G42" s="41">
        <f>Financing!G$23</f>
        <v/>
      </c>
      <c r="H42" s="41">
        <f>Financing!H$23</f>
        <v/>
      </c>
      <c r="I42" s="41">
        <f>Financing!I$23</f>
        <v/>
      </c>
      <c r="J42" s="41">
        <f>Financing!J$23</f>
        <v/>
      </c>
      <c r="K42" s="41">
        <f>Financing!K$23</f>
        <v/>
      </c>
      <c r="L42" s="41">
        <f>Financing!L$23</f>
        <v/>
      </c>
      <c r="M42" s="41">
        <f>Financing!M$23</f>
        <v/>
      </c>
      <c r="N42" s="41">
        <f>Financing!N$23</f>
        <v/>
      </c>
      <c r="O42" s="41">
        <f>Financing!O$23</f>
        <v/>
      </c>
      <c r="P42" s="41">
        <f>Financing!P$23</f>
        <v/>
      </c>
      <c r="Q42" s="41">
        <f>Financing!Q$23</f>
        <v/>
      </c>
      <c r="R42" s="41">
        <f>Financing!R$23</f>
        <v/>
      </c>
      <c r="S42" s="41">
        <f>Financing!S$23</f>
        <v/>
      </c>
      <c r="T42" s="41">
        <f>Financing!T$23</f>
        <v/>
      </c>
      <c r="U42" s="41">
        <f>Financing!U$23</f>
        <v/>
      </c>
      <c r="V42" s="41">
        <f>Financing!V$23</f>
        <v/>
      </c>
      <c r="W42" s="41">
        <f>Financing!W$23</f>
        <v/>
      </c>
      <c r="X42" s="41">
        <f>Financing!X$23</f>
        <v/>
      </c>
      <c r="Y42" s="41">
        <f>Financing!Y$23</f>
        <v/>
      </c>
      <c r="Z42" s="41">
        <f>Financing!Z$23</f>
        <v/>
      </c>
      <c r="AA42" s="41">
        <f>Financing!AA$23</f>
        <v/>
      </c>
      <c r="AB42" s="41">
        <f>Financing!AB$23</f>
        <v/>
      </c>
      <c r="AC42" s="41">
        <f>Financing!AC$23</f>
        <v/>
      </c>
      <c r="AD42" s="41">
        <f>Financing!AD$23</f>
        <v/>
      </c>
      <c r="AE42" s="41">
        <f>Financing!AE$23</f>
        <v/>
      </c>
      <c r="AF42" s="41">
        <f>Financing!AF$23</f>
        <v/>
      </c>
      <c r="AG42" s="41">
        <f>Financing!AG$23</f>
        <v/>
      </c>
      <c r="AH42" s="41">
        <f>Financing!AH$23</f>
        <v/>
      </c>
      <c r="AI42" s="41">
        <f>Financing!AI$23</f>
        <v/>
      </c>
      <c r="AJ42" s="41">
        <f>Financing!AJ$23</f>
        <v/>
      </c>
      <c r="AK42" s="41">
        <f>Financing!AK$23</f>
        <v/>
      </c>
      <c r="AL42" s="41">
        <f>Financing!AL$23</f>
        <v/>
      </c>
      <c r="AM42" s="41">
        <f>Financing!AM$23</f>
        <v/>
      </c>
      <c r="AN42" s="41">
        <f>Financing!AN$23</f>
        <v/>
      </c>
      <c r="AO42" s="41">
        <f>Financing!AO$23</f>
        <v/>
      </c>
      <c r="AP42" s="41">
        <f>Financing!AP$23</f>
        <v/>
      </c>
      <c r="AQ42" s="41">
        <f>Financing!AQ$23</f>
        <v/>
      </c>
      <c r="AR42" s="41">
        <f>Financing!AR$23</f>
        <v/>
      </c>
      <c r="AS42" s="41">
        <f>Financing!AS$23</f>
        <v/>
      </c>
      <c r="AT42" s="41">
        <f>Financing!AT$23</f>
        <v/>
      </c>
      <c r="AU42" s="41">
        <f>Financing!AU$23</f>
        <v/>
      </c>
      <c r="AV42" s="41">
        <f>Financing!AV$23</f>
        <v/>
      </c>
      <c r="AW42" s="41">
        <f>Financing!AW$23</f>
        <v/>
      </c>
      <c r="AX42" s="41">
        <f>Financing!AX$23</f>
        <v/>
      </c>
      <c r="AY42" s="41">
        <f>Financing!AY$23</f>
        <v/>
      </c>
      <c r="AZ42" s="41">
        <f>Financing!AZ$23</f>
        <v/>
      </c>
      <c r="BA42" s="41">
        <f>Financing!BA$23</f>
        <v/>
      </c>
      <c r="BB42" s="41">
        <f>Financing!BB$23</f>
        <v/>
      </c>
      <c r="BC42" s="41">
        <f>Financing!BC$23</f>
        <v/>
      </c>
      <c r="BD42" s="41">
        <f>Financing!BD$23</f>
        <v/>
      </c>
      <c r="BE42" s="41">
        <f>Financing!BE$23</f>
        <v/>
      </c>
      <c r="BF42" s="41">
        <f>Financing!BF$23</f>
        <v/>
      </c>
      <c r="BG42" s="41">
        <f>Financing!BG$23</f>
        <v/>
      </c>
      <c r="BH42" s="41">
        <f>Financing!BH$23</f>
        <v/>
      </c>
      <c r="BI42" s="41">
        <f>Financing!BI$23</f>
        <v/>
      </c>
      <c r="BJ42" s="41">
        <f>Financing!BJ$23</f>
        <v/>
      </c>
      <c r="BK42" s="41">
        <f>Financing!BK$23</f>
        <v/>
      </c>
      <c r="BL42" s="41">
        <f>Financing!BL$23</f>
        <v/>
      </c>
    </row>
    <row r="43">
      <c r="A43" s="98" t="inlineStr">
        <is>
          <t>Total liabilities</t>
        </is>
      </c>
      <c r="B43" s="65" t="inlineStr">
        <is>
          <t>LCY</t>
        </is>
      </c>
      <c r="C43" s="105">
        <f>BL43</f>
        <v/>
      </c>
      <c r="E43" s="80">
        <f>E40+E41+E42</f>
        <v/>
      </c>
      <c r="F43" s="80">
        <f>F40+F41+F42</f>
        <v/>
      </c>
      <c r="G43" s="80">
        <f>G40+G41+G42</f>
        <v/>
      </c>
      <c r="H43" s="80">
        <f>H40+H41+H42</f>
        <v/>
      </c>
      <c r="I43" s="80">
        <f>I40+I41+I42</f>
        <v/>
      </c>
      <c r="J43" s="80">
        <f>J40+J41+J42</f>
        <v/>
      </c>
      <c r="K43" s="80">
        <f>K40+K41+K42</f>
        <v/>
      </c>
      <c r="L43" s="80">
        <f>L40+L41+L42</f>
        <v/>
      </c>
      <c r="M43" s="80">
        <f>M40+M41+M42</f>
        <v/>
      </c>
      <c r="N43" s="80">
        <f>N40+N41+N42</f>
        <v/>
      </c>
      <c r="O43" s="80">
        <f>O40+O41+O42</f>
        <v/>
      </c>
      <c r="P43" s="80">
        <f>P40+P41+P42</f>
        <v/>
      </c>
      <c r="Q43" s="80">
        <f>Q40+Q41+Q42</f>
        <v/>
      </c>
      <c r="R43" s="80">
        <f>R40+R41+R42</f>
        <v/>
      </c>
      <c r="S43" s="80">
        <f>S40+S41+S42</f>
        <v/>
      </c>
      <c r="T43" s="80">
        <f>T40+T41+T42</f>
        <v/>
      </c>
      <c r="U43" s="80">
        <f>U40+U41+U42</f>
        <v/>
      </c>
      <c r="V43" s="80">
        <f>V40+V41+V42</f>
        <v/>
      </c>
      <c r="W43" s="80">
        <f>W40+W41+W42</f>
        <v/>
      </c>
      <c r="X43" s="80">
        <f>X40+X41+X42</f>
        <v/>
      </c>
      <c r="Y43" s="80">
        <f>Y40+Y41+Y42</f>
        <v/>
      </c>
      <c r="Z43" s="80">
        <f>Z40+Z41+Z42</f>
        <v/>
      </c>
      <c r="AA43" s="80">
        <f>AA40+AA41+AA42</f>
        <v/>
      </c>
      <c r="AB43" s="80">
        <f>AB40+AB41+AB42</f>
        <v/>
      </c>
      <c r="AC43" s="80">
        <f>AC40+AC41+AC42</f>
        <v/>
      </c>
      <c r="AD43" s="80">
        <f>AD40+AD41+AD42</f>
        <v/>
      </c>
      <c r="AE43" s="80">
        <f>AE40+AE41+AE42</f>
        <v/>
      </c>
      <c r="AF43" s="80">
        <f>AF40+AF41+AF42</f>
        <v/>
      </c>
      <c r="AG43" s="80">
        <f>AG40+AG41+AG42</f>
        <v/>
      </c>
      <c r="AH43" s="80">
        <f>AH40+AH41+AH42</f>
        <v/>
      </c>
      <c r="AI43" s="80">
        <f>AI40+AI41+AI42</f>
        <v/>
      </c>
      <c r="AJ43" s="80">
        <f>AJ40+AJ41+AJ42</f>
        <v/>
      </c>
      <c r="AK43" s="80">
        <f>AK40+AK41+AK42</f>
        <v/>
      </c>
      <c r="AL43" s="80">
        <f>AL40+AL41+AL42</f>
        <v/>
      </c>
      <c r="AM43" s="80">
        <f>AM40+AM41+AM42</f>
        <v/>
      </c>
      <c r="AN43" s="80">
        <f>AN40+AN41+AN42</f>
        <v/>
      </c>
      <c r="AO43" s="80">
        <f>AO40+AO41+AO42</f>
        <v/>
      </c>
      <c r="AP43" s="80">
        <f>AP40+AP41+AP42</f>
        <v/>
      </c>
      <c r="AQ43" s="80">
        <f>AQ40+AQ41+AQ42</f>
        <v/>
      </c>
      <c r="AR43" s="80">
        <f>AR40+AR41+AR42</f>
        <v/>
      </c>
      <c r="AS43" s="80">
        <f>AS40+AS41+AS42</f>
        <v/>
      </c>
      <c r="AT43" s="80">
        <f>AT40+AT41+AT42</f>
        <v/>
      </c>
      <c r="AU43" s="80">
        <f>AU40+AU41+AU42</f>
        <v/>
      </c>
      <c r="AV43" s="80">
        <f>AV40+AV41+AV42</f>
        <v/>
      </c>
      <c r="AW43" s="80">
        <f>AW40+AW41+AW42</f>
        <v/>
      </c>
      <c r="AX43" s="80">
        <f>AX40+AX41+AX42</f>
        <v/>
      </c>
      <c r="AY43" s="80">
        <f>AY40+AY41+AY42</f>
        <v/>
      </c>
      <c r="AZ43" s="80">
        <f>AZ40+AZ41+AZ42</f>
        <v/>
      </c>
      <c r="BA43" s="80">
        <f>BA40+BA41+BA42</f>
        <v/>
      </c>
      <c r="BB43" s="80">
        <f>BB40+BB41+BB42</f>
        <v/>
      </c>
      <c r="BC43" s="80">
        <f>BC40+BC41+BC42</f>
        <v/>
      </c>
      <c r="BD43" s="80">
        <f>BD40+BD41+BD42</f>
        <v/>
      </c>
      <c r="BE43" s="80">
        <f>BE40+BE41+BE42</f>
        <v/>
      </c>
      <c r="BF43" s="80">
        <f>BF40+BF41+BF42</f>
        <v/>
      </c>
      <c r="BG43" s="80">
        <f>BG40+BG41+BG42</f>
        <v/>
      </c>
      <c r="BH43" s="80">
        <f>BH40+BH41+BH42</f>
        <v/>
      </c>
      <c r="BI43" s="80">
        <f>BI40+BI41+BI42</f>
        <v/>
      </c>
      <c r="BJ43" s="80">
        <f>BJ40+BJ41+BJ42</f>
        <v/>
      </c>
      <c r="BK43" s="80">
        <f>BK40+BK41+BK42</f>
        <v/>
      </c>
      <c r="BL43" s="80">
        <f>BL40+BL41+BL42</f>
        <v/>
      </c>
    </row>
    <row r="44">
      <c r="A44" s="98" t="inlineStr">
        <is>
          <t>Share capital</t>
        </is>
      </c>
      <c r="B44" s="65" t="inlineStr">
        <is>
          <t>LCY</t>
        </is>
      </c>
      <c r="C44" s="105">
        <f>BL44</f>
        <v/>
      </c>
      <c r="E44" s="41">
        <f>Financing!E$11</f>
        <v/>
      </c>
      <c r="F44" s="41">
        <f>Financing!F$11</f>
        <v/>
      </c>
      <c r="G44" s="41">
        <f>Financing!G$11</f>
        <v/>
      </c>
      <c r="H44" s="41">
        <f>Financing!H$11</f>
        <v/>
      </c>
      <c r="I44" s="41">
        <f>Financing!I$11</f>
        <v/>
      </c>
      <c r="J44" s="41">
        <f>Financing!J$11</f>
        <v/>
      </c>
      <c r="K44" s="41">
        <f>Financing!K$11</f>
        <v/>
      </c>
      <c r="L44" s="41">
        <f>Financing!L$11</f>
        <v/>
      </c>
      <c r="M44" s="41">
        <f>Financing!M$11</f>
        <v/>
      </c>
      <c r="N44" s="41">
        <f>Financing!N$11</f>
        <v/>
      </c>
      <c r="O44" s="41">
        <f>Financing!O$11</f>
        <v/>
      </c>
      <c r="P44" s="41">
        <f>Financing!P$11</f>
        <v/>
      </c>
      <c r="Q44" s="41">
        <f>Financing!Q$11</f>
        <v/>
      </c>
      <c r="R44" s="41">
        <f>Financing!R$11</f>
        <v/>
      </c>
      <c r="S44" s="41">
        <f>Financing!S$11</f>
        <v/>
      </c>
      <c r="T44" s="41">
        <f>Financing!T$11</f>
        <v/>
      </c>
      <c r="U44" s="41">
        <f>Financing!U$11</f>
        <v/>
      </c>
      <c r="V44" s="41">
        <f>Financing!V$11</f>
        <v/>
      </c>
      <c r="W44" s="41">
        <f>Financing!W$11</f>
        <v/>
      </c>
      <c r="X44" s="41">
        <f>Financing!X$11</f>
        <v/>
      </c>
      <c r="Y44" s="41">
        <f>Financing!Y$11</f>
        <v/>
      </c>
      <c r="Z44" s="41">
        <f>Financing!Z$11</f>
        <v/>
      </c>
      <c r="AA44" s="41">
        <f>Financing!AA$11</f>
        <v/>
      </c>
      <c r="AB44" s="41">
        <f>Financing!AB$11</f>
        <v/>
      </c>
      <c r="AC44" s="41">
        <f>Financing!AC$11</f>
        <v/>
      </c>
      <c r="AD44" s="41">
        <f>Financing!AD$11</f>
        <v/>
      </c>
      <c r="AE44" s="41">
        <f>Financing!AE$11</f>
        <v/>
      </c>
      <c r="AF44" s="41">
        <f>Financing!AF$11</f>
        <v/>
      </c>
      <c r="AG44" s="41">
        <f>Financing!AG$11</f>
        <v/>
      </c>
      <c r="AH44" s="41">
        <f>Financing!AH$11</f>
        <v/>
      </c>
      <c r="AI44" s="41">
        <f>Financing!AI$11</f>
        <v/>
      </c>
      <c r="AJ44" s="41">
        <f>Financing!AJ$11</f>
        <v/>
      </c>
      <c r="AK44" s="41">
        <f>Financing!AK$11</f>
        <v/>
      </c>
      <c r="AL44" s="41">
        <f>Financing!AL$11</f>
        <v/>
      </c>
      <c r="AM44" s="41">
        <f>Financing!AM$11</f>
        <v/>
      </c>
      <c r="AN44" s="41">
        <f>Financing!AN$11</f>
        <v/>
      </c>
      <c r="AO44" s="41">
        <f>Financing!AO$11</f>
        <v/>
      </c>
      <c r="AP44" s="41">
        <f>Financing!AP$11</f>
        <v/>
      </c>
      <c r="AQ44" s="41">
        <f>Financing!AQ$11</f>
        <v/>
      </c>
      <c r="AR44" s="41">
        <f>Financing!AR$11</f>
        <v/>
      </c>
      <c r="AS44" s="41">
        <f>Financing!AS$11</f>
        <v/>
      </c>
      <c r="AT44" s="41">
        <f>Financing!AT$11</f>
        <v/>
      </c>
      <c r="AU44" s="41">
        <f>Financing!AU$11</f>
        <v/>
      </c>
      <c r="AV44" s="41">
        <f>Financing!AV$11</f>
        <v/>
      </c>
      <c r="AW44" s="41">
        <f>Financing!AW$11</f>
        <v/>
      </c>
      <c r="AX44" s="41">
        <f>Financing!AX$11</f>
        <v/>
      </c>
      <c r="AY44" s="41">
        <f>Financing!AY$11</f>
        <v/>
      </c>
      <c r="AZ44" s="41">
        <f>Financing!AZ$11</f>
        <v/>
      </c>
      <c r="BA44" s="41">
        <f>Financing!BA$11</f>
        <v/>
      </c>
      <c r="BB44" s="41">
        <f>Financing!BB$11</f>
        <v/>
      </c>
      <c r="BC44" s="41">
        <f>Financing!BC$11</f>
        <v/>
      </c>
      <c r="BD44" s="41">
        <f>Financing!BD$11</f>
        <v/>
      </c>
      <c r="BE44" s="41">
        <f>Financing!BE$11</f>
        <v/>
      </c>
      <c r="BF44" s="41">
        <f>Financing!BF$11</f>
        <v/>
      </c>
      <c r="BG44" s="41">
        <f>Financing!BG$11</f>
        <v/>
      </c>
      <c r="BH44" s="41">
        <f>Financing!BH$11</f>
        <v/>
      </c>
      <c r="BI44" s="41">
        <f>Financing!BI$11</f>
        <v/>
      </c>
      <c r="BJ44" s="41">
        <f>Financing!BJ$11</f>
        <v/>
      </c>
      <c r="BK44" s="41">
        <f>Financing!BK$11</f>
        <v/>
      </c>
      <c r="BL44" s="41">
        <f>Financing!BL$11</f>
        <v/>
      </c>
    </row>
    <row r="45">
      <c r="A45" s="98" t="inlineStr">
        <is>
          <t>Retained earnings</t>
        </is>
      </c>
      <c r="B45" s="65" t="inlineStr">
        <is>
          <t>LCY</t>
        </is>
      </c>
      <c r="C45" s="105">
        <f>BL45</f>
        <v/>
      </c>
      <c r="E45" s="80">
        <f>D45+E30</f>
        <v/>
      </c>
      <c r="F45" s="80">
        <f>E45+F30</f>
        <v/>
      </c>
      <c r="G45" s="80">
        <f>F45+G30</f>
        <v/>
      </c>
      <c r="H45" s="80">
        <f>G45+H30</f>
        <v/>
      </c>
      <c r="I45" s="80">
        <f>H45+I30</f>
        <v/>
      </c>
      <c r="J45" s="80">
        <f>I45+J30</f>
        <v/>
      </c>
      <c r="K45" s="80">
        <f>J45+K30</f>
        <v/>
      </c>
      <c r="L45" s="80">
        <f>K45+L30</f>
        <v/>
      </c>
      <c r="M45" s="80">
        <f>L45+M30</f>
        <v/>
      </c>
      <c r="N45" s="80">
        <f>M45+N30</f>
        <v/>
      </c>
      <c r="O45" s="80">
        <f>N45+O30</f>
        <v/>
      </c>
      <c r="P45" s="80">
        <f>O45+P30</f>
        <v/>
      </c>
      <c r="Q45" s="80">
        <f>P45+Q30</f>
        <v/>
      </c>
      <c r="R45" s="80">
        <f>Q45+R30</f>
        <v/>
      </c>
      <c r="S45" s="80">
        <f>R45+S30</f>
        <v/>
      </c>
      <c r="T45" s="80">
        <f>S45+T30</f>
        <v/>
      </c>
      <c r="U45" s="80">
        <f>T45+U30</f>
        <v/>
      </c>
      <c r="V45" s="80">
        <f>U45+V30</f>
        <v/>
      </c>
      <c r="W45" s="80">
        <f>V45+W30</f>
        <v/>
      </c>
      <c r="X45" s="80">
        <f>W45+X30</f>
        <v/>
      </c>
      <c r="Y45" s="80">
        <f>X45+Y30</f>
        <v/>
      </c>
      <c r="Z45" s="80">
        <f>Y45+Z30</f>
        <v/>
      </c>
      <c r="AA45" s="80">
        <f>Z45+AA30</f>
        <v/>
      </c>
      <c r="AB45" s="80">
        <f>AA45+AB30</f>
        <v/>
      </c>
      <c r="AC45" s="80">
        <f>AB45+AC30</f>
        <v/>
      </c>
      <c r="AD45" s="80">
        <f>AC45+AD30</f>
        <v/>
      </c>
      <c r="AE45" s="80">
        <f>AD45+AE30</f>
        <v/>
      </c>
      <c r="AF45" s="80">
        <f>AE45+AF30</f>
        <v/>
      </c>
      <c r="AG45" s="80">
        <f>AF45+AG30</f>
        <v/>
      </c>
      <c r="AH45" s="80">
        <f>AG45+AH30</f>
        <v/>
      </c>
      <c r="AI45" s="80">
        <f>AH45+AI30</f>
        <v/>
      </c>
      <c r="AJ45" s="80">
        <f>AI45+AJ30</f>
        <v/>
      </c>
      <c r="AK45" s="80">
        <f>AJ45+AK30</f>
        <v/>
      </c>
      <c r="AL45" s="80">
        <f>AK45+AL30</f>
        <v/>
      </c>
      <c r="AM45" s="80">
        <f>AL45+AM30</f>
        <v/>
      </c>
      <c r="AN45" s="80">
        <f>AM45+AN30</f>
        <v/>
      </c>
      <c r="AO45" s="80">
        <f>AN45+AO30</f>
        <v/>
      </c>
      <c r="AP45" s="80">
        <f>AO45+AP30</f>
        <v/>
      </c>
      <c r="AQ45" s="80">
        <f>AP45+AQ30</f>
        <v/>
      </c>
      <c r="AR45" s="80">
        <f>AQ45+AR30</f>
        <v/>
      </c>
      <c r="AS45" s="80">
        <f>AR45+AS30</f>
        <v/>
      </c>
      <c r="AT45" s="80">
        <f>AS45+AT30</f>
        <v/>
      </c>
      <c r="AU45" s="80">
        <f>AT45+AU30</f>
        <v/>
      </c>
      <c r="AV45" s="80">
        <f>AU45+AV30</f>
        <v/>
      </c>
      <c r="AW45" s="80">
        <f>AV45+AW30</f>
        <v/>
      </c>
      <c r="AX45" s="80">
        <f>AW45+AX30</f>
        <v/>
      </c>
      <c r="AY45" s="80">
        <f>AX45+AY30</f>
        <v/>
      </c>
      <c r="AZ45" s="80">
        <f>AY45+AZ30</f>
        <v/>
      </c>
      <c r="BA45" s="80">
        <f>AZ45+BA30</f>
        <v/>
      </c>
      <c r="BB45" s="80">
        <f>BA45+BB30</f>
        <v/>
      </c>
      <c r="BC45" s="80">
        <f>BB45+BC30</f>
        <v/>
      </c>
      <c r="BD45" s="80">
        <f>BC45+BD30</f>
        <v/>
      </c>
      <c r="BE45" s="80">
        <f>BD45+BE30</f>
        <v/>
      </c>
      <c r="BF45" s="80">
        <f>BE45+BF30</f>
        <v/>
      </c>
      <c r="BG45" s="80">
        <f>BF45+BG30</f>
        <v/>
      </c>
      <c r="BH45" s="80">
        <f>BG45+BH30</f>
        <v/>
      </c>
      <c r="BI45" s="80">
        <f>BH45+BI30</f>
        <v/>
      </c>
      <c r="BJ45" s="80">
        <f>BI45+BJ30</f>
        <v/>
      </c>
      <c r="BK45" s="80">
        <f>BJ45+BK30</f>
        <v/>
      </c>
      <c r="BL45" s="80">
        <f>BK45+BL30</f>
        <v/>
      </c>
    </row>
    <row r="46">
      <c r="A46" s="98" t="inlineStr">
        <is>
          <t>Total equity</t>
        </is>
      </c>
      <c r="B46" s="65" t="inlineStr">
        <is>
          <t>LCY</t>
        </is>
      </c>
      <c r="C46" s="105">
        <f>BL46</f>
        <v/>
      </c>
      <c r="E46" s="80">
        <f>E44+E45</f>
        <v/>
      </c>
      <c r="F46" s="80">
        <f>F44+F45</f>
        <v/>
      </c>
      <c r="G46" s="80">
        <f>G44+G45</f>
        <v/>
      </c>
      <c r="H46" s="80">
        <f>H44+H45</f>
        <v/>
      </c>
      <c r="I46" s="80">
        <f>I44+I45</f>
        <v/>
      </c>
      <c r="J46" s="80">
        <f>J44+J45</f>
        <v/>
      </c>
      <c r="K46" s="80">
        <f>K44+K45</f>
        <v/>
      </c>
      <c r="L46" s="80">
        <f>L44+L45</f>
        <v/>
      </c>
      <c r="M46" s="80">
        <f>M44+M45</f>
        <v/>
      </c>
      <c r="N46" s="80">
        <f>N44+N45</f>
        <v/>
      </c>
      <c r="O46" s="80">
        <f>O44+O45</f>
        <v/>
      </c>
      <c r="P46" s="80">
        <f>P44+P45</f>
        <v/>
      </c>
      <c r="Q46" s="80">
        <f>Q44+Q45</f>
        <v/>
      </c>
      <c r="R46" s="80">
        <f>R44+R45</f>
        <v/>
      </c>
      <c r="S46" s="80">
        <f>S44+S45</f>
        <v/>
      </c>
      <c r="T46" s="80">
        <f>T44+T45</f>
        <v/>
      </c>
      <c r="U46" s="80">
        <f>U44+U45</f>
        <v/>
      </c>
      <c r="V46" s="80">
        <f>V44+V45</f>
        <v/>
      </c>
      <c r="W46" s="80">
        <f>W44+W45</f>
        <v/>
      </c>
      <c r="X46" s="80">
        <f>X44+X45</f>
        <v/>
      </c>
      <c r="Y46" s="80">
        <f>Y44+Y45</f>
        <v/>
      </c>
      <c r="Z46" s="80">
        <f>Z44+Z45</f>
        <v/>
      </c>
      <c r="AA46" s="80">
        <f>AA44+AA45</f>
        <v/>
      </c>
      <c r="AB46" s="80">
        <f>AB44+AB45</f>
        <v/>
      </c>
      <c r="AC46" s="80">
        <f>AC44+AC45</f>
        <v/>
      </c>
      <c r="AD46" s="80">
        <f>AD44+AD45</f>
        <v/>
      </c>
      <c r="AE46" s="80">
        <f>AE44+AE45</f>
        <v/>
      </c>
      <c r="AF46" s="80">
        <f>AF44+AF45</f>
        <v/>
      </c>
      <c r="AG46" s="80">
        <f>AG44+AG45</f>
        <v/>
      </c>
      <c r="AH46" s="80">
        <f>AH44+AH45</f>
        <v/>
      </c>
      <c r="AI46" s="80">
        <f>AI44+AI45</f>
        <v/>
      </c>
      <c r="AJ46" s="80">
        <f>AJ44+AJ45</f>
        <v/>
      </c>
      <c r="AK46" s="80">
        <f>AK44+AK45</f>
        <v/>
      </c>
      <c r="AL46" s="80">
        <f>AL44+AL45</f>
        <v/>
      </c>
      <c r="AM46" s="80">
        <f>AM44+AM45</f>
        <v/>
      </c>
      <c r="AN46" s="80">
        <f>AN44+AN45</f>
        <v/>
      </c>
      <c r="AO46" s="80">
        <f>AO44+AO45</f>
        <v/>
      </c>
      <c r="AP46" s="80">
        <f>AP44+AP45</f>
        <v/>
      </c>
      <c r="AQ46" s="80">
        <f>AQ44+AQ45</f>
        <v/>
      </c>
      <c r="AR46" s="80">
        <f>AR44+AR45</f>
        <v/>
      </c>
      <c r="AS46" s="80">
        <f>AS44+AS45</f>
        <v/>
      </c>
      <c r="AT46" s="80">
        <f>AT44+AT45</f>
        <v/>
      </c>
      <c r="AU46" s="80">
        <f>AU44+AU45</f>
        <v/>
      </c>
      <c r="AV46" s="80">
        <f>AV44+AV45</f>
        <v/>
      </c>
      <c r="AW46" s="80">
        <f>AW44+AW45</f>
        <v/>
      </c>
      <c r="AX46" s="80">
        <f>AX44+AX45</f>
        <v/>
      </c>
      <c r="AY46" s="80">
        <f>AY44+AY45</f>
        <v/>
      </c>
      <c r="AZ46" s="80">
        <f>AZ44+AZ45</f>
        <v/>
      </c>
      <c r="BA46" s="80">
        <f>BA44+BA45</f>
        <v/>
      </c>
      <c r="BB46" s="80">
        <f>BB44+BB45</f>
        <v/>
      </c>
      <c r="BC46" s="80">
        <f>BC44+BC45</f>
        <v/>
      </c>
      <c r="BD46" s="80">
        <f>BD44+BD45</f>
        <v/>
      </c>
      <c r="BE46" s="80">
        <f>BE44+BE45</f>
        <v/>
      </c>
      <c r="BF46" s="80">
        <f>BF44+BF45</f>
        <v/>
      </c>
      <c r="BG46" s="80">
        <f>BG44+BG45</f>
        <v/>
      </c>
      <c r="BH46" s="80">
        <f>BH44+BH45</f>
        <v/>
      </c>
      <c r="BI46" s="80">
        <f>BI44+BI45</f>
        <v/>
      </c>
      <c r="BJ46" s="80">
        <f>BJ44+BJ45</f>
        <v/>
      </c>
      <c r="BK46" s="80">
        <f>BK44+BK45</f>
        <v/>
      </c>
      <c r="BL46" s="80">
        <f>BL44+BL45</f>
        <v/>
      </c>
    </row>
    <row r="47">
      <c r="A47" s="100" t="inlineStr">
        <is>
          <t>Total liabilities &amp; equity</t>
        </is>
      </c>
      <c r="B47" s="101" t="inlineStr">
        <is>
          <t>LCY</t>
        </is>
      </c>
      <c r="C47" s="102">
        <f>BL47</f>
        <v/>
      </c>
      <c r="D47" s="103" t="n"/>
      <c r="E47" s="104">
        <f>E43+E46</f>
        <v/>
      </c>
      <c r="F47" s="104">
        <f>F43+F46</f>
        <v/>
      </c>
      <c r="G47" s="104">
        <f>G43+G46</f>
        <v/>
      </c>
      <c r="H47" s="104">
        <f>H43+H46</f>
        <v/>
      </c>
      <c r="I47" s="104">
        <f>I43+I46</f>
        <v/>
      </c>
      <c r="J47" s="104">
        <f>J43+J46</f>
        <v/>
      </c>
      <c r="K47" s="104">
        <f>K43+K46</f>
        <v/>
      </c>
      <c r="L47" s="104">
        <f>L43+L46</f>
        <v/>
      </c>
      <c r="M47" s="104">
        <f>M43+M46</f>
        <v/>
      </c>
      <c r="N47" s="104">
        <f>N43+N46</f>
        <v/>
      </c>
      <c r="O47" s="104">
        <f>O43+O46</f>
        <v/>
      </c>
      <c r="P47" s="104">
        <f>P43+P46</f>
        <v/>
      </c>
      <c r="Q47" s="104">
        <f>Q43+Q46</f>
        <v/>
      </c>
      <c r="R47" s="104">
        <f>R43+R46</f>
        <v/>
      </c>
      <c r="S47" s="104">
        <f>S43+S46</f>
        <v/>
      </c>
      <c r="T47" s="104">
        <f>T43+T46</f>
        <v/>
      </c>
      <c r="U47" s="104">
        <f>U43+U46</f>
        <v/>
      </c>
      <c r="V47" s="104">
        <f>V43+V46</f>
        <v/>
      </c>
      <c r="W47" s="104">
        <f>W43+W46</f>
        <v/>
      </c>
      <c r="X47" s="104">
        <f>X43+X46</f>
        <v/>
      </c>
      <c r="Y47" s="104">
        <f>Y43+Y46</f>
        <v/>
      </c>
      <c r="Z47" s="104">
        <f>Z43+Z46</f>
        <v/>
      </c>
      <c r="AA47" s="104">
        <f>AA43+AA46</f>
        <v/>
      </c>
      <c r="AB47" s="104">
        <f>AB43+AB46</f>
        <v/>
      </c>
      <c r="AC47" s="104">
        <f>AC43+AC46</f>
        <v/>
      </c>
      <c r="AD47" s="104">
        <f>AD43+AD46</f>
        <v/>
      </c>
      <c r="AE47" s="104">
        <f>AE43+AE46</f>
        <v/>
      </c>
      <c r="AF47" s="104">
        <f>AF43+AF46</f>
        <v/>
      </c>
      <c r="AG47" s="104">
        <f>AG43+AG46</f>
        <v/>
      </c>
      <c r="AH47" s="104">
        <f>AH43+AH46</f>
        <v/>
      </c>
      <c r="AI47" s="104">
        <f>AI43+AI46</f>
        <v/>
      </c>
      <c r="AJ47" s="104">
        <f>AJ43+AJ46</f>
        <v/>
      </c>
      <c r="AK47" s="104">
        <f>AK43+AK46</f>
        <v/>
      </c>
      <c r="AL47" s="104">
        <f>AL43+AL46</f>
        <v/>
      </c>
      <c r="AM47" s="104">
        <f>AM43+AM46</f>
        <v/>
      </c>
      <c r="AN47" s="104">
        <f>AN43+AN46</f>
        <v/>
      </c>
      <c r="AO47" s="104">
        <f>AO43+AO46</f>
        <v/>
      </c>
      <c r="AP47" s="104">
        <f>AP43+AP46</f>
        <v/>
      </c>
      <c r="AQ47" s="104">
        <f>AQ43+AQ46</f>
        <v/>
      </c>
      <c r="AR47" s="104">
        <f>AR43+AR46</f>
        <v/>
      </c>
      <c r="AS47" s="104">
        <f>AS43+AS46</f>
        <v/>
      </c>
      <c r="AT47" s="104">
        <f>AT43+AT46</f>
        <v/>
      </c>
      <c r="AU47" s="104">
        <f>AU43+AU46</f>
        <v/>
      </c>
      <c r="AV47" s="104">
        <f>AV43+AV46</f>
        <v/>
      </c>
      <c r="AW47" s="104">
        <f>AW43+AW46</f>
        <v/>
      </c>
      <c r="AX47" s="104">
        <f>AX43+AX46</f>
        <v/>
      </c>
      <c r="AY47" s="104">
        <f>AY43+AY46</f>
        <v/>
      </c>
      <c r="AZ47" s="104">
        <f>AZ43+AZ46</f>
        <v/>
      </c>
      <c r="BA47" s="104">
        <f>BA43+BA46</f>
        <v/>
      </c>
      <c r="BB47" s="104">
        <f>BB43+BB46</f>
        <v/>
      </c>
      <c r="BC47" s="104">
        <f>BC43+BC46</f>
        <v/>
      </c>
      <c r="BD47" s="104">
        <f>BD43+BD46</f>
        <v/>
      </c>
      <c r="BE47" s="104">
        <f>BE43+BE46</f>
        <v/>
      </c>
      <c r="BF47" s="104">
        <f>BF43+BF46</f>
        <v/>
      </c>
      <c r="BG47" s="104">
        <f>BG43+BG46</f>
        <v/>
      </c>
      <c r="BH47" s="104">
        <f>BH43+BH46</f>
        <v/>
      </c>
      <c r="BI47" s="104">
        <f>BI43+BI46</f>
        <v/>
      </c>
      <c r="BJ47" s="104">
        <f>BJ43+BJ46</f>
        <v/>
      </c>
      <c r="BK47" s="104">
        <f>BK43+BK46</f>
        <v/>
      </c>
      <c r="BL47" s="104">
        <f>BL43+BL46</f>
        <v/>
      </c>
    </row>
    <row r="48">
      <c r="A48" s="98" t="inlineStr">
        <is>
          <t>Balance check (should be 0)</t>
        </is>
      </c>
      <c r="B48" s="65" t="inlineStr">
        <is>
          <t>LCY</t>
        </is>
      </c>
      <c r="C48" s="105">
        <f>MAX(E48:BL48)</f>
        <v/>
      </c>
      <c r="E48" s="80">
        <f>ROUND(E39-E47,0)</f>
        <v/>
      </c>
      <c r="F48" s="80">
        <f>ROUND(F39-F47,0)</f>
        <v/>
      </c>
      <c r="G48" s="80">
        <f>ROUND(G39-G47,0)</f>
        <v/>
      </c>
      <c r="H48" s="80">
        <f>ROUND(H39-H47,0)</f>
        <v/>
      </c>
      <c r="I48" s="80">
        <f>ROUND(I39-I47,0)</f>
        <v/>
      </c>
      <c r="J48" s="80">
        <f>ROUND(J39-J47,0)</f>
        <v/>
      </c>
      <c r="K48" s="80">
        <f>ROUND(K39-K47,0)</f>
        <v/>
      </c>
      <c r="L48" s="80">
        <f>ROUND(L39-L47,0)</f>
        <v/>
      </c>
      <c r="M48" s="80">
        <f>ROUND(M39-M47,0)</f>
        <v/>
      </c>
      <c r="N48" s="80">
        <f>ROUND(N39-N47,0)</f>
        <v/>
      </c>
      <c r="O48" s="80">
        <f>ROUND(O39-O47,0)</f>
        <v/>
      </c>
      <c r="P48" s="80">
        <f>ROUND(P39-P47,0)</f>
        <v/>
      </c>
      <c r="Q48" s="80">
        <f>ROUND(Q39-Q47,0)</f>
        <v/>
      </c>
      <c r="R48" s="80">
        <f>ROUND(R39-R47,0)</f>
        <v/>
      </c>
      <c r="S48" s="80">
        <f>ROUND(S39-S47,0)</f>
        <v/>
      </c>
      <c r="T48" s="80">
        <f>ROUND(T39-T47,0)</f>
        <v/>
      </c>
      <c r="U48" s="80">
        <f>ROUND(U39-U47,0)</f>
        <v/>
      </c>
      <c r="V48" s="80">
        <f>ROUND(V39-V47,0)</f>
        <v/>
      </c>
      <c r="W48" s="80">
        <f>ROUND(W39-W47,0)</f>
        <v/>
      </c>
      <c r="X48" s="80">
        <f>ROUND(X39-X47,0)</f>
        <v/>
      </c>
      <c r="Y48" s="80">
        <f>ROUND(Y39-Y47,0)</f>
        <v/>
      </c>
      <c r="Z48" s="80">
        <f>ROUND(Z39-Z47,0)</f>
        <v/>
      </c>
      <c r="AA48" s="80">
        <f>ROUND(AA39-AA47,0)</f>
        <v/>
      </c>
      <c r="AB48" s="80">
        <f>ROUND(AB39-AB47,0)</f>
        <v/>
      </c>
      <c r="AC48" s="80">
        <f>ROUND(AC39-AC47,0)</f>
        <v/>
      </c>
      <c r="AD48" s="80">
        <f>ROUND(AD39-AD47,0)</f>
        <v/>
      </c>
      <c r="AE48" s="80">
        <f>ROUND(AE39-AE47,0)</f>
        <v/>
      </c>
      <c r="AF48" s="80">
        <f>ROUND(AF39-AF47,0)</f>
        <v/>
      </c>
      <c r="AG48" s="80">
        <f>ROUND(AG39-AG47,0)</f>
        <v/>
      </c>
      <c r="AH48" s="80">
        <f>ROUND(AH39-AH47,0)</f>
        <v/>
      </c>
      <c r="AI48" s="80">
        <f>ROUND(AI39-AI47,0)</f>
        <v/>
      </c>
      <c r="AJ48" s="80">
        <f>ROUND(AJ39-AJ47,0)</f>
        <v/>
      </c>
      <c r="AK48" s="80">
        <f>ROUND(AK39-AK47,0)</f>
        <v/>
      </c>
      <c r="AL48" s="80">
        <f>ROUND(AL39-AL47,0)</f>
        <v/>
      </c>
      <c r="AM48" s="80">
        <f>ROUND(AM39-AM47,0)</f>
        <v/>
      </c>
      <c r="AN48" s="80">
        <f>ROUND(AN39-AN47,0)</f>
        <v/>
      </c>
      <c r="AO48" s="80">
        <f>ROUND(AO39-AO47,0)</f>
        <v/>
      </c>
      <c r="AP48" s="80">
        <f>ROUND(AP39-AP47,0)</f>
        <v/>
      </c>
      <c r="AQ48" s="80">
        <f>ROUND(AQ39-AQ47,0)</f>
        <v/>
      </c>
      <c r="AR48" s="80">
        <f>ROUND(AR39-AR47,0)</f>
        <v/>
      </c>
      <c r="AS48" s="80">
        <f>ROUND(AS39-AS47,0)</f>
        <v/>
      </c>
      <c r="AT48" s="80">
        <f>ROUND(AT39-AT47,0)</f>
        <v/>
      </c>
      <c r="AU48" s="80">
        <f>ROUND(AU39-AU47,0)</f>
        <v/>
      </c>
      <c r="AV48" s="80">
        <f>ROUND(AV39-AV47,0)</f>
        <v/>
      </c>
      <c r="AW48" s="80">
        <f>ROUND(AW39-AW47,0)</f>
        <v/>
      </c>
      <c r="AX48" s="80">
        <f>ROUND(AX39-AX47,0)</f>
        <v/>
      </c>
      <c r="AY48" s="80">
        <f>ROUND(AY39-AY47,0)</f>
        <v/>
      </c>
      <c r="AZ48" s="80">
        <f>ROUND(AZ39-AZ47,0)</f>
        <v/>
      </c>
      <c r="BA48" s="80">
        <f>ROUND(BA39-BA47,0)</f>
        <v/>
      </c>
      <c r="BB48" s="80">
        <f>ROUND(BB39-BB47,0)</f>
        <v/>
      </c>
      <c r="BC48" s="80">
        <f>ROUND(BC39-BC47,0)</f>
        <v/>
      </c>
      <c r="BD48" s="80">
        <f>ROUND(BD39-BD47,0)</f>
        <v/>
      </c>
      <c r="BE48" s="80">
        <f>ROUND(BE39-BE47,0)</f>
        <v/>
      </c>
      <c r="BF48" s="80">
        <f>ROUND(BF39-BF47,0)</f>
        <v/>
      </c>
      <c r="BG48" s="80">
        <f>ROUND(BG39-BG47,0)</f>
        <v/>
      </c>
      <c r="BH48" s="80">
        <f>ROUND(BH39-BH47,0)</f>
        <v/>
      </c>
      <c r="BI48" s="80">
        <f>ROUND(BI39-BI47,0)</f>
        <v/>
      </c>
      <c r="BJ48" s="80">
        <f>ROUND(BJ39-BJ47,0)</f>
        <v/>
      </c>
      <c r="BK48" s="80">
        <f>ROUND(BK39-BK47,0)</f>
        <v/>
      </c>
      <c r="BL48" s="80">
        <f>ROUND(BL39-BL47,0)</f>
        <v/>
      </c>
    </row>
    <row r="49"/>
    <row r="50">
      <c r="A50" s="21" t="inlineStr">
        <is>
          <t>CASH FLOW STATEMENT</t>
        </is>
      </c>
      <c r="B50" s="22" t="n"/>
      <c r="C50" s="22" t="n"/>
      <c r="D50" s="22" t="n"/>
      <c r="E50" s="22" t="n"/>
      <c r="F50" s="22"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c r="AA50" s="22" t="n"/>
      <c r="AB50" s="22" t="n"/>
      <c r="AC50" s="22" t="n"/>
      <c r="AD50" s="22" t="n"/>
      <c r="AE50" s="22" t="n"/>
      <c r="AF50" s="22" t="n"/>
      <c r="AG50" s="22" t="n"/>
      <c r="AH50" s="22" t="n"/>
      <c r="AI50" s="22" t="n"/>
      <c r="AJ50" s="22" t="n"/>
      <c r="AK50" s="22" t="n"/>
      <c r="AL50" s="22" t="n"/>
      <c r="AM50" s="22" t="n"/>
      <c r="AN50" s="22" t="n"/>
      <c r="AO50" s="22" t="n"/>
      <c r="AP50" s="22" t="n"/>
      <c r="AQ50" s="22" t="n"/>
      <c r="AR50" s="22" t="n"/>
      <c r="AS50" s="22" t="n"/>
      <c r="AT50" s="22" t="n"/>
      <c r="AU50" s="22" t="n"/>
      <c r="AV50" s="22" t="n"/>
      <c r="AW50" s="22" t="n"/>
      <c r="AX50" s="22" t="n"/>
      <c r="AY50" s="22" t="n"/>
      <c r="AZ50" s="22" t="n"/>
      <c r="BA50" s="22" t="n"/>
      <c r="BB50" s="22" t="n"/>
      <c r="BC50" s="22" t="n"/>
      <c r="BD50" s="22" t="n"/>
      <c r="BE50" s="22" t="n"/>
      <c r="BF50" s="22" t="n"/>
      <c r="BG50" s="22" t="n"/>
      <c r="BH50" s="22" t="n"/>
      <c r="BI50" s="22" t="n"/>
      <c r="BJ50" s="22" t="n"/>
      <c r="BK50" s="22" t="n"/>
      <c r="BL50" s="22" t="n"/>
    </row>
    <row r="51">
      <c r="A51" s="98" t="inlineStr">
        <is>
          <t>Net income</t>
        </is>
      </c>
      <c r="B51" s="65" t="inlineStr">
        <is>
          <t>LCY</t>
        </is>
      </c>
      <c r="C51" s="105">
        <f>SUM(E51:BL51)</f>
        <v/>
      </c>
      <c r="E51" s="80">
        <f>E30</f>
        <v/>
      </c>
      <c r="F51" s="80">
        <f>F30</f>
        <v/>
      </c>
      <c r="G51" s="80">
        <f>G30</f>
        <v/>
      </c>
      <c r="H51" s="80">
        <f>H30</f>
        <v/>
      </c>
      <c r="I51" s="80">
        <f>I30</f>
        <v/>
      </c>
      <c r="J51" s="80">
        <f>J30</f>
        <v/>
      </c>
      <c r="K51" s="80">
        <f>K30</f>
        <v/>
      </c>
      <c r="L51" s="80">
        <f>L30</f>
        <v/>
      </c>
      <c r="M51" s="80">
        <f>M30</f>
        <v/>
      </c>
      <c r="N51" s="80">
        <f>N30</f>
        <v/>
      </c>
      <c r="O51" s="80">
        <f>O30</f>
        <v/>
      </c>
      <c r="P51" s="80">
        <f>P30</f>
        <v/>
      </c>
      <c r="Q51" s="80">
        <f>Q30</f>
        <v/>
      </c>
      <c r="R51" s="80">
        <f>R30</f>
        <v/>
      </c>
      <c r="S51" s="80">
        <f>S30</f>
        <v/>
      </c>
      <c r="T51" s="80">
        <f>T30</f>
        <v/>
      </c>
      <c r="U51" s="80">
        <f>U30</f>
        <v/>
      </c>
      <c r="V51" s="80">
        <f>V30</f>
        <v/>
      </c>
      <c r="W51" s="80">
        <f>W30</f>
        <v/>
      </c>
      <c r="X51" s="80">
        <f>X30</f>
        <v/>
      </c>
      <c r="Y51" s="80">
        <f>Y30</f>
        <v/>
      </c>
      <c r="Z51" s="80">
        <f>Z30</f>
        <v/>
      </c>
      <c r="AA51" s="80">
        <f>AA30</f>
        <v/>
      </c>
      <c r="AB51" s="80">
        <f>AB30</f>
        <v/>
      </c>
      <c r="AC51" s="80">
        <f>AC30</f>
        <v/>
      </c>
      <c r="AD51" s="80">
        <f>AD30</f>
        <v/>
      </c>
      <c r="AE51" s="80">
        <f>AE30</f>
        <v/>
      </c>
      <c r="AF51" s="80">
        <f>AF30</f>
        <v/>
      </c>
      <c r="AG51" s="80">
        <f>AG30</f>
        <v/>
      </c>
      <c r="AH51" s="80">
        <f>AH30</f>
        <v/>
      </c>
      <c r="AI51" s="80">
        <f>AI30</f>
        <v/>
      </c>
      <c r="AJ51" s="80">
        <f>AJ30</f>
        <v/>
      </c>
      <c r="AK51" s="80">
        <f>AK30</f>
        <v/>
      </c>
      <c r="AL51" s="80">
        <f>AL30</f>
        <v/>
      </c>
      <c r="AM51" s="80">
        <f>AM30</f>
        <v/>
      </c>
      <c r="AN51" s="80">
        <f>AN30</f>
        <v/>
      </c>
      <c r="AO51" s="80">
        <f>AO30</f>
        <v/>
      </c>
      <c r="AP51" s="80">
        <f>AP30</f>
        <v/>
      </c>
      <c r="AQ51" s="80">
        <f>AQ30</f>
        <v/>
      </c>
      <c r="AR51" s="80">
        <f>AR30</f>
        <v/>
      </c>
      <c r="AS51" s="80">
        <f>AS30</f>
        <v/>
      </c>
      <c r="AT51" s="80">
        <f>AT30</f>
        <v/>
      </c>
      <c r="AU51" s="80">
        <f>AU30</f>
        <v/>
      </c>
      <c r="AV51" s="80">
        <f>AV30</f>
        <v/>
      </c>
      <c r="AW51" s="80">
        <f>AW30</f>
        <v/>
      </c>
      <c r="AX51" s="80">
        <f>AX30</f>
        <v/>
      </c>
      <c r="AY51" s="80">
        <f>AY30</f>
        <v/>
      </c>
      <c r="AZ51" s="80">
        <f>AZ30</f>
        <v/>
      </c>
      <c r="BA51" s="80">
        <f>BA30</f>
        <v/>
      </c>
      <c r="BB51" s="80">
        <f>BB30</f>
        <v/>
      </c>
      <c r="BC51" s="80">
        <f>BC30</f>
        <v/>
      </c>
      <c r="BD51" s="80">
        <f>BD30</f>
        <v/>
      </c>
      <c r="BE51" s="80">
        <f>BE30</f>
        <v/>
      </c>
      <c r="BF51" s="80">
        <f>BF30</f>
        <v/>
      </c>
      <c r="BG51" s="80">
        <f>BG30</f>
        <v/>
      </c>
      <c r="BH51" s="80">
        <f>BH30</f>
        <v/>
      </c>
      <c r="BI51" s="80">
        <f>BI30</f>
        <v/>
      </c>
      <c r="BJ51" s="80">
        <f>BJ30</f>
        <v/>
      </c>
      <c r="BK51" s="80">
        <f>BK30</f>
        <v/>
      </c>
      <c r="BL51" s="80">
        <f>BL30</f>
        <v/>
      </c>
    </row>
    <row r="52">
      <c r="A52" s="98" t="inlineStr">
        <is>
          <t>Add back: depreciation</t>
        </is>
      </c>
      <c r="B52" s="65" t="inlineStr">
        <is>
          <t>LCY</t>
        </is>
      </c>
      <c r="C52" s="105">
        <f>SUM(E52:BL52)</f>
        <v/>
      </c>
      <c r="E52" s="80">
        <f>-E20</f>
        <v/>
      </c>
      <c r="F52" s="80">
        <f>-F20</f>
        <v/>
      </c>
      <c r="G52" s="80">
        <f>-G20</f>
        <v/>
      </c>
      <c r="H52" s="80">
        <f>-H20</f>
        <v/>
      </c>
      <c r="I52" s="80">
        <f>-I20</f>
        <v/>
      </c>
      <c r="J52" s="80">
        <f>-J20</f>
        <v/>
      </c>
      <c r="K52" s="80">
        <f>-K20</f>
        <v/>
      </c>
      <c r="L52" s="80">
        <f>-L20</f>
        <v/>
      </c>
      <c r="M52" s="80">
        <f>-M20</f>
        <v/>
      </c>
      <c r="N52" s="80">
        <f>-N20</f>
        <v/>
      </c>
      <c r="O52" s="80">
        <f>-O20</f>
        <v/>
      </c>
      <c r="P52" s="80">
        <f>-P20</f>
        <v/>
      </c>
      <c r="Q52" s="80">
        <f>-Q20</f>
        <v/>
      </c>
      <c r="R52" s="80">
        <f>-R20</f>
        <v/>
      </c>
      <c r="S52" s="80">
        <f>-S20</f>
        <v/>
      </c>
      <c r="T52" s="80">
        <f>-T20</f>
        <v/>
      </c>
      <c r="U52" s="80">
        <f>-U20</f>
        <v/>
      </c>
      <c r="V52" s="80">
        <f>-V20</f>
        <v/>
      </c>
      <c r="W52" s="80">
        <f>-W20</f>
        <v/>
      </c>
      <c r="X52" s="80">
        <f>-X20</f>
        <v/>
      </c>
      <c r="Y52" s="80">
        <f>-Y20</f>
        <v/>
      </c>
      <c r="Z52" s="80">
        <f>-Z20</f>
        <v/>
      </c>
      <c r="AA52" s="80">
        <f>-AA20</f>
        <v/>
      </c>
      <c r="AB52" s="80">
        <f>-AB20</f>
        <v/>
      </c>
      <c r="AC52" s="80">
        <f>-AC20</f>
        <v/>
      </c>
      <c r="AD52" s="80">
        <f>-AD20</f>
        <v/>
      </c>
      <c r="AE52" s="80">
        <f>-AE20</f>
        <v/>
      </c>
      <c r="AF52" s="80">
        <f>-AF20</f>
        <v/>
      </c>
      <c r="AG52" s="80">
        <f>-AG20</f>
        <v/>
      </c>
      <c r="AH52" s="80">
        <f>-AH20</f>
        <v/>
      </c>
      <c r="AI52" s="80">
        <f>-AI20</f>
        <v/>
      </c>
      <c r="AJ52" s="80">
        <f>-AJ20</f>
        <v/>
      </c>
      <c r="AK52" s="80">
        <f>-AK20</f>
        <v/>
      </c>
      <c r="AL52" s="80">
        <f>-AL20</f>
        <v/>
      </c>
      <c r="AM52" s="80">
        <f>-AM20</f>
        <v/>
      </c>
      <c r="AN52" s="80">
        <f>-AN20</f>
        <v/>
      </c>
      <c r="AO52" s="80">
        <f>-AO20</f>
        <v/>
      </c>
      <c r="AP52" s="80">
        <f>-AP20</f>
        <v/>
      </c>
      <c r="AQ52" s="80">
        <f>-AQ20</f>
        <v/>
      </c>
      <c r="AR52" s="80">
        <f>-AR20</f>
        <v/>
      </c>
      <c r="AS52" s="80">
        <f>-AS20</f>
        <v/>
      </c>
      <c r="AT52" s="80">
        <f>-AT20</f>
        <v/>
      </c>
      <c r="AU52" s="80">
        <f>-AU20</f>
        <v/>
      </c>
      <c r="AV52" s="80">
        <f>-AV20</f>
        <v/>
      </c>
      <c r="AW52" s="80">
        <f>-AW20</f>
        <v/>
      </c>
      <c r="AX52" s="80">
        <f>-AX20</f>
        <v/>
      </c>
      <c r="AY52" s="80">
        <f>-AY20</f>
        <v/>
      </c>
      <c r="AZ52" s="80">
        <f>-AZ20</f>
        <v/>
      </c>
      <c r="BA52" s="80">
        <f>-BA20</f>
        <v/>
      </c>
      <c r="BB52" s="80">
        <f>-BB20</f>
        <v/>
      </c>
      <c r="BC52" s="80">
        <f>-BC20</f>
        <v/>
      </c>
      <c r="BD52" s="80">
        <f>-BD20</f>
        <v/>
      </c>
      <c r="BE52" s="80">
        <f>-BE20</f>
        <v/>
      </c>
      <c r="BF52" s="80">
        <f>-BF20</f>
        <v/>
      </c>
      <c r="BG52" s="80">
        <f>-BG20</f>
        <v/>
      </c>
      <c r="BH52" s="80">
        <f>-BH20</f>
        <v/>
      </c>
      <c r="BI52" s="80">
        <f>-BI20</f>
        <v/>
      </c>
      <c r="BJ52" s="80">
        <f>-BJ20</f>
        <v/>
      </c>
      <c r="BK52" s="80">
        <f>-BK20</f>
        <v/>
      </c>
      <c r="BL52" s="80">
        <f>-BL20</f>
        <v/>
      </c>
    </row>
    <row r="53">
      <c r="A53" s="98" t="inlineStr">
        <is>
          <t>Add back: unrealised FX loss</t>
        </is>
      </c>
      <c r="B53" s="65" t="inlineStr">
        <is>
          <t>LCY</t>
        </is>
      </c>
      <c r="C53" s="105">
        <f>SUM(E53:BL53)</f>
        <v/>
      </c>
      <c r="E53" s="80">
        <f>-E25</f>
        <v/>
      </c>
      <c r="F53" s="80">
        <f>-F25</f>
        <v/>
      </c>
      <c r="G53" s="80">
        <f>-G25</f>
        <v/>
      </c>
      <c r="H53" s="80">
        <f>-H25</f>
        <v/>
      </c>
      <c r="I53" s="80">
        <f>-I25</f>
        <v/>
      </c>
      <c r="J53" s="80">
        <f>-J25</f>
        <v/>
      </c>
      <c r="K53" s="80">
        <f>-K25</f>
        <v/>
      </c>
      <c r="L53" s="80">
        <f>-L25</f>
        <v/>
      </c>
      <c r="M53" s="80">
        <f>-M25</f>
        <v/>
      </c>
      <c r="N53" s="80">
        <f>-N25</f>
        <v/>
      </c>
      <c r="O53" s="80">
        <f>-O25</f>
        <v/>
      </c>
      <c r="P53" s="80">
        <f>-P25</f>
        <v/>
      </c>
      <c r="Q53" s="80">
        <f>-Q25</f>
        <v/>
      </c>
      <c r="R53" s="80">
        <f>-R25</f>
        <v/>
      </c>
      <c r="S53" s="80">
        <f>-S25</f>
        <v/>
      </c>
      <c r="T53" s="80">
        <f>-T25</f>
        <v/>
      </c>
      <c r="U53" s="80">
        <f>-U25</f>
        <v/>
      </c>
      <c r="V53" s="80">
        <f>-V25</f>
        <v/>
      </c>
      <c r="W53" s="80">
        <f>-W25</f>
        <v/>
      </c>
      <c r="X53" s="80">
        <f>-X25</f>
        <v/>
      </c>
      <c r="Y53" s="80">
        <f>-Y25</f>
        <v/>
      </c>
      <c r="Z53" s="80">
        <f>-Z25</f>
        <v/>
      </c>
      <c r="AA53" s="80">
        <f>-AA25</f>
        <v/>
      </c>
      <c r="AB53" s="80">
        <f>-AB25</f>
        <v/>
      </c>
      <c r="AC53" s="80">
        <f>-AC25</f>
        <v/>
      </c>
      <c r="AD53" s="80">
        <f>-AD25</f>
        <v/>
      </c>
      <c r="AE53" s="80">
        <f>-AE25</f>
        <v/>
      </c>
      <c r="AF53" s="80">
        <f>-AF25</f>
        <v/>
      </c>
      <c r="AG53" s="80">
        <f>-AG25</f>
        <v/>
      </c>
      <c r="AH53" s="80">
        <f>-AH25</f>
        <v/>
      </c>
      <c r="AI53" s="80">
        <f>-AI25</f>
        <v/>
      </c>
      <c r="AJ53" s="80">
        <f>-AJ25</f>
        <v/>
      </c>
      <c r="AK53" s="80">
        <f>-AK25</f>
        <v/>
      </c>
      <c r="AL53" s="80">
        <f>-AL25</f>
        <v/>
      </c>
      <c r="AM53" s="80">
        <f>-AM25</f>
        <v/>
      </c>
      <c r="AN53" s="80">
        <f>-AN25</f>
        <v/>
      </c>
      <c r="AO53" s="80">
        <f>-AO25</f>
        <v/>
      </c>
      <c r="AP53" s="80">
        <f>-AP25</f>
        <v/>
      </c>
      <c r="AQ53" s="80">
        <f>-AQ25</f>
        <v/>
      </c>
      <c r="AR53" s="80">
        <f>-AR25</f>
        <v/>
      </c>
      <c r="AS53" s="80">
        <f>-AS25</f>
        <v/>
      </c>
      <c r="AT53" s="80">
        <f>-AT25</f>
        <v/>
      </c>
      <c r="AU53" s="80">
        <f>-AU25</f>
        <v/>
      </c>
      <c r="AV53" s="80">
        <f>-AV25</f>
        <v/>
      </c>
      <c r="AW53" s="80">
        <f>-AW25</f>
        <v/>
      </c>
      <c r="AX53" s="80">
        <f>-AX25</f>
        <v/>
      </c>
      <c r="AY53" s="80">
        <f>-AY25</f>
        <v/>
      </c>
      <c r="AZ53" s="80">
        <f>-AZ25</f>
        <v/>
      </c>
      <c r="BA53" s="80">
        <f>-BA25</f>
        <v/>
      </c>
      <c r="BB53" s="80">
        <f>-BB25</f>
        <v/>
      </c>
      <c r="BC53" s="80">
        <f>-BC25</f>
        <v/>
      </c>
      <c r="BD53" s="80">
        <f>-BD25</f>
        <v/>
      </c>
      <c r="BE53" s="80">
        <f>-BE25</f>
        <v/>
      </c>
      <c r="BF53" s="80">
        <f>-BF25</f>
        <v/>
      </c>
      <c r="BG53" s="80">
        <f>-BG25</f>
        <v/>
      </c>
      <c r="BH53" s="80">
        <f>-BH25</f>
        <v/>
      </c>
      <c r="BI53" s="80">
        <f>-BI25</f>
        <v/>
      </c>
      <c r="BJ53" s="80">
        <f>-BJ25</f>
        <v/>
      </c>
      <c r="BK53" s="80">
        <f>-BK25</f>
        <v/>
      </c>
      <c r="BL53" s="80">
        <f>-BL25</f>
        <v/>
      </c>
    </row>
    <row r="54">
      <c r="A54" s="98" t="inlineStr">
        <is>
          <t>(Increase) / decrease in net receivables</t>
        </is>
      </c>
      <c r="B54" s="65" t="inlineStr">
        <is>
          <t>LCY</t>
        </is>
      </c>
      <c r="C54" s="105">
        <f>SUM(E54:BL54)</f>
        <v/>
      </c>
      <c r="E54" s="80">
        <f>-(E36-D36)</f>
        <v/>
      </c>
      <c r="F54" s="80">
        <f>-(F36-E36)</f>
        <v/>
      </c>
      <c r="G54" s="80">
        <f>-(G36-F36)</f>
        <v/>
      </c>
      <c r="H54" s="80">
        <f>-(H36-G36)</f>
        <v/>
      </c>
      <c r="I54" s="80">
        <f>-(I36-H36)</f>
        <v/>
      </c>
      <c r="J54" s="80">
        <f>-(J36-I36)</f>
        <v/>
      </c>
      <c r="K54" s="80">
        <f>-(K36-J36)</f>
        <v/>
      </c>
      <c r="L54" s="80">
        <f>-(L36-K36)</f>
        <v/>
      </c>
      <c r="M54" s="80">
        <f>-(M36-L36)</f>
        <v/>
      </c>
      <c r="N54" s="80">
        <f>-(N36-M36)</f>
        <v/>
      </c>
      <c r="O54" s="80">
        <f>-(O36-N36)</f>
        <v/>
      </c>
      <c r="P54" s="80">
        <f>-(P36-O36)</f>
        <v/>
      </c>
      <c r="Q54" s="80">
        <f>-(Q36-P36)</f>
        <v/>
      </c>
      <c r="R54" s="80">
        <f>-(R36-Q36)</f>
        <v/>
      </c>
      <c r="S54" s="80">
        <f>-(S36-R36)</f>
        <v/>
      </c>
      <c r="T54" s="80">
        <f>-(T36-S36)</f>
        <v/>
      </c>
      <c r="U54" s="80">
        <f>-(U36-T36)</f>
        <v/>
      </c>
      <c r="V54" s="80">
        <f>-(V36-U36)</f>
        <v/>
      </c>
      <c r="W54" s="80">
        <f>-(W36-V36)</f>
        <v/>
      </c>
      <c r="X54" s="80">
        <f>-(X36-W36)</f>
        <v/>
      </c>
      <c r="Y54" s="80">
        <f>-(Y36-X36)</f>
        <v/>
      </c>
      <c r="Z54" s="80">
        <f>-(Z36-Y36)</f>
        <v/>
      </c>
      <c r="AA54" s="80">
        <f>-(AA36-Z36)</f>
        <v/>
      </c>
      <c r="AB54" s="80">
        <f>-(AB36-AA36)</f>
        <v/>
      </c>
      <c r="AC54" s="80">
        <f>-(AC36-AB36)</f>
        <v/>
      </c>
      <c r="AD54" s="80">
        <f>-(AD36-AC36)</f>
        <v/>
      </c>
      <c r="AE54" s="80">
        <f>-(AE36-AD36)</f>
        <v/>
      </c>
      <c r="AF54" s="80">
        <f>-(AF36-AE36)</f>
        <v/>
      </c>
      <c r="AG54" s="80">
        <f>-(AG36-AF36)</f>
        <v/>
      </c>
      <c r="AH54" s="80">
        <f>-(AH36-AG36)</f>
        <v/>
      </c>
      <c r="AI54" s="80">
        <f>-(AI36-AH36)</f>
        <v/>
      </c>
      <c r="AJ54" s="80">
        <f>-(AJ36-AI36)</f>
        <v/>
      </c>
      <c r="AK54" s="80">
        <f>-(AK36-AJ36)</f>
        <v/>
      </c>
      <c r="AL54" s="80">
        <f>-(AL36-AK36)</f>
        <v/>
      </c>
      <c r="AM54" s="80">
        <f>-(AM36-AL36)</f>
        <v/>
      </c>
      <c r="AN54" s="80">
        <f>-(AN36-AM36)</f>
        <v/>
      </c>
      <c r="AO54" s="80">
        <f>-(AO36-AN36)</f>
        <v/>
      </c>
      <c r="AP54" s="80">
        <f>-(AP36-AO36)</f>
        <v/>
      </c>
      <c r="AQ54" s="80">
        <f>-(AQ36-AP36)</f>
        <v/>
      </c>
      <c r="AR54" s="80">
        <f>-(AR36-AQ36)</f>
        <v/>
      </c>
      <c r="AS54" s="80">
        <f>-(AS36-AR36)</f>
        <v/>
      </c>
      <c r="AT54" s="80">
        <f>-(AT36-AS36)</f>
        <v/>
      </c>
      <c r="AU54" s="80">
        <f>-(AU36-AT36)</f>
        <v/>
      </c>
      <c r="AV54" s="80">
        <f>-(AV36-AU36)</f>
        <v/>
      </c>
      <c r="AW54" s="80">
        <f>-(AW36-AV36)</f>
        <v/>
      </c>
      <c r="AX54" s="80">
        <f>-(AX36-AW36)</f>
        <v/>
      </c>
      <c r="AY54" s="80">
        <f>-(AY36-AX36)</f>
        <v/>
      </c>
      <c r="AZ54" s="80">
        <f>-(AZ36-AY36)</f>
        <v/>
      </c>
      <c r="BA54" s="80">
        <f>-(BA36-AZ36)</f>
        <v/>
      </c>
      <c r="BB54" s="80">
        <f>-(BB36-BA36)</f>
        <v/>
      </c>
      <c r="BC54" s="80">
        <f>-(BC36-BB36)</f>
        <v/>
      </c>
      <c r="BD54" s="80">
        <f>-(BD36-BC36)</f>
        <v/>
      </c>
      <c r="BE54" s="80">
        <f>-(BE36-BD36)</f>
        <v/>
      </c>
      <c r="BF54" s="80">
        <f>-(BF36-BE36)</f>
        <v/>
      </c>
      <c r="BG54" s="80">
        <f>-(BG36-BF36)</f>
        <v/>
      </c>
      <c r="BH54" s="80">
        <f>-(BH36-BG36)</f>
        <v/>
      </c>
      <c r="BI54" s="80">
        <f>-(BI36-BH36)</f>
        <v/>
      </c>
      <c r="BJ54" s="80">
        <f>-(BJ36-BI36)</f>
        <v/>
      </c>
      <c r="BK54" s="80">
        <f>-(BK36-BJ36)</f>
        <v/>
      </c>
      <c r="BL54" s="80">
        <f>-(BL36-BK36)</f>
        <v/>
      </c>
    </row>
    <row r="55">
      <c r="A55" s="98" t="inlineStr">
        <is>
          <t>(Increase) / decrease in inventory</t>
        </is>
      </c>
      <c r="B55" s="65" t="inlineStr">
        <is>
          <t>LCY</t>
        </is>
      </c>
      <c r="C55" s="105">
        <f>SUM(E55:BL55)</f>
        <v/>
      </c>
      <c r="E55" s="80">
        <f>-(E37-D37)</f>
        <v/>
      </c>
      <c r="F55" s="80">
        <f>-(F37-E37)</f>
        <v/>
      </c>
      <c r="G55" s="80">
        <f>-(G37-F37)</f>
        <v/>
      </c>
      <c r="H55" s="80">
        <f>-(H37-G37)</f>
        <v/>
      </c>
      <c r="I55" s="80">
        <f>-(I37-H37)</f>
        <v/>
      </c>
      <c r="J55" s="80">
        <f>-(J37-I37)</f>
        <v/>
      </c>
      <c r="K55" s="80">
        <f>-(K37-J37)</f>
        <v/>
      </c>
      <c r="L55" s="80">
        <f>-(L37-K37)</f>
        <v/>
      </c>
      <c r="M55" s="80">
        <f>-(M37-L37)</f>
        <v/>
      </c>
      <c r="N55" s="80">
        <f>-(N37-M37)</f>
        <v/>
      </c>
      <c r="O55" s="80">
        <f>-(O37-N37)</f>
        <v/>
      </c>
      <c r="P55" s="80">
        <f>-(P37-O37)</f>
        <v/>
      </c>
      <c r="Q55" s="80">
        <f>-(Q37-P37)</f>
        <v/>
      </c>
      <c r="R55" s="80">
        <f>-(R37-Q37)</f>
        <v/>
      </c>
      <c r="S55" s="80">
        <f>-(S37-R37)</f>
        <v/>
      </c>
      <c r="T55" s="80">
        <f>-(T37-S37)</f>
        <v/>
      </c>
      <c r="U55" s="80">
        <f>-(U37-T37)</f>
        <v/>
      </c>
      <c r="V55" s="80">
        <f>-(V37-U37)</f>
        <v/>
      </c>
      <c r="W55" s="80">
        <f>-(W37-V37)</f>
        <v/>
      </c>
      <c r="X55" s="80">
        <f>-(X37-W37)</f>
        <v/>
      </c>
      <c r="Y55" s="80">
        <f>-(Y37-X37)</f>
        <v/>
      </c>
      <c r="Z55" s="80">
        <f>-(Z37-Y37)</f>
        <v/>
      </c>
      <c r="AA55" s="80">
        <f>-(AA37-Z37)</f>
        <v/>
      </c>
      <c r="AB55" s="80">
        <f>-(AB37-AA37)</f>
        <v/>
      </c>
      <c r="AC55" s="80">
        <f>-(AC37-AB37)</f>
        <v/>
      </c>
      <c r="AD55" s="80">
        <f>-(AD37-AC37)</f>
        <v/>
      </c>
      <c r="AE55" s="80">
        <f>-(AE37-AD37)</f>
        <v/>
      </c>
      <c r="AF55" s="80">
        <f>-(AF37-AE37)</f>
        <v/>
      </c>
      <c r="AG55" s="80">
        <f>-(AG37-AF37)</f>
        <v/>
      </c>
      <c r="AH55" s="80">
        <f>-(AH37-AG37)</f>
        <v/>
      </c>
      <c r="AI55" s="80">
        <f>-(AI37-AH37)</f>
        <v/>
      </c>
      <c r="AJ55" s="80">
        <f>-(AJ37-AI37)</f>
        <v/>
      </c>
      <c r="AK55" s="80">
        <f>-(AK37-AJ37)</f>
        <v/>
      </c>
      <c r="AL55" s="80">
        <f>-(AL37-AK37)</f>
        <v/>
      </c>
      <c r="AM55" s="80">
        <f>-(AM37-AL37)</f>
        <v/>
      </c>
      <c r="AN55" s="80">
        <f>-(AN37-AM37)</f>
        <v/>
      </c>
      <c r="AO55" s="80">
        <f>-(AO37-AN37)</f>
        <v/>
      </c>
      <c r="AP55" s="80">
        <f>-(AP37-AO37)</f>
        <v/>
      </c>
      <c r="AQ55" s="80">
        <f>-(AQ37-AP37)</f>
        <v/>
      </c>
      <c r="AR55" s="80">
        <f>-(AR37-AQ37)</f>
        <v/>
      </c>
      <c r="AS55" s="80">
        <f>-(AS37-AR37)</f>
        <v/>
      </c>
      <c r="AT55" s="80">
        <f>-(AT37-AS37)</f>
        <v/>
      </c>
      <c r="AU55" s="80">
        <f>-(AU37-AT37)</f>
        <v/>
      </c>
      <c r="AV55" s="80">
        <f>-(AV37-AU37)</f>
        <v/>
      </c>
      <c r="AW55" s="80">
        <f>-(AW37-AV37)</f>
        <v/>
      </c>
      <c r="AX55" s="80">
        <f>-(AX37-AW37)</f>
        <v/>
      </c>
      <c r="AY55" s="80">
        <f>-(AY37-AX37)</f>
        <v/>
      </c>
      <c r="AZ55" s="80">
        <f>-(AZ37-AY37)</f>
        <v/>
      </c>
      <c r="BA55" s="80">
        <f>-(BA37-AZ37)</f>
        <v/>
      </c>
      <c r="BB55" s="80">
        <f>-(BB37-BA37)</f>
        <v/>
      </c>
      <c r="BC55" s="80">
        <f>-(BC37-BB37)</f>
        <v/>
      </c>
      <c r="BD55" s="80">
        <f>-(BD37-BC37)</f>
        <v/>
      </c>
      <c r="BE55" s="80">
        <f>-(BE37-BD37)</f>
        <v/>
      </c>
      <c r="BF55" s="80">
        <f>-(BF37-BE37)</f>
        <v/>
      </c>
      <c r="BG55" s="80">
        <f>-(BG37-BF37)</f>
        <v/>
      </c>
      <c r="BH55" s="80">
        <f>-(BH37-BG37)</f>
        <v/>
      </c>
      <c r="BI55" s="80">
        <f>-(BI37-BH37)</f>
        <v/>
      </c>
      <c r="BJ55" s="80">
        <f>-(BJ37-BI37)</f>
        <v/>
      </c>
      <c r="BK55" s="80">
        <f>-(BK37-BJ37)</f>
        <v/>
      </c>
      <c r="BL55" s="80">
        <f>-(BL37-BK37)</f>
        <v/>
      </c>
    </row>
    <row r="56">
      <c r="A56" s="98" t="inlineStr">
        <is>
          <t>Increase / (decrease) in payables</t>
        </is>
      </c>
      <c r="B56" s="65" t="inlineStr">
        <is>
          <t>LCY</t>
        </is>
      </c>
      <c r="C56" s="105">
        <f>SUM(E56:BL56)</f>
        <v/>
      </c>
      <c r="E56" s="80">
        <f>E40-D40</f>
        <v/>
      </c>
      <c r="F56" s="80">
        <f>F40-E40</f>
        <v/>
      </c>
      <c r="G56" s="80">
        <f>G40-F40</f>
        <v/>
      </c>
      <c r="H56" s="80">
        <f>H40-G40</f>
        <v/>
      </c>
      <c r="I56" s="80">
        <f>I40-H40</f>
        <v/>
      </c>
      <c r="J56" s="80">
        <f>J40-I40</f>
        <v/>
      </c>
      <c r="K56" s="80">
        <f>K40-J40</f>
        <v/>
      </c>
      <c r="L56" s="80">
        <f>L40-K40</f>
        <v/>
      </c>
      <c r="M56" s="80">
        <f>M40-L40</f>
        <v/>
      </c>
      <c r="N56" s="80">
        <f>N40-M40</f>
        <v/>
      </c>
      <c r="O56" s="80">
        <f>O40-N40</f>
        <v/>
      </c>
      <c r="P56" s="80">
        <f>P40-O40</f>
        <v/>
      </c>
      <c r="Q56" s="80">
        <f>Q40-P40</f>
        <v/>
      </c>
      <c r="R56" s="80">
        <f>R40-Q40</f>
        <v/>
      </c>
      <c r="S56" s="80">
        <f>S40-R40</f>
        <v/>
      </c>
      <c r="T56" s="80">
        <f>T40-S40</f>
        <v/>
      </c>
      <c r="U56" s="80">
        <f>U40-T40</f>
        <v/>
      </c>
      <c r="V56" s="80">
        <f>V40-U40</f>
        <v/>
      </c>
      <c r="W56" s="80">
        <f>W40-V40</f>
        <v/>
      </c>
      <c r="X56" s="80">
        <f>X40-W40</f>
        <v/>
      </c>
      <c r="Y56" s="80">
        <f>Y40-X40</f>
        <v/>
      </c>
      <c r="Z56" s="80">
        <f>Z40-Y40</f>
        <v/>
      </c>
      <c r="AA56" s="80">
        <f>AA40-Z40</f>
        <v/>
      </c>
      <c r="AB56" s="80">
        <f>AB40-AA40</f>
        <v/>
      </c>
      <c r="AC56" s="80">
        <f>AC40-AB40</f>
        <v/>
      </c>
      <c r="AD56" s="80">
        <f>AD40-AC40</f>
        <v/>
      </c>
      <c r="AE56" s="80">
        <f>AE40-AD40</f>
        <v/>
      </c>
      <c r="AF56" s="80">
        <f>AF40-AE40</f>
        <v/>
      </c>
      <c r="AG56" s="80">
        <f>AG40-AF40</f>
        <v/>
      </c>
      <c r="AH56" s="80">
        <f>AH40-AG40</f>
        <v/>
      </c>
      <c r="AI56" s="80">
        <f>AI40-AH40</f>
        <v/>
      </c>
      <c r="AJ56" s="80">
        <f>AJ40-AI40</f>
        <v/>
      </c>
      <c r="AK56" s="80">
        <f>AK40-AJ40</f>
        <v/>
      </c>
      <c r="AL56" s="80">
        <f>AL40-AK40</f>
        <v/>
      </c>
      <c r="AM56" s="80">
        <f>AM40-AL40</f>
        <v/>
      </c>
      <c r="AN56" s="80">
        <f>AN40-AM40</f>
        <v/>
      </c>
      <c r="AO56" s="80">
        <f>AO40-AN40</f>
        <v/>
      </c>
      <c r="AP56" s="80">
        <f>AP40-AO40</f>
        <v/>
      </c>
      <c r="AQ56" s="80">
        <f>AQ40-AP40</f>
        <v/>
      </c>
      <c r="AR56" s="80">
        <f>AR40-AQ40</f>
        <v/>
      </c>
      <c r="AS56" s="80">
        <f>AS40-AR40</f>
        <v/>
      </c>
      <c r="AT56" s="80">
        <f>AT40-AS40</f>
        <v/>
      </c>
      <c r="AU56" s="80">
        <f>AU40-AT40</f>
        <v/>
      </c>
      <c r="AV56" s="80">
        <f>AV40-AU40</f>
        <v/>
      </c>
      <c r="AW56" s="80">
        <f>AW40-AV40</f>
        <v/>
      </c>
      <c r="AX56" s="80">
        <f>AX40-AW40</f>
        <v/>
      </c>
      <c r="AY56" s="80">
        <f>AY40-AX40</f>
        <v/>
      </c>
      <c r="AZ56" s="80">
        <f>AZ40-AY40</f>
        <v/>
      </c>
      <c r="BA56" s="80">
        <f>BA40-AZ40</f>
        <v/>
      </c>
      <c r="BB56" s="80">
        <f>BB40-BA40</f>
        <v/>
      </c>
      <c r="BC56" s="80">
        <f>BC40-BB40</f>
        <v/>
      </c>
      <c r="BD56" s="80">
        <f>BD40-BC40</f>
        <v/>
      </c>
      <c r="BE56" s="80">
        <f>BE40-BD40</f>
        <v/>
      </c>
      <c r="BF56" s="80">
        <f>BF40-BE40</f>
        <v/>
      </c>
      <c r="BG56" s="80">
        <f>BG40-BF40</f>
        <v/>
      </c>
      <c r="BH56" s="80">
        <f>BH40-BG40</f>
        <v/>
      </c>
      <c r="BI56" s="80">
        <f>BI40-BH40</f>
        <v/>
      </c>
      <c r="BJ56" s="80">
        <f>BJ40-BI40</f>
        <v/>
      </c>
      <c r="BK56" s="80">
        <f>BK40-BJ40</f>
        <v/>
      </c>
      <c r="BL56" s="80">
        <f>BL40-BK40</f>
        <v/>
      </c>
    </row>
    <row r="57">
      <c r="A57" s="100" t="inlineStr">
        <is>
          <t>Cash flow from operations</t>
        </is>
      </c>
      <c r="B57" s="101" t="inlineStr">
        <is>
          <t>LCY</t>
        </is>
      </c>
      <c r="C57" s="102">
        <f>SUM(E57:BL57)</f>
        <v/>
      </c>
      <c r="D57" s="103" t="n"/>
      <c r="E57" s="104">
        <f>SUM(E51:E56)</f>
        <v/>
      </c>
      <c r="F57" s="104">
        <f>SUM(F51:F56)</f>
        <v/>
      </c>
      <c r="G57" s="104">
        <f>SUM(G51:G56)</f>
        <v/>
      </c>
      <c r="H57" s="104">
        <f>SUM(H51:H56)</f>
        <v/>
      </c>
      <c r="I57" s="104">
        <f>SUM(I51:I56)</f>
        <v/>
      </c>
      <c r="J57" s="104">
        <f>SUM(J51:J56)</f>
        <v/>
      </c>
      <c r="K57" s="104">
        <f>SUM(K51:K56)</f>
        <v/>
      </c>
      <c r="L57" s="104">
        <f>SUM(L51:L56)</f>
        <v/>
      </c>
      <c r="M57" s="104">
        <f>SUM(M51:M56)</f>
        <v/>
      </c>
      <c r="N57" s="104">
        <f>SUM(N51:N56)</f>
        <v/>
      </c>
      <c r="O57" s="104">
        <f>SUM(O51:O56)</f>
        <v/>
      </c>
      <c r="P57" s="104">
        <f>SUM(P51:P56)</f>
        <v/>
      </c>
      <c r="Q57" s="104">
        <f>SUM(Q51:Q56)</f>
        <v/>
      </c>
      <c r="R57" s="104">
        <f>SUM(R51:R56)</f>
        <v/>
      </c>
      <c r="S57" s="104">
        <f>SUM(S51:S56)</f>
        <v/>
      </c>
      <c r="T57" s="104">
        <f>SUM(T51:T56)</f>
        <v/>
      </c>
      <c r="U57" s="104">
        <f>SUM(U51:U56)</f>
        <v/>
      </c>
      <c r="V57" s="104">
        <f>SUM(V51:V56)</f>
        <v/>
      </c>
      <c r="W57" s="104">
        <f>SUM(W51:W56)</f>
        <v/>
      </c>
      <c r="X57" s="104">
        <f>SUM(X51:X56)</f>
        <v/>
      </c>
      <c r="Y57" s="104">
        <f>SUM(Y51:Y56)</f>
        <v/>
      </c>
      <c r="Z57" s="104">
        <f>SUM(Z51:Z56)</f>
        <v/>
      </c>
      <c r="AA57" s="104">
        <f>SUM(AA51:AA56)</f>
        <v/>
      </c>
      <c r="AB57" s="104">
        <f>SUM(AB51:AB56)</f>
        <v/>
      </c>
      <c r="AC57" s="104">
        <f>SUM(AC51:AC56)</f>
        <v/>
      </c>
      <c r="AD57" s="104">
        <f>SUM(AD51:AD56)</f>
        <v/>
      </c>
      <c r="AE57" s="104">
        <f>SUM(AE51:AE56)</f>
        <v/>
      </c>
      <c r="AF57" s="104">
        <f>SUM(AF51:AF56)</f>
        <v/>
      </c>
      <c r="AG57" s="104">
        <f>SUM(AG51:AG56)</f>
        <v/>
      </c>
      <c r="AH57" s="104">
        <f>SUM(AH51:AH56)</f>
        <v/>
      </c>
      <c r="AI57" s="104">
        <f>SUM(AI51:AI56)</f>
        <v/>
      </c>
      <c r="AJ57" s="104">
        <f>SUM(AJ51:AJ56)</f>
        <v/>
      </c>
      <c r="AK57" s="104">
        <f>SUM(AK51:AK56)</f>
        <v/>
      </c>
      <c r="AL57" s="104">
        <f>SUM(AL51:AL56)</f>
        <v/>
      </c>
      <c r="AM57" s="104">
        <f>SUM(AM51:AM56)</f>
        <v/>
      </c>
      <c r="AN57" s="104">
        <f>SUM(AN51:AN56)</f>
        <v/>
      </c>
      <c r="AO57" s="104">
        <f>SUM(AO51:AO56)</f>
        <v/>
      </c>
      <c r="AP57" s="104">
        <f>SUM(AP51:AP56)</f>
        <v/>
      </c>
      <c r="AQ57" s="104">
        <f>SUM(AQ51:AQ56)</f>
        <v/>
      </c>
      <c r="AR57" s="104">
        <f>SUM(AR51:AR56)</f>
        <v/>
      </c>
      <c r="AS57" s="104">
        <f>SUM(AS51:AS56)</f>
        <v/>
      </c>
      <c r="AT57" s="104">
        <f>SUM(AT51:AT56)</f>
        <v/>
      </c>
      <c r="AU57" s="104">
        <f>SUM(AU51:AU56)</f>
        <v/>
      </c>
      <c r="AV57" s="104">
        <f>SUM(AV51:AV56)</f>
        <v/>
      </c>
      <c r="AW57" s="104">
        <f>SUM(AW51:AW56)</f>
        <v/>
      </c>
      <c r="AX57" s="104">
        <f>SUM(AX51:AX56)</f>
        <v/>
      </c>
      <c r="AY57" s="104">
        <f>SUM(AY51:AY56)</f>
        <v/>
      </c>
      <c r="AZ57" s="104">
        <f>SUM(AZ51:AZ56)</f>
        <v/>
      </c>
      <c r="BA57" s="104">
        <f>SUM(BA51:BA56)</f>
        <v/>
      </c>
      <c r="BB57" s="104">
        <f>SUM(BB51:BB56)</f>
        <v/>
      </c>
      <c r="BC57" s="104">
        <f>SUM(BC51:BC56)</f>
        <v/>
      </c>
      <c r="BD57" s="104">
        <f>SUM(BD51:BD56)</f>
        <v/>
      </c>
      <c r="BE57" s="104">
        <f>SUM(BE51:BE56)</f>
        <v/>
      </c>
      <c r="BF57" s="104">
        <f>SUM(BF51:BF56)</f>
        <v/>
      </c>
      <c r="BG57" s="104">
        <f>SUM(BG51:BG56)</f>
        <v/>
      </c>
      <c r="BH57" s="104">
        <f>SUM(BH51:BH56)</f>
        <v/>
      </c>
      <c r="BI57" s="104">
        <f>SUM(BI51:BI56)</f>
        <v/>
      </c>
      <c r="BJ57" s="104">
        <f>SUM(BJ51:BJ56)</f>
        <v/>
      </c>
      <c r="BK57" s="104">
        <f>SUM(BK51:BK56)</f>
        <v/>
      </c>
      <c r="BL57" s="104">
        <f>SUM(BL51:BL56)</f>
        <v/>
      </c>
    </row>
    <row r="58">
      <c r="A58" s="98" t="inlineStr">
        <is>
          <t>Cash flow from investing (capex)</t>
        </is>
      </c>
      <c r="B58" s="65" t="inlineStr">
        <is>
          <t>LCY</t>
        </is>
      </c>
      <c r="C58" s="105">
        <f>SUM(E58:BL58)</f>
        <v/>
      </c>
      <c r="E58" s="80">
        <f>-Costs!E$26</f>
        <v/>
      </c>
      <c r="F58" s="80">
        <f>-Costs!F$26</f>
        <v/>
      </c>
      <c r="G58" s="80">
        <f>-Costs!G$26</f>
        <v/>
      </c>
      <c r="H58" s="80">
        <f>-Costs!H$26</f>
        <v/>
      </c>
      <c r="I58" s="80">
        <f>-Costs!I$26</f>
        <v/>
      </c>
      <c r="J58" s="80">
        <f>-Costs!J$26</f>
        <v/>
      </c>
      <c r="K58" s="80">
        <f>-Costs!K$26</f>
        <v/>
      </c>
      <c r="L58" s="80">
        <f>-Costs!L$26</f>
        <v/>
      </c>
      <c r="M58" s="80">
        <f>-Costs!M$26</f>
        <v/>
      </c>
      <c r="N58" s="80">
        <f>-Costs!N$26</f>
        <v/>
      </c>
      <c r="O58" s="80">
        <f>-Costs!O$26</f>
        <v/>
      </c>
      <c r="P58" s="80">
        <f>-Costs!P$26</f>
        <v/>
      </c>
      <c r="Q58" s="80">
        <f>-Costs!Q$26</f>
        <v/>
      </c>
      <c r="R58" s="80">
        <f>-Costs!R$26</f>
        <v/>
      </c>
      <c r="S58" s="80">
        <f>-Costs!S$26</f>
        <v/>
      </c>
      <c r="T58" s="80">
        <f>-Costs!T$26</f>
        <v/>
      </c>
      <c r="U58" s="80">
        <f>-Costs!U$26</f>
        <v/>
      </c>
      <c r="V58" s="80">
        <f>-Costs!V$26</f>
        <v/>
      </c>
      <c r="W58" s="80">
        <f>-Costs!W$26</f>
        <v/>
      </c>
      <c r="X58" s="80">
        <f>-Costs!X$26</f>
        <v/>
      </c>
      <c r="Y58" s="80">
        <f>-Costs!Y$26</f>
        <v/>
      </c>
      <c r="Z58" s="80">
        <f>-Costs!Z$26</f>
        <v/>
      </c>
      <c r="AA58" s="80">
        <f>-Costs!AA$26</f>
        <v/>
      </c>
      <c r="AB58" s="80">
        <f>-Costs!AB$26</f>
        <v/>
      </c>
      <c r="AC58" s="80">
        <f>-Costs!AC$26</f>
        <v/>
      </c>
      <c r="AD58" s="80">
        <f>-Costs!AD$26</f>
        <v/>
      </c>
      <c r="AE58" s="80">
        <f>-Costs!AE$26</f>
        <v/>
      </c>
      <c r="AF58" s="80">
        <f>-Costs!AF$26</f>
        <v/>
      </c>
      <c r="AG58" s="80">
        <f>-Costs!AG$26</f>
        <v/>
      </c>
      <c r="AH58" s="80">
        <f>-Costs!AH$26</f>
        <v/>
      </c>
      <c r="AI58" s="80">
        <f>-Costs!AI$26</f>
        <v/>
      </c>
      <c r="AJ58" s="80">
        <f>-Costs!AJ$26</f>
        <v/>
      </c>
      <c r="AK58" s="80">
        <f>-Costs!AK$26</f>
        <v/>
      </c>
      <c r="AL58" s="80">
        <f>-Costs!AL$26</f>
        <v/>
      </c>
      <c r="AM58" s="80">
        <f>-Costs!AM$26</f>
        <v/>
      </c>
      <c r="AN58" s="80">
        <f>-Costs!AN$26</f>
        <v/>
      </c>
      <c r="AO58" s="80">
        <f>-Costs!AO$26</f>
        <v/>
      </c>
      <c r="AP58" s="80">
        <f>-Costs!AP$26</f>
        <v/>
      </c>
      <c r="AQ58" s="80">
        <f>-Costs!AQ$26</f>
        <v/>
      </c>
      <c r="AR58" s="80">
        <f>-Costs!AR$26</f>
        <v/>
      </c>
      <c r="AS58" s="80">
        <f>-Costs!AS$26</f>
        <v/>
      </c>
      <c r="AT58" s="80">
        <f>-Costs!AT$26</f>
        <v/>
      </c>
      <c r="AU58" s="80">
        <f>-Costs!AU$26</f>
        <v/>
      </c>
      <c r="AV58" s="80">
        <f>-Costs!AV$26</f>
        <v/>
      </c>
      <c r="AW58" s="80">
        <f>-Costs!AW$26</f>
        <v/>
      </c>
      <c r="AX58" s="80">
        <f>-Costs!AX$26</f>
        <v/>
      </c>
      <c r="AY58" s="80">
        <f>-Costs!AY$26</f>
        <v/>
      </c>
      <c r="AZ58" s="80">
        <f>-Costs!AZ$26</f>
        <v/>
      </c>
      <c r="BA58" s="80">
        <f>-Costs!BA$26</f>
        <v/>
      </c>
      <c r="BB58" s="80">
        <f>-Costs!BB$26</f>
        <v/>
      </c>
      <c r="BC58" s="80">
        <f>-Costs!BC$26</f>
        <v/>
      </c>
      <c r="BD58" s="80">
        <f>-Costs!BD$26</f>
        <v/>
      </c>
      <c r="BE58" s="80">
        <f>-Costs!BE$26</f>
        <v/>
      </c>
      <c r="BF58" s="80">
        <f>-Costs!BF$26</f>
        <v/>
      </c>
      <c r="BG58" s="80">
        <f>-Costs!BG$26</f>
        <v/>
      </c>
      <c r="BH58" s="80">
        <f>-Costs!BH$26</f>
        <v/>
      </c>
      <c r="BI58" s="80">
        <f>-Costs!BI$26</f>
        <v/>
      </c>
      <c r="BJ58" s="80">
        <f>-Costs!BJ$26</f>
        <v/>
      </c>
      <c r="BK58" s="80">
        <f>-Costs!BK$26</f>
        <v/>
      </c>
      <c r="BL58" s="80">
        <f>-Costs!BL$26</f>
        <v/>
      </c>
    </row>
    <row r="59">
      <c r="A59" s="98" t="inlineStr">
        <is>
          <t>Term loan drawdown / (repayment)</t>
        </is>
      </c>
      <c r="B59" s="65" t="inlineStr">
        <is>
          <t>LCY</t>
        </is>
      </c>
      <c r="C59" s="105">
        <f>SUM(E59:BL59)</f>
        <v/>
      </c>
      <c r="E59" s="80">
        <f>Financing!E$17-Financing!E$18</f>
        <v/>
      </c>
      <c r="F59" s="80">
        <f>Financing!F$17-Financing!F$18</f>
        <v/>
      </c>
      <c r="G59" s="80">
        <f>Financing!G$17-Financing!G$18</f>
        <v/>
      </c>
      <c r="H59" s="80">
        <f>Financing!H$17-Financing!H$18</f>
        <v/>
      </c>
      <c r="I59" s="80">
        <f>Financing!I$17-Financing!I$18</f>
        <v/>
      </c>
      <c r="J59" s="80">
        <f>Financing!J$17-Financing!J$18</f>
        <v/>
      </c>
      <c r="K59" s="80">
        <f>Financing!K$17-Financing!K$18</f>
        <v/>
      </c>
      <c r="L59" s="80">
        <f>Financing!L$17-Financing!L$18</f>
        <v/>
      </c>
      <c r="M59" s="80">
        <f>Financing!M$17-Financing!M$18</f>
        <v/>
      </c>
      <c r="N59" s="80">
        <f>Financing!N$17-Financing!N$18</f>
        <v/>
      </c>
      <c r="O59" s="80">
        <f>Financing!O$17-Financing!O$18</f>
        <v/>
      </c>
      <c r="P59" s="80">
        <f>Financing!P$17-Financing!P$18</f>
        <v/>
      </c>
      <c r="Q59" s="80">
        <f>Financing!Q$17-Financing!Q$18</f>
        <v/>
      </c>
      <c r="R59" s="80">
        <f>Financing!R$17-Financing!R$18</f>
        <v/>
      </c>
      <c r="S59" s="80">
        <f>Financing!S$17-Financing!S$18</f>
        <v/>
      </c>
      <c r="T59" s="80">
        <f>Financing!T$17-Financing!T$18</f>
        <v/>
      </c>
      <c r="U59" s="80">
        <f>Financing!U$17-Financing!U$18</f>
        <v/>
      </c>
      <c r="V59" s="80">
        <f>Financing!V$17-Financing!V$18</f>
        <v/>
      </c>
      <c r="W59" s="80">
        <f>Financing!W$17-Financing!W$18</f>
        <v/>
      </c>
      <c r="X59" s="80">
        <f>Financing!X$17-Financing!X$18</f>
        <v/>
      </c>
      <c r="Y59" s="80">
        <f>Financing!Y$17-Financing!Y$18</f>
        <v/>
      </c>
      <c r="Z59" s="80">
        <f>Financing!Z$17-Financing!Z$18</f>
        <v/>
      </c>
      <c r="AA59" s="80">
        <f>Financing!AA$17-Financing!AA$18</f>
        <v/>
      </c>
      <c r="AB59" s="80">
        <f>Financing!AB$17-Financing!AB$18</f>
        <v/>
      </c>
      <c r="AC59" s="80">
        <f>Financing!AC$17-Financing!AC$18</f>
        <v/>
      </c>
      <c r="AD59" s="80">
        <f>Financing!AD$17-Financing!AD$18</f>
        <v/>
      </c>
      <c r="AE59" s="80">
        <f>Financing!AE$17-Financing!AE$18</f>
        <v/>
      </c>
      <c r="AF59" s="80">
        <f>Financing!AF$17-Financing!AF$18</f>
        <v/>
      </c>
      <c r="AG59" s="80">
        <f>Financing!AG$17-Financing!AG$18</f>
        <v/>
      </c>
      <c r="AH59" s="80">
        <f>Financing!AH$17-Financing!AH$18</f>
        <v/>
      </c>
      <c r="AI59" s="80">
        <f>Financing!AI$17-Financing!AI$18</f>
        <v/>
      </c>
      <c r="AJ59" s="80">
        <f>Financing!AJ$17-Financing!AJ$18</f>
        <v/>
      </c>
      <c r="AK59" s="80">
        <f>Financing!AK$17-Financing!AK$18</f>
        <v/>
      </c>
      <c r="AL59" s="80">
        <f>Financing!AL$17-Financing!AL$18</f>
        <v/>
      </c>
      <c r="AM59" s="80">
        <f>Financing!AM$17-Financing!AM$18</f>
        <v/>
      </c>
      <c r="AN59" s="80">
        <f>Financing!AN$17-Financing!AN$18</f>
        <v/>
      </c>
      <c r="AO59" s="80">
        <f>Financing!AO$17-Financing!AO$18</f>
        <v/>
      </c>
      <c r="AP59" s="80">
        <f>Financing!AP$17-Financing!AP$18</f>
        <v/>
      </c>
      <c r="AQ59" s="80">
        <f>Financing!AQ$17-Financing!AQ$18</f>
        <v/>
      </c>
      <c r="AR59" s="80">
        <f>Financing!AR$17-Financing!AR$18</f>
        <v/>
      </c>
      <c r="AS59" s="80">
        <f>Financing!AS$17-Financing!AS$18</f>
        <v/>
      </c>
      <c r="AT59" s="80">
        <f>Financing!AT$17-Financing!AT$18</f>
        <v/>
      </c>
      <c r="AU59" s="80">
        <f>Financing!AU$17-Financing!AU$18</f>
        <v/>
      </c>
      <c r="AV59" s="80">
        <f>Financing!AV$17-Financing!AV$18</f>
        <v/>
      </c>
      <c r="AW59" s="80">
        <f>Financing!AW$17-Financing!AW$18</f>
        <v/>
      </c>
      <c r="AX59" s="80">
        <f>Financing!AX$17-Financing!AX$18</f>
        <v/>
      </c>
      <c r="AY59" s="80">
        <f>Financing!AY$17-Financing!AY$18</f>
        <v/>
      </c>
      <c r="AZ59" s="80">
        <f>Financing!AZ$17-Financing!AZ$18</f>
        <v/>
      </c>
      <c r="BA59" s="80">
        <f>Financing!BA$17-Financing!BA$18</f>
        <v/>
      </c>
      <c r="BB59" s="80">
        <f>Financing!BB$17-Financing!BB$18</f>
        <v/>
      </c>
      <c r="BC59" s="80">
        <f>Financing!BC$17-Financing!BC$18</f>
        <v/>
      </c>
      <c r="BD59" s="80">
        <f>Financing!BD$17-Financing!BD$18</f>
        <v/>
      </c>
      <c r="BE59" s="80">
        <f>Financing!BE$17-Financing!BE$18</f>
        <v/>
      </c>
      <c r="BF59" s="80">
        <f>Financing!BF$17-Financing!BF$18</f>
        <v/>
      </c>
      <c r="BG59" s="80">
        <f>Financing!BG$17-Financing!BG$18</f>
        <v/>
      </c>
      <c r="BH59" s="80">
        <f>Financing!BH$17-Financing!BH$18</f>
        <v/>
      </c>
      <c r="BI59" s="80">
        <f>Financing!BI$17-Financing!BI$18</f>
        <v/>
      </c>
      <c r="BJ59" s="80">
        <f>Financing!BJ$17-Financing!BJ$18</f>
        <v/>
      </c>
      <c r="BK59" s="80">
        <f>Financing!BK$17-Financing!BK$18</f>
        <v/>
      </c>
      <c r="BL59" s="80">
        <f>Financing!BL$17-Financing!BL$18</f>
        <v/>
      </c>
    </row>
    <row r="60">
      <c r="A60" s="98" t="inlineStr">
        <is>
          <t>Receivables facility drawdown / (repayment)</t>
        </is>
      </c>
      <c r="B60" s="65" t="inlineStr">
        <is>
          <t>LCY</t>
        </is>
      </c>
      <c r="C60" s="105">
        <f>SUM(E60:BL60)</f>
        <v/>
      </c>
      <c r="E60" s="80">
        <f>Financing!E$24</f>
        <v/>
      </c>
      <c r="F60" s="80">
        <f>Financing!F$24</f>
        <v/>
      </c>
      <c r="G60" s="80">
        <f>Financing!G$24</f>
        <v/>
      </c>
      <c r="H60" s="80">
        <f>Financing!H$24</f>
        <v/>
      </c>
      <c r="I60" s="80">
        <f>Financing!I$24</f>
        <v/>
      </c>
      <c r="J60" s="80">
        <f>Financing!J$24</f>
        <v/>
      </c>
      <c r="K60" s="80">
        <f>Financing!K$24</f>
        <v/>
      </c>
      <c r="L60" s="80">
        <f>Financing!L$24</f>
        <v/>
      </c>
      <c r="M60" s="80">
        <f>Financing!M$24</f>
        <v/>
      </c>
      <c r="N60" s="80">
        <f>Financing!N$24</f>
        <v/>
      </c>
      <c r="O60" s="80">
        <f>Financing!O$24</f>
        <v/>
      </c>
      <c r="P60" s="80">
        <f>Financing!P$24</f>
        <v/>
      </c>
      <c r="Q60" s="80">
        <f>Financing!Q$24</f>
        <v/>
      </c>
      <c r="R60" s="80">
        <f>Financing!R$24</f>
        <v/>
      </c>
      <c r="S60" s="80">
        <f>Financing!S$24</f>
        <v/>
      </c>
      <c r="T60" s="80">
        <f>Financing!T$24</f>
        <v/>
      </c>
      <c r="U60" s="80">
        <f>Financing!U$24</f>
        <v/>
      </c>
      <c r="V60" s="80">
        <f>Financing!V$24</f>
        <v/>
      </c>
      <c r="W60" s="80">
        <f>Financing!W$24</f>
        <v/>
      </c>
      <c r="X60" s="80">
        <f>Financing!X$24</f>
        <v/>
      </c>
      <c r="Y60" s="80">
        <f>Financing!Y$24</f>
        <v/>
      </c>
      <c r="Z60" s="80">
        <f>Financing!Z$24</f>
        <v/>
      </c>
      <c r="AA60" s="80">
        <f>Financing!AA$24</f>
        <v/>
      </c>
      <c r="AB60" s="80">
        <f>Financing!AB$24</f>
        <v/>
      </c>
      <c r="AC60" s="80">
        <f>Financing!AC$24</f>
        <v/>
      </c>
      <c r="AD60" s="80">
        <f>Financing!AD$24</f>
        <v/>
      </c>
      <c r="AE60" s="80">
        <f>Financing!AE$24</f>
        <v/>
      </c>
      <c r="AF60" s="80">
        <f>Financing!AF$24</f>
        <v/>
      </c>
      <c r="AG60" s="80">
        <f>Financing!AG$24</f>
        <v/>
      </c>
      <c r="AH60" s="80">
        <f>Financing!AH$24</f>
        <v/>
      </c>
      <c r="AI60" s="80">
        <f>Financing!AI$24</f>
        <v/>
      </c>
      <c r="AJ60" s="80">
        <f>Financing!AJ$24</f>
        <v/>
      </c>
      <c r="AK60" s="80">
        <f>Financing!AK$24</f>
        <v/>
      </c>
      <c r="AL60" s="80">
        <f>Financing!AL$24</f>
        <v/>
      </c>
      <c r="AM60" s="80">
        <f>Financing!AM$24</f>
        <v/>
      </c>
      <c r="AN60" s="80">
        <f>Financing!AN$24</f>
        <v/>
      </c>
      <c r="AO60" s="80">
        <f>Financing!AO$24</f>
        <v/>
      </c>
      <c r="AP60" s="80">
        <f>Financing!AP$24</f>
        <v/>
      </c>
      <c r="AQ60" s="80">
        <f>Financing!AQ$24</f>
        <v/>
      </c>
      <c r="AR60" s="80">
        <f>Financing!AR$24</f>
        <v/>
      </c>
      <c r="AS60" s="80">
        <f>Financing!AS$24</f>
        <v/>
      </c>
      <c r="AT60" s="80">
        <f>Financing!AT$24</f>
        <v/>
      </c>
      <c r="AU60" s="80">
        <f>Financing!AU$24</f>
        <v/>
      </c>
      <c r="AV60" s="80">
        <f>Financing!AV$24</f>
        <v/>
      </c>
      <c r="AW60" s="80">
        <f>Financing!AW$24</f>
        <v/>
      </c>
      <c r="AX60" s="80">
        <f>Financing!AX$24</f>
        <v/>
      </c>
      <c r="AY60" s="80">
        <f>Financing!AY$24</f>
        <v/>
      </c>
      <c r="AZ60" s="80">
        <f>Financing!AZ$24</f>
        <v/>
      </c>
      <c r="BA60" s="80">
        <f>Financing!BA$24</f>
        <v/>
      </c>
      <c r="BB60" s="80">
        <f>Financing!BB$24</f>
        <v/>
      </c>
      <c r="BC60" s="80">
        <f>Financing!BC$24</f>
        <v/>
      </c>
      <c r="BD60" s="80">
        <f>Financing!BD$24</f>
        <v/>
      </c>
      <c r="BE60" s="80">
        <f>Financing!BE$24</f>
        <v/>
      </c>
      <c r="BF60" s="80">
        <f>Financing!BF$24</f>
        <v/>
      </c>
      <c r="BG60" s="80">
        <f>Financing!BG$24</f>
        <v/>
      </c>
      <c r="BH60" s="80">
        <f>Financing!BH$24</f>
        <v/>
      </c>
      <c r="BI60" s="80">
        <f>Financing!BI$24</f>
        <v/>
      </c>
      <c r="BJ60" s="80">
        <f>Financing!BJ$24</f>
        <v/>
      </c>
      <c r="BK60" s="80">
        <f>Financing!BK$24</f>
        <v/>
      </c>
      <c r="BL60" s="80">
        <f>Financing!BL$24</f>
        <v/>
      </c>
    </row>
    <row r="61">
      <c r="A61" s="98" t="inlineStr">
        <is>
          <t>Equity: initial</t>
        </is>
      </c>
      <c r="B61" s="65" t="inlineStr">
        <is>
          <t>LCY</t>
        </is>
      </c>
      <c r="C61" s="105">
        <f>SUM(E61:BL61)</f>
        <v/>
      </c>
      <c r="E61" s="80">
        <f>Financing!E$9</f>
        <v/>
      </c>
      <c r="F61" s="80">
        <f>Financing!F$9</f>
        <v/>
      </c>
      <c r="G61" s="80">
        <f>Financing!G$9</f>
        <v/>
      </c>
      <c r="H61" s="80">
        <f>Financing!H$9</f>
        <v/>
      </c>
      <c r="I61" s="80">
        <f>Financing!I$9</f>
        <v/>
      </c>
      <c r="J61" s="80">
        <f>Financing!J$9</f>
        <v/>
      </c>
      <c r="K61" s="80">
        <f>Financing!K$9</f>
        <v/>
      </c>
      <c r="L61" s="80">
        <f>Financing!L$9</f>
        <v/>
      </c>
      <c r="M61" s="80">
        <f>Financing!M$9</f>
        <v/>
      </c>
      <c r="N61" s="80">
        <f>Financing!N$9</f>
        <v/>
      </c>
      <c r="O61" s="80">
        <f>Financing!O$9</f>
        <v/>
      </c>
      <c r="P61" s="80">
        <f>Financing!P$9</f>
        <v/>
      </c>
      <c r="Q61" s="80">
        <f>Financing!Q$9</f>
        <v/>
      </c>
      <c r="R61" s="80">
        <f>Financing!R$9</f>
        <v/>
      </c>
      <c r="S61" s="80">
        <f>Financing!S$9</f>
        <v/>
      </c>
      <c r="T61" s="80">
        <f>Financing!T$9</f>
        <v/>
      </c>
      <c r="U61" s="80">
        <f>Financing!U$9</f>
        <v/>
      </c>
      <c r="V61" s="80">
        <f>Financing!V$9</f>
        <v/>
      </c>
      <c r="W61" s="80">
        <f>Financing!W$9</f>
        <v/>
      </c>
      <c r="X61" s="80">
        <f>Financing!X$9</f>
        <v/>
      </c>
      <c r="Y61" s="80">
        <f>Financing!Y$9</f>
        <v/>
      </c>
      <c r="Z61" s="80">
        <f>Financing!Z$9</f>
        <v/>
      </c>
      <c r="AA61" s="80">
        <f>Financing!AA$9</f>
        <v/>
      </c>
      <c r="AB61" s="80">
        <f>Financing!AB$9</f>
        <v/>
      </c>
      <c r="AC61" s="80">
        <f>Financing!AC$9</f>
        <v/>
      </c>
      <c r="AD61" s="80">
        <f>Financing!AD$9</f>
        <v/>
      </c>
      <c r="AE61" s="80">
        <f>Financing!AE$9</f>
        <v/>
      </c>
      <c r="AF61" s="80">
        <f>Financing!AF$9</f>
        <v/>
      </c>
      <c r="AG61" s="80">
        <f>Financing!AG$9</f>
        <v/>
      </c>
      <c r="AH61" s="80">
        <f>Financing!AH$9</f>
        <v/>
      </c>
      <c r="AI61" s="80">
        <f>Financing!AI$9</f>
        <v/>
      </c>
      <c r="AJ61" s="80">
        <f>Financing!AJ$9</f>
        <v/>
      </c>
      <c r="AK61" s="80">
        <f>Financing!AK$9</f>
        <v/>
      </c>
      <c r="AL61" s="80">
        <f>Financing!AL$9</f>
        <v/>
      </c>
      <c r="AM61" s="80">
        <f>Financing!AM$9</f>
        <v/>
      </c>
      <c r="AN61" s="80">
        <f>Financing!AN$9</f>
        <v/>
      </c>
      <c r="AO61" s="80">
        <f>Financing!AO$9</f>
        <v/>
      </c>
      <c r="AP61" s="80">
        <f>Financing!AP$9</f>
        <v/>
      </c>
      <c r="AQ61" s="80">
        <f>Financing!AQ$9</f>
        <v/>
      </c>
      <c r="AR61" s="80">
        <f>Financing!AR$9</f>
        <v/>
      </c>
      <c r="AS61" s="80">
        <f>Financing!AS$9</f>
        <v/>
      </c>
      <c r="AT61" s="80">
        <f>Financing!AT$9</f>
        <v/>
      </c>
      <c r="AU61" s="80">
        <f>Financing!AU$9</f>
        <v/>
      </c>
      <c r="AV61" s="80">
        <f>Financing!AV$9</f>
        <v/>
      </c>
      <c r="AW61" s="80">
        <f>Financing!AW$9</f>
        <v/>
      </c>
      <c r="AX61" s="80">
        <f>Financing!AX$9</f>
        <v/>
      </c>
      <c r="AY61" s="80">
        <f>Financing!AY$9</f>
        <v/>
      </c>
      <c r="AZ61" s="80">
        <f>Financing!AZ$9</f>
        <v/>
      </c>
      <c r="BA61" s="80">
        <f>Financing!BA$9</f>
        <v/>
      </c>
      <c r="BB61" s="80">
        <f>Financing!BB$9</f>
        <v/>
      </c>
      <c r="BC61" s="80">
        <f>Financing!BC$9</f>
        <v/>
      </c>
      <c r="BD61" s="80">
        <f>Financing!BD$9</f>
        <v/>
      </c>
      <c r="BE61" s="80">
        <f>Financing!BE$9</f>
        <v/>
      </c>
      <c r="BF61" s="80">
        <f>Financing!BF$9</f>
        <v/>
      </c>
      <c r="BG61" s="80">
        <f>Financing!BG$9</f>
        <v/>
      </c>
      <c r="BH61" s="80">
        <f>Financing!BH$9</f>
        <v/>
      </c>
      <c r="BI61" s="80">
        <f>Financing!BI$9</f>
        <v/>
      </c>
      <c r="BJ61" s="80">
        <f>Financing!BJ$9</f>
        <v/>
      </c>
      <c r="BK61" s="80">
        <f>Financing!BK$9</f>
        <v/>
      </c>
      <c r="BL61" s="80">
        <f>Financing!BL$9</f>
        <v/>
      </c>
    </row>
    <row r="62">
      <c r="A62" s="98" t="inlineStr">
        <is>
          <t xml:space="preserve">  memo: cash before facility and equity top-up</t>
        </is>
      </c>
      <c r="B62" s="65" t="inlineStr">
        <is>
          <t>LCY</t>
        </is>
      </c>
      <c r="C62" s="105">
        <f>BL62</f>
        <v/>
      </c>
      <c r="E62" s="80">
        <f>D65+E57+E58+E59+E61</f>
        <v/>
      </c>
      <c r="F62" s="80">
        <f>E65+F57+F58+F59+F61</f>
        <v/>
      </c>
      <c r="G62" s="80">
        <f>F65+G57+G58+G59+G61</f>
        <v/>
      </c>
      <c r="H62" s="80">
        <f>G65+H57+H58+H59+H61</f>
        <v/>
      </c>
      <c r="I62" s="80">
        <f>H65+I57+I58+I59+I61</f>
        <v/>
      </c>
      <c r="J62" s="80">
        <f>I65+J57+J58+J59+J61</f>
        <v/>
      </c>
      <c r="K62" s="80">
        <f>J65+K57+K58+K59+K61</f>
        <v/>
      </c>
      <c r="L62" s="80">
        <f>K65+L57+L58+L59+L61</f>
        <v/>
      </c>
      <c r="M62" s="80">
        <f>L65+M57+M58+M59+M61</f>
        <v/>
      </c>
      <c r="N62" s="80">
        <f>M65+N57+N58+N59+N61</f>
        <v/>
      </c>
      <c r="O62" s="80">
        <f>N65+O57+O58+O59+O61</f>
        <v/>
      </c>
      <c r="P62" s="80">
        <f>O65+P57+P58+P59+P61</f>
        <v/>
      </c>
      <c r="Q62" s="80">
        <f>P65+Q57+Q58+Q59+Q61</f>
        <v/>
      </c>
      <c r="R62" s="80">
        <f>Q65+R57+R58+R59+R61</f>
        <v/>
      </c>
      <c r="S62" s="80">
        <f>R65+S57+S58+S59+S61</f>
        <v/>
      </c>
      <c r="T62" s="80">
        <f>S65+T57+T58+T59+T61</f>
        <v/>
      </c>
      <c r="U62" s="80">
        <f>T65+U57+U58+U59+U61</f>
        <v/>
      </c>
      <c r="V62" s="80">
        <f>U65+V57+V58+V59+V61</f>
        <v/>
      </c>
      <c r="W62" s="80">
        <f>V65+W57+W58+W59+W61</f>
        <v/>
      </c>
      <c r="X62" s="80">
        <f>W65+X57+X58+X59+X61</f>
        <v/>
      </c>
      <c r="Y62" s="80">
        <f>X65+Y57+Y58+Y59+Y61</f>
        <v/>
      </c>
      <c r="Z62" s="80">
        <f>Y65+Z57+Z58+Z59+Z61</f>
        <v/>
      </c>
      <c r="AA62" s="80">
        <f>Z65+AA57+AA58+AA59+AA61</f>
        <v/>
      </c>
      <c r="AB62" s="80">
        <f>AA65+AB57+AB58+AB59+AB61</f>
        <v/>
      </c>
      <c r="AC62" s="80">
        <f>AB65+AC57+AC58+AC59+AC61</f>
        <v/>
      </c>
      <c r="AD62" s="80">
        <f>AC65+AD57+AD58+AD59+AD61</f>
        <v/>
      </c>
      <c r="AE62" s="80">
        <f>AD65+AE57+AE58+AE59+AE61</f>
        <v/>
      </c>
      <c r="AF62" s="80">
        <f>AE65+AF57+AF58+AF59+AF61</f>
        <v/>
      </c>
      <c r="AG62" s="80">
        <f>AF65+AG57+AG58+AG59+AG61</f>
        <v/>
      </c>
      <c r="AH62" s="80">
        <f>AG65+AH57+AH58+AH59+AH61</f>
        <v/>
      </c>
      <c r="AI62" s="80">
        <f>AH65+AI57+AI58+AI59+AI61</f>
        <v/>
      </c>
      <c r="AJ62" s="80">
        <f>AI65+AJ57+AJ58+AJ59+AJ61</f>
        <v/>
      </c>
      <c r="AK62" s="80">
        <f>AJ65+AK57+AK58+AK59+AK61</f>
        <v/>
      </c>
      <c r="AL62" s="80">
        <f>AK65+AL57+AL58+AL59+AL61</f>
        <v/>
      </c>
      <c r="AM62" s="80">
        <f>AL65+AM57+AM58+AM59+AM61</f>
        <v/>
      </c>
      <c r="AN62" s="80">
        <f>AM65+AN57+AN58+AN59+AN61</f>
        <v/>
      </c>
      <c r="AO62" s="80">
        <f>AN65+AO57+AO58+AO59+AO61</f>
        <v/>
      </c>
      <c r="AP62" s="80">
        <f>AO65+AP57+AP58+AP59+AP61</f>
        <v/>
      </c>
      <c r="AQ62" s="80">
        <f>AP65+AQ57+AQ58+AQ59+AQ61</f>
        <v/>
      </c>
      <c r="AR62" s="80">
        <f>AQ65+AR57+AR58+AR59+AR61</f>
        <v/>
      </c>
      <c r="AS62" s="80">
        <f>AR65+AS57+AS58+AS59+AS61</f>
        <v/>
      </c>
      <c r="AT62" s="80">
        <f>AS65+AT57+AT58+AT59+AT61</f>
        <v/>
      </c>
      <c r="AU62" s="80">
        <f>AT65+AU57+AU58+AU59+AU61</f>
        <v/>
      </c>
      <c r="AV62" s="80">
        <f>AU65+AV57+AV58+AV59+AV61</f>
        <v/>
      </c>
      <c r="AW62" s="80">
        <f>AV65+AW57+AW58+AW59+AW61</f>
        <v/>
      </c>
      <c r="AX62" s="80">
        <f>AW65+AX57+AX58+AX59+AX61</f>
        <v/>
      </c>
      <c r="AY62" s="80">
        <f>AX65+AY57+AY58+AY59+AY61</f>
        <v/>
      </c>
      <c r="AZ62" s="80">
        <f>AY65+AZ57+AZ58+AZ59+AZ61</f>
        <v/>
      </c>
      <c r="BA62" s="80">
        <f>AZ65+BA57+BA58+BA59+BA61</f>
        <v/>
      </c>
      <c r="BB62" s="80">
        <f>BA65+BB57+BB58+BB59+BB61</f>
        <v/>
      </c>
      <c r="BC62" s="80">
        <f>BB65+BC57+BC58+BC59+BC61</f>
        <v/>
      </c>
      <c r="BD62" s="80">
        <f>BC65+BD57+BD58+BD59+BD61</f>
        <v/>
      </c>
      <c r="BE62" s="80">
        <f>BD65+BE57+BE58+BE59+BE61</f>
        <v/>
      </c>
      <c r="BF62" s="80">
        <f>BE65+BF57+BF58+BF59+BF61</f>
        <v/>
      </c>
      <c r="BG62" s="80">
        <f>BF65+BG57+BG58+BG59+BG61</f>
        <v/>
      </c>
      <c r="BH62" s="80">
        <f>BG65+BH57+BH58+BH59+BH61</f>
        <v/>
      </c>
      <c r="BI62" s="80">
        <f>BH65+BI57+BI58+BI59+BI61</f>
        <v/>
      </c>
      <c r="BJ62" s="80">
        <f>BI65+BJ57+BJ58+BJ59+BJ61</f>
        <v/>
      </c>
      <c r="BK62" s="80">
        <f>BJ65+BK57+BK58+BK59+BK61</f>
        <v/>
      </c>
      <c r="BL62" s="80">
        <f>BK65+BL57+BL58+BL59+BL61</f>
        <v/>
      </c>
    </row>
    <row r="63">
      <c r="A63" s="98" t="inlineStr">
        <is>
          <t>Cash before equity top-up</t>
        </is>
      </c>
      <c r="B63" s="65" t="inlineStr">
        <is>
          <t>LCY</t>
        </is>
      </c>
      <c r="C63" s="105">
        <f>BL63</f>
        <v/>
      </c>
      <c r="E63" s="80">
        <f>E62+E60</f>
        <v/>
      </c>
      <c r="F63" s="80">
        <f>F62+F60</f>
        <v/>
      </c>
      <c r="G63" s="80">
        <f>G62+G60</f>
        <v/>
      </c>
      <c r="H63" s="80">
        <f>H62+H60</f>
        <v/>
      </c>
      <c r="I63" s="80">
        <f>I62+I60</f>
        <v/>
      </c>
      <c r="J63" s="80">
        <f>J62+J60</f>
        <v/>
      </c>
      <c r="K63" s="80">
        <f>K62+K60</f>
        <v/>
      </c>
      <c r="L63" s="80">
        <f>L62+L60</f>
        <v/>
      </c>
      <c r="M63" s="80">
        <f>M62+M60</f>
        <v/>
      </c>
      <c r="N63" s="80">
        <f>N62+N60</f>
        <v/>
      </c>
      <c r="O63" s="80">
        <f>O62+O60</f>
        <v/>
      </c>
      <c r="P63" s="80">
        <f>P62+P60</f>
        <v/>
      </c>
      <c r="Q63" s="80">
        <f>Q62+Q60</f>
        <v/>
      </c>
      <c r="R63" s="80">
        <f>R62+R60</f>
        <v/>
      </c>
      <c r="S63" s="80">
        <f>S62+S60</f>
        <v/>
      </c>
      <c r="T63" s="80">
        <f>T62+T60</f>
        <v/>
      </c>
      <c r="U63" s="80">
        <f>U62+U60</f>
        <v/>
      </c>
      <c r="V63" s="80">
        <f>V62+V60</f>
        <v/>
      </c>
      <c r="W63" s="80">
        <f>W62+W60</f>
        <v/>
      </c>
      <c r="X63" s="80">
        <f>X62+X60</f>
        <v/>
      </c>
      <c r="Y63" s="80">
        <f>Y62+Y60</f>
        <v/>
      </c>
      <c r="Z63" s="80">
        <f>Z62+Z60</f>
        <v/>
      </c>
      <c r="AA63" s="80">
        <f>AA62+AA60</f>
        <v/>
      </c>
      <c r="AB63" s="80">
        <f>AB62+AB60</f>
        <v/>
      </c>
      <c r="AC63" s="80">
        <f>AC62+AC60</f>
        <v/>
      </c>
      <c r="AD63" s="80">
        <f>AD62+AD60</f>
        <v/>
      </c>
      <c r="AE63" s="80">
        <f>AE62+AE60</f>
        <v/>
      </c>
      <c r="AF63" s="80">
        <f>AF62+AF60</f>
        <v/>
      </c>
      <c r="AG63" s="80">
        <f>AG62+AG60</f>
        <v/>
      </c>
      <c r="AH63" s="80">
        <f>AH62+AH60</f>
        <v/>
      </c>
      <c r="AI63" s="80">
        <f>AI62+AI60</f>
        <v/>
      </c>
      <c r="AJ63" s="80">
        <f>AJ62+AJ60</f>
        <v/>
      </c>
      <c r="AK63" s="80">
        <f>AK62+AK60</f>
        <v/>
      </c>
      <c r="AL63" s="80">
        <f>AL62+AL60</f>
        <v/>
      </c>
      <c r="AM63" s="80">
        <f>AM62+AM60</f>
        <v/>
      </c>
      <c r="AN63" s="80">
        <f>AN62+AN60</f>
        <v/>
      </c>
      <c r="AO63" s="80">
        <f>AO62+AO60</f>
        <v/>
      </c>
      <c r="AP63" s="80">
        <f>AP62+AP60</f>
        <v/>
      </c>
      <c r="AQ63" s="80">
        <f>AQ62+AQ60</f>
        <v/>
      </c>
      <c r="AR63" s="80">
        <f>AR62+AR60</f>
        <v/>
      </c>
      <c r="AS63" s="80">
        <f>AS62+AS60</f>
        <v/>
      </c>
      <c r="AT63" s="80">
        <f>AT62+AT60</f>
        <v/>
      </c>
      <c r="AU63" s="80">
        <f>AU62+AU60</f>
        <v/>
      </c>
      <c r="AV63" s="80">
        <f>AV62+AV60</f>
        <v/>
      </c>
      <c r="AW63" s="80">
        <f>AW62+AW60</f>
        <v/>
      </c>
      <c r="AX63" s="80">
        <f>AX62+AX60</f>
        <v/>
      </c>
      <c r="AY63" s="80">
        <f>AY62+AY60</f>
        <v/>
      </c>
      <c r="AZ63" s="80">
        <f>AZ62+AZ60</f>
        <v/>
      </c>
      <c r="BA63" s="80">
        <f>BA62+BA60</f>
        <v/>
      </c>
      <c r="BB63" s="80">
        <f>BB62+BB60</f>
        <v/>
      </c>
      <c r="BC63" s="80">
        <f>BC62+BC60</f>
        <v/>
      </c>
      <c r="BD63" s="80">
        <f>BD62+BD60</f>
        <v/>
      </c>
      <c r="BE63" s="80">
        <f>BE62+BE60</f>
        <v/>
      </c>
      <c r="BF63" s="80">
        <f>BF62+BF60</f>
        <v/>
      </c>
      <c r="BG63" s="80">
        <f>BG62+BG60</f>
        <v/>
      </c>
      <c r="BH63" s="80">
        <f>BH62+BH60</f>
        <v/>
      </c>
      <c r="BI63" s="80">
        <f>BI62+BI60</f>
        <v/>
      </c>
      <c r="BJ63" s="80">
        <f>BJ62+BJ60</f>
        <v/>
      </c>
      <c r="BK63" s="80">
        <f>BK62+BK60</f>
        <v/>
      </c>
      <c r="BL63" s="80">
        <f>BL62+BL60</f>
        <v/>
      </c>
    </row>
    <row r="64">
      <c r="A64" s="98" t="inlineStr">
        <is>
          <t>Equity top-up to maintain minimum cash</t>
        </is>
      </c>
      <c r="B64" s="65" t="inlineStr">
        <is>
          <t>LCY</t>
        </is>
      </c>
      <c r="C64" s="105">
        <f>SUM(E64:BL64)</f>
        <v/>
      </c>
      <c r="E64" s="80">
        <f>MAX(0,Inputs!$C$46-E63)</f>
        <v/>
      </c>
      <c r="F64" s="80">
        <f>MAX(0,Inputs!$C$46-F63)</f>
        <v/>
      </c>
      <c r="G64" s="80">
        <f>MAX(0,Inputs!$C$46-G63)</f>
        <v/>
      </c>
      <c r="H64" s="80">
        <f>MAX(0,Inputs!$C$46-H63)</f>
        <v/>
      </c>
      <c r="I64" s="80">
        <f>MAX(0,Inputs!$C$46-I63)</f>
        <v/>
      </c>
      <c r="J64" s="80">
        <f>MAX(0,Inputs!$C$46-J63)</f>
        <v/>
      </c>
      <c r="K64" s="80">
        <f>MAX(0,Inputs!$C$46-K63)</f>
        <v/>
      </c>
      <c r="L64" s="80">
        <f>MAX(0,Inputs!$C$46-L63)</f>
        <v/>
      </c>
      <c r="M64" s="80">
        <f>MAX(0,Inputs!$C$46-M63)</f>
        <v/>
      </c>
      <c r="N64" s="80">
        <f>MAX(0,Inputs!$C$46-N63)</f>
        <v/>
      </c>
      <c r="O64" s="80">
        <f>MAX(0,Inputs!$C$46-O63)</f>
        <v/>
      </c>
      <c r="P64" s="80">
        <f>MAX(0,Inputs!$C$46-P63)</f>
        <v/>
      </c>
      <c r="Q64" s="80">
        <f>MAX(0,Inputs!$C$46-Q63)</f>
        <v/>
      </c>
      <c r="R64" s="80">
        <f>MAX(0,Inputs!$C$46-R63)</f>
        <v/>
      </c>
      <c r="S64" s="80">
        <f>MAX(0,Inputs!$C$46-S63)</f>
        <v/>
      </c>
      <c r="T64" s="80">
        <f>MAX(0,Inputs!$C$46-T63)</f>
        <v/>
      </c>
      <c r="U64" s="80">
        <f>MAX(0,Inputs!$C$46-U63)</f>
        <v/>
      </c>
      <c r="V64" s="80">
        <f>MAX(0,Inputs!$C$46-V63)</f>
        <v/>
      </c>
      <c r="W64" s="80">
        <f>MAX(0,Inputs!$C$46-W63)</f>
        <v/>
      </c>
      <c r="X64" s="80">
        <f>MAX(0,Inputs!$C$46-X63)</f>
        <v/>
      </c>
      <c r="Y64" s="80">
        <f>MAX(0,Inputs!$C$46-Y63)</f>
        <v/>
      </c>
      <c r="Z64" s="80">
        <f>MAX(0,Inputs!$C$46-Z63)</f>
        <v/>
      </c>
      <c r="AA64" s="80">
        <f>MAX(0,Inputs!$C$46-AA63)</f>
        <v/>
      </c>
      <c r="AB64" s="80">
        <f>MAX(0,Inputs!$C$46-AB63)</f>
        <v/>
      </c>
      <c r="AC64" s="80">
        <f>MAX(0,Inputs!$C$46-AC63)</f>
        <v/>
      </c>
      <c r="AD64" s="80">
        <f>MAX(0,Inputs!$C$46-AD63)</f>
        <v/>
      </c>
      <c r="AE64" s="80">
        <f>MAX(0,Inputs!$C$46-AE63)</f>
        <v/>
      </c>
      <c r="AF64" s="80">
        <f>MAX(0,Inputs!$C$46-AF63)</f>
        <v/>
      </c>
      <c r="AG64" s="80">
        <f>MAX(0,Inputs!$C$46-AG63)</f>
        <v/>
      </c>
      <c r="AH64" s="80">
        <f>MAX(0,Inputs!$C$46-AH63)</f>
        <v/>
      </c>
      <c r="AI64" s="80">
        <f>MAX(0,Inputs!$C$46-AI63)</f>
        <v/>
      </c>
      <c r="AJ64" s="80">
        <f>MAX(0,Inputs!$C$46-AJ63)</f>
        <v/>
      </c>
      <c r="AK64" s="80">
        <f>MAX(0,Inputs!$C$46-AK63)</f>
        <v/>
      </c>
      <c r="AL64" s="80">
        <f>MAX(0,Inputs!$C$46-AL63)</f>
        <v/>
      </c>
      <c r="AM64" s="80">
        <f>MAX(0,Inputs!$C$46-AM63)</f>
        <v/>
      </c>
      <c r="AN64" s="80">
        <f>MAX(0,Inputs!$C$46-AN63)</f>
        <v/>
      </c>
      <c r="AO64" s="80">
        <f>MAX(0,Inputs!$C$46-AO63)</f>
        <v/>
      </c>
      <c r="AP64" s="80">
        <f>MAX(0,Inputs!$C$46-AP63)</f>
        <v/>
      </c>
      <c r="AQ64" s="80">
        <f>MAX(0,Inputs!$C$46-AQ63)</f>
        <v/>
      </c>
      <c r="AR64" s="80">
        <f>MAX(0,Inputs!$C$46-AR63)</f>
        <v/>
      </c>
      <c r="AS64" s="80">
        <f>MAX(0,Inputs!$C$46-AS63)</f>
        <v/>
      </c>
      <c r="AT64" s="80">
        <f>MAX(0,Inputs!$C$46-AT63)</f>
        <v/>
      </c>
      <c r="AU64" s="80">
        <f>MAX(0,Inputs!$C$46-AU63)</f>
        <v/>
      </c>
      <c r="AV64" s="80">
        <f>MAX(0,Inputs!$C$46-AV63)</f>
        <v/>
      </c>
      <c r="AW64" s="80">
        <f>MAX(0,Inputs!$C$46-AW63)</f>
        <v/>
      </c>
      <c r="AX64" s="80">
        <f>MAX(0,Inputs!$C$46-AX63)</f>
        <v/>
      </c>
      <c r="AY64" s="80">
        <f>MAX(0,Inputs!$C$46-AY63)</f>
        <v/>
      </c>
      <c r="AZ64" s="80">
        <f>MAX(0,Inputs!$C$46-AZ63)</f>
        <v/>
      </c>
      <c r="BA64" s="80">
        <f>MAX(0,Inputs!$C$46-BA63)</f>
        <v/>
      </c>
      <c r="BB64" s="80">
        <f>MAX(0,Inputs!$C$46-BB63)</f>
        <v/>
      </c>
      <c r="BC64" s="80">
        <f>MAX(0,Inputs!$C$46-BC63)</f>
        <v/>
      </c>
      <c r="BD64" s="80">
        <f>MAX(0,Inputs!$C$46-BD63)</f>
        <v/>
      </c>
      <c r="BE64" s="80">
        <f>MAX(0,Inputs!$C$46-BE63)</f>
        <v/>
      </c>
      <c r="BF64" s="80">
        <f>MAX(0,Inputs!$C$46-BF63)</f>
        <v/>
      </c>
      <c r="BG64" s="80">
        <f>MAX(0,Inputs!$C$46-BG63)</f>
        <v/>
      </c>
      <c r="BH64" s="80">
        <f>MAX(0,Inputs!$C$46-BH63)</f>
        <v/>
      </c>
      <c r="BI64" s="80">
        <f>MAX(0,Inputs!$C$46-BI63)</f>
        <v/>
      </c>
      <c r="BJ64" s="80">
        <f>MAX(0,Inputs!$C$46-BJ63)</f>
        <v/>
      </c>
      <c r="BK64" s="80">
        <f>MAX(0,Inputs!$C$46-BK63)</f>
        <v/>
      </c>
      <c r="BL64" s="80">
        <f>MAX(0,Inputs!$C$46-BL63)</f>
        <v/>
      </c>
    </row>
    <row r="65">
      <c r="A65" s="100" t="inlineStr">
        <is>
          <t>Closing cash</t>
        </is>
      </c>
      <c r="B65" s="101" t="inlineStr">
        <is>
          <t>LCY</t>
        </is>
      </c>
      <c r="C65" s="102">
        <f>BL65</f>
        <v/>
      </c>
      <c r="D65" s="103" t="n"/>
      <c r="E65" s="104">
        <f>E63+E64</f>
        <v/>
      </c>
      <c r="F65" s="104">
        <f>F63+F64</f>
        <v/>
      </c>
      <c r="G65" s="104">
        <f>G63+G64</f>
        <v/>
      </c>
      <c r="H65" s="104">
        <f>H63+H64</f>
        <v/>
      </c>
      <c r="I65" s="104">
        <f>I63+I64</f>
        <v/>
      </c>
      <c r="J65" s="104">
        <f>J63+J64</f>
        <v/>
      </c>
      <c r="K65" s="104">
        <f>K63+K64</f>
        <v/>
      </c>
      <c r="L65" s="104">
        <f>L63+L64</f>
        <v/>
      </c>
      <c r="M65" s="104">
        <f>M63+M64</f>
        <v/>
      </c>
      <c r="N65" s="104">
        <f>N63+N64</f>
        <v/>
      </c>
      <c r="O65" s="104">
        <f>O63+O64</f>
        <v/>
      </c>
      <c r="P65" s="104">
        <f>P63+P64</f>
        <v/>
      </c>
      <c r="Q65" s="104">
        <f>Q63+Q64</f>
        <v/>
      </c>
      <c r="R65" s="104">
        <f>R63+R64</f>
        <v/>
      </c>
      <c r="S65" s="104">
        <f>S63+S64</f>
        <v/>
      </c>
      <c r="T65" s="104">
        <f>T63+T64</f>
        <v/>
      </c>
      <c r="U65" s="104">
        <f>U63+U64</f>
        <v/>
      </c>
      <c r="V65" s="104">
        <f>V63+V64</f>
        <v/>
      </c>
      <c r="W65" s="104">
        <f>W63+W64</f>
        <v/>
      </c>
      <c r="X65" s="104">
        <f>X63+X64</f>
        <v/>
      </c>
      <c r="Y65" s="104">
        <f>Y63+Y64</f>
        <v/>
      </c>
      <c r="Z65" s="104">
        <f>Z63+Z64</f>
        <v/>
      </c>
      <c r="AA65" s="104">
        <f>AA63+AA64</f>
        <v/>
      </c>
      <c r="AB65" s="104">
        <f>AB63+AB64</f>
        <v/>
      </c>
      <c r="AC65" s="104">
        <f>AC63+AC64</f>
        <v/>
      </c>
      <c r="AD65" s="104">
        <f>AD63+AD64</f>
        <v/>
      </c>
      <c r="AE65" s="104">
        <f>AE63+AE64</f>
        <v/>
      </c>
      <c r="AF65" s="104">
        <f>AF63+AF64</f>
        <v/>
      </c>
      <c r="AG65" s="104">
        <f>AG63+AG64</f>
        <v/>
      </c>
      <c r="AH65" s="104">
        <f>AH63+AH64</f>
        <v/>
      </c>
      <c r="AI65" s="104">
        <f>AI63+AI64</f>
        <v/>
      </c>
      <c r="AJ65" s="104">
        <f>AJ63+AJ64</f>
        <v/>
      </c>
      <c r="AK65" s="104">
        <f>AK63+AK64</f>
        <v/>
      </c>
      <c r="AL65" s="104">
        <f>AL63+AL64</f>
        <v/>
      </c>
      <c r="AM65" s="104">
        <f>AM63+AM64</f>
        <v/>
      </c>
      <c r="AN65" s="104">
        <f>AN63+AN64</f>
        <v/>
      </c>
      <c r="AO65" s="104">
        <f>AO63+AO64</f>
        <v/>
      </c>
      <c r="AP65" s="104">
        <f>AP63+AP64</f>
        <v/>
      </c>
      <c r="AQ65" s="104">
        <f>AQ63+AQ64</f>
        <v/>
      </c>
      <c r="AR65" s="104">
        <f>AR63+AR64</f>
        <v/>
      </c>
      <c r="AS65" s="104">
        <f>AS63+AS64</f>
        <v/>
      </c>
      <c r="AT65" s="104">
        <f>AT63+AT64</f>
        <v/>
      </c>
      <c r="AU65" s="104">
        <f>AU63+AU64</f>
        <v/>
      </c>
      <c r="AV65" s="104">
        <f>AV63+AV64</f>
        <v/>
      </c>
      <c r="AW65" s="104">
        <f>AW63+AW64</f>
        <v/>
      </c>
      <c r="AX65" s="104">
        <f>AX63+AX64</f>
        <v/>
      </c>
      <c r="AY65" s="104">
        <f>AY63+AY64</f>
        <v/>
      </c>
      <c r="AZ65" s="104">
        <f>AZ63+AZ64</f>
        <v/>
      </c>
      <c r="BA65" s="104">
        <f>BA63+BA64</f>
        <v/>
      </c>
      <c r="BB65" s="104">
        <f>BB63+BB64</f>
        <v/>
      </c>
      <c r="BC65" s="104">
        <f>BC63+BC64</f>
        <v/>
      </c>
      <c r="BD65" s="104">
        <f>BD63+BD64</f>
        <v/>
      </c>
      <c r="BE65" s="104">
        <f>BE63+BE64</f>
        <v/>
      </c>
      <c r="BF65" s="104">
        <f>BF63+BF64</f>
        <v/>
      </c>
      <c r="BG65" s="104">
        <f>BG63+BG64</f>
        <v/>
      </c>
      <c r="BH65" s="104">
        <f>BH63+BH64</f>
        <v/>
      </c>
      <c r="BI65" s="104">
        <f>BI63+BI64</f>
        <v/>
      </c>
      <c r="BJ65" s="104">
        <f>BJ63+BJ64</f>
        <v/>
      </c>
      <c r="BK65" s="104">
        <f>BK63+BK64</f>
        <v/>
      </c>
      <c r="BL65" s="104">
        <f>BL63+BL64</f>
        <v/>
      </c>
    </row>
    <row r="66"/>
    <row r="67">
      <c r="A67" s="21" t="inlineStr">
        <is>
          <t>MEMO</t>
        </is>
      </c>
      <c r="B67" s="22" t="n"/>
      <c r="C67" s="22" t="n"/>
      <c r="D67" s="22" t="n"/>
      <c r="E67" s="22" t="n"/>
      <c r="F67" s="22"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c r="AA67" s="22" t="n"/>
      <c r="AB67" s="22" t="n"/>
      <c r="AC67" s="22" t="n"/>
      <c r="AD67" s="22" t="n"/>
      <c r="AE67" s="22" t="n"/>
      <c r="AF67" s="22" t="n"/>
      <c r="AG67" s="22" t="n"/>
      <c r="AH67" s="22" t="n"/>
      <c r="AI67" s="22" t="n"/>
      <c r="AJ67" s="22" t="n"/>
      <c r="AK67" s="22" t="n"/>
      <c r="AL67" s="22" t="n"/>
      <c r="AM67" s="22" t="n"/>
      <c r="AN67" s="22" t="n"/>
      <c r="AO67" s="22" t="n"/>
      <c r="AP67" s="22" t="n"/>
      <c r="AQ67" s="22" t="n"/>
      <c r="AR67" s="22" t="n"/>
      <c r="AS67" s="22" t="n"/>
      <c r="AT67" s="22" t="n"/>
      <c r="AU67" s="22" t="n"/>
      <c r="AV67" s="22" t="n"/>
      <c r="AW67" s="22" t="n"/>
      <c r="AX67" s="22" t="n"/>
      <c r="AY67" s="22" t="n"/>
      <c r="AZ67" s="22" t="n"/>
      <c r="BA67" s="22" t="n"/>
      <c r="BB67" s="22" t="n"/>
      <c r="BC67" s="22" t="n"/>
      <c r="BD67" s="22" t="n"/>
      <c r="BE67" s="22" t="n"/>
      <c r="BF67" s="22" t="n"/>
      <c r="BG67" s="22" t="n"/>
      <c r="BH67" s="22" t="n"/>
      <c r="BI67" s="22" t="n"/>
      <c r="BJ67" s="22" t="n"/>
      <c r="BK67" s="22" t="n"/>
      <c r="BL67" s="22" t="n"/>
    </row>
    <row r="68">
      <c r="A68" s="98" t="inlineStr">
        <is>
          <t>EBITDA positive (1 = yes)</t>
        </is>
      </c>
      <c r="B68" s="65" t="inlineStr">
        <is>
          <t>flag</t>
        </is>
      </c>
      <c r="E68" s="23">
        <f>IF(E19&gt;0,1,0)</f>
        <v/>
      </c>
      <c r="F68" s="23">
        <f>IF(F19&gt;0,1,0)</f>
        <v/>
      </c>
      <c r="G68" s="23">
        <f>IF(G19&gt;0,1,0)</f>
        <v/>
      </c>
      <c r="H68" s="23">
        <f>IF(H19&gt;0,1,0)</f>
        <v/>
      </c>
      <c r="I68" s="23">
        <f>IF(I19&gt;0,1,0)</f>
        <v/>
      </c>
      <c r="J68" s="23">
        <f>IF(J19&gt;0,1,0)</f>
        <v/>
      </c>
      <c r="K68" s="23">
        <f>IF(K19&gt;0,1,0)</f>
        <v/>
      </c>
      <c r="L68" s="23">
        <f>IF(L19&gt;0,1,0)</f>
        <v/>
      </c>
      <c r="M68" s="23">
        <f>IF(M19&gt;0,1,0)</f>
        <v/>
      </c>
      <c r="N68" s="23">
        <f>IF(N19&gt;0,1,0)</f>
        <v/>
      </c>
      <c r="O68" s="23">
        <f>IF(O19&gt;0,1,0)</f>
        <v/>
      </c>
      <c r="P68" s="23">
        <f>IF(P19&gt;0,1,0)</f>
        <v/>
      </c>
      <c r="Q68" s="23">
        <f>IF(Q19&gt;0,1,0)</f>
        <v/>
      </c>
      <c r="R68" s="23">
        <f>IF(R19&gt;0,1,0)</f>
        <v/>
      </c>
      <c r="S68" s="23">
        <f>IF(S19&gt;0,1,0)</f>
        <v/>
      </c>
      <c r="T68" s="23">
        <f>IF(T19&gt;0,1,0)</f>
        <v/>
      </c>
      <c r="U68" s="23">
        <f>IF(U19&gt;0,1,0)</f>
        <v/>
      </c>
      <c r="V68" s="23">
        <f>IF(V19&gt;0,1,0)</f>
        <v/>
      </c>
      <c r="W68" s="23">
        <f>IF(W19&gt;0,1,0)</f>
        <v/>
      </c>
      <c r="X68" s="23">
        <f>IF(X19&gt;0,1,0)</f>
        <v/>
      </c>
      <c r="Y68" s="23">
        <f>IF(Y19&gt;0,1,0)</f>
        <v/>
      </c>
      <c r="Z68" s="23">
        <f>IF(Z19&gt;0,1,0)</f>
        <v/>
      </c>
      <c r="AA68" s="23">
        <f>IF(AA19&gt;0,1,0)</f>
        <v/>
      </c>
      <c r="AB68" s="23">
        <f>IF(AB19&gt;0,1,0)</f>
        <v/>
      </c>
      <c r="AC68" s="23">
        <f>IF(AC19&gt;0,1,0)</f>
        <v/>
      </c>
      <c r="AD68" s="23">
        <f>IF(AD19&gt;0,1,0)</f>
        <v/>
      </c>
      <c r="AE68" s="23">
        <f>IF(AE19&gt;0,1,0)</f>
        <v/>
      </c>
      <c r="AF68" s="23">
        <f>IF(AF19&gt;0,1,0)</f>
        <v/>
      </c>
      <c r="AG68" s="23">
        <f>IF(AG19&gt;0,1,0)</f>
        <v/>
      </c>
      <c r="AH68" s="23">
        <f>IF(AH19&gt;0,1,0)</f>
        <v/>
      </c>
      <c r="AI68" s="23">
        <f>IF(AI19&gt;0,1,0)</f>
        <v/>
      </c>
      <c r="AJ68" s="23">
        <f>IF(AJ19&gt;0,1,0)</f>
        <v/>
      </c>
      <c r="AK68" s="23">
        <f>IF(AK19&gt;0,1,0)</f>
        <v/>
      </c>
      <c r="AL68" s="23">
        <f>IF(AL19&gt;0,1,0)</f>
        <v/>
      </c>
      <c r="AM68" s="23">
        <f>IF(AM19&gt;0,1,0)</f>
        <v/>
      </c>
      <c r="AN68" s="23">
        <f>IF(AN19&gt;0,1,0)</f>
        <v/>
      </c>
      <c r="AO68" s="23">
        <f>IF(AO19&gt;0,1,0)</f>
        <v/>
      </c>
      <c r="AP68" s="23">
        <f>IF(AP19&gt;0,1,0)</f>
        <v/>
      </c>
      <c r="AQ68" s="23">
        <f>IF(AQ19&gt;0,1,0)</f>
        <v/>
      </c>
      <c r="AR68" s="23">
        <f>IF(AR19&gt;0,1,0)</f>
        <v/>
      </c>
      <c r="AS68" s="23">
        <f>IF(AS19&gt;0,1,0)</f>
        <v/>
      </c>
      <c r="AT68" s="23">
        <f>IF(AT19&gt;0,1,0)</f>
        <v/>
      </c>
      <c r="AU68" s="23">
        <f>IF(AU19&gt;0,1,0)</f>
        <v/>
      </c>
      <c r="AV68" s="23">
        <f>IF(AV19&gt;0,1,0)</f>
        <v/>
      </c>
      <c r="AW68" s="23">
        <f>IF(AW19&gt;0,1,0)</f>
        <v/>
      </c>
      <c r="AX68" s="23">
        <f>IF(AX19&gt;0,1,0)</f>
        <v/>
      </c>
      <c r="AY68" s="23">
        <f>IF(AY19&gt;0,1,0)</f>
        <v/>
      </c>
      <c r="AZ68" s="23">
        <f>IF(AZ19&gt;0,1,0)</f>
        <v/>
      </c>
      <c r="BA68" s="23">
        <f>IF(BA19&gt;0,1,0)</f>
        <v/>
      </c>
      <c r="BB68" s="23">
        <f>IF(BB19&gt;0,1,0)</f>
        <v/>
      </c>
      <c r="BC68" s="23">
        <f>IF(BC19&gt;0,1,0)</f>
        <v/>
      </c>
      <c r="BD68" s="23">
        <f>IF(BD19&gt;0,1,0)</f>
        <v/>
      </c>
      <c r="BE68" s="23">
        <f>IF(BE19&gt;0,1,0)</f>
        <v/>
      </c>
      <c r="BF68" s="23">
        <f>IF(BF19&gt;0,1,0)</f>
        <v/>
      </c>
      <c r="BG68" s="23">
        <f>IF(BG19&gt;0,1,0)</f>
        <v/>
      </c>
      <c r="BH68" s="23">
        <f>IF(BH19&gt;0,1,0)</f>
        <v/>
      </c>
      <c r="BI68" s="23">
        <f>IF(BI19&gt;0,1,0)</f>
        <v/>
      </c>
      <c r="BJ68" s="23">
        <f>IF(BJ19&gt;0,1,0)</f>
        <v/>
      </c>
      <c r="BK68" s="23">
        <f>IF(BK19&gt;0,1,0)</f>
        <v/>
      </c>
      <c r="BL68" s="23">
        <f>IF(BL19&gt;0,1,0)</f>
        <v/>
      </c>
    </row>
    <row r="69">
      <c r="A69" s="98" t="inlineStr">
        <is>
          <t>Operating cash flow positive (1 = yes)</t>
        </is>
      </c>
      <c r="B69" s="65" t="inlineStr">
        <is>
          <t>flag</t>
        </is>
      </c>
      <c r="E69" s="23">
        <f>IF(E57&gt;0,1,0)</f>
        <v/>
      </c>
      <c r="F69" s="23">
        <f>IF(F57&gt;0,1,0)</f>
        <v/>
      </c>
      <c r="G69" s="23">
        <f>IF(G57&gt;0,1,0)</f>
        <v/>
      </c>
      <c r="H69" s="23">
        <f>IF(H57&gt;0,1,0)</f>
        <v/>
      </c>
      <c r="I69" s="23">
        <f>IF(I57&gt;0,1,0)</f>
        <v/>
      </c>
      <c r="J69" s="23">
        <f>IF(J57&gt;0,1,0)</f>
        <v/>
      </c>
      <c r="K69" s="23">
        <f>IF(K57&gt;0,1,0)</f>
        <v/>
      </c>
      <c r="L69" s="23">
        <f>IF(L57&gt;0,1,0)</f>
        <v/>
      </c>
      <c r="M69" s="23">
        <f>IF(M57&gt;0,1,0)</f>
        <v/>
      </c>
      <c r="N69" s="23">
        <f>IF(N57&gt;0,1,0)</f>
        <v/>
      </c>
      <c r="O69" s="23">
        <f>IF(O57&gt;0,1,0)</f>
        <v/>
      </c>
      <c r="P69" s="23">
        <f>IF(P57&gt;0,1,0)</f>
        <v/>
      </c>
      <c r="Q69" s="23">
        <f>IF(Q57&gt;0,1,0)</f>
        <v/>
      </c>
      <c r="R69" s="23">
        <f>IF(R57&gt;0,1,0)</f>
        <v/>
      </c>
      <c r="S69" s="23">
        <f>IF(S57&gt;0,1,0)</f>
        <v/>
      </c>
      <c r="T69" s="23">
        <f>IF(T57&gt;0,1,0)</f>
        <v/>
      </c>
      <c r="U69" s="23">
        <f>IF(U57&gt;0,1,0)</f>
        <v/>
      </c>
      <c r="V69" s="23">
        <f>IF(V57&gt;0,1,0)</f>
        <v/>
      </c>
      <c r="W69" s="23">
        <f>IF(W57&gt;0,1,0)</f>
        <v/>
      </c>
      <c r="X69" s="23">
        <f>IF(X57&gt;0,1,0)</f>
        <v/>
      </c>
      <c r="Y69" s="23">
        <f>IF(Y57&gt;0,1,0)</f>
        <v/>
      </c>
      <c r="Z69" s="23">
        <f>IF(Z57&gt;0,1,0)</f>
        <v/>
      </c>
      <c r="AA69" s="23">
        <f>IF(AA57&gt;0,1,0)</f>
        <v/>
      </c>
      <c r="AB69" s="23">
        <f>IF(AB57&gt;0,1,0)</f>
        <v/>
      </c>
      <c r="AC69" s="23">
        <f>IF(AC57&gt;0,1,0)</f>
        <v/>
      </c>
      <c r="AD69" s="23">
        <f>IF(AD57&gt;0,1,0)</f>
        <v/>
      </c>
      <c r="AE69" s="23">
        <f>IF(AE57&gt;0,1,0)</f>
        <v/>
      </c>
      <c r="AF69" s="23">
        <f>IF(AF57&gt;0,1,0)</f>
        <v/>
      </c>
      <c r="AG69" s="23">
        <f>IF(AG57&gt;0,1,0)</f>
        <v/>
      </c>
      <c r="AH69" s="23">
        <f>IF(AH57&gt;0,1,0)</f>
        <v/>
      </c>
      <c r="AI69" s="23">
        <f>IF(AI57&gt;0,1,0)</f>
        <v/>
      </c>
      <c r="AJ69" s="23">
        <f>IF(AJ57&gt;0,1,0)</f>
        <v/>
      </c>
      <c r="AK69" s="23">
        <f>IF(AK57&gt;0,1,0)</f>
        <v/>
      </c>
      <c r="AL69" s="23">
        <f>IF(AL57&gt;0,1,0)</f>
        <v/>
      </c>
      <c r="AM69" s="23">
        <f>IF(AM57&gt;0,1,0)</f>
        <v/>
      </c>
      <c r="AN69" s="23">
        <f>IF(AN57&gt;0,1,0)</f>
        <v/>
      </c>
      <c r="AO69" s="23">
        <f>IF(AO57&gt;0,1,0)</f>
        <v/>
      </c>
      <c r="AP69" s="23">
        <f>IF(AP57&gt;0,1,0)</f>
        <v/>
      </c>
      <c r="AQ69" s="23">
        <f>IF(AQ57&gt;0,1,0)</f>
        <v/>
      </c>
      <c r="AR69" s="23">
        <f>IF(AR57&gt;0,1,0)</f>
        <v/>
      </c>
      <c r="AS69" s="23">
        <f>IF(AS57&gt;0,1,0)</f>
        <v/>
      </c>
      <c r="AT69" s="23">
        <f>IF(AT57&gt;0,1,0)</f>
        <v/>
      </c>
      <c r="AU69" s="23">
        <f>IF(AU57&gt;0,1,0)</f>
        <v/>
      </c>
      <c r="AV69" s="23">
        <f>IF(AV57&gt;0,1,0)</f>
        <v/>
      </c>
      <c r="AW69" s="23">
        <f>IF(AW57&gt;0,1,0)</f>
        <v/>
      </c>
      <c r="AX69" s="23">
        <f>IF(AX57&gt;0,1,0)</f>
        <v/>
      </c>
      <c r="AY69" s="23">
        <f>IF(AY57&gt;0,1,0)</f>
        <v/>
      </c>
      <c r="AZ69" s="23">
        <f>IF(AZ57&gt;0,1,0)</f>
        <v/>
      </c>
      <c r="BA69" s="23">
        <f>IF(BA57&gt;0,1,0)</f>
        <v/>
      </c>
      <c r="BB69" s="23">
        <f>IF(BB57&gt;0,1,0)</f>
        <v/>
      </c>
      <c r="BC69" s="23">
        <f>IF(BC57&gt;0,1,0)</f>
        <v/>
      </c>
      <c r="BD69" s="23">
        <f>IF(BD57&gt;0,1,0)</f>
        <v/>
      </c>
      <c r="BE69" s="23">
        <f>IF(BE57&gt;0,1,0)</f>
        <v/>
      </c>
      <c r="BF69" s="23">
        <f>IF(BF57&gt;0,1,0)</f>
        <v/>
      </c>
      <c r="BG69" s="23">
        <f>IF(BG57&gt;0,1,0)</f>
        <v/>
      </c>
      <c r="BH69" s="23">
        <f>IF(BH57&gt;0,1,0)</f>
        <v/>
      </c>
      <c r="BI69" s="23">
        <f>IF(BI57&gt;0,1,0)</f>
        <v/>
      </c>
      <c r="BJ69" s="23">
        <f>IF(BJ57&gt;0,1,0)</f>
        <v/>
      </c>
      <c r="BK69" s="23">
        <f>IF(BK57&gt;0,1,0)</f>
        <v/>
      </c>
      <c r="BL69" s="23">
        <f>IF(BL57&gt;0,1,0)</f>
        <v/>
      </c>
    </row>
    <row r="70">
      <c r="A70" s="98" t="inlineStr">
        <is>
          <t>Operating cash flow positive from this month to the horizon (1 = yes)</t>
        </is>
      </c>
      <c r="B70" s="65" t="inlineStr">
        <is>
          <t>flag</t>
        </is>
      </c>
      <c r="E70" s="23">
        <f>IF(MIN(E57:$BL57)&gt;0,1,0)</f>
        <v/>
      </c>
      <c r="F70" s="23">
        <f>IF(MIN(F57:$BL57)&gt;0,1,0)</f>
        <v/>
      </c>
      <c r="G70" s="23">
        <f>IF(MIN(G57:$BL57)&gt;0,1,0)</f>
        <v/>
      </c>
      <c r="H70" s="23">
        <f>IF(MIN(H57:$BL57)&gt;0,1,0)</f>
        <v/>
      </c>
      <c r="I70" s="23">
        <f>IF(MIN(I57:$BL57)&gt;0,1,0)</f>
        <v/>
      </c>
      <c r="J70" s="23">
        <f>IF(MIN(J57:$BL57)&gt;0,1,0)</f>
        <v/>
      </c>
      <c r="K70" s="23">
        <f>IF(MIN(K57:$BL57)&gt;0,1,0)</f>
        <v/>
      </c>
      <c r="L70" s="23">
        <f>IF(MIN(L57:$BL57)&gt;0,1,0)</f>
        <v/>
      </c>
      <c r="M70" s="23">
        <f>IF(MIN(M57:$BL57)&gt;0,1,0)</f>
        <v/>
      </c>
      <c r="N70" s="23">
        <f>IF(MIN(N57:$BL57)&gt;0,1,0)</f>
        <v/>
      </c>
      <c r="O70" s="23">
        <f>IF(MIN(O57:$BL57)&gt;0,1,0)</f>
        <v/>
      </c>
      <c r="P70" s="23">
        <f>IF(MIN(P57:$BL57)&gt;0,1,0)</f>
        <v/>
      </c>
      <c r="Q70" s="23">
        <f>IF(MIN(Q57:$BL57)&gt;0,1,0)</f>
        <v/>
      </c>
      <c r="R70" s="23">
        <f>IF(MIN(R57:$BL57)&gt;0,1,0)</f>
        <v/>
      </c>
      <c r="S70" s="23">
        <f>IF(MIN(S57:$BL57)&gt;0,1,0)</f>
        <v/>
      </c>
      <c r="T70" s="23">
        <f>IF(MIN(T57:$BL57)&gt;0,1,0)</f>
        <v/>
      </c>
      <c r="U70" s="23">
        <f>IF(MIN(U57:$BL57)&gt;0,1,0)</f>
        <v/>
      </c>
      <c r="V70" s="23">
        <f>IF(MIN(V57:$BL57)&gt;0,1,0)</f>
        <v/>
      </c>
      <c r="W70" s="23">
        <f>IF(MIN(W57:$BL57)&gt;0,1,0)</f>
        <v/>
      </c>
      <c r="X70" s="23">
        <f>IF(MIN(X57:$BL57)&gt;0,1,0)</f>
        <v/>
      </c>
      <c r="Y70" s="23">
        <f>IF(MIN(Y57:$BL57)&gt;0,1,0)</f>
        <v/>
      </c>
      <c r="Z70" s="23">
        <f>IF(MIN(Z57:$BL57)&gt;0,1,0)</f>
        <v/>
      </c>
      <c r="AA70" s="23">
        <f>IF(MIN(AA57:$BL57)&gt;0,1,0)</f>
        <v/>
      </c>
      <c r="AB70" s="23">
        <f>IF(MIN(AB57:$BL57)&gt;0,1,0)</f>
        <v/>
      </c>
      <c r="AC70" s="23">
        <f>IF(MIN(AC57:$BL57)&gt;0,1,0)</f>
        <v/>
      </c>
      <c r="AD70" s="23">
        <f>IF(MIN(AD57:$BL57)&gt;0,1,0)</f>
        <v/>
      </c>
      <c r="AE70" s="23">
        <f>IF(MIN(AE57:$BL57)&gt;0,1,0)</f>
        <v/>
      </c>
      <c r="AF70" s="23">
        <f>IF(MIN(AF57:$BL57)&gt;0,1,0)</f>
        <v/>
      </c>
      <c r="AG70" s="23">
        <f>IF(MIN(AG57:$BL57)&gt;0,1,0)</f>
        <v/>
      </c>
      <c r="AH70" s="23">
        <f>IF(MIN(AH57:$BL57)&gt;0,1,0)</f>
        <v/>
      </c>
      <c r="AI70" s="23">
        <f>IF(MIN(AI57:$BL57)&gt;0,1,0)</f>
        <v/>
      </c>
      <c r="AJ70" s="23">
        <f>IF(MIN(AJ57:$BL57)&gt;0,1,0)</f>
        <v/>
      </c>
      <c r="AK70" s="23">
        <f>IF(MIN(AK57:$BL57)&gt;0,1,0)</f>
        <v/>
      </c>
      <c r="AL70" s="23">
        <f>IF(MIN(AL57:$BL57)&gt;0,1,0)</f>
        <v/>
      </c>
      <c r="AM70" s="23">
        <f>IF(MIN(AM57:$BL57)&gt;0,1,0)</f>
        <v/>
      </c>
      <c r="AN70" s="23">
        <f>IF(MIN(AN57:$BL57)&gt;0,1,0)</f>
        <v/>
      </c>
      <c r="AO70" s="23">
        <f>IF(MIN(AO57:$BL57)&gt;0,1,0)</f>
        <v/>
      </c>
      <c r="AP70" s="23">
        <f>IF(MIN(AP57:$BL57)&gt;0,1,0)</f>
        <v/>
      </c>
      <c r="AQ70" s="23">
        <f>IF(MIN(AQ57:$BL57)&gt;0,1,0)</f>
        <v/>
      </c>
      <c r="AR70" s="23">
        <f>IF(MIN(AR57:$BL57)&gt;0,1,0)</f>
        <v/>
      </c>
      <c r="AS70" s="23">
        <f>IF(MIN(AS57:$BL57)&gt;0,1,0)</f>
        <v/>
      </c>
      <c r="AT70" s="23">
        <f>IF(MIN(AT57:$BL57)&gt;0,1,0)</f>
        <v/>
      </c>
      <c r="AU70" s="23">
        <f>IF(MIN(AU57:$BL57)&gt;0,1,0)</f>
        <v/>
      </c>
      <c r="AV70" s="23">
        <f>IF(MIN(AV57:$BL57)&gt;0,1,0)</f>
        <v/>
      </c>
      <c r="AW70" s="23">
        <f>IF(MIN(AW57:$BL57)&gt;0,1,0)</f>
        <v/>
      </c>
      <c r="AX70" s="23">
        <f>IF(MIN(AX57:$BL57)&gt;0,1,0)</f>
        <v/>
      </c>
      <c r="AY70" s="23">
        <f>IF(MIN(AY57:$BL57)&gt;0,1,0)</f>
        <v/>
      </c>
      <c r="AZ70" s="23">
        <f>IF(MIN(AZ57:$BL57)&gt;0,1,0)</f>
        <v/>
      </c>
      <c r="BA70" s="23">
        <f>IF(MIN(BA57:$BL57)&gt;0,1,0)</f>
        <v/>
      </c>
      <c r="BB70" s="23">
        <f>IF(MIN(BB57:$BL57)&gt;0,1,0)</f>
        <v/>
      </c>
      <c r="BC70" s="23">
        <f>IF(MIN(BC57:$BL57)&gt;0,1,0)</f>
        <v/>
      </c>
      <c r="BD70" s="23">
        <f>IF(MIN(BD57:$BL57)&gt;0,1,0)</f>
        <v/>
      </c>
      <c r="BE70" s="23">
        <f>IF(MIN(BE57:$BL57)&gt;0,1,0)</f>
        <v/>
      </c>
      <c r="BF70" s="23">
        <f>IF(MIN(BF57:$BL57)&gt;0,1,0)</f>
        <v/>
      </c>
      <c r="BG70" s="23">
        <f>IF(MIN(BG57:$BL57)&gt;0,1,0)</f>
        <v/>
      </c>
      <c r="BH70" s="23">
        <f>IF(MIN(BH57:$BL57)&gt;0,1,0)</f>
        <v/>
      </c>
      <c r="BI70" s="23">
        <f>IF(MIN(BI57:$BL57)&gt;0,1,0)</f>
        <v/>
      </c>
      <c r="BJ70" s="23">
        <f>IF(MIN(BJ57:$BL57)&gt;0,1,0)</f>
        <v/>
      </c>
      <c r="BK70" s="23">
        <f>IF(MIN(BK57:$BL57)&gt;0,1,0)</f>
        <v/>
      </c>
      <c r="BL70" s="23">
        <f>IF(MIN(BL57:$BL57)&gt;0,1,0)</f>
        <v/>
      </c>
    </row>
    <row r="71">
      <c r="A71" s="98" t="inlineStr">
        <is>
          <t>Equity top-up needed this month (1 = yes; above LCY 1, ignoring rounding residue)</t>
        </is>
      </c>
      <c r="B71" s="65" t="inlineStr">
        <is>
          <t>flag</t>
        </is>
      </c>
      <c r="E71" s="23">
        <f>IF(E64&gt;1,1,0)</f>
        <v/>
      </c>
      <c r="F71" s="23">
        <f>IF(F64&gt;1,1,0)</f>
        <v/>
      </c>
      <c r="G71" s="23">
        <f>IF(G64&gt;1,1,0)</f>
        <v/>
      </c>
      <c r="H71" s="23">
        <f>IF(H64&gt;1,1,0)</f>
        <v/>
      </c>
      <c r="I71" s="23">
        <f>IF(I64&gt;1,1,0)</f>
        <v/>
      </c>
      <c r="J71" s="23">
        <f>IF(J64&gt;1,1,0)</f>
        <v/>
      </c>
      <c r="K71" s="23">
        <f>IF(K64&gt;1,1,0)</f>
        <v/>
      </c>
      <c r="L71" s="23">
        <f>IF(L64&gt;1,1,0)</f>
        <v/>
      </c>
      <c r="M71" s="23">
        <f>IF(M64&gt;1,1,0)</f>
        <v/>
      </c>
      <c r="N71" s="23">
        <f>IF(N64&gt;1,1,0)</f>
        <v/>
      </c>
      <c r="O71" s="23">
        <f>IF(O64&gt;1,1,0)</f>
        <v/>
      </c>
      <c r="P71" s="23">
        <f>IF(P64&gt;1,1,0)</f>
        <v/>
      </c>
      <c r="Q71" s="23">
        <f>IF(Q64&gt;1,1,0)</f>
        <v/>
      </c>
      <c r="R71" s="23">
        <f>IF(R64&gt;1,1,0)</f>
        <v/>
      </c>
      <c r="S71" s="23">
        <f>IF(S64&gt;1,1,0)</f>
        <v/>
      </c>
      <c r="T71" s="23">
        <f>IF(T64&gt;1,1,0)</f>
        <v/>
      </c>
      <c r="U71" s="23">
        <f>IF(U64&gt;1,1,0)</f>
        <v/>
      </c>
      <c r="V71" s="23">
        <f>IF(V64&gt;1,1,0)</f>
        <v/>
      </c>
      <c r="W71" s="23">
        <f>IF(W64&gt;1,1,0)</f>
        <v/>
      </c>
      <c r="X71" s="23">
        <f>IF(X64&gt;1,1,0)</f>
        <v/>
      </c>
      <c r="Y71" s="23">
        <f>IF(Y64&gt;1,1,0)</f>
        <v/>
      </c>
      <c r="Z71" s="23">
        <f>IF(Z64&gt;1,1,0)</f>
        <v/>
      </c>
      <c r="AA71" s="23">
        <f>IF(AA64&gt;1,1,0)</f>
        <v/>
      </c>
      <c r="AB71" s="23">
        <f>IF(AB64&gt;1,1,0)</f>
        <v/>
      </c>
      <c r="AC71" s="23">
        <f>IF(AC64&gt;1,1,0)</f>
        <v/>
      </c>
      <c r="AD71" s="23">
        <f>IF(AD64&gt;1,1,0)</f>
        <v/>
      </c>
      <c r="AE71" s="23">
        <f>IF(AE64&gt;1,1,0)</f>
        <v/>
      </c>
      <c r="AF71" s="23">
        <f>IF(AF64&gt;1,1,0)</f>
        <v/>
      </c>
      <c r="AG71" s="23">
        <f>IF(AG64&gt;1,1,0)</f>
        <v/>
      </c>
      <c r="AH71" s="23">
        <f>IF(AH64&gt;1,1,0)</f>
        <v/>
      </c>
      <c r="AI71" s="23">
        <f>IF(AI64&gt;1,1,0)</f>
        <v/>
      </c>
      <c r="AJ71" s="23">
        <f>IF(AJ64&gt;1,1,0)</f>
        <v/>
      </c>
      <c r="AK71" s="23">
        <f>IF(AK64&gt;1,1,0)</f>
        <v/>
      </c>
      <c r="AL71" s="23">
        <f>IF(AL64&gt;1,1,0)</f>
        <v/>
      </c>
      <c r="AM71" s="23">
        <f>IF(AM64&gt;1,1,0)</f>
        <v/>
      </c>
      <c r="AN71" s="23">
        <f>IF(AN64&gt;1,1,0)</f>
        <v/>
      </c>
      <c r="AO71" s="23">
        <f>IF(AO64&gt;1,1,0)</f>
        <v/>
      </c>
      <c r="AP71" s="23">
        <f>IF(AP64&gt;1,1,0)</f>
        <v/>
      </c>
      <c r="AQ71" s="23">
        <f>IF(AQ64&gt;1,1,0)</f>
        <v/>
      </c>
      <c r="AR71" s="23">
        <f>IF(AR64&gt;1,1,0)</f>
        <v/>
      </c>
      <c r="AS71" s="23">
        <f>IF(AS64&gt;1,1,0)</f>
        <v/>
      </c>
      <c r="AT71" s="23">
        <f>IF(AT64&gt;1,1,0)</f>
        <v/>
      </c>
      <c r="AU71" s="23">
        <f>IF(AU64&gt;1,1,0)</f>
        <v/>
      </c>
      <c r="AV71" s="23">
        <f>IF(AV64&gt;1,1,0)</f>
        <v/>
      </c>
      <c r="AW71" s="23">
        <f>IF(AW64&gt;1,1,0)</f>
        <v/>
      </c>
      <c r="AX71" s="23">
        <f>IF(AX64&gt;1,1,0)</f>
        <v/>
      </c>
      <c r="AY71" s="23">
        <f>IF(AY64&gt;1,1,0)</f>
        <v/>
      </c>
      <c r="AZ71" s="23">
        <f>IF(AZ64&gt;1,1,0)</f>
        <v/>
      </c>
      <c r="BA71" s="23">
        <f>IF(BA64&gt;1,1,0)</f>
        <v/>
      </c>
      <c r="BB71" s="23">
        <f>IF(BB64&gt;1,1,0)</f>
        <v/>
      </c>
      <c r="BC71" s="23">
        <f>IF(BC64&gt;1,1,0)</f>
        <v/>
      </c>
      <c r="BD71" s="23">
        <f>IF(BD64&gt;1,1,0)</f>
        <v/>
      </c>
      <c r="BE71" s="23">
        <f>IF(BE64&gt;1,1,0)</f>
        <v/>
      </c>
      <c r="BF71" s="23">
        <f>IF(BF64&gt;1,1,0)</f>
        <v/>
      </c>
      <c r="BG71" s="23">
        <f>IF(BG64&gt;1,1,0)</f>
        <v/>
      </c>
      <c r="BH71" s="23">
        <f>IF(BH64&gt;1,1,0)</f>
        <v/>
      </c>
      <c r="BI71" s="23">
        <f>IF(BI64&gt;1,1,0)</f>
        <v/>
      </c>
      <c r="BJ71" s="23">
        <f>IF(BJ64&gt;1,1,0)</f>
        <v/>
      </c>
      <c r="BK71" s="23">
        <f>IF(BK64&gt;1,1,0)</f>
        <v/>
      </c>
      <c r="BL71" s="23">
        <f>IF(BL64&gt;1,1,0)</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BL163"/>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Operations &amp; PAYGo portfolio</t>
        </is>
      </c>
    </row>
    <row r="2">
      <c r="A2" s="18" t="inlineStr">
        <is>
          <t>[FORECAST]  By tier, then total. LCY unless stated.</t>
        </is>
      </c>
    </row>
    <row r="3"/>
    <row r="4">
      <c r="A4" s="94" t="inlineStr">
        <is>
          <t>Month #</t>
        </is>
      </c>
      <c r="B4" s="95" t="n"/>
      <c r="C4" s="95" t="n"/>
      <c r="D4" s="94" t="inlineStr">
        <is>
          <t>Opening</t>
        </is>
      </c>
      <c r="E4" s="96">
        <f>Timeline!E4</f>
        <v/>
      </c>
      <c r="F4" s="96">
        <f>Timeline!F4</f>
        <v/>
      </c>
      <c r="G4" s="96">
        <f>Timeline!G4</f>
        <v/>
      </c>
      <c r="H4" s="96">
        <f>Timeline!H4</f>
        <v/>
      </c>
      <c r="I4" s="96">
        <f>Timeline!I4</f>
        <v/>
      </c>
      <c r="J4" s="96">
        <f>Timeline!J4</f>
        <v/>
      </c>
      <c r="K4" s="96">
        <f>Timeline!K4</f>
        <v/>
      </c>
      <c r="L4" s="96">
        <f>Timeline!L4</f>
        <v/>
      </c>
      <c r="M4" s="96">
        <f>Timeline!M4</f>
        <v/>
      </c>
      <c r="N4" s="96">
        <f>Timeline!N4</f>
        <v/>
      </c>
      <c r="O4" s="96">
        <f>Timeline!O4</f>
        <v/>
      </c>
      <c r="P4" s="96">
        <f>Timeline!P4</f>
        <v/>
      </c>
      <c r="Q4" s="96">
        <f>Timeline!Q4</f>
        <v/>
      </c>
      <c r="R4" s="96">
        <f>Timeline!R4</f>
        <v/>
      </c>
      <c r="S4" s="96">
        <f>Timeline!S4</f>
        <v/>
      </c>
      <c r="T4" s="96">
        <f>Timeline!T4</f>
        <v/>
      </c>
      <c r="U4" s="96">
        <f>Timeline!U4</f>
        <v/>
      </c>
      <c r="V4" s="96">
        <f>Timeline!V4</f>
        <v/>
      </c>
      <c r="W4" s="96">
        <f>Timeline!W4</f>
        <v/>
      </c>
      <c r="X4" s="96">
        <f>Timeline!X4</f>
        <v/>
      </c>
      <c r="Y4" s="96">
        <f>Timeline!Y4</f>
        <v/>
      </c>
      <c r="Z4" s="96">
        <f>Timeline!Z4</f>
        <v/>
      </c>
      <c r="AA4" s="96">
        <f>Timeline!AA4</f>
        <v/>
      </c>
      <c r="AB4" s="96">
        <f>Timeline!AB4</f>
        <v/>
      </c>
      <c r="AC4" s="96">
        <f>Timeline!AC4</f>
        <v/>
      </c>
      <c r="AD4" s="96">
        <f>Timeline!AD4</f>
        <v/>
      </c>
      <c r="AE4" s="96">
        <f>Timeline!AE4</f>
        <v/>
      </c>
      <c r="AF4" s="96">
        <f>Timeline!AF4</f>
        <v/>
      </c>
      <c r="AG4" s="96">
        <f>Timeline!AG4</f>
        <v/>
      </c>
      <c r="AH4" s="96">
        <f>Timeline!AH4</f>
        <v/>
      </c>
      <c r="AI4" s="96">
        <f>Timeline!AI4</f>
        <v/>
      </c>
      <c r="AJ4" s="96">
        <f>Timeline!AJ4</f>
        <v/>
      </c>
      <c r="AK4" s="96">
        <f>Timeline!AK4</f>
        <v/>
      </c>
      <c r="AL4" s="96">
        <f>Timeline!AL4</f>
        <v/>
      </c>
      <c r="AM4" s="96">
        <f>Timeline!AM4</f>
        <v/>
      </c>
      <c r="AN4" s="96">
        <f>Timeline!AN4</f>
        <v/>
      </c>
      <c r="AO4" s="96">
        <f>Timeline!AO4</f>
        <v/>
      </c>
      <c r="AP4" s="96">
        <f>Timeline!AP4</f>
        <v/>
      </c>
      <c r="AQ4" s="96">
        <f>Timeline!AQ4</f>
        <v/>
      </c>
      <c r="AR4" s="96">
        <f>Timeline!AR4</f>
        <v/>
      </c>
      <c r="AS4" s="96">
        <f>Timeline!AS4</f>
        <v/>
      </c>
      <c r="AT4" s="96">
        <f>Timeline!AT4</f>
        <v/>
      </c>
      <c r="AU4" s="96">
        <f>Timeline!AU4</f>
        <v/>
      </c>
      <c r="AV4" s="96">
        <f>Timeline!AV4</f>
        <v/>
      </c>
      <c r="AW4" s="96">
        <f>Timeline!AW4</f>
        <v/>
      </c>
      <c r="AX4" s="96">
        <f>Timeline!AX4</f>
        <v/>
      </c>
      <c r="AY4" s="96">
        <f>Timeline!AY4</f>
        <v/>
      </c>
      <c r="AZ4" s="96">
        <f>Timeline!AZ4</f>
        <v/>
      </c>
      <c r="BA4" s="96">
        <f>Timeline!BA4</f>
        <v/>
      </c>
      <c r="BB4" s="96">
        <f>Timeline!BB4</f>
        <v/>
      </c>
      <c r="BC4" s="96">
        <f>Timeline!BC4</f>
        <v/>
      </c>
      <c r="BD4" s="96">
        <f>Timeline!BD4</f>
        <v/>
      </c>
      <c r="BE4" s="96">
        <f>Timeline!BE4</f>
        <v/>
      </c>
      <c r="BF4" s="96">
        <f>Timeline!BF4</f>
        <v/>
      </c>
      <c r="BG4" s="96">
        <f>Timeline!BG4</f>
        <v/>
      </c>
      <c r="BH4" s="96">
        <f>Timeline!BH4</f>
        <v/>
      </c>
      <c r="BI4" s="96">
        <f>Timeline!BI4</f>
        <v/>
      </c>
      <c r="BJ4" s="96">
        <f>Timeline!BJ4</f>
        <v/>
      </c>
      <c r="BK4" s="96">
        <f>Timeline!BK4</f>
        <v/>
      </c>
      <c r="BL4" s="96">
        <f>Timeline!BL4</f>
        <v/>
      </c>
    </row>
    <row r="5">
      <c r="A5" s="94" t="inlineStr">
        <is>
          <t>Period end</t>
        </is>
      </c>
      <c r="B5" s="95" t="n"/>
      <c r="C5" s="95" t="n"/>
      <c r="D5" s="94" t="n"/>
      <c r="E5" s="97">
        <f>Timeline!E5</f>
        <v/>
      </c>
      <c r="F5" s="97">
        <f>Timeline!F5</f>
        <v/>
      </c>
      <c r="G5" s="97">
        <f>Timeline!G5</f>
        <v/>
      </c>
      <c r="H5" s="97">
        <f>Timeline!H5</f>
        <v/>
      </c>
      <c r="I5" s="97">
        <f>Timeline!I5</f>
        <v/>
      </c>
      <c r="J5" s="97">
        <f>Timeline!J5</f>
        <v/>
      </c>
      <c r="K5" s="97">
        <f>Timeline!K5</f>
        <v/>
      </c>
      <c r="L5" s="97">
        <f>Timeline!L5</f>
        <v/>
      </c>
      <c r="M5" s="97">
        <f>Timeline!M5</f>
        <v/>
      </c>
      <c r="N5" s="97">
        <f>Timeline!N5</f>
        <v/>
      </c>
      <c r="O5" s="97">
        <f>Timeline!O5</f>
        <v/>
      </c>
      <c r="P5" s="97">
        <f>Timeline!P5</f>
        <v/>
      </c>
      <c r="Q5" s="97">
        <f>Timeline!Q5</f>
        <v/>
      </c>
      <c r="R5" s="97">
        <f>Timeline!R5</f>
        <v/>
      </c>
      <c r="S5" s="97">
        <f>Timeline!S5</f>
        <v/>
      </c>
      <c r="T5" s="97">
        <f>Timeline!T5</f>
        <v/>
      </c>
      <c r="U5" s="97">
        <f>Timeline!U5</f>
        <v/>
      </c>
      <c r="V5" s="97">
        <f>Timeline!V5</f>
        <v/>
      </c>
      <c r="W5" s="97">
        <f>Timeline!W5</f>
        <v/>
      </c>
      <c r="X5" s="97">
        <f>Timeline!X5</f>
        <v/>
      </c>
      <c r="Y5" s="97">
        <f>Timeline!Y5</f>
        <v/>
      </c>
      <c r="Z5" s="97">
        <f>Timeline!Z5</f>
        <v/>
      </c>
      <c r="AA5" s="97">
        <f>Timeline!AA5</f>
        <v/>
      </c>
      <c r="AB5" s="97">
        <f>Timeline!AB5</f>
        <v/>
      </c>
      <c r="AC5" s="97">
        <f>Timeline!AC5</f>
        <v/>
      </c>
      <c r="AD5" s="97">
        <f>Timeline!AD5</f>
        <v/>
      </c>
      <c r="AE5" s="97">
        <f>Timeline!AE5</f>
        <v/>
      </c>
      <c r="AF5" s="97">
        <f>Timeline!AF5</f>
        <v/>
      </c>
      <c r="AG5" s="97">
        <f>Timeline!AG5</f>
        <v/>
      </c>
      <c r="AH5" s="97">
        <f>Timeline!AH5</f>
        <v/>
      </c>
      <c r="AI5" s="97">
        <f>Timeline!AI5</f>
        <v/>
      </c>
      <c r="AJ5" s="97">
        <f>Timeline!AJ5</f>
        <v/>
      </c>
      <c r="AK5" s="97">
        <f>Timeline!AK5</f>
        <v/>
      </c>
      <c r="AL5" s="97">
        <f>Timeline!AL5</f>
        <v/>
      </c>
      <c r="AM5" s="97">
        <f>Timeline!AM5</f>
        <v/>
      </c>
      <c r="AN5" s="97">
        <f>Timeline!AN5</f>
        <v/>
      </c>
      <c r="AO5" s="97">
        <f>Timeline!AO5</f>
        <v/>
      </c>
      <c r="AP5" s="97">
        <f>Timeline!AP5</f>
        <v/>
      </c>
      <c r="AQ5" s="97">
        <f>Timeline!AQ5</f>
        <v/>
      </c>
      <c r="AR5" s="97">
        <f>Timeline!AR5</f>
        <v/>
      </c>
      <c r="AS5" s="97">
        <f>Timeline!AS5</f>
        <v/>
      </c>
      <c r="AT5" s="97">
        <f>Timeline!AT5</f>
        <v/>
      </c>
      <c r="AU5" s="97">
        <f>Timeline!AU5</f>
        <v/>
      </c>
      <c r="AV5" s="97">
        <f>Timeline!AV5</f>
        <v/>
      </c>
      <c r="AW5" s="97">
        <f>Timeline!AW5</f>
        <v/>
      </c>
      <c r="AX5" s="97">
        <f>Timeline!AX5</f>
        <v/>
      </c>
      <c r="AY5" s="97">
        <f>Timeline!AY5</f>
        <v/>
      </c>
      <c r="AZ5" s="97">
        <f>Timeline!AZ5</f>
        <v/>
      </c>
      <c r="BA5" s="97">
        <f>Timeline!BA5</f>
        <v/>
      </c>
      <c r="BB5" s="97">
        <f>Timeline!BB5</f>
        <v/>
      </c>
      <c r="BC5" s="97">
        <f>Timeline!BC5</f>
        <v/>
      </c>
      <c r="BD5" s="97">
        <f>Timeline!BD5</f>
        <v/>
      </c>
      <c r="BE5" s="97">
        <f>Timeline!BE5</f>
        <v/>
      </c>
      <c r="BF5" s="97">
        <f>Timeline!BF5</f>
        <v/>
      </c>
      <c r="BG5" s="97">
        <f>Timeline!BG5</f>
        <v/>
      </c>
      <c r="BH5" s="97">
        <f>Timeline!BH5</f>
        <v/>
      </c>
      <c r="BI5" s="97">
        <f>Timeline!BI5</f>
        <v/>
      </c>
      <c r="BJ5" s="97">
        <f>Timeline!BJ5</f>
        <v/>
      </c>
      <c r="BK5" s="97">
        <f>Timeline!BK5</f>
        <v/>
      </c>
      <c r="BL5" s="97">
        <f>Timeline!BL5</f>
        <v/>
      </c>
    </row>
    <row r="6">
      <c r="A6" s="94" t="inlineStr">
        <is>
          <t>Year #</t>
        </is>
      </c>
      <c r="B6" s="95" t="n"/>
      <c r="C6" s="95" t="n"/>
      <c r="D6" s="94" t="n"/>
      <c r="E6" s="96">
        <f>Timeline!E6</f>
        <v/>
      </c>
      <c r="F6" s="96">
        <f>Timeline!F6</f>
        <v/>
      </c>
      <c r="G6" s="96">
        <f>Timeline!G6</f>
        <v/>
      </c>
      <c r="H6" s="96">
        <f>Timeline!H6</f>
        <v/>
      </c>
      <c r="I6" s="96">
        <f>Timeline!I6</f>
        <v/>
      </c>
      <c r="J6" s="96">
        <f>Timeline!J6</f>
        <v/>
      </c>
      <c r="K6" s="96">
        <f>Timeline!K6</f>
        <v/>
      </c>
      <c r="L6" s="96">
        <f>Timeline!L6</f>
        <v/>
      </c>
      <c r="M6" s="96">
        <f>Timeline!M6</f>
        <v/>
      </c>
      <c r="N6" s="96">
        <f>Timeline!N6</f>
        <v/>
      </c>
      <c r="O6" s="96">
        <f>Timeline!O6</f>
        <v/>
      </c>
      <c r="P6" s="96">
        <f>Timeline!P6</f>
        <v/>
      </c>
      <c r="Q6" s="96">
        <f>Timeline!Q6</f>
        <v/>
      </c>
      <c r="R6" s="96">
        <f>Timeline!R6</f>
        <v/>
      </c>
      <c r="S6" s="96">
        <f>Timeline!S6</f>
        <v/>
      </c>
      <c r="T6" s="96">
        <f>Timeline!T6</f>
        <v/>
      </c>
      <c r="U6" s="96">
        <f>Timeline!U6</f>
        <v/>
      </c>
      <c r="V6" s="96">
        <f>Timeline!V6</f>
        <v/>
      </c>
      <c r="W6" s="96">
        <f>Timeline!W6</f>
        <v/>
      </c>
      <c r="X6" s="96">
        <f>Timeline!X6</f>
        <v/>
      </c>
      <c r="Y6" s="96">
        <f>Timeline!Y6</f>
        <v/>
      </c>
      <c r="Z6" s="96">
        <f>Timeline!Z6</f>
        <v/>
      </c>
      <c r="AA6" s="96">
        <f>Timeline!AA6</f>
        <v/>
      </c>
      <c r="AB6" s="96">
        <f>Timeline!AB6</f>
        <v/>
      </c>
      <c r="AC6" s="96">
        <f>Timeline!AC6</f>
        <v/>
      </c>
      <c r="AD6" s="96">
        <f>Timeline!AD6</f>
        <v/>
      </c>
      <c r="AE6" s="96">
        <f>Timeline!AE6</f>
        <v/>
      </c>
      <c r="AF6" s="96">
        <f>Timeline!AF6</f>
        <v/>
      </c>
      <c r="AG6" s="96">
        <f>Timeline!AG6</f>
        <v/>
      </c>
      <c r="AH6" s="96">
        <f>Timeline!AH6</f>
        <v/>
      </c>
      <c r="AI6" s="96">
        <f>Timeline!AI6</f>
        <v/>
      </c>
      <c r="AJ6" s="96">
        <f>Timeline!AJ6</f>
        <v/>
      </c>
      <c r="AK6" s="96">
        <f>Timeline!AK6</f>
        <v/>
      </c>
      <c r="AL6" s="96">
        <f>Timeline!AL6</f>
        <v/>
      </c>
      <c r="AM6" s="96">
        <f>Timeline!AM6</f>
        <v/>
      </c>
      <c r="AN6" s="96">
        <f>Timeline!AN6</f>
        <v/>
      </c>
      <c r="AO6" s="96">
        <f>Timeline!AO6</f>
        <v/>
      </c>
      <c r="AP6" s="96">
        <f>Timeline!AP6</f>
        <v/>
      </c>
      <c r="AQ6" s="96">
        <f>Timeline!AQ6</f>
        <v/>
      </c>
      <c r="AR6" s="96">
        <f>Timeline!AR6</f>
        <v/>
      </c>
      <c r="AS6" s="96">
        <f>Timeline!AS6</f>
        <v/>
      </c>
      <c r="AT6" s="96">
        <f>Timeline!AT6</f>
        <v/>
      </c>
      <c r="AU6" s="96">
        <f>Timeline!AU6</f>
        <v/>
      </c>
      <c r="AV6" s="96">
        <f>Timeline!AV6</f>
        <v/>
      </c>
      <c r="AW6" s="96">
        <f>Timeline!AW6</f>
        <v/>
      </c>
      <c r="AX6" s="96">
        <f>Timeline!AX6</f>
        <v/>
      </c>
      <c r="AY6" s="96">
        <f>Timeline!AY6</f>
        <v/>
      </c>
      <c r="AZ6" s="96">
        <f>Timeline!AZ6</f>
        <v/>
      </c>
      <c r="BA6" s="96">
        <f>Timeline!BA6</f>
        <v/>
      </c>
      <c r="BB6" s="96">
        <f>Timeline!BB6</f>
        <v/>
      </c>
      <c r="BC6" s="96">
        <f>Timeline!BC6</f>
        <v/>
      </c>
      <c r="BD6" s="96">
        <f>Timeline!BD6</f>
        <v/>
      </c>
      <c r="BE6" s="96">
        <f>Timeline!BE6</f>
        <v/>
      </c>
      <c r="BF6" s="96">
        <f>Timeline!BF6</f>
        <v/>
      </c>
      <c r="BG6" s="96">
        <f>Timeline!BG6</f>
        <v/>
      </c>
      <c r="BH6" s="96">
        <f>Timeline!BH6</f>
        <v/>
      </c>
      <c r="BI6" s="96">
        <f>Timeline!BI6</f>
        <v/>
      </c>
      <c r="BJ6" s="96">
        <f>Timeline!BJ6</f>
        <v/>
      </c>
      <c r="BK6" s="96">
        <f>Timeline!BK6</f>
        <v/>
      </c>
      <c r="BL6" s="96">
        <f>Timeline!BL6</f>
        <v/>
      </c>
    </row>
    <row r="7"/>
    <row r="8">
      <c r="A8" s="21">
        <f>Products!$C$6</f>
        <v/>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98" t="inlineStr">
        <is>
          <t>Units sold</t>
        </is>
      </c>
      <c r="B9" s="65" t="inlineStr">
        <is>
          <t>units</t>
        </is>
      </c>
      <c r="C9" s="105">
        <f>SUM(E9:BL9)</f>
        <v/>
      </c>
      <c r="E9" s="80">
        <f>Timeline!E$11*Products!$C$23</f>
        <v/>
      </c>
      <c r="F9" s="80">
        <f>Timeline!F$11*Products!$C$23</f>
        <v/>
      </c>
      <c r="G9" s="80">
        <f>Timeline!G$11*Products!$C$23</f>
        <v/>
      </c>
      <c r="H9" s="80">
        <f>Timeline!H$11*Products!$C$23</f>
        <v/>
      </c>
      <c r="I9" s="80">
        <f>Timeline!I$11*Products!$C$23</f>
        <v/>
      </c>
      <c r="J9" s="80">
        <f>Timeline!J$11*Products!$C$23</f>
        <v/>
      </c>
      <c r="K9" s="80">
        <f>Timeline!K$11*Products!$C$23</f>
        <v/>
      </c>
      <c r="L9" s="80">
        <f>Timeline!L$11*Products!$C$23</f>
        <v/>
      </c>
      <c r="M9" s="80">
        <f>Timeline!M$11*Products!$C$23</f>
        <v/>
      </c>
      <c r="N9" s="80">
        <f>Timeline!N$11*Products!$C$23</f>
        <v/>
      </c>
      <c r="O9" s="80">
        <f>Timeline!O$11*Products!$C$23</f>
        <v/>
      </c>
      <c r="P9" s="80">
        <f>Timeline!P$11*Products!$C$23</f>
        <v/>
      </c>
      <c r="Q9" s="80">
        <f>Timeline!Q$11*Products!$C$23</f>
        <v/>
      </c>
      <c r="R9" s="80">
        <f>Timeline!R$11*Products!$C$23</f>
        <v/>
      </c>
      <c r="S9" s="80">
        <f>Timeline!S$11*Products!$C$23</f>
        <v/>
      </c>
      <c r="T9" s="80">
        <f>Timeline!T$11*Products!$C$23</f>
        <v/>
      </c>
      <c r="U9" s="80">
        <f>Timeline!U$11*Products!$C$23</f>
        <v/>
      </c>
      <c r="V9" s="80">
        <f>Timeline!V$11*Products!$C$23</f>
        <v/>
      </c>
      <c r="W9" s="80">
        <f>Timeline!W$11*Products!$C$23</f>
        <v/>
      </c>
      <c r="X9" s="80">
        <f>Timeline!X$11*Products!$C$23</f>
        <v/>
      </c>
      <c r="Y9" s="80">
        <f>Timeline!Y$11*Products!$C$23</f>
        <v/>
      </c>
      <c r="Z9" s="80">
        <f>Timeline!Z$11*Products!$C$23</f>
        <v/>
      </c>
      <c r="AA9" s="80">
        <f>Timeline!AA$11*Products!$C$23</f>
        <v/>
      </c>
      <c r="AB9" s="80">
        <f>Timeline!AB$11*Products!$C$23</f>
        <v/>
      </c>
      <c r="AC9" s="80">
        <f>Timeline!AC$11*Products!$C$23</f>
        <v/>
      </c>
      <c r="AD9" s="80">
        <f>Timeline!AD$11*Products!$C$23</f>
        <v/>
      </c>
      <c r="AE9" s="80">
        <f>Timeline!AE$11*Products!$C$23</f>
        <v/>
      </c>
      <c r="AF9" s="80">
        <f>Timeline!AF$11*Products!$C$23</f>
        <v/>
      </c>
      <c r="AG9" s="80">
        <f>Timeline!AG$11*Products!$C$23</f>
        <v/>
      </c>
      <c r="AH9" s="80">
        <f>Timeline!AH$11*Products!$C$23</f>
        <v/>
      </c>
      <c r="AI9" s="80">
        <f>Timeline!AI$11*Products!$C$23</f>
        <v/>
      </c>
      <c r="AJ9" s="80">
        <f>Timeline!AJ$11*Products!$C$23</f>
        <v/>
      </c>
      <c r="AK9" s="80">
        <f>Timeline!AK$11*Products!$C$23</f>
        <v/>
      </c>
      <c r="AL9" s="80">
        <f>Timeline!AL$11*Products!$C$23</f>
        <v/>
      </c>
      <c r="AM9" s="80">
        <f>Timeline!AM$11*Products!$C$23</f>
        <v/>
      </c>
      <c r="AN9" s="80">
        <f>Timeline!AN$11*Products!$C$23</f>
        <v/>
      </c>
      <c r="AO9" s="80">
        <f>Timeline!AO$11*Products!$C$23</f>
        <v/>
      </c>
      <c r="AP9" s="80">
        <f>Timeline!AP$11*Products!$C$23</f>
        <v/>
      </c>
      <c r="AQ9" s="80">
        <f>Timeline!AQ$11*Products!$C$23</f>
        <v/>
      </c>
      <c r="AR9" s="80">
        <f>Timeline!AR$11*Products!$C$23</f>
        <v/>
      </c>
      <c r="AS9" s="80">
        <f>Timeline!AS$11*Products!$C$23</f>
        <v/>
      </c>
      <c r="AT9" s="80">
        <f>Timeline!AT$11*Products!$C$23</f>
        <v/>
      </c>
      <c r="AU9" s="80">
        <f>Timeline!AU$11*Products!$C$23</f>
        <v/>
      </c>
      <c r="AV9" s="80">
        <f>Timeline!AV$11*Products!$C$23</f>
        <v/>
      </c>
      <c r="AW9" s="80">
        <f>Timeline!AW$11*Products!$C$23</f>
        <v/>
      </c>
      <c r="AX9" s="80">
        <f>Timeline!AX$11*Products!$C$23</f>
        <v/>
      </c>
      <c r="AY9" s="80">
        <f>Timeline!AY$11*Products!$C$23</f>
        <v/>
      </c>
      <c r="AZ9" s="80">
        <f>Timeline!AZ$11*Products!$C$23</f>
        <v/>
      </c>
      <c r="BA9" s="80">
        <f>Timeline!BA$11*Products!$C$23</f>
        <v/>
      </c>
      <c r="BB9" s="80">
        <f>Timeline!BB$11*Products!$C$23</f>
        <v/>
      </c>
      <c r="BC9" s="80">
        <f>Timeline!BC$11*Products!$C$23</f>
        <v/>
      </c>
      <c r="BD9" s="80">
        <f>Timeline!BD$11*Products!$C$23</f>
        <v/>
      </c>
      <c r="BE9" s="80">
        <f>Timeline!BE$11*Products!$C$23</f>
        <v/>
      </c>
      <c r="BF9" s="80">
        <f>Timeline!BF$11*Products!$C$23</f>
        <v/>
      </c>
      <c r="BG9" s="80">
        <f>Timeline!BG$11*Products!$C$23</f>
        <v/>
      </c>
      <c r="BH9" s="80">
        <f>Timeline!BH$11*Products!$C$23</f>
        <v/>
      </c>
      <c r="BI9" s="80">
        <f>Timeline!BI$11*Products!$C$23</f>
        <v/>
      </c>
      <c r="BJ9" s="80">
        <f>Timeline!BJ$11*Products!$C$23</f>
        <v/>
      </c>
      <c r="BK9" s="80">
        <f>Timeline!BK$11*Products!$C$23</f>
        <v/>
      </c>
      <c r="BL9" s="80">
        <f>Timeline!BL$11*Products!$C$23</f>
        <v/>
      </c>
    </row>
    <row r="10">
      <c r="A10" s="98" t="inlineStr">
        <is>
          <t>Price-indexed units (units x price index)</t>
        </is>
      </c>
      <c r="B10" s="65" t="inlineStr">
        <is>
          <t>units</t>
        </is>
      </c>
      <c r="C10" s="105">
        <f>SUM(E10:BL10)</f>
        <v/>
      </c>
      <c r="E10" s="80">
        <f>E9*Timeline!E$10</f>
        <v/>
      </c>
      <c r="F10" s="80">
        <f>F9*Timeline!F$10</f>
        <v/>
      </c>
      <c r="G10" s="80">
        <f>G9*Timeline!G$10</f>
        <v/>
      </c>
      <c r="H10" s="80">
        <f>H9*Timeline!H$10</f>
        <v/>
      </c>
      <c r="I10" s="80">
        <f>I9*Timeline!I$10</f>
        <v/>
      </c>
      <c r="J10" s="80">
        <f>J9*Timeline!J$10</f>
        <v/>
      </c>
      <c r="K10" s="80">
        <f>K9*Timeline!K$10</f>
        <v/>
      </c>
      <c r="L10" s="80">
        <f>L9*Timeline!L$10</f>
        <v/>
      </c>
      <c r="M10" s="80">
        <f>M9*Timeline!M$10</f>
        <v/>
      </c>
      <c r="N10" s="80">
        <f>N9*Timeline!N$10</f>
        <v/>
      </c>
      <c r="O10" s="80">
        <f>O9*Timeline!O$10</f>
        <v/>
      </c>
      <c r="P10" s="80">
        <f>P9*Timeline!P$10</f>
        <v/>
      </c>
      <c r="Q10" s="80">
        <f>Q9*Timeline!Q$10</f>
        <v/>
      </c>
      <c r="R10" s="80">
        <f>R9*Timeline!R$10</f>
        <v/>
      </c>
      <c r="S10" s="80">
        <f>S9*Timeline!S$10</f>
        <v/>
      </c>
      <c r="T10" s="80">
        <f>T9*Timeline!T$10</f>
        <v/>
      </c>
      <c r="U10" s="80">
        <f>U9*Timeline!U$10</f>
        <v/>
      </c>
      <c r="V10" s="80">
        <f>V9*Timeline!V$10</f>
        <v/>
      </c>
      <c r="W10" s="80">
        <f>W9*Timeline!W$10</f>
        <v/>
      </c>
      <c r="X10" s="80">
        <f>X9*Timeline!X$10</f>
        <v/>
      </c>
      <c r="Y10" s="80">
        <f>Y9*Timeline!Y$10</f>
        <v/>
      </c>
      <c r="Z10" s="80">
        <f>Z9*Timeline!Z$10</f>
        <v/>
      </c>
      <c r="AA10" s="80">
        <f>AA9*Timeline!AA$10</f>
        <v/>
      </c>
      <c r="AB10" s="80">
        <f>AB9*Timeline!AB$10</f>
        <v/>
      </c>
      <c r="AC10" s="80">
        <f>AC9*Timeline!AC$10</f>
        <v/>
      </c>
      <c r="AD10" s="80">
        <f>AD9*Timeline!AD$10</f>
        <v/>
      </c>
      <c r="AE10" s="80">
        <f>AE9*Timeline!AE$10</f>
        <v/>
      </c>
      <c r="AF10" s="80">
        <f>AF9*Timeline!AF$10</f>
        <v/>
      </c>
      <c r="AG10" s="80">
        <f>AG9*Timeline!AG$10</f>
        <v/>
      </c>
      <c r="AH10" s="80">
        <f>AH9*Timeline!AH$10</f>
        <v/>
      </c>
      <c r="AI10" s="80">
        <f>AI9*Timeline!AI$10</f>
        <v/>
      </c>
      <c r="AJ10" s="80">
        <f>AJ9*Timeline!AJ$10</f>
        <v/>
      </c>
      <c r="AK10" s="80">
        <f>AK9*Timeline!AK$10</f>
        <v/>
      </c>
      <c r="AL10" s="80">
        <f>AL9*Timeline!AL$10</f>
        <v/>
      </c>
      <c r="AM10" s="80">
        <f>AM9*Timeline!AM$10</f>
        <v/>
      </c>
      <c r="AN10" s="80">
        <f>AN9*Timeline!AN$10</f>
        <v/>
      </c>
      <c r="AO10" s="80">
        <f>AO9*Timeline!AO$10</f>
        <v/>
      </c>
      <c r="AP10" s="80">
        <f>AP9*Timeline!AP$10</f>
        <v/>
      </c>
      <c r="AQ10" s="80">
        <f>AQ9*Timeline!AQ$10</f>
        <v/>
      </c>
      <c r="AR10" s="80">
        <f>AR9*Timeline!AR$10</f>
        <v/>
      </c>
      <c r="AS10" s="80">
        <f>AS9*Timeline!AS$10</f>
        <v/>
      </c>
      <c r="AT10" s="80">
        <f>AT9*Timeline!AT$10</f>
        <v/>
      </c>
      <c r="AU10" s="80">
        <f>AU9*Timeline!AU$10</f>
        <v/>
      </c>
      <c r="AV10" s="80">
        <f>AV9*Timeline!AV$10</f>
        <v/>
      </c>
      <c r="AW10" s="80">
        <f>AW9*Timeline!AW$10</f>
        <v/>
      </c>
      <c r="AX10" s="80">
        <f>AX9*Timeline!AX$10</f>
        <v/>
      </c>
      <c r="AY10" s="80">
        <f>AY9*Timeline!AY$10</f>
        <v/>
      </c>
      <c r="AZ10" s="80">
        <f>AZ9*Timeline!AZ$10</f>
        <v/>
      </c>
      <c r="BA10" s="80">
        <f>BA9*Timeline!BA$10</f>
        <v/>
      </c>
      <c r="BB10" s="80">
        <f>BB9*Timeline!BB$10</f>
        <v/>
      </c>
      <c r="BC10" s="80">
        <f>BC9*Timeline!BC$10</f>
        <v/>
      </c>
      <c r="BD10" s="80">
        <f>BD9*Timeline!BD$10</f>
        <v/>
      </c>
      <c r="BE10" s="80">
        <f>BE9*Timeline!BE$10</f>
        <v/>
      </c>
      <c r="BF10" s="80">
        <f>BF9*Timeline!BF$10</f>
        <v/>
      </c>
      <c r="BG10" s="80">
        <f>BG9*Timeline!BG$10</f>
        <v/>
      </c>
      <c r="BH10" s="80">
        <f>BH9*Timeline!BH$10</f>
        <v/>
      </c>
      <c r="BI10" s="80">
        <f>BI9*Timeline!BI$10</f>
        <v/>
      </c>
      <c r="BJ10" s="80">
        <f>BJ9*Timeline!BJ$10</f>
        <v/>
      </c>
      <c r="BK10" s="80">
        <f>BK9*Timeline!BK$10</f>
        <v/>
      </c>
      <c r="BL10" s="80">
        <f>BL9*Timeline!BL$10</f>
        <v/>
      </c>
    </row>
    <row r="11">
      <c r="A11" s="98" t="inlineStr">
        <is>
          <t>Down payments collected</t>
        </is>
      </c>
      <c r="B11" s="65" t="inlineStr">
        <is>
          <t>LCY</t>
        </is>
      </c>
      <c r="C11" s="105">
        <f>SUM(E11:BL11)</f>
        <v/>
      </c>
      <c r="E11" s="80">
        <f>E10*Products!$C$14</f>
        <v/>
      </c>
      <c r="F11" s="80">
        <f>F10*Products!$C$14</f>
        <v/>
      </c>
      <c r="G11" s="80">
        <f>G10*Products!$C$14</f>
        <v/>
      </c>
      <c r="H11" s="80">
        <f>H10*Products!$C$14</f>
        <v/>
      </c>
      <c r="I11" s="80">
        <f>I10*Products!$C$14</f>
        <v/>
      </c>
      <c r="J11" s="80">
        <f>J10*Products!$C$14</f>
        <v/>
      </c>
      <c r="K11" s="80">
        <f>K10*Products!$C$14</f>
        <v/>
      </c>
      <c r="L11" s="80">
        <f>L10*Products!$C$14</f>
        <v/>
      </c>
      <c r="M11" s="80">
        <f>M10*Products!$C$14</f>
        <v/>
      </c>
      <c r="N11" s="80">
        <f>N10*Products!$C$14</f>
        <v/>
      </c>
      <c r="O11" s="80">
        <f>O10*Products!$C$14</f>
        <v/>
      </c>
      <c r="P11" s="80">
        <f>P10*Products!$C$14</f>
        <v/>
      </c>
      <c r="Q11" s="80">
        <f>Q10*Products!$C$14</f>
        <v/>
      </c>
      <c r="R11" s="80">
        <f>R10*Products!$C$14</f>
        <v/>
      </c>
      <c r="S11" s="80">
        <f>S10*Products!$C$14</f>
        <v/>
      </c>
      <c r="T11" s="80">
        <f>T10*Products!$C$14</f>
        <v/>
      </c>
      <c r="U11" s="80">
        <f>U10*Products!$C$14</f>
        <v/>
      </c>
      <c r="V11" s="80">
        <f>V10*Products!$C$14</f>
        <v/>
      </c>
      <c r="W11" s="80">
        <f>W10*Products!$C$14</f>
        <v/>
      </c>
      <c r="X11" s="80">
        <f>X10*Products!$C$14</f>
        <v/>
      </c>
      <c r="Y11" s="80">
        <f>Y10*Products!$C$14</f>
        <v/>
      </c>
      <c r="Z11" s="80">
        <f>Z10*Products!$C$14</f>
        <v/>
      </c>
      <c r="AA11" s="80">
        <f>AA10*Products!$C$14</f>
        <v/>
      </c>
      <c r="AB11" s="80">
        <f>AB10*Products!$C$14</f>
        <v/>
      </c>
      <c r="AC11" s="80">
        <f>AC10*Products!$C$14</f>
        <v/>
      </c>
      <c r="AD11" s="80">
        <f>AD10*Products!$C$14</f>
        <v/>
      </c>
      <c r="AE11" s="80">
        <f>AE10*Products!$C$14</f>
        <v/>
      </c>
      <c r="AF11" s="80">
        <f>AF10*Products!$C$14</f>
        <v/>
      </c>
      <c r="AG11" s="80">
        <f>AG10*Products!$C$14</f>
        <v/>
      </c>
      <c r="AH11" s="80">
        <f>AH10*Products!$C$14</f>
        <v/>
      </c>
      <c r="AI11" s="80">
        <f>AI10*Products!$C$14</f>
        <v/>
      </c>
      <c r="AJ11" s="80">
        <f>AJ10*Products!$C$14</f>
        <v/>
      </c>
      <c r="AK11" s="80">
        <f>AK10*Products!$C$14</f>
        <v/>
      </c>
      <c r="AL11" s="80">
        <f>AL10*Products!$C$14</f>
        <v/>
      </c>
      <c r="AM11" s="80">
        <f>AM10*Products!$C$14</f>
        <v/>
      </c>
      <c r="AN11" s="80">
        <f>AN10*Products!$C$14</f>
        <v/>
      </c>
      <c r="AO11" s="80">
        <f>AO10*Products!$C$14</f>
        <v/>
      </c>
      <c r="AP11" s="80">
        <f>AP10*Products!$C$14</f>
        <v/>
      </c>
      <c r="AQ11" s="80">
        <f>AQ10*Products!$C$14</f>
        <v/>
      </c>
      <c r="AR11" s="80">
        <f>AR10*Products!$C$14</f>
        <v/>
      </c>
      <c r="AS11" s="80">
        <f>AS10*Products!$C$14</f>
        <v/>
      </c>
      <c r="AT11" s="80">
        <f>AT10*Products!$C$14</f>
        <v/>
      </c>
      <c r="AU11" s="80">
        <f>AU10*Products!$C$14</f>
        <v/>
      </c>
      <c r="AV11" s="80">
        <f>AV10*Products!$C$14</f>
        <v/>
      </c>
      <c r="AW11" s="80">
        <f>AW10*Products!$C$14</f>
        <v/>
      </c>
      <c r="AX11" s="80">
        <f>AX10*Products!$C$14</f>
        <v/>
      </c>
      <c r="AY11" s="80">
        <f>AY10*Products!$C$14</f>
        <v/>
      </c>
      <c r="AZ11" s="80">
        <f>AZ10*Products!$C$14</f>
        <v/>
      </c>
      <c r="BA11" s="80">
        <f>BA10*Products!$C$14</f>
        <v/>
      </c>
      <c r="BB11" s="80">
        <f>BB10*Products!$C$14</f>
        <v/>
      </c>
      <c r="BC11" s="80">
        <f>BC10*Products!$C$14</f>
        <v/>
      </c>
      <c r="BD11" s="80">
        <f>BD10*Products!$C$14</f>
        <v/>
      </c>
      <c r="BE11" s="80">
        <f>BE10*Products!$C$14</f>
        <v/>
      </c>
      <c r="BF11" s="80">
        <f>BF10*Products!$C$14</f>
        <v/>
      </c>
      <c r="BG11" s="80">
        <f>BG10*Products!$C$14</f>
        <v/>
      </c>
      <c r="BH11" s="80">
        <f>BH10*Products!$C$14</f>
        <v/>
      </c>
      <c r="BI11" s="80">
        <f>BI10*Products!$C$14</f>
        <v/>
      </c>
      <c r="BJ11" s="80">
        <f>BJ10*Products!$C$14</f>
        <v/>
      </c>
      <c r="BK11" s="80">
        <f>BK10*Products!$C$14</f>
        <v/>
      </c>
      <c r="BL11" s="80">
        <f>BL10*Products!$C$14</f>
        <v/>
      </c>
    </row>
    <row r="12">
      <c r="A12" s="98" t="inlineStr">
        <is>
          <t>Hardware revenue (cash price)</t>
        </is>
      </c>
      <c r="B12" s="65" t="inlineStr">
        <is>
          <t>LCY</t>
        </is>
      </c>
      <c r="C12" s="105">
        <f>SUM(E12:BL12)</f>
        <v/>
      </c>
      <c r="E12" s="80">
        <f>E10*Products!$C$13</f>
        <v/>
      </c>
      <c r="F12" s="80">
        <f>F10*Products!$C$13</f>
        <v/>
      </c>
      <c r="G12" s="80">
        <f>G10*Products!$C$13</f>
        <v/>
      </c>
      <c r="H12" s="80">
        <f>H10*Products!$C$13</f>
        <v/>
      </c>
      <c r="I12" s="80">
        <f>I10*Products!$C$13</f>
        <v/>
      </c>
      <c r="J12" s="80">
        <f>J10*Products!$C$13</f>
        <v/>
      </c>
      <c r="K12" s="80">
        <f>K10*Products!$C$13</f>
        <v/>
      </c>
      <c r="L12" s="80">
        <f>L10*Products!$C$13</f>
        <v/>
      </c>
      <c r="M12" s="80">
        <f>M10*Products!$C$13</f>
        <v/>
      </c>
      <c r="N12" s="80">
        <f>N10*Products!$C$13</f>
        <v/>
      </c>
      <c r="O12" s="80">
        <f>O10*Products!$C$13</f>
        <v/>
      </c>
      <c r="P12" s="80">
        <f>P10*Products!$C$13</f>
        <v/>
      </c>
      <c r="Q12" s="80">
        <f>Q10*Products!$C$13</f>
        <v/>
      </c>
      <c r="R12" s="80">
        <f>R10*Products!$C$13</f>
        <v/>
      </c>
      <c r="S12" s="80">
        <f>S10*Products!$C$13</f>
        <v/>
      </c>
      <c r="T12" s="80">
        <f>T10*Products!$C$13</f>
        <v/>
      </c>
      <c r="U12" s="80">
        <f>U10*Products!$C$13</f>
        <v/>
      </c>
      <c r="V12" s="80">
        <f>V10*Products!$C$13</f>
        <v/>
      </c>
      <c r="W12" s="80">
        <f>W10*Products!$C$13</f>
        <v/>
      </c>
      <c r="X12" s="80">
        <f>X10*Products!$C$13</f>
        <v/>
      </c>
      <c r="Y12" s="80">
        <f>Y10*Products!$C$13</f>
        <v/>
      </c>
      <c r="Z12" s="80">
        <f>Z10*Products!$C$13</f>
        <v/>
      </c>
      <c r="AA12" s="80">
        <f>AA10*Products!$C$13</f>
        <v/>
      </c>
      <c r="AB12" s="80">
        <f>AB10*Products!$C$13</f>
        <v/>
      </c>
      <c r="AC12" s="80">
        <f>AC10*Products!$C$13</f>
        <v/>
      </c>
      <c r="AD12" s="80">
        <f>AD10*Products!$C$13</f>
        <v/>
      </c>
      <c r="AE12" s="80">
        <f>AE10*Products!$C$13</f>
        <v/>
      </c>
      <c r="AF12" s="80">
        <f>AF10*Products!$C$13</f>
        <v/>
      </c>
      <c r="AG12" s="80">
        <f>AG10*Products!$C$13</f>
        <v/>
      </c>
      <c r="AH12" s="80">
        <f>AH10*Products!$C$13</f>
        <v/>
      </c>
      <c r="AI12" s="80">
        <f>AI10*Products!$C$13</f>
        <v/>
      </c>
      <c r="AJ12" s="80">
        <f>AJ10*Products!$C$13</f>
        <v/>
      </c>
      <c r="AK12" s="80">
        <f>AK10*Products!$C$13</f>
        <v/>
      </c>
      <c r="AL12" s="80">
        <f>AL10*Products!$C$13</f>
        <v/>
      </c>
      <c r="AM12" s="80">
        <f>AM10*Products!$C$13</f>
        <v/>
      </c>
      <c r="AN12" s="80">
        <f>AN10*Products!$C$13</f>
        <v/>
      </c>
      <c r="AO12" s="80">
        <f>AO10*Products!$C$13</f>
        <v/>
      </c>
      <c r="AP12" s="80">
        <f>AP10*Products!$C$13</f>
        <v/>
      </c>
      <c r="AQ12" s="80">
        <f>AQ10*Products!$C$13</f>
        <v/>
      </c>
      <c r="AR12" s="80">
        <f>AR10*Products!$C$13</f>
        <v/>
      </c>
      <c r="AS12" s="80">
        <f>AS10*Products!$C$13</f>
        <v/>
      </c>
      <c r="AT12" s="80">
        <f>AT10*Products!$C$13</f>
        <v/>
      </c>
      <c r="AU12" s="80">
        <f>AU10*Products!$C$13</f>
        <v/>
      </c>
      <c r="AV12" s="80">
        <f>AV10*Products!$C$13</f>
        <v/>
      </c>
      <c r="AW12" s="80">
        <f>AW10*Products!$C$13</f>
        <v/>
      </c>
      <c r="AX12" s="80">
        <f>AX10*Products!$C$13</f>
        <v/>
      </c>
      <c r="AY12" s="80">
        <f>AY10*Products!$C$13</f>
        <v/>
      </c>
      <c r="AZ12" s="80">
        <f>AZ10*Products!$C$13</f>
        <v/>
      </c>
      <c r="BA12" s="80">
        <f>BA10*Products!$C$13</f>
        <v/>
      </c>
      <c r="BB12" s="80">
        <f>BB10*Products!$C$13</f>
        <v/>
      </c>
      <c r="BC12" s="80">
        <f>BC10*Products!$C$13</f>
        <v/>
      </c>
      <c r="BD12" s="80">
        <f>BD10*Products!$C$13</f>
        <v/>
      </c>
      <c r="BE12" s="80">
        <f>BE10*Products!$C$13</f>
        <v/>
      </c>
      <c r="BF12" s="80">
        <f>BF10*Products!$C$13</f>
        <v/>
      </c>
      <c r="BG12" s="80">
        <f>BG10*Products!$C$13</f>
        <v/>
      </c>
      <c r="BH12" s="80">
        <f>BH10*Products!$C$13</f>
        <v/>
      </c>
      <c r="BI12" s="80">
        <f>BI10*Products!$C$13</f>
        <v/>
      </c>
      <c r="BJ12" s="80">
        <f>BJ10*Products!$C$13</f>
        <v/>
      </c>
      <c r="BK12" s="80">
        <f>BK10*Products!$C$13</f>
        <v/>
      </c>
      <c r="BL12" s="80">
        <f>BL10*Products!$C$13</f>
        <v/>
      </c>
    </row>
    <row r="13">
      <c r="A13" s="98" t="inlineStr">
        <is>
          <t>New PAYGo receivables originated</t>
        </is>
      </c>
      <c r="B13" s="65" t="inlineStr">
        <is>
          <t>LCY</t>
        </is>
      </c>
      <c r="C13" s="105">
        <f>SUM(E13:BL13)</f>
        <v/>
      </c>
      <c r="E13" s="80">
        <f>E10*Products!$C$38</f>
        <v/>
      </c>
      <c r="F13" s="80">
        <f>F10*Products!$C$38</f>
        <v/>
      </c>
      <c r="G13" s="80">
        <f>G10*Products!$C$38</f>
        <v/>
      </c>
      <c r="H13" s="80">
        <f>H10*Products!$C$38</f>
        <v/>
      </c>
      <c r="I13" s="80">
        <f>I10*Products!$C$38</f>
        <v/>
      </c>
      <c r="J13" s="80">
        <f>J10*Products!$C$38</f>
        <v/>
      </c>
      <c r="K13" s="80">
        <f>K10*Products!$C$38</f>
        <v/>
      </c>
      <c r="L13" s="80">
        <f>L10*Products!$C$38</f>
        <v/>
      </c>
      <c r="M13" s="80">
        <f>M10*Products!$C$38</f>
        <v/>
      </c>
      <c r="N13" s="80">
        <f>N10*Products!$C$38</f>
        <v/>
      </c>
      <c r="O13" s="80">
        <f>O10*Products!$C$38</f>
        <v/>
      </c>
      <c r="P13" s="80">
        <f>P10*Products!$C$38</f>
        <v/>
      </c>
      <c r="Q13" s="80">
        <f>Q10*Products!$C$38</f>
        <v/>
      </c>
      <c r="R13" s="80">
        <f>R10*Products!$C$38</f>
        <v/>
      </c>
      <c r="S13" s="80">
        <f>S10*Products!$C$38</f>
        <v/>
      </c>
      <c r="T13" s="80">
        <f>T10*Products!$C$38</f>
        <v/>
      </c>
      <c r="U13" s="80">
        <f>U10*Products!$C$38</f>
        <v/>
      </c>
      <c r="V13" s="80">
        <f>V10*Products!$C$38</f>
        <v/>
      </c>
      <c r="W13" s="80">
        <f>W10*Products!$C$38</f>
        <v/>
      </c>
      <c r="X13" s="80">
        <f>X10*Products!$C$38</f>
        <v/>
      </c>
      <c r="Y13" s="80">
        <f>Y10*Products!$C$38</f>
        <v/>
      </c>
      <c r="Z13" s="80">
        <f>Z10*Products!$C$38</f>
        <v/>
      </c>
      <c r="AA13" s="80">
        <f>AA10*Products!$C$38</f>
        <v/>
      </c>
      <c r="AB13" s="80">
        <f>AB10*Products!$C$38</f>
        <v/>
      </c>
      <c r="AC13" s="80">
        <f>AC10*Products!$C$38</f>
        <v/>
      </c>
      <c r="AD13" s="80">
        <f>AD10*Products!$C$38</f>
        <v/>
      </c>
      <c r="AE13" s="80">
        <f>AE10*Products!$C$38</f>
        <v/>
      </c>
      <c r="AF13" s="80">
        <f>AF10*Products!$C$38</f>
        <v/>
      </c>
      <c r="AG13" s="80">
        <f>AG10*Products!$C$38</f>
        <v/>
      </c>
      <c r="AH13" s="80">
        <f>AH10*Products!$C$38</f>
        <v/>
      </c>
      <c r="AI13" s="80">
        <f>AI10*Products!$C$38</f>
        <v/>
      </c>
      <c r="AJ13" s="80">
        <f>AJ10*Products!$C$38</f>
        <v/>
      </c>
      <c r="AK13" s="80">
        <f>AK10*Products!$C$38</f>
        <v/>
      </c>
      <c r="AL13" s="80">
        <f>AL10*Products!$C$38</f>
        <v/>
      </c>
      <c r="AM13" s="80">
        <f>AM10*Products!$C$38</f>
        <v/>
      </c>
      <c r="AN13" s="80">
        <f>AN10*Products!$C$38</f>
        <v/>
      </c>
      <c r="AO13" s="80">
        <f>AO10*Products!$C$38</f>
        <v/>
      </c>
      <c r="AP13" s="80">
        <f>AP10*Products!$C$38</f>
        <v/>
      </c>
      <c r="AQ13" s="80">
        <f>AQ10*Products!$C$38</f>
        <v/>
      </c>
      <c r="AR13" s="80">
        <f>AR10*Products!$C$38</f>
        <v/>
      </c>
      <c r="AS13" s="80">
        <f>AS10*Products!$C$38</f>
        <v/>
      </c>
      <c r="AT13" s="80">
        <f>AT10*Products!$C$38</f>
        <v/>
      </c>
      <c r="AU13" s="80">
        <f>AU10*Products!$C$38</f>
        <v/>
      </c>
      <c r="AV13" s="80">
        <f>AV10*Products!$C$38</f>
        <v/>
      </c>
      <c r="AW13" s="80">
        <f>AW10*Products!$C$38</f>
        <v/>
      </c>
      <c r="AX13" s="80">
        <f>AX10*Products!$C$38</f>
        <v/>
      </c>
      <c r="AY13" s="80">
        <f>AY10*Products!$C$38</f>
        <v/>
      </c>
      <c r="AZ13" s="80">
        <f>AZ10*Products!$C$38</f>
        <v/>
      </c>
      <c r="BA13" s="80">
        <f>BA10*Products!$C$38</f>
        <v/>
      </c>
      <c r="BB13" s="80">
        <f>BB10*Products!$C$38</f>
        <v/>
      </c>
      <c r="BC13" s="80">
        <f>BC10*Products!$C$38</f>
        <v/>
      </c>
      <c r="BD13" s="80">
        <f>BD10*Products!$C$38</f>
        <v/>
      </c>
      <c r="BE13" s="80">
        <f>BE10*Products!$C$38</f>
        <v/>
      </c>
      <c r="BF13" s="80">
        <f>BF10*Products!$C$38</f>
        <v/>
      </c>
      <c r="BG13" s="80">
        <f>BG10*Products!$C$38</f>
        <v/>
      </c>
      <c r="BH13" s="80">
        <f>BH10*Products!$C$38</f>
        <v/>
      </c>
      <c r="BI13" s="80">
        <f>BI10*Products!$C$38</f>
        <v/>
      </c>
      <c r="BJ13" s="80">
        <f>BJ10*Products!$C$38</f>
        <v/>
      </c>
      <c r="BK13" s="80">
        <f>BK10*Products!$C$38</f>
        <v/>
      </c>
      <c r="BL13" s="80">
        <f>BL10*Products!$C$38</f>
        <v/>
      </c>
    </row>
    <row r="14">
      <c r="A14" s="98" t="inlineStr">
        <is>
          <t>Instalments due</t>
        </is>
      </c>
      <c r="B14" s="65" t="inlineStr">
        <is>
          <t>LCY</t>
        </is>
      </c>
      <c r="C14" s="105">
        <f>SUM(E14:BL14)</f>
        <v/>
      </c>
      <c r="E14" s="80">
        <f>Products!$C$33*SUMIFS($E$10:$BL$10,Timeline!$E$4:$BL$4,"&gt;="&amp;(E$4-Products!$C$16),Timeline!$E$4:$BL$4,"&lt;="&amp;(E$4-1))</f>
        <v/>
      </c>
      <c r="F14" s="80">
        <f>Products!$C$33*SUMIFS($E$10:$BL$10,Timeline!$E$4:$BL$4,"&gt;="&amp;(F$4-Products!$C$16),Timeline!$E$4:$BL$4,"&lt;="&amp;(F$4-1))</f>
        <v/>
      </c>
      <c r="G14" s="80">
        <f>Products!$C$33*SUMIFS($E$10:$BL$10,Timeline!$E$4:$BL$4,"&gt;="&amp;(G$4-Products!$C$16),Timeline!$E$4:$BL$4,"&lt;="&amp;(G$4-1))</f>
        <v/>
      </c>
      <c r="H14" s="80">
        <f>Products!$C$33*SUMIFS($E$10:$BL$10,Timeline!$E$4:$BL$4,"&gt;="&amp;(H$4-Products!$C$16),Timeline!$E$4:$BL$4,"&lt;="&amp;(H$4-1))</f>
        <v/>
      </c>
      <c r="I14" s="80">
        <f>Products!$C$33*SUMIFS($E$10:$BL$10,Timeline!$E$4:$BL$4,"&gt;="&amp;(I$4-Products!$C$16),Timeline!$E$4:$BL$4,"&lt;="&amp;(I$4-1))</f>
        <v/>
      </c>
      <c r="J14" s="80">
        <f>Products!$C$33*SUMIFS($E$10:$BL$10,Timeline!$E$4:$BL$4,"&gt;="&amp;(J$4-Products!$C$16),Timeline!$E$4:$BL$4,"&lt;="&amp;(J$4-1))</f>
        <v/>
      </c>
      <c r="K14" s="80">
        <f>Products!$C$33*SUMIFS($E$10:$BL$10,Timeline!$E$4:$BL$4,"&gt;="&amp;(K$4-Products!$C$16),Timeline!$E$4:$BL$4,"&lt;="&amp;(K$4-1))</f>
        <v/>
      </c>
      <c r="L14" s="80">
        <f>Products!$C$33*SUMIFS($E$10:$BL$10,Timeline!$E$4:$BL$4,"&gt;="&amp;(L$4-Products!$C$16),Timeline!$E$4:$BL$4,"&lt;="&amp;(L$4-1))</f>
        <v/>
      </c>
      <c r="M14" s="80">
        <f>Products!$C$33*SUMIFS($E$10:$BL$10,Timeline!$E$4:$BL$4,"&gt;="&amp;(M$4-Products!$C$16),Timeline!$E$4:$BL$4,"&lt;="&amp;(M$4-1))</f>
        <v/>
      </c>
      <c r="N14" s="80">
        <f>Products!$C$33*SUMIFS($E$10:$BL$10,Timeline!$E$4:$BL$4,"&gt;="&amp;(N$4-Products!$C$16),Timeline!$E$4:$BL$4,"&lt;="&amp;(N$4-1))</f>
        <v/>
      </c>
      <c r="O14" s="80">
        <f>Products!$C$33*SUMIFS($E$10:$BL$10,Timeline!$E$4:$BL$4,"&gt;="&amp;(O$4-Products!$C$16),Timeline!$E$4:$BL$4,"&lt;="&amp;(O$4-1))</f>
        <v/>
      </c>
      <c r="P14" s="80">
        <f>Products!$C$33*SUMIFS($E$10:$BL$10,Timeline!$E$4:$BL$4,"&gt;="&amp;(P$4-Products!$C$16),Timeline!$E$4:$BL$4,"&lt;="&amp;(P$4-1))</f>
        <v/>
      </c>
      <c r="Q14" s="80">
        <f>Products!$C$33*SUMIFS($E$10:$BL$10,Timeline!$E$4:$BL$4,"&gt;="&amp;(Q$4-Products!$C$16),Timeline!$E$4:$BL$4,"&lt;="&amp;(Q$4-1))</f>
        <v/>
      </c>
      <c r="R14" s="80">
        <f>Products!$C$33*SUMIFS($E$10:$BL$10,Timeline!$E$4:$BL$4,"&gt;="&amp;(R$4-Products!$C$16),Timeline!$E$4:$BL$4,"&lt;="&amp;(R$4-1))</f>
        <v/>
      </c>
      <c r="S14" s="80">
        <f>Products!$C$33*SUMIFS($E$10:$BL$10,Timeline!$E$4:$BL$4,"&gt;="&amp;(S$4-Products!$C$16),Timeline!$E$4:$BL$4,"&lt;="&amp;(S$4-1))</f>
        <v/>
      </c>
      <c r="T14" s="80">
        <f>Products!$C$33*SUMIFS($E$10:$BL$10,Timeline!$E$4:$BL$4,"&gt;="&amp;(T$4-Products!$C$16),Timeline!$E$4:$BL$4,"&lt;="&amp;(T$4-1))</f>
        <v/>
      </c>
      <c r="U14" s="80">
        <f>Products!$C$33*SUMIFS($E$10:$BL$10,Timeline!$E$4:$BL$4,"&gt;="&amp;(U$4-Products!$C$16),Timeline!$E$4:$BL$4,"&lt;="&amp;(U$4-1))</f>
        <v/>
      </c>
      <c r="V14" s="80">
        <f>Products!$C$33*SUMIFS($E$10:$BL$10,Timeline!$E$4:$BL$4,"&gt;="&amp;(V$4-Products!$C$16),Timeline!$E$4:$BL$4,"&lt;="&amp;(V$4-1))</f>
        <v/>
      </c>
      <c r="W14" s="80">
        <f>Products!$C$33*SUMIFS($E$10:$BL$10,Timeline!$E$4:$BL$4,"&gt;="&amp;(W$4-Products!$C$16),Timeline!$E$4:$BL$4,"&lt;="&amp;(W$4-1))</f>
        <v/>
      </c>
      <c r="X14" s="80">
        <f>Products!$C$33*SUMIFS($E$10:$BL$10,Timeline!$E$4:$BL$4,"&gt;="&amp;(X$4-Products!$C$16),Timeline!$E$4:$BL$4,"&lt;="&amp;(X$4-1))</f>
        <v/>
      </c>
      <c r="Y14" s="80">
        <f>Products!$C$33*SUMIFS($E$10:$BL$10,Timeline!$E$4:$BL$4,"&gt;="&amp;(Y$4-Products!$C$16),Timeline!$E$4:$BL$4,"&lt;="&amp;(Y$4-1))</f>
        <v/>
      </c>
      <c r="Z14" s="80">
        <f>Products!$C$33*SUMIFS($E$10:$BL$10,Timeline!$E$4:$BL$4,"&gt;="&amp;(Z$4-Products!$C$16),Timeline!$E$4:$BL$4,"&lt;="&amp;(Z$4-1))</f>
        <v/>
      </c>
      <c r="AA14" s="80">
        <f>Products!$C$33*SUMIFS($E$10:$BL$10,Timeline!$E$4:$BL$4,"&gt;="&amp;(AA$4-Products!$C$16),Timeline!$E$4:$BL$4,"&lt;="&amp;(AA$4-1))</f>
        <v/>
      </c>
      <c r="AB14" s="80">
        <f>Products!$C$33*SUMIFS($E$10:$BL$10,Timeline!$E$4:$BL$4,"&gt;="&amp;(AB$4-Products!$C$16),Timeline!$E$4:$BL$4,"&lt;="&amp;(AB$4-1))</f>
        <v/>
      </c>
      <c r="AC14" s="80">
        <f>Products!$C$33*SUMIFS($E$10:$BL$10,Timeline!$E$4:$BL$4,"&gt;="&amp;(AC$4-Products!$C$16),Timeline!$E$4:$BL$4,"&lt;="&amp;(AC$4-1))</f>
        <v/>
      </c>
      <c r="AD14" s="80">
        <f>Products!$C$33*SUMIFS($E$10:$BL$10,Timeline!$E$4:$BL$4,"&gt;="&amp;(AD$4-Products!$C$16),Timeline!$E$4:$BL$4,"&lt;="&amp;(AD$4-1))</f>
        <v/>
      </c>
      <c r="AE14" s="80">
        <f>Products!$C$33*SUMIFS($E$10:$BL$10,Timeline!$E$4:$BL$4,"&gt;="&amp;(AE$4-Products!$C$16),Timeline!$E$4:$BL$4,"&lt;="&amp;(AE$4-1))</f>
        <v/>
      </c>
      <c r="AF14" s="80">
        <f>Products!$C$33*SUMIFS($E$10:$BL$10,Timeline!$E$4:$BL$4,"&gt;="&amp;(AF$4-Products!$C$16),Timeline!$E$4:$BL$4,"&lt;="&amp;(AF$4-1))</f>
        <v/>
      </c>
      <c r="AG14" s="80">
        <f>Products!$C$33*SUMIFS($E$10:$BL$10,Timeline!$E$4:$BL$4,"&gt;="&amp;(AG$4-Products!$C$16),Timeline!$E$4:$BL$4,"&lt;="&amp;(AG$4-1))</f>
        <v/>
      </c>
      <c r="AH14" s="80">
        <f>Products!$C$33*SUMIFS($E$10:$BL$10,Timeline!$E$4:$BL$4,"&gt;="&amp;(AH$4-Products!$C$16),Timeline!$E$4:$BL$4,"&lt;="&amp;(AH$4-1))</f>
        <v/>
      </c>
      <c r="AI14" s="80">
        <f>Products!$C$33*SUMIFS($E$10:$BL$10,Timeline!$E$4:$BL$4,"&gt;="&amp;(AI$4-Products!$C$16),Timeline!$E$4:$BL$4,"&lt;="&amp;(AI$4-1))</f>
        <v/>
      </c>
      <c r="AJ14" s="80">
        <f>Products!$C$33*SUMIFS($E$10:$BL$10,Timeline!$E$4:$BL$4,"&gt;="&amp;(AJ$4-Products!$C$16),Timeline!$E$4:$BL$4,"&lt;="&amp;(AJ$4-1))</f>
        <v/>
      </c>
      <c r="AK14" s="80">
        <f>Products!$C$33*SUMIFS($E$10:$BL$10,Timeline!$E$4:$BL$4,"&gt;="&amp;(AK$4-Products!$C$16),Timeline!$E$4:$BL$4,"&lt;="&amp;(AK$4-1))</f>
        <v/>
      </c>
      <c r="AL14" s="80">
        <f>Products!$C$33*SUMIFS($E$10:$BL$10,Timeline!$E$4:$BL$4,"&gt;="&amp;(AL$4-Products!$C$16),Timeline!$E$4:$BL$4,"&lt;="&amp;(AL$4-1))</f>
        <v/>
      </c>
      <c r="AM14" s="80">
        <f>Products!$C$33*SUMIFS($E$10:$BL$10,Timeline!$E$4:$BL$4,"&gt;="&amp;(AM$4-Products!$C$16),Timeline!$E$4:$BL$4,"&lt;="&amp;(AM$4-1))</f>
        <v/>
      </c>
      <c r="AN14" s="80">
        <f>Products!$C$33*SUMIFS($E$10:$BL$10,Timeline!$E$4:$BL$4,"&gt;="&amp;(AN$4-Products!$C$16),Timeline!$E$4:$BL$4,"&lt;="&amp;(AN$4-1))</f>
        <v/>
      </c>
      <c r="AO14" s="80">
        <f>Products!$C$33*SUMIFS($E$10:$BL$10,Timeline!$E$4:$BL$4,"&gt;="&amp;(AO$4-Products!$C$16),Timeline!$E$4:$BL$4,"&lt;="&amp;(AO$4-1))</f>
        <v/>
      </c>
      <c r="AP14" s="80">
        <f>Products!$C$33*SUMIFS($E$10:$BL$10,Timeline!$E$4:$BL$4,"&gt;="&amp;(AP$4-Products!$C$16),Timeline!$E$4:$BL$4,"&lt;="&amp;(AP$4-1))</f>
        <v/>
      </c>
      <c r="AQ14" s="80">
        <f>Products!$C$33*SUMIFS($E$10:$BL$10,Timeline!$E$4:$BL$4,"&gt;="&amp;(AQ$4-Products!$C$16),Timeline!$E$4:$BL$4,"&lt;="&amp;(AQ$4-1))</f>
        <v/>
      </c>
      <c r="AR14" s="80">
        <f>Products!$C$33*SUMIFS($E$10:$BL$10,Timeline!$E$4:$BL$4,"&gt;="&amp;(AR$4-Products!$C$16),Timeline!$E$4:$BL$4,"&lt;="&amp;(AR$4-1))</f>
        <v/>
      </c>
      <c r="AS14" s="80">
        <f>Products!$C$33*SUMIFS($E$10:$BL$10,Timeline!$E$4:$BL$4,"&gt;="&amp;(AS$4-Products!$C$16),Timeline!$E$4:$BL$4,"&lt;="&amp;(AS$4-1))</f>
        <v/>
      </c>
      <c r="AT14" s="80">
        <f>Products!$C$33*SUMIFS($E$10:$BL$10,Timeline!$E$4:$BL$4,"&gt;="&amp;(AT$4-Products!$C$16),Timeline!$E$4:$BL$4,"&lt;="&amp;(AT$4-1))</f>
        <v/>
      </c>
      <c r="AU14" s="80">
        <f>Products!$C$33*SUMIFS($E$10:$BL$10,Timeline!$E$4:$BL$4,"&gt;="&amp;(AU$4-Products!$C$16),Timeline!$E$4:$BL$4,"&lt;="&amp;(AU$4-1))</f>
        <v/>
      </c>
      <c r="AV14" s="80">
        <f>Products!$C$33*SUMIFS($E$10:$BL$10,Timeline!$E$4:$BL$4,"&gt;="&amp;(AV$4-Products!$C$16),Timeline!$E$4:$BL$4,"&lt;="&amp;(AV$4-1))</f>
        <v/>
      </c>
      <c r="AW14" s="80">
        <f>Products!$C$33*SUMIFS($E$10:$BL$10,Timeline!$E$4:$BL$4,"&gt;="&amp;(AW$4-Products!$C$16),Timeline!$E$4:$BL$4,"&lt;="&amp;(AW$4-1))</f>
        <v/>
      </c>
      <c r="AX14" s="80">
        <f>Products!$C$33*SUMIFS($E$10:$BL$10,Timeline!$E$4:$BL$4,"&gt;="&amp;(AX$4-Products!$C$16),Timeline!$E$4:$BL$4,"&lt;="&amp;(AX$4-1))</f>
        <v/>
      </c>
      <c r="AY14" s="80">
        <f>Products!$C$33*SUMIFS($E$10:$BL$10,Timeline!$E$4:$BL$4,"&gt;="&amp;(AY$4-Products!$C$16),Timeline!$E$4:$BL$4,"&lt;="&amp;(AY$4-1))</f>
        <v/>
      </c>
      <c r="AZ14" s="80">
        <f>Products!$C$33*SUMIFS($E$10:$BL$10,Timeline!$E$4:$BL$4,"&gt;="&amp;(AZ$4-Products!$C$16),Timeline!$E$4:$BL$4,"&lt;="&amp;(AZ$4-1))</f>
        <v/>
      </c>
      <c r="BA14" s="80">
        <f>Products!$C$33*SUMIFS($E$10:$BL$10,Timeline!$E$4:$BL$4,"&gt;="&amp;(BA$4-Products!$C$16),Timeline!$E$4:$BL$4,"&lt;="&amp;(BA$4-1))</f>
        <v/>
      </c>
      <c r="BB14" s="80">
        <f>Products!$C$33*SUMIFS($E$10:$BL$10,Timeline!$E$4:$BL$4,"&gt;="&amp;(BB$4-Products!$C$16),Timeline!$E$4:$BL$4,"&lt;="&amp;(BB$4-1))</f>
        <v/>
      </c>
      <c r="BC14" s="80">
        <f>Products!$C$33*SUMIFS($E$10:$BL$10,Timeline!$E$4:$BL$4,"&gt;="&amp;(BC$4-Products!$C$16),Timeline!$E$4:$BL$4,"&lt;="&amp;(BC$4-1))</f>
        <v/>
      </c>
      <c r="BD14" s="80">
        <f>Products!$C$33*SUMIFS($E$10:$BL$10,Timeline!$E$4:$BL$4,"&gt;="&amp;(BD$4-Products!$C$16),Timeline!$E$4:$BL$4,"&lt;="&amp;(BD$4-1))</f>
        <v/>
      </c>
      <c r="BE14" s="80">
        <f>Products!$C$33*SUMIFS($E$10:$BL$10,Timeline!$E$4:$BL$4,"&gt;="&amp;(BE$4-Products!$C$16),Timeline!$E$4:$BL$4,"&lt;="&amp;(BE$4-1))</f>
        <v/>
      </c>
      <c r="BF14" s="80">
        <f>Products!$C$33*SUMIFS($E$10:$BL$10,Timeline!$E$4:$BL$4,"&gt;="&amp;(BF$4-Products!$C$16),Timeline!$E$4:$BL$4,"&lt;="&amp;(BF$4-1))</f>
        <v/>
      </c>
      <c r="BG14" s="80">
        <f>Products!$C$33*SUMIFS($E$10:$BL$10,Timeline!$E$4:$BL$4,"&gt;="&amp;(BG$4-Products!$C$16),Timeline!$E$4:$BL$4,"&lt;="&amp;(BG$4-1))</f>
        <v/>
      </c>
      <c r="BH14" s="80">
        <f>Products!$C$33*SUMIFS($E$10:$BL$10,Timeline!$E$4:$BL$4,"&gt;="&amp;(BH$4-Products!$C$16),Timeline!$E$4:$BL$4,"&lt;="&amp;(BH$4-1))</f>
        <v/>
      </c>
      <c r="BI14" s="80">
        <f>Products!$C$33*SUMIFS($E$10:$BL$10,Timeline!$E$4:$BL$4,"&gt;="&amp;(BI$4-Products!$C$16),Timeline!$E$4:$BL$4,"&lt;="&amp;(BI$4-1))</f>
        <v/>
      </c>
      <c r="BJ14" s="80">
        <f>Products!$C$33*SUMIFS($E$10:$BL$10,Timeline!$E$4:$BL$4,"&gt;="&amp;(BJ$4-Products!$C$16),Timeline!$E$4:$BL$4,"&lt;="&amp;(BJ$4-1))</f>
        <v/>
      </c>
      <c r="BK14" s="80">
        <f>Products!$C$33*SUMIFS($E$10:$BL$10,Timeline!$E$4:$BL$4,"&gt;="&amp;(BK$4-Products!$C$16),Timeline!$E$4:$BL$4,"&lt;="&amp;(BK$4-1))</f>
        <v/>
      </c>
      <c r="BL14" s="80">
        <f>Products!$C$33*SUMIFS($E$10:$BL$10,Timeline!$E$4:$BL$4,"&gt;="&amp;(BL$4-Products!$C$16),Timeline!$E$4:$BL$4,"&lt;="&amp;(BL$4-1))</f>
        <v/>
      </c>
    </row>
    <row r="15">
      <c r="A15" s="98" t="inlineStr">
        <is>
          <t>Instalments collected</t>
        </is>
      </c>
      <c r="B15" s="65" t="inlineStr">
        <is>
          <t>LCY</t>
        </is>
      </c>
      <c r="C15" s="105">
        <f>SUM(E15:BL15)</f>
        <v/>
      </c>
      <c r="E15" s="41">
        <f>Cohort_T1!E$9</f>
        <v/>
      </c>
      <c r="F15" s="41">
        <f>Cohort_T1!F$9</f>
        <v/>
      </c>
      <c r="G15" s="41">
        <f>Cohort_T1!G$9</f>
        <v/>
      </c>
      <c r="H15" s="41">
        <f>Cohort_T1!H$9</f>
        <v/>
      </c>
      <c r="I15" s="41">
        <f>Cohort_T1!I$9</f>
        <v/>
      </c>
      <c r="J15" s="41">
        <f>Cohort_T1!J$9</f>
        <v/>
      </c>
      <c r="K15" s="41">
        <f>Cohort_T1!K$9</f>
        <v/>
      </c>
      <c r="L15" s="41">
        <f>Cohort_T1!L$9</f>
        <v/>
      </c>
      <c r="M15" s="41">
        <f>Cohort_T1!M$9</f>
        <v/>
      </c>
      <c r="N15" s="41">
        <f>Cohort_T1!N$9</f>
        <v/>
      </c>
      <c r="O15" s="41">
        <f>Cohort_T1!O$9</f>
        <v/>
      </c>
      <c r="P15" s="41">
        <f>Cohort_T1!P$9</f>
        <v/>
      </c>
      <c r="Q15" s="41">
        <f>Cohort_T1!Q$9</f>
        <v/>
      </c>
      <c r="R15" s="41">
        <f>Cohort_T1!R$9</f>
        <v/>
      </c>
      <c r="S15" s="41">
        <f>Cohort_T1!S$9</f>
        <v/>
      </c>
      <c r="T15" s="41">
        <f>Cohort_T1!T$9</f>
        <v/>
      </c>
      <c r="U15" s="41">
        <f>Cohort_T1!U$9</f>
        <v/>
      </c>
      <c r="V15" s="41">
        <f>Cohort_T1!V$9</f>
        <v/>
      </c>
      <c r="W15" s="41">
        <f>Cohort_T1!W$9</f>
        <v/>
      </c>
      <c r="X15" s="41">
        <f>Cohort_T1!X$9</f>
        <v/>
      </c>
      <c r="Y15" s="41">
        <f>Cohort_T1!Y$9</f>
        <v/>
      </c>
      <c r="Z15" s="41">
        <f>Cohort_T1!Z$9</f>
        <v/>
      </c>
      <c r="AA15" s="41">
        <f>Cohort_T1!AA$9</f>
        <v/>
      </c>
      <c r="AB15" s="41">
        <f>Cohort_T1!AB$9</f>
        <v/>
      </c>
      <c r="AC15" s="41">
        <f>Cohort_T1!AC$9</f>
        <v/>
      </c>
      <c r="AD15" s="41">
        <f>Cohort_T1!AD$9</f>
        <v/>
      </c>
      <c r="AE15" s="41">
        <f>Cohort_T1!AE$9</f>
        <v/>
      </c>
      <c r="AF15" s="41">
        <f>Cohort_T1!AF$9</f>
        <v/>
      </c>
      <c r="AG15" s="41">
        <f>Cohort_T1!AG$9</f>
        <v/>
      </c>
      <c r="AH15" s="41">
        <f>Cohort_T1!AH$9</f>
        <v/>
      </c>
      <c r="AI15" s="41">
        <f>Cohort_T1!AI$9</f>
        <v/>
      </c>
      <c r="AJ15" s="41">
        <f>Cohort_T1!AJ$9</f>
        <v/>
      </c>
      <c r="AK15" s="41">
        <f>Cohort_T1!AK$9</f>
        <v/>
      </c>
      <c r="AL15" s="41">
        <f>Cohort_T1!AL$9</f>
        <v/>
      </c>
      <c r="AM15" s="41">
        <f>Cohort_T1!AM$9</f>
        <v/>
      </c>
      <c r="AN15" s="41">
        <f>Cohort_T1!AN$9</f>
        <v/>
      </c>
      <c r="AO15" s="41">
        <f>Cohort_T1!AO$9</f>
        <v/>
      </c>
      <c r="AP15" s="41">
        <f>Cohort_T1!AP$9</f>
        <v/>
      </c>
      <c r="AQ15" s="41">
        <f>Cohort_T1!AQ$9</f>
        <v/>
      </c>
      <c r="AR15" s="41">
        <f>Cohort_T1!AR$9</f>
        <v/>
      </c>
      <c r="AS15" s="41">
        <f>Cohort_T1!AS$9</f>
        <v/>
      </c>
      <c r="AT15" s="41">
        <f>Cohort_T1!AT$9</f>
        <v/>
      </c>
      <c r="AU15" s="41">
        <f>Cohort_T1!AU$9</f>
        <v/>
      </c>
      <c r="AV15" s="41">
        <f>Cohort_T1!AV$9</f>
        <v/>
      </c>
      <c r="AW15" s="41">
        <f>Cohort_T1!AW$9</f>
        <v/>
      </c>
      <c r="AX15" s="41">
        <f>Cohort_T1!AX$9</f>
        <v/>
      </c>
      <c r="AY15" s="41">
        <f>Cohort_T1!AY$9</f>
        <v/>
      </c>
      <c r="AZ15" s="41">
        <f>Cohort_T1!AZ$9</f>
        <v/>
      </c>
      <c r="BA15" s="41">
        <f>Cohort_T1!BA$9</f>
        <v/>
      </c>
      <c r="BB15" s="41">
        <f>Cohort_T1!BB$9</f>
        <v/>
      </c>
      <c r="BC15" s="41">
        <f>Cohort_T1!BC$9</f>
        <v/>
      </c>
      <c r="BD15" s="41">
        <f>Cohort_T1!BD$9</f>
        <v/>
      </c>
      <c r="BE15" s="41">
        <f>Cohort_T1!BE$9</f>
        <v/>
      </c>
      <c r="BF15" s="41">
        <f>Cohort_T1!BF$9</f>
        <v/>
      </c>
      <c r="BG15" s="41">
        <f>Cohort_T1!BG$9</f>
        <v/>
      </c>
      <c r="BH15" s="41">
        <f>Cohort_T1!BH$9</f>
        <v/>
      </c>
      <c r="BI15" s="41">
        <f>Cohort_T1!BI$9</f>
        <v/>
      </c>
      <c r="BJ15" s="41">
        <f>Cohort_T1!BJ$9</f>
        <v/>
      </c>
      <c r="BK15" s="41">
        <f>Cohort_T1!BK$9</f>
        <v/>
      </c>
      <c r="BL15" s="41">
        <f>Cohort_T1!BL$9</f>
        <v/>
      </c>
    </row>
    <row r="16">
      <c r="A16" s="98" t="inlineStr">
        <is>
          <t>Missed instalments written off</t>
        </is>
      </c>
      <c r="B16" s="65" t="inlineStr">
        <is>
          <t>LCY</t>
        </is>
      </c>
      <c r="C16" s="105">
        <f>SUM(E16:BL16)</f>
        <v/>
      </c>
      <c r="E16" s="80">
        <f>E14-E15</f>
        <v/>
      </c>
      <c r="F16" s="80">
        <f>F14-F15</f>
        <v/>
      </c>
      <c r="G16" s="80">
        <f>G14-G15</f>
        <v/>
      </c>
      <c r="H16" s="80">
        <f>H14-H15</f>
        <v/>
      </c>
      <c r="I16" s="80">
        <f>I14-I15</f>
        <v/>
      </c>
      <c r="J16" s="80">
        <f>J14-J15</f>
        <v/>
      </c>
      <c r="K16" s="80">
        <f>K14-K15</f>
        <v/>
      </c>
      <c r="L16" s="80">
        <f>L14-L15</f>
        <v/>
      </c>
      <c r="M16" s="80">
        <f>M14-M15</f>
        <v/>
      </c>
      <c r="N16" s="80">
        <f>N14-N15</f>
        <v/>
      </c>
      <c r="O16" s="80">
        <f>O14-O15</f>
        <v/>
      </c>
      <c r="P16" s="80">
        <f>P14-P15</f>
        <v/>
      </c>
      <c r="Q16" s="80">
        <f>Q14-Q15</f>
        <v/>
      </c>
      <c r="R16" s="80">
        <f>R14-R15</f>
        <v/>
      </c>
      <c r="S16" s="80">
        <f>S14-S15</f>
        <v/>
      </c>
      <c r="T16" s="80">
        <f>T14-T15</f>
        <v/>
      </c>
      <c r="U16" s="80">
        <f>U14-U15</f>
        <v/>
      </c>
      <c r="V16" s="80">
        <f>V14-V15</f>
        <v/>
      </c>
      <c r="W16" s="80">
        <f>W14-W15</f>
        <v/>
      </c>
      <c r="X16" s="80">
        <f>X14-X15</f>
        <v/>
      </c>
      <c r="Y16" s="80">
        <f>Y14-Y15</f>
        <v/>
      </c>
      <c r="Z16" s="80">
        <f>Z14-Z15</f>
        <v/>
      </c>
      <c r="AA16" s="80">
        <f>AA14-AA15</f>
        <v/>
      </c>
      <c r="AB16" s="80">
        <f>AB14-AB15</f>
        <v/>
      </c>
      <c r="AC16" s="80">
        <f>AC14-AC15</f>
        <v/>
      </c>
      <c r="AD16" s="80">
        <f>AD14-AD15</f>
        <v/>
      </c>
      <c r="AE16" s="80">
        <f>AE14-AE15</f>
        <v/>
      </c>
      <c r="AF16" s="80">
        <f>AF14-AF15</f>
        <v/>
      </c>
      <c r="AG16" s="80">
        <f>AG14-AG15</f>
        <v/>
      </c>
      <c r="AH16" s="80">
        <f>AH14-AH15</f>
        <v/>
      </c>
      <c r="AI16" s="80">
        <f>AI14-AI15</f>
        <v/>
      </c>
      <c r="AJ16" s="80">
        <f>AJ14-AJ15</f>
        <v/>
      </c>
      <c r="AK16" s="80">
        <f>AK14-AK15</f>
        <v/>
      </c>
      <c r="AL16" s="80">
        <f>AL14-AL15</f>
        <v/>
      </c>
      <c r="AM16" s="80">
        <f>AM14-AM15</f>
        <v/>
      </c>
      <c r="AN16" s="80">
        <f>AN14-AN15</f>
        <v/>
      </c>
      <c r="AO16" s="80">
        <f>AO14-AO15</f>
        <v/>
      </c>
      <c r="AP16" s="80">
        <f>AP14-AP15</f>
        <v/>
      </c>
      <c r="AQ16" s="80">
        <f>AQ14-AQ15</f>
        <v/>
      </c>
      <c r="AR16" s="80">
        <f>AR14-AR15</f>
        <v/>
      </c>
      <c r="AS16" s="80">
        <f>AS14-AS15</f>
        <v/>
      </c>
      <c r="AT16" s="80">
        <f>AT14-AT15</f>
        <v/>
      </c>
      <c r="AU16" s="80">
        <f>AU14-AU15</f>
        <v/>
      </c>
      <c r="AV16" s="80">
        <f>AV14-AV15</f>
        <v/>
      </c>
      <c r="AW16" s="80">
        <f>AW14-AW15</f>
        <v/>
      </c>
      <c r="AX16" s="80">
        <f>AX14-AX15</f>
        <v/>
      </c>
      <c r="AY16" s="80">
        <f>AY14-AY15</f>
        <v/>
      </c>
      <c r="AZ16" s="80">
        <f>AZ14-AZ15</f>
        <v/>
      </c>
      <c r="BA16" s="80">
        <f>BA14-BA15</f>
        <v/>
      </c>
      <c r="BB16" s="80">
        <f>BB14-BB15</f>
        <v/>
      </c>
      <c r="BC16" s="80">
        <f>BC14-BC15</f>
        <v/>
      </c>
      <c r="BD16" s="80">
        <f>BD14-BD15</f>
        <v/>
      </c>
      <c r="BE16" s="80">
        <f>BE14-BE15</f>
        <v/>
      </c>
      <c r="BF16" s="80">
        <f>BF14-BF15</f>
        <v/>
      </c>
      <c r="BG16" s="80">
        <f>BG14-BG15</f>
        <v/>
      </c>
      <c r="BH16" s="80">
        <f>BH14-BH15</f>
        <v/>
      </c>
      <c r="BI16" s="80">
        <f>BI14-BI15</f>
        <v/>
      </c>
      <c r="BJ16" s="80">
        <f>BJ14-BJ15</f>
        <v/>
      </c>
      <c r="BK16" s="80">
        <f>BK14-BK15</f>
        <v/>
      </c>
      <c r="BL16" s="80">
        <f>BL14-BL15</f>
        <v/>
      </c>
    </row>
    <row r="17">
      <c r="A17" s="98" t="inlineStr">
        <is>
          <t>PAYGo financing income (straight-line over tenor)</t>
        </is>
      </c>
      <c r="B17" s="65" t="inlineStr">
        <is>
          <t>LCY</t>
        </is>
      </c>
      <c r="C17" s="105">
        <f>SUM(E17:BL17)</f>
        <v/>
      </c>
      <c r="E17" s="80">
        <f>IF(Products!$C$16=0,0,Products!$C$35/Products!$C$16*SUMIFS($E$10:$BL$10,Timeline!$E$4:$BL$4,"&gt;="&amp;(E$4-Products!$C$16),Timeline!$E$4:$BL$4,"&lt;="&amp;(E$4-1)))</f>
        <v/>
      </c>
      <c r="F17" s="80">
        <f>IF(Products!$C$16=0,0,Products!$C$35/Products!$C$16*SUMIFS($E$10:$BL$10,Timeline!$E$4:$BL$4,"&gt;="&amp;(F$4-Products!$C$16),Timeline!$E$4:$BL$4,"&lt;="&amp;(F$4-1)))</f>
        <v/>
      </c>
      <c r="G17" s="80">
        <f>IF(Products!$C$16=0,0,Products!$C$35/Products!$C$16*SUMIFS($E$10:$BL$10,Timeline!$E$4:$BL$4,"&gt;="&amp;(G$4-Products!$C$16),Timeline!$E$4:$BL$4,"&lt;="&amp;(G$4-1)))</f>
        <v/>
      </c>
      <c r="H17" s="80">
        <f>IF(Products!$C$16=0,0,Products!$C$35/Products!$C$16*SUMIFS($E$10:$BL$10,Timeline!$E$4:$BL$4,"&gt;="&amp;(H$4-Products!$C$16),Timeline!$E$4:$BL$4,"&lt;="&amp;(H$4-1)))</f>
        <v/>
      </c>
      <c r="I17" s="80">
        <f>IF(Products!$C$16=0,0,Products!$C$35/Products!$C$16*SUMIFS($E$10:$BL$10,Timeline!$E$4:$BL$4,"&gt;="&amp;(I$4-Products!$C$16),Timeline!$E$4:$BL$4,"&lt;="&amp;(I$4-1)))</f>
        <v/>
      </c>
      <c r="J17" s="80">
        <f>IF(Products!$C$16=0,0,Products!$C$35/Products!$C$16*SUMIFS($E$10:$BL$10,Timeline!$E$4:$BL$4,"&gt;="&amp;(J$4-Products!$C$16),Timeline!$E$4:$BL$4,"&lt;="&amp;(J$4-1)))</f>
        <v/>
      </c>
      <c r="K17" s="80">
        <f>IF(Products!$C$16=0,0,Products!$C$35/Products!$C$16*SUMIFS($E$10:$BL$10,Timeline!$E$4:$BL$4,"&gt;="&amp;(K$4-Products!$C$16),Timeline!$E$4:$BL$4,"&lt;="&amp;(K$4-1)))</f>
        <v/>
      </c>
      <c r="L17" s="80">
        <f>IF(Products!$C$16=0,0,Products!$C$35/Products!$C$16*SUMIFS($E$10:$BL$10,Timeline!$E$4:$BL$4,"&gt;="&amp;(L$4-Products!$C$16),Timeline!$E$4:$BL$4,"&lt;="&amp;(L$4-1)))</f>
        <v/>
      </c>
      <c r="M17" s="80">
        <f>IF(Products!$C$16=0,0,Products!$C$35/Products!$C$16*SUMIFS($E$10:$BL$10,Timeline!$E$4:$BL$4,"&gt;="&amp;(M$4-Products!$C$16),Timeline!$E$4:$BL$4,"&lt;="&amp;(M$4-1)))</f>
        <v/>
      </c>
      <c r="N17" s="80">
        <f>IF(Products!$C$16=0,0,Products!$C$35/Products!$C$16*SUMIFS($E$10:$BL$10,Timeline!$E$4:$BL$4,"&gt;="&amp;(N$4-Products!$C$16),Timeline!$E$4:$BL$4,"&lt;="&amp;(N$4-1)))</f>
        <v/>
      </c>
      <c r="O17" s="80">
        <f>IF(Products!$C$16=0,0,Products!$C$35/Products!$C$16*SUMIFS($E$10:$BL$10,Timeline!$E$4:$BL$4,"&gt;="&amp;(O$4-Products!$C$16),Timeline!$E$4:$BL$4,"&lt;="&amp;(O$4-1)))</f>
        <v/>
      </c>
      <c r="P17" s="80">
        <f>IF(Products!$C$16=0,0,Products!$C$35/Products!$C$16*SUMIFS($E$10:$BL$10,Timeline!$E$4:$BL$4,"&gt;="&amp;(P$4-Products!$C$16),Timeline!$E$4:$BL$4,"&lt;="&amp;(P$4-1)))</f>
        <v/>
      </c>
      <c r="Q17" s="80">
        <f>IF(Products!$C$16=0,0,Products!$C$35/Products!$C$16*SUMIFS($E$10:$BL$10,Timeline!$E$4:$BL$4,"&gt;="&amp;(Q$4-Products!$C$16),Timeline!$E$4:$BL$4,"&lt;="&amp;(Q$4-1)))</f>
        <v/>
      </c>
      <c r="R17" s="80">
        <f>IF(Products!$C$16=0,0,Products!$C$35/Products!$C$16*SUMIFS($E$10:$BL$10,Timeline!$E$4:$BL$4,"&gt;="&amp;(R$4-Products!$C$16),Timeline!$E$4:$BL$4,"&lt;="&amp;(R$4-1)))</f>
        <v/>
      </c>
      <c r="S17" s="80">
        <f>IF(Products!$C$16=0,0,Products!$C$35/Products!$C$16*SUMIFS($E$10:$BL$10,Timeline!$E$4:$BL$4,"&gt;="&amp;(S$4-Products!$C$16),Timeline!$E$4:$BL$4,"&lt;="&amp;(S$4-1)))</f>
        <v/>
      </c>
      <c r="T17" s="80">
        <f>IF(Products!$C$16=0,0,Products!$C$35/Products!$C$16*SUMIFS($E$10:$BL$10,Timeline!$E$4:$BL$4,"&gt;="&amp;(T$4-Products!$C$16),Timeline!$E$4:$BL$4,"&lt;="&amp;(T$4-1)))</f>
        <v/>
      </c>
      <c r="U17" s="80">
        <f>IF(Products!$C$16=0,0,Products!$C$35/Products!$C$16*SUMIFS($E$10:$BL$10,Timeline!$E$4:$BL$4,"&gt;="&amp;(U$4-Products!$C$16),Timeline!$E$4:$BL$4,"&lt;="&amp;(U$4-1)))</f>
        <v/>
      </c>
      <c r="V17" s="80">
        <f>IF(Products!$C$16=0,0,Products!$C$35/Products!$C$16*SUMIFS($E$10:$BL$10,Timeline!$E$4:$BL$4,"&gt;="&amp;(V$4-Products!$C$16),Timeline!$E$4:$BL$4,"&lt;="&amp;(V$4-1)))</f>
        <v/>
      </c>
      <c r="W17" s="80">
        <f>IF(Products!$C$16=0,0,Products!$C$35/Products!$C$16*SUMIFS($E$10:$BL$10,Timeline!$E$4:$BL$4,"&gt;="&amp;(W$4-Products!$C$16),Timeline!$E$4:$BL$4,"&lt;="&amp;(W$4-1)))</f>
        <v/>
      </c>
      <c r="X17" s="80">
        <f>IF(Products!$C$16=0,0,Products!$C$35/Products!$C$16*SUMIFS($E$10:$BL$10,Timeline!$E$4:$BL$4,"&gt;="&amp;(X$4-Products!$C$16),Timeline!$E$4:$BL$4,"&lt;="&amp;(X$4-1)))</f>
        <v/>
      </c>
      <c r="Y17" s="80">
        <f>IF(Products!$C$16=0,0,Products!$C$35/Products!$C$16*SUMIFS($E$10:$BL$10,Timeline!$E$4:$BL$4,"&gt;="&amp;(Y$4-Products!$C$16),Timeline!$E$4:$BL$4,"&lt;="&amp;(Y$4-1)))</f>
        <v/>
      </c>
      <c r="Z17" s="80">
        <f>IF(Products!$C$16=0,0,Products!$C$35/Products!$C$16*SUMIFS($E$10:$BL$10,Timeline!$E$4:$BL$4,"&gt;="&amp;(Z$4-Products!$C$16),Timeline!$E$4:$BL$4,"&lt;="&amp;(Z$4-1)))</f>
        <v/>
      </c>
      <c r="AA17" s="80">
        <f>IF(Products!$C$16=0,0,Products!$C$35/Products!$C$16*SUMIFS($E$10:$BL$10,Timeline!$E$4:$BL$4,"&gt;="&amp;(AA$4-Products!$C$16),Timeline!$E$4:$BL$4,"&lt;="&amp;(AA$4-1)))</f>
        <v/>
      </c>
      <c r="AB17" s="80">
        <f>IF(Products!$C$16=0,0,Products!$C$35/Products!$C$16*SUMIFS($E$10:$BL$10,Timeline!$E$4:$BL$4,"&gt;="&amp;(AB$4-Products!$C$16),Timeline!$E$4:$BL$4,"&lt;="&amp;(AB$4-1)))</f>
        <v/>
      </c>
      <c r="AC17" s="80">
        <f>IF(Products!$C$16=0,0,Products!$C$35/Products!$C$16*SUMIFS($E$10:$BL$10,Timeline!$E$4:$BL$4,"&gt;="&amp;(AC$4-Products!$C$16),Timeline!$E$4:$BL$4,"&lt;="&amp;(AC$4-1)))</f>
        <v/>
      </c>
      <c r="AD17" s="80">
        <f>IF(Products!$C$16=0,0,Products!$C$35/Products!$C$16*SUMIFS($E$10:$BL$10,Timeline!$E$4:$BL$4,"&gt;="&amp;(AD$4-Products!$C$16),Timeline!$E$4:$BL$4,"&lt;="&amp;(AD$4-1)))</f>
        <v/>
      </c>
      <c r="AE17" s="80">
        <f>IF(Products!$C$16=0,0,Products!$C$35/Products!$C$16*SUMIFS($E$10:$BL$10,Timeline!$E$4:$BL$4,"&gt;="&amp;(AE$4-Products!$C$16),Timeline!$E$4:$BL$4,"&lt;="&amp;(AE$4-1)))</f>
        <v/>
      </c>
      <c r="AF17" s="80">
        <f>IF(Products!$C$16=0,0,Products!$C$35/Products!$C$16*SUMIFS($E$10:$BL$10,Timeline!$E$4:$BL$4,"&gt;="&amp;(AF$4-Products!$C$16),Timeline!$E$4:$BL$4,"&lt;="&amp;(AF$4-1)))</f>
        <v/>
      </c>
      <c r="AG17" s="80">
        <f>IF(Products!$C$16=0,0,Products!$C$35/Products!$C$16*SUMIFS($E$10:$BL$10,Timeline!$E$4:$BL$4,"&gt;="&amp;(AG$4-Products!$C$16),Timeline!$E$4:$BL$4,"&lt;="&amp;(AG$4-1)))</f>
        <v/>
      </c>
      <c r="AH17" s="80">
        <f>IF(Products!$C$16=0,0,Products!$C$35/Products!$C$16*SUMIFS($E$10:$BL$10,Timeline!$E$4:$BL$4,"&gt;="&amp;(AH$4-Products!$C$16),Timeline!$E$4:$BL$4,"&lt;="&amp;(AH$4-1)))</f>
        <v/>
      </c>
      <c r="AI17" s="80">
        <f>IF(Products!$C$16=0,0,Products!$C$35/Products!$C$16*SUMIFS($E$10:$BL$10,Timeline!$E$4:$BL$4,"&gt;="&amp;(AI$4-Products!$C$16),Timeline!$E$4:$BL$4,"&lt;="&amp;(AI$4-1)))</f>
        <v/>
      </c>
      <c r="AJ17" s="80">
        <f>IF(Products!$C$16=0,0,Products!$C$35/Products!$C$16*SUMIFS($E$10:$BL$10,Timeline!$E$4:$BL$4,"&gt;="&amp;(AJ$4-Products!$C$16),Timeline!$E$4:$BL$4,"&lt;="&amp;(AJ$4-1)))</f>
        <v/>
      </c>
      <c r="AK17" s="80">
        <f>IF(Products!$C$16=0,0,Products!$C$35/Products!$C$16*SUMIFS($E$10:$BL$10,Timeline!$E$4:$BL$4,"&gt;="&amp;(AK$4-Products!$C$16),Timeline!$E$4:$BL$4,"&lt;="&amp;(AK$4-1)))</f>
        <v/>
      </c>
      <c r="AL17" s="80">
        <f>IF(Products!$C$16=0,0,Products!$C$35/Products!$C$16*SUMIFS($E$10:$BL$10,Timeline!$E$4:$BL$4,"&gt;="&amp;(AL$4-Products!$C$16),Timeline!$E$4:$BL$4,"&lt;="&amp;(AL$4-1)))</f>
        <v/>
      </c>
      <c r="AM17" s="80">
        <f>IF(Products!$C$16=0,0,Products!$C$35/Products!$C$16*SUMIFS($E$10:$BL$10,Timeline!$E$4:$BL$4,"&gt;="&amp;(AM$4-Products!$C$16),Timeline!$E$4:$BL$4,"&lt;="&amp;(AM$4-1)))</f>
        <v/>
      </c>
      <c r="AN17" s="80">
        <f>IF(Products!$C$16=0,0,Products!$C$35/Products!$C$16*SUMIFS($E$10:$BL$10,Timeline!$E$4:$BL$4,"&gt;="&amp;(AN$4-Products!$C$16),Timeline!$E$4:$BL$4,"&lt;="&amp;(AN$4-1)))</f>
        <v/>
      </c>
      <c r="AO17" s="80">
        <f>IF(Products!$C$16=0,0,Products!$C$35/Products!$C$16*SUMIFS($E$10:$BL$10,Timeline!$E$4:$BL$4,"&gt;="&amp;(AO$4-Products!$C$16),Timeline!$E$4:$BL$4,"&lt;="&amp;(AO$4-1)))</f>
        <v/>
      </c>
      <c r="AP17" s="80">
        <f>IF(Products!$C$16=0,0,Products!$C$35/Products!$C$16*SUMIFS($E$10:$BL$10,Timeline!$E$4:$BL$4,"&gt;="&amp;(AP$4-Products!$C$16),Timeline!$E$4:$BL$4,"&lt;="&amp;(AP$4-1)))</f>
        <v/>
      </c>
      <c r="AQ17" s="80">
        <f>IF(Products!$C$16=0,0,Products!$C$35/Products!$C$16*SUMIFS($E$10:$BL$10,Timeline!$E$4:$BL$4,"&gt;="&amp;(AQ$4-Products!$C$16),Timeline!$E$4:$BL$4,"&lt;="&amp;(AQ$4-1)))</f>
        <v/>
      </c>
      <c r="AR17" s="80">
        <f>IF(Products!$C$16=0,0,Products!$C$35/Products!$C$16*SUMIFS($E$10:$BL$10,Timeline!$E$4:$BL$4,"&gt;="&amp;(AR$4-Products!$C$16),Timeline!$E$4:$BL$4,"&lt;="&amp;(AR$4-1)))</f>
        <v/>
      </c>
      <c r="AS17" s="80">
        <f>IF(Products!$C$16=0,0,Products!$C$35/Products!$C$16*SUMIFS($E$10:$BL$10,Timeline!$E$4:$BL$4,"&gt;="&amp;(AS$4-Products!$C$16),Timeline!$E$4:$BL$4,"&lt;="&amp;(AS$4-1)))</f>
        <v/>
      </c>
      <c r="AT17" s="80">
        <f>IF(Products!$C$16=0,0,Products!$C$35/Products!$C$16*SUMIFS($E$10:$BL$10,Timeline!$E$4:$BL$4,"&gt;="&amp;(AT$4-Products!$C$16),Timeline!$E$4:$BL$4,"&lt;="&amp;(AT$4-1)))</f>
        <v/>
      </c>
      <c r="AU17" s="80">
        <f>IF(Products!$C$16=0,0,Products!$C$35/Products!$C$16*SUMIFS($E$10:$BL$10,Timeline!$E$4:$BL$4,"&gt;="&amp;(AU$4-Products!$C$16),Timeline!$E$4:$BL$4,"&lt;="&amp;(AU$4-1)))</f>
        <v/>
      </c>
      <c r="AV17" s="80">
        <f>IF(Products!$C$16=0,0,Products!$C$35/Products!$C$16*SUMIFS($E$10:$BL$10,Timeline!$E$4:$BL$4,"&gt;="&amp;(AV$4-Products!$C$16),Timeline!$E$4:$BL$4,"&lt;="&amp;(AV$4-1)))</f>
        <v/>
      </c>
      <c r="AW17" s="80">
        <f>IF(Products!$C$16=0,0,Products!$C$35/Products!$C$16*SUMIFS($E$10:$BL$10,Timeline!$E$4:$BL$4,"&gt;="&amp;(AW$4-Products!$C$16),Timeline!$E$4:$BL$4,"&lt;="&amp;(AW$4-1)))</f>
        <v/>
      </c>
      <c r="AX17" s="80">
        <f>IF(Products!$C$16=0,0,Products!$C$35/Products!$C$16*SUMIFS($E$10:$BL$10,Timeline!$E$4:$BL$4,"&gt;="&amp;(AX$4-Products!$C$16),Timeline!$E$4:$BL$4,"&lt;="&amp;(AX$4-1)))</f>
        <v/>
      </c>
      <c r="AY17" s="80">
        <f>IF(Products!$C$16=0,0,Products!$C$35/Products!$C$16*SUMIFS($E$10:$BL$10,Timeline!$E$4:$BL$4,"&gt;="&amp;(AY$4-Products!$C$16),Timeline!$E$4:$BL$4,"&lt;="&amp;(AY$4-1)))</f>
        <v/>
      </c>
      <c r="AZ17" s="80">
        <f>IF(Products!$C$16=0,0,Products!$C$35/Products!$C$16*SUMIFS($E$10:$BL$10,Timeline!$E$4:$BL$4,"&gt;="&amp;(AZ$4-Products!$C$16),Timeline!$E$4:$BL$4,"&lt;="&amp;(AZ$4-1)))</f>
        <v/>
      </c>
      <c r="BA17" s="80">
        <f>IF(Products!$C$16=0,0,Products!$C$35/Products!$C$16*SUMIFS($E$10:$BL$10,Timeline!$E$4:$BL$4,"&gt;="&amp;(BA$4-Products!$C$16),Timeline!$E$4:$BL$4,"&lt;="&amp;(BA$4-1)))</f>
        <v/>
      </c>
      <c r="BB17" s="80">
        <f>IF(Products!$C$16=0,0,Products!$C$35/Products!$C$16*SUMIFS($E$10:$BL$10,Timeline!$E$4:$BL$4,"&gt;="&amp;(BB$4-Products!$C$16),Timeline!$E$4:$BL$4,"&lt;="&amp;(BB$4-1)))</f>
        <v/>
      </c>
      <c r="BC17" s="80">
        <f>IF(Products!$C$16=0,0,Products!$C$35/Products!$C$16*SUMIFS($E$10:$BL$10,Timeline!$E$4:$BL$4,"&gt;="&amp;(BC$4-Products!$C$16),Timeline!$E$4:$BL$4,"&lt;="&amp;(BC$4-1)))</f>
        <v/>
      </c>
      <c r="BD17" s="80">
        <f>IF(Products!$C$16=0,0,Products!$C$35/Products!$C$16*SUMIFS($E$10:$BL$10,Timeline!$E$4:$BL$4,"&gt;="&amp;(BD$4-Products!$C$16),Timeline!$E$4:$BL$4,"&lt;="&amp;(BD$4-1)))</f>
        <v/>
      </c>
      <c r="BE17" s="80">
        <f>IF(Products!$C$16=0,0,Products!$C$35/Products!$C$16*SUMIFS($E$10:$BL$10,Timeline!$E$4:$BL$4,"&gt;="&amp;(BE$4-Products!$C$16),Timeline!$E$4:$BL$4,"&lt;="&amp;(BE$4-1)))</f>
        <v/>
      </c>
      <c r="BF17" s="80">
        <f>IF(Products!$C$16=0,0,Products!$C$35/Products!$C$16*SUMIFS($E$10:$BL$10,Timeline!$E$4:$BL$4,"&gt;="&amp;(BF$4-Products!$C$16),Timeline!$E$4:$BL$4,"&lt;="&amp;(BF$4-1)))</f>
        <v/>
      </c>
      <c r="BG17" s="80">
        <f>IF(Products!$C$16=0,0,Products!$C$35/Products!$C$16*SUMIFS($E$10:$BL$10,Timeline!$E$4:$BL$4,"&gt;="&amp;(BG$4-Products!$C$16),Timeline!$E$4:$BL$4,"&lt;="&amp;(BG$4-1)))</f>
        <v/>
      </c>
      <c r="BH17" s="80">
        <f>IF(Products!$C$16=0,0,Products!$C$35/Products!$C$16*SUMIFS($E$10:$BL$10,Timeline!$E$4:$BL$4,"&gt;="&amp;(BH$4-Products!$C$16),Timeline!$E$4:$BL$4,"&lt;="&amp;(BH$4-1)))</f>
        <v/>
      </c>
      <c r="BI17" s="80">
        <f>IF(Products!$C$16=0,0,Products!$C$35/Products!$C$16*SUMIFS($E$10:$BL$10,Timeline!$E$4:$BL$4,"&gt;="&amp;(BI$4-Products!$C$16),Timeline!$E$4:$BL$4,"&lt;="&amp;(BI$4-1)))</f>
        <v/>
      </c>
      <c r="BJ17" s="80">
        <f>IF(Products!$C$16=0,0,Products!$C$35/Products!$C$16*SUMIFS($E$10:$BL$10,Timeline!$E$4:$BL$4,"&gt;="&amp;(BJ$4-Products!$C$16),Timeline!$E$4:$BL$4,"&lt;="&amp;(BJ$4-1)))</f>
        <v/>
      </c>
      <c r="BK17" s="80">
        <f>IF(Products!$C$16=0,0,Products!$C$35/Products!$C$16*SUMIFS($E$10:$BL$10,Timeline!$E$4:$BL$4,"&gt;="&amp;(BK$4-Products!$C$16),Timeline!$E$4:$BL$4,"&lt;="&amp;(BK$4-1)))</f>
        <v/>
      </c>
      <c r="BL17" s="80">
        <f>IF(Products!$C$16=0,0,Products!$C$35/Products!$C$16*SUMIFS($E$10:$BL$10,Timeline!$E$4:$BL$4,"&gt;="&amp;(BL$4-Products!$C$16),Timeline!$E$4:$BL$4,"&lt;="&amp;(BL$4-1)))</f>
        <v/>
      </c>
    </row>
    <row r="18">
      <c r="A18" s="98" t="inlineStr">
        <is>
          <t>Expected credit loss charged at origination</t>
        </is>
      </c>
      <c r="B18" s="65" t="inlineStr">
        <is>
          <t>LCY</t>
        </is>
      </c>
      <c r="C18" s="105">
        <f>SUM(E18:BL18)</f>
        <v/>
      </c>
      <c r="E18" s="80">
        <f>E10*Curves!$E$70</f>
        <v/>
      </c>
      <c r="F18" s="80">
        <f>F10*Curves!$E$70</f>
        <v/>
      </c>
      <c r="G18" s="80">
        <f>G10*Curves!$E$70</f>
        <v/>
      </c>
      <c r="H18" s="80">
        <f>H10*Curves!$E$70</f>
        <v/>
      </c>
      <c r="I18" s="80">
        <f>I10*Curves!$E$70</f>
        <v/>
      </c>
      <c r="J18" s="80">
        <f>J10*Curves!$E$70</f>
        <v/>
      </c>
      <c r="K18" s="80">
        <f>K10*Curves!$E$70</f>
        <v/>
      </c>
      <c r="L18" s="80">
        <f>L10*Curves!$E$70</f>
        <v/>
      </c>
      <c r="M18" s="80">
        <f>M10*Curves!$E$70</f>
        <v/>
      </c>
      <c r="N18" s="80">
        <f>N10*Curves!$E$70</f>
        <v/>
      </c>
      <c r="O18" s="80">
        <f>O10*Curves!$E$70</f>
        <v/>
      </c>
      <c r="P18" s="80">
        <f>P10*Curves!$E$70</f>
        <v/>
      </c>
      <c r="Q18" s="80">
        <f>Q10*Curves!$E$70</f>
        <v/>
      </c>
      <c r="R18" s="80">
        <f>R10*Curves!$E$70</f>
        <v/>
      </c>
      <c r="S18" s="80">
        <f>S10*Curves!$E$70</f>
        <v/>
      </c>
      <c r="T18" s="80">
        <f>T10*Curves!$E$70</f>
        <v/>
      </c>
      <c r="U18" s="80">
        <f>U10*Curves!$E$70</f>
        <v/>
      </c>
      <c r="V18" s="80">
        <f>V10*Curves!$E$70</f>
        <v/>
      </c>
      <c r="W18" s="80">
        <f>W10*Curves!$E$70</f>
        <v/>
      </c>
      <c r="X18" s="80">
        <f>X10*Curves!$E$70</f>
        <v/>
      </c>
      <c r="Y18" s="80">
        <f>Y10*Curves!$E$70</f>
        <v/>
      </c>
      <c r="Z18" s="80">
        <f>Z10*Curves!$E$70</f>
        <v/>
      </c>
      <c r="AA18" s="80">
        <f>AA10*Curves!$E$70</f>
        <v/>
      </c>
      <c r="AB18" s="80">
        <f>AB10*Curves!$E$70</f>
        <v/>
      </c>
      <c r="AC18" s="80">
        <f>AC10*Curves!$E$70</f>
        <v/>
      </c>
      <c r="AD18" s="80">
        <f>AD10*Curves!$E$70</f>
        <v/>
      </c>
      <c r="AE18" s="80">
        <f>AE10*Curves!$E$70</f>
        <v/>
      </c>
      <c r="AF18" s="80">
        <f>AF10*Curves!$E$70</f>
        <v/>
      </c>
      <c r="AG18" s="80">
        <f>AG10*Curves!$E$70</f>
        <v/>
      </c>
      <c r="AH18" s="80">
        <f>AH10*Curves!$E$70</f>
        <v/>
      </c>
      <c r="AI18" s="80">
        <f>AI10*Curves!$E$70</f>
        <v/>
      </c>
      <c r="AJ18" s="80">
        <f>AJ10*Curves!$E$70</f>
        <v/>
      </c>
      <c r="AK18" s="80">
        <f>AK10*Curves!$E$70</f>
        <v/>
      </c>
      <c r="AL18" s="80">
        <f>AL10*Curves!$E$70</f>
        <v/>
      </c>
      <c r="AM18" s="80">
        <f>AM10*Curves!$E$70</f>
        <v/>
      </c>
      <c r="AN18" s="80">
        <f>AN10*Curves!$E$70</f>
        <v/>
      </c>
      <c r="AO18" s="80">
        <f>AO10*Curves!$E$70</f>
        <v/>
      </c>
      <c r="AP18" s="80">
        <f>AP10*Curves!$E$70</f>
        <v/>
      </c>
      <c r="AQ18" s="80">
        <f>AQ10*Curves!$E$70</f>
        <v/>
      </c>
      <c r="AR18" s="80">
        <f>AR10*Curves!$E$70</f>
        <v/>
      </c>
      <c r="AS18" s="80">
        <f>AS10*Curves!$E$70</f>
        <v/>
      </c>
      <c r="AT18" s="80">
        <f>AT10*Curves!$E$70</f>
        <v/>
      </c>
      <c r="AU18" s="80">
        <f>AU10*Curves!$E$70</f>
        <v/>
      </c>
      <c r="AV18" s="80">
        <f>AV10*Curves!$E$70</f>
        <v/>
      </c>
      <c r="AW18" s="80">
        <f>AW10*Curves!$E$70</f>
        <v/>
      </c>
      <c r="AX18" s="80">
        <f>AX10*Curves!$E$70</f>
        <v/>
      </c>
      <c r="AY18" s="80">
        <f>AY10*Curves!$E$70</f>
        <v/>
      </c>
      <c r="AZ18" s="80">
        <f>AZ10*Curves!$E$70</f>
        <v/>
      </c>
      <c r="BA18" s="80">
        <f>BA10*Curves!$E$70</f>
        <v/>
      </c>
      <c r="BB18" s="80">
        <f>BB10*Curves!$E$70</f>
        <v/>
      </c>
      <c r="BC18" s="80">
        <f>BC10*Curves!$E$70</f>
        <v/>
      </c>
      <c r="BD18" s="80">
        <f>BD10*Curves!$E$70</f>
        <v/>
      </c>
      <c r="BE18" s="80">
        <f>BE10*Curves!$E$70</f>
        <v/>
      </c>
      <c r="BF18" s="80">
        <f>BF10*Curves!$E$70</f>
        <v/>
      </c>
      <c r="BG18" s="80">
        <f>BG10*Curves!$E$70</f>
        <v/>
      </c>
      <c r="BH18" s="80">
        <f>BH10*Curves!$E$70</f>
        <v/>
      </c>
      <c r="BI18" s="80">
        <f>BI10*Curves!$E$70</f>
        <v/>
      </c>
      <c r="BJ18" s="80">
        <f>BJ10*Curves!$E$70</f>
        <v/>
      </c>
      <c r="BK18" s="80">
        <f>BK10*Curves!$E$70</f>
        <v/>
      </c>
      <c r="BL18" s="80">
        <f>BL10*Curves!$E$70</f>
        <v/>
      </c>
    </row>
    <row r="19">
      <c r="A19" s="98" t="inlineStr">
        <is>
          <t>Recoveries from resale of repossessed units</t>
        </is>
      </c>
      <c r="B19" s="65" t="inlineStr">
        <is>
          <t>LCY</t>
        </is>
      </c>
      <c r="C19" s="105">
        <f>SUM(E19:BL19)</f>
        <v/>
      </c>
      <c r="E19" s="41">
        <f>Cohort_T1!E$198</f>
        <v/>
      </c>
      <c r="F19" s="41">
        <f>Cohort_T1!F$198</f>
        <v/>
      </c>
      <c r="G19" s="41">
        <f>Cohort_T1!G$198</f>
        <v/>
      </c>
      <c r="H19" s="41">
        <f>Cohort_T1!H$198</f>
        <v/>
      </c>
      <c r="I19" s="41">
        <f>Cohort_T1!I$198</f>
        <v/>
      </c>
      <c r="J19" s="41">
        <f>Cohort_T1!J$198</f>
        <v/>
      </c>
      <c r="K19" s="41">
        <f>Cohort_T1!K$198</f>
        <v/>
      </c>
      <c r="L19" s="41">
        <f>Cohort_T1!L$198</f>
        <v/>
      </c>
      <c r="M19" s="41">
        <f>Cohort_T1!M$198</f>
        <v/>
      </c>
      <c r="N19" s="41">
        <f>Cohort_T1!N$198</f>
        <v/>
      </c>
      <c r="O19" s="41">
        <f>Cohort_T1!O$198</f>
        <v/>
      </c>
      <c r="P19" s="41">
        <f>Cohort_T1!P$198</f>
        <v/>
      </c>
      <c r="Q19" s="41">
        <f>Cohort_T1!Q$198</f>
        <v/>
      </c>
      <c r="R19" s="41">
        <f>Cohort_T1!R$198</f>
        <v/>
      </c>
      <c r="S19" s="41">
        <f>Cohort_T1!S$198</f>
        <v/>
      </c>
      <c r="T19" s="41">
        <f>Cohort_T1!T$198</f>
        <v/>
      </c>
      <c r="U19" s="41">
        <f>Cohort_T1!U$198</f>
        <v/>
      </c>
      <c r="V19" s="41">
        <f>Cohort_T1!V$198</f>
        <v/>
      </c>
      <c r="W19" s="41">
        <f>Cohort_T1!W$198</f>
        <v/>
      </c>
      <c r="X19" s="41">
        <f>Cohort_T1!X$198</f>
        <v/>
      </c>
      <c r="Y19" s="41">
        <f>Cohort_T1!Y$198</f>
        <v/>
      </c>
      <c r="Z19" s="41">
        <f>Cohort_T1!Z$198</f>
        <v/>
      </c>
      <c r="AA19" s="41">
        <f>Cohort_T1!AA$198</f>
        <v/>
      </c>
      <c r="AB19" s="41">
        <f>Cohort_T1!AB$198</f>
        <v/>
      </c>
      <c r="AC19" s="41">
        <f>Cohort_T1!AC$198</f>
        <v/>
      </c>
      <c r="AD19" s="41">
        <f>Cohort_T1!AD$198</f>
        <v/>
      </c>
      <c r="AE19" s="41">
        <f>Cohort_T1!AE$198</f>
        <v/>
      </c>
      <c r="AF19" s="41">
        <f>Cohort_T1!AF$198</f>
        <v/>
      </c>
      <c r="AG19" s="41">
        <f>Cohort_T1!AG$198</f>
        <v/>
      </c>
      <c r="AH19" s="41">
        <f>Cohort_T1!AH$198</f>
        <v/>
      </c>
      <c r="AI19" s="41">
        <f>Cohort_T1!AI$198</f>
        <v/>
      </c>
      <c r="AJ19" s="41">
        <f>Cohort_T1!AJ$198</f>
        <v/>
      </c>
      <c r="AK19" s="41">
        <f>Cohort_T1!AK$198</f>
        <v/>
      </c>
      <c r="AL19" s="41">
        <f>Cohort_T1!AL$198</f>
        <v/>
      </c>
      <c r="AM19" s="41">
        <f>Cohort_T1!AM$198</f>
        <v/>
      </c>
      <c r="AN19" s="41">
        <f>Cohort_T1!AN$198</f>
        <v/>
      </c>
      <c r="AO19" s="41">
        <f>Cohort_T1!AO$198</f>
        <v/>
      </c>
      <c r="AP19" s="41">
        <f>Cohort_T1!AP$198</f>
        <v/>
      </c>
      <c r="AQ19" s="41">
        <f>Cohort_T1!AQ$198</f>
        <v/>
      </c>
      <c r="AR19" s="41">
        <f>Cohort_T1!AR$198</f>
        <v/>
      </c>
      <c r="AS19" s="41">
        <f>Cohort_T1!AS$198</f>
        <v/>
      </c>
      <c r="AT19" s="41">
        <f>Cohort_T1!AT$198</f>
        <v/>
      </c>
      <c r="AU19" s="41">
        <f>Cohort_T1!AU$198</f>
        <v/>
      </c>
      <c r="AV19" s="41">
        <f>Cohort_T1!AV$198</f>
        <v/>
      </c>
      <c r="AW19" s="41">
        <f>Cohort_T1!AW$198</f>
        <v/>
      </c>
      <c r="AX19" s="41">
        <f>Cohort_T1!AX$198</f>
        <v/>
      </c>
      <c r="AY19" s="41">
        <f>Cohort_T1!AY$198</f>
        <v/>
      </c>
      <c r="AZ19" s="41">
        <f>Cohort_T1!AZ$198</f>
        <v/>
      </c>
      <c r="BA19" s="41">
        <f>Cohort_T1!BA$198</f>
        <v/>
      </c>
      <c r="BB19" s="41">
        <f>Cohort_T1!BB$198</f>
        <v/>
      </c>
      <c r="BC19" s="41">
        <f>Cohort_T1!BC$198</f>
        <v/>
      </c>
      <c r="BD19" s="41">
        <f>Cohort_T1!BD$198</f>
        <v/>
      </c>
      <c r="BE19" s="41">
        <f>Cohort_T1!BE$198</f>
        <v/>
      </c>
      <c r="BF19" s="41">
        <f>Cohort_T1!BF$198</f>
        <v/>
      </c>
      <c r="BG19" s="41">
        <f>Cohort_T1!BG$198</f>
        <v/>
      </c>
      <c r="BH19" s="41">
        <f>Cohort_T1!BH$198</f>
        <v/>
      </c>
      <c r="BI19" s="41">
        <f>Cohort_T1!BI$198</f>
        <v/>
      </c>
      <c r="BJ19" s="41">
        <f>Cohort_T1!BJ$198</f>
        <v/>
      </c>
      <c r="BK19" s="41">
        <f>Cohort_T1!BK$198</f>
        <v/>
      </c>
      <c r="BL19" s="41">
        <f>Cohort_T1!BL$198</f>
        <v/>
      </c>
    </row>
    <row r="20">
      <c r="A20" s="98" t="inlineStr">
        <is>
          <t>RBF received</t>
        </is>
      </c>
      <c r="B20" s="65" t="inlineStr">
        <is>
          <t>LCY</t>
        </is>
      </c>
      <c r="C20" s="105">
        <f>SUM(E20:BL20)</f>
        <v/>
      </c>
      <c r="E20" s="41">
        <f>RBF_Engine!E$22</f>
        <v/>
      </c>
      <c r="F20" s="41">
        <f>RBF_Engine!F$22</f>
        <v/>
      </c>
      <c r="G20" s="41">
        <f>RBF_Engine!G$22</f>
        <v/>
      </c>
      <c r="H20" s="41">
        <f>RBF_Engine!H$22</f>
        <v/>
      </c>
      <c r="I20" s="41">
        <f>RBF_Engine!I$22</f>
        <v/>
      </c>
      <c r="J20" s="41">
        <f>RBF_Engine!J$22</f>
        <v/>
      </c>
      <c r="K20" s="41">
        <f>RBF_Engine!K$22</f>
        <v/>
      </c>
      <c r="L20" s="41">
        <f>RBF_Engine!L$22</f>
        <v/>
      </c>
      <c r="M20" s="41">
        <f>RBF_Engine!M$22</f>
        <v/>
      </c>
      <c r="N20" s="41">
        <f>RBF_Engine!N$22</f>
        <v/>
      </c>
      <c r="O20" s="41">
        <f>RBF_Engine!O$22</f>
        <v/>
      </c>
      <c r="P20" s="41">
        <f>RBF_Engine!P$22</f>
        <v/>
      </c>
      <c r="Q20" s="41">
        <f>RBF_Engine!Q$22</f>
        <v/>
      </c>
      <c r="R20" s="41">
        <f>RBF_Engine!R$22</f>
        <v/>
      </c>
      <c r="S20" s="41">
        <f>RBF_Engine!S$22</f>
        <v/>
      </c>
      <c r="T20" s="41">
        <f>RBF_Engine!T$22</f>
        <v/>
      </c>
      <c r="U20" s="41">
        <f>RBF_Engine!U$22</f>
        <v/>
      </c>
      <c r="V20" s="41">
        <f>RBF_Engine!V$22</f>
        <v/>
      </c>
      <c r="W20" s="41">
        <f>RBF_Engine!W$22</f>
        <v/>
      </c>
      <c r="X20" s="41">
        <f>RBF_Engine!X$22</f>
        <v/>
      </c>
      <c r="Y20" s="41">
        <f>RBF_Engine!Y$22</f>
        <v/>
      </c>
      <c r="Z20" s="41">
        <f>RBF_Engine!Z$22</f>
        <v/>
      </c>
      <c r="AA20" s="41">
        <f>RBF_Engine!AA$22</f>
        <v/>
      </c>
      <c r="AB20" s="41">
        <f>RBF_Engine!AB$22</f>
        <v/>
      </c>
      <c r="AC20" s="41">
        <f>RBF_Engine!AC$22</f>
        <v/>
      </c>
      <c r="AD20" s="41">
        <f>RBF_Engine!AD$22</f>
        <v/>
      </c>
      <c r="AE20" s="41">
        <f>RBF_Engine!AE$22</f>
        <v/>
      </c>
      <c r="AF20" s="41">
        <f>RBF_Engine!AF$22</f>
        <v/>
      </c>
      <c r="AG20" s="41">
        <f>RBF_Engine!AG$22</f>
        <v/>
      </c>
      <c r="AH20" s="41">
        <f>RBF_Engine!AH$22</f>
        <v/>
      </c>
      <c r="AI20" s="41">
        <f>RBF_Engine!AI$22</f>
        <v/>
      </c>
      <c r="AJ20" s="41">
        <f>RBF_Engine!AJ$22</f>
        <v/>
      </c>
      <c r="AK20" s="41">
        <f>RBF_Engine!AK$22</f>
        <v/>
      </c>
      <c r="AL20" s="41">
        <f>RBF_Engine!AL$22</f>
        <v/>
      </c>
      <c r="AM20" s="41">
        <f>RBF_Engine!AM$22</f>
        <v/>
      </c>
      <c r="AN20" s="41">
        <f>RBF_Engine!AN$22</f>
        <v/>
      </c>
      <c r="AO20" s="41">
        <f>RBF_Engine!AO$22</f>
        <v/>
      </c>
      <c r="AP20" s="41">
        <f>RBF_Engine!AP$22</f>
        <v/>
      </c>
      <c r="AQ20" s="41">
        <f>RBF_Engine!AQ$22</f>
        <v/>
      </c>
      <c r="AR20" s="41">
        <f>RBF_Engine!AR$22</f>
        <v/>
      </c>
      <c r="AS20" s="41">
        <f>RBF_Engine!AS$22</f>
        <v/>
      </c>
      <c r="AT20" s="41">
        <f>RBF_Engine!AT$22</f>
        <v/>
      </c>
      <c r="AU20" s="41">
        <f>RBF_Engine!AU$22</f>
        <v/>
      </c>
      <c r="AV20" s="41">
        <f>RBF_Engine!AV$22</f>
        <v/>
      </c>
      <c r="AW20" s="41">
        <f>RBF_Engine!AW$22</f>
        <v/>
      </c>
      <c r="AX20" s="41">
        <f>RBF_Engine!AX$22</f>
        <v/>
      </c>
      <c r="AY20" s="41">
        <f>RBF_Engine!AY$22</f>
        <v/>
      </c>
      <c r="AZ20" s="41">
        <f>RBF_Engine!AZ$22</f>
        <v/>
      </c>
      <c r="BA20" s="41">
        <f>RBF_Engine!BA$22</f>
        <v/>
      </c>
      <c r="BB20" s="41">
        <f>RBF_Engine!BB$22</f>
        <v/>
      </c>
      <c r="BC20" s="41">
        <f>RBF_Engine!BC$22</f>
        <v/>
      </c>
      <c r="BD20" s="41">
        <f>RBF_Engine!BD$22</f>
        <v/>
      </c>
      <c r="BE20" s="41">
        <f>RBF_Engine!BE$22</f>
        <v/>
      </c>
      <c r="BF20" s="41">
        <f>RBF_Engine!BF$22</f>
        <v/>
      </c>
      <c r="BG20" s="41">
        <f>RBF_Engine!BG$22</f>
        <v/>
      </c>
      <c r="BH20" s="41">
        <f>RBF_Engine!BH$22</f>
        <v/>
      </c>
      <c r="BI20" s="41">
        <f>RBF_Engine!BI$22</f>
        <v/>
      </c>
      <c r="BJ20" s="41">
        <f>RBF_Engine!BJ$22</f>
        <v/>
      </c>
      <c r="BK20" s="41">
        <f>RBF_Engine!BK$22</f>
        <v/>
      </c>
      <c r="BL20" s="41">
        <f>RBF_Engine!BL$22</f>
        <v/>
      </c>
    </row>
    <row r="21">
      <c r="A21" s="98" t="inlineStr">
        <is>
          <t>Active (paying, in-tenor) accounts</t>
        </is>
      </c>
      <c r="B21" s="65" t="inlineStr">
        <is>
          <t>accounts</t>
        </is>
      </c>
      <c r="C21" s="105">
        <f>BL21</f>
        <v/>
      </c>
      <c r="E21" s="41">
        <f>Cohort_T1!E$72</f>
        <v/>
      </c>
      <c r="F21" s="41">
        <f>Cohort_T1!F$72</f>
        <v/>
      </c>
      <c r="G21" s="41">
        <f>Cohort_T1!G$72</f>
        <v/>
      </c>
      <c r="H21" s="41">
        <f>Cohort_T1!H$72</f>
        <v/>
      </c>
      <c r="I21" s="41">
        <f>Cohort_T1!I$72</f>
        <v/>
      </c>
      <c r="J21" s="41">
        <f>Cohort_T1!J$72</f>
        <v/>
      </c>
      <c r="K21" s="41">
        <f>Cohort_T1!K$72</f>
        <v/>
      </c>
      <c r="L21" s="41">
        <f>Cohort_T1!L$72</f>
        <v/>
      </c>
      <c r="M21" s="41">
        <f>Cohort_T1!M$72</f>
        <v/>
      </c>
      <c r="N21" s="41">
        <f>Cohort_T1!N$72</f>
        <v/>
      </c>
      <c r="O21" s="41">
        <f>Cohort_T1!O$72</f>
        <v/>
      </c>
      <c r="P21" s="41">
        <f>Cohort_T1!P$72</f>
        <v/>
      </c>
      <c r="Q21" s="41">
        <f>Cohort_T1!Q$72</f>
        <v/>
      </c>
      <c r="R21" s="41">
        <f>Cohort_T1!R$72</f>
        <v/>
      </c>
      <c r="S21" s="41">
        <f>Cohort_T1!S$72</f>
        <v/>
      </c>
      <c r="T21" s="41">
        <f>Cohort_T1!T$72</f>
        <v/>
      </c>
      <c r="U21" s="41">
        <f>Cohort_T1!U$72</f>
        <v/>
      </c>
      <c r="V21" s="41">
        <f>Cohort_T1!V$72</f>
        <v/>
      </c>
      <c r="W21" s="41">
        <f>Cohort_T1!W$72</f>
        <v/>
      </c>
      <c r="X21" s="41">
        <f>Cohort_T1!X$72</f>
        <v/>
      </c>
      <c r="Y21" s="41">
        <f>Cohort_T1!Y$72</f>
        <v/>
      </c>
      <c r="Z21" s="41">
        <f>Cohort_T1!Z$72</f>
        <v/>
      </c>
      <c r="AA21" s="41">
        <f>Cohort_T1!AA$72</f>
        <v/>
      </c>
      <c r="AB21" s="41">
        <f>Cohort_T1!AB$72</f>
        <v/>
      </c>
      <c r="AC21" s="41">
        <f>Cohort_T1!AC$72</f>
        <v/>
      </c>
      <c r="AD21" s="41">
        <f>Cohort_T1!AD$72</f>
        <v/>
      </c>
      <c r="AE21" s="41">
        <f>Cohort_T1!AE$72</f>
        <v/>
      </c>
      <c r="AF21" s="41">
        <f>Cohort_T1!AF$72</f>
        <v/>
      </c>
      <c r="AG21" s="41">
        <f>Cohort_T1!AG$72</f>
        <v/>
      </c>
      <c r="AH21" s="41">
        <f>Cohort_T1!AH$72</f>
        <v/>
      </c>
      <c r="AI21" s="41">
        <f>Cohort_T1!AI$72</f>
        <v/>
      </c>
      <c r="AJ21" s="41">
        <f>Cohort_T1!AJ$72</f>
        <v/>
      </c>
      <c r="AK21" s="41">
        <f>Cohort_T1!AK$72</f>
        <v/>
      </c>
      <c r="AL21" s="41">
        <f>Cohort_T1!AL$72</f>
        <v/>
      </c>
      <c r="AM21" s="41">
        <f>Cohort_T1!AM$72</f>
        <v/>
      </c>
      <c r="AN21" s="41">
        <f>Cohort_T1!AN$72</f>
        <v/>
      </c>
      <c r="AO21" s="41">
        <f>Cohort_T1!AO$72</f>
        <v/>
      </c>
      <c r="AP21" s="41">
        <f>Cohort_T1!AP$72</f>
        <v/>
      </c>
      <c r="AQ21" s="41">
        <f>Cohort_T1!AQ$72</f>
        <v/>
      </c>
      <c r="AR21" s="41">
        <f>Cohort_T1!AR$72</f>
        <v/>
      </c>
      <c r="AS21" s="41">
        <f>Cohort_T1!AS$72</f>
        <v/>
      </c>
      <c r="AT21" s="41">
        <f>Cohort_T1!AT$72</f>
        <v/>
      </c>
      <c r="AU21" s="41">
        <f>Cohort_T1!AU$72</f>
        <v/>
      </c>
      <c r="AV21" s="41">
        <f>Cohort_T1!AV$72</f>
        <v/>
      </c>
      <c r="AW21" s="41">
        <f>Cohort_T1!AW$72</f>
        <v/>
      </c>
      <c r="AX21" s="41">
        <f>Cohort_T1!AX$72</f>
        <v/>
      </c>
      <c r="AY21" s="41">
        <f>Cohort_T1!AY$72</f>
        <v/>
      </c>
      <c r="AZ21" s="41">
        <f>Cohort_T1!AZ$72</f>
        <v/>
      </c>
      <c r="BA21" s="41">
        <f>Cohort_T1!BA$72</f>
        <v/>
      </c>
      <c r="BB21" s="41">
        <f>Cohort_T1!BB$72</f>
        <v/>
      </c>
      <c r="BC21" s="41">
        <f>Cohort_T1!BC$72</f>
        <v/>
      </c>
      <c r="BD21" s="41">
        <f>Cohort_T1!BD$72</f>
        <v/>
      </c>
      <c r="BE21" s="41">
        <f>Cohort_T1!BE$72</f>
        <v/>
      </c>
      <c r="BF21" s="41">
        <f>Cohort_T1!BF$72</f>
        <v/>
      </c>
      <c r="BG21" s="41">
        <f>Cohort_T1!BG$72</f>
        <v/>
      </c>
      <c r="BH21" s="41">
        <f>Cohort_T1!BH$72</f>
        <v/>
      </c>
      <c r="BI21" s="41">
        <f>Cohort_T1!BI$72</f>
        <v/>
      </c>
      <c r="BJ21" s="41">
        <f>Cohort_T1!BJ$72</f>
        <v/>
      </c>
      <c r="BK21" s="41">
        <f>Cohort_T1!BK$72</f>
        <v/>
      </c>
      <c r="BL21" s="41">
        <f>Cohort_T1!BL$72</f>
        <v/>
      </c>
    </row>
    <row r="22">
      <c r="A22" s="98" t="inlineStr">
        <is>
          <t>Accounts reaching end of tenor (unlocked)</t>
        </is>
      </c>
      <c r="B22" s="65" t="inlineStr">
        <is>
          <t>accounts</t>
        </is>
      </c>
      <c r="C22" s="105">
        <f>SUM(E22:BL22)</f>
        <v/>
      </c>
      <c r="E22" s="80">
        <f>IF(E$4&gt;Products!$C$16,INDEX($E$9:$BL$9,1,E$4-Products!$C$16)*INDEX(Curves!$B$8:$B$68,Products!$C$16+1),0)</f>
        <v/>
      </c>
      <c r="F22" s="80">
        <f>IF(F$4&gt;Products!$C$16,INDEX($E$9:$BL$9,1,F$4-Products!$C$16)*INDEX(Curves!$B$8:$B$68,Products!$C$16+1),0)</f>
        <v/>
      </c>
      <c r="G22" s="80">
        <f>IF(G$4&gt;Products!$C$16,INDEX($E$9:$BL$9,1,G$4-Products!$C$16)*INDEX(Curves!$B$8:$B$68,Products!$C$16+1),0)</f>
        <v/>
      </c>
      <c r="H22" s="80">
        <f>IF(H$4&gt;Products!$C$16,INDEX($E$9:$BL$9,1,H$4-Products!$C$16)*INDEX(Curves!$B$8:$B$68,Products!$C$16+1),0)</f>
        <v/>
      </c>
      <c r="I22" s="80">
        <f>IF(I$4&gt;Products!$C$16,INDEX($E$9:$BL$9,1,I$4-Products!$C$16)*INDEX(Curves!$B$8:$B$68,Products!$C$16+1),0)</f>
        <v/>
      </c>
      <c r="J22" s="80">
        <f>IF(J$4&gt;Products!$C$16,INDEX($E$9:$BL$9,1,J$4-Products!$C$16)*INDEX(Curves!$B$8:$B$68,Products!$C$16+1),0)</f>
        <v/>
      </c>
      <c r="K22" s="80">
        <f>IF(K$4&gt;Products!$C$16,INDEX($E$9:$BL$9,1,K$4-Products!$C$16)*INDEX(Curves!$B$8:$B$68,Products!$C$16+1),0)</f>
        <v/>
      </c>
      <c r="L22" s="80">
        <f>IF(L$4&gt;Products!$C$16,INDEX($E$9:$BL$9,1,L$4-Products!$C$16)*INDEX(Curves!$B$8:$B$68,Products!$C$16+1),0)</f>
        <v/>
      </c>
      <c r="M22" s="80">
        <f>IF(M$4&gt;Products!$C$16,INDEX($E$9:$BL$9,1,M$4-Products!$C$16)*INDEX(Curves!$B$8:$B$68,Products!$C$16+1),0)</f>
        <v/>
      </c>
      <c r="N22" s="80">
        <f>IF(N$4&gt;Products!$C$16,INDEX($E$9:$BL$9,1,N$4-Products!$C$16)*INDEX(Curves!$B$8:$B$68,Products!$C$16+1),0)</f>
        <v/>
      </c>
      <c r="O22" s="80">
        <f>IF(O$4&gt;Products!$C$16,INDEX($E$9:$BL$9,1,O$4-Products!$C$16)*INDEX(Curves!$B$8:$B$68,Products!$C$16+1),0)</f>
        <v/>
      </c>
      <c r="P22" s="80">
        <f>IF(P$4&gt;Products!$C$16,INDEX($E$9:$BL$9,1,P$4-Products!$C$16)*INDEX(Curves!$B$8:$B$68,Products!$C$16+1),0)</f>
        <v/>
      </c>
      <c r="Q22" s="80">
        <f>IF(Q$4&gt;Products!$C$16,INDEX($E$9:$BL$9,1,Q$4-Products!$C$16)*INDEX(Curves!$B$8:$B$68,Products!$C$16+1),0)</f>
        <v/>
      </c>
      <c r="R22" s="80">
        <f>IF(R$4&gt;Products!$C$16,INDEX($E$9:$BL$9,1,R$4-Products!$C$16)*INDEX(Curves!$B$8:$B$68,Products!$C$16+1),0)</f>
        <v/>
      </c>
      <c r="S22" s="80">
        <f>IF(S$4&gt;Products!$C$16,INDEX($E$9:$BL$9,1,S$4-Products!$C$16)*INDEX(Curves!$B$8:$B$68,Products!$C$16+1),0)</f>
        <v/>
      </c>
      <c r="T22" s="80">
        <f>IF(T$4&gt;Products!$C$16,INDEX($E$9:$BL$9,1,T$4-Products!$C$16)*INDEX(Curves!$B$8:$B$68,Products!$C$16+1),0)</f>
        <v/>
      </c>
      <c r="U22" s="80">
        <f>IF(U$4&gt;Products!$C$16,INDEX($E$9:$BL$9,1,U$4-Products!$C$16)*INDEX(Curves!$B$8:$B$68,Products!$C$16+1),0)</f>
        <v/>
      </c>
      <c r="V22" s="80">
        <f>IF(V$4&gt;Products!$C$16,INDEX($E$9:$BL$9,1,V$4-Products!$C$16)*INDEX(Curves!$B$8:$B$68,Products!$C$16+1),0)</f>
        <v/>
      </c>
      <c r="W22" s="80">
        <f>IF(W$4&gt;Products!$C$16,INDEX($E$9:$BL$9,1,W$4-Products!$C$16)*INDEX(Curves!$B$8:$B$68,Products!$C$16+1),0)</f>
        <v/>
      </c>
      <c r="X22" s="80">
        <f>IF(X$4&gt;Products!$C$16,INDEX($E$9:$BL$9,1,X$4-Products!$C$16)*INDEX(Curves!$B$8:$B$68,Products!$C$16+1),0)</f>
        <v/>
      </c>
      <c r="Y22" s="80">
        <f>IF(Y$4&gt;Products!$C$16,INDEX($E$9:$BL$9,1,Y$4-Products!$C$16)*INDEX(Curves!$B$8:$B$68,Products!$C$16+1),0)</f>
        <v/>
      </c>
      <c r="Z22" s="80">
        <f>IF(Z$4&gt;Products!$C$16,INDEX($E$9:$BL$9,1,Z$4-Products!$C$16)*INDEX(Curves!$B$8:$B$68,Products!$C$16+1),0)</f>
        <v/>
      </c>
      <c r="AA22" s="80">
        <f>IF(AA$4&gt;Products!$C$16,INDEX($E$9:$BL$9,1,AA$4-Products!$C$16)*INDEX(Curves!$B$8:$B$68,Products!$C$16+1),0)</f>
        <v/>
      </c>
      <c r="AB22" s="80">
        <f>IF(AB$4&gt;Products!$C$16,INDEX($E$9:$BL$9,1,AB$4-Products!$C$16)*INDEX(Curves!$B$8:$B$68,Products!$C$16+1),0)</f>
        <v/>
      </c>
      <c r="AC22" s="80">
        <f>IF(AC$4&gt;Products!$C$16,INDEX($E$9:$BL$9,1,AC$4-Products!$C$16)*INDEX(Curves!$B$8:$B$68,Products!$C$16+1),0)</f>
        <v/>
      </c>
      <c r="AD22" s="80">
        <f>IF(AD$4&gt;Products!$C$16,INDEX($E$9:$BL$9,1,AD$4-Products!$C$16)*INDEX(Curves!$B$8:$B$68,Products!$C$16+1),0)</f>
        <v/>
      </c>
      <c r="AE22" s="80">
        <f>IF(AE$4&gt;Products!$C$16,INDEX($E$9:$BL$9,1,AE$4-Products!$C$16)*INDEX(Curves!$B$8:$B$68,Products!$C$16+1),0)</f>
        <v/>
      </c>
      <c r="AF22" s="80">
        <f>IF(AF$4&gt;Products!$C$16,INDEX($E$9:$BL$9,1,AF$4-Products!$C$16)*INDEX(Curves!$B$8:$B$68,Products!$C$16+1),0)</f>
        <v/>
      </c>
      <c r="AG22" s="80">
        <f>IF(AG$4&gt;Products!$C$16,INDEX($E$9:$BL$9,1,AG$4-Products!$C$16)*INDEX(Curves!$B$8:$B$68,Products!$C$16+1),0)</f>
        <v/>
      </c>
      <c r="AH22" s="80">
        <f>IF(AH$4&gt;Products!$C$16,INDEX($E$9:$BL$9,1,AH$4-Products!$C$16)*INDEX(Curves!$B$8:$B$68,Products!$C$16+1),0)</f>
        <v/>
      </c>
      <c r="AI22" s="80">
        <f>IF(AI$4&gt;Products!$C$16,INDEX($E$9:$BL$9,1,AI$4-Products!$C$16)*INDEX(Curves!$B$8:$B$68,Products!$C$16+1),0)</f>
        <v/>
      </c>
      <c r="AJ22" s="80">
        <f>IF(AJ$4&gt;Products!$C$16,INDEX($E$9:$BL$9,1,AJ$4-Products!$C$16)*INDEX(Curves!$B$8:$B$68,Products!$C$16+1),0)</f>
        <v/>
      </c>
      <c r="AK22" s="80">
        <f>IF(AK$4&gt;Products!$C$16,INDEX($E$9:$BL$9,1,AK$4-Products!$C$16)*INDEX(Curves!$B$8:$B$68,Products!$C$16+1),0)</f>
        <v/>
      </c>
      <c r="AL22" s="80">
        <f>IF(AL$4&gt;Products!$C$16,INDEX($E$9:$BL$9,1,AL$4-Products!$C$16)*INDEX(Curves!$B$8:$B$68,Products!$C$16+1),0)</f>
        <v/>
      </c>
      <c r="AM22" s="80">
        <f>IF(AM$4&gt;Products!$C$16,INDEX($E$9:$BL$9,1,AM$4-Products!$C$16)*INDEX(Curves!$B$8:$B$68,Products!$C$16+1),0)</f>
        <v/>
      </c>
      <c r="AN22" s="80">
        <f>IF(AN$4&gt;Products!$C$16,INDEX($E$9:$BL$9,1,AN$4-Products!$C$16)*INDEX(Curves!$B$8:$B$68,Products!$C$16+1),0)</f>
        <v/>
      </c>
      <c r="AO22" s="80">
        <f>IF(AO$4&gt;Products!$C$16,INDEX($E$9:$BL$9,1,AO$4-Products!$C$16)*INDEX(Curves!$B$8:$B$68,Products!$C$16+1),0)</f>
        <v/>
      </c>
      <c r="AP22" s="80">
        <f>IF(AP$4&gt;Products!$C$16,INDEX($E$9:$BL$9,1,AP$4-Products!$C$16)*INDEX(Curves!$B$8:$B$68,Products!$C$16+1),0)</f>
        <v/>
      </c>
      <c r="AQ22" s="80">
        <f>IF(AQ$4&gt;Products!$C$16,INDEX($E$9:$BL$9,1,AQ$4-Products!$C$16)*INDEX(Curves!$B$8:$B$68,Products!$C$16+1),0)</f>
        <v/>
      </c>
      <c r="AR22" s="80">
        <f>IF(AR$4&gt;Products!$C$16,INDEX($E$9:$BL$9,1,AR$4-Products!$C$16)*INDEX(Curves!$B$8:$B$68,Products!$C$16+1),0)</f>
        <v/>
      </c>
      <c r="AS22" s="80">
        <f>IF(AS$4&gt;Products!$C$16,INDEX($E$9:$BL$9,1,AS$4-Products!$C$16)*INDEX(Curves!$B$8:$B$68,Products!$C$16+1),0)</f>
        <v/>
      </c>
      <c r="AT22" s="80">
        <f>IF(AT$4&gt;Products!$C$16,INDEX($E$9:$BL$9,1,AT$4-Products!$C$16)*INDEX(Curves!$B$8:$B$68,Products!$C$16+1),0)</f>
        <v/>
      </c>
      <c r="AU22" s="80">
        <f>IF(AU$4&gt;Products!$C$16,INDEX($E$9:$BL$9,1,AU$4-Products!$C$16)*INDEX(Curves!$B$8:$B$68,Products!$C$16+1),0)</f>
        <v/>
      </c>
      <c r="AV22" s="80">
        <f>IF(AV$4&gt;Products!$C$16,INDEX($E$9:$BL$9,1,AV$4-Products!$C$16)*INDEX(Curves!$B$8:$B$68,Products!$C$16+1),0)</f>
        <v/>
      </c>
      <c r="AW22" s="80">
        <f>IF(AW$4&gt;Products!$C$16,INDEX($E$9:$BL$9,1,AW$4-Products!$C$16)*INDEX(Curves!$B$8:$B$68,Products!$C$16+1),0)</f>
        <v/>
      </c>
      <c r="AX22" s="80">
        <f>IF(AX$4&gt;Products!$C$16,INDEX($E$9:$BL$9,1,AX$4-Products!$C$16)*INDEX(Curves!$B$8:$B$68,Products!$C$16+1),0)</f>
        <v/>
      </c>
      <c r="AY22" s="80">
        <f>IF(AY$4&gt;Products!$C$16,INDEX($E$9:$BL$9,1,AY$4-Products!$C$16)*INDEX(Curves!$B$8:$B$68,Products!$C$16+1),0)</f>
        <v/>
      </c>
      <c r="AZ22" s="80">
        <f>IF(AZ$4&gt;Products!$C$16,INDEX($E$9:$BL$9,1,AZ$4-Products!$C$16)*INDEX(Curves!$B$8:$B$68,Products!$C$16+1),0)</f>
        <v/>
      </c>
      <c r="BA22" s="80">
        <f>IF(BA$4&gt;Products!$C$16,INDEX($E$9:$BL$9,1,BA$4-Products!$C$16)*INDEX(Curves!$B$8:$B$68,Products!$C$16+1),0)</f>
        <v/>
      </c>
      <c r="BB22" s="80">
        <f>IF(BB$4&gt;Products!$C$16,INDEX($E$9:$BL$9,1,BB$4-Products!$C$16)*INDEX(Curves!$B$8:$B$68,Products!$C$16+1),0)</f>
        <v/>
      </c>
      <c r="BC22" s="80">
        <f>IF(BC$4&gt;Products!$C$16,INDEX($E$9:$BL$9,1,BC$4-Products!$C$16)*INDEX(Curves!$B$8:$B$68,Products!$C$16+1),0)</f>
        <v/>
      </c>
      <c r="BD22" s="80">
        <f>IF(BD$4&gt;Products!$C$16,INDEX($E$9:$BL$9,1,BD$4-Products!$C$16)*INDEX(Curves!$B$8:$B$68,Products!$C$16+1),0)</f>
        <v/>
      </c>
      <c r="BE22" s="80">
        <f>IF(BE$4&gt;Products!$C$16,INDEX($E$9:$BL$9,1,BE$4-Products!$C$16)*INDEX(Curves!$B$8:$B$68,Products!$C$16+1),0)</f>
        <v/>
      </c>
      <c r="BF22" s="80">
        <f>IF(BF$4&gt;Products!$C$16,INDEX($E$9:$BL$9,1,BF$4-Products!$C$16)*INDEX(Curves!$B$8:$B$68,Products!$C$16+1),0)</f>
        <v/>
      </c>
      <c r="BG22" s="80">
        <f>IF(BG$4&gt;Products!$C$16,INDEX($E$9:$BL$9,1,BG$4-Products!$C$16)*INDEX(Curves!$B$8:$B$68,Products!$C$16+1),0)</f>
        <v/>
      </c>
      <c r="BH22" s="80">
        <f>IF(BH$4&gt;Products!$C$16,INDEX($E$9:$BL$9,1,BH$4-Products!$C$16)*INDEX(Curves!$B$8:$B$68,Products!$C$16+1),0)</f>
        <v/>
      </c>
      <c r="BI22" s="80">
        <f>IF(BI$4&gt;Products!$C$16,INDEX($E$9:$BL$9,1,BI$4-Products!$C$16)*INDEX(Curves!$B$8:$B$68,Products!$C$16+1),0)</f>
        <v/>
      </c>
      <c r="BJ22" s="80">
        <f>IF(BJ$4&gt;Products!$C$16,INDEX($E$9:$BL$9,1,BJ$4-Products!$C$16)*INDEX(Curves!$B$8:$B$68,Products!$C$16+1),0)</f>
        <v/>
      </c>
      <c r="BK22" s="80">
        <f>IF(BK$4&gt;Products!$C$16,INDEX($E$9:$BL$9,1,BK$4-Products!$C$16)*INDEX(Curves!$B$8:$B$68,Products!$C$16+1),0)</f>
        <v/>
      </c>
      <c r="BL22" s="80">
        <f>IF(BL$4&gt;Products!$C$16,INDEX($E$9:$BL$9,1,BL$4-Products!$C$16)*INDEX(Curves!$B$8:$B$68,Products!$C$16+1),0)</f>
        <v/>
      </c>
    </row>
    <row r="23">
      <c r="A23" s="98" t="inlineStr">
        <is>
          <t>Receivables at risk (carrying amount, accounts that stopped paying)</t>
        </is>
      </c>
      <c r="B23" s="65" t="inlineStr">
        <is>
          <t>LCY</t>
        </is>
      </c>
      <c r="C23" s="105">
        <f>BL23</f>
        <v/>
      </c>
      <c r="E23" s="41">
        <f>Cohort_T1!E$135</f>
        <v/>
      </c>
      <c r="F23" s="41">
        <f>Cohort_T1!F$135</f>
        <v/>
      </c>
      <c r="G23" s="41">
        <f>Cohort_T1!G$135</f>
        <v/>
      </c>
      <c r="H23" s="41">
        <f>Cohort_T1!H$135</f>
        <v/>
      </c>
      <c r="I23" s="41">
        <f>Cohort_T1!I$135</f>
        <v/>
      </c>
      <c r="J23" s="41">
        <f>Cohort_T1!J$135</f>
        <v/>
      </c>
      <c r="K23" s="41">
        <f>Cohort_T1!K$135</f>
        <v/>
      </c>
      <c r="L23" s="41">
        <f>Cohort_T1!L$135</f>
        <v/>
      </c>
      <c r="M23" s="41">
        <f>Cohort_T1!M$135</f>
        <v/>
      </c>
      <c r="N23" s="41">
        <f>Cohort_T1!N$135</f>
        <v/>
      </c>
      <c r="O23" s="41">
        <f>Cohort_T1!O$135</f>
        <v/>
      </c>
      <c r="P23" s="41">
        <f>Cohort_T1!P$135</f>
        <v/>
      </c>
      <c r="Q23" s="41">
        <f>Cohort_T1!Q$135</f>
        <v/>
      </c>
      <c r="R23" s="41">
        <f>Cohort_T1!R$135</f>
        <v/>
      </c>
      <c r="S23" s="41">
        <f>Cohort_T1!S$135</f>
        <v/>
      </c>
      <c r="T23" s="41">
        <f>Cohort_T1!T$135</f>
        <v/>
      </c>
      <c r="U23" s="41">
        <f>Cohort_T1!U$135</f>
        <v/>
      </c>
      <c r="V23" s="41">
        <f>Cohort_T1!V$135</f>
        <v/>
      </c>
      <c r="W23" s="41">
        <f>Cohort_T1!W$135</f>
        <v/>
      </c>
      <c r="X23" s="41">
        <f>Cohort_T1!X$135</f>
        <v/>
      </c>
      <c r="Y23" s="41">
        <f>Cohort_T1!Y$135</f>
        <v/>
      </c>
      <c r="Z23" s="41">
        <f>Cohort_T1!Z$135</f>
        <v/>
      </c>
      <c r="AA23" s="41">
        <f>Cohort_T1!AA$135</f>
        <v/>
      </c>
      <c r="AB23" s="41">
        <f>Cohort_T1!AB$135</f>
        <v/>
      </c>
      <c r="AC23" s="41">
        <f>Cohort_T1!AC$135</f>
        <v/>
      </c>
      <c r="AD23" s="41">
        <f>Cohort_T1!AD$135</f>
        <v/>
      </c>
      <c r="AE23" s="41">
        <f>Cohort_T1!AE$135</f>
        <v/>
      </c>
      <c r="AF23" s="41">
        <f>Cohort_T1!AF$135</f>
        <v/>
      </c>
      <c r="AG23" s="41">
        <f>Cohort_T1!AG$135</f>
        <v/>
      </c>
      <c r="AH23" s="41">
        <f>Cohort_T1!AH$135</f>
        <v/>
      </c>
      <c r="AI23" s="41">
        <f>Cohort_T1!AI$135</f>
        <v/>
      </c>
      <c r="AJ23" s="41">
        <f>Cohort_T1!AJ$135</f>
        <v/>
      </c>
      <c r="AK23" s="41">
        <f>Cohort_T1!AK$135</f>
        <v/>
      </c>
      <c r="AL23" s="41">
        <f>Cohort_T1!AL$135</f>
        <v/>
      </c>
      <c r="AM23" s="41">
        <f>Cohort_T1!AM$135</f>
        <v/>
      </c>
      <c r="AN23" s="41">
        <f>Cohort_T1!AN$135</f>
        <v/>
      </c>
      <c r="AO23" s="41">
        <f>Cohort_T1!AO$135</f>
        <v/>
      </c>
      <c r="AP23" s="41">
        <f>Cohort_T1!AP$135</f>
        <v/>
      </c>
      <c r="AQ23" s="41">
        <f>Cohort_T1!AQ$135</f>
        <v/>
      </c>
      <c r="AR23" s="41">
        <f>Cohort_T1!AR$135</f>
        <v/>
      </c>
      <c r="AS23" s="41">
        <f>Cohort_T1!AS$135</f>
        <v/>
      </c>
      <c r="AT23" s="41">
        <f>Cohort_T1!AT$135</f>
        <v/>
      </c>
      <c r="AU23" s="41">
        <f>Cohort_T1!AU$135</f>
        <v/>
      </c>
      <c r="AV23" s="41">
        <f>Cohort_T1!AV$135</f>
        <v/>
      </c>
      <c r="AW23" s="41">
        <f>Cohort_T1!AW$135</f>
        <v/>
      </c>
      <c r="AX23" s="41">
        <f>Cohort_T1!AX$135</f>
        <v/>
      </c>
      <c r="AY23" s="41">
        <f>Cohort_T1!AY$135</f>
        <v/>
      </c>
      <c r="AZ23" s="41">
        <f>Cohort_T1!AZ$135</f>
        <v/>
      </c>
      <c r="BA23" s="41">
        <f>Cohort_T1!BA$135</f>
        <v/>
      </c>
      <c r="BB23" s="41">
        <f>Cohort_T1!BB$135</f>
        <v/>
      </c>
      <c r="BC23" s="41">
        <f>Cohort_T1!BC$135</f>
        <v/>
      </c>
      <c r="BD23" s="41">
        <f>Cohort_T1!BD$135</f>
        <v/>
      </c>
      <c r="BE23" s="41">
        <f>Cohort_T1!BE$135</f>
        <v/>
      </c>
      <c r="BF23" s="41">
        <f>Cohort_T1!BF$135</f>
        <v/>
      </c>
      <c r="BG23" s="41">
        <f>Cohort_T1!BG$135</f>
        <v/>
      </c>
      <c r="BH23" s="41">
        <f>Cohort_T1!BH$135</f>
        <v/>
      </c>
      <c r="BI23" s="41">
        <f>Cohort_T1!BI$135</f>
        <v/>
      </c>
      <c r="BJ23" s="41">
        <f>Cohort_T1!BJ$135</f>
        <v/>
      </c>
      <c r="BK23" s="41">
        <f>Cohort_T1!BK$135</f>
        <v/>
      </c>
      <c r="BL23" s="41">
        <f>Cohort_T1!BL$135</f>
        <v/>
      </c>
    </row>
    <row r="24">
      <c r="A24" s="98" t="inlineStr">
        <is>
          <t>Gross PAYGo receivables (closing)</t>
        </is>
      </c>
      <c r="B24" s="65" t="inlineStr">
        <is>
          <t>LCY</t>
        </is>
      </c>
      <c r="C24" s="105">
        <f>BL24</f>
        <v/>
      </c>
      <c r="E24" s="80">
        <f>D24+E13+E17-E15-E16</f>
        <v/>
      </c>
      <c r="F24" s="80">
        <f>E24+F13+F17-F15-F16</f>
        <v/>
      </c>
      <c r="G24" s="80">
        <f>F24+G13+G17-G15-G16</f>
        <v/>
      </c>
      <c r="H24" s="80">
        <f>G24+H13+H17-H15-H16</f>
        <v/>
      </c>
      <c r="I24" s="80">
        <f>H24+I13+I17-I15-I16</f>
        <v/>
      </c>
      <c r="J24" s="80">
        <f>I24+J13+J17-J15-J16</f>
        <v/>
      </c>
      <c r="K24" s="80">
        <f>J24+K13+K17-K15-K16</f>
        <v/>
      </c>
      <c r="L24" s="80">
        <f>K24+L13+L17-L15-L16</f>
        <v/>
      </c>
      <c r="M24" s="80">
        <f>L24+M13+M17-M15-M16</f>
        <v/>
      </c>
      <c r="N24" s="80">
        <f>M24+N13+N17-N15-N16</f>
        <v/>
      </c>
      <c r="O24" s="80">
        <f>N24+O13+O17-O15-O16</f>
        <v/>
      </c>
      <c r="P24" s="80">
        <f>O24+P13+P17-P15-P16</f>
        <v/>
      </c>
      <c r="Q24" s="80">
        <f>P24+Q13+Q17-Q15-Q16</f>
        <v/>
      </c>
      <c r="R24" s="80">
        <f>Q24+R13+R17-R15-R16</f>
        <v/>
      </c>
      <c r="S24" s="80">
        <f>R24+S13+S17-S15-S16</f>
        <v/>
      </c>
      <c r="T24" s="80">
        <f>S24+T13+T17-T15-T16</f>
        <v/>
      </c>
      <c r="U24" s="80">
        <f>T24+U13+U17-U15-U16</f>
        <v/>
      </c>
      <c r="V24" s="80">
        <f>U24+V13+V17-V15-V16</f>
        <v/>
      </c>
      <c r="W24" s="80">
        <f>V24+W13+W17-W15-W16</f>
        <v/>
      </c>
      <c r="X24" s="80">
        <f>W24+X13+X17-X15-X16</f>
        <v/>
      </c>
      <c r="Y24" s="80">
        <f>X24+Y13+Y17-Y15-Y16</f>
        <v/>
      </c>
      <c r="Z24" s="80">
        <f>Y24+Z13+Z17-Z15-Z16</f>
        <v/>
      </c>
      <c r="AA24" s="80">
        <f>Z24+AA13+AA17-AA15-AA16</f>
        <v/>
      </c>
      <c r="AB24" s="80">
        <f>AA24+AB13+AB17-AB15-AB16</f>
        <v/>
      </c>
      <c r="AC24" s="80">
        <f>AB24+AC13+AC17-AC15-AC16</f>
        <v/>
      </c>
      <c r="AD24" s="80">
        <f>AC24+AD13+AD17-AD15-AD16</f>
        <v/>
      </c>
      <c r="AE24" s="80">
        <f>AD24+AE13+AE17-AE15-AE16</f>
        <v/>
      </c>
      <c r="AF24" s="80">
        <f>AE24+AF13+AF17-AF15-AF16</f>
        <v/>
      </c>
      <c r="AG24" s="80">
        <f>AF24+AG13+AG17-AG15-AG16</f>
        <v/>
      </c>
      <c r="AH24" s="80">
        <f>AG24+AH13+AH17-AH15-AH16</f>
        <v/>
      </c>
      <c r="AI24" s="80">
        <f>AH24+AI13+AI17-AI15-AI16</f>
        <v/>
      </c>
      <c r="AJ24" s="80">
        <f>AI24+AJ13+AJ17-AJ15-AJ16</f>
        <v/>
      </c>
      <c r="AK24" s="80">
        <f>AJ24+AK13+AK17-AK15-AK16</f>
        <v/>
      </c>
      <c r="AL24" s="80">
        <f>AK24+AL13+AL17-AL15-AL16</f>
        <v/>
      </c>
      <c r="AM24" s="80">
        <f>AL24+AM13+AM17-AM15-AM16</f>
        <v/>
      </c>
      <c r="AN24" s="80">
        <f>AM24+AN13+AN17-AN15-AN16</f>
        <v/>
      </c>
      <c r="AO24" s="80">
        <f>AN24+AO13+AO17-AO15-AO16</f>
        <v/>
      </c>
      <c r="AP24" s="80">
        <f>AO24+AP13+AP17-AP15-AP16</f>
        <v/>
      </c>
      <c r="AQ24" s="80">
        <f>AP24+AQ13+AQ17-AQ15-AQ16</f>
        <v/>
      </c>
      <c r="AR24" s="80">
        <f>AQ24+AR13+AR17-AR15-AR16</f>
        <v/>
      </c>
      <c r="AS24" s="80">
        <f>AR24+AS13+AS17-AS15-AS16</f>
        <v/>
      </c>
      <c r="AT24" s="80">
        <f>AS24+AT13+AT17-AT15-AT16</f>
        <v/>
      </c>
      <c r="AU24" s="80">
        <f>AT24+AU13+AU17-AU15-AU16</f>
        <v/>
      </c>
      <c r="AV24" s="80">
        <f>AU24+AV13+AV17-AV15-AV16</f>
        <v/>
      </c>
      <c r="AW24" s="80">
        <f>AV24+AW13+AW17-AW15-AW16</f>
        <v/>
      </c>
      <c r="AX24" s="80">
        <f>AW24+AX13+AX17-AX15-AX16</f>
        <v/>
      </c>
      <c r="AY24" s="80">
        <f>AX24+AY13+AY17-AY15-AY16</f>
        <v/>
      </c>
      <c r="AZ24" s="80">
        <f>AY24+AZ13+AZ17-AZ15-AZ16</f>
        <v/>
      </c>
      <c r="BA24" s="80">
        <f>AZ24+BA13+BA17-BA15-BA16</f>
        <v/>
      </c>
      <c r="BB24" s="80">
        <f>BA24+BB13+BB17-BB15-BB16</f>
        <v/>
      </c>
      <c r="BC24" s="80">
        <f>BB24+BC13+BC17-BC15-BC16</f>
        <v/>
      </c>
      <c r="BD24" s="80">
        <f>BC24+BD13+BD17-BD15-BD16</f>
        <v/>
      </c>
      <c r="BE24" s="80">
        <f>BD24+BE13+BE17-BE15-BE16</f>
        <v/>
      </c>
      <c r="BF24" s="80">
        <f>BE24+BF13+BF17-BF15-BF16</f>
        <v/>
      </c>
      <c r="BG24" s="80">
        <f>BF24+BG13+BG17-BG15-BG16</f>
        <v/>
      </c>
      <c r="BH24" s="80">
        <f>BG24+BH13+BH17-BH15-BH16</f>
        <v/>
      </c>
      <c r="BI24" s="80">
        <f>BH24+BI13+BI17-BI15-BI16</f>
        <v/>
      </c>
      <c r="BJ24" s="80">
        <f>BI24+BJ13+BJ17-BJ15-BJ16</f>
        <v/>
      </c>
      <c r="BK24" s="80">
        <f>BJ24+BK13+BK17-BK15-BK16</f>
        <v/>
      </c>
      <c r="BL24" s="80">
        <f>BK24+BL13+BL17-BL15-BL16</f>
        <v/>
      </c>
    </row>
    <row r="25">
      <c r="A25" s="98" t="inlineStr">
        <is>
          <t>Eligible receivables (Credit_Engine, max-DPD rule)</t>
        </is>
      </c>
      <c r="B25" s="65" t="inlineStr">
        <is>
          <t>LCY</t>
        </is>
      </c>
      <c r="C25" s="105">
        <f>BL25</f>
        <v/>
      </c>
      <c r="E25" s="41">
        <f>Credit_Engine!E$33</f>
        <v/>
      </c>
      <c r="F25" s="41">
        <f>Credit_Engine!F$33</f>
        <v/>
      </c>
      <c r="G25" s="41">
        <f>Credit_Engine!G$33</f>
        <v/>
      </c>
      <c r="H25" s="41">
        <f>Credit_Engine!H$33</f>
        <v/>
      </c>
      <c r="I25" s="41">
        <f>Credit_Engine!I$33</f>
        <v/>
      </c>
      <c r="J25" s="41">
        <f>Credit_Engine!J$33</f>
        <v/>
      </c>
      <c r="K25" s="41">
        <f>Credit_Engine!K$33</f>
        <v/>
      </c>
      <c r="L25" s="41">
        <f>Credit_Engine!L$33</f>
        <v/>
      </c>
      <c r="M25" s="41">
        <f>Credit_Engine!M$33</f>
        <v/>
      </c>
      <c r="N25" s="41">
        <f>Credit_Engine!N$33</f>
        <v/>
      </c>
      <c r="O25" s="41">
        <f>Credit_Engine!O$33</f>
        <v/>
      </c>
      <c r="P25" s="41">
        <f>Credit_Engine!P$33</f>
        <v/>
      </c>
      <c r="Q25" s="41">
        <f>Credit_Engine!Q$33</f>
        <v/>
      </c>
      <c r="R25" s="41">
        <f>Credit_Engine!R$33</f>
        <v/>
      </c>
      <c r="S25" s="41">
        <f>Credit_Engine!S$33</f>
        <v/>
      </c>
      <c r="T25" s="41">
        <f>Credit_Engine!T$33</f>
        <v/>
      </c>
      <c r="U25" s="41">
        <f>Credit_Engine!U$33</f>
        <v/>
      </c>
      <c r="V25" s="41">
        <f>Credit_Engine!V$33</f>
        <v/>
      </c>
      <c r="W25" s="41">
        <f>Credit_Engine!W$33</f>
        <v/>
      </c>
      <c r="X25" s="41">
        <f>Credit_Engine!X$33</f>
        <v/>
      </c>
      <c r="Y25" s="41">
        <f>Credit_Engine!Y$33</f>
        <v/>
      </c>
      <c r="Z25" s="41">
        <f>Credit_Engine!Z$33</f>
        <v/>
      </c>
      <c r="AA25" s="41">
        <f>Credit_Engine!AA$33</f>
        <v/>
      </c>
      <c r="AB25" s="41">
        <f>Credit_Engine!AB$33</f>
        <v/>
      </c>
      <c r="AC25" s="41">
        <f>Credit_Engine!AC$33</f>
        <v/>
      </c>
      <c r="AD25" s="41">
        <f>Credit_Engine!AD$33</f>
        <v/>
      </c>
      <c r="AE25" s="41">
        <f>Credit_Engine!AE$33</f>
        <v/>
      </c>
      <c r="AF25" s="41">
        <f>Credit_Engine!AF$33</f>
        <v/>
      </c>
      <c r="AG25" s="41">
        <f>Credit_Engine!AG$33</f>
        <v/>
      </c>
      <c r="AH25" s="41">
        <f>Credit_Engine!AH$33</f>
        <v/>
      </c>
      <c r="AI25" s="41">
        <f>Credit_Engine!AI$33</f>
        <v/>
      </c>
      <c r="AJ25" s="41">
        <f>Credit_Engine!AJ$33</f>
        <v/>
      </c>
      <c r="AK25" s="41">
        <f>Credit_Engine!AK$33</f>
        <v/>
      </c>
      <c r="AL25" s="41">
        <f>Credit_Engine!AL$33</f>
        <v/>
      </c>
      <c r="AM25" s="41">
        <f>Credit_Engine!AM$33</f>
        <v/>
      </c>
      <c r="AN25" s="41">
        <f>Credit_Engine!AN$33</f>
        <v/>
      </c>
      <c r="AO25" s="41">
        <f>Credit_Engine!AO$33</f>
        <v/>
      </c>
      <c r="AP25" s="41">
        <f>Credit_Engine!AP$33</f>
        <v/>
      </c>
      <c r="AQ25" s="41">
        <f>Credit_Engine!AQ$33</f>
        <v/>
      </c>
      <c r="AR25" s="41">
        <f>Credit_Engine!AR$33</f>
        <v/>
      </c>
      <c r="AS25" s="41">
        <f>Credit_Engine!AS$33</f>
        <v/>
      </c>
      <c r="AT25" s="41">
        <f>Credit_Engine!AT$33</f>
        <v/>
      </c>
      <c r="AU25" s="41">
        <f>Credit_Engine!AU$33</f>
        <v/>
      </c>
      <c r="AV25" s="41">
        <f>Credit_Engine!AV$33</f>
        <v/>
      </c>
      <c r="AW25" s="41">
        <f>Credit_Engine!AW$33</f>
        <v/>
      </c>
      <c r="AX25" s="41">
        <f>Credit_Engine!AX$33</f>
        <v/>
      </c>
      <c r="AY25" s="41">
        <f>Credit_Engine!AY$33</f>
        <v/>
      </c>
      <c r="AZ25" s="41">
        <f>Credit_Engine!AZ$33</f>
        <v/>
      </c>
      <c r="BA25" s="41">
        <f>Credit_Engine!BA$33</f>
        <v/>
      </c>
      <c r="BB25" s="41">
        <f>Credit_Engine!BB$33</f>
        <v/>
      </c>
      <c r="BC25" s="41">
        <f>Credit_Engine!BC$33</f>
        <v/>
      </c>
      <c r="BD25" s="41">
        <f>Credit_Engine!BD$33</f>
        <v/>
      </c>
      <c r="BE25" s="41">
        <f>Credit_Engine!BE$33</f>
        <v/>
      </c>
      <c r="BF25" s="41">
        <f>Credit_Engine!BF$33</f>
        <v/>
      </c>
      <c r="BG25" s="41">
        <f>Credit_Engine!BG$33</f>
        <v/>
      </c>
      <c r="BH25" s="41">
        <f>Credit_Engine!BH$33</f>
        <v/>
      </c>
      <c r="BI25" s="41">
        <f>Credit_Engine!BI$33</f>
        <v/>
      </c>
      <c r="BJ25" s="41">
        <f>Credit_Engine!BJ$33</f>
        <v/>
      </c>
      <c r="BK25" s="41">
        <f>Credit_Engine!BK$33</f>
        <v/>
      </c>
      <c r="BL25" s="41">
        <f>Credit_Engine!BL$33</f>
        <v/>
      </c>
    </row>
    <row r="26">
      <c r="A26" s="98" t="inlineStr">
        <is>
          <t>Borrowing-base contribution (advance rate x eligible)</t>
        </is>
      </c>
      <c r="B26" s="65" t="inlineStr">
        <is>
          <t>LCY</t>
        </is>
      </c>
      <c r="C26" s="105">
        <f>BL26</f>
        <v/>
      </c>
      <c r="E26" s="80">
        <f>E25*Products!$C$31</f>
        <v/>
      </c>
      <c r="F26" s="80">
        <f>F25*Products!$C$31</f>
        <v/>
      </c>
      <c r="G26" s="80">
        <f>G25*Products!$C$31</f>
        <v/>
      </c>
      <c r="H26" s="80">
        <f>H25*Products!$C$31</f>
        <v/>
      </c>
      <c r="I26" s="80">
        <f>I25*Products!$C$31</f>
        <v/>
      </c>
      <c r="J26" s="80">
        <f>J25*Products!$C$31</f>
        <v/>
      </c>
      <c r="K26" s="80">
        <f>K25*Products!$C$31</f>
        <v/>
      </c>
      <c r="L26" s="80">
        <f>L25*Products!$C$31</f>
        <v/>
      </c>
      <c r="M26" s="80">
        <f>M25*Products!$C$31</f>
        <v/>
      </c>
      <c r="N26" s="80">
        <f>N25*Products!$C$31</f>
        <v/>
      </c>
      <c r="O26" s="80">
        <f>O25*Products!$C$31</f>
        <v/>
      </c>
      <c r="P26" s="80">
        <f>P25*Products!$C$31</f>
        <v/>
      </c>
      <c r="Q26" s="80">
        <f>Q25*Products!$C$31</f>
        <v/>
      </c>
      <c r="R26" s="80">
        <f>R25*Products!$C$31</f>
        <v/>
      </c>
      <c r="S26" s="80">
        <f>S25*Products!$C$31</f>
        <v/>
      </c>
      <c r="T26" s="80">
        <f>T25*Products!$C$31</f>
        <v/>
      </c>
      <c r="U26" s="80">
        <f>U25*Products!$C$31</f>
        <v/>
      </c>
      <c r="V26" s="80">
        <f>V25*Products!$C$31</f>
        <v/>
      </c>
      <c r="W26" s="80">
        <f>W25*Products!$C$31</f>
        <v/>
      </c>
      <c r="X26" s="80">
        <f>X25*Products!$C$31</f>
        <v/>
      </c>
      <c r="Y26" s="80">
        <f>Y25*Products!$C$31</f>
        <v/>
      </c>
      <c r="Z26" s="80">
        <f>Z25*Products!$C$31</f>
        <v/>
      </c>
      <c r="AA26" s="80">
        <f>AA25*Products!$C$31</f>
        <v/>
      </c>
      <c r="AB26" s="80">
        <f>AB25*Products!$C$31</f>
        <v/>
      </c>
      <c r="AC26" s="80">
        <f>AC25*Products!$C$31</f>
        <v/>
      </c>
      <c r="AD26" s="80">
        <f>AD25*Products!$C$31</f>
        <v/>
      </c>
      <c r="AE26" s="80">
        <f>AE25*Products!$C$31</f>
        <v/>
      </c>
      <c r="AF26" s="80">
        <f>AF25*Products!$C$31</f>
        <v/>
      </c>
      <c r="AG26" s="80">
        <f>AG25*Products!$C$31</f>
        <v/>
      </c>
      <c r="AH26" s="80">
        <f>AH25*Products!$C$31</f>
        <v/>
      </c>
      <c r="AI26" s="80">
        <f>AI25*Products!$C$31</f>
        <v/>
      </c>
      <c r="AJ26" s="80">
        <f>AJ25*Products!$C$31</f>
        <v/>
      </c>
      <c r="AK26" s="80">
        <f>AK25*Products!$C$31</f>
        <v/>
      </c>
      <c r="AL26" s="80">
        <f>AL25*Products!$C$31</f>
        <v/>
      </c>
      <c r="AM26" s="80">
        <f>AM25*Products!$C$31</f>
        <v/>
      </c>
      <c r="AN26" s="80">
        <f>AN25*Products!$C$31</f>
        <v/>
      </c>
      <c r="AO26" s="80">
        <f>AO25*Products!$C$31</f>
        <v/>
      </c>
      <c r="AP26" s="80">
        <f>AP25*Products!$C$31</f>
        <v/>
      </c>
      <c r="AQ26" s="80">
        <f>AQ25*Products!$C$31</f>
        <v/>
      </c>
      <c r="AR26" s="80">
        <f>AR25*Products!$C$31</f>
        <v/>
      </c>
      <c r="AS26" s="80">
        <f>AS25*Products!$C$31</f>
        <v/>
      </c>
      <c r="AT26" s="80">
        <f>AT25*Products!$C$31</f>
        <v/>
      </c>
      <c r="AU26" s="80">
        <f>AU25*Products!$C$31</f>
        <v/>
      </c>
      <c r="AV26" s="80">
        <f>AV25*Products!$C$31</f>
        <v/>
      </c>
      <c r="AW26" s="80">
        <f>AW25*Products!$C$31</f>
        <v/>
      </c>
      <c r="AX26" s="80">
        <f>AX25*Products!$C$31</f>
        <v/>
      </c>
      <c r="AY26" s="80">
        <f>AY25*Products!$C$31</f>
        <v/>
      </c>
      <c r="AZ26" s="80">
        <f>AZ25*Products!$C$31</f>
        <v/>
      </c>
      <c r="BA26" s="80">
        <f>BA25*Products!$C$31</f>
        <v/>
      </c>
      <c r="BB26" s="80">
        <f>BB25*Products!$C$31</f>
        <v/>
      </c>
      <c r="BC26" s="80">
        <f>BC25*Products!$C$31</f>
        <v/>
      </c>
      <c r="BD26" s="80">
        <f>BD25*Products!$C$31</f>
        <v/>
      </c>
      <c r="BE26" s="80">
        <f>BE25*Products!$C$31</f>
        <v/>
      </c>
      <c r="BF26" s="80">
        <f>BF25*Products!$C$31</f>
        <v/>
      </c>
      <c r="BG26" s="80">
        <f>BG25*Products!$C$31</f>
        <v/>
      </c>
      <c r="BH26" s="80">
        <f>BH25*Products!$C$31</f>
        <v/>
      </c>
      <c r="BI26" s="80">
        <f>BI25*Products!$C$31</f>
        <v/>
      </c>
      <c r="BJ26" s="80">
        <f>BJ25*Products!$C$31</f>
        <v/>
      </c>
      <c r="BK26" s="80">
        <f>BK25*Products!$C$31</f>
        <v/>
      </c>
      <c r="BL26" s="80">
        <f>BL25*Products!$C$31</f>
        <v/>
      </c>
    </row>
    <row r="27">
      <c r="A27" s="98" t="inlineStr">
        <is>
          <t>Landed hardware cost of units sold</t>
        </is>
      </c>
      <c r="B27" s="65" t="inlineStr">
        <is>
          <t>LCY</t>
        </is>
      </c>
      <c r="C27" s="105">
        <f>SUM(E27:BL27)</f>
        <v/>
      </c>
      <c r="E27" s="80">
        <f>E9*Products!$C$18*(1+Inputs!$C$28)*Timeline!E$8*Scenarios!$G$9</f>
        <v/>
      </c>
      <c r="F27" s="80">
        <f>F9*Products!$C$18*(1+Inputs!$C$28)*Timeline!F$8*Scenarios!$G$9</f>
        <v/>
      </c>
      <c r="G27" s="80">
        <f>G9*Products!$C$18*(1+Inputs!$C$28)*Timeline!G$8*Scenarios!$G$9</f>
        <v/>
      </c>
      <c r="H27" s="80">
        <f>H9*Products!$C$18*(1+Inputs!$C$28)*Timeline!H$8*Scenarios!$G$9</f>
        <v/>
      </c>
      <c r="I27" s="80">
        <f>I9*Products!$C$18*(1+Inputs!$C$28)*Timeline!I$8*Scenarios!$G$9</f>
        <v/>
      </c>
      <c r="J27" s="80">
        <f>J9*Products!$C$18*(1+Inputs!$C$28)*Timeline!J$8*Scenarios!$G$9</f>
        <v/>
      </c>
      <c r="K27" s="80">
        <f>K9*Products!$C$18*(1+Inputs!$C$28)*Timeline!K$8*Scenarios!$G$9</f>
        <v/>
      </c>
      <c r="L27" s="80">
        <f>L9*Products!$C$18*(1+Inputs!$C$28)*Timeline!L$8*Scenarios!$G$9</f>
        <v/>
      </c>
      <c r="M27" s="80">
        <f>M9*Products!$C$18*(1+Inputs!$C$28)*Timeline!M$8*Scenarios!$G$9</f>
        <v/>
      </c>
      <c r="N27" s="80">
        <f>N9*Products!$C$18*(1+Inputs!$C$28)*Timeline!N$8*Scenarios!$G$9</f>
        <v/>
      </c>
      <c r="O27" s="80">
        <f>O9*Products!$C$18*(1+Inputs!$C$28)*Timeline!O$8*Scenarios!$G$9</f>
        <v/>
      </c>
      <c r="P27" s="80">
        <f>P9*Products!$C$18*(1+Inputs!$C$28)*Timeline!P$8*Scenarios!$G$9</f>
        <v/>
      </c>
      <c r="Q27" s="80">
        <f>Q9*Products!$C$18*(1+Inputs!$C$28)*Timeline!Q$8*Scenarios!$G$9</f>
        <v/>
      </c>
      <c r="R27" s="80">
        <f>R9*Products!$C$18*(1+Inputs!$C$28)*Timeline!R$8*Scenarios!$G$9</f>
        <v/>
      </c>
      <c r="S27" s="80">
        <f>S9*Products!$C$18*(1+Inputs!$C$28)*Timeline!S$8*Scenarios!$G$9</f>
        <v/>
      </c>
      <c r="T27" s="80">
        <f>T9*Products!$C$18*(1+Inputs!$C$28)*Timeline!T$8*Scenarios!$G$9</f>
        <v/>
      </c>
      <c r="U27" s="80">
        <f>U9*Products!$C$18*(1+Inputs!$C$28)*Timeline!U$8*Scenarios!$G$9</f>
        <v/>
      </c>
      <c r="V27" s="80">
        <f>V9*Products!$C$18*(1+Inputs!$C$28)*Timeline!V$8*Scenarios!$G$9</f>
        <v/>
      </c>
      <c r="W27" s="80">
        <f>W9*Products!$C$18*(1+Inputs!$C$28)*Timeline!W$8*Scenarios!$G$9</f>
        <v/>
      </c>
      <c r="X27" s="80">
        <f>X9*Products!$C$18*(1+Inputs!$C$28)*Timeline!X$8*Scenarios!$G$9</f>
        <v/>
      </c>
      <c r="Y27" s="80">
        <f>Y9*Products!$C$18*(1+Inputs!$C$28)*Timeline!Y$8*Scenarios!$G$9</f>
        <v/>
      </c>
      <c r="Z27" s="80">
        <f>Z9*Products!$C$18*(1+Inputs!$C$28)*Timeline!Z$8*Scenarios!$G$9</f>
        <v/>
      </c>
      <c r="AA27" s="80">
        <f>AA9*Products!$C$18*(1+Inputs!$C$28)*Timeline!AA$8*Scenarios!$G$9</f>
        <v/>
      </c>
      <c r="AB27" s="80">
        <f>AB9*Products!$C$18*(1+Inputs!$C$28)*Timeline!AB$8*Scenarios!$G$9</f>
        <v/>
      </c>
      <c r="AC27" s="80">
        <f>AC9*Products!$C$18*(1+Inputs!$C$28)*Timeline!AC$8*Scenarios!$G$9</f>
        <v/>
      </c>
      <c r="AD27" s="80">
        <f>AD9*Products!$C$18*(1+Inputs!$C$28)*Timeline!AD$8*Scenarios!$G$9</f>
        <v/>
      </c>
      <c r="AE27" s="80">
        <f>AE9*Products!$C$18*(1+Inputs!$C$28)*Timeline!AE$8*Scenarios!$G$9</f>
        <v/>
      </c>
      <c r="AF27" s="80">
        <f>AF9*Products!$C$18*(1+Inputs!$C$28)*Timeline!AF$8*Scenarios!$G$9</f>
        <v/>
      </c>
      <c r="AG27" s="80">
        <f>AG9*Products!$C$18*(1+Inputs!$C$28)*Timeline!AG$8*Scenarios!$G$9</f>
        <v/>
      </c>
      <c r="AH27" s="80">
        <f>AH9*Products!$C$18*(1+Inputs!$C$28)*Timeline!AH$8*Scenarios!$G$9</f>
        <v/>
      </c>
      <c r="AI27" s="80">
        <f>AI9*Products!$C$18*(1+Inputs!$C$28)*Timeline!AI$8*Scenarios!$G$9</f>
        <v/>
      </c>
      <c r="AJ27" s="80">
        <f>AJ9*Products!$C$18*(1+Inputs!$C$28)*Timeline!AJ$8*Scenarios!$G$9</f>
        <v/>
      </c>
      <c r="AK27" s="80">
        <f>AK9*Products!$C$18*(1+Inputs!$C$28)*Timeline!AK$8*Scenarios!$G$9</f>
        <v/>
      </c>
      <c r="AL27" s="80">
        <f>AL9*Products!$C$18*(1+Inputs!$C$28)*Timeline!AL$8*Scenarios!$G$9</f>
        <v/>
      </c>
      <c r="AM27" s="80">
        <f>AM9*Products!$C$18*(1+Inputs!$C$28)*Timeline!AM$8*Scenarios!$G$9</f>
        <v/>
      </c>
      <c r="AN27" s="80">
        <f>AN9*Products!$C$18*(1+Inputs!$C$28)*Timeline!AN$8*Scenarios!$G$9</f>
        <v/>
      </c>
      <c r="AO27" s="80">
        <f>AO9*Products!$C$18*(1+Inputs!$C$28)*Timeline!AO$8*Scenarios!$G$9</f>
        <v/>
      </c>
      <c r="AP27" s="80">
        <f>AP9*Products!$C$18*(1+Inputs!$C$28)*Timeline!AP$8*Scenarios!$G$9</f>
        <v/>
      </c>
      <c r="AQ27" s="80">
        <f>AQ9*Products!$C$18*(1+Inputs!$C$28)*Timeline!AQ$8*Scenarios!$G$9</f>
        <v/>
      </c>
      <c r="AR27" s="80">
        <f>AR9*Products!$C$18*(1+Inputs!$C$28)*Timeline!AR$8*Scenarios!$G$9</f>
        <v/>
      </c>
      <c r="AS27" s="80">
        <f>AS9*Products!$C$18*(1+Inputs!$C$28)*Timeline!AS$8*Scenarios!$G$9</f>
        <v/>
      </c>
      <c r="AT27" s="80">
        <f>AT9*Products!$C$18*(1+Inputs!$C$28)*Timeline!AT$8*Scenarios!$G$9</f>
        <v/>
      </c>
      <c r="AU27" s="80">
        <f>AU9*Products!$C$18*(1+Inputs!$C$28)*Timeline!AU$8*Scenarios!$G$9</f>
        <v/>
      </c>
      <c r="AV27" s="80">
        <f>AV9*Products!$C$18*(1+Inputs!$C$28)*Timeline!AV$8*Scenarios!$G$9</f>
        <v/>
      </c>
      <c r="AW27" s="80">
        <f>AW9*Products!$C$18*(1+Inputs!$C$28)*Timeline!AW$8*Scenarios!$G$9</f>
        <v/>
      </c>
      <c r="AX27" s="80">
        <f>AX9*Products!$C$18*(1+Inputs!$C$28)*Timeline!AX$8*Scenarios!$G$9</f>
        <v/>
      </c>
      <c r="AY27" s="80">
        <f>AY9*Products!$C$18*(1+Inputs!$C$28)*Timeline!AY$8*Scenarios!$G$9</f>
        <v/>
      </c>
      <c r="AZ27" s="80">
        <f>AZ9*Products!$C$18*(1+Inputs!$C$28)*Timeline!AZ$8*Scenarios!$G$9</f>
        <v/>
      </c>
      <c r="BA27" s="80">
        <f>BA9*Products!$C$18*(1+Inputs!$C$28)*Timeline!BA$8*Scenarios!$G$9</f>
        <v/>
      </c>
      <c r="BB27" s="80">
        <f>BB9*Products!$C$18*(1+Inputs!$C$28)*Timeline!BB$8*Scenarios!$G$9</f>
        <v/>
      </c>
      <c r="BC27" s="80">
        <f>BC9*Products!$C$18*(1+Inputs!$C$28)*Timeline!BC$8*Scenarios!$G$9</f>
        <v/>
      </c>
      <c r="BD27" s="80">
        <f>BD9*Products!$C$18*(1+Inputs!$C$28)*Timeline!BD$8*Scenarios!$G$9</f>
        <v/>
      </c>
      <c r="BE27" s="80">
        <f>BE9*Products!$C$18*(1+Inputs!$C$28)*Timeline!BE$8*Scenarios!$G$9</f>
        <v/>
      </c>
      <c r="BF27" s="80">
        <f>BF9*Products!$C$18*(1+Inputs!$C$28)*Timeline!BF$8*Scenarios!$G$9</f>
        <v/>
      </c>
      <c r="BG27" s="80">
        <f>BG9*Products!$C$18*(1+Inputs!$C$28)*Timeline!BG$8*Scenarios!$G$9</f>
        <v/>
      </c>
      <c r="BH27" s="80">
        <f>BH9*Products!$C$18*(1+Inputs!$C$28)*Timeline!BH$8*Scenarios!$G$9</f>
        <v/>
      </c>
      <c r="BI27" s="80">
        <f>BI9*Products!$C$18*(1+Inputs!$C$28)*Timeline!BI$8*Scenarios!$G$9</f>
        <v/>
      </c>
      <c r="BJ27" s="80">
        <f>BJ9*Products!$C$18*(1+Inputs!$C$28)*Timeline!BJ$8*Scenarios!$G$9</f>
        <v/>
      </c>
      <c r="BK27" s="80">
        <f>BK9*Products!$C$18*(1+Inputs!$C$28)*Timeline!BK$8*Scenarios!$G$9</f>
        <v/>
      </c>
      <c r="BL27" s="80">
        <f>BL9*Products!$C$18*(1+Inputs!$C$28)*Timeline!BL$8*Scenarios!$G$9</f>
        <v/>
      </c>
    </row>
    <row r="28">
      <c r="A28" s="98" t="inlineStr">
        <is>
          <t>Installation &amp; logistics</t>
        </is>
      </c>
      <c r="B28" s="65" t="inlineStr">
        <is>
          <t>LCY</t>
        </is>
      </c>
      <c r="C28" s="105">
        <f>SUM(E28:BL28)</f>
        <v/>
      </c>
      <c r="E28" s="80">
        <f>E9*Products!$C$19*Timeline!E$9</f>
        <v/>
      </c>
      <c r="F28" s="80">
        <f>F9*Products!$C$19*Timeline!F$9</f>
        <v/>
      </c>
      <c r="G28" s="80">
        <f>G9*Products!$C$19*Timeline!G$9</f>
        <v/>
      </c>
      <c r="H28" s="80">
        <f>H9*Products!$C$19*Timeline!H$9</f>
        <v/>
      </c>
      <c r="I28" s="80">
        <f>I9*Products!$C$19*Timeline!I$9</f>
        <v/>
      </c>
      <c r="J28" s="80">
        <f>J9*Products!$C$19*Timeline!J$9</f>
        <v/>
      </c>
      <c r="K28" s="80">
        <f>K9*Products!$C$19*Timeline!K$9</f>
        <v/>
      </c>
      <c r="L28" s="80">
        <f>L9*Products!$C$19*Timeline!L$9</f>
        <v/>
      </c>
      <c r="M28" s="80">
        <f>M9*Products!$C$19*Timeline!M$9</f>
        <v/>
      </c>
      <c r="N28" s="80">
        <f>N9*Products!$C$19*Timeline!N$9</f>
        <v/>
      </c>
      <c r="O28" s="80">
        <f>O9*Products!$C$19*Timeline!O$9</f>
        <v/>
      </c>
      <c r="P28" s="80">
        <f>P9*Products!$C$19*Timeline!P$9</f>
        <v/>
      </c>
      <c r="Q28" s="80">
        <f>Q9*Products!$C$19*Timeline!Q$9</f>
        <v/>
      </c>
      <c r="R28" s="80">
        <f>R9*Products!$C$19*Timeline!R$9</f>
        <v/>
      </c>
      <c r="S28" s="80">
        <f>S9*Products!$C$19*Timeline!S$9</f>
        <v/>
      </c>
      <c r="T28" s="80">
        <f>T9*Products!$C$19*Timeline!T$9</f>
        <v/>
      </c>
      <c r="U28" s="80">
        <f>U9*Products!$C$19*Timeline!U$9</f>
        <v/>
      </c>
      <c r="V28" s="80">
        <f>V9*Products!$C$19*Timeline!V$9</f>
        <v/>
      </c>
      <c r="W28" s="80">
        <f>W9*Products!$C$19*Timeline!W$9</f>
        <v/>
      </c>
      <c r="X28" s="80">
        <f>X9*Products!$C$19*Timeline!X$9</f>
        <v/>
      </c>
      <c r="Y28" s="80">
        <f>Y9*Products!$C$19*Timeline!Y$9</f>
        <v/>
      </c>
      <c r="Z28" s="80">
        <f>Z9*Products!$C$19*Timeline!Z$9</f>
        <v/>
      </c>
      <c r="AA28" s="80">
        <f>AA9*Products!$C$19*Timeline!AA$9</f>
        <v/>
      </c>
      <c r="AB28" s="80">
        <f>AB9*Products!$C$19*Timeline!AB$9</f>
        <v/>
      </c>
      <c r="AC28" s="80">
        <f>AC9*Products!$C$19*Timeline!AC$9</f>
        <v/>
      </c>
      <c r="AD28" s="80">
        <f>AD9*Products!$C$19*Timeline!AD$9</f>
        <v/>
      </c>
      <c r="AE28" s="80">
        <f>AE9*Products!$C$19*Timeline!AE$9</f>
        <v/>
      </c>
      <c r="AF28" s="80">
        <f>AF9*Products!$C$19*Timeline!AF$9</f>
        <v/>
      </c>
      <c r="AG28" s="80">
        <f>AG9*Products!$C$19*Timeline!AG$9</f>
        <v/>
      </c>
      <c r="AH28" s="80">
        <f>AH9*Products!$C$19*Timeline!AH$9</f>
        <v/>
      </c>
      <c r="AI28" s="80">
        <f>AI9*Products!$C$19*Timeline!AI$9</f>
        <v/>
      </c>
      <c r="AJ28" s="80">
        <f>AJ9*Products!$C$19*Timeline!AJ$9</f>
        <v/>
      </c>
      <c r="AK28" s="80">
        <f>AK9*Products!$C$19*Timeline!AK$9</f>
        <v/>
      </c>
      <c r="AL28" s="80">
        <f>AL9*Products!$C$19*Timeline!AL$9</f>
        <v/>
      </c>
      <c r="AM28" s="80">
        <f>AM9*Products!$C$19*Timeline!AM$9</f>
        <v/>
      </c>
      <c r="AN28" s="80">
        <f>AN9*Products!$C$19*Timeline!AN$9</f>
        <v/>
      </c>
      <c r="AO28" s="80">
        <f>AO9*Products!$C$19*Timeline!AO$9</f>
        <v/>
      </c>
      <c r="AP28" s="80">
        <f>AP9*Products!$C$19*Timeline!AP$9</f>
        <v/>
      </c>
      <c r="AQ28" s="80">
        <f>AQ9*Products!$C$19*Timeline!AQ$9</f>
        <v/>
      </c>
      <c r="AR28" s="80">
        <f>AR9*Products!$C$19*Timeline!AR$9</f>
        <v/>
      </c>
      <c r="AS28" s="80">
        <f>AS9*Products!$C$19*Timeline!AS$9</f>
        <v/>
      </c>
      <c r="AT28" s="80">
        <f>AT9*Products!$C$19*Timeline!AT$9</f>
        <v/>
      </c>
      <c r="AU28" s="80">
        <f>AU9*Products!$C$19*Timeline!AU$9</f>
        <v/>
      </c>
      <c r="AV28" s="80">
        <f>AV9*Products!$C$19*Timeline!AV$9</f>
        <v/>
      </c>
      <c r="AW28" s="80">
        <f>AW9*Products!$C$19*Timeline!AW$9</f>
        <v/>
      </c>
      <c r="AX28" s="80">
        <f>AX9*Products!$C$19*Timeline!AX$9</f>
        <v/>
      </c>
      <c r="AY28" s="80">
        <f>AY9*Products!$C$19*Timeline!AY$9</f>
        <v/>
      </c>
      <c r="AZ28" s="80">
        <f>AZ9*Products!$C$19*Timeline!AZ$9</f>
        <v/>
      </c>
      <c r="BA28" s="80">
        <f>BA9*Products!$C$19*Timeline!BA$9</f>
        <v/>
      </c>
      <c r="BB28" s="80">
        <f>BB9*Products!$C$19*Timeline!BB$9</f>
        <v/>
      </c>
      <c r="BC28" s="80">
        <f>BC9*Products!$C$19*Timeline!BC$9</f>
        <v/>
      </c>
      <c r="BD28" s="80">
        <f>BD9*Products!$C$19*Timeline!BD$9</f>
        <v/>
      </c>
      <c r="BE28" s="80">
        <f>BE9*Products!$C$19*Timeline!BE$9</f>
        <v/>
      </c>
      <c r="BF28" s="80">
        <f>BF9*Products!$C$19*Timeline!BF$9</f>
        <v/>
      </c>
      <c r="BG28" s="80">
        <f>BG9*Products!$C$19*Timeline!BG$9</f>
        <v/>
      </c>
      <c r="BH28" s="80">
        <f>BH9*Products!$C$19*Timeline!BH$9</f>
        <v/>
      </c>
      <c r="BI28" s="80">
        <f>BI9*Products!$C$19*Timeline!BI$9</f>
        <v/>
      </c>
      <c r="BJ28" s="80">
        <f>BJ9*Products!$C$19*Timeline!BJ$9</f>
        <v/>
      </c>
      <c r="BK28" s="80">
        <f>BK9*Products!$C$19*Timeline!BK$9</f>
        <v/>
      </c>
      <c r="BL28" s="80">
        <f>BL9*Products!$C$19*Timeline!BL$9</f>
        <v/>
      </c>
    </row>
    <row r="29">
      <c r="A29" s="98" t="inlineStr">
        <is>
          <t>Warranty &amp; after-sales provision</t>
        </is>
      </c>
      <c r="B29" s="65" t="inlineStr">
        <is>
          <t>LCY</t>
        </is>
      </c>
      <c r="C29" s="105">
        <f>SUM(E29:BL29)</f>
        <v/>
      </c>
      <c r="E29" s="80">
        <f>E27*Products!$C$22</f>
        <v/>
      </c>
      <c r="F29" s="80">
        <f>F27*Products!$C$22</f>
        <v/>
      </c>
      <c r="G29" s="80">
        <f>G27*Products!$C$22</f>
        <v/>
      </c>
      <c r="H29" s="80">
        <f>H27*Products!$C$22</f>
        <v/>
      </c>
      <c r="I29" s="80">
        <f>I27*Products!$C$22</f>
        <v/>
      </c>
      <c r="J29" s="80">
        <f>J27*Products!$C$22</f>
        <v/>
      </c>
      <c r="K29" s="80">
        <f>K27*Products!$C$22</f>
        <v/>
      </c>
      <c r="L29" s="80">
        <f>L27*Products!$C$22</f>
        <v/>
      </c>
      <c r="M29" s="80">
        <f>M27*Products!$C$22</f>
        <v/>
      </c>
      <c r="N29" s="80">
        <f>N27*Products!$C$22</f>
        <v/>
      </c>
      <c r="O29" s="80">
        <f>O27*Products!$C$22</f>
        <v/>
      </c>
      <c r="P29" s="80">
        <f>P27*Products!$C$22</f>
        <v/>
      </c>
      <c r="Q29" s="80">
        <f>Q27*Products!$C$22</f>
        <v/>
      </c>
      <c r="R29" s="80">
        <f>R27*Products!$C$22</f>
        <v/>
      </c>
      <c r="S29" s="80">
        <f>S27*Products!$C$22</f>
        <v/>
      </c>
      <c r="T29" s="80">
        <f>T27*Products!$C$22</f>
        <v/>
      </c>
      <c r="U29" s="80">
        <f>U27*Products!$C$22</f>
        <v/>
      </c>
      <c r="V29" s="80">
        <f>V27*Products!$C$22</f>
        <v/>
      </c>
      <c r="W29" s="80">
        <f>W27*Products!$C$22</f>
        <v/>
      </c>
      <c r="X29" s="80">
        <f>X27*Products!$C$22</f>
        <v/>
      </c>
      <c r="Y29" s="80">
        <f>Y27*Products!$C$22</f>
        <v/>
      </c>
      <c r="Z29" s="80">
        <f>Z27*Products!$C$22</f>
        <v/>
      </c>
      <c r="AA29" s="80">
        <f>AA27*Products!$C$22</f>
        <v/>
      </c>
      <c r="AB29" s="80">
        <f>AB27*Products!$C$22</f>
        <v/>
      </c>
      <c r="AC29" s="80">
        <f>AC27*Products!$C$22</f>
        <v/>
      </c>
      <c r="AD29" s="80">
        <f>AD27*Products!$C$22</f>
        <v/>
      </c>
      <c r="AE29" s="80">
        <f>AE27*Products!$C$22</f>
        <v/>
      </c>
      <c r="AF29" s="80">
        <f>AF27*Products!$C$22</f>
        <v/>
      </c>
      <c r="AG29" s="80">
        <f>AG27*Products!$C$22</f>
        <v/>
      </c>
      <c r="AH29" s="80">
        <f>AH27*Products!$C$22</f>
        <v/>
      </c>
      <c r="AI29" s="80">
        <f>AI27*Products!$C$22</f>
        <v/>
      </c>
      <c r="AJ29" s="80">
        <f>AJ27*Products!$C$22</f>
        <v/>
      </c>
      <c r="AK29" s="80">
        <f>AK27*Products!$C$22</f>
        <v/>
      </c>
      <c r="AL29" s="80">
        <f>AL27*Products!$C$22</f>
        <v/>
      </c>
      <c r="AM29" s="80">
        <f>AM27*Products!$C$22</f>
        <v/>
      </c>
      <c r="AN29" s="80">
        <f>AN27*Products!$C$22</f>
        <v/>
      </c>
      <c r="AO29" s="80">
        <f>AO27*Products!$C$22</f>
        <v/>
      </c>
      <c r="AP29" s="80">
        <f>AP27*Products!$C$22</f>
        <v/>
      </c>
      <c r="AQ29" s="80">
        <f>AQ27*Products!$C$22</f>
        <v/>
      </c>
      <c r="AR29" s="80">
        <f>AR27*Products!$C$22</f>
        <v/>
      </c>
      <c r="AS29" s="80">
        <f>AS27*Products!$C$22</f>
        <v/>
      </c>
      <c r="AT29" s="80">
        <f>AT27*Products!$C$22</f>
        <v/>
      </c>
      <c r="AU29" s="80">
        <f>AU27*Products!$C$22</f>
        <v/>
      </c>
      <c r="AV29" s="80">
        <f>AV27*Products!$C$22</f>
        <v/>
      </c>
      <c r="AW29" s="80">
        <f>AW27*Products!$C$22</f>
        <v/>
      </c>
      <c r="AX29" s="80">
        <f>AX27*Products!$C$22</f>
        <v/>
      </c>
      <c r="AY29" s="80">
        <f>AY27*Products!$C$22</f>
        <v/>
      </c>
      <c r="AZ29" s="80">
        <f>AZ27*Products!$C$22</f>
        <v/>
      </c>
      <c r="BA29" s="80">
        <f>BA27*Products!$C$22</f>
        <v/>
      </c>
      <c r="BB29" s="80">
        <f>BB27*Products!$C$22</f>
        <v/>
      </c>
      <c r="BC29" s="80">
        <f>BC27*Products!$C$22</f>
        <v/>
      </c>
      <c r="BD29" s="80">
        <f>BD27*Products!$C$22</f>
        <v/>
      </c>
      <c r="BE29" s="80">
        <f>BE27*Products!$C$22</f>
        <v/>
      </c>
      <c r="BF29" s="80">
        <f>BF27*Products!$C$22</f>
        <v/>
      </c>
      <c r="BG29" s="80">
        <f>BG27*Products!$C$22</f>
        <v/>
      </c>
      <c r="BH29" s="80">
        <f>BH27*Products!$C$22</f>
        <v/>
      </c>
      <c r="BI29" s="80">
        <f>BI27*Products!$C$22</f>
        <v/>
      </c>
      <c r="BJ29" s="80">
        <f>BJ27*Products!$C$22</f>
        <v/>
      </c>
      <c r="BK29" s="80">
        <f>BK27*Products!$C$22</f>
        <v/>
      </c>
      <c r="BL29" s="80">
        <f>BL27*Products!$C$22</f>
        <v/>
      </c>
    </row>
    <row r="30">
      <c r="A30" s="98" t="inlineStr">
        <is>
          <t>Commissions</t>
        </is>
      </c>
      <c r="B30" s="65" t="inlineStr">
        <is>
          <t>LCY</t>
        </is>
      </c>
      <c r="C30" s="105">
        <f>SUM(E30:BL30)</f>
        <v/>
      </c>
      <c r="E30" s="80">
        <f>E9*Products!$C$20*Timeline!E$9</f>
        <v/>
      </c>
      <c r="F30" s="80">
        <f>F9*Products!$C$20*Timeline!F$9</f>
        <v/>
      </c>
      <c r="G30" s="80">
        <f>G9*Products!$C$20*Timeline!G$9</f>
        <v/>
      </c>
      <c r="H30" s="80">
        <f>H9*Products!$C$20*Timeline!H$9</f>
        <v/>
      </c>
      <c r="I30" s="80">
        <f>I9*Products!$C$20*Timeline!I$9</f>
        <v/>
      </c>
      <c r="J30" s="80">
        <f>J9*Products!$C$20*Timeline!J$9</f>
        <v/>
      </c>
      <c r="K30" s="80">
        <f>K9*Products!$C$20*Timeline!K$9</f>
        <v/>
      </c>
      <c r="L30" s="80">
        <f>L9*Products!$C$20*Timeline!L$9</f>
        <v/>
      </c>
      <c r="M30" s="80">
        <f>M9*Products!$C$20*Timeline!M$9</f>
        <v/>
      </c>
      <c r="N30" s="80">
        <f>N9*Products!$C$20*Timeline!N$9</f>
        <v/>
      </c>
      <c r="O30" s="80">
        <f>O9*Products!$C$20*Timeline!O$9</f>
        <v/>
      </c>
      <c r="P30" s="80">
        <f>P9*Products!$C$20*Timeline!P$9</f>
        <v/>
      </c>
      <c r="Q30" s="80">
        <f>Q9*Products!$C$20*Timeline!Q$9</f>
        <v/>
      </c>
      <c r="R30" s="80">
        <f>R9*Products!$C$20*Timeline!R$9</f>
        <v/>
      </c>
      <c r="S30" s="80">
        <f>S9*Products!$C$20*Timeline!S$9</f>
        <v/>
      </c>
      <c r="T30" s="80">
        <f>T9*Products!$C$20*Timeline!T$9</f>
        <v/>
      </c>
      <c r="U30" s="80">
        <f>U9*Products!$C$20*Timeline!U$9</f>
        <v/>
      </c>
      <c r="V30" s="80">
        <f>V9*Products!$C$20*Timeline!V$9</f>
        <v/>
      </c>
      <c r="W30" s="80">
        <f>W9*Products!$C$20*Timeline!W$9</f>
        <v/>
      </c>
      <c r="X30" s="80">
        <f>X9*Products!$C$20*Timeline!X$9</f>
        <v/>
      </c>
      <c r="Y30" s="80">
        <f>Y9*Products!$C$20*Timeline!Y$9</f>
        <v/>
      </c>
      <c r="Z30" s="80">
        <f>Z9*Products!$C$20*Timeline!Z$9</f>
        <v/>
      </c>
      <c r="AA30" s="80">
        <f>AA9*Products!$C$20*Timeline!AA$9</f>
        <v/>
      </c>
      <c r="AB30" s="80">
        <f>AB9*Products!$C$20*Timeline!AB$9</f>
        <v/>
      </c>
      <c r="AC30" s="80">
        <f>AC9*Products!$C$20*Timeline!AC$9</f>
        <v/>
      </c>
      <c r="AD30" s="80">
        <f>AD9*Products!$C$20*Timeline!AD$9</f>
        <v/>
      </c>
      <c r="AE30" s="80">
        <f>AE9*Products!$C$20*Timeline!AE$9</f>
        <v/>
      </c>
      <c r="AF30" s="80">
        <f>AF9*Products!$C$20*Timeline!AF$9</f>
        <v/>
      </c>
      <c r="AG30" s="80">
        <f>AG9*Products!$C$20*Timeline!AG$9</f>
        <v/>
      </c>
      <c r="AH30" s="80">
        <f>AH9*Products!$C$20*Timeline!AH$9</f>
        <v/>
      </c>
      <c r="AI30" s="80">
        <f>AI9*Products!$C$20*Timeline!AI$9</f>
        <v/>
      </c>
      <c r="AJ30" s="80">
        <f>AJ9*Products!$C$20*Timeline!AJ$9</f>
        <v/>
      </c>
      <c r="AK30" s="80">
        <f>AK9*Products!$C$20*Timeline!AK$9</f>
        <v/>
      </c>
      <c r="AL30" s="80">
        <f>AL9*Products!$C$20*Timeline!AL$9</f>
        <v/>
      </c>
      <c r="AM30" s="80">
        <f>AM9*Products!$C$20*Timeline!AM$9</f>
        <v/>
      </c>
      <c r="AN30" s="80">
        <f>AN9*Products!$C$20*Timeline!AN$9</f>
        <v/>
      </c>
      <c r="AO30" s="80">
        <f>AO9*Products!$C$20*Timeline!AO$9</f>
        <v/>
      </c>
      <c r="AP30" s="80">
        <f>AP9*Products!$C$20*Timeline!AP$9</f>
        <v/>
      </c>
      <c r="AQ30" s="80">
        <f>AQ9*Products!$C$20*Timeline!AQ$9</f>
        <v/>
      </c>
      <c r="AR30" s="80">
        <f>AR9*Products!$C$20*Timeline!AR$9</f>
        <v/>
      </c>
      <c r="AS30" s="80">
        <f>AS9*Products!$C$20*Timeline!AS$9</f>
        <v/>
      </c>
      <c r="AT30" s="80">
        <f>AT9*Products!$C$20*Timeline!AT$9</f>
        <v/>
      </c>
      <c r="AU30" s="80">
        <f>AU9*Products!$C$20*Timeline!AU$9</f>
        <v/>
      </c>
      <c r="AV30" s="80">
        <f>AV9*Products!$C$20*Timeline!AV$9</f>
        <v/>
      </c>
      <c r="AW30" s="80">
        <f>AW9*Products!$C$20*Timeline!AW$9</f>
        <v/>
      </c>
      <c r="AX30" s="80">
        <f>AX9*Products!$C$20*Timeline!AX$9</f>
        <v/>
      </c>
      <c r="AY30" s="80">
        <f>AY9*Products!$C$20*Timeline!AY$9</f>
        <v/>
      </c>
      <c r="AZ30" s="80">
        <f>AZ9*Products!$C$20*Timeline!AZ$9</f>
        <v/>
      </c>
      <c r="BA30" s="80">
        <f>BA9*Products!$C$20*Timeline!BA$9</f>
        <v/>
      </c>
      <c r="BB30" s="80">
        <f>BB9*Products!$C$20*Timeline!BB$9</f>
        <v/>
      </c>
      <c r="BC30" s="80">
        <f>BC9*Products!$C$20*Timeline!BC$9</f>
        <v/>
      </c>
      <c r="BD30" s="80">
        <f>BD9*Products!$C$20*Timeline!BD$9</f>
        <v/>
      </c>
      <c r="BE30" s="80">
        <f>BE9*Products!$C$20*Timeline!BE$9</f>
        <v/>
      </c>
      <c r="BF30" s="80">
        <f>BF9*Products!$C$20*Timeline!BF$9</f>
        <v/>
      </c>
      <c r="BG30" s="80">
        <f>BG9*Products!$C$20*Timeline!BG$9</f>
        <v/>
      </c>
      <c r="BH30" s="80">
        <f>BH9*Products!$C$20*Timeline!BH$9</f>
        <v/>
      </c>
      <c r="BI30" s="80">
        <f>BI9*Products!$C$20*Timeline!BI$9</f>
        <v/>
      </c>
      <c r="BJ30" s="80">
        <f>BJ9*Products!$C$20*Timeline!BJ$9</f>
        <v/>
      </c>
      <c r="BK30" s="80">
        <f>BK9*Products!$C$20*Timeline!BK$9</f>
        <v/>
      </c>
      <c r="BL30" s="80">
        <f>BL9*Products!$C$20*Timeline!BL$9</f>
        <v/>
      </c>
    </row>
    <row r="31">
      <c r="A31" s="98" t="inlineStr">
        <is>
          <t>Marketing &amp; acquisition</t>
        </is>
      </c>
      <c r="B31" s="65" t="inlineStr">
        <is>
          <t>LCY</t>
        </is>
      </c>
      <c r="C31" s="105">
        <f>SUM(E31:BL31)</f>
        <v/>
      </c>
      <c r="E31" s="80">
        <f>E9*Products!$C$21*Timeline!E$9</f>
        <v/>
      </c>
      <c r="F31" s="80">
        <f>F9*Products!$C$21*Timeline!F$9</f>
        <v/>
      </c>
      <c r="G31" s="80">
        <f>G9*Products!$C$21*Timeline!G$9</f>
        <v/>
      </c>
      <c r="H31" s="80">
        <f>H9*Products!$C$21*Timeline!H$9</f>
        <v/>
      </c>
      <c r="I31" s="80">
        <f>I9*Products!$C$21*Timeline!I$9</f>
        <v/>
      </c>
      <c r="J31" s="80">
        <f>J9*Products!$C$21*Timeline!J$9</f>
        <v/>
      </c>
      <c r="K31" s="80">
        <f>K9*Products!$C$21*Timeline!K$9</f>
        <v/>
      </c>
      <c r="L31" s="80">
        <f>L9*Products!$C$21*Timeline!L$9</f>
        <v/>
      </c>
      <c r="M31" s="80">
        <f>M9*Products!$C$21*Timeline!M$9</f>
        <v/>
      </c>
      <c r="N31" s="80">
        <f>N9*Products!$C$21*Timeline!N$9</f>
        <v/>
      </c>
      <c r="O31" s="80">
        <f>O9*Products!$C$21*Timeline!O$9</f>
        <v/>
      </c>
      <c r="P31" s="80">
        <f>P9*Products!$C$21*Timeline!P$9</f>
        <v/>
      </c>
      <c r="Q31" s="80">
        <f>Q9*Products!$C$21*Timeline!Q$9</f>
        <v/>
      </c>
      <c r="R31" s="80">
        <f>R9*Products!$C$21*Timeline!R$9</f>
        <v/>
      </c>
      <c r="S31" s="80">
        <f>S9*Products!$C$21*Timeline!S$9</f>
        <v/>
      </c>
      <c r="T31" s="80">
        <f>T9*Products!$C$21*Timeline!T$9</f>
        <v/>
      </c>
      <c r="U31" s="80">
        <f>U9*Products!$C$21*Timeline!U$9</f>
        <v/>
      </c>
      <c r="V31" s="80">
        <f>V9*Products!$C$21*Timeline!V$9</f>
        <v/>
      </c>
      <c r="W31" s="80">
        <f>W9*Products!$C$21*Timeline!W$9</f>
        <v/>
      </c>
      <c r="X31" s="80">
        <f>X9*Products!$C$21*Timeline!X$9</f>
        <v/>
      </c>
      <c r="Y31" s="80">
        <f>Y9*Products!$C$21*Timeline!Y$9</f>
        <v/>
      </c>
      <c r="Z31" s="80">
        <f>Z9*Products!$C$21*Timeline!Z$9</f>
        <v/>
      </c>
      <c r="AA31" s="80">
        <f>AA9*Products!$C$21*Timeline!AA$9</f>
        <v/>
      </c>
      <c r="AB31" s="80">
        <f>AB9*Products!$C$21*Timeline!AB$9</f>
        <v/>
      </c>
      <c r="AC31" s="80">
        <f>AC9*Products!$C$21*Timeline!AC$9</f>
        <v/>
      </c>
      <c r="AD31" s="80">
        <f>AD9*Products!$C$21*Timeline!AD$9</f>
        <v/>
      </c>
      <c r="AE31" s="80">
        <f>AE9*Products!$C$21*Timeline!AE$9</f>
        <v/>
      </c>
      <c r="AF31" s="80">
        <f>AF9*Products!$C$21*Timeline!AF$9</f>
        <v/>
      </c>
      <c r="AG31" s="80">
        <f>AG9*Products!$C$21*Timeline!AG$9</f>
        <v/>
      </c>
      <c r="AH31" s="80">
        <f>AH9*Products!$C$21*Timeline!AH$9</f>
        <v/>
      </c>
      <c r="AI31" s="80">
        <f>AI9*Products!$C$21*Timeline!AI$9</f>
        <v/>
      </c>
      <c r="AJ31" s="80">
        <f>AJ9*Products!$C$21*Timeline!AJ$9</f>
        <v/>
      </c>
      <c r="AK31" s="80">
        <f>AK9*Products!$C$21*Timeline!AK$9</f>
        <v/>
      </c>
      <c r="AL31" s="80">
        <f>AL9*Products!$C$21*Timeline!AL$9</f>
        <v/>
      </c>
      <c r="AM31" s="80">
        <f>AM9*Products!$C$21*Timeline!AM$9</f>
        <v/>
      </c>
      <c r="AN31" s="80">
        <f>AN9*Products!$C$21*Timeline!AN$9</f>
        <v/>
      </c>
      <c r="AO31" s="80">
        <f>AO9*Products!$C$21*Timeline!AO$9</f>
        <v/>
      </c>
      <c r="AP31" s="80">
        <f>AP9*Products!$C$21*Timeline!AP$9</f>
        <v/>
      </c>
      <c r="AQ31" s="80">
        <f>AQ9*Products!$C$21*Timeline!AQ$9</f>
        <v/>
      </c>
      <c r="AR31" s="80">
        <f>AR9*Products!$C$21*Timeline!AR$9</f>
        <v/>
      </c>
      <c r="AS31" s="80">
        <f>AS9*Products!$C$21*Timeline!AS$9</f>
        <v/>
      </c>
      <c r="AT31" s="80">
        <f>AT9*Products!$C$21*Timeline!AT$9</f>
        <v/>
      </c>
      <c r="AU31" s="80">
        <f>AU9*Products!$C$21*Timeline!AU$9</f>
        <v/>
      </c>
      <c r="AV31" s="80">
        <f>AV9*Products!$C$21*Timeline!AV$9</f>
        <v/>
      </c>
      <c r="AW31" s="80">
        <f>AW9*Products!$C$21*Timeline!AW$9</f>
        <v/>
      </c>
      <c r="AX31" s="80">
        <f>AX9*Products!$C$21*Timeline!AX$9</f>
        <v/>
      </c>
      <c r="AY31" s="80">
        <f>AY9*Products!$C$21*Timeline!AY$9</f>
        <v/>
      </c>
      <c r="AZ31" s="80">
        <f>AZ9*Products!$C$21*Timeline!AZ$9</f>
        <v/>
      </c>
      <c r="BA31" s="80">
        <f>BA9*Products!$C$21*Timeline!BA$9</f>
        <v/>
      </c>
      <c r="BB31" s="80">
        <f>BB9*Products!$C$21*Timeline!BB$9</f>
        <v/>
      </c>
      <c r="BC31" s="80">
        <f>BC9*Products!$C$21*Timeline!BC$9</f>
        <v/>
      </c>
      <c r="BD31" s="80">
        <f>BD9*Products!$C$21*Timeline!BD$9</f>
        <v/>
      </c>
      <c r="BE31" s="80">
        <f>BE9*Products!$C$21*Timeline!BE$9</f>
        <v/>
      </c>
      <c r="BF31" s="80">
        <f>BF9*Products!$C$21*Timeline!BF$9</f>
        <v/>
      </c>
      <c r="BG31" s="80">
        <f>BG9*Products!$C$21*Timeline!BG$9</f>
        <v/>
      </c>
      <c r="BH31" s="80">
        <f>BH9*Products!$C$21*Timeline!BH$9</f>
        <v/>
      </c>
      <c r="BI31" s="80">
        <f>BI9*Products!$C$21*Timeline!BI$9</f>
        <v/>
      </c>
      <c r="BJ31" s="80">
        <f>BJ9*Products!$C$21*Timeline!BJ$9</f>
        <v/>
      </c>
      <c r="BK31" s="80">
        <f>BK9*Products!$C$21*Timeline!BK$9</f>
        <v/>
      </c>
      <c r="BL31" s="80">
        <f>BL9*Products!$C$21*Timeline!BL$9</f>
        <v/>
      </c>
    </row>
    <row r="32"/>
    <row r="33">
      <c r="A33" s="21">
        <f>Products!$D$6</f>
        <v/>
      </c>
      <c r="B33" s="22" t="n"/>
      <c r="C33" s="22" t="n"/>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c r="AA33" s="22" t="n"/>
      <c r="AB33" s="22" t="n"/>
      <c r="AC33" s="22" t="n"/>
      <c r="AD33" s="22" t="n"/>
      <c r="AE33" s="22" t="n"/>
      <c r="AF33" s="22" t="n"/>
      <c r="AG33" s="22" t="n"/>
      <c r="AH33" s="22" t="n"/>
      <c r="AI33" s="22" t="n"/>
      <c r="AJ33" s="22" t="n"/>
      <c r="AK33" s="22" t="n"/>
      <c r="AL33" s="22" t="n"/>
      <c r="AM33" s="22" t="n"/>
      <c r="AN33" s="22" t="n"/>
      <c r="AO33" s="22" t="n"/>
      <c r="AP33" s="22" t="n"/>
      <c r="AQ33" s="22" t="n"/>
      <c r="AR33" s="22" t="n"/>
      <c r="AS33" s="22" t="n"/>
      <c r="AT33" s="22" t="n"/>
      <c r="AU33" s="22" t="n"/>
      <c r="AV33" s="22" t="n"/>
      <c r="AW33" s="22" t="n"/>
      <c r="AX33" s="22" t="n"/>
      <c r="AY33" s="22" t="n"/>
      <c r="AZ33" s="22" t="n"/>
      <c r="BA33" s="22" t="n"/>
      <c r="BB33" s="22" t="n"/>
      <c r="BC33" s="22" t="n"/>
      <c r="BD33" s="22" t="n"/>
      <c r="BE33" s="22" t="n"/>
      <c r="BF33" s="22" t="n"/>
      <c r="BG33" s="22" t="n"/>
      <c r="BH33" s="22" t="n"/>
      <c r="BI33" s="22" t="n"/>
      <c r="BJ33" s="22" t="n"/>
      <c r="BK33" s="22" t="n"/>
      <c r="BL33" s="22" t="n"/>
    </row>
    <row r="34">
      <c r="A34" s="98" t="inlineStr">
        <is>
          <t>Units sold</t>
        </is>
      </c>
      <c r="B34" s="65" t="inlineStr">
        <is>
          <t>units</t>
        </is>
      </c>
      <c r="C34" s="105">
        <f>SUM(E34:BL34)</f>
        <v/>
      </c>
      <c r="E34" s="80">
        <f>Timeline!E$11*Products!$D$23</f>
        <v/>
      </c>
      <c r="F34" s="80">
        <f>Timeline!F$11*Products!$D$23</f>
        <v/>
      </c>
      <c r="G34" s="80">
        <f>Timeline!G$11*Products!$D$23</f>
        <v/>
      </c>
      <c r="H34" s="80">
        <f>Timeline!H$11*Products!$D$23</f>
        <v/>
      </c>
      <c r="I34" s="80">
        <f>Timeline!I$11*Products!$D$23</f>
        <v/>
      </c>
      <c r="J34" s="80">
        <f>Timeline!J$11*Products!$D$23</f>
        <v/>
      </c>
      <c r="K34" s="80">
        <f>Timeline!K$11*Products!$D$23</f>
        <v/>
      </c>
      <c r="L34" s="80">
        <f>Timeline!L$11*Products!$D$23</f>
        <v/>
      </c>
      <c r="M34" s="80">
        <f>Timeline!M$11*Products!$D$23</f>
        <v/>
      </c>
      <c r="N34" s="80">
        <f>Timeline!N$11*Products!$D$23</f>
        <v/>
      </c>
      <c r="O34" s="80">
        <f>Timeline!O$11*Products!$D$23</f>
        <v/>
      </c>
      <c r="P34" s="80">
        <f>Timeline!P$11*Products!$D$23</f>
        <v/>
      </c>
      <c r="Q34" s="80">
        <f>Timeline!Q$11*Products!$D$23</f>
        <v/>
      </c>
      <c r="R34" s="80">
        <f>Timeline!R$11*Products!$D$23</f>
        <v/>
      </c>
      <c r="S34" s="80">
        <f>Timeline!S$11*Products!$D$23</f>
        <v/>
      </c>
      <c r="T34" s="80">
        <f>Timeline!T$11*Products!$D$23</f>
        <v/>
      </c>
      <c r="U34" s="80">
        <f>Timeline!U$11*Products!$D$23</f>
        <v/>
      </c>
      <c r="V34" s="80">
        <f>Timeline!V$11*Products!$D$23</f>
        <v/>
      </c>
      <c r="W34" s="80">
        <f>Timeline!W$11*Products!$D$23</f>
        <v/>
      </c>
      <c r="X34" s="80">
        <f>Timeline!X$11*Products!$D$23</f>
        <v/>
      </c>
      <c r="Y34" s="80">
        <f>Timeline!Y$11*Products!$D$23</f>
        <v/>
      </c>
      <c r="Z34" s="80">
        <f>Timeline!Z$11*Products!$D$23</f>
        <v/>
      </c>
      <c r="AA34" s="80">
        <f>Timeline!AA$11*Products!$D$23</f>
        <v/>
      </c>
      <c r="AB34" s="80">
        <f>Timeline!AB$11*Products!$D$23</f>
        <v/>
      </c>
      <c r="AC34" s="80">
        <f>Timeline!AC$11*Products!$D$23</f>
        <v/>
      </c>
      <c r="AD34" s="80">
        <f>Timeline!AD$11*Products!$D$23</f>
        <v/>
      </c>
      <c r="AE34" s="80">
        <f>Timeline!AE$11*Products!$D$23</f>
        <v/>
      </c>
      <c r="AF34" s="80">
        <f>Timeline!AF$11*Products!$D$23</f>
        <v/>
      </c>
      <c r="AG34" s="80">
        <f>Timeline!AG$11*Products!$D$23</f>
        <v/>
      </c>
      <c r="AH34" s="80">
        <f>Timeline!AH$11*Products!$D$23</f>
        <v/>
      </c>
      <c r="AI34" s="80">
        <f>Timeline!AI$11*Products!$D$23</f>
        <v/>
      </c>
      <c r="AJ34" s="80">
        <f>Timeline!AJ$11*Products!$D$23</f>
        <v/>
      </c>
      <c r="AK34" s="80">
        <f>Timeline!AK$11*Products!$D$23</f>
        <v/>
      </c>
      <c r="AL34" s="80">
        <f>Timeline!AL$11*Products!$D$23</f>
        <v/>
      </c>
      <c r="AM34" s="80">
        <f>Timeline!AM$11*Products!$D$23</f>
        <v/>
      </c>
      <c r="AN34" s="80">
        <f>Timeline!AN$11*Products!$D$23</f>
        <v/>
      </c>
      <c r="AO34" s="80">
        <f>Timeline!AO$11*Products!$D$23</f>
        <v/>
      </c>
      <c r="AP34" s="80">
        <f>Timeline!AP$11*Products!$D$23</f>
        <v/>
      </c>
      <c r="AQ34" s="80">
        <f>Timeline!AQ$11*Products!$D$23</f>
        <v/>
      </c>
      <c r="AR34" s="80">
        <f>Timeline!AR$11*Products!$D$23</f>
        <v/>
      </c>
      <c r="AS34" s="80">
        <f>Timeline!AS$11*Products!$D$23</f>
        <v/>
      </c>
      <c r="AT34" s="80">
        <f>Timeline!AT$11*Products!$D$23</f>
        <v/>
      </c>
      <c r="AU34" s="80">
        <f>Timeline!AU$11*Products!$D$23</f>
        <v/>
      </c>
      <c r="AV34" s="80">
        <f>Timeline!AV$11*Products!$D$23</f>
        <v/>
      </c>
      <c r="AW34" s="80">
        <f>Timeline!AW$11*Products!$D$23</f>
        <v/>
      </c>
      <c r="AX34" s="80">
        <f>Timeline!AX$11*Products!$D$23</f>
        <v/>
      </c>
      <c r="AY34" s="80">
        <f>Timeline!AY$11*Products!$D$23</f>
        <v/>
      </c>
      <c r="AZ34" s="80">
        <f>Timeline!AZ$11*Products!$D$23</f>
        <v/>
      </c>
      <c r="BA34" s="80">
        <f>Timeline!BA$11*Products!$D$23</f>
        <v/>
      </c>
      <c r="BB34" s="80">
        <f>Timeline!BB$11*Products!$D$23</f>
        <v/>
      </c>
      <c r="BC34" s="80">
        <f>Timeline!BC$11*Products!$D$23</f>
        <v/>
      </c>
      <c r="BD34" s="80">
        <f>Timeline!BD$11*Products!$D$23</f>
        <v/>
      </c>
      <c r="BE34" s="80">
        <f>Timeline!BE$11*Products!$D$23</f>
        <v/>
      </c>
      <c r="BF34" s="80">
        <f>Timeline!BF$11*Products!$D$23</f>
        <v/>
      </c>
      <c r="BG34" s="80">
        <f>Timeline!BG$11*Products!$D$23</f>
        <v/>
      </c>
      <c r="BH34" s="80">
        <f>Timeline!BH$11*Products!$D$23</f>
        <v/>
      </c>
      <c r="BI34" s="80">
        <f>Timeline!BI$11*Products!$D$23</f>
        <v/>
      </c>
      <c r="BJ34" s="80">
        <f>Timeline!BJ$11*Products!$D$23</f>
        <v/>
      </c>
      <c r="BK34" s="80">
        <f>Timeline!BK$11*Products!$D$23</f>
        <v/>
      </c>
      <c r="BL34" s="80">
        <f>Timeline!BL$11*Products!$D$23</f>
        <v/>
      </c>
    </row>
    <row r="35">
      <c r="A35" s="98" t="inlineStr">
        <is>
          <t>Price-indexed units (units x price index)</t>
        </is>
      </c>
      <c r="B35" s="65" t="inlineStr">
        <is>
          <t>units</t>
        </is>
      </c>
      <c r="C35" s="105">
        <f>SUM(E35:BL35)</f>
        <v/>
      </c>
      <c r="E35" s="80">
        <f>E34*Timeline!E$10</f>
        <v/>
      </c>
      <c r="F35" s="80">
        <f>F34*Timeline!F$10</f>
        <v/>
      </c>
      <c r="G35" s="80">
        <f>G34*Timeline!G$10</f>
        <v/>
      </c>
      <c r="H35" s="80">
        <f>H34*Timeline!H$10</f>
        <v/>
      </c>
      <c r="I35" s="80">
        <f>I34*Timeline!I$10</f>
        <v/>
      </c>
      <c r="J35" s="80">
        <f>J34*Timeline!J$10</f>
        <v/>
      </c>
      <c r="K35" s="80">
        <f>K34*Timeline!K$10</f>
        <v/>
      </c>
      <c r="L35" s="80">
        <f>L34*Timeline!L$10</f>
        <v/>
      </c>
      <c r="M35" s="80">
        <f>M34*Timeline!M$10</f>
        <v/>
      </c>
      <c r="N35" s="80">
        <f>N34*Timeline!N$10</f>
        <v/>
      </c>
      <c r="O35" s="80">
        <f>O34*Timeline!O$10</f>
        <v/>
      </c>
      <c r="P35" s="80">
        <f>P34*Timeline!P$10</f>
        <v/>
      </c>
      <c r="Q35" s="80">
        <f>Q34*Timeline!Q$10</f>
        <v/>
      </c>
      <c r="R35" s="80">
        <f>R34*Timeline!R$10</f>
        <v/>
      </c>
      <c r="S35" s="80">
        <f>S34*Timeline!S$10</f>
        <v/>
      </c>
      <c r="T35" s="80">
        <f>T34*Timeline!T$10</f>
        <v/>
      </c>
      <c r="U35" s="80">
        <f>U34*Timeline!U$10</f>
        <v/>
      </c>
      <c r="V35" s="80">
        <f>V34*Timeline!V$10</f>
        <v/>
      </c>
      <c r="W35" s="80">
        <f>W34*Timeline!W$10</f>
        <v/>
      </c>
      <c r="X35" s="80">
        <f>X34*Timeline!X$10</f>
        <v/>
      </c>
      <c r="Y35" s="80">
        <f>Y34*Timeline!Y$10</f>
        <v/>
      </c>
      <c r="Z35" s="80">
        <f>Z34*Timeline!Z$10</f>
        <v/>
      </c>
      <c r="AA35" s="80">
        <f>AA34*Timeline!AA$10</f>
        <v/>
      </c>
      <c r="AB35" s="80">
        <f>AB34*Timeline!AB$10</f>
        <v/>
      </c>
      <c r="AC35" s="80">
        <f>AC34*Timeline!AC$10</f>
        <v/>
      </c>
      <c r="AD35" s="80">
        <f>AD34*Timeline!AD$10</f>
        <v/>
      </c>
      <c r="AE35" s="80">
        <f>AE34*Timeline!AE$10</f>
        <v/>
      </c>
      <c r="AF35" s="80">
        <f>AF34*Timeline!AF$10</f>
        <v/>
      </c>
      <c r="AG35" s="80">
        <f>AG34*Timeline!AG$10</f>
        <v/>
      </c>
      <c r="AH35" s="80">
        <f>AH34*Timeline!AH$10</f>
        <v/>
      </c>
      <c r="AI35" s="80">
        <f>AI34*Timeline!AI$10</f>
        <v/>
      </c>
      <c r="AJ35" s="80">
        <f>AJ34*Timeline!AJ$10</f>
        <v/>
      </c>
      <c r="AK35" s="80">
        <f>AK34*Timeline!AK$10</f>
        <v/>
      </c>
      <c r="AL35" s="80">
        <f>AL34*Timeline!AL$10</f>
        <v/>
      </c>
      <c r="AM35" s="80">
        <f>AM34*Timeline!AM$10</f>
        <v/>
      </c>
      <c r="AN35" s="80">
        <f>AN34*Timeline!AN$10</f>
        <v/>
      </c>
      <c r="AO35" s="80">
        <f>AO34*Timeline!AO$10</f>
        <v/>
      </c>
      <c r="AP35" s="80">
        <f>AP34*Timeline!AP$10</f>
        <v/>
      </c>
      <c r="AQ35" s="80">
        <f>AQ34*Timeline!AQ$10</f>
        <v/>
      </c>
      <c r="AR35" s="80">
        <f>AR34*Timeline!AR$10</f>
        <v/>
      </c>
      <c r="AS35" s="80">
        <f>AS34*Timeline!AS$10</f>
        <v/>
      </c>
      <c r="AT35" s="80">
        <f>AT34*Timeline!AT$10</f>
        <v/>
      </c>
      <c r="AU35" s="80">
        <f>AU34*Timeline!AU$10</f>
        <v/>
      </c>
      <c r="AV35" s="80">
        <f>AV34*Timeline!AV$10</f>
        <v/>
      </c>
      <c r="AW35" s="80">
        <f>AW34*Timeline!AW$10</f>
        <v/>
      </c>
      <c r="AX35" s="80">
        <f>AX34*Timeline!AX$10</f>
        <v/>
      </c>
      <c r="AY35" s="80">
        <f>AY34*Timeline!AY$10</f>
        <v/>
      </c>
      <c r="AZ35" s="80">
        <f>AZ34*Timeline!AZ$10</f>
        <v/>
      </c>
      <c r="BA35" s="80">
        <f>BA34*Timeline!BA$10</f>
        <v/>
      </c>
      <c r="BB35" s="80">
        <f>BB34*Timeline!BB$10</f>
        <v/>
      </c>
      <c r="BC35" s="80">
        <f>BC34*Timeline!BC$10</f>
        <v/>
      </c>
      <c r="BD35" s="80">
        <f>BD34*Timeline!BD$10</f>
        <v/>
      </c>
      <c r="BE35" s="80">
        <f>BE34*Timeline!BE$10</f>
        <v/>
      </c>
      <c r="BF35" s="80">
        <f>BF34*Timeline!BF$10</f>
        <v/>
      </c>
      <c r="BG35" s="80">
        <f>BG34*Timeline!BG$10</f>
        <v/>
      </c>
      <c r="BH35" s="80">
        <f>BH34*Timeline!BH$10</f>
        <v/>
      </c>
      <c r="BI35" s="80">
        <f>BI34*Timeline!BI$10</f>
        <v/>
      </c>
      <c r="BJ35" s="80">
        <f>BJ34*Timeline!BJ$10</f>
        <v/>
      </c>
      <c r="BK35" s="80">
        <f>BK34*Timeline!BK$10</f>
        <v/>
      </c>
      <c r="BL35" s="80">
        <f>BL34*Timeline!BL$10</f>
        <v/>
      </c>
    </row>
    <row r="36">
      <c r="A36" s="98" t="inlineStr">
        <is>
          <t>Down payments collected</t>
        </is>
      </c>
      <c r="B36" s="65" t="inlineStr">
        <is>
          <t>LCY</t>
        </is>
      </c>
      <c r="C36" s="105">
        <f>SUM(E36:BL36)</f>
        <v/>
      </c>
      <c r="E36" s="80">
        <f>E35*Products!$D$14</f>
        <v/>
      </c>
      <c r="F36" s="80">
        <f>F35*Products!$D$14</f>
        <v/>
      </c>
      <c r="G36" s="80">
        <f>G35*Products!$D$14</f>
        <v/>
      </c>
      <c r="H36" s="80">
        <f>H35*Products!$D$14</f>
        <v/>
      </c>
      <c r="I36" s="80">
        <f>I35*Products!$D$14</f>
        <v/>
      </c>
      <c r="J36" s="80">
        <f>J35*Products!$D$14</f>
        <v/>
      </c>
      <c r="K36" s="80">
        <f>K35*Products!$D$14</f>
        <v/>
      </c>
      <c r="L36" s="80">
        <f>L35*Products!$D$14</f>
        <v/>
      </c>
      <c r="M36" s="80">
        <f>M35*Products!$D$14</f>
        <v/>
      </c>
      <c r="N36" s="80">
        <f>N35*Products!$D$14</f>
        <v/>
      </c>
      <c r="O36" s="80">
        <f>O35*Products!$D$14</f>
        <v/>
      </c>
      <c r="P36" s="80">
        <f>P35*Products!$D$14</f>
        <v/>
      </c>
      <c r="Q36" s="80">
        <f>Q35*Products!$D$14</f>
        <v/>
      </c>
      <c r="R36" s="80">
        <f>R35*Products!$D$14</f>
        <v/>
      </c>
      <c r="S36" s="80">
        <f>S35*Products!$D$14</f>
        <v/>
      </c>
      <c r="T36" s="80">
        <f>T35*Products!$D$14</f>
        <v/>
      </c>
      <c r="U36" s="80">
        <f>U35*Products!$D$14</f>
        <v/>
      </c>
      <c r="V36" s="80">
        <f>V35*Products!$D$14</f>
        <v/>
      </c>
      <c r="W36" s="80">
        <f>W35*Products!$D$14</f>
        <v/>
      </c>
      <c r="X36" s="80">
        <f>X35*Products!$D$14</f>
        <v/>
      </c>
      <c r="Y36" s="80">
        <f>Y35*Products!$D$14</f>
        <v/>
      </c>
      <c r="Z36" s="80">
        <f>Z35*Products!$D$14</f>
        <v/>
      </c>
      <c r="AA36" s="80">
        <f>AA35*Products!$D$14</f>
        <v/>
      </c>
      <c r="AB36" s="80">
        <f>AB35*Products!$D$14</f>
        <v/>
      </c>
      <c r="AC36" s="80">
        <f>AC35*Products!$D$14</f>
        <v/>
      </c>
      <c r="AD36" s="80">
        <f>AD35*Products!$D$14</f>
        <v/>
      </c>
      <c r="AE36" s="80">
        <f>AE35*Products!$D$14</f>
        <v/>
      </c>
      <c r="AF36" s="80">
        <f>AF35*Products!$D$14</f>
        <v/>
      </c>
      <c r="AG36" s="80">
        <f>AG35*Products!$D$14</f>
        <v/>
      </c>
      <c r="AH36" s="80">
        <f>AH35*Products!$D$14</f>
        <v/>
      </c>
      <c r="AI36" s="80">
        <f>AI35*Products!$D$14</f>
        <v/>
      </c>
      <c r="AJ36" s="80">
        <f>AJ35*Products!$D$14</f>
        <v/>
      </c>
      <c r="AK36" s="80">
        <f>AK35*Products!$D$14</f>
        <v/>
      </c>
      <c r="AL36" s="80">
        <f>AL35*Products!$D$14</f>
        <v/>
      </c>
      <c r="AM36" s="80">
        <f>AM35*Products!$D$14</f>
        <v/>
      </c>
      <c r="AN36" s="80">
        <f>AN35*Products!$D$14</f>
        <v/>
      </c>
      <c r="AO36" s="80">
        <f>AO35*Products!$D$14</f>
        <v/>
      </c>
      <c r="AP36" s="80">
        <f>AP35*Products!$D$14</f>
        <v/>
      </c>
      <c r="AQ36" s="80">
        <f>AQ35*Products!$D$14</f>
        <v/>
      </c>
      <c r="AR36" s="80">
        <f>AR35*Products!$D$14</f>
        <v/>
      </c>
      <c r="AS36" s="80">
        <f>AS35*Products!$D$14</f>
        <v/>
      </c>
      <c r="AT36" s="80">
        <f>AT35*Products!$D$14</f>
        <v/>
      </c>
      <c r="AU36" s="80">
        <f>AU35*Products!$D$14</f>
        <v/>
      </c>
      <c r="AV36" s="80">
        <f>AV35*Products!$D$14</f>
        <v/>
      </c>
      <c r="AW36" s="80">
        <f>AW35*Products!$D$14</f>
        <v/>
      </c>
      <c r="AX36" s="80">
        <f>AX35*Products!$D$14</f>
        <v/>
      </c>
      <c r="AY36" s="80">
        <f>AY35*Products!$D$14</f>
        <v/>
      </c>
      <c r="AZ36" s="80">
        <f>AZ35*Products!$D$14</f>
        <v/>
      </c>
      <c r="BA36" s="80">
        <f>BA35*Products!$D$14</f>
        <v/>
      </c>
      <c r="BB36" s="80">
        <f>BB35*Products!$D$14</f>
        <v/>
      </c>
      <c r="BC36" s="80">
        <f>BC35*Products!$D$14</f>
        <v/>
      </c>
      <c r="BD36" s="80">
        <f>BD35*Products!$D$14</f>
        <v/>
      </c>
      <c r="BE36" s="80">
        <f>BE35*Products!$D$14</f>
        <v/>
      </c>
      <c r="BF36" s="80">
        <f>BF35*Products!$D$14</f>
        <v/>
      </c>
      <c r="BG36" s="80">
        <f>BG35*Products!$D$14</f>
        <v/>
      </c>
      <c r="BH36" s="80">
        <f>BH35*Products!$D$14</f>
        <v/>
      </c>
      <c r="BI36" s="80">
        <f>BI35*Products!$D$14</f>
        <v/>
      </c>
      <c r="BJ36" s="80">
        <f>BJ35*Products!$D$14</f>
        <v/>
      </c>
      <c r="BK36" s="80">
        <f>BK35*Products!$D$14</f>
        <v/>
      </c>
      <c r="BL36" s="80">
        <f>BL35*Products!$D$14</f>
        <v/>
      </c>
    </row>
    <row r="37">
      <c r="A37" s="98" t="inlineStr">
        <is>
          <t>Hardware revenue (cash price)</t>
        </is>
      </c>
      <c r="B37" s="65" t="inlineStr">
        <is>
          <t>LCY</t>
        </is>
      </c>
      <c r="C37" s="105">
        <f>SUM(E37:BL37)</f>
        <v/>
      </c>
      <c r="E37" s="80">
        <f>E35*Products!$D$13</f>
        <v/>
      </c>
      <c r="F37" s="80">
        <f>F35*Products!$D$13</f>
        <v/>
      </c>
      <c r="G37" s="80">
        <f>G35*Products!$D$13</f>
        <v/>
      </c>
      <c r="H37" s="80">
        <f>H35*Products!$D$13</f>
        <v/>
      </c>
      <c r="I37" s="80">
        <f>I35*Products!$D$13</f>
        <v/>
      </c>
      <c r="J37" s="80">
        <f>J35*Products!$D$13</f>
        <v/>
      </c>
      <c r="K37" s="80">
        <f>K35*Products!$D$13</f>
        <v/>
      </c>
      <c r="L37" s="80">
        <f>L35*Products!$D$13</f>
        <v/>
      </c>
      <c r="M37" s="80">
        <f>M35*Products!$D$13</f>
        <v/>
      </c>
      <c r="N37" s="80">
        <f>N35*Products!$D$13</f>
        <v/>
      </c>
      <c r="O37" s="80">
        <f>O35*Products!$D$13</f>
        <v/>
      </c>
      <c r="P37" s="80">
        <f>P35*Products!$D$13</f>
        <v/>
      </c>
      <c r="Q37" s="80">
        <f>Q35*Products!$D$13</f>
        <v/>
      </c>
      <c r="R37" s="80">
        <f>R35*Products!$D$13</f>
        <v/>
      </c>
      <c r="S37" s="80">
        <f>S35*Products!$D$13</f>
        <v/>
      </c>
      <c r="T37" s="80">
        <f>T35*Products!$D$13</f>
        <v/>
      </c>
      <c r="U37" s="80">
        <f>U35*Products!$D$13</f>
        <v/>
      </c>
      <c r="V37" s="80">
        <f>V35*Products!$D$13</f>
        <v/>
      </c>
      <c r="W37" s="80">
        <f>W35*Products!$D$13</f>
        <v/>
      </c>
      <c r="X37" s="80">
        <f>X35*Products!$D$13</f>
        <v/>
      </c>
      <c r="Y37" s="80">
        <f>Y35*Products!$D$13</f>
        <v/>
      </c>
      <c r="Z37" s="80">
        <f>Z35*Products!$D$13</f>
        <v/>
      </c>
      <c r="AA37" s="80">
        <f>AA35*Products!$D$13</f>
        <v/>
      </c>
      <c r="AB37" s="80">
        <f>AB35*Products!$D$13</f>
        <v/>
      </c>
      <c r="AC37" s="80">
        <f>AC35*Products!$D$13</f>
        <v/>
      </c>
      <c r="AD37" s="80">
        <f>AD35*Products!$D$13</f>
        <v/>
      </c>
      <c r="AE37" s="80">
        <f>AE35*Products!$D$13</f>
        <v/>
      </c>
      <c r="AF37" s="80">
        <f>AF35*Products!$D$13</f>
        <v/>
      </c>
      <c r="AG37" s="80">
        <f>AG35*Products!$D$13</f>
        <v/>
      </c>
      <c r="AH37" s="80">
        <f>AH35*Products!$D$13</f>
        <v/>
      </c>
      <c r="AI37" s="80">
        <f>AI35*Products!$D$13</f>
        <v/>
      </c>
      <c r="AJ37" s="80">
        <f>AJ35*Products!$D$13</f>
        <v/>
      </c>
      <c r="AK37" s="80">
        <f>AK35*Products!$D$13</f>
        <v/>
      </c>
      <c r="AL37" s="80">
        <f>AL35*Products!$D$13</f>
        <v/>
      </c>
      <c r="AM37" s="80">
        <f>AM35*Products!$D$13</f>
        <v/>
      </c>
      <c r="AN37" s="80">
        <f>AN35*Products!$D$13</f>
        <v/>
      </c>
      <c r="AO37" s="80">
        <f>AO35*Products!$D$13</f>
        <v/>
      </c>
      <c r="AP37" s="80">
        <f>AP35*Products!$D$13</f>
        <v/>
      </c>
      <c r="AQ37" s="80">
        <f>AQ35*Products!$D$13</f>
        <v/>
      </c>
      <c r="AR37" s="80">
        <f>AR35*Products!$D$13</f>
        <v/>
      </c>
      <c r="AS37" s="80">
        <f>AS35*Products!$D$13</f>
        <v/>
      </c>
      <c r="AT37" s="80">
        <f>AT35*Products!$D$13</f>
        <v/>
      </c>
      <c r="AU37" s="80">
        <f>AU35*Products!$D$13</f>
        <v/>
      </c>
      <c r="AV37" s="80">
        <f>AV35*Products!$D$13</f>
        <v/>
      </c>
      <c r="AW37" s="80">
        <f>AW35*Products!$D$13</f>
        <v/>
      </c>
      <c r="AX37" s="80">
        <f>AX35*Products!$D$13</f>
        <v/>
      </c>
      <c r="AY37" s="80">
        <f>AY35*Products!$D$13</f>
        <v/>
      </c>
      <c r="AZ37" s="80">
        <f>AZ35*Products!$D$13</f>
        <v/>
      </c>
      <c r="BA37" s="80">
        <f>BA35*Products!$D$13</f>
        <v/>
      </c>
      <c r="BB37" s="80">
        <f>BB35*Products!$D$13</f>
        <v/>
      </c>
      <c r="BC37" s="80">
        <f>BC35*Products!$D$13</f>
        <v/>
      </c>
      <c r="BD37" s="80">
        <f>BD35*Products!$D$13</f>
        <v/>
      </c>
      <c r="BE37" s="80">
        <f>BE35*Products!$D$13</f>
        <v/>
      </c>
      <c r="BF37" s="80">
        <f>BF35*Products!$D$13</f>
        <v/>
      </c>
      <c r="BG37" s="80">
        <f>BG35*Products!$D$13</f>
        <v/>
      </c>
      <c r="BH37" s="80">
        <f>BH35*Products!$D$13</f>
        <v/>
      </c>
      <c r="BI37" s="80">
        <f>BI35*Products!$D$13</f>
        <v/>
      </c>
      <c r="BJ37" s="80">
        <f>BJ35*Products!$D$13</f>
        <v/>
      </c>
      <c r="BK37" s="80">
        <f>BK35*Products!$D$13</f>
        <v/>
      </c>
      <c r="BL37" s="80">
        <f>BL35*Products!$D$13</f>
        <v/>
      </c>
    </row>
    <row r="38">
      <c r="A38" s="98" t="inlineStr">
        <is>
          <t>New PAYGo receivables originated</t>
        </is>
      </c>
      <c r="B38" s="65" t="inlineStr">
        <is>
          <t>LCY</t>
        </is>
      </c>
      <c r="C38" s="105">
        <f>SUM(E38:BL38)</f>
        <v/>
      </c>
      <c r="E38" s="80">
        <f>E35*Products!$D$38</f>
        <v/>
      </c>
      <c r="F38" s="80">
        <f>F35*Products!$D$38</f>
        <v/>
      </c>
      <c r="G38" s="80">
        <f>G35*Products!$D$38</f>
        <v/>
      </c>
      <c r="H38" s="80">
        <f>H35*Products!$D$38</f>
        <v/>
      </c>
      <c r="I38" s="80">
        <f>I35*Products!$D$38</f>
        <v/>
      </c>
      <c r="J38" s="80">
        <f>J35*Products!$D$38</f>
        <v/>
      </c>
      <c r="K38" s="80">
        <f>K35*Products!$D$38</f>
        <v/>
      </c>
      <c r="L38" s="80">
        <f>L35*Products!$D$38</f>
        <v/>
      </c>
      <c r="M38" s="80">
        <f>M35*Products!$D$38</f>
        <v/>
      </c>
      <c r="N38" s="80">
        <f>N35*Products!$D$38</f>
        <v/>
      </c>
      <c r="O38" s="80">
        <f>O35*Products!$D$38</f>
        <v/>
      </c>
      <c r="P38" s="80">
        <f>P35*Products!$D$38</f>
        <v/>
      </c>
      <c r="Q38" s="80">
        <f>Q35*Products!$D$38</f>
        <v/>
      </c>
      <c r="R38" s="80">
        <f>R35*Products!$D$38</f>
        <v/>
      </c>
      <c r="S38" s="80">
        <f>S35*Products!$D$38</f>
        <v/>
      </c>
      <c r="T38" s="80">
        <f>T35*Products!$D$38</f>
        <v/>
      </c>
      <c r="U38" s="80">
        <f>U35*Products!$D$38</f>
        <v/>
      </c>
      <c r="V38" s="80">
        <f>V35*Products!$D$38</f>
        <v/>
      </c>
      <c r="W38" s="80">
        <f>W35*Products!$D$38</f>
        <v/>
      </c>
      <c r="X38" s="80">
        <f>X35*Products!$D$38</f>
        <v/>
      </c>
      <c r="Y38" s="80">
        <f>Y35*Products!$D$38</f>
        <v/>
      </c>
      <c r="Z38" s="80">
        <f>Z35*Products!$D$38</f>
        <v/>
      </c>
      <c r="AA38" s="80">
        <f>AA35*Products!$D$38</f>
        <v/>
      </c>
      <c r="AB38" s="80">
        <f>AB35*Products!$D$38</f>
        <v/>
      </c>
      <c r="AC38" s="80">
        <f>AC35*Products!$D$38</f>
        <v/>
      </c>
      <c r="AD38" s="80">
        <f>AD35*Products!$D$38</f>
        <v/>
      </c>
      <c r="AE38" s="80">
        <f>AE35*Products!$D$38</f>
        <v/>
      </c>
      <c r="AF38" s="80">
        <f>AF35*Products!$D$38</f>
        <v/>
      </c>
      <c r="AG38" s="80">
        <f>AG35*Products!$D$38</f>
        <v/>
      </c>
      <c r="AH38" s="80">
        <f>AH35*Products!$D$38</f>
        <v/>
      </c>
      <c r="AI38" s="80">
        <f>AI35*Products!$D$38</f>
        <v/>
      </c>
      <c r="AJ38" s="80">
        <f>AJ35*Products!$D$38</f>
        <v/>
      </c>
      <c r="AK38" s="80">
        <f>AK35*Products!$D$38</f>
        <v/>
      </c>
      <c r="AL38" s="80">
        <f>AL35*Products!$D$38</f>
        <v/>
      </c>
      <c r="AM38" s="80">
        <f>AM35*Products!$D$38</f>
        <v/>
      </c>
      <c r="AN38" s="80">
        <f>AN35*Products!$D$38</f>
        <v/>
      </c>
      <c r="AO38" s="80">
        <f>AO35*Products!$D$38</f>
        <v/>
      </c>
      <c r="AP38" s="80">
        <f>AP35*Products!$D$38</f>
        <v/>
      </c>
      <c r="AQ38" s="80">
        <f>AQ35*Products!$D$38</f>
        <v/>
      </c>
      <c r="AR38" s="80">
        <f>AR35*Products!$D$38</f>
        <v/>
      </c>
      <c r="AS38" s="80">
        <f>AS35*Products!$D$38</f>
        <v/>
      </c>
      <c r="AT38" s="80">
        <f>AT35*Products!$D$38</f>
        <v/>
      </c>
      <c r="AU38" s="80">
        <f>AU35*Products!$D$38</f>
        <v/>
      </c>
      <c r="AV38" s="80">
        <f>AV35*Products!$D$38</f>
        <v/>
      </c>
      <c r="AW38" s="80">
        <f>AW35*Products!$D$38</f>
        <v/>
      </c>
      <c r="AX38" s="80">
        <f>AX35*Products!$D$38</f>
        <v/>
      </c>
      <c r="AY38" s="80">
        <f>AY35*Products!$D$38</f>
        <v/>
      </c>
      <c r="AZ38" s="80">
        <f>AZ35*Products!$D$38</f>
        <v/>
      </c>
      <c r="BA38" s="80">
        <f>BA35*Products!$D$38</f>
        <v/>
      </c>
      <c r="BB38" s="80">
        <f>BB35*Products!$D$38</f>
        <v/>
      </c>
      <c r="BC38" s="80">
        <f>BC35*Products!$D$38</f>
        <v/>
      </c>
      <c r="BD38" s="80">
        <f>BD35*Products!$D$38</f>
        <v/>
      </c>
      <c r="BE38" s="80">
        <f>BE35*Products!$D$38</f>
        <v/>
      </c>
      <c r="BF38" s="80">
        <f>BF35*Products!$D$38</f>
        <v/>
      </c>
      <c r="BG38" s="80">
        <f>BG35*Products!$D$38</f>
        <v/>
      </c>
      <c r="BH38" s="80">
        <f>BH35*Products!$D$38</f>
        <v/>
      </c>
      <c r="BI38" s="80">
        <f>BI35*Products!$D$38</f>
        <v/>
      </c>
      <c r="BJ38" s="80">
        <f>BJ35*Products!$D$38</f>
        <v/>
      </c>
      <c r="BK38" s="80">
        <f>BK35*Products!$D$38</f>
        <v/>
      </c>
      <c r="BL38" s="80">
        <f>BL35*Products!$D$38</f>
        <v/>
      </c>
    </row>
    <row r="39">
      <c r="A39" s="98" t="inlineStr">
        <is>
          <t>Instalments due</t>
        </is>
      </c>
      <c r="B39" s="65" t="inlineStr">
        <is>
          <t>LCY</t>
        </is>
      </c>
      <c r="C39" s="105">
        <f>SUM(E39:BL39)</f>
        <v/>
      </c>
      <c r="E39" s="80">
        <f>Products!$D$33*SUMIFS($E$35:$BL$35,Timeline!$E$4:$BL$4,"&gt;="&amp;(E$4-Products!$D$16),Timeline!$E$4:$BL$4,"&lt;="&amp;(E$4-1))</f>
        <v/>
      </c>
      <c r="F39" s="80">
        <f>Products!$D$33*SUMIFS($E$35:$BL$35,Timeline!$E$4:$BL$4,"&gt;="&amp;(F$4-Products!$D$16),Timeline!$E$4:$BL$4,"&lt;="&amp;(F$4-1))</f>
        <v/>
      </c>
      <c r="G39" s="80">
        <f>Products!$D$33*SUMIFS($E$35:$BL$35,Timeline!$E$4:$BL$4,"&gt;="&amp;(G$4-Products!$D$16),Timeline!$E$4:$BL$4,"&lt;="&amp;(G$4-1))</f>
        <v/>
      </c>
      <c r="H39" s="80">
        <f>Products!$D$33*SUMIFS($E$35:$BL$35,Timeline!$E$4:$BL$4,"&gt;="&amp;(H$4-Products!$D$16),Timeline!$E$4:$BL$4,"&lt;="&amp;(H$4-1))</f>
        <v/>
      </c>
      <c r="I39" s="80">
        <f>Products!$D$33*SUMIFS($E$35:$BL$35,Timeline!$E$4:$BL$4,"&gt;="&amp;(I$4-Products!$D$16),Timeline!$E$4:$BL$4,"&lt;="&amp;(I$4-1))</f>
        <v/>
      </c>
      <c r="J39" s="80">
        <f>Products!$D$33*SUMIFS($E$35:$BL$35,Timeline!$E$4:$BL$4,"&gt;="&amp;(J$4-Products!$D$16),Timeline!$E$4:$BL$4,"&lt;="&amp;(J$4-1))</f>
        <v/>
      </c>
      <c r="K39" s="80">
        <f>Products!$D$33*SUMIFS($E$35:$BL$35,Timeline!$E$4:$BL$4,"&gt;="&amp;(K$4-Products!$D$16),Timeline!$E$4:$BL$4,"&lt;="&amp;(K$4-1))</f>
        <v/>
      </c>
      <c r="L39" s="80">
        <f>Products!$D$33*SUMIFS($E$35:$BL$35,Timeline!$E$4:$BL$4,"&gt;="&amp;(L$4-Products!$D$16),Timeline!$E$4:$BL$4,"&lt;="&amp;(L$4-1))</f>
        <v/>
      </c>
      <c r="M39" s="80">
        <f>Products!$D$33*SUMIFS($E$35:$BL$35,Timeline!$E$4:$BL$4,"&gt;="&amp;(M$4-Products!$D$16),Timeline!$E$4:$BL$4,"&lt;="&amp;(M$4-1))</f>
        <v/>
      </c>
      <c r="N39" s="80">
        <f>Products!$D$33*SUMIFS($E$35:$BL$35,Timeline!$E$4:$BL$4,"&gt;="&amp;(N$4-Products!$D$16),Timeline!$E$4:$BL$4,"&lt;="&amp;(N$4-1))</f>
        <v/>
      </c>
      <c r="O39" s="80">
        <f>Products!$D$33*SUMIFS($E$35:$BL$35,Timeline!$E$4:$BL$4,"&gt;="&amp;(O$4-Products!$D$16),Timeline!$E$4:$BL$4,"&lt;="&amp;(O$4-1))</f>
        <v/>
      </c>
      <c r="P39" s="80">
        <f>Products!$D$33*SUMIFS($E$35:$BL$35,Timeline!$E$4:$BL$4,"&gt;="&amp;(P$4-Products!$D$16),Timeline!$E$4:$BL$4,"&lt;="&amp;(P$4-1))</f>
        <v/>
      </c>
      <c r="Q39" s="80">
        <f>Products!$D$33*SUMIFS($E$35:$BL$35,Timeline!$E$4:$BL$4,"&gt;="&amp;(Q$4-Products!$D$16),Timeline!$E$4:$BL$4,"&lt;="&amp;(Q$4-1))</f>
        <v/>
      </c>
      <c r="R39" s="80">
        <f>Products!$D$33*SUMIFS($E$35:$BL$35,Timeline!$E$4:$BL$4,"&gt;="&amp;(R$4-Products!$D$16),Timeline!$E$4:$BL$4,"&lt;="&amp;(R$4-1))</f>
        <v/>
      </c>
      <c r="S39" s="80">
        <f>Products!$D$33*SUMIFS($E$35:$BL$35,Timeline!$E$4:$BL$4,"&gt;="&amp;(S$4-Products!$D$16),Timeline!$E$4:$BL$4,"&lt;="&amp;(S$4-1))</f>
        <v/>
      </c>
      <c r="T39" s="80">
        <f>Products!$D$33*SUMIFS($E$35:$BL$35,Timeline!$E$4:$BL$4,"&gt;="&amp;(T$4-Products!$D$16),Timeline!$E$4:$BL$4,"&lt;="&amp;(T$4-1))</f>
        <v/>
      </c>
      <c r="U39" s="80">
        <f>Products!$D$33*SUMIFS($E$35:$BL$35,Timeline!$E$4:$BL$4,"&gt;="&amp;(U$4-Products!$D$16),Timeline!$E$4:$BL$4,"&lt;="&amp;(U$4-1))</f>
        <v/>
      </c>
      <c r="V39" s="80">
        <f>Products!$D$33*SUMIFS($E$35:$BL$35,Timeline!$E$4:$BL$4,"&gt;="&amp;(V$4-Products!$D$16),Timeline!$E$4:$BL$4,"&lt;="&amp;(V$4-1))</f>
        <v/>
      </c>
      <c r="W39" s="80">
        <f>Products!$D$33*SUMIFS($E$35:$BL$35,Timeline!$E$4:$BL$4,"&gt;="&amp;(W$4-Products!$D$16),Timeline!$E$4:$BL$4,"&lt;="&amp;(W$4-1))</f>
        <v/>
      </c>
      <c r="X39" s="80">
        <f>Products!$D$33*SUMIFS($E$35:$BL$35,Timeline!$E$4:$BL$4,"&gt;="&amp;(X$4-Products!$D$16),Timeline!$E$4:$BL$4,"&lt;="&amp;(X$4-1))</f>
        <v/>
      </c>
      <c r="Y39" s="80">
        <f>Products!$D$33*SUMIFS($E$35:$BL$35,Timeline!$E$4:$BL$4,"&gt;="&amp;(Y$4-Products!$D$16),Timeline!$E$4:$BL$4,"&lt;="&amp;(Y$4-1))</f>
        <v/>
      </c>
      <c r="Z39" s="80">
        <f>Products!$D$33*SUMIFS($E$35:$BL$35,Timeline!$E$4:$BL$4,"&gt;="&amp;(Z$4-Products!$D$16),Timeline!$E$4:$BL$4,"&lt;="&amp;(Z$4-1))</f>
        <v/>
      </c>
      <c r="AA39" s="80">
        <f>Products!$D$33*SUMIFS($E$35:$BL$35,Timeline!$E$4:$BL$4,"&gt;="&amp;(AA$4-Products!$D$16),Timeline!$E$4:$BL$4,"&lt;="&amp;(AA$4-1))</f>
        <v/>
      </c>
      <c r="AB39" s="80">
        <f>Products!$D$33*SUMIFS($E$35:$BL$35,Timeline!$E$4:$BL$4,"&gt;="&amp;(AB$4-Products!$D$16),Timeline!$E$4:$BL$4,"&lt;="&amp;(AB$4-1))</f>
        <v/>
      </c>
      <c r="AC39" s="80">
        <f>Products!$D$33*SUMIFS($E$35:$BL$35,Timeline!$E$4:$BL$4,"&gt;="&amp;(AC$4-Products!$D$16),Timeline!$E$4:$BL$4,"&lt;="&amp;(AC$4-1))</f>
        <v/>
      </c>
      <c r="AD39" s="80">
        <f>Products!$D$33*SUMIFS($E$35:$BL$35,Timeline!$E$4:$BL$4,"&gt;="&amp;(AD$4-Products!$D$16),Timeline!$E$4:$BL$4,"&lt;="&amp;(AD$4-1))</f>
        <v/>
      </c>
      <c r="AE39" s="80">
        <f>Products!$D$33*SUMIFS($E$35:$BL$35,Timeline!$E$4:$BL$4,"&gt;="&amp;(AE$4-Products!$D$16),Timeline!$E$4:$BL$4,"&lt;="&amp;(AE$4-1))</f>
        <v/>
      </c>
      <c r="AF39" s="80">
        <f>Products!$D$33*SUMIFS($E$35:$BL$35,Timeline!$E$4:$BL$4,"&gt;="&amp;(AF$4-Products!$D$16),Timeline!$E$4:$BL$4,"&lt;="&amp;(AF$4-1))</f>
        <v/>
      </c>
      <c r="AG39" s="80">
        <f>Products!$D$33*SUMIFS($E$35:$BL$35,Timeline!$E$4:$BL$4,"&gt;="&amp;(AG$4-Products!$D$16),Timeline!$E$4:$BL$4,"&lt;="&amp;(AG$4-1))</f>
        <v/>
      </c>
      <c r="AH39" s="80">
        <f>Products!$D$33*SUMIFS($E$35:$BL$35,Timeline!$E$4:$BL$4,"&gt;="&amp;(AH$4-Products!$D$16),Timeline!$E$4:$BL$4,"&lt;="&amp;(AH$4-1))</f>
        <v/>
      </c>
      <c r="AI39" s="80">
        <f>Products!$D$33*SUMIFS($E$35:$BL$35,Timeline!$E$4:$BL$4,"&gt;="&amp;(AI$4-Products!$D$16),Timeline!$E$4:$BL$4,"&lt;="&amp;(AI$4-1))</f>
        <v/>
      </c>
      <c r="AJ39" s="80">
        <f>Products!$D$33*SUMIFS($E$35:$BL$35,Timeline!$E$4:$BL$4,"&gt;="&amp;(AJ$4-Products!$D$16),Timeline!$E$4:$BL$4,"&lt;="&amp;(AJ$4-1))</f>
        <v/>
      </c>
      <c r="AK39" s="80">
        <f>Products!$D$33*SUMIFS($E$35:$BL$35,Timeline!$E$4:$BL$4,"&gt;="&amp;(AK$4-Products!$D$16),Timeline!$E$4:$BL$4,"&lt;="&amp;(AK$4-1))</f>
        <v/>
      </c>
      <c r="AL39" s="80">
        <f>Products!$D$33*SUMIFS($E$35:$BL$35,Timeline!$E$4:$BL$4,"&gt;="&amp;(AL$4-Products!$D$16),Timeline!$E$4:$BL$4,"&lt;="&amp;(AL$4-1))</f>
        <v/>
      </c>
      <c r="AM39" s="80">
        <f>Products!$D$33*SUMIFS($E$35:$BL$35,Timeline!$E$4:$BL$4,"&gt;="&amp;(AM$4-Products!$D$16),Timeline!$E$4:$BL$4,"&lt;="&amp;(AM$4-1))</f>
        <v/>
      </c>
      <c r="AN39" s="80">
        <f>Products!$D$33*SUMIFS($E$35:$BL$35,Timeline!$E$4:$BL$4,"&gt;="&amp;(AN$4-Products!$D$16),Timeline!$E$4:$BL$4,"&lt;="&amp;(AN$4-1))</f>
        <v/>
      </c>
      <c r="AO39" s="80">
        <f>Products!$D$33*SUMIFS($E$35:$BL$35,Timeline!$E$4:$BL$4,"&gt;="&amp;(AO$4-Products!$D$16),Timeline!$E$4:$BL$4,"&lt;="&amp;(AO$4-1))</f>
        <v/>
      </c>
      <c r="AP39" s="80">
        <f>Products!$D$33*SUMIFS($E$35:$BL$35,Timeline!$E$4:$BL$4,"&gt;="&amp;(AP$4-Products!$D$16),Timeline!$E$4:$BL$4,"&lt;="&amp;(AP$4-1))</f>
        <v/>
      </c>
      <c r="AQ39" s="80">
        <f>Products!$D$33*SUMIFS($E$35:$BL$35,Timeline!$E$4:$BL$4,"&gt;="&amp;(AQ$4-Products!$D$16),Timeline!$E$4:$BL$4,"&lt;="&amp;(AQ$4-1))</f>
        <v/>
      </c>
      <c r="AR39" s="80">
        <f>Products!$D$33*SUMIFS($E$35:$BL$35,Timeline!$E$4:$BL$4,"&gt;="&amp;(AR$4-Products!$D$16),Timeline!$E$4:$BL$4,"&lt;="&amp;(AR$4-1))</f>
        <v/>
      </c>
      <c r="AS39" s="80">
        <f>Products!$D$33*SUMIFS($E$35:$BL$35,Timeline!$E$4:$BL$4,"&gt;="&amp;(AS$4-Products!$D$16),Timeline!$E$4:$BL$4,"&lt;="&amp;(AS$4-1))</f>
        <v/>
      </c>
      <c r="AT39" s="80">
        <f>Products!$D$33*SUMIFS($E$35:$BL$35,Timeline!$E$4:$BL$4,"&gt;="&amp;(AT$4-Products!$D$16),Timeline!$E$4:$BL$4,"&lt;="&amp;(AT$4-1))</f>
        <v/>
      </c>
      <c r="AU39" s="80">
        <f>Products!$D$33*SUMIFS($E$35:$BL$35,Timeline!$E$4:$BL$4,"&gt;="&amp;(AU$4-Products!$D$16),Timeline!$E$4:$BL$4,"&lt;="&amp;(AU$4-1))</f>
        <v/>
      </c>
      <c r="AV39" s="80">
        <f>Products!$D$33*SUMIFS($E$35:$BL$35,Timeline!$E$4:$BL$4,"&gt;="&amp;(AV$4-Products!$D$16),Timeline!$E$4:$BL$4,"&lt;="&amp;(AV$4-1))</f>
        <v/>
      </c>
      <c r="AW39" s="80">
        <f>Products!$D$33*SUMIFS($E$35:$BL$35,Timeline!$E$4:$BL$4,"&gt;="&amp;(AW$4-Products!$D$16),Timeline!$E$4:$BL$4,"&lt;="&amp;(AW$4-1))</f>
        <v/>
      </c>
      <c r="AX39" s="80">
        <f>Products!$D$33*SUMIFS($E$35:$BL$35,Timeline!$E$4:$BL$4,"&gt;="&amp;(AX$4-Products!$D$16),Timeline!$E$4:$BL$4,"&lt;="&amp;(AX$4-1))</f>
        <v/>
      </c>
      <c r="AY39" s="80">
        <f>Products!$D$33*SUMIFS($E$35:$BL$35,Timeline!$E$4:$BL$4,"&gt;="&amp;(AY$4-Products!$D$16),Timeline!$E$4:$BL$4,"&lt;="&amp;(AY$4-1))</f>
        <v/>
      </c>
      <c r="AZ39" s="80">
        <f>Products!$D$33*SUMIFS($E$35:$BL$35,Timeline!$E$4:$BL$4,"&gt;="&amp;(AZ$4-Products!$D$16),Timeline!$E$4:$BL$4,"&lt;="&amp;(AZ$4-1))</f>
        <v/>
      </c>
      <c r="BA39" s="80">
        <f>Products!$D$33*SUMIFS($E$35:$BL$35,Timeline!$E$4:$BL$4,"&gt;="&amp;(BA$4-Products!$D$16),Timeline!$E$4:$BL$4,"&lt;="&amp;(BA$4-1))</f>
        <v/>
      </c>
      <c r="BB39" s="80">
        <f>Products!$D$33*SUMIFS($E$35:$BL$35,Timeline!$E$4:$BL$4,"&gt;="&amp;(BB$4-Products!$D$16),Timeline!$E$4:$BL$4,"&lt;="&amp;(BB$4-1))</f>
        <v/>
      </c>
      <c r="BC39" s="80">
        <f>Products!$D$33*SUMIFS($E$35:$BL$35,Timeline!$E$4:$BL$4,"&gt;="&amp;(BC$4-Products!$D$16),Timeline!$E$4:$BL$4,"&lt;="&amp;(BC$4-1))</f>
        <v/>
      </c>
      <c r="BD39" s="80">
        <f>Products!$D$33*SUMIFS($E$35:$BL$35,Timeline!$E$4:$BL$4,"&gt;="&amp;(BD$4-Products!$D$16),Timeline!$E$4:$BL$4,"&lt;="&amp;(BD$4-1))</f>
        <v/>
      </c>
      <c r="BE39" s="80">
        <f>Products!$D$33*SUMIFS($E$35:$BL$35,Timeline!$E$4:$BL$4,"&gt;="&amp;(BE$4-Products!$D$16),Timeline!$E$4:$BL$4,"&lt;="&amp;(BE$4-1))</f>
        <v/>
      </c>
      <c r="BF39" s="80">
        <f>Products!$D$33*SUMIFS($E$35:$BL$35,Timeline!$E$4:$BL$4,"&gt;="&amp;(BF$4-Products!$D$16),Timeline!$E$4:$BL$4,"&lt;="&amp;(BF$4-1))</f>
        <v/>
      </c>
      <c r="BG39" s="80">
        <f>Products!$D$33*SUMIFS($E$35:$BL$35,Timeline!$E$4:$BL$4,"&gt;="&amp;(BG$4-Products!$D$16),Timeline!$E$4:$BL$4,"&lt;="&amp;(BG$4-1))</f>
        <v/>
      </c>
      <c r="BH39" s="80">
        <f>Products!$D$33*SUMIFS($E$35:$BL$35,Timeline!$E$4:$BL$4,"&gt;="&amp;(BH$4-Products!$D$16),Timeline!$E$4:$BL$4,"&lt;="&amp;(BH$4-1))</f>
        <v/>
      </c>
      <c r="BI39" s="80">
        <f>Products!$D$33*SUMIFS($E$35:$BL$35,Timeline!$E$4:$BL$4,"&gt;="&amp;(BI$4-Products!$D$16),Timeline!$E$4:$BL$4,"&lt;="&amp;(BI$4-1))</f>
        <v/>
      </c>
      <c r="BJ39" s="80">
        <f>Products!$D$33*SUMIFS($E$35:$BL$35,Timeline!$E$4:$BL$4,"&gt;="&amp;(BJ$4-Products!$D$16),Timeline!$E$4:$BL$4,"&lt;="&amp;(BJ$4-1))</f>
        <v/>
      </c>
      <c r="BK39" s="80">
        <f>Products!$D$33*SUMIFS($E$35:$BL$35,Timeline!$E$4:$BL$4,"&gt;="&amp;(BK$4-Products!$D$16),Timeline!$E$4:$BL$4,"&lt;="&amp;(BK$4-1))</f>
        <v/>
      </c>
      <c r="BL39" s="80">
        <f>Products!$D$33*SUMIFS($E$35:$BL$35,Timeline!$E$4:$BL$4,"&gt;="&amp;(BL$4-Products!$D$16),Timeline!$E$4:$BL$4,"&lt;="&amp;(BL$4-1))</f>
        <v/>
      </c>
    </row>
    <row r="40">
      <c r="A40" s="98" t="inlineStr">
        <is>
          <t>Instalments collected</t>
        </is>
      </c>
      <c r="B40" s="65" t="inlineStr">
        <is>
          <t>LCY</t>
        </is>
      </c>
      <c r="C40" s="105">
        <f>SUM(E40:BL40)</f>
        <v/>
      </c>
      <c r="E40" s="41">
        <f>Cohort_T2!E$9</f>
        <v/>
      </c>
      <c r="F40" s="41">
        <f>Cohort_T2!F$9</f>
        <v/>
      </c>
      <c r="G40" s="41">
        <f>Cohort_T2!G$9</f>
        <v/>
      </c>
      <c r="H40" s="41">
        <f>Cohort_T2!H$9</f>
        <v/>
      </c>
      <c r="I40" s="41">
        <f>Cohort_T2!I$9</f>
        <v/>
      </c>
      <c r="J40" s="41">
        <f>Cohort_T2!J$9</f>
        <v/>
      </c>
      <c r="K40" s="41">
        <f>Cohort_T2!K$9</f>
        <v/>
      </c>
      <c r="L40" s="41">
        <f>Cohort_T2!L$9</f>
        <v/>
      </c>
      <c r="M40" s="41">
        <f>Cohort_T2!M$9</f>
        <v/>
      </c>
      <c r="N40" s="41">
        <f>Cohort_T2!N$9</f>
        <v/>
      </c>
      <c r="O40" s="41">
        <f>Cohort_T2!O$9</f>
        <v/>
      </c>
      <c r="P40" s="41">
        <f>Cohort_T2!P$9</f>
        <v/>
      </c>
      <c r="Q40" s="41">
        <f>Cohort_T2!Q$9</f>
        <v/>
      </c>
      <c r="R40" s="41">
        <f>Cohort_T2!R$9</f>
        <v/>
      </c>
      <c r="S40" s="41">
        <f>Cohort_T2!S$9</f>
        <v/>
      </c>
      <c r="T40" s="41">
        <f>Cohort_T2!T$9</f>
        <v/>
      </c>
      <c r="U40" s="41">
        <f>Cohort_T2!U$9</f>
        <v/>
      </c>
      <c r="V40" s="41">
        <f>Cohort_T2!V$9</f>
        <v/>
      </c>
      <c r="W40" s="41">
        <f>Cohort_T2!W$9</f>
        <v/>
      </c>
      <c r="X40" s="41">
        <f>Cohort_T2!X$9</f>
        <v/>
      </c>
      <c r="Y40" s="41">
        <f>Cohort_T2!Y$9</f>
        <v/>
      </c>
      <c r="Z40" s="41">
        <f>Cohort_T2!Z$9</f>
        <v/>
      </c>
      <c r="AA40" s="41">
        <f>Cohort_T2!AA$9</f>
        <v/>
      </c>
      <c r="AB40" s="41">
        <f>Cohort_T2!AB$9</f>
        <v/>
      </c>
      <c r="AC40" s="41">
        <f>Cohort_T2!AC$9</f>
        <v/>
      </c>
      <c r="AD40" s="41">
        <f>Cohort_T2!AD$9</f>
        <v/>
      </c>
      <c r="AE40" s="41">
        <f>Cohort_T2!AE$9</f>
        <v/>
      </c>
      <c r="AF40" s="41">
        <f>Cohort_T2!AF$9</f>
        <v/>
      </c>
      <c r="AG40" s="41">
        <f>Cohort_T2!AG$9</f>
        <v/>
      </c>
      <c r="AH40" s="41">
        <f>Cohort_T2!AH$9</f>
        <v/>
      </c>
      <c r="AI40" s="41">
        <f>Cohort_T2!AI$9</f>
        <v/>
      </c>
      <c r="AJ40" s="41">
        <f>Cohort_T2!AJ$9</f>
        <v/>
      </c>
      <c r="AK40" s="41">
        <f>Cohort_T2!AK$9</f>
        <v/>
      </c>
      <c r="AL40" s="41">
        <f>Cohort_T2!AL$9</f>
        <v/>
      </c>
      <c r="AM40" s="41">
        <f>Cohort_T2!AM$9</f>
        <v/>
      </c>
      <c r="AN40" s="41">
        <f>Cohort_T2!AN$9</f>
        <v/>
      </c>
      <c r="AO40" s="41">
        <f>Cohort_T2!AO$9</f>
        <v/>
      </c>
      <c r="AP40" s="41">
        <f>Cohort_T2!AP$9</f>
        <v/>
      </c>
      <c r="AQ40" s="41">
        <f>Cohort_T2!AQ$9</f>
        <v/>
      </c>
      <c r="AR40" s="41">
        <f>Cohort_T2!AR$9</f>
        <v/>
      </c>
      <c r="AS40" s="41">
        <f>Cohort_T2!AS$9</f>
        <v/>
      </c>
      <c r="AT40" s="41">
        <f>Cohort_T2!AT$9</f>
        <v/>
      </c>
      <c r="AU40" s="41">
        <f>Cohort_T2!AU$9</f>
        <v/>
      </c>
      <c r="AV40" s="41">
        <f>Cohort_T2!AV$9</f>
        <v/>
      </c>
      <c r="AW40" s="41">
        <f>Cohort_T2!AW$9</f>
        <v/>
      </c>
      <c r="AX40" s="41">
        <f>Cohort_T2!AX$9</f>
        <v/>
      </c>
      <c r="AY40" s="41">
        <f>Cohort_T2!AY$9</f>
        <v/>
      </c>
      <c r="AZ40" s="41">
        <f>Cohort_T2!AZ$9</f>
        <v/>
      </c>
      <c r="BA40" s="41">
        <f>Cohort_T2!BA$9</f>
        <v/>
      </c>
      <c r="BB40" s="41">
        <f>Cohort_T2!BB$9</f>
        <v/>
      </c>
      <c r="BC40" s="41">
        <f>Cohort_T2!BC$9</f>
        <v/>
      </c>
      <c r="BD40" s="41">
        <f>Cohort_T2!BD$9</f>
        <v/>
      </c>
      <c r="BE40" s="41">
        <f>Cohort_T2!BE$9</f>
        <v/>
      </c>
      <c r="BF40" s="41">
        <f>Cohort_T2!BF$9</f>
        <v/>
      </c>
      <c r="BG40" s="41">
        <f>Cohort_T2!BG$9</f>
        <v/>
      </c>
      <c r="BH40" s="41">
        <f>Cohort_T2!BH$9</f>
        <v/>
      </c>
      <c r="BI40" s="41">
        <f>Cohort_T2!BI$9</f>
        <v/>
      </c>
      <c r="BJ40" s="41">
        <f>Cohort_T2!BJ$9</f>
        <v/>
      </c>
      <c r="BK40" s="41">
        <f>Cohort_T2!BK$9</f>
        <v/>
      </c>
      <c r="BL40" s="41">
        <f>Cohort_T2!BL$9</f>
        <v/>
      </c>
    </row>
    <row r="41">
      <c r="A41" s="98" t="inlineStr">
        <is>
          <t>Missed instalments written off</t>
        </is>
      </c>
      <c r="B41" s="65" t="inlineStr">
        <is>
          <t>LCY</t>
        </is>
      </c>
      <c r="C41" s="105">
        <f>SUM(E41:BL41)</f>
        <v/>
      </c>
      <c r="E41" s="80">
        <f>E39-E40</f>
        <v/>
      </c>
      <c r="F41" s="80">
        <f>F39-F40</f>
        <v/>
      </c>
      <c r="G41" s="80">
        <f>G39-G40</f>
        <v/>
      </c>
      <c r="H41" s="80">
        <f>H39-H40</f>
        <v/>
      </c>
      <c r="I41" s="80">
        <f>I39-I40</f>
        <v/>
      </c>
      <c r="J41" s="80">
        <f>J39-J40</f>
        <v/>
      </c>
      <c r="K41" s="80">
        <f>K39-K40</f>
        <v/>
      </c>
      <c r="L41" s="80">
        <f>L39-L40</f>
        <v/>
      </c>
      <c r="M41" s="80">
        <f>M39-M40</f>
        <v/>
      </c>
      <c r="N41" s="80">
        <f>N39-N40</f>
        <v/>
      </c>
      <c r="O41" s="80">
        <f>O39-O40</f>
        <v/>
      </c>
      <c r="P41" s="80">
        <f>P39-P40</f>
        <v/>
      </c>
      <c r="Q41" s="80">
        <f>Q39-Q40</f>
        <v/>
      </c>
      <c r="R41" s="80">
        <f>R39-R40</f>
        <v/>
      </c>
      <c r="S41" s="80">
        <f>S39-S40</f>
        <v/>
      </c>
      <c r="T41" s="80">
        <f>T39-T40</f>
        <v/>
      </c>
      <c r="U41" s="80">
        <f>U39-U40</f>
        <v/>
      </c>
      <c r="V41" s="80">
        <f>V39-V40</f>
        <v/>
      </c>
      <c r="W41" s="80">
        <f>W39-W40</f>
        <v/>
      </c>
      <c r="X41" s="80">
        <f>X39-X40</f>
        <v/>
      </c>
      <c r="Y41" s="80">
        <f>Y39-Y40</f>
        <v/>
      </c>
      <c r="Z41" s="80">
        <f>Z39-Z40</f>
        <v/>
      </c>
      <c r="AA41" s="80">
        <f>AA39-AA40</f>
        <v/>
      </c>
      <c r="AB41" s="80">
        <f>AB39-AB40</f>
        <v/>
      </c>
      <c r="AC41" s="80">
        <f>AC39-AC40</f>
        <v/>
      </c>
      <c r="AD41" s="80">
        <f>AD39-AD40</f>
        <v/>
      </c>
      <c r="AE41" s="80">
        <f>AE39-AE40</f>
        <v/>
      </c>
      <c r="AF41" s="80">
        <f>AF39-AF40</f>
        <v/>
      </c>
      <c r="AG41" s="80">
        <f>AG39-AG40</f>
        <v/>
      </c>
      <c r="AH41" s="80">
        <f>AH39-AH40</f>
        <v/>
      </c>
      <c r="AI41" s="80">
        <f>AI39-AI40</f>
        <v/>
      </c>
      <c r="AJ41" s="80">
        <f>AJ39-AJ40</f>
        <v/>
      </c>
      <c r="AK41" s="80">
        <f>AK39-AK40</f>
        <v/>
      </c>
      <c r="AL41" s="80">
        <f>AL39-AL40</f>
        <v/>
      </c>
      <c r="AM41" s="80">
        <f>AM39-AM40</f>
        <v/>
      </c>
      <c r="AN41" s="80">
        <f>AN39-AN40</f>
        <v/>
      </c>
      <c r="AO41" s="80">
        <f>AO39-AO40</f>
        <v/>
      </c>
      <c r="AP41" s="80">
        <f>AP39-AP40</f>
        <v/>
      </c>
      <c r="AQ41" s="80">
        <f>AQ39-AQ40</f>
        <v/>
      </c>
      <c r="AR41" s="80">
        <f>AR39-AR40</f>
        <v/>
      </c>
      <c r="AS41" s="80">
        <f>AS39-AS40</f>
        <v/>
      </c>
      <c r="AT41" s="80">
        <f>AT39-AT40</f>
        <v/>
      </c>
      <c r="AU41" s="80">
        <f>AU39-AU40</f>
        <v/>
      </c>
      <c r="AV41" s="80">
        <f>AV39-AV40</f>
        <v/>
      </c>
      <c r="AW41" s="80">
        <f>AW39-AW40</f>
        <v/>
      </c>
      <c r="AX41" s="80">
        <f>AX39-AX40</f>
        <v/>
      </c>
      <c r="AY41" s="80">
        <f>AY39-AY40</f>
        <v/>
      </c>
      <c r="AZ41" s="80">
        <f>AZ39-AZ40</f>
        <v/>
      </c>
      <c r="BA41" s="80">
        <f>BA39-BA40</f>
        <v/>
      </c>
      <c r="BB41" s="80">
        <f>BB39-BB40</f>
        <v/>
      </c>
      <c r="BC41" s="80">
        <f>BC39-BC40</f>
        <v/>
      </c>
      <c r="BD41" s="80">
        <f>BD39-BD40</f>
        <v/>
      </c>
      <c r="BE41" s="80">
        <f>BE39-BE40</f>
        <v/>
      </c>
      <c r="BF41" s="80">
        <f>BF39-BF40</f>
        <v/>
      </c>
      <c r="BG41" s="80">
        <f>BG39-BG40</f>
        <v/>
      </c>
      <c r="BH41" s="80">
        <f>BH39-BH40</f>
        <v/>
      </c>
      <c r="BI41" s="80">
        <f>BI39-BI40</f>
        <v/>
      </c>
      <c r="BJ41" s="80">
        <f>BJ39-BJ40</f>
        <v/>
      </c>
      <c r="BK41" s="80">
        <f>BK39-BK40</f>
        <v/>
      </c>
      <c r="BL41" s="80">
        <f>BL39-BL40</f>
        <v/>
      </c>
    </row>
    <row r="42">
      <c r="A42" s="98" t="inlineStr">
        <is>
          <t>PAYGo financing income (straight-line over tenor)</t>
        </is>
      </c>
      <c r="B42" s="65" t="inlineStr">
        <is>
          <t>LCY</t>
        </is>
      </c>
      <c r="C42" s="105">
        <f>SUM(E42:BL42)</f>
        <v/>
      </c>
      <c r="E42" s="80">
        <f>IF(Products!$D$16=0,0,Products!$D$35/Products!$D$16*SUMIFS($E$35:$BL$35,Timeline!$E$4:$BL$4,"&gt;="&amp;(E$4-Products!$D$16),Timeline!$E$4:$BL$4,"&lt;="&amp;(E$4-1)))</f>
        <v/>
      </c>
      <c r="F42" s="80">
        <f>IF(Products!$D$16=0,0,Products!$D$35/Products!$D$16*SUMIFS($E$35:$BL$35,Timeline!$E$4:$BL$4,"&gt;="&amp;(F$4-Products!$D$16),Timeline!$E$4:$BL$4,"&lt;="&amp;(F$4-1)))</f>
        <v/>
      </c>
      <c r="G42" s="80">
        <f>IF(Products!$D$16=0,0,Products!$D$35/Products!$D$16*SUMIFS($E$35:$BL$35,Timeline!$E$4:$BL$4,"&gt;="&amp;(G$4-Products!$D$16),Timeline!$E$4:$BL$4,"&lt;="&amp;(G$4-1)))</f>
        <v/>
      </c>
      <c r="H42" s="80">
        <f>IF(Products!$D$16=0,0,Products!$D$35/Products!$D$16*SUMIFS($E$35:$BL$35,Timeline!$E$4:$BL$4,"&gt;="&amp;(H$4-Products!$D$16),Timeline!$E$4:$BL$4,"&lt;="&amp;(H$4-1)))</f>
        <v/>
      </c>
      <c r="I42" s="80">
        <f>IF(Products!$D$16=0,0,Products!$D$35/Products!$D$16*SUMIFS($E$35:$BL$35,Timeline!$E$4:$BL$4,"&gt;="&amp;(I$4-Products!$D$16),Timeline!$E$4:$BL$4,"&lt;="&amp;(I$4-1)))</f>
        <v/>
      </c>
      <c r="J42" s="80">
        <f>IF(Products!$D$16=0,0,Products!$D$35/Products!$D$16*SUMIFS($E$35:$BL$35,Timeline!$E$4:$BL$4,"&gt;="&amp;(J$4-Products!$D$16),Timeline!$E$4:$BL$4,"&lt;="&amp;(J$4-1)))</f>
        <v/>
      </c>
      <c r="K42" s="80">
        <f>IF(Products!$D$16=0,0,Products!$D$35/Products!$D$16*SUMIFS($E$35:$BL$35,Timeline!$E$4:$BL$4,"&gt;="&amp;(K$4-Products!$D$16),Timeline!$E$4:$BL$4,"&lt;="&amp;(K$4-1)))</f>
        <v/>
      </c>
      <c r="L42" s="80">
        <f>IF(Products!$D$16=0,0,Products!$D$35/Products!$D$16*SUMIFS($E$35:$BL$35,Timeline!$E$4:$BL$4,"&gt;="&amp;(L$4-Products!$D$16),Timeline!$E$4:$BL$4,"&lt;="&amp;(L$4-1)))</f>
        <v/>
      </c>
      <c r="M42" s="80">
        <f>IF(Products!$D$16=0,0,Products!$D$35/Products!$D$16*SUMIFS($E$35:$BL$35,Timeline!$E$4:$BL$4,"&gt;="&amp;(M$4-Products!$D$16),Timeline!$E$4:$BL$4,"&lt;="&amp;(M$4-1)))</f>
        <v/>
      </c>
      <c r="N42" s="80">
        <f>IF(Products!$D$16=0,0,Products!$D$35/Products!$D$16*SUMIFS($E$35:$BL$35,Timeline!$E$4:$BL$4,"&gt;="&amp;(N$4-Products!$D$16),Timeline!$E$4:$BL$4,"&lt;="&amp;(N$4-1)))</f>
        <v/>
      </c>
      <c r="O42" s="80">
        <f>IF(Products!$D$16=0,0,Products!$D$35/Products!$D$16*SUMIFS($E$35:$BL$35,Timeline!$E$4:$BL$4,"&gt;="&amp;(O$4-Products!$D$16),Timeline!$E$4:$BL$4,"&lt;="&amp;(O$4-1)))</f>
        <v/>
      </c>
      <c r="P42" s="80">
        <f>IF(Products!$D$16=0,0,Products!$D$35/Products!$D$16*SUMIFS($E$35:$BL$35,Timeline!$E$4:$BL$4,"&gt;="&amp;(P$4-Products!$D$16),Timeline!$E$4:$BL$4,"&lt;="&amp;(P$4-1)))</f>
        <v/>
      </c>
      <c r="Q42" s="80">
        <f>IF(Products!$D$16=0,0,Products!$D$35/Products!$D$16*SUMIFS($E$35:$BL$35,Timeline!$E$4:$BL$4,"&gt;="&amp;(Q$4-Products!$D$16),Timeline!$E$4:$BL$4,"&lt;="&amp;(Q$4-1)))</f>
        <v/>
      </c>
      <c r="R42" s="80">
        <f>IF(Products!$D$16=0,0,Products!$D$35/Products!$D$16*SUMIFS($E$35:$BL$35,Timeline!$E$4:$BL$4,"&gt;="&amp;(R$4-Products!$D$16),Timeline!$E$4:$BL$4,"&lt;="&amp;(R$4-1)))</f>
        <v/>
      </c>
      <c r="S42" s="80">
        <f>IF(Products!$D$16=0,0,Products!$D$35/Products!$D$16*SUMIFS($E$35:$BL$35,Timeline!$E$4:$BL$4,"&gt;="&amp;(S$4-Products!$D$16),Timeline!$E$4:$BL$4,"&lt;="&amp;(S$4-1)))</f>
        <v/>
      </c>
      <c r="T42" s="80">
        <f>IF(Products!$D$16=0,0,Products!$D$35/Products!$D$16*SUMIFS($E$35:$BL$35,Timeline!$E$4:$BL$4,"&gt;="&amp;(T$4-Products!$D$16),Timeline!$E$4:$BL$4,"&lt;="&amp;(T$4-1)))</f>
        <v/>
      </c>
      <c r="U42" s="80">
        <f>IF(Products!$D$16=0,0,Products!$D$35/Products!$D$16*SUMIFS($E$35:$BL$35,Timeline!$E$4:$BL$4,"&gt;="&amp;(U$4-Products!$D$16),Timeline!$E$4:$BL$4,"&lt;="&amp;(U$4-1)))</f>
        <v/>
      </c>
      <c r="V42" s="80">
        <f>IF(Products!$D$16=0,0,Products!$D$35/Products!$D$16*SUMIFS($E$35:$BL$35,Timeline!$E$4:$BL$4,"&gt;="&amp;(V$4-Products!$D$16),Timeline!$E$4:$BL$4,"&lt;="&amp;(V$4-1)))</f>
        <v/>
      </c>
      <c r="W42" s="80">
        <f>IF(Products!$D$16=0,0,Products!$D$35/Products!$D$16*SUMIFS($E$35:$BL$35,Timeline!$E$4:$BL$4,"&gt;="&amp;(W$4-Products!$D$16),Timeline!$E$4:$BL$4,"&lt;="&amp;(W$4-1)))</f>
        <v/>
      </c>
      <c r="X42" s="80">
        <f>IF(Products!$D$16=0,0,Products!$D$35/Products!$D$16*SUMIFS($E$35:$BL$35,Timeline!$E$4:$BL$4,"&gt;="&amp;(X$4-Products!$D$16),Timeline!$E$4:$BL$4,"&lt;="&amp;(X$4-1)))</f>
        <v/>
      </c>
      <c r="Y42" s="80">
        <f>IF(Products!$D$16=0,0,Products!$D$35/Products!$D$16*SUMIFS($E$35:$BL$35,Timeline!$E$4:$BL$4,"&gt;="&amp;(Y$4-Products!$D$16),Timeline!$E$4:$BL$4,"&lt;="&amp;(Y$4-1)))</f>
        <v/>
      </c>
      <c r="Z42" s="80">
        <f>IF(Products!$D$16=0,0,Products!$D$35/Products!$D$16*SUMIFS($E$35:$BL$35,Timeline!$E$4:$BL$4,"&gt;="&amp;(Z$4-Products!$D$16),Timeline!$E$4:$BL$4,"&lt;="&amp;(Z$4-1)))</f>
        <v/>
      </c>
      <c r="AA42" s="80">
        <f>IF(Products!$D$16=0,0,Products!$D$35/Products!$D$16*SUMIFS($E$35:$BL$35,Timeline!$E$4:$BL$4,"&gt;="&amp;(AA$4-Products!$D$16),Timeline!$E$4:$BL$4,"&lt;="&amp;(AA$4-1)))</f>
        <v/>
      </c>
      <c r="AB42" s="80">
        <f>IF(Products!$D$16=0,0,Products!$D$35/Products!$D$16*SUMIFS($E$35:$BL$35,Timeline!$E$4:$BL$4,"&gt;="&amp;(AB$4-Products!$D$16),Timeline!$E$4:$BL$4,"&lt;="&amp;(AB$4-1)))</f>
        <v/>
      </c>
      <c r="AC42" s="80">
        <f>IF(Products!$D$16=0,0,Products!$D$35/Products!$D$16*SUMIFS($E$35:$BL$35,Timeline!$E$4:$BL$4,"&gt;="&amp;(AC$4-Products!$D$16),Timeline!$E$4:$BL$4,"&lt;="&amp;(AC$4-1)))</f>
        <v/>
      </c>
      <c r="AD42" s="80">
        <f>IF(Products!$D$16=0,0,Products!$D$35/Products!$D$16*SUMIFS($E$35:$BL$35,Timeline!$E$4:$BL$4,"&gt;="&amp;(AD$4-Products!$D$16),Timeline!$E$4:$BL$4,"&lt;="&amp;(AD$4-1)))</f>
        <v/>
      </c>
      <c r="AE42" s="80">
        <f>IF(Products!$D$16=0,0,Products!$D$35/Products!$D$16*SUMIFS($E$35:$BL$35,Timeline!$E$4:$BL$4,"&gt;="&amp;(AE$4-Products!$D$16),Timeline!$E$4:$BL$4,"&lt;="&amp;(AE$4-1)))</f>
        <v/>
      </c>
      <c r="AF42" s="80">
        <f>IF(Products!$D$16=0,0,Products!$D$35/Products!$D$16*SUMIFS($E$35:$BL$35,Timeline!$E$4:$BL$4,"&gt;="&amp;(AF$4-Products!$D$16),Timeline!$E$4:$BL$4,"&lt;="&amp;(AF$4-1)))</f>
        <v/>
      </c>
      <c r="AG42" s="80">
        <f>IF(Products!$D$16=0,0,Products!$D$35/Products!$D$16*SUMIFS($E$35:$BL$35,Timeline!$E$4:$BL$4,"&gt;="&amp;(AG$4-Products!$D$16),Timeline!$E$4:$BL$4,"&lt;="&amp;(AG$4-1)))</f>
        <v/>
      </c>
      <c r="AH42" s="80">
        <f>IF(Products!$D$16=0,0,Products!$D$35/Products!$D$16*SUMIFS($E$35:$BL$35,Timeline!$E$4:$BL$4,"&gt;="&amp;(AH$4-Products!$D$16),Timeline!$E$4:$BL$4,"&lt;="&amp;(AH$4-1)))</f>
        <v/>
      </c>
      <c r="AI42" s="80">
        <f>IF(Products!$D$16=0,0,Products!$D$35/Products!$D$16*SUMIFS($E$35:$BL$35,Timeline!$E$4:$BL$4,"&gt;="&amp;(AI$4-Products!$D$16),Timeline!$E$4:$BL$4,"&lt;="&amp;(AI$4-1)))</f>
        <v/>
      </c>
      <c r="AJ42" s="80">
        <f>IF(Products!$D$16=0,0,Products!$D$35/Products!$D$16*SUMIFS($E$35:$BL$35,Timeline!$E$4:$BL$4,"&gt;="&amp;(AJ$4-Products!$D$16),Timeline!$E$4:$BL$4,"&lt;="&amp;(AJ$4-1)))</f>
        <v/>
      </c>
      <c r="AK42" s="80">
        <f>IF(Products!$D$16=0,0,Products!$D$35/Products!$D$16*SUMIFS($E$35:$BL$35,Timeline!$E$4:$BL$4,"&gt;="&amp;(AK$4-Products!$D$16),Timeline!$E$4:$BL$4,"&lt;="&amp;(AK$4-1)))</f>
        <v/>
      </c>
      <c r="AL42" s="80">
        <f>IF(Products!$D$16=0,0,Products!$D$35/Products!$D$16*SUMIFS($E$35:$BL$35,Timeline!$E$4:$BL$4,"&gt;="&amp;(AL$4-Products!$D$16),Timeline!$E$4:$BL$4,"&lt;="&amp;(AL$4-1)))</f>
        <v/>
      </c>
      <c r="AM42" s="80">
        <f>IF(Products!$D$16=0,0,Products!$D$35/Products!$D$16*SUMIFS($E$35:$BL$35,Timeline!$E$4:$BL$4,"&gt;="&amp;(AM$4-Products!$D$16),Timeline!$E$4:$BL$4,"&lt;="&amp;(AM$4-1)))</f>
        <v/>
      </c>
      <c r="AN42" s="80">
        <f>IF(Products!$D$16=0,0,Products!$D$35/Products!$D$16*SUMIFS($E$35:$BL$35,Timeline!$E$4:$BL$4,"&gt;="&amp;(AN$4-Products!$D$16),Timeline!$E$4:$BL$4,"&lt;="&amp;(AN$4-1)))</f>
        <v/>
      </c>
      <c r="AO42" s="80">
        <f>IF(Products!$D$16=0,0,Products!$D$35/Products!$D$16*SUMIFS($E$35:$BL$35,Timeline!$E$4:$BL$4,"&gt;="&amp;(AO$4-Products!$D$16),Timeline!$E$4:$BL$4,"&lt;="&amp;(AO$4-1)))</f>
        <v/>
      </c>
      <c r="AP42" s="80">
        <f>IF(Products!$D$16=0,0,Products!$D$35/Products!$D$16*SUMIFS($E$35:$BL$35,Timeline!$E$4:$BL$4,"&gt;="&amp;(AP$4-Products!$D$16),Timeline!$E$4:$BL$4,"&lt;="&amp;(AP$4-1)))</f>
        <v/>
      </c>
      <c r="AQ42" s="80">
        <f>IF(Products!$D$16=0,0,Products!$D$35/Products!$D$16*SUMIFS($E$35:$BL$35,Timeline!$E$4:$BL$4,"&gt;="&amp;(AQ$4-Products!$D$16),Timeline!$E$4:$BL$4,"&lt;="&amp;(AQ$4-1)))</f>
        <v/>
      </c>
      <c r="AR42" s="80">
        <f>IF(Products!$D$16=0,0,Products!$D$35/Products!$D$16*SUMIFS($E$35:$BL$35,Timeline!$E$4:$BL$4,"&gt;="&amp;(AR$4-Products!$D$16),Timeline!$E$4:$BL$4,"&lt;="&amp;(AR$4-1)))</f>
        <v/>
      </c>
      <c r="AS42" s="80">
        <f>IF(Products!$D$16=0,0,Products!$D$35/Products!$D$16*SUMIFS($E$35:$BL$35,Timeline!$E$4:$BL$4,"&gt;="&amp;(AS$4-Products!$D$16),Timeline!$E$4:$BL$4,"&lt;="&amp;(AS$4-1)))</f>
        <v/>
      </c>
      <c r="AT42" s="80">
        <f>IF(Products!$D$16=0,0,Products!$D$35/Products!$D$16*SUMIFS($E$35:$BL$35,Timeline!$E$4:$BL$4,"&gt;="&amp;(AT$4-Products!$D$16),Timeline!$E$4:$BL$4,"&lt;="&amp;(AT$4-1)))</f>
        <v/>
      </c>
      <c r="AU42" s="80">
        <f>IF(Products!$D$16=0,0,Products!$D$35/Products!$D$16*SUMIFS($E$35:$BL$35,Timeline!$E$4:$BL$4,"&gt;="&amp;(AU$4-Products!$D$16),Timeline!$E$4:$BL$4,"&lt;="&amp;(AU$4-1)))</f>
        <v/>
      </c>
      <c r="AV42" s="80">
        <f>IF(Products!$D$16=0,0,Products!$D$35/Products!$D$16*SUMIFS($E$35:$BL$35,Timeline!$E$4:$BL$4,"&gt;="&amp;(AV$4-Products!$D$16),Timeline!$E$4:$BL$4,"&lt;="&amp;(AV$4-1)))</f>
        <v/>
      </c>
      <c r="AW42" s="80">
        <f>IF(Products!$D$16=0,0,Products!$D$35/Products!$D$16*SUMIFS($E$35:$BL$35,Timeline!$E$4:$BL$4,"&gt;="&amp;(AW$4-Products!$D$16),Timeline!$E$4:$BL$4,"&lt;="&amp;(AW$4-1)))</f>
        <v/>
      </c>
      <c r="AX42" s="80">
        <f>IF(Products!$D$16=0,0,Products!$D$35/Products!$D$16*SUMIFS($E$35:$BL$35,Timeline!$E$4:$BL$4,"&gt;="&amp;(AX$4-Products!$D$16),Timeline!$E$4:$BL$4,"&lt;="&amp;(AX$4-1)))</f>
        <v/>
      </c>
      <c r="AY42" s="80">
        <f>IF(Products!$D$16=0,0,Products!$D$35/Products!$D$16*SUMIFS($E$35:$BL$35,Timeline!$E$4:$BL$4,"&gt;="&amp;(AY$4-Products!$D$16),Timeline!$E$4:$BL$4,"&lt;="&amp;(AY$4-1)))</f>
        <v/>
      </c>
      <c r="AZ42" s="80">
        <f>IF(Products!$D$16=0,0,Products!$D$35/Products!$D$16*SUMIFS($E$35:$BL$35,Timeline!$E$4:$BL$4,"&gt;="&amp;(AZ$4-Products!$D$16),Timeline!$E$4:$BL$4,"&lt;="&amp;(AZ$4-1)))</f>
        <v/>
      </c>
      <c r="BA42" s="80">
        <f>IF(Products!$D$16=0,0,Products!$D$35/Products!$D$16*SUMIFS($E$35:$BL$35,Timeline!$E$4:$BL$4,"&gt;="&amp;(BA$4-Products!$D$16),Timeline!$E$4:$BL$4,"&lt;="&amp;(BA$4-1)))</f>
        <v/>
      </c>
      <c r="BB42" s="80">
        <f>IF(Products!$D$16=0,0,Products!$D$35/Products!$D$16*SUMIFS($E$35:$BL$35,Timeline!$E$4:$BL$4,"&gt;="&amp;(BB$4-Products!$D$16),Timeline!$E$4:$BL$4,"&lt;="&amp;(BB$4-1)))</f>
        <v/>
      </c>
      <c r="BC42" s="80">
        <f>IF(Products!$D$16=0,0,Products!$D$35/Products!$D$16*SUMIFS($E$35:$BL$35,Timeline!$E$4:$BL$4,"&gt;="&amp;(BC$4-Products!$D$16),Timeline!$E$4:$BL$4,"&lt;="&amp;(BC$4-1)))</f>
        <v/>
      </c>
      <c r="BD42" s="80">
        <f>IF(Products!$D$16=0,0,Products!$D$35/Products!$D$16*SUMIFS($E$35:$BL$35,Timeline!$E$4:$BL$4,"&gt;="&amp;(BD$4-Products!$D$16),Timeline!$E$4:$BL$4,"&lt;="&amp;(BD$4-1)))</f>
        <v/>
      </c>
      <c r="BE42" s="80">
        <f>IF(Products!$D$16=0,0,Products!$D$35/Products!$D$16*SUMIFS($E$35:$BL$35,Timeline!$E$4:$BL$4,"&gt;="&amp;(BE$4-Products!$D$16),Timeline!$E$4:$BL$4,"&lt;="&amp;(BE$4-1)))</f>
        <v/>
      </c>
      <c r="BF42" s="80">
        <f>IF(Products!$D$16=0,0,Products!$D$35/Products!$D$16*SUMIFS($E$35:$BL$35,Timeline!$E$4:$BL$4,"&gt;="&amp;(BF$4-Products!$D$16),Timeline!$E$4:$BL$4,"&lt;="&amp;(BF$4-1)))</f>
        <v/>
      </c>
      <c r="BG42" s="80">
        <f>IF(Products!$D$16=0,0,Products!$D$35/Products!$D$16*SUMIFS($E$35:$BL$35,Timeline!$E$4:$BL$4,"&gt;="&amp;(BG$4-Products!$D$16),Timeline!$E$4:$BL$4,"&lt;="&amp;(BG$4-1)))</f>
        <v/>
      </c>
      <c r="BH42" s="80">
        <f>IF(Products!$D$16=0,0,Products!$D$35/Products!$D$16*SUMIFS($E$35:$BL$35,Timeline!$E$4:$BL$4,"&gt;="&amp;(BH$4-Products!$D$16),Timeline!$E$4:$BL$4,"&lt;="&amp;(BH$4-1)))</f>
        <v/>
      </c>
      <c r="BI42" s="80">
        <f>IF(Products!$D$16=0,0,Products!$D$35/Products!$D$16*SUMIFS($E$35:$BL$35,Timeline!$E$4:$BL$4,"&gt;="&amp;(BI$4-Products!$D$16),Timeline!$E$4:$BL$4,"&lt;="&amp;(BI$4-1)))</f>
        <v/>
      </c>
      <c r="BJ42" s="80">
        <f>IF(Products!$D$16=0,0,Products!$D$35/Products!$D$16*SUMIFS($E$35:$BL$35,Timeline!$E$4:$BL$4,"&gt;="&amp;(BJ$4-Products!$D$16),Timeline!$E$4:$BL$4,"&lt;="&amp;(BJ$4-1)))</f>
        <v/>
      </c>
      <c r="BK42" s="80">
        <f>IF(Products!$D$16=0,0,Products!$D$35/Products!$D$16*SUMIFS($E$35:$BL$35,Timeline!$E$4:$BL$4,"&gt;="&amp;(BK$4-Products!$D$16),Timeline!$E$4:$BL$4,"&lt;="&amp;(BK$4-1)))</f>
        <v/>
      </c>
      <c r="BL42" s="80">
        <f>IF(Products!$D$16=0,0,Products!$D$35/Products!$D$16*SUMIFS($E$35:$BL$35,Timeline!$E$4:$BL$4,"&gt;="&amp;(BL$4-Products!$D$16),Timeline!$E$4:$BL$4,"&lt;="&amp;(BL$4-1)))</f>
        <v/>
      </c>
    </row>
    <row r="43">
      <c r="A43" s="98" t="inlineStr">
        <is>
          <t>Expected credit loss charged at origination</t>
        </is>
      </c>
      <c r="B43" s="65" t="inlineStr">
        <is>
          <t>LCY</t>
        </is>
      </c>
      <c r="C43" s="105">
        <f>SUM(E43:BL43)</f>
        <v/>
      </c>
      <c r="E43" s="80">
        <f>E35*Curves!$R$70</f>
        <v/>
      </c>
      <c r="F43" s="80">
        <f>F35*Curves!$R$70</f>
        <v/>
      </c>
      <c r="G43" s="80">
        <f>G35*Curves!$R$70</f>
        <v/>
      </c>
      <c r="H43" s="80">
        <f>H35*Curves!$R$70</f>
        <v/>
      </c>
      <c r="I43" s="80">
        <f>I35*Curves!$R$70</f>
        <v/>
      </c>
      <c r="J43" s="80">
        <f>J35*Curves!$R$70</f>
        <v/>
      </c>
      <c r="K43" s="80">
        <f>K35*Curves!$R$70</f>
        <v/>
      </c>
      <c r="L43" s="80">
        <f>L35*Curves!$R$70</f>
        <v/>
      </c>
      <c r="M43" s="80">
        <f>M35*Curves!$R$70</f>
        <v/>
      </c>
      <c r="N43" s="80">
        <f>N35*Curves!$R$70</f>
        <v/>
      </c>
      <c r="O43" s="80">
        <f>O35*Curves!$R$70</f>
        <v/>
      </c>
      <c r="P43" s="80">
        <f>P35*Curves!$R$70</f>
        <v/>
      </c>
      <c r="Q43" s="80">
        <f>Q35*Curves!$R$70</f>
        <v/>
      </c>
      <c r="R43" s="80">
        <f>R35*Curves!$R$70</f>
        <v/>
      </c>
      <c r="S43" s="80">
        <f>S35*Curves!$R$70</f>
        <v/>
      </c>
      <c r="T43" s="80">
        <f>T35*Curves!$R$70</f>
        <v/>
      </c>
      <c r="U43" s="80">
        <f>U35*Curves!$R$70</f>
        <v/>
      </c>
      <c r="V43" s="80">
        <f>V35*Curves!$R$70</f>
        <v/>
      </c>
      <c r="W43" s="80">
        <f>W35*Curves!$R$70</f>
        <v/>
      </c>
      <c r="X43" s="80">
        <f>X35*Curves!$R$70</f>
        <v/>
      </c>
      <c r="Y43" s="80">
        <f>Y35*Curves!$R$70</f>
        <v/>
      </c>
      <c r="Z43" s="80">
        <f>Z35*Curves!$R$70</f>
        <v/>
      </c>
      <c r="AA43" s="80">
        <f>AA35*Curves!$R$70</f>
        <v/>
      </c>
      <c r="AB43" s="80">
        <f>AB35*Curves!$R$70</f>
        <v/>
      </c>
      <c r="AC43" s="80">
        <f>AC35*Curves!$R$70</f>
        <v/>
      </c>
      <c r="AD43" s="80">
        <f>AD35*Curves!$R$70</f>
        <v/>
      </c>
      <c r="AE43" s="80">
        <f>AE35*Curves!$R$70</f>
        <v/>
      </c>
      <c r="AF43" s="80">
        <f>AF35*Curves!$R$70</f>
        <v/>
      </c>
      <c r="AG43" s="80">
        <f>AG35*Curves!$R$70</f>
        <v/>
      </c>
      <c r="AH43" s="80">
        <f>AH35*Curves!$R$70</f>
        <v/>
      </c>
      <c r="AI43" s="80">
        <f>AI35*Curves!$R$70</f>
        <v/>
      </c>
      <c r="AJ43" s="80">
        <f>AJ35*Curves!$R$70</f>
        <v/>
      </c>
      <c r="AK43" s="80">
        <f>AK35*Curves!$R$70</f>
        <v/>
      </c>
      <c r="AL43" s="80">
        <f>AL35*Curves!$R$70</f>
        <v/>
      </c>
      <c r="AM43" s="80">
        <f>AM35*Curves!$R$70</f>
        <v/>
      </c>
      <c r="AN43" s="80">
        <f>AN35*Curves!$R$70</f>
        <v/>
      </c>
      <c r="AO43" s="80">
        <f>AO35*Curves!$R$70</f>
        <v/>
      </c>
      <c r="AP43" s="80">
        <f>AP35*Curves!$R$70</f>
        <v/>
      </c>
      <c r="AQ43" s="80">
        <f>AQ35*Curves!$R$70</f>
        <v/>
      </c>
      <c r="AR43" s="80">
        <f>AR35*Curves!$R$70</f>
        <v/>
      </c>
      <c r="AS43" s="80">
        <f>AS35*Curves!$R$70</f>
        <v/>
      </c>
      <c r="AT43" s="80">
        <f>AT35*Curves!$R$70</f>
        <v/>
      </c>
      <c r="AU43" s="80">
        <f>AU35*Curves!$R$70</f>
        <v/>
      </c>
      <c r="AV43" s="80">
        <f>AV35*Curves!$R$70</f>
        <v/>
      </c>
      <c r="AW43" s="80">
        <f>AW35*Curves!$R$70</f>
        <v/>
      </c>
      <c r="AX43" s="80">
        <f>AX35*Curves!$R$70</f>
        <v/>
      </c>
      <c r="AY43" s="80">
        <f>AY35*Curves!$R$70</f>
        <v/>
      </c>
      <c r="AZ43" s="80">
        <f>AZ35*Curves!$R$70</f>
        <v/>
      </c>
      <c r="BA43" s="80">
        <f>BA35*Curves!$R$70</f>
        <v/>
      </c>
      <c r="BB43" s="80">
        <f>BB35*Curves!$R$70</f>
        <v/>
      </c>
      <c r="BC43" s="80">
        <f>BC35*Curves!$R$70</f>
        <v/>
      </c>
      <c r="BD43" s="80">
        <f>BD35*Curves!$R$70</f>
        <v/>
      </c>
      <c r="BE43" s="80">
        <f>BE35*Curves!$R$70</f>
        <v/>
      </c>
      <c r="BF43" s="80">
        <f>BF35*Curves!$R$70</f>
        <v/>
      </c>
      <c r="BG43" s="80">
        <f>BG35*Curves!$R$70</f>
        <v/>
      </c>
      <c r="BH43" s="80">
        <f>BH35*Curves!$R$70</f>
        <v/>
      </c>
      <c r="BI43" s="80">
        <f>BI35*Curves!$R$70</f>
        <v/>
      </c>
      <c r="BJ43" s="80">
        <f>BJ35*Curves!$R$70</f>
        <v/>
      </c>
      <c r="BK43" s="80">
        <f>BK35*Curves!$R$70</f>
        <v/>
      </c>
      <c r="BL43" s="80">
        <f>BL35*Curves!$R$70</f>
        <v/>
      </c>
    </row>
    <row r="44">
      <c r="A44" s="98" t="inlineStr">
        <is>
          <t>Recoveries from resale of repossessed units</t>
        </is>
      </c>
      <c r="B44" s="65" t="inlineStr">
        <is>
          <t>LCY</t>
        </is>
      </c>
      <c r="C44" s="105">
        <f>SUM(E44:BL44)</f>
        <v/>
      </c>
      <c r="E44" s="41">
        <f>Cohort_T2!E$198</f>
        <v/>
      </c>
      <c r="F44" s="41">
        <f>Cohort_T2!F$198</f>
        <v/>
      </c>
      <c r="G44" s="41">
        <f>Cohort_T2!G$198</f>
        <v/>
      </c>
      <c r="H44" s="41">
        <f>Cohort_T2!H$198</f>
        <v/>
      </c>
      <c r="I44" s="41">
        <f>Cohort_T2!I$198</f>
        <v/>
      </c>
      <c r="J44" s="41">
        <f>Cohort_T2!J$198</f>
        <v/>
      </c>
      <c r="K44" s="41">
        <f>Cohort_T2!K$198</f>
        <v/>
      </c>
      <c r="L44" s="41">
        <f>Cohort_T2!L$198</f>
        <v/>
      </c>
      <c r="M44" s="41">
        <f>Cohort_T2!M$198</f>
        <v/>
      </c>
      <c r="N44" s="41">
        <f>Cohort_T2!N$198</f>
        <v/>
      </c>
      <c r="O44" s="41">
        <f>Cohort_T2!O$198</f>
        <v/>
      </c>
      <c r="P44" s="41">
        <f>Cohort_T2!P$198</f>
        <v/>
      </c>
      <c r="Q44" s="41">
        <f>Cohort_T2!Q$198</f>
        <v/>
      </c>
      <c r="R44" s="41">
        <f>Cohort_T2!R$198</f>
        <v/>
      </c>
      <c r="S44" s="41">
        <f>Cohort_T2!S$198</f>
        <v/>
      </c>
      <c r="T44" s="41">
        <f>Cohort_T2!T$198</f>
        <v/>
      </c>
      <c r="U44" s="41">
        <f>Cohort_T2!U$198</f>
        <v/>
      </c>
      <c r="V44" s="41">
        <f>Cohort_T2!V$198</f>
        <v/>
      </c>
      <c r="W44" s="41">
        <f>Cohort_T2!W$198</f>
        <v/>
      </c>
      <c r="X44" s="41">
        <f>Cohort_T2!X$198</f>
        <v/>
      </c>
      <c r="Y44" s="41">
        <f>Cohort_T2!Y$198</f>
        <v/>
      </c>
      <c r="Z44" s="41">
        <f>Cohort_T2!Z$198</f>
        <v/>
      </c>
      <c r="AA44" s="41">
        <f>Cohort_T2!AA$198</f>
        <v/>
      </c>
      <c r="AB44" s="41">
        <f>Cohort_T2!AB$198</f>
        <v/>
      </c>
      <c r="AC44" s="41">
        <f>Cohort_T2!AC$198</f>
        <v/>
      </c>
      <c r="AD44" s="41">
        <f>Cohort_T2!AD$198</f>
        <v/>
      </c>
      <c r="AE44" s="41">
        <f>Cohort_T2!AE$198</f>
        <v/>
      </c>
      <c r="AF44" s="41">
        <f>Cohort_T2!AF$198</f>
        <v/>
      </c>
      <c r="AG44" s="41">
        <f>Cohort_T2!AG$198</f>
        <v/>
      </c>
      <c r="AH44" s="41">
        <f>Cohort_T2!AH$198</f>
        <v/>
      </c>
      <c r="AI44" s="41">
        <f>Cohort_T2!AI$198</f>
        <v/>
      </c>
      <c r="AJ44" s="41">
        <f>Cohort_T2!AJ$198</f>
        <v/>
      </c>
      <c r="AK44" s="41">
        <f>Cohort_T2!AK$198</f>
        <v/>
      </c>
      <c r="AL44" s="41">
        <f>Cohort_T2!AL$198</f>
        <v/>
      </c>
      <c r="AM44" s="41">
        <f>Cohort_T2!AM$198</f>
        <v/>
      </c>
      <c r="AN44" s="41">
        <f>Cohort_T2!AN$198</f>
        <v/>
      </c>
      <c r="AO44" s="41">
        <f>Cohort_T2!AO$198</f>
        <v/>
      </c>
      <c r="AP44" s="41">
        <f>Cohort_T2!AP$198</f>
        <v/>
      </c>
      <c r="AQ44" s="41">
        <f>Cohort_T2!AQ$198</f>
        <v/>
      </c>
      <c r="AR44" s="41">
        <f>Cohort_T2!AR$198</f>
        <v/>
      </c>
      <c r="AS44" s="41">
        <f>Cohort_T2!AS$198</f>
        <v/>
      </c>
      <c r="AT44" s="41">
        <f>Cohort_T2!AT$198</f>
        <v/>
      </c>
      <c r="AU44" s="41">
        <f>Cohort_T2!AU$198</f>
        <v/>
      </c>
      <c r="AV44" s="41">
        <f>Cohort_T2!AV$198</f>
        <v/>
      </c>
      <c r="AW44" s="41">
        <f>Cohort_T2!AW$198</f>
        <v/>
      </c>
      <c r="AX44" s="41">
        <f>Cohort_T2!AX$198</f>
        <v/>
      </c>
      <c r="AY44" s="41">
        <f>Cohort_T2!AY$198</f>
        <v/>
      </c>
      <c r="AZ44" s="41">
        <f>Cohort_T2!AZ$198</f>
        <v/>
      </c>
      <c r="BA44" s="41">
        <f>Cohort_T2!BA$198</f>
        <v/>
      </c>
      <c r="BB44" s="41">
        <f>Cohort_T2!BB$198</f>
        <v/>
      </c>
      <c r="BC44" s="41">
        <f>Cohort_T2!BC$198</f>
        <v/>
      </c>
      <c r="BD44" s="41">
        <f>Cohort_T2!BD$198</f>
        <v/>
      </c>
      <c r="BE44" s="41">
        <f>Cohort_T2!BE$198</f>
        <v/>
      </c>
      <c r="BF44" s="41">
        <f>Cohort_T2!BF$198</f>
        <v/>
      </c>
      <c r="BG44" s="41">
        <f>Cohort_T2!BG$198</f>
        <v/>
      </c>
      <c r="BH44" s="41">
        <f>Cohort_T2!BH$198</f>
        <v/>
      </c>
      <c r="BI44" s="41">
        <f>Cohort_T2!BI$198</f>
        <v/>
      </c>
      <c r="BJ44" s="41">
        <f>Cohort_T2!BJ$198</f>
        <v/>
      </c>
      <c r="BK44" s="41">
        <f>Cohort_T2!BK$198</f>
        <v/>
      </c>
      <c r="BL44" s="41">
        <f>Cohort_T2!BL$198</f>
        <v/>
      </c>
    </row>
    <row r="45">
      <c r="A45" s="98" t="inlineStr">
        <is>
          <t>RBF received</t>
        </is>
      </c>
      <c r="B45" s="65" t="inlineStr">
        <is>
          <t>LCY</t>
        </is>
      </c>
      <c r="C45" s="105">
        <f>SUM(E45:BL45)</f>
        <v/>
      </c>
      <c r="E45" s="41">
        <f>RBF_Engine!E$30</f>
        <v/>
      </c>
      <c r="F45" s="41">
        <f>RBF_Engine!F$30</f>
        <v/>
      </c>
      <c r="G45" s="41">
        <f>RBF_Engine!G$30</f>
        <v/>
      </c>
      <c r="H45" s="41">
        <f>RBF_Engine!H$30</f>
        <v/>
      </c>
      <c r="I45" s="41">
        <f>RBF_Engine!I$30</f>
        <v/>
      </c>
      <c r="J45" s="41">
        <f>RBF_Engine!J$30</f>
        <v/>
      </c>
      <c r="K45" s="41">
        <f>RBF_Engine!K$30</f>
        <v/>
      </c>
      <c r="L45" s="41">
        <f>RBF_Engine!L$30</f>
        <v/>
      </c>
      <c r="M45" s="41">
        <f>RBF_Engine!M$30</f>
        <v/>
      </c>
      <c r="N45" s="41">
        <f>RBF_Engine!N$30</f>
        <v/>
      </c>
      <c r="O45" s="41">
        <f>RBF_Engine!O$30</f>
        <v/>
      </c>
      <c r="P45" s="41">
        <f>RBF_Engine!P$30</f>
        <v/>
      </c>
      <c r="Q45" s="41">
        <f>RBF_Engine!Q$30</f>
        <v/>
      </c>
      <c r="R45" s="41">
        <f>RBF_Engine!R$30</f>
        <v/>
      </c>
      <c r="S45" s="41">
        <f>RBF_Engine!S$30</f>
        <v/>
      </c>
      <c r="T45" s="41">
        <f>RBF_Engine!T$30</f>
        <v/>
      </c>
      <c r="U45" s="41">
        <f>RBF_Engine!U$30</f>
        <v/>
      </c>
      <c r="V45" s="41">
        <f>RBF_Engine!V$30</f>
        <v/>
      </c>
      <c r="W45" s="41">
        <f>RBF_Engine!W$30</f>
        <v/>
      </c>
      <c r="X45" s="41">
        <f>RBF_Engine!X$30</f>
        <v/>
      </c>
      <c r="Y45" s="41">
        <f>RBF_Engine!Y$30</f>
        <v/>
      </c>
      <c r="Z45" s="41">
        <f>RBF_Engine!Z$30</f>
        <v/>
      </c>
      <c r="AA45" s="41">
        <f>RBF_Engine!AA$30</f>
        <v/>
      </c>
      <c r="AB45" s="41">
        <f>RBF_Engine!AB$30</f>
        <v/>
      </c>
      <c r="AC45" s="41">
        <f>RBF_Engine!AC$30</f>
        <v/>
      </c>
      <c r="AD45" s="41">
        <f>RBF_Engine!AD$30</f>
        <v/>
      </c>
      <c r="AE45" s="41">
        <f>RBF_Engine!AE$30</f>
        <v/>
      </c>
      <c r="AF45" s="41">
        <f>RBF_Engine!AF$30</f>
        <v/>
      </c>
      <c r="AG45" s="41">
        <f>RBF_Engine!AG$30</f>
        <v/>
      </c>
      <c r="AH45" s="41">
        <f>RBF_Engine!AH$30</f>
        <v/>
      </c>
      <c r="AI45" s="41">
        <f>RBF_Engine!AI$30</f>
        <v/>
      </c>
      <c r="AJ45" s="41">
        <f>RBF_Engine!AJ$30</f>
        <v/>
      </c>
      <c r="AK45" s="41">
        <f>RBF_Engine!AK$30</f>
        <v/>
      </c>
      <c r="AL45" s="41">
        <f>RBF_Engine!AL$30</f>
        <v/>
      </c>
      <c r="AM45" s="41">
        <f>RBF_Engine!AM$30</f>
        <v/>
      </c>
      <c r="AN45" s="41">
        <f>RBF_Engine!AN$30</f>
        <v/>
      </c>
      <c r="AO45" s="41">
        <f>RBF_Engine!AO$30</f>
        <v/>
      </c>
      <c r="AP45" s="41">
        <f>RBF_Engine!AP$30</f>
        <v/>
      </c>
      <c r="AQ45" s="41">
        <f>RBF_Engine!AQ$30</f>
        <v/>
      </c>
      <c r="AR45" s="41">
        <f>RBF_Engine!AR$30</f>
        <v/>
      </c>
      <c r="AS45" s="41">
        <f>RBF_Engine!AS$30</f>
        <v/>
      </c>
      <c r="AT45" s="41">
        <f>RBF_Engine!AT$30</f>
        <v/>
      </c>
      <c r="AU45" s="41">
        <f>RBF_Engine!AU$30</f>
        <v/>
      </c>
      <c r="AV45" s="41">
        <f>RBF_Engine!AV$30</f>
        <v/>
      </c>
      <c r="AW45" s="41">
        <f>RBF_Engine!AW$30</f>
        <v/>
      </c>
      <c r="AX45" s="41">
        <f>RBF_Engine!AX$30</f>
        <v/>
      </c>
      <c r="AY45" s="41">
        <f>RBF_Engine!AY$30</f>
        <v/>
      </c>
      <c r="AZ45" s="41">
        <f>RBF_Engine!AZ$30</f>
        <v/>
      </c>
      <c r="BA45" s="41">
        <f>RBF_Engine!BA$30</f>
        <v/>
      </c>
      <c r="BB45" s="41">
        <f>RBF_Engine!BB$30</f>
        <v/>
      </c>
      <c r="BC45" s="41">
        <f>RBF_Engine!BC$30</f>
        <v/>
      </c>
      <c r="BD45" s="41">
        <f>RBF_Engine!BD$30</f>
        <v/>
      </c>
      <c r="BE45" s="41">
        <f>RBF_Engine!BE$30</f>
        <v/>
      </c>
      <c r="BF45" s="41">
        <f>RBF_Engine!BF$30</f>
        <v/>
      </c>
      <c r="BG45" s="41">
        <f>RBF_Engine!BG$30</f>
        <v/>
      </c>
      <c r="BH45" s="41">
        <f>RBF_Engine!BH$30</f>
        <v/>
      </c>
      <c r="BI45" s="41">
        <f>RBF_Engine!BI$30</f>
        <v/>
      </c>
      <c r="BJ45" s="41">
        <f>RBF_Engine!BJ$30</f>
        <v/>
      </c>
      <c r="BK45" s="41">
        <f>RBF_Engine!BK$30</f>
        <v/>
      </c>
      <c r="BL45" s="41">
        <f>RBF_Engine!BL$30</f>
        <v/>
      </c>
    </row>
    <row r="46">
      <c r="A46" s="98" t="inlineStr">
        <is>
          <t>Active (paying, in-tenor) accounts</t>
        </is>
      </c>
      <c r="B46" s="65" t="inlineStr">
        <is>
          <t>accounts</t>
        </is>
      </c>
      <c r="C46" s="105">
        <f>BL46</f>
        <v/>
      </c>
      <c r="E46" s="41">
        <f>Cohort_T2!E$72</f>
        <v/>
      </c>
      <c r="F46" s="41">
        <f>Cohort_T2!F$72</f>
        <v/>
      </c>
      <c r="G46" s="41">
        <f>Cohort_T2!G$72</f>
        <v/>
      </c>
      <c r="H46" s="41">
        <f>Cohort_T2!H$72</f>
        <v/>
      </c>
      <c r="I46" s="41">
        <f>Cohort_T2!I$72</f>
        <v/>
      </c>
      <c r="J46" s="41">
        <f>Cohort_T2!J$72</f>
        <v/>
      </c>
      <c r="K46" s="41">
        <f>Cohort_T2!K$72</f>
        <v/>
      </c>
      <c r="L46" s="41">
        <f>Cohort_T2!L$72</f>
        <v/>
      </c>
      <c r="M46" s="41">
        <f>Cohort_T2!M$72</f>
        <v/>
      </c>
      <c r="N46" s="41">
        <f>Cohort_T2!N$72</f>
        <v/>
      </c>
      <c r="O46" s="41">
        <f>Cohort_T2!O$72</f>
        <v/>
      </c>
      <c r="P46" s="41">
        <f>Cohort_T2!P$72</f>
        <v/>
      </c>
      <c r="Q46" s="41">
        <f>Cohort_T2!Q$72</f>
        <v/>
      </c>
      <c r="R46" s="41">
        <f>Cohort_T2!R$72</f>
        <v/>
      </c>
      <c r="S46" s="41">
        <f>Cohort_T2!S$72</f>
        <v/>
      </c>
      <c r="T46" s="41">
        <f>Cohort_T2!T$72</f>
        <v/>
      </c>
      <c r="U46" s="41">
        <f>Cohort_T2!U$72</f>
        <v/>
      </c>
      <c r="V46" s="41">
        <f>Cohort_T2!V$72</f>
        <v/>
      </c>
      <c r="W46" s="41">
        <f>Cohort_T2!W$72</f>
        <v/>
      </c>
      <c r="X46" s="41">
        <f>Cohort_T2!X$72</f>
        <v/>
      </c>
      <c r="Y46" s="41">
        <f>Cohort_T2!Y$72</f>
        <v/>
      </c>
      <c r="Z46" s="41">
        <f>Cohort_T2!Z$72</f>
        <v/>
      </c>
      <c r="AA46" s="41">
        <f>Cohort_T2!AA$72</f>
        <v/>
      </c>
      <c r="AB46" s="41">
        <f>Cohort_T2!AB$72</f>
        <v/>
      </c>
      <c r="AC46" s="41">
        <f>Cohort_T2!AC$72</f>
        <v/>
      </c>
      <c r="AD46" s="41">
        <f>Cohort_T2!AD$72</f>
        <v/>
      </c>
      <c r="AE46" s="41">
        <f>Cohort_T2!AE$72</f>
        <v/>
      </c>
      <c r="AF46" s="41">
        <f>Cohort_T2!AF$72</f>
        <v/>
      </c>
      <c r="AG46" s="41">
        <f>Cohort_T2!AG$72</f>
        <v/>
      </c>
      <c r="AH46" s="41">
        <f>Cohort_T2!AH$72</f>
        <v/>
      </c>
      <c r="AI46" s="41">
        <f>Cohort_T2!AI$72</f>
        <v/>
      </c>
      <c r="AJ46" s="41">
        <f>Cohort_T2!AJ$72</f>
        <v/>
      </c>
      <c r="AK46" s="41">
        <f>Cohort_T2!AK$72</f>
        <v/>
      </c>
      <c r="AL46" s="41">
        <f>Cohort_T2!AL$72</f>
        <v/>
      </c>
      <c r="AM46" s="41">
        <f>Cohort_T2!AM$72</f>
        <v/>
      </c>
      <c r="AN46" s="41">
        <f>Cohort_T2!AN$72</f>
        <v/>
      </c>
      <c r="AO46" s="41">
        <f>Cohort_T2!AO$72</f>
        <v/>
      </c>
      <c r="AP46" s="41">
        <f>Cohort_T2!AP$72</f>
        <v/>
      </c>
      <c r="AQ46" s="41">
        <f>Cohort_T2!AQ$72</f>
        <v/>
      </c>
      <c r="AR46" s="41">
        <f>Cohort_T2!AR$72</f>
        <v/>
      </c>
      <c r="AS46" s="41">
        <f>Cohort_T2!AS$72</f>
        <v/>
      </c>
      <c r="AT46" s="41">
        <f>Cohort_T2!AT$72</f>
        <v/>
      </c>
      <c r="AU46" s="41">
        <f>Cohort_T2!AU$72</f>
        <v/>
      </c>
      <c r="AV46" s="41">
        <f>Cohort_T2!AV$72</f>
        <v/>
      </c>
      <c r="AW46" s="41">
        <f>Cohort_T2!AW$72</f>
        <v/>
      </c>
      <c r="AX46" s="41">
        <f>Cohort_T2!AX$72</f>
        <v/>
      </c>
      <c r="AY46" s="41">
        <f>Cohort_T2!AY$72</f>
        <v/>
      </c>
      <c r="AZ46" s="41">
        <f>Cohort_T2!AZ$72</f>
        <v/>
      </c>
      <c r="BA46" s="41">
        <f>Cohort_T2!BA$72</f>
        <v/>
      </c>
      <c r="BB46" s="41">
        <f>Cohort_T2!BB$72</f>
        <v/>
      </c>
      <c r="BC46" s="41">
        <f>Cohort_T2!BC$72</f>
        <v/>
      </c>
      <c r="BD46" s="41">
        <f>Cohort_T2!BD$72</f>
        <v/>
      </c>
      <c r="BE46" s="41">
        <f>Cohort_T2!BE$72</f>
        <v/>
      </c>
      <c r="BF46" s="41">
        <f>Cohort_T2!BF$72</f>
        <v/>
      </c>
      <c r="BG46" s="41">
        <f>Cohort_T2!BG$72</f>
        <v/>
      </c>
      <c r="BH46" s="41">
        <f>Cohort_T2!BH$72</f>
        <v/>
      </c>
      <c r="BI46" s="41">
        <f>Cohort_T2!BI$72</f>
        <v/>
      </c>
      <c r="BJ46" s="41">
        <f>Cohort_T2!BJ$72</f>
        <v/>
      </c>
      <c r="BK46" s="41">
        <f>Cohort_T2!BK$72</f>
        <v/>
      </c>
      <c r="BL46" s="41">
        <f>Cohort_T2!BL$72</f>
        <v/>
      </c>
    </row>
    <row r="47">
      <c r="A47" s="98" t="inlineStr">
        <is>
          <t>Accounts reaching end of tenor (unlocked)</t>
        </is>
      </c>
      <c r="B47" s="65" t="inlineStr">
        <is>
          <t>accounts</t>
        </is>
      </c>
      <c r="C47" s="105">
        <f>SUM(E47:BL47)</f>
        <v/>
      </c>
      <c r="E47" s="80">
        <f>IF(E$4&gt;Products!$D$16,INDEX($E$34:$BL$34,1,E$4-Products!$D$16)*INDEX(Curves!$O$8:$O$68,Products!$D$16+1),0)</f>
        <v/>
      </c>
      <c r="F47" s="80">
        <f>IF(F$4&gt;Products!$D$16,INDEX($E$34:$BL$34,1,F$4-Products!$D$16)*INDEX(Curves!$O$8:$O$68,Products!$D$16+1),0)</f>
        <v/>
      </c>
      <c r="G47" s="80">
        <f>IF(G$4&gt;Products!$D$16,INDEX($E$34:$BL$34,1,G$4-Products!$D$16)*INDEX(Curves!$O$8:$O$68,Products!$D$16+1),0)</f>
        <v/>
      </c>
      <c r="H47" s="80">
        <f>IF(H$4&gt;Products!$D$16,INDEX($E$34:$BL$34,1,H$4-Products!$D$16)*INDEX(Curves!$O$8:$O$68,Products!$D$16+1),0)</f>
        <v/>
      </c>
      <c r="I47" s="80">
        <f>IF(I$4&gt;Products!$D$16,INDEX($E$34:$BL$34,1,I$4-Products!$D$16)*INDEX(Curves!$O$8:$O$68,Products!$D$16+1),0)</f>
        <v/>
      </c>
      <c r="J47" s="80">
        <f>IF(J$4&gt;Products!$D$16,INDEX($E$34:$BL$34,1,J$4-Products!$D$16)*INDEX(Curves!$O$8:$O$68,Products!$D$16+1),0)</f>
        <v/>
      </c>
      <c r="K47" s="80">
        <f>IF(K$4&gt;Products!$D$16,INDEX($E$34:$BL$34,1,K$4-Products!$D$16)*INDEX(Curves!$O$8:$O$68,Products!$D$16+1),0)</f>
        <v/>
      </c>
      <c r="L47" s="80">
        <f>IF(L$4&gt;Products!$D$16,INDEX($E$34:$BL$34,1,L$4-Products!$D$16)*INDEX(Curves!$O$8:$O$68,Products!$D$16+1),0)</f>
        <v/>
      </c>
      <c r="M47" s="80">
        <f>IF(M$4&gt;Products!$D$16,INDEX($E$34:$BL$34,1,M$4-Products!$D$16)*INDEX(Curves!$O$8:$O$68,Products!$D$16+1),0)</f>
        <v/>
      </c>
      <c r="N47" s="80">
        <f>IF(N$4&gt;Products!$D$16,INDEX($E$34:$BL$34,1,N$4-Products!$D$16)*INDEX(Curves!$O$8:$O$68,Products!$D$16+1),0)</f>
        <v/>
      </c>
      <c r="O47" s="80">
        <f>IF(O$4&gt;Products!$D$16,INDEX($E$34:$BL$34,1,O$4-Products!$D$16)*INDEX(Curves!$O$8:$O$68,Products!$D$16+1),0)</f>
        <v/>
      </c>
      <c r="P47" s="80">
        <f>IF(P$4&gt;Products!$D$16,INDEX($E$34:$BL$34,1,P$4-Products!$D$16)*INDEX(Curves!$O$8:$O$68,Products!$D$16+1),0)</f>
        <v/>
      </c>
      <c r="Q47" s="80">
        <f>IF(Q$4&gt;Products!$D$16,INDEX($E$34:$BL$34,1,Q$4-Products!$D$16)*INDEX(Curves!$O$8:$O$68,Products!$D$16+1),0)</f>
        <v/>
      </c>
      <c r="R47" s="80">
        <f>IF(R$4&gt;Products!$D$16,INDEX($E$34:$BL$34,1,R$4-Products!$D$16)*INDEX(Curves!$O$8:$O$68,Products!$D$16+1),0)</f>
        <v/>
      </c>
      <c r="S47" s="80">
        <f>IF(S$4&gt;Products!$D$16,INDEX($E$34:$BL$34,1,S$4-Products!$D$16)*INDEX(Curves!$O$8:$O$68,Products!$D$16+1),0)</f>
        <v/>
      </c>
      <c r="T47" s="80">
        <f>IF(T$4&gt;Products!$D$16,INDEX($E$34:$BL$34,1,T$4-Products!$D$16)*INDEX(Curves!$O$8:$O$68,Products!$D$16+1),0)</f>
        <v/>
      </c>
      <c r="U47" s="80">
        <f>IF(U$4&gt;Products!$D$16,INDEX($E$34:$BL$34,1,U$4-Products!$D$16)*INDEX(Curves!$O$8:$O$68,Products!$D$16+1),0)</f>
        <v/>
      </c>
      <c r="V47" s="80">
        <f>IF(V$4&gt;Products!$D$16,INDEX($E$34:$BL$34,1,V$4-Products!$D$16)*INDEX(Curves!$O$8:$O$68,Products!$D$16+1),0)</f>
        <v/>
      </c>
      <c r="W47" s="80">
        <f>IF(W$4&gt;Products!$D$16,INDEX($E$34:$BL$34,1,W$4-Products!$D$16)*INDEX(Curves!$O$8:$O$68,Products!$D$16+1),0)</f>
        <v/>
      </c>
      <c r="X47" s="80">
        <f>IF(X$4&gt;Products!$D$16,INDEX($E$34:$BL$34,1,X$4-Products!$D$16)*INDEX(Curves!$O$8:$O$68,Products!$D$16+1),0)</f>
        <v/>
      </c>
      <c r="Y47" s="80">
        <f>IF(Y$4&gt;Products!$D$16,INDEX($E$34:$BL$34,1,Y$4-Products!$D$16)*INDEX(Curves!$O$8:$O$68,Products!$D$16+1),0)</f>
        <v/>
      </c>
      <c r="Z47" s="80">
        <f>IF(Z$4&gt;Products!$D$16,INDEX($E$34:$BL$34,1,Z$4-Products!$D$16)*INDEX(Curves!$O$8:$O$68,Products!$D$16+1),0)</f>
        <v/>
      </c>
      <c r="AA47" s="80">
        <f>IF(AA$4&gt;Products!$D$16,INDEX($E$34:$BL$34,1,AA$4-Products!$D$16)*INDEX(Curves!$O$8:$O$68,Products!$D$16+1),0)</f>
        <v/>
      </c>
      <c r="AB47" s="80">
        <f>IF(AB$4&gt;Products!$D$16,INDEX($E$34:$BL$34,1,AB$4-Products!$D$16)*INDEX(Curves!$O$8:$O$68,Products!$D$16+1),0)</f>
        <v/>
      </c>
      <c r="AC47" s="80">
        <f>IF(AC$4&gt;Products!$D$16,INDEX($E$34:$BL$34,1,AC$4-Products!$D$16)*INDEX(Curves!$O$8:$O$68,Products!$D$16+1),0)</f>
        <v/>
      </c>
      <c r="AD47" s="80">
        <f>IF(AD$4&gt;Products!$D$16,INDEX($E$34:$BL$34,1,AD$4-Products!$D$16)*INDEX(Curves!$O$8:$O$68,Products!$D$16+1),0)</f>
        <v/>
      </c>
      <c r="AE47" s="80">
        <f>IF(AE$4&gt;Products!$D$16,INDEX($E$34:$BL$34,1,AE$4-Products!$D$16)*INDEX(Curves!$O$8:$O$68,Products!$D$16+1),0)</f>
        <v/>
      </c>
      <c r="AF47" s="80">
        <f>IF(AF$4&gt;Products!$D$16,INDEX($E$34:$BL$34,1,AF$4-Products!$D$16)*INDEX(Curves!$O$8:$O$68,Products!$D$16+1),0)</f>
        <v/>
      </c>
      <c r="AG47" s="80">
        <f>IF(AG$4&gt;Products!$D$16,INDEX($E$34:$BL$34,1,AG$4-Products!$D$16)*INDEX(Curves!$O$8:$O$68,Products!$D$16+1),0)</f>
        <v/>
      </c>
      <c r="AH47" s="80">
        <f>IF(AH$4&gt;Products!$D$16,INDEX($E$34:$BL$34,1,AH$4-Products!$D$16)*INDEX(Curves!$O$8:$O$68,Products!$D$16+1),0)</f>
        <v/>
      </c>
      <c r="AI47" s="80">
        <f>IF(AI$4&gt;Products!$D$16,INDEX($E$34:$BL$34,1,AI$4-Products!$D$16)*INDEX(Curves!$O$8:$O$68,Products!$D$16+1),0)</f>
        <v/>
      </c>
      <c r="AJ47" s="80">
        <f>IF(AJ$4&gt;Products!$D$16,INDEX($E$34:$BL$34,1,AJ$4-Products!$D$16)*INDEX(Curves!$O$8:$O$68,Products!$D$16+1),0)</f>
        <v/>
      </c>
      <c r="AK47" s="80">
        <f>IF(AK$4&gt;Products!$D$16,INDEX($E$34:$BL$34,1,AK$4-Products!$D$16)*INDEX(Curves!$O$8:$O$68,Products!$D$16+1),0)</f>
        <v/>
      </c>
      <c r="AL47" s="80">
        <f>IF(AL$4&gt;Products!$D$16,INDEX($E$34:$BL$34,1,AL$4-Products!$D$16)*INDEX(Curves!$O$8:$O$68,Products!$D$16+1),0)</f>
        <v/>
      </c>
      <c r="AM47" s="80">
        <f>IF(AM$4&gt;Products!$D$16,INDEX($E$34:$BL$34,1,AM$4-Products!$D$16)*INDEX(Curves!$O$8:$O$68,Products!$D$16+1),0)</f>
        <v/>
      </c>
      <c r="AN47" s="80">
        <f>IF(AN$4&gt;Products!$D$16,INDEX($E$34:$BL$34,1,AN$4-Products!$D$16)*INDEX(Curves!$O$8:$O$68,Products!$D$16+1),0)</f>
        <v/>
      </c>
      <c r="AO47" s="80">
        <f>IF(AO$4&gt;Products!$D$16,INDEX($E$34:$BL$34,1,AO$4-Products!$D$16)*INDEX(Curves!$O$8:$O$68,Products!$D$16+1),0)</f>
        <v/>
      </c>
      <c r="AP47" s="80">
        <f>IF(AP$4&gt;Products!$D$16,INDEX($E$34:$BL$34,1,AP$4-Products!$D$16)*INDEX(Curves!$O$8:$O$68,Products!$D$16+1),0)</f>
        <v/>
      </c>
      <c r="AQ47" s="80">
        <f>IF(AQ$4&gt;Products!$D$16,INDEX($E$34:$BL$34,1,AQ$4-Products!$D$16)*INDEX(Curves!$O$8:$O$68,Products!$D$16+1),0)</f>
        <v/>
      </c>
      <c r="AR47" s="80">
        <f>IF(AR$4&gt;Products!$D$16,INDEX($E$34:$BL$34,1,AR$4-Products!$D$16)*INDEX(Curves!$O$8:$O$68,Products!$D$16+1),0)</f>
        <v/>
      </c>
      <c r="AS47" s="80">
        <f>IF(AS$4&gt;Products!$D$16,INDEX($E$34:$BL$34,1,AS$4-Products!$D$16)*INDEX(Curves!$O$8:$O$68,Products!$D$16+1),0)</f>
        <v/>
      </c>
      <c r="AT47" s="80">
        <f>IF(AT$4&gt;Products!$D$16,INDEX($E$34:$BL$34,1,AT$4-Products!$D$16)*INDEX(Curves!$O$8:$O$68,Products!$D$16+1),0)</f>
        <v/>
      </c>
      <c r="AU47" s="80">
        <f>IF(AU$4&gt;Products!$D$16,INDEX($E$34:$BL$34,1,AU$4-Products!$D$16)*INDEX(Curves!$O$8:$O$68,Products!$D$16+1),0)</f>
        <v/>
      </c>
      <c r="AV47" s="80">
        <f>IF(AV$4&gt;Products!$D$16,INDEX($E$34:$BL$34,1,AV$4-Products!$D$16)*INDEX(Curves!$O$8:$O$68,Products!$D$16+1),0)</f>
        <v/>
      </c>
      <c r="AW47" s="80">
        <f>IF(AW$4&gt;Products!$D$16,INDEX($E$34:$BL$34,1,AW$4-Products!$D$16)*INDEX(Curves!$O$8:$O$68,Products!$D$16+1),0)</f>
        <v/>
      </c>
      <c r="AX47" s="80">
        <f>IF(AX$4&gt;Products!$D$16,INDEX($E$34:$BL$34,1,AX$4-Products!$D$16)*INDEX(Curves!$O$8:$O$68,Products!$D$16+1),0)</f>
        <v/>
      </c>
      <c r="AY47" s="80">
        <f>IF(AY$4&gt;Products!$D$16,INDEX($E$34:$BL$34,1,AY$4-Products!$D$16)*INDEX(Curves!$O$8:$O$68,Products!$D$16+1),0)</f>
        <v/>
      </c>
      <c r="AZ47" s="80">
        <f>IF(AZ$4&gt;Products!$D$16,INDEX($E$34:$BL$34,1,AZ$4-Products!$D$16)*INDEX(Curves!$O$8:$O$68,Products!$D$16+1),0)</f>
        <v/>
      </c>
      <c r="BA47" s="80">
        <f>IF(BA$4&gt;Products!$D$16,INDEX($E$34:$BL$34,1,BA$4-Products!$D$16)*INDEX(Curves!$O$8:$O$68,Products!$D$16+1),0)</f>
        <v/>
      </c>
      <c r="BB47" s="80">
        <f>IF(BB$4&gt;Products!$D$16,INDEX($E$34:$BL$34,1,BB$4-Products!$D$16)*INDEX(Curves!$O$8:$O$68,Products!$D$16+1),0)</f>
        <v/>
      </c>
      <c r="BC47" s="80">
        <f>IF(BC$4&gt;Products!$D$16,INDEX($E$34:$BL$34,1,BC$4-Products!$D$16)*INDEX(Curves!$O$8:$O$68,Products!$D$16+1),0)</f>
        <v/>
      </c>
      <c r="BD47" s="80">
        <f>IF(BD$4&gt;Products!$D$16,INDEX($E$34:$BL$34,1,BD$4-Products!$D$16)*INDEX(Curves!$O$8:$O$68,Products!$D$16+1),0)</f>
        <v/>
      </c>
      <c r="BE47" s="80">
        <f>IF(BE$4&gt;Products!$D$16,INDEX($E$34:$BL$34,1,BE$4-Products!$D$16)*INDEX(Curves!$O$8:$O$68,Products!$D$16+1),0)</f>
        <v/>
      </c>
      <c r="BF47" s="80">
        <f>IF(BF$4&gt;Products!$D$16,INDEX($E$34:$BL$34,1,BF$4-Products!$D$16)*INDEX(Curves!$O$8:$O$68,Products!$D$16+1),0)</f>
        <v/>
      </c>
      <c r="BG47" s="80">
        <f>IF(BG$4&gt;Products!$D$16,INDEX($E$34:$BL$34,1,BG$4-Products!$D$16)*INDEX(Curves!$O$8:$O$68,Products!$D$16+1),0)</f>
        <v/>
      </c>
      <c r="BH47" s="80">
        <f>IF(BH$4&gt;Products!$D$16,INDEX($E$34:$BL$34,1,BH$4-Products!$D$16)*INDEX(Curves!$O$8:$O$68,Products!$D$16+1),0)</f>
        <v/>
      </c>
      <c r="BI47" s="80">
        <f>IF(BI$4&gt;Products!$D$16,INDEX($E$34:$BL$34,1,BI$4-Products!$D$16)*INDEX(Curves!$O$8:$O$68,Products!$D$16+1),0)</f>
        <v/>
      </c>
      <c r="BJ47" s="80">
        <f>IF(BJ$4&gt;Products!$D$16,INDEX($E$34:$BL$34,1,BJ$4-Products!$D$16)*INDEX(Curves!$O$8:$O$68,Products!$D$16+1),0)</f>
        <v/>
      </c>
      <c r="BK47" s="80">
        <f>IF(BK$4&gt;Products!$D$16,INDEX($E$34:$BL$34,1,BK$4-Products!$D$16)*INDEX(Curves!$O$8:$O$68,Products!$D$16+1),0)</f>
        <v/>
      </c>
      <c r="BL47" s="80">
        <f>IF(BL$4&gt;Products!$D$16,INDEX($E$34:$BL$34,1,BL$4-Products!$D$16)*INDEX(Curves!$O$8:$O$68,Products!$D$16+1),0)</f>
        <v/>
      </c>
    </row>
    <row r="48">
      <c r="A48" s="98" t="inlineStr">
        <is>
          <t>Receivables at risk (carrying amount, accounts that stopped paying)</t>
        </is>
      </c>
      <c r="B48" s="65" t="inlineStr">
        <is>
          <t>LCY</t>
        </is>
      </c>
      <c r="C48" s="105">
        <f>BL48</f>
        <v/>
      </c>
      <c r="E48" s="41">
        <f>Cohort_T2!E$135</f>
        <v/>
      </c>
      <c r="F48" s="41">
        <f>Cohort_T2!F$135</f>
        <v/>
      </c>
      <c r="G48" s="41">
        <f>Cohort_T2!G$135</f>
        <v/>
      </c>
      <c r="H48" s="41">
        <f>Cohort_T2!H$135</f>
        <v/>
      </c>
      <c r="I48" s="41">
        <f>Cohort_T2!I$135</f>
        <v/>
      </c>
      <c r="J48" s="41">
        <f>Cohort_T2!J$135</f>
        <v/>
      </c>
      <c r="K48" s="41">
        <f>Cohort_T2!K$135</f>
        <v/>
      </c>
      <c r="L48" s="41">
        <f>Cohort_T2!L$135</f>
        <v/>
      </c>
      <c r="M48" s="41">
        <f>Cohort_T2!M$135</f>
        <v/>
      </c>
      <c r="N48" s="41">
        <f>Cohort_T2!N$135</f>
        <v/>
      </c>
      <c r="O48" s="41">
        <f>Cohort_T2!O$135</f>
        <v/>
      </c>
      <c r="P48" s="41">
        <f>Cohort_T2!P$135</f>
        <v/>
      </c>
      <c r="Q48" s="41">
        <f>Cohort_T2!Q$135</f>
        <v/>
      </c>
      <c r="R48" s="41">
        <f>Cohort_T2!R$135</f>
        <v/>
      </c>
      <c r="S48" s="41">
        <f>Cohort_T2!S$135</f>
        <v/>
      </c>
      <c r="T48" s="41">
        <f>Cohort_T2!T$135</f>
        <v/>
      </c>
      <c r="U48" s="41">
        <f>Cohort_T2!U$135</f>
        <v/>
      </c>
      <c r="V48" s="41">
        <f>Cohort_T2!V$135</f>
        <v/>
      </c>
      <c r="W48" s="41">
        <f>Cohort_T2!W$135</f>
        <v/>
      </c>
      <c r="X48" s="41">
        <f>Cohort_T2!X$135</f>
        <v/>
      </c>
      <c r="Y48" s="41">
        <f>Cohort_T2!Y$135</f>
        <v/>
      </c>
      <c r="Z48" s="41">
        <f>Cohort_T2!Z$135</f>
        <v/>
      </c>
      <c r="AA48" s="41">
        <f>Cohort_T2!AA$135</f>
        <v/>
      </c>
      <c r="AB48" s="41">
        <f>Cohort_T2!AB$135</f>
        <v/>
      </c>
      <c r="AC48" s="41">
        <f>Cohort_T2!AC$135</f>
        <v/>
      </c>
      <c r="AD48" s="41">
        <f>Cohort_T2!AD$135</f>
        <v/>
      </c>
      <c r="AE48" s="41">
        <f>Cohort_T2!AE$135</f>
        <v/>
      </c>
      <c r="AF48" s="41">
        <f>Cohort_T2!AF$135</f>
        <v/>
      </c>
      <c r="AG48" s="41">
        <f>Cohort_T2!AG$135</f>
        <v/>
      </c>
      <c r="AH48" s="41">
        <f>Cohort_T2!AH$135</f>
        <v/>
      </c>
      <c r="AI48" s="41">
        <f>Cohort_T2!AI$135</f>
        <v/>
      </c>
      <c r="AJ48" s="41">
        <f>Cohort_T2!AJ$135</f>
        <v/>
      </c>
      <c r="AK48" s="41">
        <f>Cohort_T2!AK$135</f>
        <v/>
      </c>
      <c r="AL48" s="41">
        <f>Cohort_T2!AL$135</f>
        <v/>
      </c>
      <c r="AM48" s="41">
        <f>Cohort_T2!AM$135</f>
        <v/>
      </c>
      <c r="AN48" s="41">
        <f>Cohort_T2!AN$135</f>
        <v/>
      </c>
      <c r="AO48" s="41">
        <f>Cohort_T2!AO$135</f>
        <v/>
      </c>
      <c r="AP48" s="41">
        <f>Cohort_T2!AP$135</f>
        <v/>
      </c>
      <c r="AQ48" s="41">
        <f>Cohort_T2!AQ$135</f>
        <v/>
      </c>
      <c r="AR48" s="41">
        <f>Cohort_T2!AR$135</f>
        <v/>
      </c>
      <c r="AS48" s="41">
        <f>Cohort_T2!AS$135</f>
        <v/>
      </c>
      <c r="AT48" s="41">
        <f>Cohort_T2!AT$135</f>
        <v/>
      </c>
      <c r="AU48" s="41">
        <f>Cohort_T2!AU$135</f>
        <v/>
      </c>
      <c r="AV48" s="41">
        <f>Cohort_T2!AV$135</f>
        <v/>
      </c>
      <c r="AW48" s="41">
        <f>Cohort_T2!AW$135</f>
        <v/>
      </c>
      <c r="AX48" s="41">
        <f>Cohort_T2!AX$135</f>
        <v/>
      </c>
      <c r="AY48" s="41">
        <f>Cohort_T2!AY$135</f>
        <v/>
      </c>
      <c r="AZ48" s="41">
        <f>Cohort_T2!AZ$135</f>
        <v/>
      </c>
      <c r="BA48" s="41">
        <f>Cohort_T2!BA$135</f>
        <v/>
      </c>
      <c r="BB48" s="41">
        <f>Cohort_T2!BB$135</f>
        <v/>
      </c>
      <c r="BC48" s="41">
        <f>Cohort_T2!BC$135</f>
        <v/>
      </c>
      <c r="BD48" s="41">
        <f>Cohort_T2!BD$135</f>
        <v/>
      </c>
      <c r="BE48" s="41">
        <f>Cohort_T2!BE$135</f>
        <v/>
      </c>
      <c r="BF48" s="41">
        <f>Cohort_T2!BF$135</f>
        <v/>
      </c>
      <c r="BG48" s="41">
        <f>Cohort_T2!BG$135</f>
        <v/>
      </c>
      <c r="BH48" s="41">
        <f>Cohort_T2!BH$135</f>
        <v/>
      </c>
      <c r="BI48" s="41">
        <f>Cohort_T2!BI$135</f>
        <v/>
      </c>
      <c r="BJ48" s="41">
        <f>Cohort_T2!BJ$135</f>
        <v/>
      </c>
      <c r="BK48" s="41">
        <f>Cohort_T2!BK$135</f>
        <v/>
      </c>
      <c r="BL48" s="41">
        <f>Cohort_T2!BL$135</f>
        <v/>
      </c>
    </row>
    <row r="49">
      <c r="A49" s="98" t="inlineStr">
        <is>
          <t>Gross PAYGo receivables (closing)</t>
        </is>
      </c>
      <c r="B49" s="65" t="inlineStr">
        <is>
          <t>LCY</t>
        </is>
      </c>
      <c r="C49" s="105">
        <f>BL49</f>
        <v/>
      </c>
      <c r="E49" s="80">
        <f>D49+E38+E42-E40-E41</f>
        <v/>
      </c>
      <c r="F49" s="80">
        <f>E49+F38+F42-F40-F41</f>
        <v/>
      </c>
      <c r="G49" s="80">
        <f>F49+G38+G42-G40-G41</f>
        <v/>
      </c>
      <c r="H49" s="80">
        <f>G49+H38+H42-H40-H41</f>
        <v/>
      </c>
      <c r="I49" s="80">
        <f>H49+I38+I42-I40-I41</f>
        <v/>
      </c>
      <c r="J49" s="80">
        <f>I49+J38+J42-J40-J41</f>
        <v/>
      </c>
      <c r="K49" s="80">
        <f>J49+K38+K42-K40-K41</f>
        <v/>
      </c>
      <c r="L49" s="80">
        <f>K49+L38+L42-L40-L41</f>
        <v/>
      </c>
      <c r="M49" s="80">
        <f>L49+M38+M42-M40-M41</f>
        <v/>
      </c>
      <c r="N49" s="80">
        <f>M49+N38+N42-N40-N41</f>
        <v/>
      </c>
      <c r="O49" s="80">
        <f>N49+O38+O42-O40-O41</f>
        <v/>
      </c>
      <c r="P49" s="80">
        <f>O49+P38+P42-P40-P41</f>
        <v/>
      </c>
      <c r="Q49" s="80">
        <f>P49+Q38+Q42-Q40-Q41</f>
        <v/>
      </c>
      <c r="R49" s="80">
        <f>Q49+R38+R42-R40-R41</f>
        <v/>
      </c>
      <c r="S49" s="80">
        <f>R49+S38+S42-S40-S41</f>
        <v/>
      </c>
      <c r="T49" s="80">
        <f>S49+T38+T42-T40-T41</f>
        <v/>
      </c>
      <c r="U49" s="80">
        <f>T49+U38+U42-U40-U41</f>
        <v/>
      </c>
      <c r="V49" s="80">
        <f>U49+V38+V42-V40-V41</f>
        <v/>
      </c>
      <c r="W49" s="80">
        <f>V49+W38+W42-W40-W41</f>
        <v/>
      </c>
      <c r="X49" s="80">
        <f>W49+X38+X42-X40-X41</f>
        <v/>
      </c>
      <c r="Y49" s="80">
        <f>X49+Y38+Y42-Y40-Y41</f>
        <v/>
      </c>
      <c r="Z49" s="80">
        <f>Y49+Z38+Z42-Z40-Z41</f>
        <v/>
      </c>
      <c r="AA49" s="80">
        <f>Z49+AA38+AA42-AA40-AA41</f>
        <v/>
      </c>
      <c r="AB49" s="80">
        <f>AA49+AB38+AB42-AB40-AB41</f>
        <v/>
      </c>
      <c r="AC49" s="80">
        <f>AB49+AC38+AC42-AC40-AC41</f>
        <v/>
      </c>
      <c r="AD49" s="80">
        <f>AC49+AD38+AD42-AD40-AD41</f>
        <v/>
      </c>
      <c r="AE49" s="80">
        <f>AD49+AE38+AE42-AE40-AE41</f>
        <v/>
      </c>
      <c r="AF49" s="80">
        <f>AE49+AF38+AF42-AF40-AF41</f>
        <v/>
      </c>
      <c r="AG49" s="80">
        <f>AF49+AG38+AG42-AG40-AG41</f>
        <v/>
      </c>
      <c r="AH49" s="80">
        <f>AG49+AH38+AH42-AH40-AH41</f>
        <v/>
      </c>
      <c r="AI49" s="80">
        <f>AH49+AI38+AI42-AI40-AI41</f>
        <v/>
      </c>
      <c r="AJ49" s="80">
        <f>AI49+AJ38+AJ42-AJ40-AJ41</f>
        <v/>
      </c>
      <c r="AK49" s="80">
        <f>AJ49+AK38+AK42-AK40-AK41</f>
        <v/>
      </c>
      <c r="AL49" s="80">
        <f>AK49+AL38+AL42-AL40-AL41</f>
        <v/>
      </c>
      <c r="AM49" s="80">
        <f>AL49+AM38+AM42-AM40-AM41</f>
        <v/>
      </c>
      <c r="AN49" s="80">
        <f>AM49+AN38+AN42-AN40-AN41</f>
        <v/>
      </c>
      <c r="AO49" s="80">
        <f>AN49+AO38+AO42-AO40-AO41</f>
        <v/>
      </c>
      <c r="AP49" s="80">
        <f>AO49+AP38+AP42-AP40-AP41</f>
        <v/>
      </c>
      <c r="AQ49" s="80">
        <f>AP49+AQ38+AQ42-AQ40-AQ41</f>
        <v/>
      </c>
      <c r="AR49" s="80">
        <f>AQ49+AR38+AR42-AR40-AR41</f>
        <v/>
      </c>
      <c r="AS49" s="80">
        <f>AR49+AS38+AS42-AS40-AS41</f>
        <v/>
      </c>
      <c r="AT49" s="80">
        <f>AS49+AT38+AT42-AT40-AT41</f>
        <v/>
      </c>
      <c r="AU49" s="80">
        <f>AT49+AU38+AU42-AU40-AU41</f>
        <v/>
      </c>
      <c r="AV49" s="80">
        <f>AU49+AV38+AV42-AV40-AV41</f>
        <v/>
      </c>
      <c r="AW49" s="80">
        <f>AV49+AW38+AW42-AW40-AW41</f>
        <v/>
      </c>
      <c r="AX49" s="80">
        <f>AW49+AX38+AX42-AX40-AX41</f>
        <v/>
      </c>
      <c r="AY49" s="80">
        <f>AX49+AY38+AY42-AY40-AY41</f>
        <v/>
      </c>
      <c r="AZ49" s="80">
        <f>AY49+AZ38+AZ42-AZ40-AZ41</f>
        <v/>
      </c>
      <c r="BA49" s="80">
        <f>AZ49+BA38+BA42-BA40-BA41</f>
        <v/>
      </c>
      <c r="BB49" s="80">
        <f>BA49+BB38+BB42-BB40-BB41</f>
        <v/>
      </c>
      <c r="BC49" s="80">
        <f>BB49+BC38+BC42-BC40-BC41</f>
        <v/>
      </c>
      <c r="BD49" s="80">
        <f>BC49+BD38+BD42-BD40-BD41</f>
        <v/>
      </c>
      <c r="BE49" s="80">
        <f>BD49+BE38+BE42-BE40-BE41</f>
        <v/>
      </c>
      <c r="BF49" s="80">
        <f>BE49+BF38+BF42-BF40-BF41</f>
        <v/>
      </c>
      <c r="BG49" s="80">
        <f>BF49+BG38+BG42-BG40-BG41</f>
        <v/>
      </c>
      <c r="BH49" s="80">
        <f>BG49+BH38+BH42-BH40-BH41</f>
        <v/>
      </c>
      <c r="BI49" s="80">
        <f>BH49+BI38+BI42-BI40-BI41</f>
        <v/>
      </c>
      <c r="BJ49" s="80">
        <f>BI49+BJ38+BJ42-BJ40-BJ41</f>
        <v/>
      </c>
      <c r="BK49" s="80">
        <f>BJ49+BK38+BK42-BK40-BK41</f>
        <v/>
      </c>
      <c r="BL49" s="80">
        <f>BK49+BL38+BL42-BL40-BL41</f>
        <v/>
      </c>
    </row>
    <row r="50">
      <c r="A50" s="98" t="inlineStr">
        <is>
          <t>Eligible receivables (Credit_Engine, max-DPD rule)</t>
        </is>
      </c>
      <c r="B50" s="65" t="inlineStr">
        <is>
          <t>LCY</t>
        </is>
      </c>
      <c r="C50" s="105">
        <f>BL50</f>
        <v/>
      </c>
      <c r="E50" s="41">
        <f>Credit_Engine!E$89</f>
        <v/>
      </c>
      <c r="F50" s="41">
        <f>Credit_Engine!F$89</f>
        <v/>
      </c>
      <c r="G50" s="41">
        <f>Credit_Engine!G$89</f>
        <v/>
      </c>
      <c r="H50" s="41">
        <f>Credit_Engine!H$89</f>
        <v/>
      </c>
      <c r="I50" s="41">
        <f>Credit_Engine!I$89</f>
        <v/>
      </c>
      <c r="J50" s="41">
        <f>Credit_Engine!J$89</f>
        <v/>
      </c>
      <c r="K50" s="41">
        <f>Credit_Engine!K$89</f>
        <v/>
      </c>
      <c r="L50" s="41">
        <f>Credit_Engine!L$89</f>
        <v/>
      </c>
      <c r="M50" s="41">
        <f>Credit_Engine!M$89</f>
        <v/>
      </c>
      <c r="N50" s="41">
        <f>Credit_Engine!N$89</f>
        <v/>
      </c>
      <c r="O50" s="41">
        <f>Credit_Engine!O$89</f>
        <v/>
      </c>
      <c r="P50" s="41">
        <f>Credit_Engine!P$89</f>
        <v/>
      </c>
      <c r="Q50" s="41">
        <f>Credit_Engine!Q$89</f>
        <v/>
      </c>
      <c r="R50" s="41">
        <f>Credit_Engine!R$89</f>
        <v/>
      </c>
      <c r="S50" s="41">
        <f>Credit_Engine!S$89</f>
        <v/>
      </c>
      <c r="T50" s="41">
        <f>Credit_Engine!T$89</f>
        <v/>
      </c>
      <c r="U50" s="41">
        <f>Credit_Engine!U$89</f>
        <v/>
      </c>
      <c r="V50" s="41">
        <f>Credit_Engine!V$89</f>
        <v/>
      </c>
      <c r="W50" s="41">
        <f>Credit_Engine!W$89</f>
        <v/>
      </c>
      <c r="X50" s="41">
        <f>Credit_Engine!X$89</f>
        <v/>
      </c>
      <c r="Y50" s="41">
        <f>Credit_Engine!Y$89</f>
        <v/>
      </c>
      <c r="Z50" s="41">
        <f>Credit_Engine!Z$89</f>
        <v/>
      </c>
      <c r="AA50" s="41">
        <f>Credit_Engine!AA$89</f>
        <v/>
      </c>
      <c r="AB50" s="41">
        <f>Credit_Engine!AB$89</f>
        <v/>
      </c>
      <c r="AC50" s="41">
        <f>Credit_Engine!AC$89</f>
        <v/>
      </c>
      <c r="AD50" s="41">
        <f>Credit_Engine!AD$89</f>
        <v/>
      </c>
      <c r="AE50" s="41">
        <f>Credit_Engine!AE$89</f>
        <v/>
      </c>
      <c r="AF50" s="41">
        <f>Credit_Engine!AF$89</f>
        <v/>
      </c>
      <c r="AG50" s="41">
        <f>Credit_Engine!AG$89</f>
        <v/>
      </c>
      <c r="AH50" s="41">
        <f>Credit_Engine!AH$89</f>
        <v/>
      </c>
      <c r="AI50" s="41">
        <f>Credit_Engine!AI$89</f>
        <v/>
      </c>
      <c r="AJ50" s="41">
        <f>Credit_Engine!AJ$89</f>
        <v/>
      </c>
      <c r="AK50" s="41">
        <f>Credit_Engine!AK$89</f>
        <v/>
      </c>
      <c r="AL50" s="41">
        <f>Credit_Engine!AL$89</f>
        <v/>
      </c>
      <c r="AM50" s="41">
        <f>Credit_Engine!AM$89</f>
        <v/>
      </c>
      <c r="AN50" s="41">
        <f>Credit_Engine!AN$89</f>
        <v/>
      </c>
      <c r="AO50" s="41">
        <f>Credit_Engine!AO$89</f>
        <v/>
      </c>
      <c r="AP50" s="41">
        <f>Credit_Engine!AP$89</f>
        <v/>
      </c>
      <c r="AQ50" s="41">
        <f>Credit_Engine!AQ$89</f>
        <v/>
      </c>
      <c r="AR50" s="41">
        <f>Credit_Engine!AR$89</f>
        <v/>
      </c>
      <c r="AS50" s="41">
        <f>Credit_Engine!AS$89</f>
        <v/>
      </c>
      <c r="AT50" s="41">
        <f>Credit_Engine!AT$89</f>
        <v/>
      </c>
      <c r="AU50" s="41">
        <f>Credit_Engine!AU$89</f>
        <v/>
      </c>
      <c r="AV50" s="41">
        <f>Credit_Engine!AV$89</f>
        <v/>
      </c>
      <c r="AW50" s="41">
        <f>Credit_Engine!AW$89</f>
        <v/>
      </c>
      <c r="AX50" s="41">
        <f>Credit_Engine!AX$89</f>
        <v/>
      </c>
      <c r="AY50" s="41">
        <f>Credit_Engine!AY$89</f>
        <v/>
      </c>
      <c r="AZ50" s="41">
        <f>Credit_Engine!AZ$89</f>
        <v/>
      </c>
      <c r="BA50" s="41">
        <f>Credit_Engine!BA$89</f>
        <v/>
      </c>
      <c r="BB50" s="41">
        <f>Credit_Engine!BB$89</f>
        <v/>
      </c>
      <c r="BC50" s="41">
        <f>Credit_Engine!BC$89</f>
        <v/>
      </c>
      <c r="BD50" s="41">
        <f>Credit_Engine!BD$89</f>
        <v/>
      </c>
      <c r="BE50" s="41">
        <f>Credit_Engine!BE$89</f>
        <v/>
      </c>
      <c r="BF50" s="41">
        <f>Credit_Engine!BF$89</f>
        <v/>
      </c>
      <c r="BG50" s="41">
        <f>Credit_Engine!BG$89</f>
        <v/>
      </c>
      <c r="BH50" s="41">
        <f>Credit_Engine!BH$89</f>
        <v/>
      </c>
      <c r="BI50" s="41">
        <f>Credit_Engine!BI$89</f>
        <v/>
      </c>
      <c r="BJ50" s="41">
        <f>Credit_Engine!BJ$89</f>
        <v/>
      </c>
      <c r="BK50" s="41">
        <f>Credit_Engine!BK$89</f>
        <v/>
      </c>
      <c r="BL50" s="41">
        <f>Credit_Engine!BL$89</f>
        <v/>
      </c>
    </row>
    <row r="51">
      <c r="A51" s="98" t="inlineStr">
        <is>
          <t>Borrowing-base contribution (advance rate x eligible)</t>
        </is>
      </c>
      <c r="B51" s="65" t="inlineStr">
        <is>
          <t>LCY</t>
        </is>
      </c>
      <c r="C51" s="105">
        <f>BL51</f>
        <v/>
      </c>
      <c r="E51" s="80">
        <f>E50*Products!$D$31</f>
        <v/>
      </c>
      <c r="F51" s="80">
        <f>F50*Products!$D$31</f>
        <v/>
      </c>
      <c r="G51" s="80">
        <f>G50*Products!$D$31</f>
        <v/>
      </c>
      <c r="H51" s="80">
        <f>H50*Products!$D$31</f>
        <v/>
      </c>
      <c r="I51" s="80">
        <f>I50*Products!$D$31</f>
        <v/>
      </c>
      <c r="J51" s="80">
        <f>J50*Products!$D$31</f>
        <v/>
      </c>
      <c r="K51" s="80">
        <f>K50*Products!$D$31</f>
        <v/>
      </c>
      <c r="L51" s="80">
        <f>L50*Products!$D$31</f>
        <v/>
      </c>
      <c r="M51" s="80">
        <f>M50*Products!$D$31</f>
        <v/>
      </c>
      <c r="N51" s="80">
        <f>N50*Products!$D$31</f>
        <v/>
      </c>
      <c r="O51" s="80">
        <f>O50*Products!$D$31</f>
        <v/>
      </c>
      <c r="P51" s="80">
        <f>P50*Products!$D$31</f>
        <v/>
      </c>
      <c r="Q51" s="80">
        <f>Q50*Products!$D$31</f>
        <v/>
      </c>
      <c r="R51" s="80">
        <f>R50*Products!$D$31</f>
        <v/>
      </c>
      <c r="S51" s="80">
        <f>S50*Products!$D$31</f>
        <v/>
      </c>
      <c r="T51" s="80">
        <f>T50*Products!$D$31</f>
        <v/>
      </c>
      <c r="U51" s="80">
        <f>U50*Products!$D$31</f>
        <v/>
      </c>
      <c r="V51" s="80">
        <f>V50*Products!$D$31</f>
        <v/>
      </c>
      <c r="W51" s="80">
        <f>W50*Products!$D$31</f>
        <v/>
      </c>
      <c r="X51" s="80">
        <f>X50*Products!$D$31</f>
        <v/>
      </c>
      <c r="Y51" s="80">
        <f>Y50*Products!$D$31</f>
        <v/>
      </c>
      <c r="Z51" s="80">
        <f>Z50*Products!$D$31</f>
        <v/>
      </c>
      <c r="AA51" s="80">
        <f>AA50*Products!$D$31</f>
        <v/>
      </c>
      <c r="AB51" s="80">
        <f>AB50*Products!$D$31</f>
        <v/>
      </c>
      <c r="AC51" s="80">
        <f>AC50*Products!$D$31</f>
        <v/>
      </c>
      <c r="AD51" s="80">
        <f>AD50*Products!$D$31</f>
        <v/>
      </c>
      <c r="AE51" s="80">
        <f>AE50*Products!$D$31</f>
        <v/>
      </c>
      <c r="AF51" s="80">
        <f>AF50*Products!$D$31</f>
        <v/>
      </c>
      <c r="AG51" s="80">
        <f>AG50*Products!$D$31</f>
        <v/>
      </c>
      <c r="AH51" s="80">
        <f>AH50*Products!$D$31</f>
        <v/>
      </c>
      <c r="AI51" s="80">
        <f>AI50*Products!$D$31</f>
        <v/>
      </c>
      <c r="AJ51" s="80">
        <f>AJ50*Products!$D$31</f>
        <v/>
      </c>
      <c r="AK51" s="80">
        <f>AK50*Products!$D$31</f>
        <v/>
      </c>
      <c r="AL51" s="80">
        <f>AL50*Products!$D$31</f>
        <v/>
      </c>
      <c r="AM51" s="80">
        <f>AM50*Products!$D$31</f>
        <v/>
      </c>
      <c r="AN51" s="80">
        <f>AN50*Products!$D$31</f>
        <v/>
      </c>
      <c r="AO51" s="80">
        <f>AO50*Products!$D$31</f>
        <v/>
      </c>
      <c r="AP51" s="80">
        <f>AP50*Products!$D$31</f>
        <v/>
      </c>
      <c r="AQ51" s="80">
        <f>AQ50*Products!$D$31</f>
        <v/>
      </c>
      <c r="AR51" s="80">
        <f>AR50*Products!$D$31</f>
        <v/>
      </c>
      <c r="AS51" s="80">
        <f>AS50*Products!$D$31</f>
        <v/>
      </c>
      <c r="AT51" s="80">
        <f>AT50*Products!$D$31</f>
        <v/>
      </c>
      <c r="AU51" s="80">
        <f>AU50*Products!$D$31</f>
        <v/>
      </c>
      <c r="AV51" s="80">
        <f>AV50*Products!$D$31</f>
        <v/>
      </c>
      <c r="AW51" s="80">
        <f>AW50*Products!$D$31</f>
        <v/>
      </c>
      <c r="AX51" s="80">
        <f>AX50*Products!$D$31</f>
        <v/>
      </c>
      <c r="AY51" s="80">
        <f>AY50*Products!$D$31</f>
        <v/>
      </c>
      <c r="AZ51" s="80">
        <f>AZ50*Products!$D$31</f>
        <v/>
      </c>
      <c r="BA51" s="80">
        <f>BA50*Products!$D$31</f>
        <v/>
      </c>
      <c r="BB51" s="80">
        <f>BB50*Products!$D$31</f>
        <v/>
      </c>
      <c r="BC51" s="80">
        <f>BC50*Products!$D$31</f>
        <v/>
      </c>
      <c r="BD51" s="80">
        <f>BD50*Products!$D$31</f>
        <v/>
      </c>
      <c r="BE51" s="80">
        <f>BE50*Products!$D$31</f>
        <v/>
      </c>
      <c r="BF51" s="80">
        <f>BF50*Products!$D$31</f>
        <v/>
      </c>
      <c r="BG51" s="80">
        <f>BG50*Products!$D$31</f>
        <v/>
      </c>
      <c r="BH51" s="80">
        <f>BH50*Products!$D$31</f>
        <v/>
      </c>
      <c r="BI51" s="80">
        <f>BI50*Products!$D$31</f>
        <v/>
      </c>
      <c r="BJ51" s="80">
        <f>BJ50*Products!$D$31</f>
        <v/>
      </c>
      <c r="BK51" s="80">
        <f>BK50*Products!$D$31</f>
        <v/>
      </c>
      <c r="BL51" s="80">
        <f>BL50*Products!$D$31</f>
        <v/>
      </c>
    </row>
    <row r="52">
      <c r="A52" s="98" t="inlineStr">
        <is>
          <t>Landed hardware cost of units sold</t>
        </is>
      </c>
      <c r="B52" s="65" t="inlineStr">
        <is>
          <t>LCY</t>
        </is>
      </c>
      <c r="C52" s="105">
        <f>SUM(E52:BL52)</f>
        <v/>
      </c>
      <c r="E52" s="80">
        <f>E34*Products!$D$18*(1+Inputs!$C$28)*Timeline!E$8*Scenarios!$G$9</f>
        <v/>
      </c>
      <c r="F52" s="80">
        <f>F34*Products!$D$18*(1+Inputs!$C$28)*Timeline!F$8*Scenarios!$G$9</f>
        <v/>
      </c>
      <c r="G52" s="80">
        <f>G34*Products!$D$18*(1+Inputs!$C$28)*Timeline!G$8*Scenarios!$G$9</f>
        <v/>
      </c>
      <c r="H52" s="80">
        <f>H34*Products!$D$18*(1+Inputs!$C$28)*Timeline!H$8*Scenarios!$G$9</f>
        <v/>
      </c>
      <c r="I52" s="80">
        <f>I34*Products!$D$18*(1+Inputs!$C$28)*Timeline!I$8*Scenarios!$G$9</f>
        <v/>
      </c>
      <c r="J52" s="80">
        <f>J34*Products!$D$18*(1+Inputs!$C$28)*Timeline!J$8*Scenarios!$G$9</f>
        <v/>
      </c>
      <c r="K52" s="80">
        <f>K34*Products!$D$18*(1+Inputs!$C$28)*Timeline!K$8*Scenarios!$G$9</f>
        <v/>
      </c>
      <c r="L52" s="80">
        <f>L34*Products!$D$18*(1+Inputs!$C$28)*Timeline!L$8*Scenarios!$G$9</f>
        <v/>
      </c>
      <c r="M52" s="80">
        <f>M34*Products!$D$18*(1+Inputs!$C$28)*Timeline!M$8*Scenarios!$G$9</f>
        <v/>
      </c>
      <c r="N52" s="80">
        <f>N34*Products!$D$18*(1+Inputs!$C$28)*Timeline!N$8*Scenarios!$G$9</f>
        <v/>
      </c>
      <c r="O52" s="80">
        <f>O34*Products!$D$18*(1+Inputs!$C$28)*Timeline!O$8*Scenarios!$G$9</f>
        <v/>
      </c>
      <c r="P52" s="80">
        <f>P34*Products!$D$18*(1+Inputs!$C$28)*Timeline!P$8*Scenarios!$G$9</f>
        <v/>
      </c>
      <c r="Q52" s="80">
        <f>Q34*Products!$D$18*(1+Inputs!$C$28)*Timeline!Q$8*Scenarios!$G$9</f>
        <v/>
      </c>
      <c r="R52" s="80">
        <f>R34*Products!$D$18*(1+Inputs!$C$28)*Timeline!R$8*Scenarios!$G$9</f>
        <v/>
      </c>
      <c r="S52" s="80">
        <f>S34*Products!$D$18*(1+Inputs!$C$28)*Timeline!S$8*Scenarios!$G$9</f>
        <v/>
      </c>
      <c r="T52" s="80">
        <f>T34*Products!$D$18*(1+Inputs!$C$28)*Timeline!T$8*Scenarios!$G$9</f>
        <v/>
      </c>
      <c r="U52" s="80">
        <f>U34*Products!$D$18*(1+Inputs!$C$28)*Timeline!U$8*Scenarios!$G$9</f>
        <v/>
      </c>
      <c r="V52" s="80">
        <f>V34*Products!$D$18*(1+Inputs!$C$28)*Timeline!V$8*Scenarios!$G$9</f>
        <v/>
      </c>
      <c r="W52" s="80">
        <f>W34*Products!$D$18*(1+Inputs!$C$28)*Timeline!W$8*Scenarios!$G$9</f>
        <v/>
      </c>
      <c r="X52" s="80">
        <f>X34*Products!$D$18*(1+Inputs!$C$28)*Timeline!X$8*Scenarios!$G$9</f>
        <v/>
      </c>
      <c r="Y52" s="80">
        <f>Y34*Products!$D$18*(1+Inputs!$C$28)*Timeline!Y$8*Scenarios!$G$9</f>
        <v/>
      </c>
      <c r="Z52" s="80">
        <f>Z34*Products!$D$18*(1+Inputs!$C$28)*Timeline!Z$8*Scenarios!$G$9</f>
        <v/>
      </c>
      <c r="AA52" s="80">
        <f>AA34*Products!$D$18*(1+Inputs!$C$28)*Timeline!AA$8*Scenarios!$G$9</f>
        <v/>
      </c>
      <c r="AB52" s="80">
        <f>AB34*Products!$D$18*(1+Inputs!$C$28)*Timeline!AB$8*Scenarios!$G$9</f>
        <v/>
      </c>
      <c r="AC52" s="80">
        <f>AC34*Products!$D$18*(1+Inputs!$C$28)*Timeline!AC$8*Scenarios!$G$9</f>
        <v/>
      </c>
      <c r="AD52" s="80">
        <f>AD34*Products!$D$18*(1+Inputs!$C$28)*Timeline!AD$8*Scenarios!$G$9</f>
        <v/>
      </c>
      <c r="AE52" s="80">
        <f>AE34*Products!$D$18*(1+Inputs!$C$28)*Timeline!AE$8*Scenarios!$G$9</f>
        <v/>
      </c>
      <c r="AF52" s="80">
        <f>AF34*Products!$D$18*(1+Inputs!$C$28)*Timeline!AF$8*Scenarios!$G$9</f>
        <v/>
      </c>
      <c r="AG52" s="80">
        <f>AG34*Products!$D$18*(1+Inputs!$C$28)*Timeline!AG$8*Scenarios!$G$9</f>
        <v/>
      </c>
      <c r="AH52" s="80">
        <f>AH34*Products!$D$18*(1+Inputs!$C$28)*Timeline!AH$8*Scenarios!$G$9</f>
        <v/>
      </c>
      <c r="AI52" s="80">
        <f>AI34*Products!$D$18*(1+Inputs!$C$28)*Timeline!AI$8*Scenarios!$G$9</f>
        <v/>
      </c>
      <c r="AJ52" s="80">
        <f>AJ34*Products!$D$18*(1+Inputs!$C$28)*Timeline!AJ$8*Scenarios!$G$9</f>
        <v/>
      </c>
      <c r="AK52" s="80">
        <f>AK34*Products!$D$18*(1+Inputs!$C$28)*Timeline!AK$8*Scenarios!$G$9</f>
        <v/>
      </c>
      <c r="AL52" s="80">
        <f>AL34*Products!$D$18*(1+Inputs!$C$28)*Timeline!AL$8*Scenarios!$G$9</f>
        <v/>
      </c>
      <c r="AM52" s="80">
        <f>AM34*Products!$D$18*(1+Inputs!$C$28)*Timeline!AM$8*Scenarios!$G$9</f>
        <v/>
      </c>
      <c r="AN52" s="80">
        <f>AN34*Products!$D$18*(1+Inputs!$C$28)*Timeline!AN$8*Scenarios!$G$9</f>
        <v/>
      </c>
      <c r="AO52" s="80">
        <f>AO34*Products!$D$18*(1+Inputs!$C$28)*Timeline!AO$8*Scenarios!$G$9</f>
        <v/>
      </c>
      <c r="AP52" s="80">
        <f>AP34*Products!$D$18*(1+Inputs!$C$28)*Timeline!AP$8*Scenarios!$G$9</f>
        <v/>
      </c>
      <c r="AQ52" s="80">
        <f>AQ34*Products!$D$18*(1+Inputs!$C$28)*Timeline!AQ$8*Scenarios!$G$9</f>
        <v/>
      </c>
      <c r="AR52" s="80">
        <f>AR34*Products!$D$18*(1+Inputs!$C$28)*Timeline!AR$8*Scenarios!$G$9</f>
        <v/>
      </c>
      <c r="AS52" s="80">
        <f>AS34*Products!$D$18*(1+Inputs!$C$28)*Timeline!AS$8*Scenarios!$G$9</f>
        <v/>
      </c>
      <c r="AT52" s="80">
        <f>AT34*Products!$D$18*(1+Inputs!$C$28)*Timeline!AT$8*Scenarios!$G$9</f>
        <v/>
      </c>
      <c r="AU52" s="80">
        <f>AU34*Products!$D$18*(1+Inputs!$C$28)*Timeline!AU$8*Scenarios!$G$9</f>
        <v/>
      </c>
      <c r="AV52" s="80">
        <f>AV34*Products!$D$18*(1+Inputs!$C$28)*Timeline!AV$8*Scenarios!$G$9</f>
        <v/>
      </c>
      <c r="AW52" s="80">
        <f>AW34*Products!$D$18*(1+Inputs!$C$28)*Timeline!AW$8*Scenarios!$G$9</f>
        <v/>
      </c>
      <c r="AX52" s="80">
        <f>AX34*Products!$D$18*(1+Inputs!$C$28)*Timeline!AX$8*Scenarios!$G$9</f>
        <v/>
      </c>
      <c r="AY52" s="80">
        <f>AY34*Products!$D$18*(1+Inputs!$C$28)*Timeline!AY$8*Scenarios!$G$9</f>
        <v/>
      </c>
      <c r="AZ52" s="80">
        <f>AZ34*Products!$D$18*(1+Inputs!$C$28)*Timeline!AZ$8*Scenarios!$G$9</f>
        <v/>
      </c>
      <c r="BA52" s="80">
        <f>BA34*Products!$D$18*(1+Inputs!$C$28)*Timeline!BA$8*Scenarios!$G$9</f>
        <v/>
      </c>
      <c r="BB52" s="80">
        <f>BB34*Products!$D$18*(1+Inputs!$C$28)*Timeline!BB$8*Scenarios!$G$9</f>
        <v/>
      </c>
      <c r="BC52" s="80">
        <f>BC34*Products!$D$18*(1+Inputs!$C$28)*Timeline!BC$8*Scenarios!$G$9</f>
        <v/>
      </c>
      <c r="BD52" s="80">
        <f>BD34*Products!$D$18*(1+Inputs!$C$28)*Timeline!BD$8*Scenarios!$G$9</f>
        <v/>
      </c>
      <c r="BE52" s="80">
        <f>BE34*Products!$D$18*(1+Inputs!$C$28)*Timeline!BE$8*Scenarios!$G$9</f>
        <v/>
      </c>
      <c r="BF52" s="80">
        <f>BF34*Products!$D$18*(1+Inputs!$C$28)*Timeline!BF$8*Scenarios!$G$9</f>
        <v/>
      </c>
      <c r="BG52" s="80">
        <f>BG34*Products!$D$18*(1+Inputs!$C$28)*Timeline!BG$8*Scenarios!$G$9</f>
        <v/>
      </c>
      <c r="BH52" s="80">
        <f>BH34*Products!$D$18*(1+Inputs!$C$28)*Timeline!BH$8*Scenarios!$G$9</f>
        <v/>
      </c>
      <c r="BI52" s="80">
        <f>BI34*Products!$D$18*(1+Inputs!$C$28)*Timeline!BI$8*Scenarios!$G$9</f>
        <v/>
      </c>
      <c r="BJ52" s="80">
        <f>BJ34*Products!$D$18*(1+Inputs!$C$28)*Timeline!BJ$8*Scenarios!$G$9</f>
        <v/>
      </c>
      <c r="BK52" s="80">
        <f>BK34*Products!$D$18*(1+Inputs!$C$28)*Timeline!BK$8*Scenarios!$G$9</f>
        <v/>
      </c>
      <c r="BL52" s="80">
        <f>BL34*Products!$D$18*(1+Inputs!$C$28)*Timeline!BL$8*Scenarios!$G$9</f>
        <v/>
      </c>
    </row>
    <row r="53">
      <c r="A53" s="98" t="inlineStr">
        <is>
          <t>Installation &amp; logistics</t>
        </is>
      </c>
      <c r="B53" s="65" t="inlineStr">
        <is>
          <t>LCY</t>
        </is>
      </c>
      <c r="C53" s="105">
        <f>SUM(E53:BL53)</f>
        <v/>
      </c>
      <c r="E53" s="80">
        <f>E34*Products!$D$19*Timeline!E$9</f>
        <v/>
      </c>
      <c r="F53" s="80">
        <f>F34*Products!$D$19*Timeline!F$9</f>
        <v/>
      </c>
      <c r="G53" s="80">
        <f>G34*Products!$D$19*Timeline!G$9</f>
        <v/>
      </c>
      <c r="H53" s="80">
        <f>H34*Products!$D$19*Timeline!H$9</f>
        <v/>
      </c>
      <c r="I53" s="80">
        <f>I34*Products!$D$19*Timeline!I$9</f>
        <v/>
      </c>
      <c r="J53" s="80">
        <f>J34*Products!$D$19*Timeline!J$9</f>
        <v/>
      </c>
      <c r="K53" s="80">
        <f>K34*Products!$D$19*Timeline!K$9</f>
        <v/>
      </c>
      <c r="L53" s="80">
        <f>L34*Products!$D$19*Timeline!L$9</f>
        <v/>
      </c>
      <c r="M53" s="80">
        <f>M34*Products!$D$19*Timeline!M$9</f>
        <v/>
      </c>
      <c r="N53" s="80">
        <f>N34*Products!$D$19*Timeline!N$9</f>
        <v/>
      </c>
      <c r="O53" s="80">
        <f>O34*Products!$D$19*Timeline!O$9</f>
        <v/>
      </c>
      <c r="P53" s="80">
        <f>P34*Products!$D$19*Timeline!P$9</f>
        <v/>
      </c>
      <c r="Q53" s="80">
        <f>Q34*Products!$D$19*Timeline!Q$9</f>
        <v/>
      </c>
      <c r="R53" s="80">
        <f>R34*Products!$D$19*Timeline!R$9</f>
        <v/>
      </c>
      <c r="S53" s="80">
        <f>S34*Products!$D$19*Timeline!S$9</f>
        <v/>
      </c>
      <c r="T53" s="80">
        <f>T34*Products!$D$19*Timeline!T$9</f>
        <v/>
      </c>
      <c r="U53" s="80">
        <f>U34*Products!$D$19*Timeline!U$9</f>
        <v/>
      </c>
      <c r="V53" s="80">
        <f>V34*Products!$D$19*Timeline!V$9</f>
        <v/>
      </c>
      <c r="W53" s="80">
        <f>W34*Products!$D$19*Timeline!W$9</f>
        <v/>
      </c>
      <c r="X53" s="80">
        <f>X34*Products!$D$19*Timeline!X$9</f>
        <v/>
      </c>
      <c r="Y53" s="80">
        <f>Y34*Products!$D$19*Timeline!Y$9</f>
        <v/>
      </c>
      <c r="Z53" s="80">
        <f>Z34*Products!$D$19*Timeline!Z$9</f>
        <v/>
      </c>
      <c r="AA53" s="80">
        <f>AA34*Products!$D$19*Timeline!AA$9</f>
        <v/>
      </c>
      <c r="AB53" s="80">
        <f>AB34*Products!$D$19*Timeline!AB$9</f>
        <v/>
      </c>
      <c r="AC53" s="80">
        <f>AC34*Products!$D$19*Timeline!AC$9</f>
        <v/>
      </c>
      <c r="AD53" s="80">
        <f>AD34*Products!$D$19*Timeline!AD$9</f>
        <v/>
      </c>
      <c r="AE53" s="80">
        <f>AE34*Products!$D$19*Timeline!AE$9</f>
        <v/>
      </c>
      <c r="AF53" s="80">
        <f>AF34*Products!$D$19*Timeline!AF$9</f>
        <v/>
      </c>
      <c r="AG53" s="80">
        <f>AG34*Products!$D$19*Timeline!AG$9</f>
        <v/>
      </c>
      <c r="AH53" s="80">
        <f>AH34*Products!$D$19*Timeline!AH$9</f>
        <v/>
      </c>
      <c r="AI53" s="80">
        <f>AI34*Products!$D$19*Timeline!AI$9</f>
        <v/>
      </c>
      <c r="AJ53" s="80">
        <f>AJ34*Products!$D$19*Timeline!AJ$9</f>
        <v/>
      </c>
      <c r="AK53" s="80">
        <f>AK34*Products!$D$19*Timeline!AK$9</f>
        <v/>
      </c>
      <c r="AL53" s="80">
        <f>AL34*Products!$D$19*Timeline!AL$9</f>
        <v/>
      </c>
      <c r="AM53" s="80">
        <f>AM34*Products!$D$19*Timeline!AM$9</f>
        <v/>
      </c>
      <c r="AN53" s="80">
        <f>AN34*Products!$D$19*Timeline!AN$9</f>
        <v/>
      </c>
      <c r="AO53" s="80">
        <f>AO34*Products!$D$19*Timeline!AO$9</f>
        <v/>
      </c>
      <c r="AP53" s="80">
        <f>AP34*Products!$D$19*Timeline!AP$9</f>
        <v/>
      </c>
      <c r="AQ53" s="80">
        <f>AQ34*Products!$D$19*Timeline!AQ$9</f>
        <v/>
      </c>
      <c r="AR53" s="80">
        <f>AR34*Products!$D$19*Timeline!AR$9</f>
        <v/>
      </c>
      <c r="AS53" s="80">
        <f>AS34*Products!$D$19*Timeline!AS$9</f>
        <v/>
      </c>
      <c r="AT53" s="80">
        <f>AT34*Products!$D$19*Timeline!AT$9</f>
        <v/>
      </c>
      <c r="AU53" s="80">
        <f>AU34*Products!$D$19*Timeline!AU$9</f>
        <v/>
      </c>
      <c r="AV53" s="80">
        <f>AV34*Products!$D$19*Timeline!AV$9</f>
        <v/>
      </c>
      <c r="AW53" s="80">
        <f>AW34*Products!$D$19*Timeline!AW$9</f>
        <v/>
      </c>
      <c r="AX53" s="80">
        <f>AX34*Products!$D$19*Timeline!AX$9</f>
        <v/>
      </c>
      <c r="AY53" s="80">
        <f>AY34*Products!$D$19*Timeline!AY$9</f>
        <v/>
      </c>
      <c r="AZ53" s="80">
        <f>AZ34*Products!$D$19*Timeline!AZ$9</f>
        <v/>
      </c>
      <c r="BA53" s="80">
        <f>BA34*Products!$D$19*Timeline!BA$9</f>
        <v/>
      </c>
      <c r="BB53" s="80">
        <f>BB34*Products!$D$19*Timeline!BB$9</f>
        <v/>
      </c>
      <c r="BC53" s="80">
        <f>BC34*Products!$D$19*Timeline!BC$9</f>
        <v/>
      </c>
      <c r="BD53" s="80">
        <f>BD34*Products!$D$19*Timeline!BD$9</f>
        <v/>
      </c>
      <c r="BE53" s="80">
        <f>BE34*Products!$D$19*Timeline!BE$9</f>
        <v/>
      </c>
      <c r="BF53" s="80">
        <f>BF34*Products!$D$19*Timeline!BF$9</f>
        <v/>
      </c>
      <c r="BG53" s="80">
        <f>BG34*Products!$D$19*Timeline!BG$9</f>
        <v/>
      </c>
      <c r="BH53" s="80">
        <f>BH34*Products!$D$19*Timeline!BH$9</f>
        <v/>
      </c>
      <c r="BI53" s="80">
        <f>BI34*Products!$D$19*Timeline!BI$9</f>
        <v/>
      </c>
      <c r="BJ53" s="80">
        <f>BJ34*Products!$D$19*Timeline!BJ$9</f>
        <v/>
      </c>
      <c r="BK53" s="80">
        <f>BK34*Products!$D$19*Timeline!BK$9</f>
        <v/>
      </c>
      <c r="BL53" s="80">
        <f>BL34*Products!$D$19*Timeline!BL$9</f>
        <v/>
      </c>
    </row>
    <row r="54">
      <c r="A54" s="98" t="inlineStr">
        <is>
          <t>Warranty &amp; after-sales provision</t>
        </is>
      </c>
      <c r="B54" s="65" t="inlineStr">
        <is>
          <t>LCY</t>
        </is>
      </c>
      <c r="C54" s="105">
        <f>SUM(E54:BL54)</f>
        <v/>
      </c>
      <c r="E54" s="80">
        <f>E52*Products!$D$22</f>
        <v/>
      </c>
      <c r="F54" s="80">
        <f>F52*Products!$D$22</f>
        <v/>
      </c>
      <c r="G54" s="80">
        <f>G52*Products!$D$22</f>
        <v/>
      </c>
      <c r="H54" s="80">
        <f>H52*Products!$D$22</f>
        <v/>
      </c>
      <c r="I54" s="80">
        <f>I52*Products!$D$22</f>
        <v/>
      </c>
      <c r="J54" s="80">
        <f>J52*Products!$D$22</f>
        <v/>
      </c>
      <c r="K54" s="80">
        <f>K52*Products!$D$22</f>
        <v/>
      </c>
      <c r="L54" s="80">
        <f>L52*Products!$D$22</f>
        <v/>
      </c>
      <c r="M54" s="80">
        <f>M52*Products!$D$22</f>
        <v/>
      </c>
      <c r="N54" s="80">
        <f>N52*Products!$D$22</f>
        <v/>
      </c>
      <c r="O54" s="80">
        <f>O52*Products!$D$22</f>
        <v/>
      </c>
      <c r="P54" s="80">
        <f>P52*Products!$D$22</f>
        <v/>
      </c>
      <c r="Q54" s="80">
        <f>Q52*Products!$D$22</f>
        <v/>
      </c>
      <c r="R54" s="80">
        <f>R52*Products!$D$22</f>
        <v/>
      </c>
      <c r="S54" s="80">
        <f>S52*Products!$D$22</f>
        <v/>
      </c>
      <c r="T54" s="80">
        <f>T52*Products!$D$22</f>
        <v/>
      </c>
      <c r="U54" s="80">
        <f>U52*Products!$D$22</f>
        <v/>
      </c>
      <c r="V54" s="80">
        <f>V52*Products!$D$22</f>
        <v/>
      </c>
      <c r="W54" s="80">
        <f>W52*Products!$D$22</f>
        <v/>
      </c>
      <c r="X54" s="80">
        <f>X52*Products!$D$22</f>
        <v/>
      </c>
      <c r="Y54" s="80">
        <f>Y52*Products!$D$22</f>
        <v/>
      </c>
      <c r="Z54" s="80">
        <f>Z52*Products!$D$22</f>
        <v/>
      </c>
      <c r="AA54" s="80">
        <f>AA52*Products!$D$22</f>
        <v/>
      </c>
      <c r="AB54" s="80">
        <f>AB52*Products!$D$22</f>
        <v/>
      </c>
      <c r="AC54" s="80">
        <f>AC52*Products!$D$22</f>
        <v/>
      </c>
      <c r="AD54" s="80">
        <f>AD52*Products!$D$22</f>
        <v/>
      </c>
      <c r="AE54" s="80">
        <f>AE52*Products!$D$22</f>
        <v/>
      </c>
      <c r="AF54" s="80">
        <f>AF52*Products!$D$22</f>
        <v/>
      </c>
      <c r="AG54" s="80">
        <f>AG52*Products!$D$22</f>
        <v/>
      </c>
      <c r="AH54" s="80">
        <f>AH52*Products!$D$22</f>
        <v/>
      </c>
      <c r="AI54" s="80">
        <f>AI52*Products!$D$22</f>
        <v/>
      </c>
      <c r="AJ54" s="80">
        <f>AJ52*Products!$D$22</f>
        <v/>
      </c>
      <c r="AK54" s="80">
        <f>AK52*Products!$D$22</f>
        <v/>
      </c>
      <c r="AL54" s="80">
        <f>AL52*Products!$D$22</f>
        <v/>
      </c>
      <c r="AM54" s="80">
        <f>AM52*Products!$D$22</f>
        <v/>
      </c>
      <c r="AN54" s="80">
        <f>AN52*Products!$D$22</f>
        <v/>
      </c>
      <c r="AO54" s="80">
        <f>AO52*Products!$D$22</f>
        <v/>
      </c>
      <c r="AP54" s="80">
        <f>AP52*Products!$D$22</f>
        <v/>
      </c>
      <c r="AQ54" s="80">
        <f>AQ52*Products!$D$22</f>
        <v/>
      </c>
      <c r="AR54" s="80">
        <f>AR52*Products!$D$22</f>
        <v/>
      </c>
      <c r="AS54" s="80">
        <f>AS52*Products!$D$22</f>
        <v/>
      </c>
      <c r="AT54" s="80">
        <f>AT52*Products!$D$22</f>
        <v/>
      </c>
      <c r="AU54" s="80">
        <f>AU52*Products!$D$22</f>
        <v/>
      </c>
      <c r="AV54" s="80">
        <f>AV52*Products!$D$22</f>
        <v/>
      </c>
      <c r="AW54" s="80">
        <f>AW52*Products!$D$22</f>
        <v/>
      </c>
      <c r="AX54" s="80">
        <f>AX52*Products!$D$22</f>
        <v/>
      </c>
      <c r="AY54" s="80">
        <f>AY52*Products!$D$22</f>
        <v/>
      </c>
      <c r="AZ54" s="80">
        <f>AZ52*Products!$D$22</f>
        <v/>
      </c>
      <c r="BA54" s="80">
        <f>BA52*Products!$D$22</f>
        <v/>
      </c>
      <c r="BB54" s="80">
        <f>BB52*Products!$D$22</f>
        <v/>
      </c>
      <c r="BC54" s="80">
        <f>BC52*Products!$D$22</f>
        <v/>
      </c>
      <c r="BD54" s="80">
        <f>BD52*Products!$D$22</f>
        <v/>
      </c>
      <c r="BE54" s="80">
        <f>BE52*Products!$D$22</f>
        <v/>
      </c>
      <c r="BF54" s="80">
        <f>BF52*Products!$D$22</f>
        <v/>
      </c>
      <c r="BG54" s="80">
        <f>BG52*Products!$D$22</f>
        <v/>
      </c>
      <c r="BH54" s="80">
        <f>BH52*Products!$D$22</f>
        <v/>
      </c>
      <c r="BI54" s="80">
        <f>BI52*Products!$D$22</f>
        <v/>
      </c>
      <c r="BJ54" s="80">
        <f>BJ52*Products!$D$22</f>
        <v/>
      </c>
      <c r="BK54" s="80">
        <f>BK52*Products!$D$22</f>
        <v/>
      </c>
      <c r="BL54" s="80">
        <f>BL52*Products!$D$22</f>
        <v/>
      </c>
    </row>
    <row r="55">
      <c r="A55" s="98" t="inlineStr">
        <is>
          <t>Commissions</t>
        </is>
      </c>
      <c r="B55" s="65" t="inlineStr">
        <is>
          <t>LCY</t>
        </is>
      </c>
      <c r="C55" s="105">
        <f>SUM(E55:BL55)</f>
        <v/>
      </c>
      <c r="E55" s="80">
        <f>E34*Products!$D$20*Timeline!E$9</f>
        <v/>
      </c>
      <c r="F55" s="80">
        <f>F34*Products!$D$20*Timeline!F$9</f>
        <v/>
      </c>
      <c r="G55" s="80">
        <f>G34*Products!$D$20*Timeline!G$9</f>
        <v/>
      </c>
      <c r="H55" s="80">
        <f>H34*Products!$D$20*Timeline!H$9</f>
        <v/>
      </c>
      <c r="I55" s="80">
        <f>I34*Products!$D$20*Timeline!I$9</f>
        <v/>
      </c>
      <c r="J55" s="80">
        <f>J34*Products!$D$20*Timeline!J$9</f>
        <v/>
      </c>
      <c r="K55" s="80">
        <f>K34*Products!$D$20*Timeline!K$9</f>
        <v/>
      </c>
      <c r="L55" s="80">
        <f>L34*Products!$D$20*Timeline!L$9</f>
        <v/>
      </c>
      <c r="M55" s="80">
        <f>M34*Products!$D$20*Timeline!M$9</f>
        <v/>
      </c>
      <c r="N55" s="80">
        <f>N34*Products!$D$20*Timeline!N$9</f>
        <v/>
      </c>
      <c r="O55" s="80">
        <f>O34*Products!$D$20*Timeline!O$9</f>
        <v/>
      </c>
      <c r="P55" s="80">
        <f>P34*Products!$D$20*Timeline!P$9</f>
        <v/>
      </c>
      <c r="Q55" s="80">
        <f>Q34*Products!$D$20*Timeline!Q$9</f>
        <v/>
      </c>
      <c r="R55" s="80">
        <f>R34*Products!$D$20*Timeline!R$9</f>
        <v/>
      </c>
      <c r="S55" s="80">
        <f>S34*Products!$D$20*Timeline!S$9</f>
        <v/>
      </c>
      <c r="T55" s="80">
        <f>T34*Products!$D$20*Timeline!T$9</f>
        <v/>
      </c>
      <c r="U55" s="80">
        <f>U34*Products!$D$20*Timeline!U$9</f>
        <v/>
      </c>
      <c r="V55" s="80">
        <f>V34*Products!$D$20*Timeline!V$9</f>
        <v/>
      </c>
      <c r="W55" s="80">
        <f>W34*Products!$D$20*Timeline!W$9</f>
        <v/>
      </c>
      <c r="X55" s="80">
        <f>X34*Products!$D$20*Timeline!X$9</f>
        <v/>
      </c>
      <c r="Y55" s="80">
        <f>Y34*Products!$D$20*Timeline!Y$9</f>
        <v/>
      </c>
      <c r="Z55" s="80">
        <f>Z34*Products!$D$20*Timeline!Z$9</f>
        <v/>
      </c>
      <c r="AA55" s="80">
        <f>AA34*Products!$D$20*Timeline!AA$9</f>
        <v/>
      </c>
      <c r="AB55" s="80">
        <f>AB34*Products!$D$20*Timeline!AB$9</f>
        <v/>
      </c>
      <c r="AC55" s="80">
        <f>AC34*Products!$D$20*Timeline!AC$9</f>
        <v/>
      </c>
      <c r="AD55" s="80">
        <f>AD34*Products!$D$20*Timeline!AD$9</f>
        <v/>
      </c>
      <c r="AE55" s="80">
        <f>AE34*Products!$D$20*Timeline!AE$9</f>
        <v/>
      </c>
      <c r="AF55" s="80">
        <f>AF34*Products!$D$20*Timeline!AF$9</f>
        <v/>
      </c>
      <c r="AG55" s="80">
        <f>AG34*Products!$D$20*Timeline!AG$9</f>
        <v/>
      </c>
      <c r="AH55" s="80">
        <f>AH34*Products!$D$20*Timeline!AH$9</f>
        <v/>
      </c>
      <c r="AI55" s="80">
        <f>AI34*Products!$D$20*Timeline!AI$9</f>
        <v/>
      </c>
      <c r="AJ55" s="80">
        <f>AJ34*Products!$D$20*Timeline!AJ$9</f>
        <v/>
      </c>
      <c r="AK55" s="80">
        <f>AK34*Products!$D$20*Timeline!AK$9</f>
        <v/>
      </c>
      <c r="AL55" s="80">
        <f>AL34*Products!$D$20*Timeline!AL$9</f>
        <v/>
      </c>
      <c r="AM55" s="80">
        <f>AM34*Products!$D$20*Timeline!AM$9</f>
        <v/>
      </c>
      <c r="AN55" s="80">
        <f>AN34*Products!$D$20*Timeline!AN$9</f>
        <v/>
      </c>
      <c r="AO55" s="80">
        <f>AO34*Products!$D$20*Timeline!AO$9</f>
        <v/>
      </c>
      <c r="AP55" s="80">
        <f>AP34*Products!$D$20*Timeline!AP$9</f>
        <v/>
      </c>
      <c r="AQ55" s="80">
        <f>AQ34*Products!$D$20*Timeline!AQ$9</f>
        <v/>
      </c>
      <c r="AR55" s="80">
        <f>AR34*Products!$D$20*Timeline!AR$9</f>
        <v/>
      </c>
      <c r="AS55" s="80">
        <f>AS34*Products!$D$20*Timeline!AS$9</f>
        <v/>
      </c>
      <c r="AT55" s="80">
        <f>AT34*Products!$D$20*Timeline!AT$9</f>
        <v/>
      </c>
      <c r="AU55" s="80">
        <f>AU34*Products!$D$20*Timeline!AU$9</f>
        <v/>
      </c>
      <c r="AV55" s="80">
        <f>AV34*Products!$D$20*Timeline!AV$9</f>
        <v/>
      </c>
      <c r="AW55" s="80">
        <f>AW34*Products!$D$20*Timeline!AW$9</f>
        <v/>
      </c>
      <c r="AX55" s="80">
        <f>AX34*Products!$D$20*Timeline!AX$9</f>
        <v/>
      </c>
      <c r="AY55" s="80">
        <f>AY34*Products!$D$20*Timeline!AY$9</f>
        <v/>
      </c>
      <c r="AZ55" s="80">
        <f>AZ34*Products!$D$20*Timeline!AZ$9</f>
        <v/>
      </c>
      <c r="BA55" s="80">
        <f>BA34*Products!$D$20*Timeline!BA$9</f>
        <v/>
      </c>
      <c r="BB55" s="80">
        <f>BB34*Products!$D$20*Timeline!BB$9</f>
        <v/>
      </c>
      <c r="BC55" s="80">
        <f>BC34*Products!$D$20*Timeline!BC$9</f>
        <v/>
      </c>
      <c r="BD55" s="80">
        <f>BD34*Products!$D$20*Timeline!BD$9</f>
        <v/>
      </c>
      <c r="BE55" s="80">
        <f>BE34*Products!$D$20*Timeline!BE$9</f>
        <v/>
      </c>
      <c r="BF55" s="80">
        <f>BF34*Products!$D$20*Timeline!BF$9</f>
        <v/>
      </c>
      <c r="BG55" s="80">
        <f>BG34*Products!$D$20*Timeline!BG$9</f>
        <v/>
      </c>
      <c r="BH55" s="80">
        <f>BH34*Products!$D$20*Timeline!BH$9</f>
        <v/>
      </c>
      <c r="BI55" s="80">
        <f>BI34*Products!$D$20*Timeline!BI$9</f>
        <v/>
      </c>
      <c r="BJ55" s="80">
        <f>BJ34*Products!$D$20*Timeline!BJ$9</f>
        <v/>
      </c>
      <c r="BK55" s="80">
        <f>BK34*Products!$D$20*Timeline!BK$9</f>
        <v/>
      </c>
      <c r="BL55" s="80">
        <f>BL34*Products!$D$20*Timeline!BL$9</f>
        <v/>
      </c>
    </row>
    <row r="56">
      <c r="A56" s="98" t="inlineStr">
        <is>
          <t>Marketing &amp; acquisition</t>
        </is>
      </c>
      <c r="B56" s="65" t="inlineStr">
        <is>
          <t>LCY</t>
        </is>
      </c>
      <c r="C56" s="105">
        <f>SUM(E56:BL56)</f>
        <v/>
      </c>
      <c r="E56" s="80">
        <f>E34*Products!$D$21*Timeline!E$9</f>
        <v/>
      </c>
      <c r="F56" s="80">
        <f>F34*Products!$D$21*Timeline!F$9</f>
        <v/>
      </c>
      <c r="G56" s="80">
        <f>G34*Products!$D$21*Timeline!G$9</f>
        <v/>
      </c>
      <c r="H56" s="80">
        <f>H34*Products!$D$21*Timeline!H$9</f>
        <v/>
      </c>
      <c r="I56" s="80">
        <f>I34*Products!$D$21*Timeline!I$9</f>
        <v/>
      </c>
      <c r="J56" s="80">
        <f>J34*Products!$D$21*Timeline!J$9</f>
        <v/>
      </c>
      <c r="K56" s="80">
        <f>K34*Products!$D$21*Timeline!K$9</f>
        <v/>
      </c>
      <c r="L56" s="80">
        <f>L34*Products!$D$21*Timeline!L$9</f>
        <v/>
      </c>
      <c r="M56" s="80">
        <f>M34*Products!$D$21*Timeline!M$9</f>
        <v/>
      </c>
      <c r="N56" s="80">
        <f>N34*Products!$D$21*Timeline!N$9</f>
        <v/>
      </c>
      <c r="O56" s="80">
        <f>O34*Products!$D$21*Timeline!O$9</f>
        <v/>
      </c>
      <c r="P56" s="80">
        <f>P34*Products!$D$21*Timeline!P$9</f>
        <v/>
      </c>
      <c r="Q56" s="80">
        <f>Q34*Products!$D$21*Timeline!Q$9</f>
        <v/>
      </c>
      <c r="R56" s="80">
        <f>R34*Products!$D$21*Timeline!R$9</f>
        <v/>
      </c>
      <c r="S56" s="80">
        <f>S34*Products!$D$21*Timeline!S$9</f>
        <v/>
      </c>
      <c r="T56" s="80">
        <f>T34*Products!$D$21*Timeline!T$9</f>
        <v/>
      </c>
      <c r="U56" s="80">
        <f>U34*Products!$D$21*Timeline!U$9</f>
        <v/>
      </c>
      <c r="V56" s="80">
        <f>V34*Products!$D$21*Timeline!V$9</f>
        <v/>
      </c>
      <c r="W56" s="80">
        <f>W34*Products!$D$21*Timeline!W$9</f>
        <v/>
      </c>
      <c r="X56" s="80">
        <f>X34*Products!$D$21*Timeline!X$9</f>
        <v/>
      </c>
      <c r="Y56" s="80">
        <f>Y34*Products!$D$21*Timeline!Y$9</f>
        <v/>
      </c>
      <c r="Z56" s="80">
        <f>Z34*Products!$D$21*Timeline!Z$9</f>
        <v/>
      </c>
      <c r="AA56" s="80">
        <f>AA34*Products!$D$21*Timeline!AA$9</f>
        <v/>
      </c>
      <c r="AB56" s="80">
        <f>AB34*Products!$D$21*Timeline!AB$9</f>
        <v/>
      </c>
      <c r="AC56" s="80">
        <f>AC34*Products!$D$21*Timeline!AC$9</f>
        <v/>
      </c>
      <c r="AD56" s="80">
        <f>AD34*Products!$D$21*Timeline!AD$9</f>
        <v/>
      </c>
      <c r="AE56" s="80">
        <f>AE34*Products!$D$21*Timeline!AE$9</f>
        <v/>
      </c>
      <c r="AF56" s="80">
        <f>AF34*Products!$D$21*Timeline!AF$9</f>
        <v/>
      </c>
      <c r="AG56" s="80">
        <f>AG34*Products!$D$21*Timeline!AG$9</f>
        <v/>
      </c>
      <c r="AH56" s="80">
        <f>AH34*Products!$D$21*Timeline!AH$9</f>
        <v/>
      </c>
      <c r="AI56" s="80">
        <f>AI34*Products!$D$21*Timeline!AI$9</f>
        <v/>
      </c>
      <c r="AJ56" s="80">
        <f>AJ34*Products!$D$21*Timeline!AJ$9</f>
        <v/>
      </c>
      <c r="AK56" s="80">
        <f>AK34*Products!$D$21*Timeline!AK$9</f>
        <v/>
      </c>
      <c r="AL56" s="80">
        <f>AL34*Products!$D$21*Timeline!AL$9</f>
        <v/>
      </c>
      <c r="AM56" s="80">
        <f>AM34*Products!$D$21*Timeline!AM$9</f>
        <v/>
      </c>
      <c r="AN56" s="80">
        <f>AN34*Products!$D$21*Timeline!AN$9</f>
        <v/>
      </c>
      <c r="AO56" s="80">
        <f>AO34*Products!$D$21*Timeline!AO$9</f>
        <v/>
      </c>
      <c r="AP56" s="80">
        <f>AP34*Products!$D$21*Timeline!AP$9</f>
        <v/>
      </c>
      <c r="AQ56" s="80">
        <f>AQ34*Products!$D$21*Timeline!AQ$9</f>
        <v/>
      </c>
      <c r="AR56" s="80">
        <f>AR34*Products!$D$21*Timeline!AR$9</f>
        <v/>
      </c>
      <c r="AS56" s="80">
        <f>AS34*Products!$D$21*Timeline!AS$9</f>
        <v/>
      </c>
      <c r="AT56" s="80">
        <f>AT34*Products!$D$21*Timeline!AT$9</f>
        <v/>
      </c>
      <c r="AU56" s="80">
        <f>AU34*Products!$D$21*Timeline!AU$9</f>
        <v/>
      </c>
      <c r="AV56" s="80">
        <f>AV34*Products!$D$21*Timeline!AV$9</f>
        <v/>
      </c>
      <c r="AW56" s="80">
        <f>AW34*Products!$D$21*Timeline!AW$9</f>
        <v/>
      </c>
      <c r="AX56" s="80">
        <f>AX34*Products!$D$21*Timeline!AX$9</f>
        <v/>
      </c>
      <c r="AY56" s="80">
        <f>AY34*Products!$D$21*Timeline!AY$9</f>
        <v/>
      </c>
      <c r="AZ56" s="80">
        <f>AZ34*Products!$D$21*Timeline!AZ$9</f>
        <v/>
      </c>
      <c r="BA56" s="80">
        <f>BA34*Products!$D$21*Timeline!BA$9</f>
        <v/>
      </c>
      <c r="BB56" s="80">
        <f>BB34*Products!$D$21*Timeline!BB$9</f>
        <v/>
      </c>
      <c r="BC56" s="80">
        <f>BC34*Products!$D$21*Timeline!BC$9</f>
        <v/>
      </c>
      <c r="BD56" s="80">
        <f>BD34*Products!$D$21*Timeline!BD$9</f>
        <v/>
      </c>
      <c r="BE56" s="80">
        <f>BE34*Products!$D$21*Timeline!BE$9</f>
        <v/>
      </c>
      <c r="BF56" s="80">
        <f>BF34*Products!$D$21*Timeline!BF$9</f>
        <v/>
      </c>
      <c r="BG56" s="80">
        <f>BG34*Products!$D$21*Timeline!BG$9</f>
        <v/>
      </c>
      <c r="BH56" s="80">
        <f>BH34*Products!$D$21*Timeline!BH$9</f>
        <v/>
      </c>
      <c r="BI56" s="80">
        <f>BI34*Products!$D$21*Timeline!BI$9</f>
        <v/>
      </c>
      <c r="BJ56" s="80">
        <f>BJ34*Products!$D$21*Timeline!BJ$9</f>
        <v/>
      </c>
      <c r="BK56" s="80">
        <f>BK34*Products!$D$21*Timeline!BK$9</f>
        <v/>
      </c>
      <c r="BL56" s="80">
        <f>BL34*Products!$D$21*Timeline!BL$9</f>
        <v/>
      </c>
    </row>
    <row r="57"/>
    <row r="58">
      <c r="A58" s="21">
        <f>Products!$E$6</f>
        <v/>
      </c>
      <c r="B58" s="22" t="n"/>
      <c r="C58" s="22" t="n"/>
      <c r="D58" s="22" t="n"/>
      <c r="E58" s="22" t="n"/>
      <c r="F58" s="22"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c r="AA58" s="22" t="n"/>
      <c r="AB58" s="22" t="n"/>
      <c r="AC58" s="22" t="n"/>
      <c r="AD58" s="22" t="n"/>
      <c r="AE58" s="22" t="n"/>
      <c r="AF58" s="22" t="n"/>
      <c r="AG58" s="22" t="n"/>
      <c r="AH58" s="22" t="n"/>
      <c r="AI58" s="22" t="n"/>
      <c r="AJ58" s="22" t="n"/>
      <c r="AK58" s="22" t="n"/>
      <c r="AL58" s="22" t="n"/>
      <c r="AM58" s="22" t="n"/>
      <c r="AN58" s="22" t="n"/>
      <c r="AO58" s="22" t="n"/>
      <c r="AP58" s="22" t="n"/>
      <c r="AQ58" s="22" t="n"/>
      <c r="AR58" s="22" t="n"/>
      <c r="AS58" s="22" t="n"/>
      <c r="AT58" s="22" t="n"/>
      <c r="AU58" s="22" t="n"/>
      <c r="AV58" s="22" t="n"/>
      <c r="AW58" s="22" t="n"/>
      <c r="AX58" s="22" t="n"/>
      <c r="AY58" s="22" t="n"/>
      <c r="AZ58" s="22" t="n"/>
      <c r="BA58" s="22" t="n"/>
      <c r="BB58" s="22" t="n"/>
      <c r="BC58" s="22" t="n"/>
      <c r="BD58" s="22" t="n"/>
      <c r="BE58" s="22" t="n"/>
      <c r="BF58" s="22" t="n"/>
      <c r="BG58" s="22" t="n"/>
      <c r="BH58" s="22" t="n"/>
      <c r="BI58" s="22" t="n"/>
      <c r="BJ58" s="22" t="n"/>
      <c r="BK58" s="22" t="n"/>
      <c r="BL58" s="22" t="n"/>
    </row>
    <row r="59">
      <c r="A59" s="98" t="inlineStr">
        <is>
          <t>Units sold</t>
        </is>
      </c>
      <c r="B59" s="65" t="inlineStr">
        <is>
          <t>units</t>
        </is>
      </c>
      <c r="C59" s="105">
        <f>SUM(E59:BL59)</f>
        <v/>
      </c>
      <c r="E59" s="80">
        <f>Timeline!E$11*Products!$E$23</f>
        <v/>
      </c>
      <c r="F59" s="80">
        <f>Timeline!F$11*Products!$E$23</f>
        <v/>
      </c>
      <c r="G59" s="80">
        <f>Timeline!G$11*Products!$E$23</f>
        <v/>
      </c>
      <c r="H59" s="80">
        <f>Timeline!H$11*Products!$E$23</f>
        <v/>
      </c>
      <c r="I59" s="80">
        <f>Timeline!I$11*Products!$E$23</f>
        <v/>
      </c>
      <c r="J59" s="80">
        <f>Timeline!J$11*Products!$E$23</f>
        <v/>
      </c>
      <c r="K59" s="80">
        <f>Timeline!K$11*Products!$E$23</f>
        <v/>
      </c>
      <c r="L59" s="80">
        <f>Timeline!L$11*Products!$E$23</f>
        <v/>
      </c>
      <c r="M59" s="80">
        <f>Timeline!M$11*Products!$E$23</f>
        <v/>
      </c>
      <c r="N59" s="80">
        <f>Timeline!N$11*Products!$E$23</f>
        <v/>
      </c>
      <c r="O59" s="80">
        <f>Timeline!O$11*Products!$E$23</f>
        <v/>
      </c>
      <c r="P59" s="80">
        <f>Timeline!P$11*Products!$E$23</f>
        <v/>
      </c>
      <c r="Q59" s="80">
        <f>Timeline!Q$11*Products!$E$23</f>
        <v/>
      </c>
      <c r="R59" s="80">
        <f>Timeline!R$11*Products!$E$23</f>
        <v/>
      </c>
      <c r="S59" s="80">
        <f>Timeline!S$11*Products!$E$23</f>
        <v/>
      </c>
      <c r="T59" s="80">
        <f>Timeline!T$11*Products!$E$23</f>
        <v/>
      </c>
      <c r="U59" s="80">
        <f>Timeline!U$11*Products!$E$23</f>
        <v/>
      </c>
      <c r="V59" s="80">
        <f>Timeline!V$11*Products!$E$23</f>
        <v/>
      </c>
      <c r="W59" s="80">
        <f>Timeline!W$11*Products!$E$23</f>
        <v/>
      </c>
      <c r="X59" s="80">
        <f>Timeline!X$11*Products!$E$23</f>
        <v/>
      </c>
      <c r="Y59" s="80">
        <f>Timeline!Y$11*Products!$E$23</f>
        <v/>
      </c>
      <c r="Z59" s="80">
        <f>Timeline!Z$11*Products!$E$23</f>
        <v/>
      </c>
      <c r="AA59" s="80">
        <f>Timeline!AA$11*Products!$E$23</f>
        <v/>
      </c>
      <c r="AB59" s="80">
        <f>Timeline!AB$11*Products!$E$23</f>
        <v/>
      </c>
      <c r="AC59" s="80">
        <f>Timeline!AC$11*Products!$E$23</f>
        <v/>
      </c>
      <c r="AD59" s="80">
        <f>Timeline!AD$11*Products!$E$23</f>
        <v/>
      </c>
      <c r="AE59" s="80">
        <f>Timeline!AE$11*Products!$E$23</f>
        <v/>
      </c>
      <c r="AF59" s="80">
        <f>Timeline!AF$11*Products!$E$23</f>
        <v/>
      </c>
      <c r="AG59" s="80">
        <f>Timeline!AG$11*Products!$E$23</f>
        <v/>
      </c>
      <c r="AH59" s="80">
        <f>Timeline!AH$11*Products!$E$23</f>
        <v/>
      </c>
      <c r="AI59" s="80">
        <f>Timeline!AI$11*Products!$E$23</f>
        <v/>
      </c>
      <c r="AJ59" s="80">
        <f>Timeline!AJ$11*Products!$E$23</f>
        <v/>
      </c>
      <c r="AK59" s="80">
        <f>Timeline!AK$11*Products!$E$23</f>
        <v/>
      </c>
      <c r="AL59" s="80">
        <f>Timeline!AL$11*Products!$E$23</f>
        <v/>
      </c>
      <c r="AM59" s="80">
        <f>Timeline!AM$11*Products!$E$23</f>
        <v/>
      </c>
      <c r="AN59" s="80">
        <f>Timeline!AN$11*Products!$E$23</f>
        <v/>
      </c>
      <c r="AO59" s="80">
        <f>Timeline!AO$11*Products!$E$23</f>
        <v/>
      </c>
      <c r="AP59" s="80">
        <f>Timeline!AP$11*Products!$E$23</f>
        <v/>
      </c>
      <c r="AQ59" s="80">
        <f>Timeline!AQ$11*Products!$E$23</f>
        <v/>
      </c>
      <c r="AR59" s="80">
        <f>Timeline!AR$11*Products!$E$23</f>
        <v/>
      </c>
      <c r="AS59" s="80">
        <f>Timeline!AS$11*Products!$E$23</f>
        <v/>
      </c>
      <c r="AT59" s="80">
        <f>Timeline!AT$11*Products!$E$23</f>
        <v/>
      </c>
      <c r="AU59" s="80">
        <f>Timeline!AU$11*Products!$E$23</f>
        <v/>
      </c>
      <c r="AV59" s="80">
        <f>Timeline!AV$11*Products!$E$23</f>
        <v/>
      </c>
      <c r="AW59" s="80">
        <f>Timeline!AW$11*Products!$E$23</f>
        <v/>
      </c>
      <c r="AX59" s="80">
        <f>Timeline!AX$11*Products!$E$23</f>
        <v/>
      </c>
      <c r="AY59" s="80">
        <f>Timeline!AY$11*Products!$E$23</f>
        <v/>
      </c>
      <c r="AZ59" s="80">
        <f>Timeline!AZ$11*Products!$E$23</f>
        <v/>
      </c>
      <c r="BA59" s="80">
        <f>Timeline!BA$11*Products!$E$23</f>
        <v/>
      </c>
      <c r="BB59" s="80">
        <f>Timeline!BB$11*Products!$E$23</f>
        <v/>
      </c>
      <c r="BC59" s="80">
        <f>Timeline!BC$11*Products!$E$23</f>
        <v/>
      </c>
      <c r="BD59" s="80">
        <f>Timeline!BD$11*Products!$E$23</f>
        <v/>
      </c>
      <c r="BE59" s="80">
        <f>Timeline!BE$11*Products!$E$23</f>
        <v/>
      </c>
      <c r="BF59" s="80">
        <f>Timeline!BF$11*Products!$E$23</f>
        <v/>
      </c>
      <c r="BG59" s="80">
        <f>Timeline!BG$11*Products!$E$23</f>
        <v/>
      </c>
      <c r="BH59" s="80">
        <f>Timeline!BH$11*Products!$E$23</f>
        <v/>
      </c>
      <c r="BI59" s="80">
        <f>Timeline!BI$11*Products!$E$23</f>
        <v/>
      </c>
      <c r="BJ59" s="80">
        <f>Timeline!BJ$11*Products!$E$23</f>
        <v/>
      </c>
      <c r="BK59" s="80">
        <f>Timeline!BK$11*Products!$E$23</f>
        <v/>
      </c>
      <c r="BL59" s="80">
        <f>Timeline!BL$11*Products!$E$23</f>
        <v/>
      </c>
    </row>
    <row r="60">
      <c r="A60" s="98" t="inlineStr">
        <is>
          <t>Price-indexed units (units x price index)</t>
        </is>
      </c>
      <c r="B60" s="65" t="inlineStr">
        <is>
          <t>units</t>
        </is>
      </c>
      <c r="C60" s="105">
        <f>SUM(E60:BL60)</f>
        <v/>
      </c>
      <c r="E60" s="80">
        <f>E59*Timeline!E$10</f>
        <v/>
      </c>
      <c r="F60" s="80">
        <f>F59*Timeline!F$10</f>
        <v/>
      </c>
      <c r="G60" s="80">
        <f>G59*Timeline!G$10</f>
        <v/>
      </c>
      <c r="H60" s="80">
        <f>H59*Timeline!H$10</f>
        <v/>
      </c>
      <c r="I60" s="80">
        <f>I59*Timeline!I$10</f>
        <v/>
      </c>
      <c r="J60" s="80">
        <f>J59*Timeline!J$10</f>
        <v/>
      </c>
      <c r="K60" s="80">
        <f>K59*Timeline!K$10</f>
        <v/>
      </c>
      <c r="L60" s="80">
        <f>L59*Timeline!L$10</f>
        <v/>
      </c>
      <c r="M60" s="80">
        <f>M59*Timeline!M$10</f>
        <v/>
      </c>
      <c r="N60" s="80">
        <f>N59*Timeline!N$10</f>
        <v/>
      </c>
      <c r="O60" s="80">
        <f>O59*Timeline!O$10</f>
        <v/>
      </c>
      <c r="P60" s="80">
        <f>P59*Timeline!P$10</f>
        <v/>
      </c>
      <c r="Q60" s="80">
        <f>Q59*Timeline!Q$10</f>
        <v/>
      </c>
      <c r="R60" s="80">
        <f>R59*Timeline!R$10</f>
        <v/>
      </c>
      <c r="S60" s="80">
        <f>S59*Timeline!S$10</f>
        <v/>
      </c>
      <c r="T60" s="80">
        <f>T59*Timeline!T$10</f>
        <v/>
      </c>
      <c r="U60" s="80">
        <f>U59*Timeline!U$10</f>
        <v/>
      </c>
      <c r="V60" s="80">
        <f>V59*Timeline!V$10</f>
        <v/>
      </c>
      <c r="W60" s="80">
        <f>W59*Timeline!W$10</f>
        <v/>
      </c>
      <c r="X60" s="80">
        <f>X59*Timeline!X$10</f>
        <v/>
      </c>
      <c r="Y60" s="80">
        <f>Y59*Timeline!Y$10</f>
        <v/>
      </c>
      <c r="Z60" s="80">
        <f>Z59*Timeline!Z$10</f>
        <v/>
      </c>
      <c r="AA60" s="80">
        <f>AA59*Timeline!AA$10</f>
        <v/>
      </c>
      <c r="AB60" s="80">
        <f>AB59*Timeline!AB$10</f>
        <v/>
      </c>
      <c r="AC60" s="80">
        <f>AC59*Timeline!AC$10</f>
        <v/>
      </c>
      <c r="AD60" s="80">
        <f>AD59*Timeline!AD$10</f>
        <v/>
      </c>
      <c r="AE60" s="80">
        <f>AE59*Timeline!AE$10</f>
        <v/>
      </c>
      <c r="AF60" s="80">
        <f>AF59*Timeline!AF$10</f>
        <v/>
      </c>
      <c r="AG60" s="80">
        <f>AG59*Timeline!AG$10</f>
        <v/>
      </c>
      <c r="AH60" s="80">
        <f>AH59*Timeline!AH$10</f>
        <v/>
      </c>
      <c r="AI60" s="80">
        <f>AI59*Timeline!AI$10</f>
        <v/>
      </c>
      <c r="AJ60" s="80">
        <f>AJ59*Timeline!AJ$10</f>
        <v/>
      </c>
      <c r="AK60" s="80">
        <f>AK59*Timeline!AK$10</f>
        <v/>
      </c>
      <c r="AL60" s="80">
        <f>AL59*Timeline!AL$10</f>
        <v/>
      </c>
      <c r="AM60" s="80">
        <f>AM59*Timeline!AM$10</f>
        <v/>
      </c>
      <c r="AN60" s="80">
        <f>AN59*Timeline!AN$10</f>
        <v/>
      </c>
      <c r="AO60" s="80">
        <f>AO59*Timeline!AO$10</f>
        <v/>
      </c>
      <c r="AP60" s="80">
        <f>AP59*Timeline!AP$10</f>
        <v/>
      </c>
      <c r="AQ60" s="80">
        <f>AQ59*Timeline!AQ$10</f>
        <v/>
      </c>
      <c r="AR60" s="80">
        <f>AR59*Timeline!AR$10</f>
        <v/>
      </c>
      <c r="AS60" s="80">
        <f>AS59*Timeline!AS$10</f>
        <v/>
      </c>
      <c r="AT60" s="80">
        <f>AT59*Timeline!AT$10</f>
        <v/>
      </c>
      <c r="AU60" s="80">
        <f>AU59*Timeline!AU$10</f>
        <v/>
      </c>
      <c r="AV60" s="80">
        <f>AV59*Timeline!AV$10</f>
        <v/>
      </c>
      <c r="AW60" s="80">
        <f>AW59*Timeline!AW$10</f>
        <v/>
      </c>
      <c r="AX60" s="80">
        <f>AX59*Timeline!AX$10</f>
        <v/>
      </c>
      <c r="AY60" s="80">
        <f>AY59*Timeline!AY$10</f>
        <v/>
      </c>
      <c r="AZ60" s="80">
        <f>AZ59*Timeline!AZ$10</f>
        <v/>
      </c>
      <c r="BA60" s="80">
        <f>BA59*Timeline!BA$10</f>
        <v/>
      </c>
      <c r="BB60" s="80">
        <f>BB59*Timeline!BB$10</f>
        <v/>
      </c>
      <c r="BC60" s="80">
        <f>BC59*Timeline!BC$10</f>
        <v/>
      </c>
      <c r="BD60" s="80">
        <f>BD59*Timeline!BD$10</f>
        <v/>
      </c>
      <c r="BE60" s="80">
        <f>BE59*Timeline!BE$10</f>
        <v/>
      </c>
      <c r="BF60" s="80">
        <f>BF59*Timeline!BF$10</f>
        <v/>
      </c>
      <c r="BG60" s="80">
        <f>BG59*Timeline!BG$10</f>
        <v/>
      </c>
      <c r="BH60" s="80">
        <f>BH59*Timeline!BH$10</f>
        <v/>
      </c>
      <c r="BI60" s="80">
        <f>BI59*Timeline!BI$10</f>
        <v/>
      </c>
      <c r="BJ60" s="80">
        <f>BJ59*Timeline!BJ$10</f>
        <v/>
      </c>
      <c r="BK60" s="80">
        <f>BK59*Timeline!BK$10</f>
        <v/>
      </c>
      <c r="BL60" s="80">
        <f>BL59*Timeline!BL$10</f>
        <v/>
      </c>
    </row>
    <row r="61">
      <c r="A61" s="98" t="inlineStr">
        <is>
          <t>Down payments collected</t>
        </is>
      </c>
      <c r="B61" s="65" t="inlineStr">
        <is>
          <t>LCY</t>
        </is>
      </c>
      <c r="C61" s="105">
        <f>SUM(E61:BL61)</f>
        <v/>
      </c>
      <c r="E61" s="80">
        <f>E60*Products!$E$14</f>
        <v/>
      </c>
      <c r="F61" s="80">
        <f>F60*Products!$E$14</f>
        <v/>
      </c>
      <c r="G61" s="80">
        <f>G60*Products!$E$14</f>
        <v/>
      </c>
      <c r="H61" s="80">
        <f>H60*Products!$E$14</f>
        <v/>
      </c>
      <c r="I61" s="80">
        <f>I60*Products!$E$14</f>
        <v/>
      </c>
      <c r="J61" s="80">
        <f>J60*Products!$E$14</f>
        <v/>
      </c>
      <c r="K61" s="80">
        <f>K60*Products!$E$14</f>
        <v/>
      </c>
      <c r="L61" s="80">
        <f>L60*Products!$E$14</f>
        <v/>
      </c>
      <c r="M61" s="80">
        <f>M60*Products!$E$14</f>
        <v/>
      </c>
      <c r="N61" s="80">
        <f>N60*Products!$E$14</f>
        <v/>
      </c>
      <c r="O61" s="80">
        <f>O60*Products!$E$14</f>
        <v/>
      </c>
      <c r="P61" s="80">
        <f>P60*Products!$E$14</f>
        <v/>
      </c>
      <c r="Q61" s="80">
        <f>Q60*Products!$E$14</f>
        <v/>
      </c>
      <c r="R61" s="80">
        <f>R60*Products!$E$14</f>
        <v/>
      </c>
      <c r="S61" s="80">
        <f>S60*Products!$E$14</f>
        <v/>
      </c>
      <c r="T61" s="80">
        <f>T60*Products!$E$14</f>
        <v/>
      </c>
      <c r="U61" s="80">
        <f>U60*Products!$E$14</f>
        <v/>
      </c>
      <c r="V61" s="80">
        <f>V60*Products!$E$14</f>
        <v/>
      </c>
      <c r="W61" s="80">
        <f>W60*Products!$E$14</f>
        <v/>
      </c>
      <c r="X61" s="80">
        <f>X60*Products!$E$14</f>
        <v/>
      </c>
      <c r="Y61" s="80">
        <f>Y60*Products!$E$14</f>
        <v/>
      </c>
      <c r="Z61" s="80">
        <f>Z60*Products!$E$14</f>
        <v/>
      </c>
      <c r="AA61" s="80">
        <f>AA60*Products!$E$14</f>
        <v/>
      </c>
      <c r="AB61" s="80">
        <f>AB60*Products!$E$14</f>
        <v/>
      </c>
      <c r="AC61" s="80">
        <f>AC60*Products!$E$14</f>
        <v/>
      </c>
      <c r="AD61" s="80">
        <f>AD60*Products!$E$14</f>
        <v/>
      </c>
      <c r="AE61" s="80">
        <f>AE60*Products!$E$14</f>
        <v/>
      </c>
      <c r="AF61" s="80">
        <f>AF60*Products!$E$14</f>
        <v/>
      </c>
      <c r="AG61" s="80">
        <f>AG60*Products!$E$14</f>
        <v/>
      </c>
      <c r="AH61" s="80">
        <f>AH60*Products!$E$14</f>
        <v/>
      </c>
      <c r="AI61" s="80">
        <f>AI60*Products!$E$14</f>
        <v/>
      </c>
      <c r="AJ61" s="80">
        <f>AJ60*Products!$E$14</f>
        <v/>
      </c>
      <c r="AK61" s="80">
        <f>AK60*Products!$E$14</f>
        <v/>
      </c>
      <c r="AL61" s="80">
        <f>AL60*Products!$E$14</f>
        <v/>
      </c>
      <c r="AM61" s="80">
        <f>AM60*Products!$E$14</f>
        <v/>
      </c>
      <c r="AN61" s="80">
        <f>AN60*Products!$E$14</f>
        <v/>
      </c>
      <c r="AO61" s="80">
        <f>AO60*Products!$E$14</f>
        <v/>
      </c>
      <c r="AP61" s="80">
        <f>AP60*Products!$E$14</f>
        <v/>
      </c>
      <c r="AQ61" s="80">
        <f>AQ60*Products!$E$14</f>
        <v/>
      </c>
      <c r="AR61" s="80">
        <f>AR60*Products!$E$14</f>
        <v/>
      </c>
      <c r="AS61" s="80">
        <f>AS60*Products!$E$14</f>
        <v/>
      </c>
      <c r="AT61" s="80">
        <f>AT60*Products!$E$14</f>
        <v/>
      </c>
      <c r="AU61" s="80">
        <f>AU60*Products!$E$14</f>
        <v/>
      </c>
      <c r="AV61" s="80">
        <f>AV60*Products!$E$14</f>
        <v/>
      </c>
      <c r="AW61" s="80">
        <f>AW60*Products!$E$14</f>
        <v/>
      </c>
      <c r="AX61" s="80">
        <f>AX60*Products!$E$14</f>
        <v/>
      </c>
      <c r="AY61" s="80">
        <f>AY60*Products!$E$14</f>
        <v/>
      </c>
      <c r="AZ61" s="80">
        <f>AZ60*Products!$E$14</f>
        <v/>
      </c>
      <c r="BA61" s="80">
        <f>BA60*Products!$E$14</f>
        <v/>
      </c>
      <c r="BB61" s="80">
        <f>BB60*Products!$E$14</f>
        <v/>
      </c>
      <c r="BC61" s="80">
        <f>BC60*Products!$E$14</f>
        <v/>
      </c>
      <c r="BD61" s="80">
        <f>BD60*Products!$E$14</f>
        <v/>
      </c>
      <c r="BE61" s="80">
        <f>BE60*Products!$E$14</f>
        <v/>
      </c>
      <c r="BF61" s="80">
        <f>BF60*Products!$E$14</f>
        <v/>
      </c>
      <c r="BG61" s="80">
        <f>BG60*Products!$E$14</f>
        <v/>
      </c>
      <c r="BH61" s="80">
        <f>BH60*Products!$E$14</f>
        <v/>
      </c>
      <c r="BI61" s="80">
        <f>BI60*Products!$E$14</f>
        <v/>
      </c>
      <c r="BJ61" s="80">
        <f>BJ60*Products!$E$14</f>
        <v/>
      </c>
      <c r="BK61" s="80">
        <f>BK60*Products!$E$14</f>
        <v/>
      </c>
      <c r="BL61" s="80">
        <f>BL60*Products!$E$14</f>
        <v/>
      </c>
    </row>
    <row r="62">
      <c r="A62" s="98" t="inlineStr">
        <is>
          <t>Hardware revenue (cash price)</t>
        </is>
      </c>
      <c r="B62" s="65" t="inlineStr">
        <is>
          <t>LCY</t>
        </is>
      </c>
      <c r="C62" s="105">
        <f>SUM(E62:BL62)</f>
        <v/>
      </c>
      <c r="E62" s="80">
        <f>E60*Products!$E$13</f>
        <v/>
      </c>
      <c r="F62" s="80">
        <f>F60*Products!$E$13</f>
        <v/>
      </c>
      <c r="G62" s="80">
        <f>G60*Products!$E$13</f>
        <v/>
      </c>
      <c r="H62" s="80">
        <f>H60*Products!$E$13</f>
        <v/>
      </c>
      <c r="I62" s="80">
        <f>I60*Products!$E$13</f>
        <v/>
      </c>
      <c r="J62" s="80">
        <f>J60*Products!$E$13</f>
        <v/>
      </c>
      <c r="K62" s="80">
        <f>K60*Products!$E$13</f>
        <v/>
      </c>
      <c r="L62" s="80">
        <f>L60*Products!$E$13</f>
        <v/>
      </c>
      <c r="M62" s="80">
        <f>M60*Products!$E$13</f>
        <v/>
      </c>
      <c r="N62" s="80">
        <f>N60*Products!$E$13</f>
        <v/>
      </c>
      <c r="O62" s="80">
        <f>O60*Products!$E$13</f>
        <v/>
      </c>
      <c r="P62" s="80">
        <f>P60*Products!$E$13</f>
        <v/>
      </c>
      <c r="Q62" s="80">
        <f>Q60*Products!$E$13</f>
        <v/>
      </c>
      <c r="R62" s="80">
        <f>R60*Products!$E$13</f>
        <v/>
      </c>
      <c r="S62" s="80">
        <f>S60*Products!$E$13</f>
        <v/>
      </c>
      <c r="T62" s="80">
        <f>T60*Products!$E$13</f>
        <v/>
      </c>
      <c r="U62" s="80">
        <f>U60*Products!$E$13</f>
        <v/>
      </c>
      <c r="V62" s="80">
        <f>V60*Products!$E$13</f>
        <v/>
      </c>
      <c r="W62" s="80">
        <f>W60*Products!$E$13</f>
        <v/>
      </c>
      <c r="X62" s="80">
        <f>X60*Products!$E$13</f>
        <v/>
      </c>
      <c r="Y62" s="80">
        <f>Y60*Products!$E$13</f>
        <v/>
      </c>
      <c r="Z62" s="80">
        <f>Z60*Products!$E$13</f>
        <v/>
      </c>
      <c r="AA62" s="80">
        <f>AA60*Products!$E$13</f>
        <v/>
      </c>
      <c r="AB62" s="80">
        <f>AB60*Products!$E$13</f>
        <v/>
      </c>
      <c r="AC62" s="80">
        <f>AC60*Products!$E$13</f>
        <v/>
      </c>
      <c r="AD62" s="80">
        <f>AD60*Products!$E$13</f>
        <v/>
      </c>
      <c r="AE62" s="80">
        <f>AE60*Products!$E$13</f>
        <v/>
      </c>
      <c r="AF62" s="80">
        <f>AF60*Products!$E$13</f>
        <v/>
      </c>
      <c r="AG62" s="80">
        <f>AG60*Products!$E$13</f>
        <v/>
      </c>
      <c r="AH62" s="80">
        <f>AH60*Products!$E$13</f>
        <v/>
      </c>
      <c r="AI62" s="80">
        <f>AI60*Products!$E$13</f>
        <v/>
      </c>
      <c r="AJ62" s="80">
        <f>AJ60*Products!$E$13</f>
        <v/>
      </c>
      <c r="AK62" s="80">
        <f>AK60*Products!$E$13</f>
        <v/>
      </c>
      <c r="AL62" s="80">
        <f>AL60*Products!$E$13</f>
        <v/>
      </c>
      <c r="AM62" s="80">
        <f>AM60*Products!$E$13</f>
        <v/>
      </c>
      <c r="AN62" s="80">
        <f>AN60*Products!$E$13</f>
        <v/>
      </c>
      <c r="AO62" s="80">
        <f>AO60*Products!$E$13</f>
        <v/>
      </c>
      <c r="AP62" s="80">
        <f>AP60*Products!$E$13</f>
        <v/>
      </c>
      <c r="AQ62" s="80">
        <f>AQ60*Products!$E$13</f>
        <v/>
      </c>
      <c r="AR62" s="80">
        <f>AR60*Products!$E$13</f>
        <v/>
      </c>
      <c r="AS62" s="80">
        <f>AS60*Products!$E$13</f>
        <v/>
      </c>
      <c r="AT62" s="80">
        <f>AT60*Products!$E$13</f>
        <v/>
      </c>
      <c r="AU62" s="80">
        <f>AU60*Products!$E$13</f>
        <v/>
      </c>
      <c r="AV62" s="80">
        <f>AV60*Products!$E$13</f>
        <v/>
      </c>
      <c r="AW62" s="80">
        <f>AW60*Products!$E$13</f>
        <v/>
      </c>
      <c r="AX62" s="80">
        <f>AX60*Products!$E$13</f>
        <v/>
      </c>
      <c r="AY62" s="80">
        <f>AY60*Products!$E$13</f>
        <v/>
      </c>
      <c r="AZ62" s="80">
        <f>AZ60*Products!$E$13</f>
        <v/>
      </c>
      <c r="BA62" s="80">
        <f>BA60*Products!$E$13</f>
        <v/>
      </c>
      <c r="BB62" s="80">
        <f>BB60*Products!$E$13</f>
        <v/>
      </c>
      <c r="BC62" s="80">
        <f>BC60*Products!$E$13</f>
        <v/>
      </c>
      <c r="BD62" s="80">
        <f>BD60*Products!$E$13</f>
        <v/>
      </c>
      <c r="BE62" s="80">
        <f>BE60*Products!$E$13</f>
        <v/>
      </c>
      <c r="BF62" s="80">
        <f>BF60*Products!$E$13</f>
        <v/>
      </c>
      <c r="BG62" s="80">
        <f>BG60*Products!$E$13</f>
        <v/>
      </c>
      <c r="BH62" s="80">
        <f>BH60*Products!$E$13</f>
        <v/>
      </c>
      <c r="BI62" s="80">
        <f>BI60*Products!$E$13</f>
        <v/>
      </c>
      <c r="BJ62" s="80">
        <f>BJ60*Products!$E$13</f>
        <v/>
      </c>
      <c r="BK62" s="80">
        <f>BK60*Products!$E$13</f>
        <v/>
      </c>
      <c r="BL62" s="80">
        <f>BL60*Products!$E$13</f>
        <v/>
      </c>
    </row>
    <row r="63">
      <c r="A63" s="98" t="inlineStr">
        <is>
          <t>New PAYGo receivables originated</t>
        </is>
      </c>
      <c r="B63" s="65" t="inlineStr">
        <is>
          <t>LCY</t>
        </is>
      </c>
      <c r="C63" s="105">
        <f>SUM(E63:BL63)</f>
        <v/>
      </c>
      <c r="E63" s="80">
        <f>E60*Products!$E$38</f>
        <v/>
      </c>
      <c r="F63" s="80">
        <f>F60*Products!$E$38</f>
        <v/>
      </c>
      <c r="G63" s="80">
        <f>G60*Products!$E$38</f>
        <v/>
      </c>
      <c r="H63" s="80">
        <f>H60*Products!$E$38</f>
        <v/>
      </c>
      <c r="I63" s="80">
        <f>I60*Products!$E$38</f>
        <v/>
      </c>
      <c r="J63" s="80">
        <f>J60*Products!$E$38</f>
        <v/>
      </c>
      <c r="K63" s="80">
        <f>K60*Products!$E$38</f>
        <v/>
      </c>
      <c r="L63" s="80">
        <f>L60*Products!$E$38</f>
        <v/>
      </c>
      <c r="M63" s="80">
        <f>M60*Products!$E$38</f>
        <v/>
      </c>
      <c r="N63" s="80">
        <f>N60*Products!$E$38</f>
        <v/>
      </c>
      <c r="O63" s="80">
        <f>O60*Products!$E$38</f>
        <v/>
      </c>
      <c r="P63" s="80">
        <f>P60*Products!$E$38</f>
        <v/>
      </c>
      <c r="Q63" s="80">
        <f>Q60*Products!$E$38</f>
        <v/>
      </c>
      <c r="R63" s="80">
        <f>R60*Products!$E$38</f>
        <v/>
      </c>
      <c r="S63" s="80">
        <f>S60*Products!$E$38</f>
        <v/>
      </c>
      <c r="T63" s="80">
        <f>T60*Products!$E$38</f>
        <v/>
      </c>
      <c r="U63" s="80">
        <f>U60*Products!$E$38</f>
        <v/>
      </c>
      <c r="V63" s="80">
        <f>V60*Products!$E$38</f>
        <v/>
      </c>
      <c r="W63" s="80">
        <f>W60*Products!$E$38</f>
        <v/>
      </c>
      <c r="X63" s="80">
        <f>X60*Products!$E$38</f>
        <v/>
      </c>
      <c r="Y63" s="80">
        <f>Y60*Products!$E$38</f>
        <v/>
      </c>
      <c r="Z63" s="80">
        <f>Z60*Products!$E$38</f>
        <v/>
      </c>
      <c r="AA63" s="80">
        <f>AA60*Products!$E$38</f>
        <v/>
      </c>
      <c r="AB63" s="80">
        <f>AB60*Products!$E$38</f>
        <v/>
      </c>
      <c r="AC63" s="80">
        <f>AC60*Products!$E$38</f>
        <v/>
      </c>
      <c r="AD63" s="80">
        <f>AD60*Products!$E$38</f>
        <v/>
      </c>
      <c r="AE63" s="80">
        <f>AE60*Products!$E$38</f>
        <v/>
      </c>
      <c r="AF63" s="80">
        <f>AF60*Products!$E$38</f>
        <v/>
      </c>
      <c r="AG63" s="80">
        <f>AG60*Products!$E$38</f>
        <v/>
      </c>
      <c r="AH63" s="80">
        <f>AH60*Products!$E$38</f>
        <v/>
      </c>
      <c r="AI63" s="80">
        <f>AI60*Products!$E$38</f>
        <v/>
      </c>
      <c r="AJ63" s="80">
        <f>AJ60*Products!$E$38</f>
        <v/>
      </c>
      <c r="AK63" s="80">
        <f>AK60*Products!$E$38</f>
        <v/>
      </c>
      <c r="AL63" s="80">
        <f>AL60*Products!$E$38</f>
        <v/>
      </c>
      <c r="AM63" s="80">
        <f>AM60*Products!$E$38</f>
        <v/>
      </c>
      <c r="AN63" s="80">
        <f>AN60*Products!$E$38</f>
        <v/>
      </c>
      <c r="AO63" s="80">
        <f>AO60*Products!$E$38</f>
        <v/>
      </c>
      <c r="AP63" s="80">
        <f>AP60*Products!$E$38</f>
        <v/>
      </c>
      <c r="AQ63" s="80">
        <f>AQ60*Products!$E$38</f>
        <v/>
      </c>
      <c r="AR63" s="80">
        <f>AR60*Products!$E$38</f>
        <v/>
      </c>
      <c r="AS63" s="80">
        <f>AS60*Products!$E$38</f>
        <v/>
      </c>
      <c r="AT63" s="80">
        <f>AT60*Products!$E$38</f>
        <v/>
      </c>
      <c r="AU63" s="80">
        <f>AU60*Products!$E$38</f>
        <v/>
      </c>
      <c r="AV63" s="80">
        <f>AV60*Products!$E$38</f>
        <v/>
      </c>
      <c r="AW63" s="80">
        <f>AW60*Products!$E$38</f>
        <v/>
      </c>
      <c r="AX63" s="80">
        <f>AX60*Products!$E$38</f>
        <v/>
      </c>
      <c r="AY63" s="80">
        <f>AY60*Products!$E$38</f>
        <v/>
      </c>
      <c r="AZ63" s="80">
        <f>AZ60*Products!$E$38</f>
        <v/>
      </c>
      <c r="BA63" s="80">
        <f>BA60*Products!$E$38</f>
        <v/>
      </c>
      <c r="BB63" s="80">
        <f>BB60*Products!$E$38</f>
        <v/>
      </c>
      <c r="BC63" s="80">
        <f>BC60*Products!$E$38</f>
        <v/>
      </c>
      <c r="BD63" s="80">
        <f>BD60*Products!$E$38</f>
        <v/>
      </c>
      <c r="BE63" s="80">
        <f>BE60*Products!$E$38</f>
        <v/>
      </c>
      <c r="BF63" s="80">
        <f>BF60*Products!$E$38</f>
        <v/>
      </c>
      <c r="BG63" s="80">
        <f>BG60*Products!$E$38</f>
        <v/>
      </c>
      <c r="BH63" s="80">
        <f>BH60*Products!$E$38</f>
        <v/>
      </c>
      <c r="BI63" s="80">
        <f>BI60*Products!$E$38</f>
        <v/>
      </c>
      <c r="BJ63" s="80">
        <f>BJ60*Products!$E$38</f>
        <v/>
      </c>
      <c r="BK63" s="80">
        <f>BK60*Products!$E$38</f>
        <v/>
      </c>
      <c r="BL63" s="80">
        <f>BL60*Products!$E$38</f>
        <v/>
      </c>
    </row>
    <row r="64">
      <c r="A64" s="98" t="inlineStr">
        <is>
          <t>Instalments due</t>
        </is>
      </c>
      <c r="B64" s="65" t="inlineStr">
        <is>
          <t>LCY</t>
        </is>
      </c>
      <c r="C64" s="105">
        <f>SUM(E64:BL64)</f>
        <v/>
      </c>
      <c r="E64" s="80">
        <f>Products!$E$33*SUMIFS($E$60:$BL$60,Timeline!$E$4:$BL$4,"&gt;="&amp;(E$4-Products!$E$16),Timeline!$E$4:$BL$4,"&lt;="&amp;(E$4-1))</f>
        <v/>
      </c>
      <c r="F64" s="80">
        <f>Products!$E$33*SUMIFS($E$60:$BL$60,Timeline!$E$4:$BL$4,"&gt;="&amp;(F$4-Products!$E$16),Timeline!$E$4:$BL$4,"&lt;="&amp;(F$4-1))</f>
        <v/>
      </c>
      <c r="G64" s="80">
        <f>Products!$E$33*SUMIFS($E$60:$BL$60,Timeline!$E$4:$BL$4,"&gt;="&amp;(G$4-Products!$E$16),Timeline!$E$4:$BL$4,"&lt;="&amp;(G$4-1))</f>
        <v/>
      </c>
      <c r="H64" s="80">
        <f>Products!$E$33*SUMIFS($E$60:$BL$60,Timeline!$E$4:$BL$4,"&gt;="&amp;(H$4-Products!$E$16),Timeline!$E$4:$BL$4,"&lt;="&amp;(H$4-1))</f>
        <v/>
      </c>
      <c r="I64" s="80">
        <f>Products!$E$33*SUMIFS($E$60:$BL$60,Timeline!$E$4:$BL$4,"&gt;="&amp;(I$4-Products!$E$16),Timeline!$E$4:$BL$4,"&lt;="&amp;(I$4-1))</f>
        <v/>
      </c>
      <c r="J64" s="80">
        <f>Products!$E$33*SUMIFS($E$60:$BL$60,Timeline!$E$4:$BL$4,"&gt;="&amp;(J$4-Products!$E$16),Timeline!$E$4:$BL$4,"&lt;="&amp;(J$4-1))</f>
        <v/>
      </c>
      <c r="K64" s="80">
        <f>Products!$E$33*SUMIFS($E$60:$BL$60,Timeline!$E$4:$BL$4,"&gt;="&amp;(K$4-Products!$E$16),Timeline!$E$4:$BL$4,"&lt;="&amp;(K$4-1))</f>
        <v/>
      </c>
      <c r="L64" s="80">
        <f>Products!$E$33*SUMIFS($E$60:$BL$60,Timeline!$E$4:$BL$4,"&gt;="&amp;(L$4-Products!$E$16),Timeline!$E$4:$BL$4,"&lt;="&amp;(L$4-1))</f>
        <v/>
      </c>
      <c r="M64" s="80">
        <f>Products!$E$33*SUMIFS($E$60:$BL$60,Timeline!$E$4:$BL$4,"&gt;="&amp;(M$4-Products!$E$16),Timeline!$E$4:$BL$4,"&lt;="&amp;(M$4-1))</f>
        <v/>
      </c>
      <c r="N64" s="80">
        <f>Products!$E$33*SUMIFS($E$60:$BL$60,Timeline!$E$4:$BL$4,"&gt;="&amp;(N$4-Products!$E$16),Timeline!$E$4:$BL$4,"&lt;="&amp;(N$4-1))</f>
        <v/>
      </c>
      <c r="O64" s="80">
        <f>Products!$E$33*SUMIFS($E$60:$BL$60,Timeline!$E$4:$BL$4,"&gt;="&amp;(O$4-Products!$E$16),Timeline!$E$4:$BL$4,"&lt;="&amp;(O$4-1))</f>
        <v/>
      </c>
      <c r="P64" s="80">
        <f>Products!$E$33*SUMIFS($E$60:$BL$60,Timeline!$E$4:$BL$4,"&gt;="&amp;(P$4-Products!$E$16),Timeline!$E$4:$BL$4,"&lt;="&amp;(P$4-1))</f>
        <v/>
      </c>
      <c r="Q64" s="80">
        <f>Products!$E$33*SUMIFS($E$60:$BL$60,Timeline!$E$4:$BL$4,"&gt;="&amp;(Q$4-Products!$E$16),Timeline!$E$4:$BL$4,"&lt;="&amp;(Q$4-1))</f>
        <v/>
      </c>
      <c r="R64" s="80">
        <f>Products!$E$33*SUMIFS($E$60:$BL$60,Timeline!$E$4:$BL$4,"&gt;="&amp;(R$4-Products!$E$16),Timeline!$E$4:$BL$4,"&lt;="&amp;(R$4-1))</f>
        <v/>
      </c>
      <c r="S64" s="80">
        <f>Products!$E$33*SUMIFS($E$60:$BL$60,Timeline!$E$4:$BL$4,"&gt;="&amp;(S$4-Products!$E$16),Timeline!$E$4:$BL$4,"&lt;="&amp;(S$4-1))</f>
        <v/>
      </c>
      <c r="T64" s="80">
        <f>Products!$E$33*SUMIFS($E$60:$BL$60,Timeline!$E$4:$BL$4,"&gt;="&amp;(T$4-Products!$E$16),Timeline!$E$4:$BL$4,"&lt;="&amp;(T$4-1))</f>
        <v/>
      </c>
      <c r="U64" s="80">
        <f>Products!$E$33*SUMIFS($E$60:$BL$60,Timeline!$E$4:$BL$4,"&gt;="&amp;(U$4-Products!$E$16),Timeline!$E$4:$BL$4,"&lt;="&amp;(U$4-1))</f>
        <v/>
      </c>
      <c r="V64" s="80">
        <f>Products!$E$33*SUMIFS($E$60:$BL$60,Timeline!$E$4:$BL$4,"&gt;="&amp;(V$4-Products!$E$16),Timeline!$E$4:$BL$4,"&lt;="&amp;(V$4-1))</f>
        <v/>
      </c>
      <c r="W64" s="80">
        <f>Products!$E$33*SUMIFS($E$60:$BL$60,Timeline!$E$4:$BL$4,"&gt;="&amp;(W$4-Products!$E$16),Timeline!$E$4:$BL$4,"&lt;="&amp;(W$4-1))</f>
        <v/>
      </c>
      <c r="X64" s="80">
        <f>Products!$E$33*SUMIFS($E$60:$BL$60,Timeline!$E$4:$BL$4,"&gt;="&amp;(X$4-Products!$E$16),Timeline!$E$4:$BL$4,"&lt;="&amp;(X$4-1))</f>
        <v/>
      </c>
      <c r="Y64" s="80">
        <f>Products!$E$33*SUMIFS($E$60:$BL$60,Timeline!$E$4:$BL$4,"&gt;="&amp;(Y$4-Products!$E$16),Timeline!$E$4:$BL$4,"&lt;="&amp;(Y$4-1))</f>
        <v/>
      </c>
      <c r="Z64" s="80">
        <f>Products!$E$33*SUMIFS($E$60:$BL$60,Timeline!$E$4:$BL$4,"&gt;="&amp;(Z$4-Products!$E$16),Timeline!$E$4:$BL$4,"&lt;="&amp;(Z$4-1))</f>
        <v/>
      </c>
      <c r="AA64" s="80">
        <f>Products!$E$33*SUMIFS($E$60:$BL$60,Timeline!$E$4:$BL$4,"&gt;="&amp;(AA$4-Products!$E$16),Timeline!$E$4:$BL$4,"&lt;="&amp;(AA$4-1))</f>
        <v/>
      </c>
      <c r="AB64" s="80">
        <f>Products!$E$33*SUMIFS($E$60:$BL$60,Timeline!$E$4:$BL$4,"&gt;="&amp;(AB$4-Products!$E$16),Timeline!$E$4:$BL$4,"&lt;="&amp;(AB$4-1))</f>
        <v/>
      </c>
      <c r="AC64" s="80">
        <f>Products!$E$33*SUMIFS($E$60:$BL$60,Timeline!$E$4:$BL$4,"&gt;="&amp;(AC$4-Products!$E$16),Timeline!$E$4:$BL$4,"&lt;="&amp;(AC$4-1))</f>
        <v/>
      </c>
      <c r="AD64" s="80">
        <f>Products!$E$33*SUMIFS($E$60:$BL$60,Timeline!$E$4:$BL$4,"&gt;="&amp;(AD$4-Products!$E$16),Timeline!$E$4:$BL$4,"&lt;="&amp;(AD$4-1))</f>
        <v/>
      </c>
      <c r="AE64" s="80">
        <f>Products!$E$33*SUMIFS($E$60:$BL$60,Timeline!$E$4:$BL$4,"&gt;="&amp;(AE$4-Products!$E$16),Timeline!$E$4:$BL$4,"&lt;="&amp;(AE$4-1))</f>
        <v/>
      </c>
      <c r="AF64" s="80">
        <f>Products!$E$33*SUMIFS($E$60:$BL$60,Timeline!$E$4:$BL$4,"&gt;="&amp;(AF$4-Products!$E$16),Timeline!$E$4:$BL$4,"&lt;="&amp;(AF$4-1))</f>
        <v/>
      </c>
      <c r="AG64" s="80">
        <f>Products!$E$33*SUMIFS($E$60:$BL$60,Timeline!$E$4:$BL$4,"&gt;="&amp;(AG$4-Products!$E$16),Timeline!$E$4:$BL$4,"&lt;="&amp;(AG$4-1))</f>
        <v/>
      </c>
      <c r="AH64" s="80">
        <f>Products!$E$33*SUMIFS($E$60:$BL$60,Timeline!$E$4:$BL$4,"&gt;="&amp;(AH$4-Products!$E$16),Timeline!$E$4:$BL$4,"&lt;="&amp;(AH$4-1))</f>
        <v/>
      </c>
      <c r="AI64" s="80">
        <f>Products!$E$33*SUMIFS($E$60:$BL$60,Timeline!$E$4:$BL$4,"&gt;="&amp;(AI$4-Products!$E$16),Timeline!$E$4:$BL$4,"&lt;="&amp;(AI$4-1))</f>
        <v/>
      </c>
      <c r="AJ64" s="80">
        <f>Products!$E$33*SUMIFS($E$60:$BL$60,Timeline!$E$4:$BL$4,"&gt;="&amp;(AJ$4-Products!$E$16),Timeline!$E$4:$BL$4,"&lt;="&amp;(AJ$4-1))</f>
        <v/>
      </c>
      <c r="AK64" s="80">
        <f>Products!$E$33*SUMIFS($E$60:$BL$60,Timeline!$E$4:$BL$4,"&gt;="&amp;(AK$4-Products!$E$16),Timeline!$E$4:$BL$4,"&lt;="&amp;(AK$4-1))</f>
        <v/>
      </c>
      <c r="AL64" s="80">
        <f>Products!$E$33*SUMIFS($E$60:$BL$60,Timeline!$E$4:$BL$4,"&gt;="&amp;(AL$4-Products!$E$16),Timeline!$E$4:$BL$4,"&lt;="&amp;(AL$4-1))</f>
        <v/>
      </c>
      <c r="AM64" s="80">
        <f>Products!$E$33*SUMIFS($E$60:$BL$60,Timeline!$E$4:$BL$4,"&gt;="&amp;(AM$4-Products!$E$16),Timeline!$E$4:$BL$4,"&lt;="&amp;(AM$4-1))</f>
        <v/>
      </c>
      <c r="AN64" s="80">
        <f>Products!$E$33*SUMIFS($E$60:$BL$60,Timeline!$E$4:$BL$4,"&gt;="&amp;(AN$4-Products!$E$16),Timeline!$E$4:$BL$4,"&lt;="&amp;(AN$4-1))</f>
        <v/>
      </c>
      <c r="AO64" s="80">
        <f>Products!$E$33*SUMIFS($E$60:$BL$60,Timeline!$E$4:$BL$4,"&gt;="&amp;(AO$4-Products!$E$16),Timeline!$E$4:$BL$4,"&lt;="&amp;(AO$4-1))</f>
        <v/>
      </c>
      <c r="AP64" s="80">
        <f>Products!$E$33*SUMIFS($E$60:$BL$60,Timeline!$E$4:$BL$4,"&gt;="&amp;(AP$4-Products!$E$16),Timeline!$E$4:$BL$4,"&lt;="&amp;(AP$4-1))</f>
        <v/>
      </c>
      <c r="AQ64" s="80">
        <f>Products!$E$33*SUMIFS($E$60:$BL$60,Timeline!$E$4:$BL$4,"&gt;="&amp;(AQ$4-Products!$E$16),Timeline!$E$4:$BL$4,"&lt;="&amp;(AQ$4-1))</f>
        <v/>
      </c>
      <c r="AR64" s="80">
        <f>Products!$E$33*SUMIFS($E$60:$BL$60,Timeline!$E$4:$BL$4,"&gt;="&amp;(AR$4-Products!$E$16),Timeline!$E$4:$BL$4,"&lt;="&amp;(AR$4-1))</f>
        <v/>
      </c>
      <c r="AS64" s="80">
        <f>Products!$E$33*SUMIFS($E$60:$BL$60,Timeline!$E$4:$BL$4,"&gt;="&amp;(AS$4-Products!$E$16),Timeline!$E$4:$BL$4,"&lt;="&amp;(AS$4-1))</f>
        <v/>
      </c>
      <c r="AT64" s="80">
        <f>Products!$E$33*SUMIFS($E$60:$BL$60,Timeline!$E$4:$BL$4,"&gt;="&amp;(AT$4-Products!$E$16),Timeline!$E$4:$BL$4,"&lt;="&amp;(AT$4-1))</f>
        <v/>
      </c>
      <c r="AU64" s="80">
        <f>Products!$E$33*SUMIFS($E$60:$BL$60,Timeline!$E$4:$BL$4,"&gt;="&amp;(AU$4-Products!$E$16),Timeline!$E$4:$BL$4,"&lt;="&amp;(AU$4-1))</f>
        <v/>
      </c>
      <c r="AV64" s="80">
        <f>Products!$E$33*SUMIFS($E$60:$BL$60,Timeline!$E$4:$BL$4,"&gt;="&amp;(AV$4-Products!$E$16),Timeline!$E$4:$BL$4,"&lt;="&amp;(AV$4-1))</f>
        <v/>
      </c>
      <c r="AW64" s="80">
        <f>Products!$E$33*SUMIFS($E$60:$BL$60,Timeline!$E$4:$BL$4,"&gt;="&amp;(AW$4-Products!$E$16),Timeline!$E$4:$BL$4,"&lt;="&amp;(AW$4-1))</f>
        <v/>
      </c>
      <c r="AX64" s="80">
        <f>Products!$E$33*SUMIFS($E$60:$BL$60,Timeline!$E$4:$BL$4,"&gt;="&amp;(AX$4-Products!$E$16),Timeline!$E$4:$BL$4,"&lt;="&amp;(AX$4-1))</f>
        <v/>
      </c>
      <c r="AY64" s="80">
        <f>Products!$E$33*SUMIFS($E$60:$BL$60,Timeline!$E$4:$BL$4,"&gt;="&amp;(AY$4-Products!$E$16),Timeline!$E$4:$BL$4,"&lt;="&amp;(AY$4-1))</f>
        <v/>
      </c>
      <c r="AZ64" s="80">
        <f>Products!$E$33*SUMIFS($E$60:$BL$60,Timeline!$E$4:$BL$4,"&gt;="&amp;(AZ$4-Products!$E$16),Timeline!$E$4:$BL$4,"&lt;="&amp;(AZ$4-1))</f>
        <v/>
      </c>
      <c r="BA64" s="80">
        <f>Products!$E$33*SUMIFS($E$60:$BL$60,Timeline!$E$4:$BL$4,"&gt;="&amp;(BA$4-Products!$E$16),Timeline!$E$4:$BL$4,"&lt;="&amp;(BA$4-1))</f>
        <v/>
      </c>
      <c r="BB64" s="80">
        <f>Products!$E$33*SUMIFS($E$60:$BL$60,Timeline!$E$4:$BL$4,"&gt;="&amp;(BB$4-Products!$E$16),Timeline!$E$4:$BL$4,"&lt;="&amp;(BB$4-1))</f>
        <v/>
      </c>
      <c r="BC64" s="80">
        <f>Products!$E$33*SUMIFS($E$60:$BL$60,Timeline!$E$4:$BL$4,"&gt;="&amp;(BC$4-Products!$E$16),Timeline!$E$4:$BL$4,"&lt;="&amp;(BC$4-1))</f>
        <v/>
      </c>
      <c r="BD64" s="80">
        <f>Products!$E$33*SUMIFS($E$60:$BL$60,Timeline!$E$4:$BL$4,"&gt;="&amp;(BD$4-Products!$E$16),Timeline!$E$4:$BL$4,"&lt;="&amp;(BD$4-1))</f>
        <v/>
      </c>
      <c r="BE64" s="80">
        <f>Products!$E$33*SUMIFS($E$60:$BL$60,Timeline!$E$4:$BL$4,"&gt;="&amp;(BE$4-Products!$E$16),Timeline!$E$4:$BL$4,"&lt;="&amp;(BE$4-1))</f>
        <v/>
      </c>
      <c r="BF64" s="80">
        <f>Products!$E$33*SUMIFS($E$60:$BL$60,Timeline!$E$4:$BL$4,"&gt;="&amp;(BF$4-Products!$E$16),Timeline!$E$4:$BL$4,"&lt;="&amp;(BF$4-1))</f>
        <v/>
      </c>
      <c r="BG64" s="80">
        <f>Products!$E$33*SUMIFS($E$60:$BL$60,Timeline!$E$4:$BL$4,"&gt;="&amp;(BG$4-Products!$E$16),Timeline!$E$4:$BL$4,"&lt;="&amp;(BG$4-1))</f>
        <v/>
      </c>
      <c r="BH64" s="80">
        <f>Products!$E$33*SUMIFS($E$60:$BL$60,Timeline!$E$4:$BL$4,"&gt;="&amp;(BH$4-Products!$E$16),Timeline!$E$4:$BL$4,"&lt;="&amp;(BH$4-1))</f>
        <v/>
      </c>
      <c r="BI64" s="80">
        <f>Products!$E$33*SUMIFS($E$60:$BL$60,Timeline!$E$4:$BL$4,"&gt;="&amp;(BI$4-Products!$E$16),Timeline!$E$4:$BL$4,"&lt;="&amp;(BI$4-1))</f>
        <v/>
      </c>
      <c r="BJ64" s="80">
        <f>Products!$E$33*SUMIFS($E$60:$BL$60,Timeline!$E$4:$BL$4,"&gt;="&amp;(BJ$4-Products!$E$16),Timeline!$E$4:$BL$4,"&lt;="&amp;(BJ$4-1))</f>
        <v/>
      </c>
      <c r="BK64" s="80">
        <f>Products!$E$33*SUMIFS($E$60:$BL$60,Timeline!$E$4:$BL$4,"&gt;="&amp;(BK$4-Products!$E$16),Timeline!$E$4:$BL$4,"&lt;="&amp;(BK$4-1))</f>
        <v/>
      </c>
      <c r="BL64" s="80">
        <f>Products!$E$33*SUMIFS($E$60:$BL$60,Timeline!$E$4:$BL$4,"&gt;="&amp;(BL$4-Products!$E$16),Timeline!$E$4:$BL$4,"&lt;="&amp;(BL$4-1))</f>
        <v/>
      </c>
    </row>
    <row r="65">
      <c r="A65" s="98" t="inlineStr">
        <is>
          <t>Instalments collected</t>
        </is>
      </c>
      <c r="B65" s="65" t="inlineStr">
        <is>
          <t>LCY</t>
        </is>
      </c>
      <c r="C65" s="105">
        <f>SUM(E65:BL65)</f>
        <v/>
      </c>
      <c r="E65" s="41">
        <f>Cohort_T3!E$9</f>
        <v/>
      </c>
      <c r="F65" s="41">
        <f>Cohort_T3!F$9</f>
        <v/>
      </c>
      <c r="G65" s="41">
        <f>Cohort_T3!G$9</f>
        <v/>
      </c>
      <c r="H65" s="41">
        <f>Cohort_T3!H$9</f>
        <v/>
      </c>
      <c r="I65" s="41">
        <f>Cohort_T3!I$9</f>
        <v/>
      </c>
      <c r="J65" s="41">
        <f>Cohort_T3!J$9</f>
        <v/>
      </c>
      <c r="K65" s="41">
        <f>Cohort_T3!K$9</f>
        <v/>
      </c>
      <c r="L65" s="41">
        <f>Cohort_T3!L$9</f>
        <v/>
      </c>
      <c r="M65" s="41">
        <f>Cohort_T3!M$9</f>
        <v/>
      </c>
      <c r="N65" s="41">
        <f>Cohort_T3!N$9</f>
        <v/>
      </c>
      <c r="O65" s="41">
        <f>Cohort_T3!O$9</f>
        <v/>
      </c>
      <c r="P65" s="41">
        <f>Cohort_T3!P$9</f>
        <v/>
      </c>
      <c r="Q65" s="41">
        <f>Cohort_T3!Q$9</f>
        <v/>
      </c>
      <c r="R65" s="41">
        <f>Cohort_T3!R$9</f>
        <v/>
      </c>
      <c r="S65" s="41">
        <f>Cohort_T3!S$9</f>
        <v/>
      </c>
      <c r="T65" s="41">
        <f>Cohort_T3!T$9</f>
        <v/>
      </c>
      <c r="U65" s="41">
        <f>Cohort_T3!U$9</f>
        <v/>
      </c>
      <c r="V65" s="41">
        <f>Cohort_T3!V$9</f>
        <v/>
      </c>
      <c r="W65" s="41">
        <f>Cohort_T3!W$9</f>
        <v/>
      </c>
      <c r="X65" s="41">
        <f>Cohort_T3!X$9</f>
        <v/>
      </c>
      <c r="Y65" s="41">
        <f>Cohort_T3!Y$9</f>
        <v/>
      </c>
      <c r="Z65" s="41">
        <f>Cohort_T3!Z$9</f>
        <v/>
      </c>
      <c r="AA65" s="41">
        <f>Cohort_T3!AA$9</f>
        <v/>
      </c>
      <c r="AB65" s="41">
        <f>Cohort_T3!AB$9</f>
        <v/>
      </c>
      <c r="AC65" s="41">
        <f>Cohort_T3!AC$9</f>
        <v/>
      </c>
      <c r="AD65" s="41">
        <f>Cohort_T3!AD$9</f>
        <v/>
      </c>
      <c r="AE65" s="41">
        <f>Cohort_T3!AE$9</f>
        <v/>
      </c>
      <c r="AF65" s="41">
        <f>Cohort_T3!AF$9</f>
        <v/>
      </c>
      <c r="AG65" s="41">
        <f>Cohort_T3!AG$9</f>
        <v/>
      </c>
      <c r="AH65" s="41">
        <f>Cohort_T3!AH$9</f>
        <v/>
      </c>
      <c r="AI65" s="41">
        <f>Cohort_T3!AI$9</f>
        <v/>
      </c>
      <c r="AJ65" s="41">
        <f>Cohort_T3!AJ$9</f>
        <v/>
      </c>
      <c r="AK65" s="41">
        <f>Cohort_T3!AK$9</f>
        <v/>
      </c>
      <c r="AL65" s="41">
        <f>Cohort_T3!AL$9</f>
        <v/>
      </c>
      <c r="AM65" s="41">
        <f>Cohort_T3!AM$9</f>
        <v/>
      </c>
      <c r="AN65" s="41">
        <f>Cohort_T3!AN$9</f>
        <v/>
      </c>
      <c r="AO65" s="41">
        <f>Cohort_T3!AO$9</f>
        <v/>
      </c>
      <c r="AP65" s="41">
        <f>Cohort_T3!AP$9</f>
        <v/>
      </c>
      <c r="AQ65" s="41">
        <f>Cohort_T3!AQ$9</f>
        <v/>
      </c>
      <c r="AR65" s="41">
        <f>Cohort_T3!AR$9</f>
        <v/>
      </c>
      <c r="AS65" s="41">
        <f>Cohort_T3!AS$9</f>
        <v/>
      </c>
      <c r="AT65" s="41">
        <f>Cohort_T3!AT$9</f>
        <v/>
      </c>
      <c r="AU65" s="41">
        <f>Cohort_T3!AU$9</f>
        <v/>
      </c>
      <c r="AV65" s="41">
        <f>Cohort_T3!AV$9</f>
        <v/>
      </c>
      <c r="AW65" s="41">
        <f>Cohort_T3!AW$9</f>
        <v/>
      </c>
      <c r="AX65" s="41">
        <f>Cohort_T3!AX$9</f>
        <v/>
      </c>
      <c r="AY65" s="41">
        <f>Cohort_T3!AY$9</f>
        <v/>
      </c>
      <c r="AZ65" s="41">
        <f>Cohort_T3!AZ$9</f>
        <v/>
      </c>
      <c r="BA65" s="41">
        <f>Cohort_T3!BA$9</f>
        <v/>
      </c>
      <c r="BB65" s="41">
        <f>Cohort_T3!BB$9</f>
        <v/>
      </c>
      <c r="BC65" s="41">
        <f>Cohort_T3!BC$9</f>
        <v/>
      </c>
      <c r="BD65" s="41">
        <f>Cohort_T3!BD$9</f>
        <v/>
      </c>
      <c r="BE65" s="41">
        <f>Cohort_T3!BE$9</f>
        <v/>
      </c>
      <c r="BF65" s="41">
        <f>Cohort_T3!BF$9</f>
        <v/>
      </c>
      <c r="BG65" s="41">
        <f>Cohort_T3!BG$9</f>
        <v/>
      </c>
      <c r="BH65" s="41">
        <f>Cohort_T3!BH$9</f>
        <v/>
      </c>
      <c r="BI65" s="41">
        <f>Cohort_T3!BI$9</f>
        <v/>
      </c>
      <c r="BJ65" s="41">
        <f>Cohort_T3!BJ$9</f>
        <v/>
      </c>
      <c r="BK65" s="41">
        <f>Cohort_T3!BK$9</f>
        <v/>
      </c>
      <c r="BL65" s="41">
        <f>Cohort_T3!BL$9</f>
        <v/>
      </c>
    </row>
    <row r="66">
      <c r="A66" s="98" t="inlineStr">
        <is>
          <t>Missed instalments written off</t>
        </is>
      </c>
      <c r="B66" s="65" t="inlineStr">
        <is>
          <t>LCY</t>
        </is>
      </c>
      <c r="C66" s="105">
        <f>SUM(E66:BL66)</f>
        <v/>
      </c>
      <c r="E66" s="80">
        <f>E64-E65</f>
        <v/>
      </c>
      <c r="F66" s="80">
        <f>F64-F65</f>
        <v/>
      </c>
      <c r="G66" s="80">
        <f>G64-G65</f>
        <v/>
      </c>
      <c r="H66" s="80">
        <f>H64-H65</f>
        <v/>
      </c>
      <c r="I66" s="80">
        <f>I64-I65</f>
        <v/>
      </c>
      <c r="J66" s="80">
        <f>J64-J65</f>
        <v/>
      </c>
      <c r="K66" s="80">
        <f>K64-K65</f>
        <v/>
      </c>
      <c r="L66" s="80">
        <f>L64-L65</f>
        <v/>
      </c>
      <c r="M66" s="80">
        <f>M64-M65</f>
        <v/>
      </c>
      <c r="N66" s="80">
        <f>N64-N65</f>
        <v/>
      </c>
      <c r="O66" s="80">
        <f>O64-O65</f>
        <v/>
      </c>
      <c r="P66" s="80">
        <f>P64-P65</f>
        <v/>
      </c>
      <c r="Q66" s="80">
        <f>Q64-Q65</f>
        <v/>
      </c>
      <c r="R66" s="80">
        <f>R64-R65</f>
        <v/>
      </c>
      <c r="S66" s="80">
        <f>S64-S65</f>
        <v/>
      </c>
      <c r="T66" s="80">
        <f>T64-T65</f>
        <v/>
      </c>
      <c r="U66" s="80">
        <f>U64-U65</f>
        <v/>
      </c>
      <c r="V66" s="80">
        <f>V64-V65</f>
        <v/>
      </c>
      <c r="W66" s="80">
        <f>W64-W65</f>
        <v/>
      </c>
      <c r="X66" s="80">
        <f>X64-X65</f>
        <v/>
      </c>
      <c r="Y66" s="80">
        <f>Y64-Y65</f>
        <v/>
      </c>
      <c r="Z66" s="80">
        <f>Z64-Z65</f>
        <v/>
      </c>
      <c r="AA66" s="80">
        <f>AA64-AA65</f>
        <v/>
      </c>
      <c r="AB66" s="80">
        <f>AB64-AB65</f>
        <v/>
      </c>
      <c r="AC66" s="80">
        <f>AC64-AC65</f>
        <v/>
      </c>
      <c r="AD66" s="80">
        <f>AD64-AD65</f>
        <v/>
      </c>
      <c r="AE66" s="80">
        <f>AE64-AE65</f>
        <v/>
      </c>
      <c r="AF66" s="80">
        <f>AF64-AF65</f>
        <v/>
      </c>
      <c r="AG66" s="80">
        <f>AG64-AG65</f>
        <v/>
      </c>
      <c r="AH66" s="80">
        <f>AH64-AH65</f>
        <v/>
      </c>
      <c r="AI66" s="80">
        <f>AI64-AI65</f>
        <v/>
      </c>
      <c r="AJ66" s="80">
        <f>AJ64-AJ65</f>
        <v/>
      </c>
      <c r="AK66" s="80">
        <f>AK64-AK65</f>
        <v/>
      </c>
      <c r="AL66" s="80">
        <f>AL64-AL65</f>
        <v/>
      </c>
      <c r="AM66" s="80">
        <f>AM64-AM65</f>
        <v/>
      </c>
      <c r="AN66" s="80">
        <f>AN64-AN65</f>
        <v/>
      </c>
      <c r="AO66" s="80">
        <f>AO64-AO65</f>
        <v/>
      </c>
      <c r="AP66" s="80">
        <f>AP64-AP65</f>
        <v/>
      </c>
      <c r="AQ66" s="80">
        <f>AQ64-AQ65</f>
        <v/>
      </c>
      <c r="AR66" s="80">
        <f>AR64-AR65</f>
        <v/>
      </c>
      <c r="AS66" s="80">
        <f>AS64-AS65</f>
        <v/>
      </c>
      <c r="AT66" s="80">
        <f>AT64-AT65</f>
        <v/>
      </c>
      <c r="AU66" s="80">
        <f>AU64-AU65</f>
        <v/>
      </c>
      <c r="AV66" s="80">
        <f>AV64-AV65</f>
        <v/>
      </c>
      <c r="AW66" s="80">
        <f>AW64-AW65</f>
        <v/>
      </c>
      <c r="AX66" s="80">
        <f>AX64-AX65</f>
        <v/>
      </c>
      <c r="AY66" s="80">
        <f>AY64-AY65</f>
        <v/>
      </c>
      <c r="AZ66" s="80">
        <f>AZ64-AZ65</f>
        <v/>
      </c>
      <c r="BA66" s="80">
        <f>BA64-BA65</f>
        <v/>
      </c>
      <c r="BB66" s="80">
        <f>BB64-BB65</f>
        <v/>
      </c>
      <c r="BC66" s="80">
        <f>BC64-BC65</f>
        <v/>
      </c>
      <c r="BD66" s="80">
        <f>BD64-BD65</f>
        <v/>
      </c>
      <c r="BE66" s="80">
        <f>BE64-BE65</f>
        <v/>
      </c>
      <c r="BF66" s="80">
        <f>BF64-BF65</f>
        <v/>
      </c>
      <c r="BG66" s="80">
        <f>BG64-BG65</f>
        <v/>
      </c>
      <c r="BH66" s="80">
        <f>BH64-BH65</f>
        <v/>
      </c>
      <c r="BI66" s="80">
        <f>BI64-BI65</f>
        <v/>
      </c>
      <c r="BJ66" s="80">
        <f>BJ64-BJ65</f>
        <v/>
      </c>
      <c r="BK66" s="80">
        <f>BK64-BK65</f>
        <v/>
      </c>
      <c r="BL66" s="80">
        <f>BL64-BL65</f>
        <v/>
      </c>
    </row>
    <row r="67">
      <c r="A67" s="98" t="inlineStr">
        <is>
          <t>PAYGo financing income (straight-line over tenor)</t>
        </is>
      </c>
      <c r="B67" s="65" t="inlineStr">
        <is>
          <t>LCY</t>
        </is>
      </c>
      <c r="C67" s="105">
        <f>SUM(E67:BL67)</f>
        <v/>
      </c>
      <c r="E67" s="80">
        <f>IF(Products!$E$16=0,0,Products!$E$35/Products!$E$16*SUMIFS($E$60:$BL$60,Timeline!$E$4:$BL$4,"&gt;="&amp;(E$4-Products!$E$16),Timeline!$E$4:$BL$4,"&lt;="&amp;(E$4-1)))</f>
        <v/>
      </c>
      <c r="F67" s="80">
        <f>IF(Products!$E$16=0,0,Products!$E$35/Products!$E$16*SUMIFS($E$60:$BL$60,Timeline!$E$4:$BL$4,"&gt;="&amp;(F$4-Products!$E$16),Timeline!$E$4:$BL$4,"&lt;="&amp;(F$4-1)))</f>
        <v/>
      </c>
      <c r="G67" s="80">
        <f>IF(Products!$E$16=0,0,Products!$E$35/Products!$E$16*SUMIFS($E$60:$BL$60,Timeline!$E$4:$BL$4,"&gt;="&amp;(G$4-Products!$E$16),Timeline!$E$4:$BL$4,"&lt;="&amp;(G$4-1)))</f>
        <v/>
      </c>
      <c r="H67" s="80">
        <f>IF(Products!$E$16=0,0,Products!$E$35/Products!$E$16*SUMIFS($E$60:$BL$60,Timeline!$E$4:$BL$4,"&gt;="&amp;(H$4-Products!$E$16),Timeline!$E$4:$BL$4,"&lt;="&amp;(H$4-1)))</f>
        <v/>
      </c>
      <c r="I67" s="80">
        <f>IF(Products!$E$16=0,0,Products!$E$35/Products!$E$16*SUMIFS($E$60:$BL$60,Timeline!$E$4:$BL$4,"&gt;="&amp;(I$4-Products!$E$16),Timeline!$E$4:$BL$4,"&lt;="&amp;(I$4-1)))</f>
        <v/>
      </c>
      <c r="J67" s="80">
        <f>IF(Products!$E$16=0,0,Products!$E$35/Products!$E$16*SUMIFS($E$60:$BL$60,Timeline!$E$4:$BL$4,"&gt;="&amp;(J$4-Products!$E$16),Timeline!$E$4:$BL$4,"&lt;="&amp;(J$4-1)))</f>
        <v/>
      </c>
      <c r="K67" s="80">
        <f>IF(Products!$E$16=0,0,Products!$E$35/Products!$E$16*SUMIFS($E$60:$BL$60,Timeline!$E$4:$BL$4,"&gt;="&amp;(K$4-Products!$E$16),Timeline!$E$4:$BL$4,"&lt;="&amp;(K$4-1)))</f>
        <v/>
      </c>
      <c r="L67" s="80">
        <f>IF(Products!$E$16=0,0,Products!$E$35/Products!$E$16*SUMIFS($E$60:$BL$60,Timeline!$E$4:$BL$4,"&gt;="&amp;(L$4-Products!$E$16),Timeline!$E$4:$BL$4,"&lt;="&amp;(L$4-1)))</f>
        <v/>
      </c>
      <c r="M67" s="80">
        <f>IF(Products!$E$16=0,0,Products!$E$35/Products!$E$16*SUMIFS($E$60:$BL$60,Timeline!$E$4:$BL$4,"&gt;="&amp;(M$4-Products!$E$16),Timeline!$E$4:$BL$4,"&lt;="&amp;(M$4-1)))</f>
        <v/>
      </c>
      <c r="N67" s="80">
        <f>IF(Products!$E$16=0,0,Products!$E$35/Products!$E$16*SUMIFS($E$60:$BL$60,Timeline!$E$4:$BL$4,"&gt;="&amp;(N$4-Products!$E$16),Timeline!$E$4:$BL$4,"&lt;="&amp;(N$4-1)))</f>
        <v/>
      </c>
      <c r="O67" s="80">
        <f>IF(Products!$E$16=0,0,Products!$E$35/Products!$E$16*SUMIFS($E$60:$BL$60,Timeline!$E$4:$BL$4,"&gt;="&amp;(O$4-Products!$E$16),Timeline!$E$4:$BL$4,"&lt;="&amp;(O$4-1)))</f>
        <v/>
      </c>
      <c r="P67" s="80">
        <f>IF(Products!$E$16=0,0,Products!$E$35/Products!$E$16*SUMIFS($E$60:$BL$60,Timeline!$E$4:$BL$4,"&gt;="&amp;(P$4-Products!$E$16),Timeline!$E$4:$BL$4,"&lt;="&amp;(P$4-1)))</f>
        <v/>
      </c>
      <c r="Q67" s="80">
        <f>IF(Products!$E$16=0,0,Products!$E$35/Products!$E$16*SUMIFS($E$60:$BL$60,Timeline!$E$4:$BL$4,"&gt;="&amp;(Q$4-Products!$E$16),Timeline!$E$4:$BL$4,"&lt;="&amp;(Q$4-1)))</f>
        <v/>
      </c>
      <c r="R67" s="80">
        <f>IF(Products!$E$16=0,0,Products!$E$35/Products!$E$16*SUMIFS($E$60:$BL$60,Timeline!$E$4:$BL$4,"&gt;="&amp;(R$4-Products!$E$16),Timeline!$E$4:$BL$4,"&lt;="&amp;(R$4-1)))</f>
        <v/>
      </c>
      <c r="S67" s="80">
        <f>IF(Products!$E$16=0,0,Products!$E$35/Products!$E$16*SUMIFS($E$60:$BL$60,Timeline!$E$4:$BL$4,"&gt;="&amp;(S$4-Products!$E$16),Timeline!$E$4:$BL$4,"&lt;="&amp;(S$4-1)))</f>
        <v/>
      </c>
      <c r="T67" s="80">
        <f>IF(Products!$E$16=0,0,Products!$E$35/Products!$E$16*SUMIFS($E$60:$BL$60,Timeline!$E$4:$BL$4,"&gt;="&amp;(T$4-Products!$E$16),Timeline!$E$4:$BL$4,"&lt;="&amp;(T$4-1)))</f>
        <v/>
      </c>
      <c r="U67" s="80">
        <f>IF(Products!$E$16=0,0,Products!$E$35/Products!$E$16*SUMIFS($E$60:$BL$60,Timeline!$E$4:$BL$4,"&gt;="&amp;(U$4-Products!$E$16),Timeline!$E$4:$BL$4,"&lt;="&amp;(U$4-1)))</f>
        <v/>
      </c>
      <c r="V67" s="80">
        <f>IF(Products!$E$16=0,0,Products!$E$35/Products!$E$16*SUMIFS($E$60:$BL$60,Timeline!$E$4:$BL$4,"&gt;="&amp;(V$4-Products!$E$16),Timeline!$E$4:$BL$4,"&lt;="&amp;(V$4-1)))</f>
        <v/>
      </c>
      <c r="W67" s="80">
        <f>IF(Products!$E$16=0,0,Products!$E$35/Products!$E$16*SUMIFS($E$60:$BL$60,Timeline!$E$4:$BL$4,"&gt;="&amp;(W$4-Products!$E$16),Timeline!$E$4:$BL$4,"&lt;="&amp;(W$4-1)))</f>
        <v/>
      </c>
      <c r="X67" s="80">
        <f>IF(Products!$E$16=0,0,Products!$E$35/Products!$E$16*SUMIFS($E$60:$BL$60,Timeline!$E$4:$BL$4,"&gt;="&amp;(X$4-Products!$E$16),Timeline!$E$4:$BL$4,"&lt;="&amp;(X$4-1)))</f>
        <v/>
      </c>
      <c r="Y67" s="80">
        <f>IF(Products!$E$16=0,0,Products!$E$35/Products!$E$16*SUMIFS($E$60:$BL$60,Timeline!$E$4:$BL$4,"&gt;="&amp;(Y$4-Products!$E$16),Timeline!$E$4:$BL$4,"&lt;="&amp;(Y$4-1)))</f>
        <v/>
      </c>
      <c r="Z67" s="80">
        <f>IF(Products!$E$16=0,0,Products!$E$35/Products!$E$16*SUMIFS($E$60:$BL$60,Timeline!$E$4:$BL$4,"&gt;="&amp;(Z$4-Products!$E$16),Timeline!$E$4:$BL$4,"&lt;="&amp;(Z$4-1)))</f>
        <v/>
      </c>
      <c r="AA67" s="80">
        <f>IF(Products!$E$16=0,0,Products!$E$35/Products!$E$16*SUMIFS($E$60:$BL$60,Timeline!$E$4:$BL$4,"&gt;="&amp;(AA$4-Products!$E$16),Timeline!$E$4:$BL$4,"&lt;="&amp;(AA$4-1)))</f>
        <v/>
      </c>
      <c r="AB67" s="80">
        <f>IF(Products!$E$16=0,0,Products!$E$35/Products!$E$16*SUMIFS($E$60:$BL$60,Timeline!$E$4:$BL$4,"&gt;="&amp;(AB$4-Products!$E$16),Timeline!$E$4:$BL$4,"&lt;="&amp;(AB$4-1)))</f>
        <v/>
      </c>
      <c r="AC67" s="80">
        <f>IF(Products!$E$16=0,0,Products!$E$35/Products!$E$16*SUMIFS($E$60:$BL$60,Timeline!$E$4:$BL$4,"&gt;="&amp;(AC$4-Products!$E$16),Timeline!$E$4:$BL$4,"&lt;="&amp;(AC$4-1)))</f>
        <v/>
      </c>
      <c r="AD67" s="80">
        <f>IF(Products!$E$16=0,0,Products!$E$35/Products!$E$16*SUMIFS($E$60:$BL$60,Timeline!$E$4:$BL$4,"&gt;="&amp;(AD$4-Products!$E$16),Timeline!$E$4:$BL$4,"&lt;="&amp;(AD$4-1)))</f>
        <v/>
      </c>
      <c r="AE67" s="80">
        <f>IF(Products!$E$16=0,0,Products!$E$35/Products!$E$16*SUMIFS($E$60:$BL$60,Timeline!$E$4:$BL$4,"&gt;="&amp;(AE$4-Products!$E$16),Timeline!$E$4:$BL$4,"&lt;="&amp;(AE$4-1)))</f>
        <v/>
      </c>
      <c r="AF67" s="80">
        <f>IF(Products!$E$16=0,0,Products!$E$35/Products!$E$16*SUMIFS($E$60:$BL$60,Timeline!$E$4:$BL$4,"&gt;="&amp;(AF$4-Products!$E$16),Timeline!$E$4:$BL$4,"&lt;="&amp;(AF$4-1)))</f>
        <v/>
      </c>
      <c r="AG67" s="80">
        <f>IF(Products!$E$16=0,0,Products!$E$35/Products!$E$16*SUMIFS($E$60:$BL$60,Timeline!$E$4:$BL$4,"&gt;="&amp;(AG$4-Products!$E$16),Timeline!$E$4:$BL$4,"&lt;="&amp;(AG$4-1)))</f>
        <v/>
      </c>
      <c r="AH67" s="80">
        <f>IF(Products!$E$16=0,0,Products!$E$35/Products!$E$16*SUMIFS($E$60:$BL$60,Timeline!$E$4:$BL$4,"&gt;="&amp;(AH$4-Products!$E$16),Timeline!$E$4:$BL$4,"&lt;="&amp;(AH$4-1)))</f>
        <v/>
      </c>
      <c r="AI67" s="80">
        <f>IF(Products!$E$16=0,0,Products!$E$35/Products!$E$16*SUMIFS($E$60:$BL$60,Timeline!$E$4:$BL$4,"&gt;="&amp;(AI$4-Products!$E$16),Timeline!$E$4:$BL$4,"&lt;="&amp;(AI$4-1)))</f>
        <v/>
      </c>
      <c r="AJ67" s="80">
        <f>IF(Products!$E$16=0,0,Products!$E$35/Products!$E$16*SUMIFS($E$60:$BL$60,Timeline!$E$4:$BL$4,"&gt;="&amp;(AJ$4-Products!$E$16),Timeline!$E$4:$BL$4,"&lt;="&amp;(AJ$4-1)))</f>
        <v/>
      </c>
      <c r="AK67" s="80">
        <f>IF(Products!$E$16=0,0,Products!$E$35/Products!$E$16*SUMIFS($E$60:$BL$60,Timeline!$E$4:$BL$4,"&gt;="&amp;(AK$4-Products!$E$16),Timeline!$E$4:$BL$4,"&lt;="&amp;(AK$4-1)))</f>
        <v/>
      </c>
      <c r="AL67" s="80">
        <f>IF(Products!$E$16=0,0,Products!$E$35/Products!$E$16*SUMIFS($E$60:$BL$60,Timeline!$E$4:$BL$4,"&gt;="&amp;(AL$4-Products!$E$16),Timeline!$E$4:$BL$4,"&lt;="&amp;(AL$4-1)))</f>
        <v/>
      </c>
      <c r="AM67" s="80">
        <f>IF(Products!$E$16=0,0,Products!$E$35/Products!$E$16*SUMIFS($E$60:$BL$60,Timeline!$E$4:$BL$4,"&gt;="&amp;(AM$4-Products!$E$16),Timeline!$E$4:$BL$4,"&lt;="&amp;(AM$4-1)))</f>
        <v/>
      </c>
      <c r="AN67" s="80">
        <f>IF(Products!$E$16=0,0,Products!$E$35/Products!$E$16*SUMIFS($E$60:$BL$60,Timeline!$E$4:$BL$4,"&gt;="&amp;(AN$4-Products!$E$16),Timeline!$E$4:$BL$4,"&lt;="&amp;(AN$4-1)))</f>
        <v/>
      </c>
      <c r="AO67" s="80">
        <f>IF(Products!$E$16=0,0,Products!$E$35/Products!$E$16*SUMIFS($E$60:$BL$60,Timeline!$E$4:$BL$4,"&gt;="&amp;(AO$4-Products!$E$16),Timeline!$E$4:$BL$4,"&lt;="&amp;(AO$4-1)))</f>
        <v/>
      </c>
      <c r="AP67" s="80">
        <f>IF(Products!$E$16=0,0,Products!$E$35/Products!$E$16*SUMIFS($E$60:$BL$60,Timeline!$E$4:$BL$4,"&gt;="&amp;(AP$4-Products!$E$16),Timeline!$E$4:$BL$4,"&lt;="&amp;(AP$4-1)))</f>
        <v/>
      </c>
      <c r="AQ67" s="80">
        <f>IF(Products!$E$16=0,0,Products!$E$35/Products!$E$16*SUMIFS($E$60:$BL$60,Timeline!$E$4:$BL$4,"&gt;="&amp;(AQ$4-Products!$E$16),Timeline!$E$4:$BL$4,"&lt;="&amp;(AQ$4-1)))</f>
        <v/>
      </c>
      <c r="AR67" s="80">
        <f>IF(Products!$E$16=0,0,Products!$E$35/Products!$E$16*SUMIFS($E$60:$BL$60,Timeline!$E$4:$BL$4,"&gt;="&amp;(AR$4-Products!$E$16),Timeline!$E$4:$BL$4,"&lt;="&amp;(AR$4-1)))</f>
        <v/>
      </c>
      <c r="AS67" s="80">
        <f>IF(Products!$E$16=0,0,Products!$E$35/Products!$E$16*SUMIFS($E$60:$BL$60,Timeline!$E$4:$BL$4,"&gt;="&amp;(AS$4-Products!$E$16),Timeline!$E$4:$BL$4,"&lt;="&amp;(AS$4-1)))</f>
        <v/>
      </c>
      <c r="AT67" s="80">
        <f>IF(Products!$E$16=0,0,Products!$E$35/Products!$E$16*SUMIFS($E$60:$BL$60,Timeline!$E$4:$BL$4,"&gt;="&amp;(AT$4-Products!$E$16),Timeline!$E$4:$BL$4,"&lt;="&amp;(AT$4-1)))</f>
        <v/>
      </c>
      <c r="AU67" s="80">
        <f>IF(Products!$E$16=0,0,Products!$E$35/Products!$E$16*SUMIFS($E$60:$BL$60,Timeline!$E$4:$BL$4,"&gt;="&amp;(AU$4-Products!$E$16),Timeline!$E$4:$BL$4,"&lt;="&amp;(AU$4-1)))</f>
        <v/>
      </c>
      <c r="AV67" s="80">
        <f>IF(Products!$E$16=0,0,Products!$E$35/Products!$E$16*SUMIFS($E$60:$BL$60,Timeline!$E$4:$BL$4,"&gt;="&amp;(AV$4-Products!$E$16),Timeline!$E$4:$BL$4,"&lt;="&amp;(AV$4-1)))</f>
        <v/>
      </c>
      <c r="AW67" s="80">
        <f>IF(Products!$E$16=0,0,Products!$E$35/Products!$E$16*SUMIFS($E$60:$BL$60,Timeline!$E$4:$BL$4,"&gt;="&amp;(AW$4-Products!$E$16),Timeline!$E$4:$BL$4,"&lt;="&amp;(AW$4-1)))</f>
        <v/>
      </c>
      <c r="AX67" s="80">
        <f>IF(Products!$E$16=0,0,Products!$E$35/Products!$E$16*SUMIFS($E$60:$BL$60,Timeline!$E$4:$BL$4,"&gt;="&amp;(AX$4-Products!$E$16),Timeline!$E$4:$BL$4,"&lt;="&amp;(AX$4-1)))</f>
        <v/>
      </c>
      <c r="AY67" s="80">
        <f>IF(Products!$E$16=0,0,Products!$E$35/Products!$E$16*SUMIFS($E$60:$BL$60,Timeline!$E$4:$BL$4,"&gt;="&amp;(AY$4-Products!$E$16),Timeline!$E$4:$BL$4,"&lt;="&amp;(AY$4-1)))</f>
        <v/>
      </c>
      <c r="AZ67" s="80">
        <f>IF(Products!$E$16=0,0,Products!$E$35/Products!$E$16*SUMIFS($E$60:$BL$60,Timeline!$E$4:$BL$4,"&gt;="&amp;(AZ$4-Products!$E$16),Timeline!$E$4:$BL$4,"&lt;="&amp;(AZ$4-1)))</f>
        <v/>
      </c>
      <c r="BA67" s="80">
        <f>IF(Products!$E$16=0,0,Products!$E$35/Products!$E$16*SUMIFS($E$60:$BL$60,Timeline!$E$4:$BL$4,"&gt;="&amp;(BA$4-Products!$E$16),Timeline!$E$4:$BL$4,"&lt;="&amp;(BA$4-1)))</f>
        <v/>
      </c>
      <c r="BB67" s="80">
        <f>IF(Products!$E$16=0,0,Products!$E$35/Products!$E$16*SUMIFS($E$60:$BL$60,Timeline!$E$4:$BL$4,"&gt;="&amp;(BB$4-Products!$E$16),Timeline!$E$4:$BL$4,"&lt;="&amp;(BB$4-1)))</f>
        <v/>
      </c>
      <c r="BC67" s="80">
        <f>IF(Products!$E$16=0,0,Products!$E$35/Products!$E$16*SUMIFS($E$60:$BL$60,Timeline!$E$4:$BL$4,"&gt;="&amp;(BC$4-Products!$E$16),Timeline!$E$4:$BL$4,"&lt;="&amp;(BC$4-1)))</f>
        <v/>
      </c>
      <c r="BD67" s="80">
        <f>IF(Products!$E$16=0,0,Products!$E$35/Products!$E$16*SUMIFS($E$60:$BL$60,Timeline!$E$4:$BL$4,"&gt;="&amp;(BD$4-Products!$E$16),Timeline!$E$4:$BL$4,"&lt;="&amp;(BD$4-1)))</f>
        <v/>
      </c>
      <c r="BE67" s="80">
        <f>IF(Products!$E$16=0,0,Products!$E$35/Products!$E$16*SUMIFS($E$60:$BL$60,Timeline!$E$4:$BL$4,"&gt;="&amp;(BE$4-Products!$E$16),Timeline!$E$4:$BL$4,"&lt;="&amp;(BE$4-1)))</f>
        <v/>
      </c>
      <c r="BF67" s="80">
        <f>IF(Products!$E$16=0,0,Products!$E$35/Products!$E$16*SUMIFS($E$60:$BL$60,Timeline!$E$4:$BL$4,"&gt;="&amp;(BF$4-Products!$E$16),Timeline!$E$4:$BL$4,"&lt;="&amp;(BF$4-1)))</f>
        <v/>
      </c>
      <c r="BG67" s="80">
        <f>IF(Products!$E$16=0,0,Products!$E$35/Products!$E$16*SUMIFS($E$60:$BL$60,Timeline!$E$4:$BL$4,"&gt;="&amp;(BG$4-Products!$E$16),Timeline!$E$4:$BL$4,"&lt;="&amp;(BG$4-1)))</f>
        <v/>
      </c>
      <c r="BH67" s="80">
        <f>IF(Products!$E$16=0,0,Products!$E$35/Products!$E$16*SUMIFS($E$60:$BL$60,Timeline!$E$4:$BL$4,"&gt;="&amp;(BH$4-Products!$E$16),Timeline!$E$4:$BL$4,"&lt;="&amp;(BH$4-1)))</f>
        <v/>
      </c>
      <c r="BI67" s="80">
        <f>IF(Products!$E$16=0,0,Products!$E$35/Products!$E$16*SUMIFS($E$60:$BL$60,Timeline!$E$4:$BL$4,"&gt;="&amp;(BI$4-Products!$E$16),Timeline!$E$4:$BL$4,"&lt;="&amp;(BI$4-1)))</f>
        <v/>
      </c>
      <c r="BJ67" s="80">
        <f>IF(Products!$E$16=0,0,Products!$E$35/Products!$E$16*SUMIFS($E$60:$BL$60,Timeline!$E$4:$BL$4,"&gt;="&amp;(BJ$4-Products!$E$16),Timeline!$E$4:$BL$4,"&lt;="&amp;(BJ$4-1)))</f>
        <v/>
      </c>
      <c r="BK67" s="80">
        <f>IF(Products!$E$16=0,0,Products!$E$35/Products!$E$16*SUMIFS($E$60:$BL$60,Timeline!$E$4:$BL$4,"&gt;="&amp;(BK$4-Products!$E$16),Timeline!$E$4:$BL$4,"&lt;="&amp;(BK$4-1)))</f>
        <v/>
      </c>
      <c r="BL67" s="80">
        <f>IF(Products!$E$16=0,0,Products!$E$35/Products!$E$16*SUMIFS($E$60:$BL$60,Timeline!$E$4:$BL$4,"&gt;="&amp;(BL$4-Products!$E$16),Timeline!$E$4:$BL$4,"&lt;="&amp;(BL$4-1)))</f>
        <v/>
      </c>
    </row>
    <row r="68">
      <c r="A68" s="98" t="inlineStr">
        <is>
          <t>Expected credit loss charged at origination</t>
        </is>
      </c>
      <c r="B68" s="65" t="inlineStr">
        <is>
          <t>LCY</t>
        </is>
      </c>
      <c r="C68" s="105">
        <f>SUM(E68:BL68)</f>
        <v/>
      </c>
      <c r="E68" s="80">
        <f>E60*Curves!$AE$70</f>
        <v/>
      </c>
      <c r="F68" s="80">
        <f>F60*Curves!$AE$70</f>
        <v/>
      </c>
      <c r="G68" s="80">
        <f>G60*Curves!$AE$70</f>
        <v/>
      </c>
      <c r="H68" s="80">
        <f>H60*Curves!$AE$70</f>
        <v/>
      </c>
      <c r="I68" s="80">
        <f>I60*Curves!$AE$70</f>
        <v/>
      </c>
      <c r="J68" s="80">
        <f>J60*Curves!$AE$70</f>
        <v/>
      </c>
      <c r="K68" s="80">
        <f>K60*Curves!$AE$70</f>
        <v/>
      </c>
      <c r="L68" s="80">
        <f>L60*Curves!$AE$70</f>
        <v/>
      </c>
      <c r="M68" s="80">
        <f>M60*Curves!$AE$70</f>
        <v/>
      </c>
      <c r="N68" s="80">
        <f>N60*Curves!$AE$70</f>
        <v/>
      </c>
      <c r="O68" s="80">
        <f>O60*Curves!$AE$70</f>
        <v/>
      </c>
      <c r="P68" s="80">
        <f>P60*Curves!$AE$70</f>
        <v/>
      </c>
      <c r="Q68" s="80">
        <f>Q60*Curves!$AE$70</f>
        <v/>
      </c>
      <c r="R68" s="80">
        <f>R60*Curves!$AE$70</f>
        <v/>
      </c>
      <c r="S68" s="80">
        <f>S60*Curves!$AE$70</f>
        <v/>
      </c>
      <c r="T68" s="80">
        <f>T60*Curves!$AE$70</f>
        <v/>
      </c>
      <c r="U68" s="80">
        <f>U60*Curves!$AE$70</f>
        <v/>
      </c>
      <c r="V68" s="80">
        <f>V60*Curves!$AE$70</f>
        <v/>
      </c>
      <c r="W68" s="80">
        <f>W60*Curves!$AE$70</f>
        <v/>
      </c>
      <c r="X68" s="80">
        <f>X60*Curves!$AE$70</f>
        <v/>
      </c>
      <c r="Y68" s="80">
        <f>Y60*Curves!$AE$70</f>
        <v/>
      </c>
      <c r="Z68" s="80">
        <f>Z60*Curves!$AE$70</f>
        <v/>
      </c>
      <c r="AA68" s="80">
        <f>AA60*Curves!$AE$70</f>
        <v/>
      </c>
      <c r="AB68" s="80">
        <f>AB60*Curves!$AE$70</f>
        <v/>
      </c>
      <c r="AC68" s="80">
        <f>AC60*Curves!$AE$70</f>
        <v/>
      </c>
      <c r="AD68" s="80">
        <f>AD60*Curves!$AE$70</f>
        <v/>
      </c>
      <c r="AE68" s="80">
        <f>AE60*Curves!$AE$70</f>
        <v/>
      </c>
      <c r="AF68" s="80">
        <f>AF60*Curves!$AE$70</f>
        <v/>
      </c>
      <c r="AG68" s="80">
        <f>AG60*Curves!$AE$70</f>
        <v/>
      </c>
      <c r="AH68" s="80">
        <f>AH60*Curves!$AE$70</f>
        <v/>
      </c>
      <c r="AI68" s="80">
        <f>AI60*Curves!$AE$70</f>
        <v/>
      </c>
      <c r="AJ68" s="80">
        <f>AJ60*Curves!$AE$70</f>
        <v/>
      </c>
      <c r="AK68" s="80">
        <f>AK60*Curves!$AE$70</f>
        <v/>
      </c>
      <c r="AL68" s="80">
        <f>AL60*Curves!$AE$70</f>
        <v/>
      </c>
      <c r="AM68" s="80">
        <f>AM60*Curves!$AE$70</f>
        <v/>
      </c>
      <c r="AN68" s="80">
        <f>AN60*Curves!$AE$70</f>
        <v/>
      </c>
      <c r="AO68" s="80">
        <f>AO60*Curves!$AE$70</f>
        <v/>
      </c>
      <c r="AP68" s="80">
        <f>AP60*Curves!$AE$70</f>
        <v/>
      </c>
      <c r="AQ68" s="80">
        <f>AQ60*Curves!$AE$70</f>
        <v/>
      </c>
      <c r="AR68" s="80">
        <f>AR60*Curves!$AE$70</f>
        <v/>
      </c>
      <c r="AS68" s="80">
        <f>AS60*Curves!$AE$70</f>
        <v/>
      </c>
      <c r="AT68" s="80">
        <f>AT60*Curves!$AE$70</f>
        <v/>
      </c>
      <c r="AU68" s="80">
        <f>AU60*Curves!$AE$70</f>
        <v/>
      </c>
      <c r="AV68" s="80">
        <f>AV60*Curves!$AE$70</f>
        <v/>
      </c>
      <c r="AW68" s="80">
        <f>AW60*Curves!$AE$70</f>
        <v/>
      </c>
      <c r="AX68" s="80">
        <f>AX60*Curves!$AE$70</f>
        <v/>
      </c>
      <c r="AY68" s="80">
        <f>AY60*Curves!$AE$70</f>
        <v/>
      </c>
      <c r="AZ68" s="80">
        <f>AZ60*Curves!$AE$70</f>
        <v/>
      </c>
      <c r="BA68" s="80">
        <f>BA60*Curves!$AE$70</f>
        <v/>
      </c>
      <c r="BB68" s="80">
        <f>BB60*Curves!$AE$70</f>
        <v/>
      </c>
      <c r="BC68" s="80">
        <f>BC60*Curves!$AE$70</f>
        <v/>
      </c>
      <c r="BD68" s="80">
        <f>BD60*Curves!$AE$70</f>
        <v/>
      </c>
      <c r="BE68" s="80">
        <f>BE60*Curves!$AE$70</f>
        <v/>
      </c>
      <c r="BF68" s="80">
        <f>BF60*Curves!$AE$70</f>
        <v/>
      </c>
      <c r="BG68" s="80">
        <f>BG60*Curves!$AE$70</f>
        <v/>
      </c>
      <c r="BH68" s="80">
        <f>BH60*Curves!$AE$70</f>
        <v/>
      </c>
      <c r="BI68" s="80">
        <f>BI60*Curves!$AE$70</f>
        <v/>
      </c>
      <c r="BJ68" s="80">
        <f>BJ60*Curves!$AE$70</f>
        <v/>
      </c>
      <c r="BK68" s="80">
        <f>BK60*Curves!$AE$70</f>
        <v/>
      </c>
      <c r="BL68" s="80">
        <f>BL60*Curves!$AE$70</f>
        <v/>
      </c>
    </row>
    <row r="69">
      <c r="A69" s="98" t="inlineStr">
        <is>
          <t>Recoveries from resale of repossessed units</t>
        </is>
      </c>
      <c r="B69" s="65" t="inlineStr">
        <is>
          <t>LCY</t>
        </is>
      </c>
      <c r="C69" s="105">
        <f>SUM(E69:BL69)</f>
        <v/>
      </c>
      <c r="E69" s="41">
        <f>Cohort_T3!E$198</f>
        <v/>
      </c>
      <c r="F69" s="41">
        <f>Cohort_T3!F$198</f>
        <v/>
      </c>
      <c r="G69" s="41">
        <f>Cohort_T3!G$198</f>
        <v/>
      </c>
      <c r="H69" s="41">
        <f>Cohort_T3!H$198</f>
        <v/>
      </c>
      <c r="I69" s="41">
        <f>Cohort_T3!I$198</f>
        <v/>
      </c>
      <c r="J69" s="41">
        <f>Cohort_T3!J$198</f>
        <v/>
      </c>
      <c r="K69" s="41">
        <f>Cohort_T3!K$198</f>
        <v/>
      </c>
      <c r="L69" s="41">
        <f>Cohort_T3!L$198</f>
        <v/>
      </c>
      <c r="M69" s="41">
        <f>Cohort_T3!M$198</f>
        <v/>
      </c>
      <c r="N69" s="41">
        <f>Cohort_T3!N$198</f>
        <v/>
      </c>
      <c r="O69" s="41">
        <f>Cohort_T3!O$198</f>
        <v/>
      </c>
      <c r="P69" s="41">
        <f>Cohort_T3!P$198</f>
        <v/>
      </c>
      <c r="Q69" s="41">
        <f>Cohort_T3!Q$198</f>
        <v/>
      </c>
      <c r="R69" s="41">
        <f>Cohort_T3!R$198</f>
        <v/>
      </c>
      <c r="S69" s="41">
        <f>Cohort_T3!S$198</f>
        <v/>
      </c>
      <c r="T69" s="41">
        <f>Cohort_T3!T$198</f>
        <v/>
      </c>
      <c r="U69" s="41">
        <f>Cohort_T3!U$198</f>
        <v/>
      </c>
      <c r="V69" s="41">
        <f>Cohort_T3!V$198</f>
        <v/>
      </c>
      <c r="W69" s="41">
        <f>Cohort_T3!W$198</f>
        <v/>
      </c>
      <c r="X69" s="41">
        <f>Cohort_T3!X$198</f>
        <v/>
      </c>
      <c r="Y69" s="41">
        <f>Cohort_T3!Y$198</f>
        <v/>
      </c>
      <c r="Z69" s="41">
        <f>Cohort_T3!Z$198</f>
        <v/>
      </c>
      <c r="AA69" s="41">
        <f>Cohort_T3!AA$198</f>
        <v/>
      </c>
      <c r="AB69" s="41">
        <f>Cohort_T3!AB$198</f>
        <v/>
      </c>
      <c r="AC69" s="41">
        <f>Cohort_T3!AC$198</f>
        <v/>
      </c>
      <c r="AD69" s="41">
        <f>Cohort_T3!AD$198</f>
        <v/>
      </c>
      <c r="AE69" s="41">
        <f>Cohort_T3!AE$198</f>
        <v/>
      </c>
      <c r="AF69" s="41">
        <f>Cohort_T3!AF$198</f>
        <v/>
      </c>
      <c r="AG69" s="41">
        <f>Cohort_T3!AG$198</f>
        <v/>
      </c>
      <c r="AH69" s="41">
        <f>Cohort_T3!AH$198</f>
        <v/>
      </c>
      <c r="AI69" s="41">
        <f>Cohort_T3!AI$198</f>
        <v/>
      </c>
      <c r="AJ69" s="41">
        <f>Cohort_T3!AJ$198</f>
        <v/>
      </c>
      <c r="AK69" s="41">
        <f>Cohort_T3!AK$198</f>
        <v/>
      </c>
      <c r="AL69" s="41">
        <f>Cohort_T3!AL$198</f>
        <v/>
      </c>
      <c r="AM69" s="41">
        <f>Cohort_T3!AM$198</f>
        <v/>
      </c>
      <c r="AN69" s="41">
        <f>Cohort_T3!AN$198</f>
        <v/>
      </c>
      <c r="AO69" s="41">
        <f>Cohort_T3!AO$198</f>
        <v/>
      </c>
      <c r="AP69" s="41">
        <f>Cohort_T3!AP$198</f>
        <v/>
      </c>
      <c r="AQ69" s="41">
        <f>Cohort_T3!AQ$198</f>
        <v/>
      </c>
      <c r="AR69" s="41">
        <f>Cohort_T3!AR$198</f>
        <v/>
      </c>
      <c r="AS69" s="41">
        <f>Cohort_T3!AS$198</f>
        <v/>
      </c>
      <c r="AT69" s="41">
        <f>Cohort_T3!AT$198</f>
        <v/>
      </c>
      <c r="AU69" s="41">
        <f>Cohort_T3!AU$198</f>
        <v/>
      </c>
      <c r="AV69" s="41">
        <f>Cohort_T3!AV$198</f>
        <v/>
      </c>
      <c r="AW69" s="41">
        <f>Cohort_T3!AW$198</f>
        <v/>
      </c>
      <c r="AX69" s="41">
        <f>Cohort_T3!AX$198</f>
        <v/>
      </c>
      <c r="AY69" s="41">
        <f>Cohort_T3!AY$198</f>
        <v/>
      </c>
      <c r="AZ69" s="41">
        <f>Cohort_T3!AZ$198</f>
        <v/>
      </c>
      <c r="BA69" s="41">
        <f>Cohort_T3!BA$198</f>
        <v/>
      </c>
      <c r="BB69" s="41">
        <f>Cohort_T3!BB$198</f>
        <v/>
      </c>
      <c r="BC69" s="41">
        <f>Cohort_T3!BC$198</f>
        <v/>
      </c>
      <c r="BD69" s="41">
        <f>Cohort_T3!BD$198</f>
        <v/>
      </c>
      <c r="BE69" s="41">
        <f>Cohort_T3!BE$198</f>
        <v/>
      </c>
      <c r="BF69" s="41">
        <f>Cohort_T3!BF$198</f>
        <v/>
      </c>
      <c r="BG69" s="41">
        <f>Cohort_T3!BG$198</f>
        <v/>
      </c>
      <c r="BH69" s="41">
        <f>Cohort_T3!BH$198</f>
        <v/>
      </c>
      <c r="BI69" s="41">
        <f>Cohort_T3!BI$198</f>
        <v/>
      </c>
      <c r="BJ69" s="41">
        <f>Cohort_T3!BJ$198</f>
        <v/>
      </c>
      <c r="BK69" s="41">
        <f>Cohort_T3!BK$198</f>
        <v/>
      </c>
      <c r="BL69" s="41">
        <f>Cohort_T3!BL$198</f>
        <v/>
      </c>
    </row>
    <row r="70">
      <c r="A70" s="98" t="inlineStr">
        <is>
          <t>RBF received</t>
        </is>
      </c>
      <c r="B70" s="65" t="inlineStr">
        <is>
          <t>LCY</t>
        </is>
      </c>
      <c r="C70" s="105">
        <f>SUM(E70:BL70)</f>
        <v/>
      </c>
      <c r="E70" s="41">
        <f>RBF_Engine!E$38</f>
        <v/>
      </c>
      <c r="F70" s="41">
        <f>RBF_Engine!F$38</f>
        <v/>
      </c>
      <c r="G70" s="41">
        <f>RBF_Engine!G$38</f>
        <v/>
      </c>
      <c r="H70" s="41">
        <f>RBF_Engine!H$38</f>
        <v/>
      </c>
      <c r="I70" s="41">
        <f>RBF_Engine!I$38</f>
        <v/>
      </c>
      <c r="J70" s="41">
        <f>RBF_Engine!J$38</f>
        <v/>
      </c>
      <c r="K70" s="41">
        <f>RBF_Engine!K$38</f>
        <v/>
      </c>
      <c r="L70" s="41">
        <f>RBF_Engine!L$38</f>
        <v/>
      </c>
      <c r="M70" s="41">
        <f>RBF_Engine!M$38</f>
        <v/>
      </c>
      <c r="N70" s="41">
        <f>RBF_Engine!N$38</f>
        <v/>
      </c>
      <c r="O70" s="41">
        <f>RBF_Engine!O$38</f>
        <v/>
      </c>
      <c r="P70" s="41">
        <f>RBF_Engine!P$38</f>
        <v/>
      </c>
      <c r="Q70" s="41">
        <f>RBF_Engine!Q$38</f>
        <v/>
      </c>
      <c r="R70" s="41">
        <f>RBF_Engine!R$38</f>
        <v/>
      </c>
      <c r="S70" s="41">
        <f>RBF_Engine!S$38</f>
        <v/>
      </c>
      <c r="T70" s="41">
        <f>RBF_Engine!T$38</f>
        <v/>
      </c>
      <c r="U70" s="41">
        <f>RBF_Engine!U$38</f>
        <v/>
      </c>
      <c r="V70" s="41">
        <f>RBF_Engine!V$38</f>
        <v/>
      </c>
      <c r="W70" s="41">
        <f>RBF_Engine!W$38</f>
        <v/>
      </c>
      <c r="X70" s="41">
        <f>RBF_Engine!X$38</f>
        <v/>
      </c>
      <c r="Y70" s="41">
        <f>RBF_Engine!Y$38</f>
        <v/>
      </c>
      <c r="Z70" s="41">
        <f>RBF_Engine!Z$38</f>
        <v/>
      </c>
      <c r="AA70" s="41">
        <f>RBF_Engine!AA$38</f>
        <v/>
      </c>
      <c r="AB70" s="41">
        <f>RBF_Engine!AB$38</f>
        <v/>
      </c>
      <c r="AC70" s="41">
        <f>RBF_Engine!AC$38</f>
        <v/>
      </c>
      <c r="AD70" s="41">
        <f>RBF_Engine!AD$38</f>
        <v/>
      </c>
      <c r="AE70" s="41">
        <f>RBF_Engine!AE$38</f>
        <v/>
      </c>
      <c r="AF70" s="41">
        <f>RBF_Engine!AF$38</f>
        <v/>
      </c>
      <c r="AG70" s="41">
        <f>RBF_Engine!AG$38</f>
        <v/>
      </c>
      <c r="AH70" s="41">
        <f>RBF_Engine!AH$38</f>
        <v/>
      </c>
      <c r="AI70" s="41">
        <f>RBF_Engine!AI$38</f>
        <v/>
      </c>
      <c r="AJ70" s="41">
        <f>RBF_Engine!AJ$38</f>
        <v/>
      </c>
      <c r="AK70" s="41">
        <f>RBF_Engine!AK$38</f>
        <v/>
      </c>
      <c r="AL70" s="41">
        <f>RBF_Engine!AL$38</f>
        <v/>
      </c>
      <c r="AM70" s="41">
        <f>RBF_Engine!AM$38</f>
        <v/>
      </c>
      <c r="AN70" s="41">
        <f>RBF_Engine!AN$38</f>
        <v/>
      </c>
      <c r="AO70" s="41">
        <f>RBF_Engine!AO$38</f>
        <v/>
      </c>
      <c r="AP70" s="41">
        <f>RBF_Engine!AP$38</f>
        <v/>
      </c>
      <c r="AQ70" s="41">
        <f>RBF_Engine!AQ$38</f>
        <v/>
      </c>
      <c r="AR70" s="41">
        <f>RBF_Engine!AR$38</f>
        <v/>
      </c>
      <c r="AS70" s="41">
        <f>RBF_Engine!AS$38</f>
        <v/>
      </c>
      <c r="AT70" s="41">
        <f>RBF_Engine!AT$38</f>
        <v/>
      </c>
      <c r="AU70" s="41">
        <f>RBF_Engine!AU$38</f>
        <v/>
      </c>
      <c r="AV70" s="41">
        <f>RBF_Engine!AV$38</f>
        <v/>
      </c>
      <c r="AW70" s="41">
        <f>RBF_Engine!AW$38</f>
        <v/>
      </c>
      <c r="AX70" s="41">
        <f>RBF_Engine!AX$38</f>
        <v/>
      </c>
      <c r="AY70" s="41">
        <f>RBF_Engine!AY$38</f>
        <v/>
      </c>
      <c r="AZ70" s="41">
        <f>RBF_Engine!AZ$38</f>
        <v/>
      </c>
      <c r="BA70" s="41">
        <f>RBF_Engine!BA$38</f>
        <v/>
      </c>
      <c r="BB70" s="41">
        <f>RBF_Engine!BB$38</f>
        <v/>
      </c>
      <c r="BC70" s="41">
        <f>RBF_Engine!BC$38</f>
        <v/>
      </c>
      <c r="BD70" s="41">
        <f>RBF_Engine!BD$38</f>
        <v/>
      </c>
      <c r="BE70" s="41">
        <f>RBF_Engine!BE$38</f>
        <v/>
      </c>
      <c r="BF70" s="41">
        <f>RBF_Engine!BF$38</f>
        <v/>
      </c>
      <c r="BG70" s="41">
        <f>RBF_Engine!BG$38</f>
        <v/>
      </c>
      <c r="BH70" s="41">
        <f>RBF_Engine!BH$38</f>
        <v/>
      </c>
      <c r="BI70" s="41">
        <f>RBF_Engine!BI$38</f>
        <v/>
      </c>
      <c r="BJ70" s="41">
        <f>RBF_Engine!BJ$38</f>
        <v/>
      </c>
      <c r="BK70" s="41">
        <f>RBF_Engine!BK$38</f>
        <v/>
      </c>
      <c r="BL70" s="41">
        <f>RBF_Engine!BL$38</f>
        <v/>
      </c>
    </row>
    <row r="71">
      <c r="A71" s="98" t="inlineStr">
        <is>
          <t>Active (paying, in-tenor) accounts</t>
        </is>
      </c>
      <c r="B71" s="65" t="inlineStr">
        <is>
          <t>accounts</t>
        </is>
      </c>
      <c r="C71" s="105">
        <f>BL71</f>
        <v/>
      </c>
      <c r="E71" s="41">
        <f>Cohort_T3!E$72</f>
        <v/>
      </c>
      <c r="F71" s="41">
        <f>Cohort_T3!F$72</f>
        <v/>
      </c>
      <c r="G71" s="41">
        <f>Cohort_T3!G$72</f>
        <v/>
      </c>
      <c r="H71" s="41">
        <f>Cohort_T3!H$72</f>
        <v/>
      </c>
      <c r="I71" s="41">
        <f>Cohort_T3!I$72</f>
        <v/>
      </c>
      <c r="J71" s="41">
        <f>Cohort_T3!J$72</f>
        <v/>
      </c>
      <c r="K71" s="41">
        <f>Cohort_T3!K$72</f>
        <v/>
      </c>
      <c r="L71" s="41">
        <f>Cohort_T3!L$72</f>
        <v/>
      </c>
      <c r="M71" s="41">
        <f>Cohort_T3!M$72</f>
        <v/>
      </c>
      <c r="N71" s="41">
        <f>Cohort_T3!N$72</f>
        <v/>
      </c>
      <c r="O71" s="41">
        <f>Cohort_T3!O$72</f>
        <v/>
      </c>
      <c r="P71" s="41">
        <f>Cohort_T3!P$72</f>
        <v/>
      </c>
      <c r="Q71" s="41">
        <f>Cohort_T3!Q$72</f>
        <v/>
      </c>
      <c r="R71" s="41">
        <f>Cohort_T3!R$72</f>
        <v/>
      </c>
      <c r="S71" s="41">
        <f>Cohort_T3!S$72</f>
        <v/>
      </c>
      <c r="T71" s="41">
        <f>Cohort_T3!T$72</f>
        <v/>
      </c>
      <c r="U71" s="41">
        <f>Cohort_T3!U$72</f>
        <v/>
      </c>
      <c r="V71" s="41">
        <f>Cohort_T3!V$72</f>
        <v/>
      </c>
      <c r="W71" s="41">
        <f>Cohort_T3!W$72</f>
        <v/>
      </c>
      <c r="X71" s="41">
        <f>Cohort_T3!X$72</f>
        <v/>
      </c>
      <c r="Y71" s="41">
        <f>Cohort_T3!Y$72</f>
        <v/>
      </c>
      <c r="Z71" s="41">
        <f>Cohort_T3!Z$72</f>
        <v/>
      </c>
      <c r="AA71" s="41">
        <f>Cohort_T3!AA$72</f>
        <v/>
      </c>
      <c r="AB71" s="41">
        <f>Cohort_T3!AB$72</f>
        <v/>
      </c>
      <c r="AC71" s="41">
        <f>Cohort_T3!AC$72</f>
        <v/>
      </c>
      <c r="AD71" s="41">
        <f>Cohort_T3!AD$72</f>
        <v/>
      </c>
      <c r="AE71" s="41">
        <f>Cohort_T3!AE$72</f>
        <v/>
      </c>
      <c r="AF71" s="41">
        <f>Cohort_T3!AF$72</f>
        <v/>
      </c>
      <c r="AG71" s="41">
        <f>Cohort_T3!AG$72</f>
        <v/>
      </c>
      <c r="AH71" s="41">
        <f>Cohort_T3!AH$72</f>
        <v/>
      </c>
      <c r="AI71" s="41">
        <f>Cohort_T3!AI$72</f>
        <v/>
      </c>
      <c r="AJ71" s="41">
        <f>Cohort_T3!AJ$72</f>
        <v/>
      </c>
      <c r="AK71" s="41">
        <f>Cohort_T3!AK$72</f>
        <v/>
      </c>
      <c r="AL71" s="41">
        <f>Cohort_T3!AL$72</f>
        <v/>
      </c>
      <c r="AM71" s="41">
        <f>Cohort_T3!AM$72</f>
        <v/>
      </c>
      <c r="AN71" s="41">
        <f>Cohort_T3!AN$72</f>
        <v/>
      </c>
      <c r="AO71" s="41">
        <f>Cohort_T3!AO$72</f>
        <v/>
      </c>
      <c r="AP71" s="41">
        <f>Cohort_T3!AP$72</f>
        <v/>
      </c>
      <c r="AQ71" s="41">
        <f>Cohort_T3!AQ$72</f>
        <v/>
      </c>
      <c r="AR71" s="41">
        <f>Cohort_T3!AR$72</f>
        <v/>
      </c>
      <c r="AS71" s="41">
        <f>Cohort_T3!AS$72</f>
        <v/>
      </c>
      <c r="AT71" s="41">
        <f>Cohort_T3!AT$72</f>
        <v/>
      </c>
      <c r="AU71" s="41">
        <f>Cohort_T3!AU$72</f>
        <v/>
      </c>
      <c r="AV71" s="41">
        <f>Cohort_T3!AV$72</f>
        <v/>
      </c>
      <c r="AW71" s="41">
        <f>Cohort_T3!AW$72</f>
        <v/>
      </c>
      <c r="AX71" s="41">
        <f>Cohort_T3!AX$72</f>
        <v/>
      </c>
      <c r="AY71" s="41">
        <f>Cohort_T3!AY$72</f>
        <v/>
      </c>
      <c r="AZ71" s="41">
        <f>Cohort_T3!AZ$72</f>
        <v/>
      </c>
      <c r="BA71" s="41">
        <f>Cohort_T3!BA$72</f>
        <v/>
      </c>
      <c r="BB71" s="41">
        <f>Cohort_T3!BB$72</f>
        <v/>
      </c>
      <c r="BC71" s="41">
        <f>Cohort_T3!BC$72</f>
        <v/>
      </c>
      <c r="BD71" s="41">
        <f>Cohort_T3!BD$72</f>
        <v/>
      </c>
      <c r="BE71" s="41">
        <f>Cohort_T3!BE$72</f>
        <v/>
      </c>
      <c r="BF71" s="41">
        <f>Cohort_T3!BF$72</f>
        <v/>
      </c>
      <c r="BG71" s="41">
        <f>Cohort_T3!BG$72</f>
        <v/>
      </c>
      <c r="BH71" s="41">
        <f>Cohort_T3!BH$72</f>
        <v/>
      </c>
      <c r="BI71" s="41">
        <f>Cohort_T3!BI$72</f>
        <v/>
      </c>
      <c r="BJ71" s="41">
        <f>Cohort_T3!BJ$72</f>
        <v/>
      </c>
      <c r="BK71" s="41">
        <f>Cohort_T3!BK$72</f>
        <v/>
      </c>
      <c r="BL71" s="41">
        <f>Cohort_T3!BL$72</f>
        <v/>
      </c>
    </row>
    <row r="72">
      <c r="A72" s="98" t="inlineStr">
        <is>
          <t>Accounts reaching end of tenor (unlocked)</t>
        </is>
      </c>
      <c r="B72" s="65" t="inlineStr">
        <is>
          <t>accounts</t>
        </is>
      </c>
      <c r="C72" s="105">
        <f>SUM(E72:BL72)</f>
        <v/>
      </c>
      <c r="E72" s="80">
        <f>IF(E$4&gt;Products!$E$16,INDEX($E$59:$BL$59,1,E$4-Products!$E$16)*INDEX(Curves!$AB$8:$AB$68,Products!$E$16+1),0)</f>
        <v/>
      </c>
      <c r="F72" s="80">
        <f>IF(F$4&gt;Products!$E$16,INDEX($E$59:$BL$59,1,F$4-Products!$E$16)*INDEX(Curves!$AB$8:$AB$68,Products!$E$16+1),0)</f>
        <v/>
      </c>
      <c r="G72" s="80">
        <f>IF(G$4&gt;Products!$E$16,INDEX($E$59:$BL$59,1,G$4-Products!$E$16)*INDEX(Curves!$AB$8:$AB$68,Products!$E$16+1),0)</f>
        <v/>
      </c>
      <c r="H72" s="80">
        <f>IF(H$4&gt;Products!$E$16,INDEX($E$59:$BL$59,1,H$4-Products!$E$16)*INDEX(Curves!$AB$8:$AB$68,Products!$E$16+1),0)</f>
        <v/>
      </c>
      <c r="I72" s="80">
        <f>IF(I$4&gt;Products!$E$16,INDEX($E$59:$BL$59,1,I$4-Products!$E$16)*INDEX(Curves!$AB$8:$AB$68,Products!$E$16+1),0)</f>
        <v/>
      </c>
      <c r="J72" s="80">
        <f>IF(J$4&gt;Products!$E$16,INDEX($E$59:$BL$59,1,J$4-Products!$E$16)*INDEX(Curves!$AB$8:$AB$68,Products!$E$16+1),0)</f>
        <v/>
      </c>
      <c r="K72" s="80">
        <f>IF(K$4&gt;Products!$E$16,INDEX($E$59:$BL$59,1,K$4-Products!$E$16)*INDEX(Curves!$AB$8:$AB$68,Products!$E$16+1),0)</f>
        <v/>
      </c>
      <c r="L72" s="80">
        <f>IF(L$4&gt;Products!$E$16,INDEX($E$59:$BL$59,1,L$4-Products!$E$16)*INDEX(Curves!$AB$8:$AB$68,Products!$E$16+1),0)</f>
        <v/>
      </c>
      <c r="M72" s="80">
        <f>IF(M$4&gt;Products!$E$16,INDEX($E$59:$BL$59,1,M$4-Products!$E$16)*INDEX(Curves!$AB$8:$AB$68,Products!$E$16+1),0)</f>
        <v/>
      </c>
      <c r="N72" s="80">
        <f>IF(N$4&gt;Products!$E$16,INDEX($E$59:$BL$59,1,N$4-Products!$E$16)*INDEX(Curves!$AB$8:$AB$68,Products!$E$16+1),0)</f>
        <v/>
      </c>
      <c r="O72" s="80">
        <f>IF(O$4&gt;Products!$E$16,INDEX($E$59:$BL$59,1,O$4-Products!$E$16)*INDEX(Curves!$AB$8:$AB$68,Products!$E$16+1),0)</f>
        <v/>
      </c>
      <c r="P72" s="80">
        <f>IF(P$4&gt;Products!$E$16,INDEX($E$59:$BL$59,1,P$4-Products!$E$16)*INDEX(Curves!$AB$8:$AB$68,Products!$E$16+1),0)</f>
        <v/>
      </c>
      <c r="Q72" s="80">
        <f>IF(Q$4&gt;Products!$E$16,INDEX($E$59:$BL$59,1,Q$4-Products!$E$16)*INDEX(Curves!$AB$8:$AB$68,Products!$E$16+1),0)</f>
        <v/>
      </c>
      <c r="R72" s="80">
        <f>IF(R$4&gt;Products!$E$16,INDEX($E$59:$BL$59,1,R$4-Products!$E$16)*INDEX(Curves!$AB$8:$AB$68,Products!$E$16+1),0)</f>
        <v/>
      </c>
      <c r="S72" s="80">
        <f>IF(S$4&gt;Products!$E$16,INDEX($E$59:$BL$59,1,S$4-Products!$E$16)*INDEX(Curves!$AB$8:$AB$68,Products!$E$16+1),0)</f>
        <v/>
      </c>
      <c r="T72" s="80">
        <f>IF(T$4&gt;Products!$E$16,INDEX($E$59:$BL$59,1,T$4-Products!$E$16)*INDEX(Curves!$AB$8:$AB$68,Products!$E$16+1),0)</f>
        <v/>
      </c>
      <c r="U72" s="80">
        <f>IF(U$4&gt;Products!$E$16,INDEX($E$59:$BL$59,1,U$4-Products!$E$16)*INDEX(Curves!$AB$8:$AB$68,Products!$E$16+1),0)</f>
        <v/>
      </c>
      <c r="V72" s="80">
        <f>IF(V$4&gt;Products!$E$16,INDEX($E$59:$BL$59,1,V$4-Products!$E$16)*INDEX(Curves!$AB$8:$AB$68,Products!$E$16+1),0)</f>
        <v/>
      </c>
      <c r="W72" s="80">
        <f>IF(W$4&gt;Products!$E$16,INDEX($E$59:$BL$59,1,W$4-Products!$E$16)*INDEX(Curves!$AB$8:$AB$68,Products!$E$16+1),0)</f>
        <v/>
      </c>
      <c r="X72" s="80">
        <f>IF(X$4&gt;Products!$E$16,INDEX($E$59:$BL$59,1,X$4-Products!$E$16)*INDEX(Curves!$AB$8:$AB$68,Products!$E$16+1),0)</f>
        <v/>
      </c>
      <c r="Y72" s="80">
        <f>IF(Y$4&gt;Products!$E$16,INDEX($E$59:$BL$59,1,Y$4-Products!$E$16)*INDEX(Curves!$AB$8:$AB$68,Products!$E$16+1),0)</f>
        <v/>
      </c>
      <c r="Z72" s="80">
        <f>IF(Z$4&gt;Products!$E$16,INDEX($E$59:$BL$59,1,Z$4-Products!$E$16)*INDEX(Curves!$AB$8:$AB$68,Products!$E$16+1),0)</f>
        <v/>
      </c>
      <c r="AA72" s="80">
        <f>IF(AA$4&gt;Products!$E$16,INDEX($E$59:$BL$59,1,AA$4-Products!$E$16)*INDEX(Curves!$AB$8:$AB$68,Products!$E$16+1),0)</f>
        <v/>
      </c>
      <c r="AB72" s="80">
        <f>IF(AB$4&gt;Products!$E$16,INDEX($E$59:$BL$59,1,AB$4-Products!$E$16)*INDEX(Curves!$AB$8:$AB$68,Products!$E$16+1),0)</f>
        <v/>
      </c>
      <c r="AC72" s="80">
        <f>IF(AC$4&gt;Products!$E$16,INDEX($E$59:$BL$59,1,AC$4-Products!$E$16)*INDEX(Curves!$AB$8:$AB$68,Products!$E$16+1),0)</f>
        <v/>
      </c>
      <c r="AD72" s="80">
        <f>IF(AD$4&gt;Products!$E$16,INDEX($E$59:$BL$59,1,AD$4-Products!$E$16)*INDEX(Curves!$AB$8:$AB$68,Products!$E$16+1),0)</f>
        <v/>
      </c>
      <c r="AE72" s="80">
        <f>IF(AE$4&gt;Products!$E$16,INDEX($E$59:$BL$59,1,AE$4-Products!$E$16)*INDEX(Curves!$AB$8:$AB$68,Products!$E$16+1),0)</f>
        <v/>
      </c>
      <c r="AF72" s="80">
        <f>IF(AF$4&gt;Products!$E$16,INDEX($E$59:$BL$59,1,AF$4-Products!$E$16)*INDEX(Curves!$AB$8:$AB$68,Products!$E$16+1),0)</f>
        <v/>
      </c>
      <c r="AG72" s="80">
        <f>IF(AG$4&gt;Products!$E$16,INDEX($E$59:$BL$59,1,AG$4-Products!$E$16)*INDEX(Curves!$AB$8:$AB$68,Products!$E$16+1),0)</f>
        <v/>
      </c>
      <c r="AH72" s="80">
        <f>IF(AH$4&gt;Products!$E$16,INDEX($E$59:$BL$59,1,AH$4-Products!$E$16)*INDEX(Curves!$AB$8:$AB$68,Products!$E$16+1),0)</f>
        <v/>
      </c>
      <c r="AI72" s="80">
        <f>IF(AI$4&gt;Products!$E$16,INDEX($E$59:$BL$59,1,AI$4-Products!$E$16)*INDEX(Curves!$AB$8:$AB$68,Products!$E$16+1),0)</f>
        <v/>
      </c>
      <c r="AJ72" s="80">
        <f>IF(AJ$4&gt;Products!$E$16,INDEX($E$59:$BL$59,1,AJ$4-Products!$E$16)*INDEX(Curves!$AB$8:$AB$68,Products!$E$16+1),0)</f>
        <v/>
      </c>
      <c r="AK72" s="80">
        <f>IF(AK$4&gt;Products!$E$16,INDEX($E$59:$BL$59,1,AK$4-Products!$E$16)*INDEX(Curves!$AB$8:$AB$68,Products!$E$16+1),0)</f>
        <v/>
      </c>
      <c r="AL72" s="80">
        <f>IF(AL$4&gt;Products!$E$16,INDEX($E$59:$BL$59,1,AL$4-Products!$E$16)*INDEX(Curves!$AB$8:$AB$68,Products!$E$16+1),0)</f>
        <v/>
      </c>
      <c r="AM72" s="80">
        <f>IF(AM$4&gt;Products!$E$16,INDEX($E$59:$BL$59,1,AM$4-Products!$E$16)*INDEX(Curves!$AB$8:$AB$68,Products!$E$16+1),0)</f>
        <v/>
      </c>
      <c r="AN72" s="80">
        <f>IF(AN$4&gt;Products!$E$16,INDEX($E$59:$BL$59,1,AN$4-Products!$E$16)*INDEX(Curves!$AB$8:$AB$68,Products!$E$16+1),0)</f>
        <v/>
      </c>
      <c r="AO72" s="80">
        <f>IF(AO$4&gt;Products!$E$16,INDEX($E$59:$BL$59,1,AO$4-Products!$E$16)*INDEX(Curves!$AB$8:$AB$68,Products!$E$16+1),0)</f>
        <v/>
      </c>
      <c r="AP72" s="80">
        <f>IF(AP$4&gt;Products!$E$16,INDEX($E$59:$BL$59,1,AP$4-Products!$E$16)*INDEX(Curves!$AB$8:$AB$68,Products!$E$16+1),0)</f>
        <v/>
      </c>
      <c r="AQ72" s="80">
        <f>IF(AQ$4&gt;Products!$E$16,INDEX($E$59:$BL$59,1,AQ$4-Products!$E$16)*INDEX(Curves!$AB$8:$AB$68,Products!$E$16+1),0)</f>
        <v/>
      </c>
      <c r="AR72" s="80">
        <f>IF(AR$4&gt;Products!$E$16,INDEX($E$59:$BL$59,1,AR$4-Products!$E$16)*INDEX(Curves!$AB$8:$AB$68,Products!$E$16+1),0)</f>
        <v/>
      </c>
      <c r="AS72" s="80">
        <f>IF(AS$4&gt;Products!$E$16,INDEX($E$59:$BL$59,1,AS$4-Products!$E$16)*INDEX(Curves!$AB$8:$AB$68,Products!$E$16+1),0)</f>
        <v/>
      </c>
      <c r="AT72" s="80">
        <f>IF(AT$4&gt;Products!$E$16,INDEX($E$59:$BL$59,1,AT$4-Products!$E$16)*INDEX(Curves!$AB$8:$AB$68,Products!$E$16+1),0)</f>
        <v/>
      </c>
      <c r="AU72" s="80">
        <f>IF(AU$4&gt;Products!$E$16,INDEX($E$59:$BL$59,1,AU$4-Products!$E$16)*INDEX(Curves!$AB$8:$AB$68,Products!$E$16+1),0)</f>
        <v/>
      </c>
      <c r="AV72" s="80">
        <f>IF(AV$4&gt;Products!$E$16,INDEX($E$59:$BL$59,1,AV$4-Products!$E$16)*INDEX(Curves!$AB$8:$AB$68,Products!$E$16+1),0)</f>
        <v/>
      </c>
      <c r="AW72" s="80">
        <f>IF(AW$4&gt;Products!$E$16,INDEX($E$59:$BL$59,1,AW$4-Products!$E$16)*INDEX(Curves!$AB$8:$AB$68,Products!$E$16+1),0)</f>
        <v/>
      </c>
      <c r="AX72" s="80">
        <f>IF(AX$4&gt;Products!$E$16,INDEX($E$59:$BL$59,1,AX$4-Products!$E$16)*INDEX(Curves!$AB$8:$AB$68,Products!$E$16+1),0)</f>
        <v/>
      </c>
      <c r="AY72" s="80">
        <f>IF(AY$4&gt;Products!$E$16,INDEX($E$59:$BL$59,1,AY$4-Products!$E$16)*INDEX(Curves!$AB$8:$AB$68,Products!$E$16+1),0)</f>
        <v/>
      </c>
      <c r="AZ72" s="80">
        <f>IF(AZ$4&gt;Products!$E$16,INDEX($E$59:$BL$59,1,AZ$4-Products!$E$16)*INDEX(Curves!$AB$8:$AB$68,Products!$E$16+1),0)</f>
        <v/>
      </c>
      <c r="BA72" s="80">
        <f>IF(BA$4&gt;Products!$E$16,INDEX($E$59:$BL$59,1,BA$4-Products!$E$16)*INDEX(Curves!$AB$8:$AB$68,Products!$E$16+1),0)</f>
        <v/>
      </c>
      <c r="BB72" s="80">
        <f>IF(BB$4&gt;Products!$E$16,INDEX($E$59:$BL$59,1,BB$4-Products!$E$16)*INDEX(Curves!$AB$8:$AB$68,Products!$E$16+1),0)</f>
        <v/>
      </c>
      <c r="BC72" s="80">
        <f>IF(BC$4&gt;Products!$E$16,INDEX($E$59:$BL$59,1,BC$4-Products!$E$16)*INDEX(Curves!$AB$8:$AB$68,Products!$E$16+1),0)</f>
        <v/>
      </c>
      <c r="BD72" s="80">
        <f>IF(BD$4&gt;Products!$E$16,INDEX($E$59:$BL$59,1,BD$4-Products!$E$16)*INDEX(Curves!$AB$8:$AB$68,Products!$E$16+1),0)</f>
        <v/>
      </c>
      <c r="BE72" s="80">
        <f>IF(BE$4&gt;Products!$E$16,INDEX($E$59:$BL$59,1,BE$4-Products!$E$16)*INDEX(Curves!$AB$8:$AB$68,Products!$E$16+1),0)</f>
        <v/>
      </c>
      <c r="BF72" s="80">
        <f>IF(BF$4&gt;Products!$E$16,INDEX($E$59:$BL$59,1,BF$4-Products!$E$16)*INDEX(Curves!$AB$8:$AB$68,Products!$E$16+1),0)</f>
        <v/>
      </c>
      <c r="BG72" s="80">
        <f>IF(BG$4&gt;Products!$E$16,INDEX($E$59:$BL$59,1,BG$4-Products!$E$16)*INDEX(Curves!$AB$8:$AB$68,Products!$E$16+1),0)</f>
        <v/>
      </c>
      <c r="BH72" s="80">
        <f>IF(BH$4&gt;Products!$E$16,INDEX($E$59:$BL$59,1,BH$4-Products!$E$16)*INDEX(Curves!$AB$8:$AB$68,Products!$E$16+1),0)</f>
        <v/>
      </c>
      <c r="BI72" s="80">
        <f>IF(BI$4&gt;Products!$E$16,INDEX($E$59:$BL$59,1,BI$4-Products!$E$16)*INDEX(Curves!$AB$8:$AB$68,Products!$E$16+1),0)</f>
        <v/>
      </c>
      <c r="BJ72" s="80">
        <f>IF(BJ$4&gt;Products!$E$16,INDEX($E$59:$BL$59,1,BJ$4-Products!$E$16)*INDEX(Curves!$AB$8:$AB$68,Products!$E$16+1),0)</f>
        <v/>
      </c>
      <c r="BK72" s="80">
        <f>IF(BK$4&gt;Products!$E$16,INDEX($E$59:$BL$59,1,BK$4-Products!$E$16)*INDEX(Curves!$AB$8:$AB$68,Products!$E$16+1),0)</f>
        <v/>
      </c>
      <c r="BL72" s="80">
        <f>IF(BL$4&gt;Products!$E$16,INDEX($E$59:$BL$59,1,BL$4-Products!$E$16)*INDEX(Curves!$AB$8:$AB$68,Products!$E$16+1),0)</f>
        <v/>
      </c>
    </row>
    <row r="73">
      <c r="A73" s="98" t="inlineStr">
        <is>
          <t>Receivables at risk (carrying amount, accounts that stopped paying)</t>
        </is>
      </c>
      <c r="B73" s="65" t="inlineStr">
        <is>
          <t>LCY</t>
        </is>
      </c>
      <c r="C73" s="105">
        <f>BL73</f>
        <v/>
      </c>
      <c r="E73" s="41">
        <f>Cohort_T3!E$135</f>
        <v/>
      </c>
      <c r="F73" s="41">
        <f>Cohort_T3!F$135</f>
        <v/>
      </c>
      <c r="G73" s="41">
        <f>Cohort_T3!G$135</f>
        <v/>
      </c>
      <c r="H73" s="41">
        <f>Cohort_T3!H$135</f>
        <v/>
      </c>
      <c r="I73" s="41">
        <f>Cohort_T3!I$135</f>
        <v/>
      </c>
      <c r="J73" s="41">
        <f>Cohort_T3!J$135</f>
        <v/>
      </c>
      <c r="K73" s="41">
        <f>Cohort_T3!K$135</f>
        <v/>
      </c>
      <c r="L73" s="41">
        <f>Cohort_T3!L$135</f>
        <v/>
      </c>
      <c r="M73" s="41">
        <f>Cohort_T3!M$135</f>
        <v/>
      </c>
      <c r="N73" s="41">
        <f>Cohort_T3!N$135</f>
        <v/>
      </c>
      <c r="O73" s="41">
        <f>Cohort_T3!O$135</f>
        <v/>
      </c>
      <c r="P73" s="41">
        <f>Cohort_T3!P$135</f>
        <v/>
      </c>
      <c r="Q73" s="41">
        <f>Cohort_T3!Q$135</f>
        <v/>
      </c>
      <c r="R73" s="41">
        <f>Cohort_T3!R$135</f>
        <v/>
      </c>
      <c r="S73" s="41">
        <f>Cohort_T3!S$135</f>
        <v/>
      </c>
      <c r="T73" s="41">
        <f>Cohort_T3!T$135</f>
        <v/>
      </c>
      <c r="U73" s="41">
        <f>Cohort_T3!U$135</f>
        <v/>
      </c>
      <c r="V73" s="41">
        <f>Cohort_T3!V$135</f>
        <v/>
      </c>
      <c r="W73" s="41">
        <f>Cohort_T3!W$135</f>
        <v/>
      </c>
      <c r="X73" s="41">
        <f>Cohort_T3!X$135</f>
        <v/>
      </c>
      <c r="Y73" s="41">
        <f>Cohort_T3!Y$135</f>
        <v/>
      </c>
      <c r="Z73" s="41">
        <f>Cohort_T3!Z$135</f>
        <v/>
      </c>
      <c r="AA73" s="41">
        <f>Cohort_T3!AA$135</f>
        <v/>
      </c>
      <c r="AB73" s="41">
        <f>Cohort_T3!AB$135</f>
        <v/>
      </c>
      <c r="AC73" s="41">
        <f>Cohort_T3!AC$135</f>
        <v/>
      </c>
      <c r="AD73" s="41">
        <f>Cohort_T3!AD$135</f>
        <v/>
      </c>
      <c r="AE73" s="41">
        <f>Cohort_T3!AE$135</f>
        <v/>
      </c>
      <c r="AF73" s="41">
        <f>Cohort_T3!AF$135</f>
        <v/>
      </c>
      <c r="AG73" s="41">
        <f>Cohort_T3!AG$135</f>
        <v/>
      </c>
      <c r="AH73" s="41">
        <f>Cohort_T3!AH$135</f>
        <v/>
      </c>
      <c r="AI73" s="41">
        <f>Cohort_T3!AI$135</f>
        <v/>
      </c>
      <c r="AJ73" s="41">
        <f>Cohort_T3!AJ$135</f>
        <v/>
      </c>
      <c r="AK73" s="41">
        <f>Cohort_T3!AK$135</f>
        <v/>
      </c>
      <c r="AL73" s="41">
        <f>Cohort_T3!AL$135</f>
        <v/>
      </c>
      <c r="AM73" s="41">
        <f>Cohort_T3!AM$135</f>
        <v/>
      </c>
      <c r="AN73" s="41">
        <f>Cohort_T3!AN$135</f>
        <v/>
      </c>
      <c r="AO73" s="41">
        <f>Cohort_T3!AO$135</f>
        <v/>
      </c>
      <c r="AP73" s="41">
        <f>Cohort_T3!AP$135</f>
        <v/>
      </c>
      <c r="AQ73" s="41">
        <f>Cohort_T3!AQ$135</f>
        <v/>
      </c>
      <c r="AR73" s="41">
        <f>Cohort_T3!AR$135</f>
        <v/>
      </c>
      <c r="AS73" s="41">
        <f>Cohort_T3!AS$135</f>
        <v/>
      </c>
      <c r="AT73" s="41">
        <f>Cohort_T3!AT$135</f>
        <v/>
      </c>
      <c r="AU73" s="41">
        <f>Cohort_T3!AU$135</f>
        <v/>
      </c>
      <c r="AV73" s="41">
        <f>Cohort_T3!AV$135</f>
        <v/>
      </c>
      <c r="AW73" s="41">
        <f>Cohort_T3!AW$135</f>
        <v/>
      </c>
      <c r="AX73" s="41">
        <f>Cohort_T3!AX$135</f>
        <v/>
      </c>
      <c r="AY73" s="41">
        <f>Cohort_T3!AY$135</f>
        <v/>
      </c>
      <c r="AZ73" s="41">
        <f>Cohort_T3!AZ$135</f>
        <v/>
      </c>
      <c r="BA73" s="41">
        <f>Cohort_T3!BA$135</f>
        <v/>
      </c>
      <c r="BB73" s="41">
        <f>Cohort_T3!BB$135</f>
        <v/>
      </c>
      <c r="BC73" s="41">
        <f>Cohort_T3!BC$135</f>
        <v/>
      </c>
      <c r="BD73" s="41">
        <f>Cohort_T3!BD$135</f>
        <v/>
      </c>
      <c r="BE73" s="41">
        <f>Cohort_T3!BE$135</f>
        <v/>
      </c>
      <c r="BF73" s="41">
        <f>Cohort_T3!BF$135</f>
        <v/>
      </c>
      <c r="BG73" s="41">
        <f>Cohort_T3!BG$135</f>
        <v/>
      </c>
      <c r="BH73" s="41">
        <f>Cohort_T3!BH$135</f>
        <v/>
      </c>
      <c r="BI73" s="41">
        <f>Cohort_T3!BI$135</f>
        <v/>
      </c>
      <c r="BJ73" s="41">
        <f>Cohort_T3!BJ$135</f>
        <v/>
      </c>
      <c r="BK73" s="41">
        <f>Cohort_T3!BK$135</f>
        <v/>
      </c>
      <c r="BL73" s="41">
        <f>Cohort_T3!BL$135</f>
        <v/>
      </c>
    </row>
    <row r="74">
      <c r="A74" s="98" t="inlineStr">
        <is>
          <t>Gross PAYGo receivables (closing)</t>
        </is>
      </c>
      <c r="B74" s="65" t="inlineStr">
        <is>
          <t>LCY</t>
        </is>
      </c>
      <c r="C74" s="105">
        <f>BL74</f>
        <v/>
      </c>
      <c r="E74" s="80">
        <f>D74+E63+E67-E65-E66</f>
        <v/>
      </c>
      <c r="F74" s="80">
        <f>E74+F63+F67-F65-F66</f>
        <v/>
      </c>
      <c r="G74" s="80">
        <f>F74+G63+G67-G65-G66</f>
        <v/>
      </c>
      <c r="H74" s="80">
        <f>G74+H63+H67-H65-H66</f>
        <v/>
      </c>
      <c r="I74" s="80">
        <f>H74+I63+I67-I65-I66</f>
        <v/>
      </c>
      <c r="J74" s="80">
        <f>I74+J63+J67-J65-J66</f>
        <v/>
      </c>
      <c r="K74" s="80">
        <f>J74+K63+K67-K65-K66</f>
        <v/>
      </c>
      <c r="L74" s="80">
        <f>K74+L63+L67-L65-L66</f>
        <v/>
      </c>
      <c r="M74" s="80">
        <f>L74+M63+M67-M65-M66</f>
        <v/>
      </c>
      <c r="N74" s="80">
        <f>M74+N63+N67-N65-N66</f>
        <v/>
      </c>
      <c r="O74" s="80">
        <f>N74+O63+O67-O65-O66</f>
        <v/>
      </c>
      <c r="P74" s="80">
        <f>O74+P63+P67-P65-P66</f>
        <v/>
      </c>
      <c r="Q74" s="80">
        <f>P74+Q63+Q67-Q65-Q66</f>
        <v/>
      </c>
      <c r="R74" s="80">
        <f>Q74+R63+R67-R65-R66</f>
        <v/>
      </c>
      <c r="S74" s="80">
        <f>R74+S63+S67-S65-S66</f>
        <v/>
      </c>
      <c r="T74" s="80">
        <f>S74+T63+T67-T65-T66</f>
        <v/>
      </c>
      <c r="U74" s="80">
        <f>T74+U63+U67-U65-U66</f>
        <v/>
      </c>
      <c r="V74" s="80">
        <f>U74+V63+V67-V65-V66</f>
        <v/>
      </c>
      <c r="W74" s="80">
        <f>V74+W63+W67-W65-W66</f>
        <v/>
      </c>
      <c r="X74" s="80">
        <f>W74+X63+X67-X65-X66</f>
        <v/>
      </c>
      <c r="Y74" s="80">
        <f>X74+Y63+Y67-Y65-Y66</f>
        <v/>
      </c>
      <c r="Z74" s="80">
        <f>Y74+Z63+Z67-Z65-Z66</f>
        <v/>
      </c>
      <c r="AA74" s="80">
        <f>Z74+AA63+AA67-AA65-AA66</f>
        <v/>
      </c>
      <c r="AB74" s="80">
        <f>AA74+AB63+AB67-AB65-AB66</f>
        <v/>
      </c>
      <c r="AC74" s="80">
        <f>AB74+AC63+AC67-AC65-AC66</f>
        <v/>
      </c>
      <c r="AD74" s="80">
        <f>AC74+AD63+AD67-AD65-AD66</f>
        <v/>
      </c>
      <c r="AE74" s="80">
        <f>AD74+AE63+AE67-AE65-AE66</f>
        <v/>
      </c>
      <c r="AF74" s="80">
        <f>AE74+AF63+AF67-AF65-AF66</f>
        <v/>
      </c>
      <c r="AG74" s="80">
        <f>AF74+AG63+AG67-AG65-AG66</f>
        <v/>
      </c>
      <c r="AH74" s="80">
        <f>AG74+AH63+AH67-AH65-AH66</f>
        <v/>
      </c>
      <c r="AI74" s="80">
        <f>AH74+AI63+AI67-AI65-AI66</f>
        <v/>
      </c>
      <c r="AJ74" s="80">
        <f>AI74+AJ63+AJ67-AJ65-AJ66</f>
        <v/>
      </c>
      <c r="AK74" s="80">
        <f>AJ74+AK63+AK67-AK65-AK66</f>
        <v/>
      </c>
      <c r="AL74" s="80">
        <f>AK74+AL63+AL67-AL65-AL66</f>
        <v/>
      </c>
      <c r="AM74" s="80">
        <f>AL74+AM63+AM67-AM65-AM66</f>
        <v/>
      </c>
      <c r="AN74" s="80">
        <f>AM74+AN63+AN67-AN65-AN66</f>
        <v/>
      </c>
      <c r="AO74" s="80">
        <f>AN74+AO63+AO67-AO65-AO66</f>
        <v/>
      </c>
      <c r="AP74" s="80">
        <f>AO74+AP63+AP67-AP65-AP66</f>
        <v/>
      </c>
      <c r="AQ74" s="80">
        <f>AP74+AQ63+AQ67-AQ65-AQ66</f>
        <v/>
      </c>
      <c r="AR74" s="80">
        <f>AQ74+AR63+AR67-AR65-AR66</f>
        <v/>
      </c>
      <c r="AS74" s="80">
        <f>AR74+AS63+AS67-AS65-AS66</f>
        <v/>
      </c>
      <c r="AT74" s="80">
        <f>AS74+AT63+AT67-AT65-AT66</f>
        <v/>
      </c>
      <c r="AU74" s="80">
        <f>AT74+AU63+AU67-AU65-AU66</f>
        <v/>
      </c>
      <c r="AV74" s="80">
        <f>AU74+AV63+AV67-AV65-AV66</f>
        <v/>
      </c>
      <c r="AW74" s="80">
        <f>AV74+AW63+AW67-AW65-AW66</f>
        <v/>
      </c>
      <c r="AX74" s="80">
        <f>AW74+AX63+AX67-AX65-AX66</f>
        <v/>
      </c>
      <c r="AY74" s="80">
        <f>AX74+AY63+AY67-AY65-AY66</f>
        <v/>
      </c>
      <c r="AZ74" s="80">
        <f>AY74+AZ63+AZ67-AZ65-AZ66</f>
        <v/>
      </c>
      <c r="BA74" s="80">
        <f>AZ74+BA63+BA67-BA65-BA66</f>
        <v/>
      </c>
      <c r="BB74" s="80">
        <f>BA74+BB63+BB67-BB65-BB66</f>
        <v/>
      </c>
      <c r="BC74" s="80">
        <f>BB74+BC63+BC67-BC65-BC66</f>
        <v/>
      </c>
      <c r="BD74" s="80">
        <f>BC74+BD63+BD67-BD65-BD66</f>
        <v/>
      </c>
      <c r="BE74" s="80">
        <f>BD74+BE63+BE67-BE65-BE66</f>
        <v/>
      </c>
      <c r="BF74" s="80">
        <f>BE74+BF63+BF67-BF65-BF66</f>
        <v/>
      </c>
      <c r="BG74" s="80">
        <f>BF74+BG63+BG67-BG65-BG66</f>
        <v/>
      </c>
      <c r="BH74" s="80">
        <f>BG74+BH63+BH67-BH65-BH66</f>
        <v/>
      </c>
      <c r="BI74" s="80">
        <f>BH74+BI63+BI67-BI65-BI66</f>
        <v/>
      </c>
      <c r="BJ74" s="80">
        <f>BI74+BJ63+BJ67-BJ65-BJ66</f>
        <v/>
      </c>
      <c r="BK74" s="80">
        <f>BJ74+BK63+BK67-BK65-BK66</f>
        <v/>
      </c>
      <c r="BL74" s="80">
        <f>BK74+BL63+BL67-BL65-BL66</f>
        <v/>
      </c>
    </row>
    <row r="75">
      <c r="A75" s="98" t="inlineStr">
        <is>
          <t>Eligible receivables (Credit_Engine, max-DPD rule)</t>
        </is>
      </c>
      <c r="B75" s="65" t="inlineStr">
        <is>
          <t>LCY</t>
        </is>
      </c>
      <c r="C75" s="105">
        <f>BL75</f>
        <v/>
      </c>
      <c r="E75" s="41">
        <f>Credit_Engine!E$145</f>
        <v/>
      </c>
      <c r="F75" s="41">
        <f>Credit_Engine!F$145</f>
        <v/>
      </c>
      <c r="G75" s="41">
        <f>Credit_Engine!G$145</f>
        <v/>
      </c>
      <c r="H75" s="41">
        <f>Credit_Engine!H$145</f>
        <v/>
      </c>
      <c r="I75" s="41">
        <f>Credit_Engine!I$145</f>
        <v/>
      </c>
      <c r="J75" s="41">
        <f>Credit_Engine!J$145</f>
        <v/>
      </c>
      <c r="K75" s="41">
        <f>Credit_Engine!K$145</f>
        <v/>
      </c>
      <c r="L75" s="41">
        <f>Credit_Engine!L$145</f>
        <v/>
      </c>
      <c r="M75" s="41">
        <f>Credit_Engine!M$145</f>
        <v/>
      </c>
      <c r="N75" s="41">
        <f>Credit_Engine!N$145</f>
        <v/>
      </c>
      <c r="O75" s="41">
        <f>Credit_Engine!O$145</f>
        <v/>
      </c>
      <c r="P75" s="41">
        <f>Credit_Engine!P$145</f>
        <v/>
      </c>
      <c r="Q75" s="41">
        <f>Credit_Engine!Q$145</f>
        <v/>
      </c>
      <c r="R75" s="41">
        <f>Credit_Engine!R$145</f>
        <v/>
      </c>
      <c r="S75" s="41">
        <f>Credit_Engine!S$145</f>
        <v/>
      </c>
      <c r="T75" s="41">
        <f>Credit_Engine!T$145</f>
        <v/>
      </c>
      <c r="U75" s="41">
        <f>Credit_Engine!U$145</f>
        <v/>
      </c>
      <c r="V75" s="41">
        <f>Credit_Engine!V$145</f>
        <v/>
      </c>
      <c r="W75" s="41">
        <f>Credit_Engine!W$145</f>
        <v/>
      </c>
      <c r="X75" s="41">
        <f>Credit_Engine!X$145</f>
        <v/>
      </c>
      <c r="Y75" s="41">
        <f>Credit_Engine!Y$145</f>
        <v/>
      </c>
      <c r="Z75" s="41">
        <f>Credit_Engine!Z$145</f>
        <v/>
      </c>
      <c r="AA75" s="41">
        <f>Credit_Engine!AA$145</f>
        <v/>
      </c>
      <c r="AB75" s="41">
        <f>Credit_Engine!AB$145</f>
        <v/>
      </c>
      <c r="AC75" s="41">
        <f>Credit_Engine!AC$145</f>
        <v/>
      </c>
      <c r="AD75" s="41">
        <f>Credit_Engine!AD$145</f>
        <v/>
      </c>
      <c r="AE75" s="41">
        <f>Credit_Engine!AE$145</f>
        <v/>
      </c>
      <c r="AF75" s="41">
        <f>Credit_Engine!AF$145</f>
        <v/>
      </c>
      <c r="AG75" s="41">
        <f>Credit_Engine!AG$145</f>
        <v/>
      </c>
      <c r="AH75" s="41">
        <f>Credit_Engine!AH$145</f>
        <v/>
      </c>
      <c r="AI75" s="41">
        <f>Credit_Engine!AI$145</f>
        <v/>
      </c>
      <c r="AJ75" s="41">
        <f>Credit_Engine!AJ$145</f>
        <v/>
      </c>
      <c r="AK75" s="41">
        <f>Credit_Engine!AK$145</f>
        <v/>
      </c>
      <c r="AL75" s="41">
        <f>Credit_Engine!AL$145</f>
        <v/>
      </c>
      <c r="AM75" s="41">
        <f>Credit_Engine!AM$145</f>
        <v/>
      </c>
      <c r="AN75" s="41">
        <f>Credit_Engine!AN$145</f>
        <v/>
      </c>
      <c r="AO75" s="41">
        <f>Credit_Engine!AO$145</f>
        <v/>
      </c>
      <c r="AP75" s="41">
        <f>Credit_Engine!AP$145</f>
        <v/>
      </c>
      <c r="AQ75" s="41">
        <f>Credit_Engine!AQ$145</f>
        <v/>
      </c>
      <c r="AR75" s="41">
        <f>Credit_Engine!AR$145</f>
        <v/>
      </c>
      <c r="AS75" s="41">
        <f>Credit_Engine!AS$145</f>
        <v/>
      </c>
      <c r="AT75" s="41">
        <f>Credit_Engine!AT$145</f>
        <v/>
      </c>
      <c r="AU75" s="41">
        <f>Credit_Engine!AU$145</f>
        <v/>
      </c>
      <c r="AV75" s="41">
        <f>Credit_Engine!AV$145</f>
        <v/>
      </c>
      <c r="AW75" s="41">
        <f>Credit_Engine!AW$145</f>
        <v/>
      </c>
      <c r="AX75" s="41">
        <f>Credit_Engine!AX$145</f>
        <v/>
      </c>
      <c r="AY75" s="41">
        <f>Credit_Engine!AY$145</f>
        <v/>
      </c>
      <c r="AZ75" s="41">
        <f>Credit_Engine!AZ$145</f>
        <v/>
      </c>
      <c r="BA75" s="41">
        <f>Credit_Engine!BA$145</f>
        <v/>
      </c>
      <c r="BB75" s="41">
        <f>Credit_Engine!BB$145</f>
        <v/>
      </c>
      <c r="BC75" s="41">
        <f>Credit_Engine!BC$145</f>
        <v/>
      </c>
      <c r="BD75" s="41">
        <f>Credit_Engine!BD$145</f>
        <v/>
      </c>
      <c r="BE75" s="41">
        <f>Credit_Engine!BE$145</f>
        <v/>
      </c>
      <c r="BF75" s="41">
        <f>Credit_Engine!BF$145</f>
        <v/>
      </c>
      <c r="BG75" s="41">
        <f>Credit_Engine!BG$145</f>
        <v/>
      </c>
      <c r="BH75" s="41">
        <f>Credit_Engine!BH$145</f>
        <v/>
      </c>
      <c r="BI75" s="41">
        <f>Credit_Engine!BI$145</f>
        <v/>
      </c>
      <c r="BJ75" s="41">
        <f>Credit_Engine!BJ$145</f>
        <v/>
      </c>
      <c r="BK75" s="41">
        <f>Credit_Engine!BK$145</f>
        <v/>
      </c>
      <c r="BL75" s="41">
        <f>Credit_Engine!BL$145</f>
        <v/>
      </c>
    </row>
    <row r="76">
      <c r="A76" s="98" t="inlineStr">
        <is>
          <t>Borrowing-base contribution (advance rate x eligible)</t>
        </is>
      </c>
      <c r="B76" s="65" t="inlineStr">
        <is>
          <t>LCY</t>
        </is>
      </c>
      <c r="C76" s="105">
        <f>BL76</f>
        <v/>
      </c>
      <c r="E76" s="80">
        <f>E75*Products!$E$31</f>
        <v/>
      </c>
      <c r="F76" s="80">
        <f>F75*Products!$E$31</f>
        <v/>
      </c>
      <c r="G76" s="80">
        <f>G75*Products!$E$31</f>
        <v/>
      </c>
      <c r="H76" s="80">
        <f>H75*Products!$E$31</f>
        <v/>
      </c>
      <c r="I76" s="80">
        <f>I75*Products!$E$31</f>
        <v/>
      </c>
      <c r="J76" s="80">
        <f>J75*Products!$E$31</f>
        <v/>
      </c>
      <c r="K76" s="80">
        <f>K75*Products!$E$31</f>
        <v/>
      </c>
      <c r="L76" s="80">
        <f>L75*Products!$E$31</f>
        <v/>
      </c>
      <c r="M76" s="80">
        <f>M75*Products!$E$31</f>
        <v/>
      </c>
      <c r="N76" s="80">
        <f>N75*Products!$E$31</f>
        <v/>
      </c>
      <c r="O76" s="80">
        <f>O75*Products!$E$31</f>
        <v/>
      </c>
      <c r="P76" s="80">
        <f>P75*Products!$E$31</f>
        <v/>
      </c>
      <c r="Q76" s="80">
        <f>Q75*Products!$E$31</f>
        <v/>
      </c>
      <c r="R76" s="80">
        <f>R75*Products!$E$31</f>
        <v/>
      </c>
      <c r="S76" s="80">
        <f>S75*Products!$E$31</f>
        <v/>
      </c>
      <c r="T76" s="80">
        <f>T75*Products!$E$31</f>
        <v/>
      </c>
      <c r="U76" s="80">
        <f>U75*Products!$E$31</f>
        <v/>
      </c>
      <c r="V76" s="80">
        <f>V75*Products!$E$31</f>
        <v/>
      </c>
      <c r="W76" s="80">
        <f>W75*Products!$E$31</f>
        <v/>
      </c>
      <c r="X76" s="80">
        <f>X75*Products!$E$31</f>
        <v/>
      </c>
      <c r="Y76" s="80">
        <f>Y75*Products!$E$31</f>
        <v/>
      </c>
      <c r="Z76" s="80">
        <f>Z75*Products!$E$31</f>
        <v/>
      </c>
      <c r="AA76" s="80">
        <f>AA75*Products!$E$31</f>
        <v/>
      </c>
      <c r="AB76" s="80">
        <f>AB75*Products!$E$31</f>
        <v/>
      </c>
      <c r="AC76" s="80">
        <f>AC75*Products!$E$31</f>
        <v/>
      </c>
      <c r="AD76" s="80">
        <f>AD75*Products!$E$31</f>
        <v/>
      </c>
      <c r="AE76" s="80">
        <f>AE75*Products!$E$31</f>
        <v/>
      </c>
      <c r="AF76" s="80">
        <f>AF75*Products!$E$31</f>
        <v/>
      </c>
      <c r="AG76" s="80">
        <f>AG75*Products!$E$31</f>
        <v/>
      </c>
      <c r="AH76" s="80">
        <f>AH75*Products!$E$31</f>
        <v/>
      </c>
      <c r="AI76" s="80">
        <f>AI75*Products!$E$31</f>
        <v/>
      </c>
      <c r="AJ76" s="80">
        <f>AJ75*Products!$E$31</f>
        <v/>
      </c>
      <c r="AK76" s="80">
        <f>AK75*Products!$E$31</f>
        <v/>
      </c>
      <c r="AL76" s="80">
        <f>AL75*Products!$E$31</f>
        <v/>
      </c>
      <c r="AM76" s="80">
        <f>AM75*Products!$E$31</f>
        <v/>
      </c>
      <c r="AN76" s="80">
        <f>AN75*Products!$E$31</f>
        <v/>
      </c>
      <c r="AO76" s="80">
        <f>AO75*Products!$E$31</f>
        <v/>
      </c>
      <c r="AP76" s="80">
        <f>AP75*Products!$E$31</f>
        <v/>
      </c>
      <c r="AQ76" s="80">
        <f>AQ75*Products!$E$31</f>
        <v/>
      </c>
      <c r="AR76" s="80">
        <f>AR75*Products!$E$31</f>
        <v/>
      </c>
      <c r="AS76" s="80">
        <f>AS75*Products!$E$31</f>
        <v/>
      </c>
      <c r="AT76" s="80">
        <f>AT75*Products!$E$31</f>
        <v/>
      </c>
      <c r="AU76" s="80">
        <f>AU75*Products!$E$31</f>
        <v/>
      </c>
      <c r="AV76" s="80">
        <f>AV75*Products!$E$31</f>
        <v/>
      </c>
      <c r="AW76" s="80">
        <f>AW75*Products!$E$31</f>
        <v/>
      </c>
      <c r="AX76" s="80">
        <f>AX75*Products!$E$31</f>
        <v/>
      </c>
      <c r="AY76" s="80">
        <f>AY75*Products!$E$31</f>
        <v/>
      </c>
      <c r="AZ76" s="80">
        <f>AZ75*Products!$E$31</f>
        <v/>
      </c>
      <c r="BA76" s="80">
        <f>BA75*Products!$E$31</f>
        <v/>
      </c>
      <c r="BB76" s="80">
        <f>BB75*Products!$E$31</f>
        <v/>
      </c>
      <c r="BC76" s="80">
        <f>BC75*Products!$E$31</f>
        <v/>
      </c>
      <c r="BD76" s="80">
        <f>BD75*Products!$E$31</f>
        <v/>
      </c>
      <c r="BE76" s="80">
        <f>BE75*Products!$E$31</f>
        <v/>
      </c>
      <c r="BF76" s="80">
        <f>BF75*Products!$E$31</f>
        <v/>
      </c>
      <c r="BG76" s="80">
        <f>BG75*Products!$E$31</f>
        <v/>
      </c>
      <c r="BH76" s="80">
        <f>BH75*Products!$E$31</f>
        <v/>
      </c>
      <c r="BI76" s="80">
        <f>BI75*Products!$E$31</f>
        <v/>
      </c>
      <c r="BJ76" s="80">
        <f>BJ75*Products!$E$31</f>
        <v/>
      </c>
      <c r="BK76" s="80">
        <f>BK75*Products!$E$31</f>
        <v/>
      </c>
      <c r="BL76" s="80">
        <f>BL75*Products!$E$31</f>
        <v/>
      </c>
    </row>
    <row r="77">
      <c r="A77" s="98" t="inlineStr">
        <is>
          <t>Landed hardware cost of units sold</t>
        </is>
      </c>
      <c r="B77" s="65" t="inlineStr">
        <is>
          <t>LCY</t>
        </is>
      </c>
      <c r="C77" s="105">
        <f>SUM(E77:BL77)</f>
        <v/>
      </c>
      <c r="E77" s="80">
        <f>E59*Products!$E$18*(1+Inputs!$C$28)*Timeline!E$8*Scenarios!$G$9</f>
        <v/>
      </c>
      <c r="F77" s="80">
        <f>F59*Products!$E$18*(1+Inputs!$C$28)*Timeline!F$8*Scenarios!$G$9</f>
        <v/>
      </c>
      <c r="G77" s="80">
        <f>G59*Products!$E$18*(1+Inputs!$C$28)*Timeline!G$8*Scenarios!$G$9</f>
        <v/>
      </c>
      <c r="H77" s="80">
        <f>H59*Products!$E$18*(1+Inputs!$C$28)*Timeline!H$8*Scenarios!$G$9</f>
        <v/>
      </c>
      <c r="I77" s="80">
        <f>I59*Products!$E$18*(1+Inputs!$C$28)*Timeline!I$8*Scenarios!$G$9</f>
        <v/>
      </c>
      <c r="J77" s="80">
        <f>J59*Products!$E$18*(1+Inputs!$C$28)*Timeline!J$8*Scenarios!$G$9</f>
        <v/>
      </c>
      <c r="K77" s="80">
        <f>K59*Products!$E$18*(1+Inputs!$C$28)*Timeline!K$8*Scenarios!$G$9</f>
        <v/>
      </c>
      <c r="L77" s="80">
        <f>L59*Products!$E$18*(1+Inputs!$C$28)*Timeline!L$8*Scenarios!$G$9</f>
        <v/>
      </c>
      <c r="M77" s="80">
        <f>M59*Products!$E$18*(1+Inputs!$C$28)*Timeline!M$8*Scenarios!$G$9</f>
        <v/>
      </c>
      <c r="N77" s="80">
        <f>N59*Products!$E$18*(1+Inputs!$C$28)*Timeline!N$8*Scenarios!$G$9</f>
        <v/>
      </c>
      <c r="O77" s="80">
        <f>O59*Products!$E$18*(1+Inputs!$C$28)*Timeline!O$8*Scenarios!$G$9</f>
        <v/>
      </c>
      <c r="P77" s="80">
        <f>P59*Products!$E$18*(1+Inputs!$C$28)*Timeline!P$8*Scenarios!$G$9</f>
        <v/>
      </c>
      <c r="Q77" s="80">
        <f>Q59*Products!$E$18*(1+Inputs!$C$28)*Timeline!Q$8*Scenarios!$G$9</f>
        <v/>
      </c>
      <c r="R77" s="80">
        <f>R59*Products!$E$18*(1+Inputs!$C$28)*Timeline!R$8*Scenarios!$G$9</f>
        <v/>
      </c>
      <c r="S77" s="80">
        <f>S59*Products!$E$18*(1+Inputs!$C$28)*Timeline!S$8*Scenarios!$G$9</f>
        <v/>
      </c>
      <c r="T77" s="80">
        <f>T59*Products!$E$18*(1+Inputs!$C$28)*Timeline!T$8*Scenarios!$G$9</f>
        <v/>
      </c>
      <c r="U77" s="80">
        <f>U59*Products!$E$18*(1+Inputs!$C$28)*Timeline!U$8*Scenarios!$G$9</f>
        <v/>
      </c>
      <c r="V77" s="80">
        <f>V59*Products!$E$18*(1+Inputs!$C$28)*Timeline!V$8*Scenarios!$G$9</f>
        <v/>
      </c>
      <c r="W77" s="80">
        <f>W59*Products!$E$18*(1+Inputs!$C$28)*Timeline!W$8*Scenarios!$G$9</f>
        <v/>
      </c>
      <c r="X77" s="80">
        <f>X59*Products!$E$18*(1+Inputs!$C$28)*Timeline!X$8*Scenarios!$G$9</f>
        <v/>
      </c>
      <c r="Y77" s="80">
        <f>Y59*Products!$E$18*(1+Inputs!$C$28)*Timeline!Y$8*Scenarios!$G$9</f>
        <v/>
      </c>
      <c r="Z77" s="80">
        <f>Z59*Products!$E$18*(1+Inputs!$C$28)*Timeline!Z$8*Scenarios!$G$9</f>
        <v/>
      </c>
      <c r="AA77" s="80">
        <f>AA59*Products!$E$18*(1+Inputs!$C$28)*Timeline!AA$8*Scenarios!$G$9</f>
        <v/>
      </c>
      <c r="AB77" s="80">
        <f>AB59*Products!$E$18*(1+Inputs!$C$28)*Timeline!AB$8*Scenarios!$G$9</f>
        <v/>
      </c>
      <c r="AC77" s="80">
        <f>AC59*Products!$E$18*(1+Inputs!$C$28)*Timeline!AC$8*Scenarios!$G$9</f>
        <v/>
      </c>
      <c r="AD77" s="80">
        <f>AD59*Products!$E$18*(1+Inputs!$C$28)*Timeline!AD$8*Scenarios!$G$9</f>
        <v/>
      </c>
      <c r="AE77" s="80">
        <f>AE59*Products!$E$18*(1+Inputs!$C$28)*Timeline!AE$8*Scenarios!$G$9</f>
        <v/>
      </c>
      <c r="AF77" s="80">
        <f>AF59*Products!$E$18*(1+Inputs!$C$28)*Timeline!AF$8*Scenarios!$G$9</f>
        <v/>
      </c>
      <c r="AG77" s="80">
        <f>AG59*Products!$E$18*(1+Inputs!$C$28)*Timeline!AG$8*Scenarios!$G$9</f>
        <v/>
      </c>
      <c r="AH77" s="80">
        <f>AH59*Products!$E$18*(1+Inputs!$C$28)*Timeline!AH$8*Scenarios!$G$9</f>
        <v/>
      </c>
      <c r="AI77" s="80">
        <f>AI59*Products!$E$18*(1+Inputs!$C$28)*Timeline!AI$8*Scenarios!$G$9</f>
        <v/>
      </c>
      <c r="AJ77" s="80">
        <f>AJ59*Products!$E$18*(1+Inputs!$C$28)*Timeline!AJ$8*Scenarios!$G$9</f>
        <v/>
      </c>
      <c r="AK77" s="80">
        <f>AK59*Products!$E$18*(1+Inputs!$C$28)*Timeline!AK$8*Scenarios!$G$9</f>
        <v/>
      </c>
      <c r="AL77" s="80">
        <f>AL59*Products!$E$18*(1+Inputs!$C$28)*Timeline!AL$8*Scenarios!$G$9</f>
        <v/>
      </c>
      <c r="AM77" s="80">
        <f>AM59*Products!$E$18*(1+Inputs!$C$28)*Timeline!AM$8*Scenarios!$G$9</f>
        <v/>
      </c>
      <c r="AN77" s="80">
        <f>AN59*Products!$E$18*(1+Inputs!$C$28)*Timeline!AN$8*Scenarios!$G$9</f>
        <v/>
      </c>
      <c r="AO77" s="80">
        <f>AO59*Products!$E$18*(1+Inputs!$C$28)*Timeline!AO$8*Scenarios!$G$9</f>
        <v/>
      </c>
      <c r="AP77" s="80">
        <f>AP59*Products!$E$18*(1+Inputs!$C$28)*Timeline!AP$8*Scenarios!$G$9</f>
        <v/>
      </c>
      <c r="AQ77" s="80">
        <f>AQ59*Products!$E$18*(1+Inputs!$C$28)*Timeline!AQ$8*Scenarios!$G$9</f>
        <v/>
      </c>
      <c r="AR77" s="80">
        <f>AR59*Products!$E$18*(1+Inputs!$C$28)*Timeline!AR$8*Scenarios!$G$9</f>
        <v/>
      </c>
      <c r="AS77" s="80">
        <f>AS59*Products!$E$18*(1+Inputs!$C$28)*Timeline!AS$8*Scenarios!$G$9</f>
        <v/>
      </c>
      <c r="AT77" s="80">
        <f>AT59*Products!$E$18*(1+Inputs!$C$28)*Timeline!AT$8*Scenarios!$G$9</f>
        <v/>
      </c>
      <c r="AU77" s="80">
        <f>AU59*Products!$E$18*(1+Inputs!$C$28)*Timeline!AU$8*Scenarios!$G$9</f>
        <v/>
      </c>
      <c r="AV77" s="80">
        <f>AV59*Products!$E$18*(1+Inputs!$C$28)*Timeline!AV$8*Scenarios!$G$9</f>
        <v/>
      </c>
      <c r="AW77" s="80">
        <f>AW59*Products!$E$18*(1+Inputs!$C$28)*Timeline!AW$8*Scenarios!$G$9</f>
        <v/>
      </c>
      <c r="AX77" s="80">
        <f>AX59*Products!$E$18*(1+Inputs!$C$28)*Timeline!AX$8*Scenarios!$G$9</f>
        <v/>
      </c>
      <c r="AY77" s="80">
        <f>AY59*Products!$E$18*(1+Inputs!$C$28)*Timeline!AY$8*Scenarios!$G$9</f>
        <v/>
      </c>
      <c r="AZ77" s="80">
        <f>AZ59*Products!$E$18*(1+Inputs!$C$28)*Timeline!AZ$8*Scenarios!$G$9</f>
        <v/>
      </c>
      <c r="BA77" s="80">
        <f>BA59*Products!$E$18*(1+Inputs!$C$28)*Timeline!BA$8*Scenarios!$G$9</f>
        <v/>
      </c>
      <c r="BB77" s="80">
        <f>BB59*Products!$E$18*(1+Inputs!$C$28)*Timeline!BB$8*Scenarios!$G$9</f>
        <v/>
      </c>
      <c r="BC77" s="80">
        <f>BC59*Products!$E$18*(1+Inputs!$C$28)*Timeline!BC$8*Scenarios!$G$9</f>
        <v/>
      </c>
      <c r="BD77" s="80">
        <f>BD59*Products!$E$18*(1+Inputs!$C$28)*Timeline!BD$8*Scenarios!$G$9</f>
        <v/>
      </c>
      <c r="BE77" s="80">
        <f>BE59*Products!$E$18*(1+Inputs!$C$28)*Timeline!BE$8*Scenarios!$G$9</f>
        <v/>
      </c>
      <c r="BF77" s="80">
        <f>BF59*Products!$E$18*(1+Inputs!$C$28)*Timeline!BF$8*Scenarios!$G$9</f>
        <v/>
      </c>
      <c r="BG77" s="80">
        <f>BG59*Products!$E$18*(1+Inputs!$C$28)*Timeline!BG$8*Scenarios!$G$9</f>
        <v/>
      </c>
      <c r="BH77" s="80">
        <f>BH59*Products!$E$18*(1+Inputs!$C$28)*Timeline!BH$8*Scenarios!$G$9</f>
        <v/>
      </c>
      <c r="BI77" s="80">
        <f>BI59*Products!$E$18*(1+Inputs!$C$28)*Timeline!BI$8*Scenarios!$G$9</f>
        <v/>
      </c>
      <c r="BJ77" s="80">
        <f>BJ59*Products!$E$18*(1+Inputs!$C$28)*Timeline!BJ$8*Scenarios!$G$9</f>
        <v/>
      </c>
      <c r="BK77" s="80">
        <f>BK59*Products!$E$18*(1+Inputs!$C$28)*Timeline!BK$8*Scenarios!$G$9</f>
        <v/>
      </c>
      <c r="BL77" s="80">
        <f>BL59*Products!$E$18*(1+Inputs!$C$28)*Timeline!BL$8*Scenarios!$G$9</f>
        <v/>
      </c>
    </row>
    <row r="78">
      <c r="A78" s="98" t="inlineStr">
        <is>
          <t>Installation &amp; logistics</t>
        </is>
      </c>
      <c r="B78" s="65" t="inlineStr">
        <is>
          <t>LCY</t>
        </is>
      </c>
      <c r="C78" s="105">
        <f>SUM(E78:BL78)</f>
        <v/>
      </c>
      <c r="E78" s="80">
        <f>E59*Products!$E$19*Timeline!E$9</f>
        <v/>
      </c>
      <c r="F78" s="80">
        <f>F59*Products!$E$19*Timeline!F$9</f>
        <v/>
      </c>
      <c r="G78" s="80">
        <f>G59*Products!$E$19*Timeline!G$9</f>
        <v/>
      </c>
      <c r="H78" s="80">
        <f>H59*Products!$E$19*Timeline!H$9</f>
        <v/>
      </c>
      <c r="I78" s="80">
        <f>I59*Products!$E$19*Timeline!I$9</f>
        <v/>
      </c>
      <c r="J78" s="80">
        <f>J59*Products!$E$19*Timeline!J$9</f>
        <v/>
      </c>
      <c r="K78" s="80">
        <f>K59*Products!$E$19*Timeline!K$9</f>
        <v/>
      </c>
      <c r="L78" s="80">
        <f>L59*Products!$E$19*Timeline!L$9</f>
        <v/>
      </c>
      <c r="M78" s="80">
        <f>M59*Products!$E$19*Timeline!M$9</f>
        <v/>
      </c>
      <c r="N78" s="80">
        <f>N59*Products!$E$19*Timeline!N$9</f>
        <v/>
      </c>
      <c r="O78" s="80">
        <f>O59*Products!$E$19*Timeline!O$9</f>
        <v/>
      </c>
      <c r="P78" s="80">
        <f>P59*Products!$E$19*Timeline!P$9</f>
        <v/>
      </c>
      <c r="Q78" s="80">
        <f>Q59*Products!$E$19*Timeline!Q$9</f>
        <v/>
      </c>
      <c r="R78" s="80">
        <f>R59*Products!$E$19*Timeline!R$9</f>
        <v/>
      </c>
      <c r="S78" s="80">
        <f>S59*Products!$E$19*Timeline!S$9</f>
        <v/>
      </c>
      <c r="T78" s="80">
        <f>T59*Products!$E$19*Timeline!T$9</f>
        <v/>
      </c>
      <c r="U78" s="80">
        <f>U59*Products!$E$19*Timeline!U$9</f>
        <v/>
      </c>
      <c r="V78" s="80">
        <f>V59*Products!$E$19*Timeline!V$9</f>
        <v/>
      </c>
      <c r="W78" s="80">
        <f>W59*Products!$E$19*Timeline!W$9</f>
        <v/>
      </c>
      <c r="X78" s="80">
        <f>X59*Products!$E$19*Timeline!X$9</f>
        <v/>
      </c>
      <c r="Y78" s="80">
        <f>Y59*Products!$E$19*Timeline!Y$9</f>
        <v/>
      </c>
      <c r="Z78" s="80">
        <f>Z59*Products!$E$19*Timeline!Z$9</f>
        <v/>
      </c>
      <c r="AA78" s="80">
        <f>AA59*Products!$E$19*Timeline!AA$9</f>
        <v/>
      </c>
      <c r="AB78" s="80">
        <f>AB59*Products!$E$19*Timeline!AB$9</f>
        <v/>
      </c>
      <c r="AC78" s="80">
        <f>AC59*Products!$E$19*Timeline!AC$9</f>
        <v/>
      </c>
      <c r="AD78" s="80">
        <f>AD59*Products!$E$19*Timeline!AD$9</f>
        <v/>
      </c>
      <c r="AE78" s="80">
        <f>AE59*Products!$E$19*Timeline!AE$9</f>
        <v/>
      </c>
      <c r="AF78" s="80">
        <f>AF59*Products!$E$19*Timeline!AF$9</f>
        <v/>
      </c>
      <c r="AG78" s="80">
        <f>AG59*Products!$E$19*Timeline!AG$9</f>
        <v/>
      </c>
      <c r="AH78" s="80">
        <f>AH59*Products!$E$19*Timeline!AH$9</f>
        <v/>
      </c>
      <c r="AI78" s="80">
        <f>AI59*Products!$E$19*Timeline!AI$9</f>
        <v/>
      </c>
      <c r="AJ78" s="80">
        <f>AJ59*Products!$E$19*Timeline!AJ$9</f>
        <v/>
      </c>
      <c r="AK78" s="80">
        <f>AK59*Products!$E$19*Timeline!AK$9</f>
        <v/>
      </c>
      <c r="AL78" s="80">
        <f>AL59*Products!$E$19*Timeline!AL$9</f>
        <v/>
      </c>
      <c r="AM78" s="80">
        <f>AM59*Products!$E$19*Timeline!AM$9</f>
        <v/>
      </c>
      <c r="AN78" s="80">
        <f>AN59*Products!$E$19*Timeline!AN$9</f>
        <v/>
      </c>
      <c r="AO78" s="80">
        <f>AO59*Products!$E$19*Timeline!AO$9</f>
        <v/>
      </c>
      <c r="AP78" s="80">
        <f>AP59*Products!$E$19*Timeline!AP$9</f>
        <v/>
      </c>
      <c r="AQ78" s="80">
        <f>AQ59*Products!$E$19*Timeline!AQ$9</f>
        <v/>
      </c>
      <c r="AR78" s="80">
        <f>AR59*Products!$E$19*Timeline!AR$9</f>
        <v/>
      </c>
      <c r="AS78" s="80">
        <f>AS59*Products!$E$19*Timeline!AS$9</f>
        <v/>
      </c>
      <c r="AT78" s="80">
        <f>AT59*Products!$E$19*Timeline!AT$9</f>
        <v/>
      </c>
      <c r="AU78" s="80">
        <f>AU59*Products!$E$19*Timeline!AU$9</f>
        <v/>
      </c>
      <c r="AV78" s="80">
        <f>AV59*Products!$E$19*Timeline!AV$9</f>
        <v/>
      </c>
      <c r="AW78" s="80">
        <f>AW59*Products!$E$19*Timeline!AW$9</f>
        <v/>
      </c>
      <c r="AX78" s="80">
        <f>AX59*Products!$E$19*Timeline!AX$9</f>
        <v/>
      </c>
      <c r="AY78" s="80">
        <f>AY59*Products!$E$19*Timeline!AY$9</f>
        <v/>
      </c>
      <c r="AZ78" s="80">
        <f>AZ59*Products!$E$19*Timeline!AZ$9</f>
        <v/>
      </c>
      <c r="BA78" s="80">
        <f>BA59*Products!$E$19*Timeline!BA$9</f>
        <v/>
      </c>
      <c r="BB78" s="80">
        <f>BB59*Products!$E$19*Timeline!BB$9</f>
        <v/>
      </c>
      <c r="BC78" s="80">
        <f>BC59*Products!$E$19*Timeline!BC$9</f>
        <v/>
      </c>
      <c r="BD78" s="80">
        <f>BD59*Products!$E$19*Timeline!BD$9</f>
        <v/>
      </c>
      <c r="BE78" s="80">
        <f>BE59*Products!$E$19*Timeline!BE$9</f>
        <v/>
      </c>
      <c r="BF78" s="80">
        <f>BF59*Products!$E$19*Timeline!BF$9</f>
        <v/>
      </c>
      <c r="BG78" s="80">
        <f>BG59*Products!$E$19*Timeline!BG$9</f>
        <v/>
      </c>
      <c r="BH78" s="80">
        <f>BH59*Products!$E$19*Timeline!BH$9</f>
        <v/>
      </c>
      <c r="BI78" s="80">
        <f>BI59*Products!$E$19*Timeline!BI$9</f>
        <v/>
      </c>
      <c r="BJ78" s="80">
        <f>BJ59*Products!$E$19*Timeline!BJ$9</f>
        <v/>
      </c>
      <c r="BK78" s="80">
        <f>BK59*Products!$E$19*Timeline!BK$9</f>
        <v/>
      </c>
      <c r="BL78" s="80">
        <f>BL59*Products!$E$19*Timeline!BL$9</f>
        <v/>
      </c>
    </row>
    <row r="79">
      <c r="A79" s="98" t="inlineStr">
        <is>
          <t>Warranty &amp; after-sales provision</t>
        </is>
      </c>
      <c r="B79" s="65" t="inlineStr">
        <is>
          <t>LCY</t>
        </is>
      </c>
      <c r="C79" s="105">
        <f>SUM(E79:BL79)</f>
        <v/>
      </c>
      <c r="E79" s="80">
        <f>E77*Products!$E$22</f>
        <v/>
      </c>
      <c r="F79" s="80">
        <f>F77*Products!$E$22</f>
        <v/>
      </c>
      <c r="G79" s="80">
        <f>G77*Products!$E$22</f>
        <v/>
      </c>
      <c r="H79" s="80">
        <f>H77*Products!$E$22</f>
        <v/>
      </c>
      <c r="I79" s="80">
        <f>I77*Products!$E$22</f>
        <v/>
      </c>
      <c r="J79" s="80">
        <f>J77*Products!$E$22</f>
        <v/>
      </c>
      <c r="K79" s="80">
        <f>K77*Products!$E$22</f>
        <v/>
      </c>
      <c r="L79" s="80">
        <f>L77*Products!$E$22</f>
        <v/>
      </c>
      <c r="M79" s="80">
        <f>M77*Products!$E$22</f>
        <v/>
      </c>
      <c r="N79" s="80">
        <f>N77*Products!$E$22</f>
        <v/>
      </c>
      <c r="O79" s="80">
        <f>O77*Products!$E$22</f>
        <v/>
      </c>
      <c r="P79" s="80">
        <f>P77*Products!$E$22</f>
        <v/>
      </c>
      <c r="Q79" s="80">
        <f>Q77*Products!$E$22</f>
        <v/>
      </c>
      <c r="R79" s="80">
        <f>R77*Products!$E$22</f>
        <v/>
      </c>
      <c r="S79" s="80">
        <f>S77*Products!$E$22</f>
        <v/>
      </c>
      <c r="T79" s="80">
        <f>T77*Products!$E$22</f>
        <v/>
      </c>
      <c r="U79" s="80">
        <f>U77*Products!$E$22</f>
        <v/>
      </c>
      <c r="V79" s="80">
        <f>V77*Products!$E$22</f>
        <v/>
      </c>
      <c r="W79" s="80">
        <f>W77*Products!$E$22</f>
        <v/>
      </c>
      <c r="X79" s="80">
        <f>X77*Products!$E$22</f>
        <v/>
      </c>
      <c r="Y79" s="80">
        <f>Y77*Products!$E$22</f>
        <v/>
      </c>
      <c r="Z79" s="80">
        <f>Z77*Products!$E$22</f>
        <v/>
      </c>
      <c r="AA79" s="80">
        <f>AA77*Products!$E$22</f>
        <v/>
      </c>
      <c r="AB79" s="80">
        <f>AB77*Products!$E$22</f>
        <v/>
      </c>
      <c r="AC79" s="80">
        <f>AC77*Products!$E$22</f>
        <v/>
      </c>
      <c r="AD79" s="80">
        <f>AD77*Products!$E$22</f>
        <v/>
      </c>
      <c r="AE79" s="80">
        <f>AE77*Products!$E$22</f>
        <v/>
      </c>
      <c r="AF79" s="80">
        <f>AF77*Products!$E$22</f>
        <v/>
      </c>
      <c r="AG79" s="80">
        <f>AG77*Products!$E$22</f>
        <v/>
      </c>
      <c r="AH79" s="80">
        <f>AH77*Products!$E$22</f>
        <v/>
      </c>
      <c r="AI79" s="80">
        <f>AI77*Products!$E$22</f>
        <v/>
      </c>
      <c r="AJ79" s="80">
        <f>AJ77*Products!$E$22</f>
        <v/>
      </c>
      <c r="AK79" s="80">
        <f>AK77*Products!$E$22</f>
        <v/>
      </c>
      <c r="AL79" s="80">
        <f>AL77*Products!$E$22</f>
        <v/>
      </c>
      <c r="AM79" s="80">
        <f>AM77*Products!$E$22</f>
        <v/>
      </c>
      <c r="AN79" s="80">
        <f>AN77*Products!$E$22</f>
        <v/>
      </c>
      <c r="AO79" s="80">
        <f>AO77*Products!$E$22</f>
        <v/>
      </c>
      <c r="AP79" s="80">
        <f>AP77*Products!$E$22</f>
        <v/>
      </c>
      <c r="AQ79" s="80">
        <f>AQ77*Products!$E$22</f>
        <v/>
      </c>
      <c r="AR79" s="80">
        <f>AR77*Products!$E$22</f>
        <v/>
      </c>
      <c r="AS79" s="80">
        <f>AS77*Products!$E$22</f>
        <v/>
      </c>
      <c r="AT79" s="80">
        <f>AT77*Products!$E$22</f>
        <v/>
      </c>
      <c r="AU79" s="80">
        <f>AU77*Products!$E$22</f>
        <v/>
      </c>
      <c r="AV79" s="80">
        <f>AV77*Products!$E$22</f>
        <v/>
      </c>
      <c r="AW79" s="80">
        <f>AW77*Products!$E$22</f>
        <v/>
      </c>
      <c r="AX79" s="80">
        <f>AX77*Products!$E$22</f>
        <v/>
      </c>
      <c r="AY79" s="80">
        <f>AY77*Products!$E$22</f>
        <v/>
      </c>
      <c r="AZ79" s="80">
        <f>AZ77*Products!$E$22</f>
        <v/>
      </c>
      <c r="BA79" s="80">
        <f>BA77*Products!$E$22</f>
        <v/>
      </c>
      <c r="BB79" s="80">
        <f>BB77*Products!$E$22</f>
        <v/>
      </c>
      <c r="BC79" s="80">
        <f>BC77*Products!$E$22</f>
        <v/>
      </c>
      <c r="BD79" s="80">
        <f>BD77*Products!$E$22</f>
        <v/>
      </c>
      <c r="BE79" s="80">
        <f>BE77*Products!$E$22</f>
        <v/>
      </c>
      <c r="BF79" s="80">
        <f>BF77*Products!$E$22</f>
        <v/>
      </c>
      <c r="BG79" s="80">
        <f>BG77*Products!$E$22</f>
        <v/>
      </c>
      <c r="BH79" s="80">
        <f>BH77*Products!$E$22</f>
        <v/>
      </c>
      <c r="BI79" s="80">
        <f>BI77*Products!$E$22</f>
        <v/>
      </c>
      <c r="BJ79" s="80">
        <f>BJ77*Products!$E$22</f>
        <v/>
      </c>
      <c r="BK79" s="80">
        <f>BK77*Products!$E$22</f>
        <v/>
      </c>
      <c r="BL79" s="80">
        <f>BL77*Products!$E$22</f>
        <v/>
      </c>
    </row>
    <row r="80">
      <c r="A80" s="98" t="inlineStr">
        <is>
          <t>Commissions</t>
        </is>
      </c>
      <c r="B80" s="65" t="inlineStr">
        <is>
          <t>LCY</t>
        </is>
      </c>
      <c r="C80" s="105">
        <f>SUM(E80:BL80)</f>
        <v/>
      </c>
      <c r="E80" s="80">
        <f>E59*Products!$E$20*Timeline!E$9</f>
        <v/>
      </c>
      <c r="F80" s="80">
        <f>F59*Products!$E$20*Timeline!F$9</f>
        <v/>
      </c>
      <c r="G80" s="80">
        <f>G59*Products!$E$20*Timeline!G$9</f>
        <v/>
      </c>
      <c r="H80" s="80">
        <f>H59*Products!$E$20*Timeline!H$9</f>
        <v/>
      </c>
      <c r="I80" s="80">
        <f>I59*Products!$E$20*Timeline!I$9</f>
        <v/>
      </c>
      <c r="J80" s="80">
        <f>J59*Products!$E$20*Timeline!J$9</f>
        <v/>
      </c>
      <c r="K80" s="80">
        <f>K59*Products!$E$20*Timeline!K$9</f>
        <v/>
      </c>
      <c r="L80" s="80">
        <f>L59*Products!$E$20*Timeline!L$9</f>
        <v/>
      </c>
      <c r="M80" s="80">
        <f>M59*Products!$E$20*Timeline!M$9</f>
        <v/>
      </c>
      <c r="N80" s="80">
        <f>N59*Products!$E$20*Timeline!N$9</f>
        <v/>
      </c>
      <c r="O80" s="80">
        <f>O59*Products!$E$20*Timeline!O$9</f>
        <v/>
      </c>
      <c r="P80" s="80">
        <f>P59*Products!$E$20*Timeline!P$9</f>
        <v/>
      </c>
      <c r="Q80" s="80">
        <f>Q59*Products!$E$20*Timeline!Q$9</f>
        <v/>
      </c>
      <c r="R80" s="80">
        <f>R59*Products!$E$20*Timeline!R$9</f>
        <v/>
      </c>
      <c r="S80" s="80">
        <f>S59*Products!$E$20*Timeline!S$9</f>
        <v/>
      </c>
      <c r="T80" s="80">
        <f>T59*Products!$E$20*Timeline!T$9</f>
        <v/>
      </c>
      <c r="U80" s="80">
        <f>U59*Products!$E$20*Timeline!U$9</f>
        <v/>
      </c>
      <c r="V80" s="80">
        <f>V59*Products!$E$20*Timeline!V$9</f>
        <v/>
      </c>
      <c r="W80" s="80">
        <f>W59*Products!$E$20*Timeline!W$9</f>
        <v/>
      </c>
      <c r="X80" s="80">
        <f>X59*Products!$E$20*Timeline!X$9</f>
        <v/>
      </c>
      <c r="Y80" s="80">
        <f>Y59*Products!$E$20*Timeline!Y$9</f>
        <v/>
      </c>
      <c r="Z80" s="80">
        <f>Z59*Products!$E$20*Timeline!Z$9</f>
        <v/>
      </c>
      <c r="AA80" s="80">
        <f>AA59*Products!$E$20*Timeline!AA$9</f>
        <v/>
      </c>
      <c r="AB80" s="80">
        <f>AB59*Products!$E$20*Timeline!AB$9</f>
        <v/>
      </c>
      <c r="AC80" s="80">
        <f>AC59*Products!$E$20*Timeline!AC$9</f>
        <v/>
      </c>
      <c r="AD80" s="80">
        <f>AD59*Products!$E$20*Timeline!AD$9</f>
        <v/>
      </c>
      <c r="AE80" s="80">
        <f>AE59*Products!$E$20*Timeline!AE$9</f>
        <v/>
      </c>
      <c r="AF80" s="80">
        <f>AF59*Products!$E$20*Timeline!AF$9</f>
        <v/>
      </c>
      <c r="AG80" s="80">
        <f>AG59*Products!$E$20*Timeline!AG$9</f>
        <v/>
      </c>
      <c r="AH80" s="80">
        <f>AH59*Products!$E$20*Timeline!AH$9</f>
        <v/>
      </c>
      <c r="AI80" s="80">
        <f>AI59*Products!$E$20*Timeline!AI$9</f>
        <v/>
      </c>
      <c r="AJ80" s="80">
        <f>AJ59*Products!$E$20*Timeline!AJ$9</f>
        <v/>
      </c>
      <c r="AK80" s="80">
        <f>AK59*Products!$E$20*Timeline!AK$9</f>
        <v/>
      </c>
      <c r="AL80" s="80">
        <f>AL59*Products!$E$20*Timeline!AL$9</f>
        <v/>
      </c>
      <c r="AM80" s="80">
        <f>AM59*Products!$E$20*Timeline!AM$9</f>
        <v/>
      </c>
      <c r="AN80" s="80">
        <f>AN59*Products!$E$20*Timeline!AN$9</f>
        <v/>
      </c>
      <c r="AO80" s="80">
        <f>AO59*Products!$E$20*Timeline!AO$9</f>
        <v/>
      </c>
      <c r="AP80" s="80">
        <f>AP59*Products!$E$20*Timeline!AP$9</f>
        <v/>
      </c>
      <c r="AQ80" s="80">
        <f>AQ59*Products!$E$20*Timeline!AQ$9</f>
        <v/>
      </c>
      <c r="AR80" s="80">
        <f>AR59*Products!$E$20*Timeline!AR$9</f>
        <v/>
      </c>
      <c r="AS80" s="80">
        <f>AS59*Products!$E$20*Timeline!AS$9</f>
        <v/>
      </c>
      <c r="AT80" s="80">
        <f>AT59*Products!$E$20*Timeline!AT$9</f>
        <v/>
      </c>
      <c r="AU80" s="80">
        <f>AU59*Products!$E$20*Timeline!AU$9</f>
        <v/>
      </c>
      <c r="AV80" s="80">
        <f>AV59*Products!$E$20*Timeline!AV$9</f>
        <v/>
      </c>
      <c r="AW80" s="80">
        <f>AW59*Products!$E$20*Timeline!AW$9</f>
        <v/>
      </c>
      <c r="AX80" s="80">
        <f>AX59*Products!$E$20*Timeline!AX$9</f>
        <v/>
      </c>
      <c r="AY80" s="80">
        <f>AY59*Products!$E$20*Timeline!AY$9</f>
        <v/>
      </c>
      <c r="AZ80" s="80">
        <f>AZ59*Products!$E$20*Timeline!AZ$9</f>
        <v/>
      </c>
      <c r="BA80" s="80">
        <f>BA59*Products!$E$20*Timeline!BA$9</f>
        <v/>
      </c>
      <c r="BB80" s="80">
        <f>BB59*Products!$E$20*Timeline!BB$9</f>
        <v/>
      </c>
      <c r="BC80" s="80">
        <f>BC59*Products!$E$20*Timeline!BC$9</f>
        <v/>
      </c>
      <c r="BD80" s="80">
        <f>BD59*Products!$E$20*Timeline!BD$9</f>
        <v/>
      </c>
      <c r="BE80" s="80">
        <f>BE59*Products!$E$20*Timeline!BE$9</f>
        <v/>
      </c>
      <c r="BF80" s="80">
        <f>BF59*Products!$E$20*Timeline!BF$9</f>
        <v/>
      </c>
      <c r="BG80" s="80">
        <f>BG59*Products!$E$20*Timeline!BG$9</f>
        <v/>
      </c>
      <c r="BH80" s="80">
        <f>BH59*Products!$E$20*Timeline!BH$9</f>
        <v/>
      </c>
      <c r="BI80" s="80">
        <f>BI59*Products!$E$20*Timeline!BI$9</f>
        <v/>
      </c>
      <c r="BJ80" s="80">
        <f>BJ59*Products!$E$20*Timeline!BJ$9</f>
        <v/>
      </c>
      <c r="BK80" s="80">
        <f>BK59*Products!$E$20*Timeline!BK$9</f>
        <v/>
      </c>
      <c r="BL80" s="80">
        <f>BL59*Products!$E$20*Timeline!BL$9</f>
        <v/>
      </c>
    </row>
    <row r="81">
      <c r="A81" s="98" t="inlineStr">
        <is>
          <t>Marketing &amp; acquisition</t>
        </is>
      </c>
      <c r="B81" s="65" t="inlineStr">
        <is>
          <t>LCY</t>
        </is>
      </c>
      <c r="C81" s="105">
        <f>SUM(E81:BL81)</f>
        <v/>
      </c>
      <c r="E81" s="80">
        <f>E59*Products!$E$21*Timeline!E$9</f>
        <v/>
      </c>
      <c r="F81" s="80">
        <f>F59*Products!$E$21*Timeline!F$9</f>
        <v/>
      </c>
      <c r="G81" s="80">
        <f>G59*Products!$E$21*Timeline!G$9</f>
        <v/>
      </c>
      <c r="H81" s="80">
        <f>H59*Products!$E$21*Timeline!H$9</f>
        <v/>
      </c>
      <c r="I81" s="80">
        <f>I59*Products!$E$21*Timeline!I$9</f>
        <v/>
      </c>
      <c r="J81" s="80">
        <f>J59*Products!$E$21*Timeline!J$9</f>
        <v/>
      </c>
      <c r="K81" s="80">
        <f>K59*Products!$E$21*Timeline!K$9</f>
        <v/>
      </c>
      <c r="L81" s="80">
        <f>L59*Products!$E$21*Timeline!L$9</f>
        <v/>
      </c>
      <c r="M81" s="80">
        <f>M59*Products!$E$21*Timeline!M$9</f>
        <v/>
      </c>
      <c r="N81" s="80">
        <f>N59*Products!$E$21*Timeline!N$9</f>
        <v/>
      </c>
      <c r="O81" s="80">
        <f>O59*Products!$E$21*Timeline!O$9</f>
        <v/>
      </c>
      <c r="P81" s="80">
        <f>P59*Products!$E$21*Timeline!P$9</f>
        <v/>
      </c>
      <c r="Q81" s="80">
        <f>Q59*Products!$E$21*Timeline!Q$9</f>
        <v/>
      </c>
      <c r="R81" s="80">
        <f>R59*Products!$E$21*Timeline!R$9</f>
        <v/>
      </c>
      <c r="S81" s="80">
        <f>S59*Products!$E$21*Timeline!S$9</f>
        <v/>
      </c>
      <c r="T81" s="80">
        <f>T59*Products!$E$21*Timeline!T$9</f>
        <v/>
      </c>
      <c r="U81" s="80">
        <f>U59*Products!$E$21*Timeline!U$9</f>
        <v/>
      </c>
      <c r="V81" s="80">
        <f>V59*Products!$E$21*Timeline!V$9</f>
        <v/>
      </c>
      <c r="W81" s="80">
        <f>W59*Products!$E$21*Timeline!W$9</f>
        <v/>
      </c>
      <c r="X81" s="80">
        <f>X59*Products!$E$21*Timeline!X$9</f>
        <v/>
      </c>
      <c r="Y81" s="80">
        <f>Y59*Products!$E$21*Timeline!Y$9</f>
        <v/>
      </c>
      <c r="Z81" s="80">
        <f>Z59*Products!$E$21*Timeline!Z$9</f>
        <v/>
      </c>
      <c r="AA81" s="80">
        <f>AA59*Products!$E$21*Timeline!AA$9</f>
        <v/>
      </c>
      <c r="AB81" s="80">
        <f>AB59*Products!$E$21*Timeline!AB$9</f>
        <v/>
      </c>
      <c r="AC81" s="80">
        <f>AC59*Products!$E$21*Timeline!AC$9</f>
        <v/>
      </c>
      <c r="AD81" s="80">
        <f>AD59*Products!$E$21*Timeline!AD$9</f>
        <v/>
      </c>
      <c r="AE81" s="80">
        <f>AE59*Products!$E$21*Timeline!AE$9</f>
        <v/>
      </c>
      <c r="AF81" s="80">
        <f>AF59*Products!$E$21*Timeline!AF$9</f>
        <v/>
      </c>
      <c r="AG81" s="80">
        <f>AG59*Products!$E$21*Timeline!AG$9</f>
        <v/>
      </c>
      <c r="AH81" s="80">
        <f>AH59*Products!$E$21*Timeline!AH$9</f>
        <v/>
      </c>
      <c r="AI81" s="80">
        <f>AI59*Products!$E$21*Timeline!AI$9</f>
        <v/>
      </c>
      <c r="AJ81" s="80">
        <f>AJ59*Products!$E$21*Timeline!AJ$9</f>
        <v/>
      </c>
      <c r="AK81" s="80">
        <f>AK59*Products!$E$21*Timeline!AK$9</f>
        <v/>
      </c>
      <c r="AL81" s="80">
        <f>AL59*Products!$E$21*Timeline!AL$9</f>
        <v/>
      </c>
      <c r="AM81" s="80">
        <f>AM59*Products!$E$21*Timeline!AM$9</f>
        <v/>
      </c>
      <c r="AN81" s="80">
        <f>AN59*Products!$E$21*Timeline!AN$9</f>
        <v/>
      </c>
      <c r="AO81" s="80">
        <f>AO59*Products!$E$21*Timeline!AO$9</f>
        <v/>
      </c>
      <c r="AP81" s="80">
        <f>AP59*Products!$E$21*Timeline!AP$9</f>
        <v/>
      </c>
      <c r="AQ81" s="80">
        <f>AQ59*Products!$E$21*Timeline!AQ$9</f>
        <v/>
      </c>
      <c r="AR81" s="80">
        <f>AR59*Products!$E$21*Timeline!AR$9</f>
        <v/>
      </c>
      <c r="AS81" s="80">
        <f>AS59*Products!$E$21*Timeline!AS$9</f>
        <v/>
      </c>
      <c r="AT81" s="80">
        <f>AT59*Products!$E$21*Timeline!AT$9</f>
        <v/>
      </c>
      <c r="AU81" s="80">
        <f>AU59*Products!$E$21*Timeline!AU$9</f>
        <v/>
      </c>
      <c r="AV81" s="80">
        <f>AV59*Products!$E$21*Timeline!AV$9</f>
        <v/>
      </c>
      <c r="AW81" s="80">
        <f>AW59*Products!$E$21*Timeline!AW$9</f>
        <v/>
      </c>
      <c r="AX81" s="80">
        <f>AX59*Products!$E$21*Timeline!AX$9</f>
        <v/>
      </c>
      <c r="AY81" s="80">
        <f>AY59*Products!$E$21*Timeline!AY$9</f>
        <v/>
      </c>
      <c r="AZ81" s="80">
        <f>AZ59*Products!$E$21*Timeline!AZ$9</f>
        <v/>
      </c>
      <c r="BA81" s="80">
        <f>BA59*Products!$E$21*Timeline!BA$9</f>
        <v/>
      </c>
      <c r="BB81" s="80">
        <f>BB59*Products!$E$21*Timeline!BB$9</f>
        <v/>
      </c>
      <c r="BC81" s="80">
        <f>BC59*Products!$E$21*Timeline!BC$9</f>
        <v/>
      </c>
      <c r="BD81" s="80">
        <f>BD59*Products!$E$21*Timeline!BD$9</f>
        <v/>
      </c>
      <c r="BE81" s="80">
        <f>BE59*Products!$E$21*Timeline!BE$9</f>
        <v/>
      </c>
      <c r="BF81" s="80">
        <f>BF59*Products!$E$21*Timeline!BF$9</f>
        <v/>
      </c>
      <c r="BG81" s="80">
        <f>BG59*Products!$E$21*Timeline!BG$9</f>
        <v/>
      </c>
      <c r="BH81" s="80">
        <f>BH59*Products!$E$21*Timeline!BH$9</f>
        <v/>
      </c>
      <c r="BI81" s="80">
        <f>BI59*Products!$E$21*Timeline!BI$9</f>
        <v/>
      </c>
      <c r="BJ81" s="80">
        <f>BJ59*Products!$E$21*Timeline!BJ$9</f>
        <v/>
      </c>
      <c r="BK81" s="80">
        <f>BK59*Products!$E$21*Timeline!BK$9</f>
        <v/>
      </c>
      <c r="BL81" s="80">
        <f>BL59*Products!$E$21*Timeline!BL$9</f>
        <v/>
      </c>
    </row>
    <row r="82"/>
    <row r="83">
      <c r="A83" s="21">
        <f>Products!$F$6</f>
        <v/>
      </c>
      <c r="B83" s="22" t="n"/>
      <c r="C83" s="22" t="n"/>
      <c r="D83" s="22" t="n"/>
      <c r="E83" s="22" t="n"/>
      <c r="F83" s="22"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c r="AA83" s="22" t="n"/>
      <c r="AB83" s="22" t="n"/>
      <c r="AC83" s="22" t="n"/>
      <c r="AD83" s="22" t="n"/>
      <c r="AE83" s="22" t="n"/>
      <c r="AF83" s="22" t="n"/>
      <c r="AG83" s="22" t="n"/>
      <c r="AH83" s="22" t="n"/>
      <c r="AI83" s="22" t="n"/>
      <c r="AJ83" s="22" t="n"/>
      <c r="AK83" s="22" t="n"/>
      <c r="AL83" s="22" t="n"/>
      <c r="AM83" s="22" t="n"/>
      <c r="AN83" s="22" t="n"/>
      <c r="AO83" s="22" t="n"/>
      <c r="AP83" s="22" t="n"/>
      <c r="AQ83" s="22" t="n"/>
      <c r="AR83" s="22" t="n"/>
      <c r="AS83" s="22" t="n"/>
      <c r="AT83" s="22" t="n"/>
      <c r="AU83" s="22" t="n"/>
      <c r="AV83" s="22" t="n"/>
      <c r="AW83" s="22" t="n"/>
      <c r="AX83" s="22" t="n"/>
      <c r="AY83" s="22" t="n"/>
      <c r="AZ83" s="22" t="n"/>
      <c r="BA83" s="22" t="n"/>
      <c r="BB83" s="22" t="n"/>
      <c r="BC83" s="22" t="n"/>
      <c r="BD83" s="22" t="n"/>
      <c r="BE83" s="22" t="n"/>
      <c r="BF83" s="22" t="n"/>
      <c r="BG83" s="22" t="n"/>
      <c r="BH83" s="22" t="n"/>
      <c r="BI83" s="22" t="n"/>
      <c r="BJ83" s="22" t="n"/>
      <c r="BK83" s="22" t="n"/>
      <c r="BL83" s="22" t="n"/>
    </row>
    <row r="84">
      <c r="A84" s="98" t="inlineStr">
        <is>
          <t>Units sold</t>
        </is>
      </c>
      <c r="B84" s="65" t="inlineStr">
        <is>
          <t>units</t>
        </is>
      </c>
      <c r="C84" s="105">
        <f>SUM(E84:BL84)</f>
        <v/>
      </c>
      <c r="E84" s="80">
        <f>Timeline!E$11*Products!$F$23</f>
        <v/>
      </c>
      <c r="F84" s="80">
        <f>Timeline!F$11*Products!$F$23</f>
        <v/>
      </c>
      <c r="G84" s="80">
        <f>Timeline!G$11*Products!$F$23</f>
        <v/>
      </c>
      <c r="H84" s="80">
        <f>Timeline!H$11*Products!$F$23</f>
        <v/>
      </c>
      <c r="I84" s="80">
        <f>Timeline!I$11*Products!$F$23</f>
        <v/>
      </c>
      <c r="J84" s="80">
        <f>Timeline!J$11*Products!$F$23</f>
        <v/>
      </c>
      <c r="K84" s="80">
        <f>Timeline!K$11*Products!$F$23</f>
        <v/>
      </c>
      <c r="L84" s="80">
        <f>Timeline!L$11*Products!$F$23</f>
        <v/>
      </c>
      <c r="M84" s="80">
        <f>Timeline!M$11*Products!$F$23</f>
        <v/>
      </c>
      <c r="N84" s="80">
        <f>Timeline!N$11*Products!$F$23</f>
        <v/>
      </c>
      <c r="O84" s="80">
        <f>Timeline!O$11*Products!$F$23</f>
        <v/>
      </c>
      <c r="P84" s="80">
        <f>Timeline!P$11*Products!$F$23</f>
        <v/>
      </c>
      <c r="Q84" s="80">
        <f>Timeline!Q$11*Products!$F$23</f>
        <v/>
      </c>
      <c r="R84" s="80">
        <f>Timeline!R$11*Products!$F$23</f>
        <v/>
      </c>
      <c r="S84" s="80">
        <f>Timeline!S$11*Products!$F$23</f>
        <v/>
      </c>
      <c r="T84" s="80">
        <f>Timeline!T$11*Products!$F$23</f>
        <v/>
      </c>
      <c r="U84" s="80">
        <f>Timeline!U$11*Products!$F$23</f>
        <v/>
      </c>
      <c r="V84" s="80">
        <f>Timeline!V$11*Products!$F$23</f>
        <v/>
      </c>
      <c r="W84" s="80">
        <f>Timeline!W$11*Products!$F$23</f>
        <v/>
      </c>
      <c r="X84" s="80">
        <f>Timeline!X$11*Products!$F$23</f>
        <v/>
      </c>
      <c r="Y84" s="80">
        <f>Timeline!Y$11*Products!$F$23</f>
        <v/>
      </c>
      <c r="Z84" s="80">
        <f>Timeline!Z$11*Products!$F$23</f>
        <v/>
      </c>
      <c r="AA84" s="80">
        <f>Timeline!AA$11*Products!$F$23</f>
        <v/>
      </c>
      <c r="AB84" s="80">
        <f>Timeline!AB$11*Products!$F$23</f>
        <v/>
      </c>
      <c r="AC84" s="80">
        <f>Timeline!AC$11*Products!$F$23</f>
        <v/>
      </c>
      <c r="AD84" s="80">
        <f>Timeline!AD$11*Products!$F$23</f>
        <v/>
      </c>
      <c r="AE84" s="80">
        <f>Timeline!AE$11*Products!$F$23</f>
        <v/>
      </c>
      <c r="AF84" s="80">
        <f>Timeline!AF$11*Products!$F$23</f>
        <v/>
      </c>
      <c r="AG84" s="80">
        <f>Timeline!AG$11*Products!$F$23</f>
        <v/>
      </c>
      <c r="AH84" s="80">
        <f>Timeline!AH$11*Products!$F$23</f>
        <v/>
      </c>
      <c r="AI84" s="80">
        <f>Timeline!AI$11*Products!$F$23</f>
        <v/>
      </c>
      <c r="AJ84" s="80">
        <f>Timeline!AJ$11*Products!$F$23</f>
        <v/>
      </c>
      <c r="AK84" s="80">
        <f>Timeline!AK$11*Products!$F$23</f>
        <v/>
      </c>
      <c r="AL84" s="80">
        <f>Timeline!AL$11*Products!$F$23</f>
        <v/>
      </c>
      <c r="AM84" s="80">
        <f>Timeline!AM$11*Products!$F$23</f>
        <v/>
      </c>
      <c r="AN84" s="80">
        <f>Timeline!AN$11*Products!$F$23</f>
        <v/>
      </c>
      <c r="AO84" s="80">
        <f>Timeline!AO$11*Products!$F$23</f>
        <v/>
      </c>
      <c r="AP84" s="80">
        <f>Timeline!AP$11*Products!$F$23</f>
        <v/>
      </c>
      <c r="AQ84" s="80">
        <f>Timeline!AQ$11*Products!$F$23</f>
        <v/>
      </c>
      <c r="AR84" s="80">
        <f>Timeline!AR$11*Products!$F$23</f>
        <v/>
      </c>
      <c r="AS84" s="80">
        <f>Timeline!AS$11*Products!$F$23</f>
        <v/>
      </c>
      <c r="AT84" s="80">
        <f>Timeline!AT$11*Products!$F$23</f>
        <v/>
      </c>
      <c r="AU84" s="80">
        <f>Timeline!AU$11*Products!$F$23</f>
        <v/>
      </c>
      <c r="AV84" s="80">
        <f>Timeline!AV$11*Products!$F$23</f>
        <v/>
      </c>
      <c r="AW84" s="80">
        <f>Timeline!AW$11*Products!$F$23</f>
        <v/>
      </c>
      <c r="AX84" s="80">
        <f>Timeline!AX$11*Products!$F$23</f>
        <v/>
      </c>
      <c r="AY84" s="80">
        <f>Timeline!AY$11*Products!$F$23</f>
        <v/>
      </c>
      <c r="AZ84" s="80">
        <f>Timeline!AZ$11*Products!$F$23</f>
        <v/>
      </c>
      <c r="BA84" s="80">
        <f>Timeline!BA$11*Products!$F$23</f>
        <v/>
      </c>
      <c r="BB84" s="80">
        <f>Timeline!BB$11*Products!$F$23</f>
        <v/>
      </c>
      <c r="BC84" s="80">
        <f>Timeline!BC$11*Products!$F$23</f>
        <v/>
      </c>
      <c r="BD84" s="80">
        <f>Timeline!BD$11*Products!$F$23</f>
        <v/>
      </c>
      <c r="BE84" s="80">
        <f>Timeline!BE$11*Products!$F$23</f>
        <v/>
      </c>
      <c r="BF84" s="80">
        <f>Timeline!BF$11*Products!$F$23</f>
        <v/>
      </c>
      <c r="BG84" s="80">
        <f>Timeline!BG$11*Products!$F$23</f>
        <v/>
      </c>
      <c r="BH84" s="80">
        <f>Timeline!BH$11*Products!$F$23</f>
        <v/>
      </c>
      <c r="BI84" s="80">
        <f>Timeline!BI$11*Products!$F$23</f>
        <v/>
      </c>
      <c r="BJ84" s="80">
        <f>Timeline!BJ$11*Products!$F$23</f>
        <v/>
      </c>
      <c r="BK84" s="80">
        <f>Timeline!BK$11*Products!$F$23</f>
        <v/>
      </c>
      <c r="BL84" s="80">
        <f>Timeline!BL$11*Products!$F$23</f>
        <v/>
      </c>
    </row>
    <row r="85">
      <c r="A85" s="98" t="inlineStr">
        <is>
          <t>Price-indexed units (units x price index)</t>
        </is>
      </c>
      <c r="B85" s="65" t="inlineStr">
        <is>
          <t>units</t>
        </is>
      </c>
      <c r="C85" s="105">
        <f>SUM(E85:BL85)</f>
        <v/>
      </c>
      <c r="E85" s="80">
        <f>E84*Timeline!E$10</f>
        <v/>
      </c>
      <c r="F85" s="80">
        <f>F84*Timeline!F$10</f>
        <v/>
      </c>
      <c r="G85" s="80">
        <f>G84*Timeline!G$10</f>
        <v/>
      </c>
      <c r="H85" s="80">
        <f>H84*Timeline!H$10</f>
        <v/>
      </c>
      <c r="I85" s="80">
        <f>I84*Timeline!I$10</f>
        <v/>
      </c>
      <c r="J85" s="80">
        <f>J84*Timeline!J$10</f>
        <v/>
      </c>
      <c r="K85" s="80">
        <f>K84*Timeline!K$10</f>
        <v/>
      </c>
      <c r="L85" s="80">
        <f>L84*Timeline!L$10</f>
        <v/>
      </c>
      <c r="M85" s="80">
        <f>M84*Timeline!M$10</f>
        <v/>
      </c>
      <c r="N85" s="80">
        <f>N84*Timeline!N$10</f>
        <v/>
      </c>
      <c r="O85" s="80">
        <f>O84*Timeline!O$10</f>
        <v/>
      </c>
      <c r="P85" s="80">
        <f>P84*Timeline!P$10</f>
        <v/>
      </c>
      <c r="Q85" s="80">
        <f>Q84*Timeline!Q$10</f>
        <v/>
      </c>
      <c r="R85" s="80">
        <f>R84*Timeline!R$10</f>
        <v/>
      </c>
      <c r="S85" s="80">
        <f>S84*Timeline!S$10</f>
        <v/>
      </c>
      <c r="T85" s="80">
        <f>T84*Timeline!T$10</f>
        <v/>
      </c>
      <c r="U85" s="80">
        <f>U84*Timeline!U$10</f>
        <v/>
      </c>
      <c r="V85" s="80">
        <f>V84*Timeline!V$10</f>
        <v/>
      </c>
      <c r="W85" s="80">
        <f>W84*Timeline!W$10</f>
        <v/>
      </c>
      <c r="X85" s="80">
        <f>X84*Timeline!X$10</f>
        <v/>
      </c>
      <c r="Y85" s="80">
        <f>Y84*Timeline!Y$10</f>
        <v/>
      </c>
      <c r="Z85" s="80">
        <f>Z84*Timeline!Z$10</f>
        <v/>
      </c>
      <c r="AA85" s="80">
        <f>AA84*Timeline!AA$10</f>
        <v/>
      </c>
      <c r="AB85" s="80">
        <f>AB84*Timeline!AB$10</f>
        <v/>
      </c>
      <c r="AC85" s="80">
        <f>AC84*Timeline!AC$10</f>
        <v/>
      </c>
      <c r="AD85" s="80">
        <f>AD84*Timeline!AD$10</f>
        <v/>
      </c>
      <c r="AE85" s="80">
        <f>AE84*Timeline!AE$10</f>
        <v/>
      </c>
      <c r="AF85" s="80">
        <f>AF84*Timeline!AF$10</f>
        <v/>
      </c>
      <c r="AG85" s="80">
        <f>AG84*Timeline!AG$10</f>
        <v/>
      </c>
      <c r="AH85" s="80">
        <f>AH84*Timeline!AH$10</f>
        <v/>
      </c>
      <c r="AI85" s="80">
        <f>AI84*Timeline!AI$10</f>
        <v/>
      </c>
      <c r="AJ85" s="80">
        <f>AJ84*Timeline!AJ$10</f>
        <v/>
      </c>
      <c r="AK85" s="80">
        <f>AK84*Timeline!AK$10</f>
        <v/>
      </c>
      <c r="AL85" s="80">
        <f>AL84*Timeline!AL$10</f>
        <v/>
      </c>
      <c r="AM85" s="80">
        <f>AM84*Timeline!AM$10</f>
        <v/>
      </c>
      <c r="AN85" s="80">
        <f>AN84*Timeline!AN$10</f>
        <v/>
      </c>
      <c r="AO85" s="80">
        <f>AO84*Timeline!AO$10</f>
        <v/>
      </c>
      <c r="AP85" s="80">
        <f>AP84*Timeline!AP$10</f>
        <v/>
      </c>
      <c r="AQ85" s="80">
        <f>AQ84*Timeline!AQ$10</f>
        <v/>
      </c>
      <c r="AR85" s="80">
        <f>AR84*Timeline!AR$10</f>
        <v/>
      </c>
      <c r="AS85" s="80">
        <f>AS84*Timeline!AS$10</f>
        <v/>
      </c>
      <c r="AT85" s="80">
        <f>AT84*Timeline!AT$10</f>
        <v/>
      </c>
      <c r="AU85" s="80">
        <f>AU84*Timeline!AU$10</f>
        <v/>
      </c>
      <c r="AV85" s="80">
        <f>AV84*Timeline!AV$10</f>
        <v/>
      </c>
      <c r="AW85" s="80">
        <f>AW84*Timeline!AW$10</f>
        <v/>
      </c>
      <c r="AX85" s="80">
        <f>AX84*Timeline!AX$10</f>
        <v/>
      </c>
      <c r="AY85" s="80">
        <f>AY84*Timeline!AY$10</f>
        <v/>
      </c>
      <c r="AZ85" s="80">
        <f>AZ84*Timeline!AZ$10</f>
        <v/>
      </c>
      <c r="BA85" s="80">
        <f>BA84*Timeline!BA$10</f>
        <v/>
      </c>
      <c r="BB85" s="80">
        <f>BB84*Timeline!BB$10</f>
        <v/>
      </c>
      <c r="BC85" s="80">
        <f>BC84*Timeline!BC$10</f>
        <v/>
      </c>
      <c r="BD85" s="80">
        <f>BD84*Timeline!BD$10</f>
        <v/>
      </c>
      <c r="BE85" s="80">
        <f>BE84*Timeline!BE$10</f>
        <v/>
      </c>
      <c r="BF85" s="80">
        <f>BF84*Timeline!BF$10</f>
        <v/>
      </c>
      <c r="BG85" s="80">
        <f>BG84*Timeline!BG$10</f>
        <v/>
      </c>
      <c r="BH85" s="80">
        <f>BH84*Timeline!BH$10</f>
        <v/>
      </c>
      <c r="BI85" s="80">
        <f>BI84*Timeline!BI$10</f>
        <v/>
      </c>
      <c r="BJ85" s="80">
        <f>BJ84*Timeline!BJ$10</f>
        <v/>
      </c>
      <c r="BK85" s="80">
        <f>BK84*Timeline!BK$10</f>
        <v/>
      </c>
      <c r="BL85" s="80">
        <f>BL84*Timeline!BL$10</f>
        <v/>
      </c>
    </row>
    <row r="86">
      <c r="A86" s="98" t="inlineStr">
        <is>
          <t>Down payments collected</t>
        </is>
      </c>
      <c r="B86" s="65" t="inlineStr">
        <is>
          <t>LCY</t>
        </is>
      </c>
      <c r="C86" s="105">
        <f>SUM(E86:BL86)</f>
        <v/>
      </c>
      <c r="E86" s="80">
        <f>E85*Products!$F$14</f>
        <v/>
      </c>
      <c r="F86" s="80">
        <f>F85*Products!$F$14</f>
        <v/>
      </c>
      <c r="G86" s="80">
        <f>G85*Products!$F$14</f>
        <v/>
      </c>
      <c r="H86" s="80">
        <f>H85*Products!$F$14</f>
        <v/>
      </c>
      <c r="I86" s="80">
        <f>I85*Products!$F$14</f>
        <v/>
      </c>
      <c r="J86" s="80">
        <f>J85*Products!$F$14</f>
        <v/>
      </c>
      <c r="K86" s="80">
        <f>K85*Products!$F$14</f>
        <v/>
      </c>
      <c r="L86" s="80">
        <f>L85*Products!$F$14</f>
        <v/>
      </c>
      <c r="M86" s="80">
        <f>M85*Products!$F$14</f>
        <v/>
      </c>
      <c r="N86" s="80">
        <f>N85*Products!$F$14</f>
        <v/>
      </c>
      <c r="O86" s="80">
        <f>O85*Products!$F$14</f>
        <v/>
      </c>
      <c r="P86" s="80">
        <f>P85*Products!$F$14</f>
        <v/>
      </c>
      <c r="Q86" s="80">
        <f>Q85*Products!$F$14</f>
        <v/>
      </c>
      <c r="R86" s="80">
        <f>R85*Products!$F$14</f>
        <v/>
      </c>
      <c r="S86" s="80">
        <f>S85*Products!$F$14</f>
        <v/>
      </c>
      <c r="T86" s="80">
        <f>T85*Products!$F$14</f>
        <v/>
      </c>
      <c r="U86" s="80">
        <f>U85*Products!$F$14</f>
        <v/>
      </c>
      <c r="V86" s="80">
        <f>V85*Products!$F$14</f>
        <v/>
      </c>
      <c r="W86" s="80">
        <f>W85*Products!$F$14</f>
        <v/>
      </c>
      <c r="X86" s="80">
        <f>X85*Products!$F$14</f>
        <v/>
      </c>
      <c r="Y86" s="80">
        <f>Y85*Products!$F$14</f>
        <v/>
      </c>
      <c r="Z86" s="80">
        <f>Z85*Products!$F$14</f>
        <v/>
      </c>
      <c r="AA86" s="80">
        <f>AA85*Products!$F$14</f>
        <v/>
      </c>
      <c r="AB86" s="80">
        <f>AB85*Products!$F$14</f>
        <v/>
      </c>
      <c r="AC86" s="80">
        <f>AC85*Products!$F$14</f>
        <v/>
      </c>
      <c r="AD86" s="80">
        <f>AD85*Products!$F$14</f>
        <v/>
      </c>
      <c r="AE86" s="80">
        <f>AE85*Products!$F$14</f>
        <v/>
      </c>
      <c r="AF86" s="80">
        <f>AF85*Products!$F$14</f>
        <v/>
      </c>
      <c r="AG86" s="80">
        <f>AG85*Products!$F$14</f>
        <v/>
      </c>
      <c r="AH86" s="80">
        <f>AH85*Products!$F$14</f>
        <v/>
      </c>
      <c r="AI86" s="80">
        <f>AI85*Products!$F$14</f>
        <v/>
      </c>
      <c r="AJ86" s="80">
        <f>AJ85*Products!$F$14</f>
        <v/>
      </c>
      <c r="AK86" s="80">
        <f>AK85*Products!$F$14</f>
        <v/>
      </c>
      <c r="AL86" s="80">
        <f>AL85*Products!$F$14</f>
        <v/>
      </c>
      <c r="AM86" s="80">
        <f>AM85*Products!$F$14</f>
        <v/>
      </c>
      <c r="AN86" s="80">
        <f>AN85*Products!$F$14</f>
        <v/>
      </c>
      <c r="AO86" s="80">
        <f>AO85*Products!$F$14</f>
        <v/>
      </c>
      <c r="AP86" s="80">
        <f>AP85*Products!$F$14</f>
        <v/>
      </c>
      <c r="AQ86" s="80">
        <f>AQ85*Products!$F$14</f>
        <v/>
      </c>
      <c r="AR86" s="80">
        <f>AR85*Products!$F$14</f>
        <v/>
      </c>
      <c r="AS86" s="80">
        <f>AS85*Products!$F$14</f>
        <v/>
      </c>
      <c r="AT86" s="80">
        <f>AT85*Products!$F$14</f>
        <v/>
      </c>
      <c r="AU86" s="80">
        <f>AU85*Products!$F$14</f>
        <v/>
      </c>
      <c r="AV86" s="80">
        <f>AV85*Products!$F$14</f>
        <v/>
      </c>
      <c r="AW86" s="80">
        <f>AW85*Products!$F$14</f>
        <v/>
      </c>
      <c r="AX86" s="80">
        <f>AX85*Products!$F$14</f>
        <v/>
      </c>
      <c r="AY86" s="80">
        <f>AY85*Products!$F$14</f>
        <v/>
      </c>
      <c r="AZ86" s="80">
        <f>AZ85*Products!$F$14</f>
        <v/>
      </c>
      <c r="BA86" s="80">
        <f>BA85*Products!$F$14</f>
        <v/>
      </c>
      <c r="BB86" s="80">
        <f>BB85*Products!$F$14</f>
        <v/>
      </c>
      <c r="BC86" s="80">
        <f>BC85*Products!$F$14</f>
        <v/>
      </c>
      <c r="BD86" s="80">
        <f>BD85*Products!$F$14</f>
        <v/>
      </c>
      <c r="BE86" s="80">
        <f>BE85*Products!$F$14</f>
        <v/>
      </c>
      <c r="BF86" s="80">
        <f>BF85*Products!$F$14</f>
        <v/>
      </c>
      <c r="BG86" s="80">
        <f>BG85*Products!$F$14</f>
        <v/>
      </c>
      <c r="BH86" s="80">
        <f>BH85*Products!$F$14</f>
        <v/>
      </c>
      <c r="BI86" s="80">
        <f>BI85*Products!$F$14</f>
        <v/>
      </c>
      <c r="BJ86" s="80">
        <f>BJ85*Products!$F$14</f>
        <v/>
      </c>
      <c r="BK86" s="80">
        <f>BK85*Products!$F$14</f>
        <v/>
      </c>
      <c r="BL86" s="80">
        <f>BL85*Products!$F$14</f>
        <v/>
      </c>
    </row>
    <row r="87">
      <c r="A87" s="98" t="inlineStr">
        <is>
          <t>Hardware revenue (cash price)</t>
        </is>
      </c>
      <c r="B87" s="65" t="inlineStr">
        <is>
          <t>LCY</t>
        </is>
      </c>
      <c r="C87" s="105">
        <f>SUM(E87:BL87)</f>
        <v/>
      </c>
      <c r="E87" s="80">
        <f>E85*Products!$F$13</f>
        <v/>
      </c>
      <c r="F87" s="80">
        <f>F85*Products!$F$13</f>
        <v/>
      </c>
      <c r="G87" s="80">
        <f>G85*Products!$F$13</f>
        <v/>
      </c>
      <c r="H87" s="80">
        <f>H85*Products!$F$13</f>
        <v/>
      </c>
      <c r="I87" s="80">
        <f>I85*Products!$F$13</f>
        <v/>
      </c>
      <c r="J87" s="80">
        <f>J85*Products!$F$13</f>
        <v/>
      </c>
      <c r="K87" s="80">
        <f>K85*Products!$F$13</f>
        <v/>
      </c>
      <c r="L87" s="80">
        <f>L85*Products!$F$13</f>
        <v/>
      </c>
      <c r="M87" s="80">
        <f>M85*Products!$F$13</f>
        <v/>
      </c>
      <c r="N87" s="80">
        <f>N85*Products!$F$13</f>
        <v/>
      </c>
      <c r="O87" s="80">
        <f>O85*Products!$F$13</f>
        <v/>
      </c>
      <c r="P87" s="80">
        <f>P85*Products!$F$13</f>
        <v/>
      </c>
      <c r="Q87" s="80">
        <f>Q85*Products!$F$13</f>
        <v/>
      </c>
      <c r="R87" s="80">
        <f>R85*Products!$F$13</f>
        <v/>
      </c>
      <c r="S87" s="80">
        <f>S85*Products!$F$13</f>
        <v/>
      </c>
      <c r="T87" s="80">
        <f>T85*Products!$F$13</f>
        <v/>
      </c>
      <c r="U87" s="80">
        <f>U85*Products!$F$13</f>
        <v/>
      </c>
      <c r="V87" s="80">
        <f>V85*Products!$F$13</f>
        <v/>
      </c>
      <c r="W87" s="80">
        <f>W85*Products!$F$13</f>
        <v/>
      </c>
      <c r="X87" s="80">
        <f>X85*Products!$F$13</f>
        <v/>
      </c>
      <c r="Y87" s="80">
        <f>Y85*Products!$F$13</f>
        <v/>
      </c>
      <c r="Z87" s="80">
        <f>Z85*Products!$F$13</f>
        <v/>
      </c>
      <c r="AA87" s="80">
        <f>AA85*Products!$F$13</f>
        <v/>
      </c>
      <c r="AB87" s="80">
        <f>AB85*Products!$F$13</f>
        <v/>
      </c>
      <c r="AC87" s="80">
        <f>AC85*Products!$F$13</f>
        <v/>
      </c>
      <c r="AD87" s="80">
        <f>AD85*Products!$F$13</f>
        <v/>
      </c>
      <c r="AE87" s="80">
        <f>AE85*Products!$F$13</f>
        <v/>
      </c>
      <c r="AF87" s="80">
        <f>AF85*Products!$F$13</f>
        <v/>
      </c>
      <c r="AG87" s="80">
        <f>AG85*Products!$F$13</f>
        <v/>
      </c>
      <c r="AH87" s="80">
        <f>AH85*Products!$F$13</f>
        <v/>
      </c>
      <c r="AI87" s="80">
        <f>AI85*Products!$F$13</f>
        <v/>
      </c>
      <c r="AJ87" s="80">
        <f>AJ85*Products!$F$13</f>
        <v/>
      </c>
      <c r="AK87" s="80">
        <f>AK85*Products!$F$13</f>
        <v/>
      </c>
      <c r="AL87" s="80">
        <f>AL85*Products!$F$13</f>
        <v/>
      </c>
      <c r="AM87" s="80">
        <f>AM85*Products!$F$13</f>
        <v/>
      </c>
      <c r="AN87" s="80">
        <f>AN85*Products!$F$13</f>
        <v/>
      </c>
      <c r="AO87" s="80">
        <f>AO85*Products!$F$13</f>
        <v/>
      </c>
      <c r="AP87" s="80">
        <f>AP85*Products!$F$13</f>
        <v/>
      </c>
      <c r="AQ87" s="80">
        <f>AQ85*Products!$F$13</f>
        <v/>
      </c>
      <c r="AR87" s="80">
        <f>AR85*Products!$F$13</f>
        <v/>
      </c>
      <c r="AS87" s="80">
        <f>AS85*Products!$F$13</f>
        <v/>
      </c>
      <c r="AT87" s="80">
        <f>AT85*Products!$F$13</f>
        <v/>
      </c>
      <c r="AU87" s="80">
        <f>AU85*Products!$F$13</f>
        <v/>
      </c>
      <c r="AV87" s="80">
        <f>AV85*Products!$F$13</f>
        <v/>
      </c>
      <c r="AW87" s="80">
        <f>AW85*Products!$F$13</f>
        <v/>
      </c>
      <c r="AX87" s="80">
        <f>AX85*Products!$F$13</f>
        <v/>
      </c>
      <c r="AY87" s="80">
        <f>AY85*Products!$F$13</f>
        <v/>
      </c>
      <c r="AZ87" s="80">
        <f>AZ85*Products!$F$13</f>
        <v/>
      </c>
      <c r="BA87" s="80">
        <f>BA85*Products!$F$13</f>
        <v/>
      </c>
      <c r="BB87" s="80">
        <f>BB85*Products!$F$13</f>
        <v/>
      </c>
      <c r="BC87" s="80">
        <f>BC85*Products!$F$13</f>
        <v/>
      </c>
      <c r="BD87" s="80">
        <f>BD85*Products!$F$13</f>
        <v/>
      </c>
      <c r="BE87" s="80">
        <f>BE85*Products!$F$13</f>
        <v/>
      </c>
      <c r="BF87" s="80">
        <f>BF85*Products!$F$13</f>
        <v/>
      </c>
      <c r="BG87" s="80">
        <f>BG85*Products!$F$13</f>
        <v/>
      </c>
      <c r="BH87" s="80">
        <f>BH85*Products!$F$13</f>
        <v/>
      </c>
      <c r="BI87" s="80">
        <f>BI85*Products!$F$13</f>
        <v/>
      </c>
      <c r="BJ87" s="80">
        <f>BJ85*Products!$F$13</f>
        <v/>
      </c>
      <c r="BK87" s="80">
        <f>BK85*Products!$F$13</f>
        <v/>
      </c>
      <c r="BL87" s="80">
        <f>BL85*Products!$F$13</f>
        <v/>
      </c>
    </row>
    <row r="88">
      <c r="A88" s="98" t="inlineStr">
        <is>
          <t>New PAYGo receivables originated</t>
        </is>
      </c>
      <c r="B88" s="65" t="inlineStr">
        <is>
          <t>LCY</t>
        </is>
      </c>
      <c r="C88" s="105">
        <f>SUM(E88:BL88)</f>
        <v/>
      </c>
      <c r="E88" s="80">
        <f>E85*Products!$F$38</f>
        <v/>
      </c>
      <c r="F88" s="80">
        <f>F85*Products!$F$38</f>
        <v/>
      </c>
      <c r="G88" s="80">
        <f>G85*Products!$F$38</f>
        <v/>
      </c>
      <c r="H88" s="80">
        <f>H85*Products!$F$38</f>
        <v/>
      </c>
      <c r="I88" s="80">
        <f>I85*Products!$F$38</f>
        <v/>
      </c>
      <c r="J88" s="80">
        <f>J85*Products!$F$38</f>
        <v/>
      </c>
      <c r="K88" s="80">
        <f>K85*Products!$F$38</f>
        <v/>
      </c>
      <c r="L88" s="80">
        <f>L85*Products!$F$38</f>
        <v/>
      </c>
      <c r="M88" s="80">
        <f>M85*Products!$F$38</f>
        <v/>
      </c>
      <c r="N88" s="80">
        <f>N85*Products!$F$38</f>
        <v/>
      </c>
      <c r="O88" s="80">
        <f>O85*Products!$F$38</f>
        <v/>
      </c>
      <c r="P88" s="80">
        <f>P85*Products!$F$38</f>
        <v/>
      </c>
      <c r="Q88" s="80">
        <f>Q85*Products!$F$38</f>
        <v/>
      </c>
      <c r="R88" s="80">
        <f>R85*Products!$F$38</f>
        <v/>
      </c>
      <c r="S88" s="80">
        <f>S85*Products!$F$38</f>
        <v/>
      </c>
      <c r="T88" s="80">
        <f>T85*Products!$F$38</f>
        <v/>
      </c>
      <c r="U88" s="80">
        <f>U85*Products!$F$38</f>
        <v/>
      </c>
      <c r="V88" s="80">
        <f>V85*Products!$F$38</f>
        <v/>
      </c>
      <c r="W88" s="80">
        <f>W85*Products!$F$38</f>
        <v/>
      </c>
      <c r="X88" s="80">
        <f>X85*Products!$F$38</f>
        <v/>
      </c>
      <c r="Y88" s="80">
        <f>Y85*Products!$F$38</f>
        <v/>
      </c>
      <c r="Z88" s="80">
        <f>Z85*Products!$F$38</f>
        <v/>
      </c>
      <c r="AA88" s="80">
        <f>AA85*Products!$F$38</f>
        <v/>
      </c>
      <c r="AB88" s="80">
        <f>AB85*Products!$F$38</f>
        <v/>
      </c>
      <c r="AC88" s="80">
        <f>AC85*Products!$F$38</f>
        <v/>
      </c>
      <c r="AD88" s="80">
        <f>AD85*Products!$F$38</f>
        <v/>
      </c>
      <c r="AE88" s="80">
        <f>AE85*Products!$F$38</f>
        <v/>
      </c>
      <c r="AF88" s="80">
        <f>AF85*Products!$F$38</f>
        <v/>
      </c>
      <c r="AG88" s="80">
        <f>AG85*Products!$F$38</f>
        <v/>
      </c>
      <c r="AH88" s="80">
        <f>AH85*Products!$F$38</f>
        <v/>
      </c>
      <c r="AI88" s="80">
        <f>AI85*Products!$F$38</f>
        <v/>
      </c>
      <c r="AJ88" s="80">
        <f>AJ85*Products!$F$38</f>
        <v/>
      </c>
      <c r="AK88" s="80">
        <f>AK85*Products!$F$38</f>
        <v/>
      </c>
      <c r="AL88" s="80">
        <f>AL85*Products!$F$38</f>
        <v/>
      </c>
      <c r="AM88" s="80">
        <f>AM85*Products!$F$38</f>
        <v/>
      </c>
      <c r="AN88" s="80">
        <f>AN85*Products!$F$38</f>
        <v/>
      </c>
      <c r="AO88" s="80">
        <f>AO85*Products!$F$38</f>
        <v/>
      </c>
      <c r="AP88" s="80">
        <f>AP85*Products!$F$38</f>
        <v/>
      </c>
      <c r="AQ88" s="80">
        <f>AQ85*Products!$F$38</f>
        <v/>
      </c>
      <c r="AR88" s="80">
        <f>AR85*Products!$F$38</f>
        <v/>
      </c>
      <c r="AS88" s="80">
        <f>AS85*Products!$F$38</f>
        <v/>
      </c>
      <c r="AT88" s="80">
        <f>AT85*Products!$F$38</f>
        <v/>
      </c>
      <c r="AU88" s="80">
        <f>AU85*Products!$F$38</f>
        <v/>
      </c>
      <c r="AV88" s="80">
        <f>AV85*Products!$F$38</f>
        <v/>
      </c>
      <c r="AW88" s="80">
        <f>AW85*Products!$F$38</f>
        <v/>
      </c>
      <c r="AX88" s="80">
        <f>AX85*Products!$F$38</f>
        <v/>
      </c>
      <c r="AY88" s="80">
        <f>AY85*Products!$F$38</f>
        <v/>
      </c>
      <c r="AZ88" s="80">
        <f>AZ85*Products!$F$38</f>
        <v/>
      </c>
      <c r="BA88" s="80">
        <f>BA85*Products!$F$38</f>
        <v/>
      </c>
      <c r="BB88" s="80">
        <f>BB85*Products!$F$38</f>
        <v/>
      </c>
      <c r="BC88" s="80">
        <f>BC85*Products!$F$38</f>
        <v/>
      </c>
      <c r="BD88" s="80">
        <f>BD85*Products!$F$38</f>
        <v/>
      </c>
      <c r="BE88" s="80">
        <f>BE85*Products!$F$38</f>
        <v/>
      </c>
      <c r="BF88" s="80">
        <f>BF85*Products!$F$38</f>
        <v/>
      </c>
      <c r="BG88" s="80">
        <f>BG85*Products!$F$38</f>
        <v/>
      </c>
      <c r="BH88" s="80">
        <f>BH85*Products!$F$38</f>
        <v/>
      </c>
      <c r="BI88" s="80">
        <f>BI85*Products!$F$38</f>
        <v/>
      </c>
      <c r="BJ88" s="80">
        <f>BJ85*Products!$F$38</f>
        <v/>
      </c>
      <c r="BK88" s="80">
        <f>BK85*Products!$F$38</f>
        <v/>
      </c>
      <c r="BL88" s="80">
        <f>BL85*Products!$F$38</f>
        <v/>
      </c>
    </row>
    <row r="89">
      <c r="A89" s="98" t="inlineStr">
        <is>
          <t>Instalments due</t>
        </is>
      </c>
      <c r="B89" s="65" t="inlineStr">
        <is>
          <t>LCY</t>
        </is>
      </c>
      <c r="C89" s="105">
        <f>SUM(E89:BL89)</f>
        <v/>
      </c>
      <c r="E89" s="80">
        <f>Products!$F$33*SUMIFS($E$85:$BL$85,Timeline!$E$4:$BL$4,"&gt;="&amp;(E$4-Products!$F$16),Timeline!$E$4:$BL$4,"&lt;="&amp;(E$4-1))</f>
        <v/>
      </c>
      <c r="F89" s="80">
        <f>Products!$F$33*SUMIFS($E$85:$BL$85,Timeline!$E$4:$BL$4,"&gt;="&amp;(F$4-Products!$F$16),Timeline!$E$4:$BL$4,"&lt;="&amp;(F$4-1))</f>
        <v/>
      </c>
      <c r="G89" s="80">
        <f>Products!$F$33*SUMIFS($E$85:$BL$85,Timeline!$E$4:$BL$4,"&gt;="&amp;(G$4-Products!$F$16),Timeline!$E$4:$BL$4,"&lt;="&amp;(G$4-1))</f>
        <v/>
      </c>
      <c r="H89" s="80">
        <f>Products!$F$33*SUMIFS($E$85:$BL$85,Timeline!$E$4:$BL$4,"&gt;="&amp;(H$4-Products!$F$16),Timeline!$E$4:$BL$4,"&lt;="&amp;(H$4-1))</f>
        <v/>
      </c>
      <c r="I89" s="80">
        <f>Products!$F$33*SUMIFS($E$85:$BL$85,Timeline!$E$4:$BL$4,"&gt;="&amp;(I$4-Products!$F$16),Timeline!$E$4:$BL$4,"&lt;="&amp;(I$4-1))</f>
        <v/>
      </c>
      <c r="J89" s="80">
        <f>Products!$F$33*SUMIFS($E$85:$BL$85,Timeline!$E$4:$BL$4,"&gt;="&amp;(J$4-Products!$F$16),Timeline!$E$4:$BL$4,"&lt;="&amp;(J$4-1))</f>
        <v/>
      </c>
      <c r="K89" s="80">
        <f>Products!$F$33*SUMIFS($E$85:$BL$85,Timeline!$E$4:$BL$4,"&gt;="&amp;(K$4-Products!$F$16),Timeline!$E$4:$BL$4,"&lt;="&amp;(K$4-1))</f>
        <v/>
      </c>
      <c r="L89" s="80">
        <f>Products!$F$33*SUMIFS($E$85:$BL$85,Timeline!$E$4:$BL$4,"&gt;="&amp;(L$4-Products!$F$16),Timeline!$E$4:$BL$4,"&lt;="&amp;(L$4-1))</f>
        <v/>
      </c>
      <c r="M89" s="80">
        <f>Products!$F$33*SUMIFS($E$85:$BL$85,Timeline!$E$4:$BL$4,"&gt;="&amp;(M$4-Products!$F$16),Timeline!$E$4:$BL$4,"&lt;="&amp;(M$4-1))</f>
        <v/>
      </c>
      <c r="N89" s="80">
        <f>Products!$F$33*SUMIFS($E$85:$BL$85,Timeline!$E$4:$BL$4,"&gt;="&amp;(N$4-Products!$F$16),Timeline!$E$4:$BL$4,"&lt;="&amp;(N$4-1))</f>
        <v/>
      </c>
      <c r="O89" s="80">
        <f>Products!$F$33*SUMIFS($E$85:$BL$85,Timeline!$E$4:$BL$4,"&gt;="&amp;(O$4-Products!$F$16),Timeline!$E$4:$BL$4,"&lt;="&amp;(O$4-1))</f>
        <v/>
      </c>
      <c r="P89" s="80">
        <f>Products!$F$33*SUMIFS($E$85:$BL$85,Timeline!$E$4:$BL$4,"&gt;="&amp;(P$4-Products!$F$16),Timeline!$E$4:$BL$4,"&lt;="&amp;(P$4-1))</f>
        <v/>
      </c>
      <c r="Q89" s="80">
        <f>Products!$F$33*SUMIFS($E$85:$BL$85,Timeline!$E$4:$BL$4,"&gt;="&amp;(Q$4-Products!$F$16),Timeline!$E$4:$BL$4,"&lt;="&amp;(Q$4-1))</f>
        <v/>
      </c>
      <c r="R89" s="80">
        <f>Products!$F$33*SUMIFS($E$85:$BL$85,Timeline!$E$4:$BL$4,"&gt;="&amp;(R$4-Products!$F$16),Timeline!$E$4:$BL$4,"&lt;="&amp;(R$4-1))</f>
        <v/>
      </c>
      <c r="S89" s="80">
        <f>Products!$F$33*SUMIFS($E$85:$BL$85,Timeline!$E$4:$BL$4,"&gt;="&amp;(S$4-Products!$F$16),Timeline!$E$4:$BL$4,"&lt;="&amp;(S$4-1))</f>
        <v/>
      </c>
      <c r="T89" s="80">
        <f>Products!$F$33*SUMIFS($E$85:$BL$85,Timeline!$E$4:$BL$4,"&gt;="&amp;(T$4-Products!$F$16),Timeline!$E$4:$BL$4,"&lt;="&amp;(T$4-1))</f>
        <v/>
      </c>
      <c r="U89" s="80">
        <f>Products!$F$33*SUMIFS($E$85:$BL$85,Timeline!$E$4:$BL$4,"&gt;="&amp;(U$4-Products!$F$16),Timeline!$E$4:$BL$4,"&lt;="&amp;(U$4-1))</f>
        <v/>
      </c>
      <c r="V89" s="80">
        <f>Products!$F$33*SUMIFS($E$85:$BL$85,Timeline!$E$4:$BL$4,"&gt;="&amp;(V$4-Products!$F$16),Timeline!$E$4:$BL$4,"&lt;="&amp;(V$4-1))</f>
        <v/>
      </c>
      <c r="W89" s="80">
        <f>Products!$F$33*SUMIFS($E$85:$BL$85,Timeline!$E$4:$BL$4,"&gt;="&amp;(W$4-Products!$F$16),Timeline!$E$4:$BL$4,"&lt;="&amp;(W$4-1))</f>
        <v/>
      </c>
      <c r="X89" s="80">
        <f>Products!$F$33*SUMIFS($E$85:$BL$85,Timeline!$E$4:$BL$4,"&gt;="&amp;(X$4-Products!$F$16),Timeline!$E$4:$BL$4,"&lt;="&amp;(X$4-1))</f>
        <v/>
      </c>
      <c r="Y89" s="80">
        <f>Products!$F$33*SUMIFS($E$85:$BL$85,Timeline!$E$4:$BL$4,"&gt;="&amp;(Y$4-Products!$F$16),Timeline!$E$4:$BL$4,"&lt;="&amp;(Y$4-1))</f>
        <v/>
      </c>
      <c r="Z89" s="80">
        <f>Products!$F$33*SUMIFS($E$85:$BL$85,Timeline!$E$4:$BL$4,"&gt;="&amp;(Z$4-Products!$F$16),Timeline!$E$4:$BL$4,"&lt;="&amp;(Z$4-1))</f>
        <v/>
      </c>
      <c r="AA89" s="80">
        <f>Products!$F$33*SUMIFS($E$85:$BL$85,Timeline!$E$4:$BL$4,"&gt;="&amp;(AA$4-Products!$F$16),Timeline!$E$4:$BL$4,"&lt;="&amp;(AA$4-1))</f>
        <v/>
      </c>
      <c r="AB89" s="80">
        <f>Products!$F$33*SUMIFS($E$85:$BL$85,Timeline!$E$4:$BL$4,"&gt;="&amp;(AB$4-Products!$F$16),Timeline!$E$4:$BL$4,"&lt;="&amp;(AB$4-1))</f>
        <v/>
      </c>
      <c r="AC89" s="80">
        <f>Products!$F$33*SUMIFS($E$85:$BL$85,Timeline!$E$4:$BL$4,"&gt;="&amp;(AC$4-Products!$F$16),Timeline!$E$4:$BL$4,"&lt;="&amp;(AC$4-1))</f>
        <v/>
      </c>
      <c r="AD89" s="80">
        <f>Products!$F$33*SUMIFS($E$85:$BL$85,Timeline!$E$4:$BL$4,"&gt;="&amp;(AD$4-Products!$F$16),Timeline!$E$4:$BL$4,"&lt;="&amp;(AD$4-1))</f>
        <v/>
      </c>
      <c r="AE89" s="80">
        <f>Products!$F$33*SUMIFS($E$85:$BL$85,Timeline!$E$4:$BL$4,"&gt;="&amp;(AE$4-Products!$F$16),Timeline!$E$4:$BL$4,"&lt;="&amp;(AE$4-1))</f>
        <v/>
      </c>
      <c r="AF89" s="80">
        <f>Products!$F$33*SUMIFS($E$85:$BL$85,Timeline!$E$4:$BL$4,"&gt;="&amp;(AF$4-Products!$F$16),Timeline!$E$4:$BL$4,"&lt;="&amp;(AF$4-1))</f>
        <v/>
      </c>
      <c r="AG89" s="80">
        <f>Products!$F$33*SUMIFS($E$85:$BL$85,Timeline!$E$4:$BL$4,"&gt;="&amp;(AG$4-Products!$F$16),Timeline!$E$4:$BL$4,"&lt;="&amp;(AG$4-1))</f>
        <v/>
      </c>
      <c r="AH89" s="80">
        <f>Products!$F$33*SUMIFS($E$85:$BL$85,Timeline!$E$4:$BL$4,"&gt;="&amp;(AH$4-Products!$F$16),Timeline!$E$4:$BL$4,"&lt;="&amp;(AH$4-1))</f>
        <v/>
      </c>
      <c r="AI89" s="80">
        <f>Products!$F$33*SUMIFS($E$85:$BL$85,Timeline!$E$4:$BL$4,"&gt;="&amp;(AI$4-Products!$F$16),Timeline!$E$4:$BL$4,"&lt;="&amp;(AI$4-1))</f>
        <v/>
      </c>
      <c r="AJ89" s="80">
        <f>Products!$F$33*SUMIFS($E$85:$BL$85,Timeline!$E$4:$BL$4,"&gt;="&amp;(AJ$4-Products!$F$16),Timeline!$E$4:$BL$4,"&lt;="&amp;(AJ$4-1))</f>
        <v/>
      </c>
      <c r="AK89" s="80">
        <f>Products!$F$33*SUMIFS($E$85:$BL$85,Timeline!$E$4:$BL$4,"&gt;="&amp;(AK$4-Products!$F$16),Timeline!$E$4:$BL$4,"&lt;="&amp;(AK$4-1))</f>
        <v/>
      </c>
      <c r="AL89" s="80">
        <f>Products!$F$33*SUMIFS($E$85:$BL$85,Timeline!$E$4:$BL$4,"&gt;="&amp;(AL$4-Products!$F$16),Timeline!$E$4:$BL$4,"&lt;="&amp;(AL$4-1))</f>
        <v/>
      </c>
      <c r="AM89" s="80">
        <f>Products!$F$33*SUMIFS($E$85:$BL$85,Timeline!$E$4:$BL$4,"&gt;="&amp;(AM$4-Products!$F$16),Timeline!$E$4:$BL$4,"&lt;="&amp;(AM$4-1))</f>
        <v/>
      </c>
      <c r="AN89" s="80">
        <f>Products!$F$33*SUMIFS($E$85:$BL$85,Timeline!$E$4:$BL$4,"&gt;="&amp;(AN$4-Products!$F$16),Timeline!$E$4:$BL$4,"&lt;="&amp;(AN$4-1))</f>
        <v/>
      </c>
      <c r="AO89" s="80">
        <f>Products!$F$33*SUMIFS($E$85:$BL$85,Timeline!$E$4:$BL$4,"&gt;="&amp;(AO$4-Products!$F$16),Timeline!$E$4:$BL$4,"&lt;="&amp;(AO$4-1))</f>
        <v/>
      </c>
      <c r="AP89" s="80">
        <f>Products!$F$33*SUMIFS($E$85:$BL$85,Timeline!$E$4:$BL$4,"&gt;="&amp;(AP$4-Products!$F$16),Timeline!$E$4:$BL$4,"&lt;="&amp;(AP$4-1))</f>
        <v/>
      </c>
      <c r="AQ89" s="80">
        <f>Products!$F$33*SUMIFS($E$85:$BL$85,Timeline!$E$4:$BL$4,"&gt;="&amp;(AQ$4-Products!$F$16),Timeline!$E$4:$BL$4,"&lt;="&amp;(AQ$4-1))</f>
        <v/>
      </c>
      <c r="AR89" s="80">
        <f>Products!$F$33*SUMIFS($E$85:$BL$85,Timeline!$E$4:$BL$4,"&gt;="&amp;(AR$4-Products!$F$16),Timeline!$E$4:$BL$4,"&lt;="&amp;(AR$4-1))</f>
        <v/>
      </c>
      <c r="AS89" s="80">
        <f>Products!$F$33*SUMIFS($E$85:$BL$85,Timeline!$E$4:$BL$4,"&gt;="&amp;(AS$4-Products!$F$16),Timeline!$E$4:$BL$4,"&lt;="&amp;(AS$4-1))</f>
        <v/>
      </c>
      <c r="AT89" s="80">
        <f>Products!$F$33*SUMIFS($E$85:$BL$85,Timeline!$E$4:$BL$4,"&gt;="&amp;(AT$4-Products!$F$16),Timeline!$E$4:$BL$4,"&lt;="&amp;(AT$4-1))</f>
        <v/>
      </c>
      <c r="AU89" s="80">
        <f>Products!$F$33*SUMIFS($E$85:$BL$85,Timeline!$E$4:$BL$4,"&gt;="&amp;(AU$4-Products!$F$16),Timeline!$E$4:$BL$4,"&lt;="&amp;(AU$4-1))</f>
        <v/>
      </c>
      <c r="AV89" s="80">
        <f>Products!$F$33*SUMIFS($E$85:$BL$85,Timeline!$E$4:$BL$4,"&gt;="&amp;(AV$4-Products!$F$16),Timeline!$E$4:$BL$4,"&lt;="&amp;(AV$4-1))</f>
        <v/>
      </c>
      <c r="AW89" s="80">
        <f>Products!$F$33*SUMIFS($E$85:$BL$85,Timeline!$E$4:$BL$4,"&gt;="&amp;(AW$4-Products!$F$16),Timeline!$E$4:$BL$4,"&lt;="&amp;(AW$4-1))</f>
        <v/>
      </c>
      <c r="AX89" s="80">
        <f>Products!$F$33*SUMIFS($E$85:$BL$85,Timeline!$E$4:$BL$4,"&gt;="&amp;(AX$4-Products!$F$16),Timeline!$E$4:$BL$4,"&lt;="&amp;(AX$4-1))</f>
        <v/>
      </c>
      <c r="AY89" s="80">
        <f>Products!$F$33*SUMIFS($E$85:$BL$85,Timeline!$E$4:$BL$4,"&gt;="&amp;(AY$4-Products!$F$16),Timeline!$E$4:$BL$4,"&lt;="&amp;(AY$4-1))</f>
        <v/>
      </c>
      <c r="AZ89" s="80">
        <f>Products!$F$33*SUMIFS($E$85:$BL$85,Timeline!$E$4:$BL$4,"&gt;="&amp;(AZ$4-Products!$F$16),Timeline!$E$4:$BL$4,"&lt;="&amp;(AZ$4-1))</f>
        <v/>
      </c>
      <c r="BA89" s="80">
        <f>Products!$F$33*SUMIFS($E$85:$BL$85,Timeline!$E$4:$BL$4,"&gt;="&amp;(BA$4-Products!$F$16),Timeline!$E$4:$BL$4,"&lt;="&amp;(BA$4-1))</f>
        <v/>
      </c>
      <c r="BB89" s="80">
        <f>Products!$F$33*SUMIFS($E$85:$BL$85,Timeline!$E$4:$BL$4,"&gt;="&amp;(BB$4-Products!$F$16),Timeline!$E$4:$BL$4,"&lt;="&amp;(BB$4-1))</f>
        <v/>
      </c>
      <c r="BC89" s="80">
        <f>Products!$F$33*SUMIFS($E$85:$BL$85,Timeline!$E$4:$BL$4,"&gt;="&amp;(BC$4-Products!$F$16),Timeline!$E$4:$BL$4,"&lt;="&amp;(BC$4-1))</f>
        <v/>
      </c>
      <c r="BD89" s="80">
        <f>Products!$F$33*SUMIFS($E$85:$BL$85,Timeline!$E$4:$BL$4,"&gt;="&amp;(BD$4-Products!$F$16),Timeline!$E$4:$BL$4,"&lt;="&amp;(BD$4-1))</f>
        <v/>
      </c>
      <c r="BE89" s="80">
        <f>Products!$F$33*SUMIFS($E$85:$BL$85,Timeline!$E$4:$BL$4,"&gt;="&amp;(BE$4-Products!$F$16),Timeline!$E$4:$BL$4,"&lt;="&amp;(BE$4-1))</f>
        <v/>
      </c>
      <c r="BF89" s="80">
        <f>Products!$F$33*SUMIFS($E$85:$BL$85,Timeline!$E$4:$BL$4,"&gt;="&amp;(BF$4-Products!$F$16),Timeline!$E$4:$BL$4,"&lt;="&amp;(BF$4-1))</f>
        <v/>
      </c>
      <c r="BG89" s="80">
        <f>Products!$F$33*SUMIFS($E$85:$BL$85,Timeline!$E$4:$BL$4,"&gt;="&amp;(BG$4-Products!$F$16),Timeline!$E$4:$BL$4,"&lt;="&amp;(BG$4-1))</f>
        <v/>
      </c>
      <c r="BH89" s="80">
        <f>Products!$F$33*SUMIFS($E$85:$BL$85,Timeline!$E$4:$BL$4,"&gt;="&amp;(BH$4-Products!$F$16),Timeline!$E$4:$BL$4,"&lt;="&amp;(BH$4-1))</f>
        <v/>
      </c>
      <c r="BI89" s="80">
        <f>Products!$F$33*SUMIFS($E$85:$BL$85,Timeline!$E$4:$BL$4,"&gt;="&amp;(BI$4-Products!$F$16),Timeline!$E$4:$BL$4,"&lt;="&amp;(BI$4-1))</f>
        <v/>
      </c>
      <c r="BJ89" s="80">
        <f>Products!$F$33*SUMIFS($E$85:$BL$85,Timeline!$E$4:$BL$4,"&gt;="&amp;(BJ$4-Products!$F$16),Timeline!$E$4:$BL$4,"&lt;="&amp;(BJ$4-1))</f>
        <v/>
      </c>
      <c r="BK89" s="80">
        <f>Products!$F$33*SUMIFS($E$85:$BL$85,Timeline!$E$4:$BL$4,"&gt;="&amp;(BK$4-Products!$F$16),Timeline!$E$4:$BL$4,"&lt;="&amp;(BK$4-1))</f>
        <v/>
      </c>
      <c r="BL89" s="80">
        <f>Products!$F$33*SUMIFS($E$85:$BL$85,Timeline!$E$4:$BL$4,"&gt;="&amp;(BL$4-Products!$F$16),Timeline!$E$4:$BL$4,"&lt;="&amp;(BL$4-1))</f>
        <v/>
      </c>
    </row>
    <row r="90">
      <c r="A90" s="98" t="inlineStr">
        <is>
          <t>Instalments collected</t>
        </is>
      </c>
      <c r="B90" s="65" t="inlineStr">
        <is>
          <t>LCY</t>
        </is>
      </c>
      <c r="C90" s="105">
        <f>SUM(E90:BL90)</f>
        <v/>
      </c>
      <c r="E90" s="41">
        <f>Cohort_T4!E$9</f>
        <v/>
      </c>
      <c r="F90" s="41">
        <f>Cohort_T4!F$9</f>
        <v/>
      </c>
      <c r="G90" s="41">
        <f>Cohort_T4!G$9</f>
        <v/>
      </c>
      <c r="H90" s="41">
        <f>Cohort_T4!H$9</f>
        <v/>
      </c>
      <c r="I90" s="41">
        <f>Cohort_T4!I$9</f>
        <v/>
      </c>
      <c r="J90" s="41">
        <f>Cohort_T4!J$9</f>
        <v/>
      </c>
      <c r="K90" s="41">
        <f>Cohort_T4!K$9</f>
        <v/>
      </c>
      <c r="L90" s="41">
        <f>Cohort_T4!L$9</f>
        <v/>
      </c>
      <c r="M90" s="41">
        <f>Cohort_T4!M$9</f>
        <v/>
      </c>
      <c r="N90" s="41">
        <f>Cohort_T4!N$9</f>
        <v/>
      </c>
      <c r="O90" s="41">
        <f>Cohort_T4!O$9</f>
        <v/>
      </c>
      <c r="P90" s="41">
        <f>Cohort_T4!P$9</f>
        <v/>
      </c>
      <c r="Q90" s="41">
        <f>Cohort_T4!Q$9</f>
        <v/>
      </c>
      <c r="R90" s="41">
        <f>Cohort_T4!R$9</f>
        <v/>
      </c>
      <c r="S90" s="41">
        <f>Cohort_T4!S$9</f>
        <v/>
      </c>
      <c r="T90" s="41">
        <f>Cohort_T4!T$9</f>
        <v/>
      </c>
      <c r="U90" s="41">
        <f>Cohort_T4!U$9</f>
        <v/>
      </c>
      <c r="V90" s="41">
        <f>Cohort_T4!V$9</f>
        <v/>
      </c>
      <c r="W90" s="41">
        <f>Cohort_T4!W$9</f>
        <v/>
      </c>
      <c r="X90" s="41">
        <f>Cohort_T4!X$9</f>
        <v/>
      </c>
      <c r="Y90" s="41">
        <f>Cohort_T4!Y$9</f>
        <v/>
      </c>
      <c r="Z90" s="41">
        <f>Cohort_T4!Z$9</f>
        <v/>
      </c>
      <c r="AA90" s="41">
        <f>Cohort_T4!AA$9</f>
        <v/>
      </c>
      <c r="AB90" s="41">
        <f>Cohort_T4!AB$9</f>
        <v/>
      </c>
      <c r="AC90" s="41">
        <f>Cohort_T4!AC$9</f>
        <v/>
      </c>
      <c r="AD90" s="41">
        <f>Cohort_T4!AD$9</f>
        <v/>
      </c>
      <c r="AE90" s="41">
        <f>Cohort_T4!AE$9</f>
        <v/>
      </c>
      <c r="AF90" s="41">
        <f>Cohort_T4!AF$9</f>
        <v/>
      </c>
      <c r="AG90" s="41">
        <f>Cohort_T4!AG$9</f>
        <v/>
      </c>
      <c r="AH90" s="41">
        <f>Cohort_T4!AH$9</f>
        <v/>
      </c>
      <c r="AI90" s="41">
        <f>Cohort_T4!AI$9</f>
        <v/>
      </c>
      <c r="AJ90" s="41">
        <f>Cohort_T4!AJ$9</f>
        <v/>
      </c>
      <c r="AK90" s="41">
        <f>Cohort_T4!AK$9</f>
        <v/>
      </c>
      <c r="AL90" s="41">
        <f>Cohort_T4!AL$9</f>
        <v/>
      </c>
      <c r="AM90" s="41">
        <f>Cohort_T4!AM$9</f>
        <v/>
      </c>
      <c r="AN90" s="41">
        <f>Cohort_T4!AN$9</f>
        <v/>
      </c>
      <c r="AO90" s="41">
        <f>Cohort_T4!AO$9</f>
        <v/>
      </c>
      <c r="AP90" s="41">
        <f>Cohort_T4!AP$9</f>
        <v/>
      </c>
      <c r="AQ90" s="41">
        <f>Cohort_T4!AQ$9</f>
        <v/>
      </c>
      <c r="AR90" s="41">
        <f>Cohort_T4!AR$9</f>
        <v/>
      </c>
      <c r="AS90" s="41">
        <f>Cohort_T4!AS$9</f>
        <v/>
      </c>
      <c r="AT90" s="41">
        <f>Cohort_T4!AT$9</f>
        <v/>
      </c>
      <c r="AU90" s="41">
        <f>Cohort_T4!AU$9</f>
        <v/>
      </c>
      <c r="AV90" s="41">
        <f>Cohort_T4!AV$9</f>
        <v/>
      </c>
      <c r="AW90" s="41">
        <f>Cohort_T4!AW$9</f>
        <v/>
      </c>
      <c r="AX90" s="41">
        <f>Cohort_T4!AX$9</f>
        <v/>
      </c>
      <c r="AY90" s="41">
        <f>Cohort_T4!AY$9</f>
        <v/>
      </c>
      <c r="AZ90" s="41">
        <f>Cohort_T4!AZ$9</f>
        <v/>
      </c>
      <c r="BA90" s="41">
        <f>Cohort_T4!BA$9</f>
        <v/>
      </c>
      <c r="BB90" s="41">
        <f>Cohort_T4!BB$9</f>
        <v/>
      </c>
      <c r="BC90" s="41">
        <f>Cohort_T4!BC$9</f>
        <v/>
      </c>
      <c r="BD90" s="41">
        <f>Cohort_T4!BD$9</f>
        <v/>
      </c>
      <c r="BE90" s="41">
        <f>Cohort_T4!BE$9</f>
        <v/>
      </c>
      <c r="BF90" s="41">
        <f>Cohort_T4!BF$9</f>
        <v/>
      </c>
      <c r="BG90" s="41">
        <f>Cohort_T4!BG$9</f>
        <v/>
      </c>
      <c r="BH90" s="41">
        <f>Cohort_T4!BH$9</f>
        <v/>
      </c>
      <c r="BI90" s="41">
        <f>Cohort_T4!BI$9</f>
        <v/>
      </c>
      <c r="BJ90" s="41">
        <f>Cohort_T4!BJ$9</f>
        <v/>
      </c>
      <c r="BK90" s="41">
        <f>Cohort_T4!BK$9</f>
        <v/>
      </c>
      <c r="BL90" s="41">
        <f>Cohort_T4!BL$9</f>
        <v/>
      </c>
    </row>
    <row r="91">
      <c r="A91" s="98" t="inlineStr">
        <is>
          <t>Missed instalments written off</t>
        </is>
      </c>
      <c r="B91" s="65" t="inlineStr">
        <is>
          <t>LCY</t>
        </is>
      </c>
      <c r="C91" s="105">
        <f>SUM(E91:BL91)</f>
        <v/>
      </c>
      <c r="E91" s="80">
        <f>E89-E90</f>
        <v/>
      </c>
      <c r="F91" s="80">
        <f>F89-F90</f>
        <v/>
      </c>
      <c r="G91" s="80">
        <f>G89-G90</f>
        <v/>
      </c>
      <c r="H91" s="80">
        <f>H89-H90</f>
        <v/>
      </c>
      <c r="I91" s="80">
        <f>I89-I90</f>
        <v/>
      </c>
      <c r="J91" s="80">
        <f>J89-J90</f>
        <v/>
      </c>
      <c r="K91" s="80">
        <f>K89-K90</f>
        <v/>
      </c>
      <c r="L91" s="80">
        <f>L89-L90</f>
        <v/>
      </c>
      <c r="M91" s="80">
        <f>M89-M90</f>
        <v/>
      </c>
      <c r="N91" s="80">
        <f>N89-N90</f>
        <v/>
      </c>
      <c r="O91" s="80">
        <f>O89-O90</f>
        <v/>
      </c>
      <c r="P91" s="80">
        <f>P89-P90</f>
        <v/>
      </c>
      <c r="Q91" s="80">
        <f>Q89-Q90</f>
        <v/>
      </c>
      <c r="R91" s="80">
        <f>R89-R90</f>
        <v/>
      </c>
      <c r="S91" s="80">
        <f>S89-S90</f>
        <v/>
      </c>
      <c r="T91" s="80">
        <f>T89-T90</f>
        <v/>
      </c>
      <c r="U91" s="80">
        <f>U89-U90</f>
        <v/>
      </c>
      <c r="V91" s="80">
        <f>V89-V90</f>
        <v/>
      </c>
      <c r="W91" s="80">
        <f>W89-W90</f>
        <v/>
      </c>
      <c r="X91" s="80">
        <f>X89-X90</f>
        <v/>
      </c>
      <c r="Y91" s="80">
        <f>Y89-Y90</f>
        <v/>
      </c>
      <c r="Z91" s="80">
        <f>Z89-Z90</f>
        <v/>
      </c>
      <c r="AA91" s="80">
        <f>AA89-AA90</f>
        <v/>
      </c>
      <c r="AB91" s="80">
        <f>AB89-AB90</f>
        <v/>
      </c>
      <c r="AC91" s="80">
        <f>AC89-AC90</f>
        <v/>
      </c>
      <c r="AD91" s="80">
        <f>AD89-AD90</f>
        <v/>
      </c>
      <c r="AE91" s="80">
        <f>AE89-AE90</f>
        <v/>
      </c>
      <c r="AF91" s="80">
        <f>AF89-AF90</f>
        <v/>
      </c>
      <c r="AG91" s="80">
        <f>AG89-AG90</f>
        <v/>
      </c>
      <c r="AH91" s="80">
        <f>AH89-AH90</f>
        <v/>
      </c>
      <c r="AI91" s="80">
        <f>AI89-AI90</f>
        <v/>
      </c>
      <c r="AJ91" s="80">
        <f>AJ89-AJ90</f>
        <v/>
      </c>
      <c r="AK91" s="80">
        <f>AK89-AK90</f>
        <v/>
      </c>
      <c r="AL91" s="80">
        <f>AL89-AL90</f>
        <v/>
      </c>
      <c r="AM91" s="80">
        <f>AM89-AM90</f>
        <v/>
      </c>
      <c r="AN91" s="80">
        <f>AN89-AN90</f>
        <v/>
      </c>
      <c r="AO91" s="80">
        <f>AO89-AO90</f>
        <v/>
      </c>
      <c r="AP91" s="80">
        <f>AP89-AP90</f>
        <v/>
      </c>
      <c r="AQ91" s="80">
        <f>AQ89-AQ90</f>
        <v/>
      </c>
      <c r="AR91" s="80">
        <f>AR89-AR90</f>
        <v/>
      </c>
      <c r="AS91" s="80">
        <f>AS89-AS90</f>
        <v/>
      </c>
      <c r="AT91" s="80">
        <f>AT89-AT90</f>
        <v/>
      </c>
      <c r="AU91" s="80">
        <f>AU89-AU90</f>
        <v/>
      </c>
      <c r="AV91" s="80">
        <f>AV89-AV90</f>
        <v/>
      </c>
      <c r="AW91" s="80">
        <f>AW89-AW90</f>
        <v/>
      </c>
      <c r="AX91" s="80">
        <f>AX89-AX90</f>
        <v/>
      </c>
      <c r="AY91" s="80">
        <f>AY89-AY90</f>
        <v/>
      </c>
      <c r="AZ91" s="80">
        <f>AZ89-AZ90</f>
        <v/>
      </c>
      <c r="BA91" s="80">
        <f>BA89-BA90</f>
        <v/>
      </c>
      <c r="BB91" s="80">
        <f>BB89-BB90</f>
        <v/>
      </c>
      <c r="BC91" s="80">
        <f>BC89-BC90</f>
        <v/>
      </c>
      <c r="BD91" s="80">
        <f>BD89-BD90</f>
        <v/>
      </c>
      <c r="BE91" s="80">
        <f>BE89-BE90</f>
        <v/>
      </c>
      <c r="BF91" s="80">
        <f>BF89-BF90</f>
        <v/>
      </c>
      <c r="BG91" s="80">
        <f>BG89-BG90</f>
        <v/>
      </c>
      <c r="BH91" s="80">
        <f>BH89-BH90</f>
        <v/>
      </c>
      <c r="BI91" s="80">
        <f>BI89-BI90</f>
        <v/>
      </c>
      <c r="BJ91" s="80">
        <f>BJ89-BJ90</f>
        <v/>
      </c>
      <c r="BK91" s="80">
        <f>BK89-BK90</f>
        <v/>
      </c>
      <c r="BL91" s="80">
        <f>BL89-BL90</f>
        <v/>
      </c>
    </row>
    <row r="92">
      <c r="A92" s="98" t="inlineStr">
        <is>
          <t>PAYGo financing income (straight-line over tenor)</t>
        </is>
      </c>
      <c r="B92" s="65" t="inlineStr">
        <is>
          <t>LCY</t>
        </is>
      </c>
      <c r="C92" s="105">
        <f>SUM(E92:BL92)</f>
        <v/>
      </c>
      <c r="E92" s="80">
        <f>IF(Products!$F$16=0,0,Products!$F$35/Products!$F$16*SUMIFS($E$85:$BL$85,Timeline!$E$4:$BL$4,"&gt;="&amp;(E$4-Products!$F$16),Timeline!$E$4:$BL$4,"&lt;="&amp;(E$4-1)))</f>
        <v/>
      </c>
      <c r="F92" s="80">
        <f>IF(Products!$F$16=0,0,Products!$F$35/Products!$F$16*SUMIFS($E$85:$BL$85,Timeline!$E$4:$BL$4,"&gt;="&amp;(F$4-Products!$F$16),Timeline!$E$4:$BL$4,"&lt;="&amp;(F$4-1)))</f>
        <v/>
      </c>
      <c r="G92" s="80">
        <f>IF(Products!$F$16=0,0,Products!$F$35/Products!$F$16*SUMIFS($E$85:$BL$85,Timeline!$E$4:$BL$4,"&gt;="&amp;(G$4-Products!$F$16),Timeline!$E$4:$BL$4,"&lt;="&amp;(G$4-1)))</f>
        <v/>
      </c>
      <c r="H92" s="80">
        <f>IF(Products!$F$16=0,0,Products!$F$35/Products!$F$16*SUMIFS($E$85:$BL$85,Timeline!$E$4:$BL$4,"&gt;="&amp;(H$4-Products!$F$16),Timeline!$E$4:$BL$4,"&lt;="&amp;(H$4-1)))</f>
        <v/>
      </c>
      <c r="I92" s="80">
        <f>IF(Products!$F$16=0,0,Products!$F$35/Products!$F$16*SUMIFS($E$85:$BL$85,Timeline!$E$4:$BL$4,"&gt;="&amp;(I$4-Products!$F$16),Timeline!$E$4:$BL$4,"&lt;="&amp;(I$4-1)))</f>
        <v/>
      </c>
      <c r="J92" s="80">
        <f>IF(Products!$F$16=0,0,Products!$F$35/Products!$F$16*SUMIFS($E$85:$BL$85,Timeline!$E$4:$BL$4,"&gt;="&amp;(J$4-Products!$F$16),Timeline!$E$4:$BL$4,"&lt;="&amp;(J$4-1)))</f>
        <v/>
      </c>
      <c r="K92" s="80">
        <f>IF(Products!$F$16=0,0,Products!$F$35/Products!$F$16*SUMIFS($E$85:$BL$85,Timeline!$E$4:$BL$4,"&gt;="&amp;(K$4-Products!$F$16),Timeline!$E$4:$BL$4,"&lt;="&amp;(K$4-1)))</f>
        <v/>
      </c>
      <c r="L92" s="80">
        <f>IF(Products!$F$16=0,0,Products!$F$35/Products!$F$16*SUMIFS($E$85:$BL$85,Timeline!$E$4:$BL$4,"&gt;="&amp;(L$4-Products!$F$16),Timeline!$E$4:$BL$4,"&lt;="&amp;(L$4-1)))</f>
        <v/>
      </c>
      <c r="M92" s="80">
        <f>IF(Products!$F$16=0,0,Products!$F$35/Products!$F$16*SUMIFS($E$85:$BL$85,Timeline!$E$4:$BL$4,"&gt;="&amp;(M$4-Products!$F$16),Timeline!$E$4:$BL$4,"&lt;="&amp;(M$4-1)))</f>
        <v/>
      </c>
      <c r="N92" s="80">
        <f>IF(Products!$F$16=0,0,Products!$F$35/Products!$F$16*SUMIFS($E$85:$BL$85,Timeline!$E$4:$BL$4,"&gt;="&amp;(N$4-Products!$F$16),Timeline!$E$4:$BL$4,"&lt;="&amp;(N$4-1)))</f>
        <v/>
      </c>
      <c r="O92" s="80">
        <f>IF(Products!$F$16=0,0,Products!$F$35/Products!$F$16*SUMIFS($E$85:$BL$85,Timeline!$E$4:$BL$4,"&gt;="&amp;(O$4-Products!$F$16),Timeline!$E$4:$BL$4,"&lt;="&amp;(O$4-1)))</f>
        <v/>
      </c>
      <c r="P92" s="80">
        <f>IF(Products!$F$16=0,0,Products!$F$35/Products!$F$16*SUMIFS($E$85:$BL$85,Timeline!$E$4:$BL$4,"&gt;="&amp;(P$4-Products!$F$16),Timeline!$E$4:$BL$4,"&lt;="&amp;(P$4-1)))</f>
        <v/>
      </c>
      <c r="Q92" s="80">
        <f>IF(Products!$F$16=0,0,Products!$F$35/Products!$F$16*SUMIFS($E$85:$BL$85,Timeline!$E$4:$BL$4,"&gt;="&amp;(Q$4-Products!$F$16),Timeline!$E$4:$BL$4,"&lt;="&amp;(Q$4-1)))</f>
        <v/>
      </c>
      <c r="R92" s="80">
        <f>IF(Products!$F$16=0,0,Products!$F$35/Products!$F$16*SUMIFS($E$85:$BL$85,Timeline!$E$4:$BL$4,"&gt;="&amp;(R$4-Products!$F$16),Timeline!$E$4:$BL$4,"&lt;="&amp;(R$4-1)))</f>
        <v/>
      </c>
      <c r="S92" s="80">
        <f>IF(Products!$F$16=0,0,Products!$F$35/Products!$F$16*SUMIFS($E$85:$BL$85,Timeline!$E$4:$BL$4,"&gt;="&amp;(S$4-Products!$F$16),Timeline!$E$4:$BL$4,"&lt;="&amp;(S$4-1)))</f>
        <v/>
      </c>
      <c r="T92" s="80">
        <f>IF(Products!$F$16=0,0,Products!$F$35/Products!$F$16*SUMIFS($E$85:$BL$85,Timeline!$E$4:$BL$4,"&gt;="&amp;(T$4-Products!$F$16),Timeline!$E$4:$BL$4,"&lt;="&amp;(T$4-1)))</f>
        <v/>
      </c>
      <c r="U92" s="80">
        <f>IF(Products!$F$16=0,0,Products!$F$35/Products!$F$16*SUMIFS($E$85:$BL$85,Timeline!$E$4:$BL$4,"&gt;="&amp;(U$4-Products!$F$16),Timeline!$E$4:$BL$4,"&lt;="&amp;(U$4-1)))</f>
        <v/>
      </c>
      <c r="V92" s="80">
        <f>IF(Products!$F$16=0,0,Products!$F$35/Products!$F$16*SUMIFS($E$85:$BL$85,Timeline!$E$4:$BL$4,"&gt;="&amp;(V$4-Products!$F$16),Timeline!$E$4:$BL$4,"&lt;="&amp;(V$4-1)))</f>
        <v/>
      </c>
      <c r="W92" s="80">
        <f>IF(Products!$F$16=0,0,Products!$F$35/Products!$F$16*SUMIFS($E$85:$BL$85,Timeline!$E$4:$BL$4,"&gt;="&amp;(W$4-Products!$F$16),Timeline!$E$4:$BL$4,"&lt;="&amp;(W$4-1)))</f>
        <v/>
      </c>
      <c r="X92" s="80">
        <f>IF(Products!$F$16=0,0,Products!$F$35/Products!$F$16*SUMIFS($E$85:$BL$85,Timeline!$E$4:$BL$4,"&gt;="&amp;(X$4-Products!$F$16),Timeline!$E$4:$BL$4,"&lt;="&amp;(X$4-1)))</f>
        <v/>
      </c>
      <c r="Y92" s="80">
        <f>IF(Products!$F$16=0,0,Products!$F$35/Products!$F$16*SUMIFS($E$85:$BL$85,Timeline!$E$4:$BL$4,"&gt;="&amp;(Y$4-Products!$F$16),Timeline!$E$4:$BL$4,"&lt;="&amp;(Y$4-1)))</f>
        <v/>
      </c>
      <c r="Z92" s="80">
        <f>IF(Products!$F$16=0,0,Products!$F$35/Products!$F$16*SUMIFS($E$85:$BL$85,Timeline!$E$4:$BL$4,"&gt;="&amp;(Z$4-Products!$F$16),Timeline!$E$4:$BL$4,"&lt;="&amp;(Z$4-1)))</f>
        <v/>
      </c>
      <c r="AA92" s="80">
        <f>IF(Products!$F$16=0,0,Products!$F$35/Products!$F$16*SUMIFS($E$85:$BL$85,Timeline!$E$4:$BL$4,"&gt;="&amp;(AA$4-Products!$F$16),Timeline!$E$4:$BL$4,"&lt;="&amp;(AA$4-1)))</f>
        <v/>
      </c>
      <c r="AB92" s="80">
        <f>IF(Products!$F$16=0,0,Products!$F$35/Products!$F$16*SUMIFS($E$85:$BL$85,Timeline!$E$4:$BL$4,"&gt;="&amp;(AB$4-Products!$F$16),Timeline!$E$4:$BL$4,"&lt;="&amp;(AB$4-1)))</f>
        <v/>
      </c>
      <c r="AC92" s="80">
        <f>IF(Products!$F$16=0,0,Products!$F$35/Products!$F$16*SUMIFS($E$85:$BL$85,Timeline!$E$4:$BL$4,"&gt;="&amp;(AC$4-Products!$F$16),Timeline!$E$4:$BL$4,"&lt;="&amp;(AC$4-1)))</f>
        <v/>
      </c>
      <c r="AD92" s="80">
        <f>IF(Products!$F$16=0,0,Products!$F$35/Products!$F$16*SUMIFS($E$85:$BL$85,Timeline!$E$4:$BL$4,"&gt;="&amp;(AD$4-Products!$F$16),Timeline!$E$4:$BL$4,"&lt;="&amp;(AD$4-1)))</f>
        <v/>
      </c>
      <c r="AE92" s="80">
        <f>IF(Products!$F$16=0,0,Products!$F$35/Products!$F$16*SUMIFS($E$85:$BL$85,Timeline!$E$4:$BL$4,"&gt;="&amp;(AE$4-Products!$F$16),Timeline!$E$4:$BL$4,"&lt;="&amp;(AE$4-1)))</f>
        <v/>
      </c>
      <c r="AF92" s="80">
        <f>IF(Products!$F$16=0,0,Products!$F$35/Products!$F$16*SUMIFS($E$85:$BL$85,Timeline!$E$4:$BL$4,"&gt;="&amp;(AF$4-Products!$F$16),Timeline!$E$4:$BL$4,"&lt;="&amp;(AF$4-1)))</f>
        <v/>
      </c>
      <c r="AG92" s="80">
        <f>IF(Products!$F$16=0,0,Products!$F$35/Products!$F$16*SUMIFS($E$85:$BL$85,Timeline!$E$4:$BL$4,"&gt;="&amp;(AG$4-Products!$F$16),Timeline!$E$4:$BL$4,"&lt;="&amp;(AG$4-1)))</f>
        <v/>
      </c>
      <c r="AH92" s="80">
        <f>IF(Products!$F$16=0,0,Products!$F$35/Products!$F$16*SUMIFS($E$85:$BL$85,Timeline!$E$4:$BL$4,"&gt;="&amp;(AH$4-Products!$F$16),Timeline!$E$4:$BL$4,"&lt;="&amp;(AH$4-1)))</f>
        <v/>
      </c>
      <c r="AI92" s="80">
        <f>IF(Products!$F$16=0,0,Products!$F$35/Products!$F$16*SUMIFS($E$85:$BL$85,Timeline!$E$4:$BL$4,"&gt;="&amp;(AI$4-Products!$F$16),Timeline!$E$4:$BL$4,"&lt;="&amp;(AI$4-1)))</f>
        <v/>
      </c>
      <c r="AJ92" s="80">
        <f>IF(Products!$F$16=0,0,Products!$F$35/Products!$F$16*SUMIFS($E$85:$BL$85,Timeline!$E$4:$BL$4,"&gt;="&amp;(AJ$4-Products!$F$16),Timeline!$E$4:$BL$4,"&lt;="&amp;(AJ$4-1)))</f>
        <v/>
      </c>
      <c r="AK92" s="80">
        <f>IF(Products!$F$16=0,0,Products!$F$35/Products!$F$16*SUMIFS($E$85:$BL$85,Timeline!$E$4:$BL$4,"&gt;="&amp;(AK$4-Products!$F$16),Timeline!$E$4:$BL$4,"&lt;="&amp;(AK$4-1)))</f>
        <v/>
      </c>
      <c r="AL92" s="80">
        <f>IF(Products!$F$16=0,0,Products!$F$35/Products!$F$16*SUMIFS($E$85:$BL$85,Timeline!$E$4:$BL$4,"&gt;="&amp;(AL$4-Products!$F$16),Timeline!$E$4:$BL$4,"&lt;="&amp;(AL$4-1)))</f>
        <v/>
      </c>
      <c r="AM92" s="80">
        <f>IF(Products!$F$16=0,0,Products!$F$35/Products!$F$16*SUMIFS($E$85:$BL$85,Timeline!$E$4:$BL$4,"&gt;="&amp;(AM$4-Products!$F$16),Timeline!$E$4:$BL$4,"&lt;="&amp;(AM$4-1)))</f>
        <v/>
      </c>
      <c r="AN92" s="80">
        <f>IF(Products!$F$16=0,0,Products!$F$35/Products!$F$16*SUMIFS($E$85:$BL$85,Timeline!$E$4:$BL$4,"&gt;="&amp;(AN$4-Products!$F$16),Timeline!$E$4:$BL$4,"&lt;="&amp;(AN$4-1)))</f>
        <v/>
      </c>
      <c r="AO92" s="80">
        <f>IF(Products!$F$16=0,0,Products!$F$35/Products!$F$16*SUMIFS($E$85:$BL$85,Timeline!$E$4:$BL$4,"&gt;="&amp;(AO$4-Products!$F$16),Timeline!$E$4:$BL$4,"&lt;="&amp;(AO$4-1)))</f>
        <v/>
      </c>
      <c r="AP92" s="80">
        <f>IF(Products!$F$16=0,0,Products!$F$35/Products!$F$16*SUMIFS($E$85:$BL$85,Timeline!$E$4:$BL$4,"&gt;="&amp;(AP$4-Products!$F$16),Timeline!$E$4:$BL$4,"&lt;="&amp;(AP$4-1)))</f>
        <v/>
      </c>
      <c r="AQ92" s="80">
        <f>IF(Products!$F$16=0,0,Products!$F$35/Products!$F$16*SUMIFS($E$85:$BL$85,Timeline!$E$4:$BL$4,"&gt;="&amp;(AQ$4-Products!$F$16),Timeline!$E$4:$BL$4,"&lt;="&amp;(AQ$4-1)))</f>
        <v/>
      </c>
      <c r="AR92" s="80">
        <f>IF(Products!$F$16=0,0,Products!$F$35/Products!$F$16*SUMIFS($E$85:$BL$85,Timeline!$E$4:$BL$4,"&gt;="&amp;(AR$4-Products!$F$16),Timeline!$E$4:$BL$4,"&lt;="&amp;(AR$4-1)))</f>
        <v/>
      </c>
      <c r="AS92" s="80">
        <f>IF(Products!$F$16=0,0,Products!$F$35/Products!$F$16*SUMIFS($E$85:$BL$85,Timeline!$E$4:$BL$4,"&gt;="&amp;(AS$4-Products!$F$16),Timeline!$E$4:$BL$4,"&lt;="&amp;(AS$4-1)))</f>
        <v/>
      </c>
      <c r="AT92" s="80">
        <f>IF(Products!$F$16=0,0,Products!$F$35/Products!$F$16*SUMIFS($E$85:$BL$85,Timeline!$E$4:$BL$4,"&gt;="&amp;(AT$4-Products!$F$16),Timeline!$E$4:$BL$4,"&lt;="&amp;(AT$4-1)))</f>
        <v/>
      </c>
      <c r="AU92" s="80">
        <f>IF(Products!$F$16=0,0,Products!$F$35/Products!$F$16*SUMIFS($E$85:$BL$85,Timeline!$E$4:$BL$4,"&gt;="&amp;(AU$4-Products!$F$16),Timeline!$E$4:$BL$4,"&lt;="&amp;(AU$4-1)))</f>
        <v/>
      </c>
      <c r="AV92" s="80">
        <f>IF(Products!$F$16=0,0,Products!$F$35/Products!$F$16*SUMIFS($E$85:$BL$85,Timeline!$E$4:$BL$4,"&gt;="&amp;(AV$4-Products!$F$16),Timeline!$E$4:$BL$4,"&lt;="&amp;(AV$4-1)))</f>
        <v/>
      </c>
      <c r="AW92" s="80">
        <f>IF(Products!$F$16=0,0,Products!$F$35/Products!$F$16*SUMIFS($E$85:$BL$85,Timeline!$E$4:$BL$4,"&gt;="&amp;(AW$4-Products!$F$16),Timeline!$E$4:$BL$4,"&lt;="&amp;(AW$4-1)))</f>
        <v/>
      </c>
      <c r="AX92" s="80">
        <f>IF(Products!$F$16=0,0,Products!$F$35/Products!$F$16*SUMIFS($E$85:$BL$85,Timeline!$E$4:$BL$4,"&gt;="&amp;(AX$4-Products!$F$16),Timeline!$E$4:$BL$4,"&lt;="&amp;(AX$4-1)))</f>
        <v/>
      </c>
      <c r="AY92" s="80">
        <f>IF(Products!$F$16=0,0,Products!$F$35/Products!$F$16*SUMIFS($E$85:$BL$85,Timeline!$E$4:$BL$4,"&gt;="&amp;(AY$4-Products!$F$16),Timeline!$E$4:$BL$4,"&lt;="&amp;(AY$4-1)))</f>
        <v/>
      </c>
      <c r="AZ92" s="80">
        <f>IF(Products!$F$16=0,0,Products!$F$35/Products!$F$16*SUMIFS($E$85:$BL$85,Timeline!$E$4:$BL$4,"&gt;="&amp;(AZ$4-Products!$F$16),Timeline!$E$4:$BL$4,"&lt;="&amp;(AZ$4-1)))</f>
        <v/>
      </c>
      <c r="BA92" s="80">
        <f>IF(Products!$F$16=0,0,Products!$F$35/Products!$F$16*SUMIFS($E$85:$BL$85,Timeline!$E$4:$BL$4,"&gt;="&amp;(BA$4-Products!$F$16),Timeline!$E$4:$BL$4,"&lt;="&amp;(BA$4-1)))</f>
        <v/>
      </c>
      <c r="BB92" s="80">
        <f>IF(Products!$F$16=0,0,Products!$F$35/Products!$F$16*SUMIFS($E$85:$BL$85,Timeline!$E$4:$BL$4,"&gt;="&amp;(BB$4-Products!$F$16),Timeline!$E$4:$BL$4,"&lt;="&amp;(BB$4-1)))</f>
        <v/>
      </c>
      <c r="BC92" s="80">
        <f>IF(Products!$F$16=0,0,Products!$F$35/Products!$F$16*SUMIFS($E$85:$BL$85,Timeline!$E$4:$BL$4,"&gt;="&amp;(BC$4-Products!$F$16),Timeline!$E$4:$BL$4,"&lt;="&amp;(BC$4-1)))</f>
        <v/>
      </c>
      <c r="BD92" s="80">
        <f>IF(Products!$F$16=0,0,Products!$F$35/Products!$F$16*SUMIFS($E$85:$BL$85,Timeline!$E$4:$BL$4,"&gt;="&amp;(BD$4-Products!$F$16),Timeline!$E$4:$BL$4,"&lt;="&amp;(BD$4-1)))</f>
        <v/>
      </c>
      <c r="BE92" s="80">
        <f>IF(Products!$F$16=0,0,Products!$F$35/Products!$F$16*SUMIFS($E$85:$BL$85,Timeline!$E$4:$BL$4,"&gt;="&amp;(BE$4-Products!$F$16),Timeline!$E$4:$BL$4,"&lt;="&amp;(BE$4-1)))</f>
        <v/>
      </c>
      <c r="BF92" s="80">
        <f>IF(Products!$F$16=0,0,Products!$F$35/Products!$F$16*SUMIFS($E$85:$BL$85,Timeline!$E$4:$BL$4,"&gt;="&amp;(BF$4-Products!$F$16),Timeline!$E$4:$BL$4,"&lt;="&amp;(BF$4-1)))</f>
        <v/>
      </c>
      <c r="BG92" s="80">
        <f>IF(Products!$F$16=0,0,Products!$F$35/Products!$F$16*SUMIFS($E$85:$BL$85,Timeline!$E$4:$BL$4,"&gt;="&amp;(BG$4-Products!$F$16),Timeline!$E$4:$BL$4,"&lt;="&amp;(BG$4-1)))</f>
        <v/>
      </c>
      <c r="BH92" s="80">
        <f>IF(Products!$F$16=0,0,Products!$F$35/Products!$F$16*SUMIFS($E$85:$BL$85,Timeline!$E$4:$BL$4,"&gt;="&amp;(BH$4-Products!$F$16),Timeline!$E$4:$BL$4,"&lt;="&amp;(BH$4-1)))</f>
        <v/>
      </c>
      <c r="BI92" s="80">
        <f>IF(Products!$F$16=0,0,Products!$F$35/Products!$F$16*SUMIFS($E$85:$BL$85,Timeline!$E$4:$BL$4,"&gt;="&amp;(BI$4-Products!$F$16),Timeline!$E$4:$BL$4,"&lt;="&amp;(BI$4-1)))</f>
        <v/>
      </c>
      <c r="BJ92" s="80">
        <f>IF(Products!$F$16=0,0,Products!$F$35/Products!$F$16*SUMIFS($E$85:$BL$85,Timeline!$E$4:$BL$4,"&gt;="&amp;(BJ$4-Products!$F$16),Timeline!$E$4:$BL$4,"&lt;="&amp;(BJ$4-1)))</f>
        <v/>
      </c>
      <c r="BK92" s="80">
        <f>IF(Products!$F$16=0,0,Products!$F$35/Products!$F$16*SUMIFS($E$85:$BL$85,Timeline!$E$4:$BL$4,"&gt;="&amp;(BK$4-Products!$F$16),Timeline!$E$4:$BL$4,"&lt;="&amp;(BK$4-1)))</f>
        <v/>
      </c>
      <c r="BL92" s="80">
        <f>IF(Products!$F$16=0,0,Products!$F$35/Products!$F$16*SUMIFS($E$85:$BL$85,Timeline!$E$4:$BL$4,"&gt;="&amp;(BL$4-Products!$F$16),Timeline!$E$4:$BL$4,"&lt;="&amp;(BL$4-1)))</f>
        <v/>
      </c>
    </row>
    <row r="93">
      <c r="A93" s="98" t="inlineStr">
        <is>
          <t>Expected credit loss charged at origination</t>
        </is>
      </c>
      <c r="B93" s="65" t="inlineStr">
        <is>
          <t>LCY</t>
        </is>
      </c>
      <c r="C93" s="105">
        <f>SUM(E93:BL93)</f>
        <v/>
      </c>
      <c r="E93" s="80">
        <f>E85*Curves!$AR$70</f>
        <v/>
      </c>
      <c r="F93" s="80">
        <f>F85*Curves!$AR$70</f>
        <v/>
      </c>
      <c r="G93" s="80">
        <f>G85*Curves!$AR$70</f>
        <v/>
      </c>
      <c r="H93" s="80">
        <f>H85*Curves!$AR$70</f>
        <v/>
      </c>
      <c r="I93" s="80">
        <f>I85*Curves!$AR$70</f>
        <v/>
      </c>
      <c r="J93" s="80">
        <f>J85*Curves!$AR$70</f>
        <v/>
      </c>
      <c r="K93" s="80">
        <f>K85*Curves!$AR$70</f>
        <v/>
      </c>
      <c r="L93" s="80">
        <f>L85*Curves!$AR$70</f>
        <v/>
      </c>
      <c r="M93" s="80">
        <f>M85*Curves!$AR$70</f>
        <v/>
      </c>
      <c r="N93" s="80">
        <f>N85*Curves!$AR$70</f>
        <v/>
      </c>
      <c r="O93" s="80">
        <f>O85*Curves!$AR$70</f>
        <v/>
      </c>
      <c r="P93" s="80">
        <f>P85*Curves!$AR$70</f>
        <v/>
      </c>
      <c r="Q93" s="80">
        <f>Q85*Curves!$AR$70</f>
        <v/>
      </c>
      <c r="R93" s="80">
        <f>R85*Curves!$AR$70</f>
        <v/>
      </c>
      <c r="S93" s="80">
        <f>S85*Curves!$AR$70</f>
        <v/>
      </c>
      <c r="T93" s="80">
        <f>T85*Curves!$AR$70</f>
        <v/>
      </c>
      <c r="U93" s="80">
        <f>U85*Curves!$AR$70</f>
        <v/>
      </c>
      <c r="V93" s="80">
        <f>V85*Curves!$AR$70</f>
        <v/>
      </c>
      <c r="W93" s="80">
        <f>W85*Curves!$AR$70</f>
        <v/>
      </c>
      <c r="X93" s="80">
        <f>X85*Curves!$AR$70</f>
        <v/>
      </c>
      <c r="Y93" s="80">
        <f>Y85*Curves!$AR$70</f>
        <v/>
      </c>
      <c r="Z93" s="80">
        <f>Z85*Curves!$AR$70</f>
        <v/>
      </c>
      <c r="AA93" s="80">
        <f>AA85*Curves!$AR$70</f>
        <v/>
      </c>
      <c r="AB93" s="80">
        <f>AB85*Curves!$AR$70</f>
        <v/>
      </c>
      <c r="AC93" s="80">
        <f>AC85*Curves!$AR$70</f>
        <v/>
      </c>
      <c r="AD93" s="80">
        <f>AD85*Curves!$AR$70</f>
        <v/>
      </c>
      <c r="AE93" s="80">
        <f>AE85*Curves!$AR$70</f>
        <v/>
      </c>
      <c r="AF93" s="80">
        <f>AF85*Curves!$AR$70</f>
        <v/>
      </c>
      <c r="AG93" s="80">
        <f>AG85*Curves!$AR$70</f>
        <v/>
      </c>
      <c r="AH93" s="80">
        <f>AH85*Curves!$AR$70</f>
        <v/>
      </c>
      <c r="AI93" s="80">
        <f>AI85*Curves!$AR$70</f>
        <v/>
      </c>
      <c r="AJ93" s="80">
        <f>AJ85*Curves!$AR$70</f>
        <v/>
      </c>
      <c r="AK93" s="80">
        <f>AK85*Curves!$AR$70</f>
        <v/>
      </c>
      <c r="AL93" s="80">
        <f>AL85*Curves!$AR$70</f>
        <v/>
      </c>
      <c r="AM93" s="80">
        <f>AM85*Curves!$AR$70</f>
        <v/>
      </c>
      <c r="AN93" s="80">
        <f>AN85*Curves!$AR$70</f>
        <v/>
      </c>
      <c r="AO93" s="80">
        <f>AO85*Curves!$AR$70</f>
        <v/>
      </c>
      <c r="AP93" s="80">
        <f>AP85*Curves!$AR$70</f>
        <v/>
      </c>
      <c r="AQ93" s="80">
        <f>AQ85*Curves!$AR$70</f>
        <v/>
      </c>
      <c r="AR93" s="80">
        <f>AR85*Curves!$AR$70</f>
        <v/>
      </c>
      <c r="AS93" s="80">
        <f>AS85*Curves!$AR$70</f>
        <v/>
      </c>
      <c r="AT93" s="80">
        <f>AT85*Curves!$AR$70</f>
        <v/>
      </c>
      <c r="AU93" s="80">
        <f>AU85*Curves!$AR$70</f>
        <v/>
      </c>
      <c r="AV93" s="80">
        <f>AV85*Curves!$AR$70</f>
        <v/>
      </c>
      <c r="AW93" s="80">
        <f>AW85*Curves!$AR$70</f>
        <v/>
      </c>
      <c r="AX93" s="80">
        <f>AX85*Curves!$AR$70</f>
        <v/>
      </c>
      <c r="AY93" s="80">
        <f>AY85*Curves!$AR$70</f>
        <v/>
      </c>
      <c r="AZ93" s="80">
        <f>AZ85*Curves!$AR$70</f>
        <v/>
      </c>
      <c r="BA93" s="80">
        <f>BA85*Curves!$AR$70</f>
        <v/>
      </c>
      <c r="BB93" s="80">
        <f>BB85*Curves!$AR$70</f>
        <v/>
      </c>
      <c r="BC93" s="80">
        <f>BC85*Curves!$AR$70</f>
        <v/>
      </c>
      <c r="BD93" s="80">
        <f>BD85*Curves!$AR$70</f>
        <v/>
      </c>
      <c r="BE93" s="80">
        <f>BE85*Curves!$AR$70</f>
        <v/>
      </c>
      <c r="BF93" s="80">
        <f>BF85*Curves!$AR$70</f>
        <v/>
      </c>
      <c r="BG93" s="80">
        <f>BG85*Curves!$AR$70</f>
        <v/>
      </c>
      <c r="BH93" s="80">
        <f>BH85*Curves!$AR$70</f>
        <v/>
      </c>
      <c r="BI93" s="80">
        <f>BI85*Curves!$AR$70</f>
        <v/>
      </c>
      <c r="BJ93" s="80">
        <f>BJ85*Curves!$AR$70</f>
        <v/>
      </c>
      <c r="BK93" s="80">
        <f>BK85*Curves!$AR$70</f>
        <v/>
      </c>
      <c r="BL93" s="80">
        <f>BL85*Curves!$AR$70</f>
        <v/>
      </c>
    </row>
    <row r="94">
      <c r="A94" s="98" t="inlineStr">
        <is>
          <t>Recoveries from resale of repossessed units</t>
        </is>
      </c>
      <c r="B94" s="65" t="inlineStr">
        <is>
          <t>LCY</t>
        </is>
      </c>
      <c r="C94" s="105">
        <f>SUM(E94:BL94)</f>
        <v/>
      </c>
      <c r="E94" s="41">
        <f>Cohort_T4!E$198</f>
        <v/>
      </c>
      <c r="F94" s="41">
        <f>Cohort_T4!F$198</f>
        <v/>
      </c>
      <c r="G94" s="41">
        <f>Cohort_T4!G$198</f>
        <v/>
      </c>
      <c r="H94" s="41">
        <f>Cohort_T4!H$198</f>
        <v/>
      </c>
      <c r="I94" s="41">
        <f>Cohort_T4!I$198</f>
        <v/>
      </c>
      <c r="J94" s="41">
        <f>Cohort_T4!J$198</f>
        <v/>
      </c>
      <c r="K94" s="41">
        <f>Cohort_T4!K$198</f>
        <v/>
      </c>
      <c r="L94" s="41">
        <f>Cohort_T4!L$198</f>
        <v/>
      </c>
      <c r="M94" s="41">
        <f>Cohort_T4!M$198</f>
        <v/>
      </c>
      <c r="N94" s="41">
        <f>Cohort_T4!N$198</f>
        <v/>
      </c>
      <c r="O94" s="41">
        <f>Cohort_T4!O$198</f>
        <v/>
      </c>
      <c r="P94" s="41">
        <f>Cohort_T4!P$198</f>
        <v/>
      </c>
      <c r="Q94" s="41">
        <f>Cohort_T4!Q$198</f>
        <v/>
      </c>
      <c r="R94" s="41">
        <f>Cohort_T4!R$198</f>
        <v/>
      </c>
      <c r="S94" s="41">
        <f>Cohort_T4!S$198</f>
        <v/>
      </c>
      <c r="T94" s="41">
        <f>Cohort_T4!T$198</f>
        <v/>
      </c>
      <c r="U94" s="41">
        <f>Cohort_T4!U$198</f>
        <v/>
      </c>
      <c r="V94" s="41">
        <f>Cohort_T4!V$198</f>
        <v/>
      </c>
      <c r="W94" s="41">
        <f>Cohort_T4!W$198</f>
        <v/>
      </c>
      <c r="X94" s="41">
        <f>Cohort_T4!X$198</f>
        <v/>
      </c>
      <c r="Y94" s="41">
        <f>Cohort_T4!Y$198</f>
        <v/>
      </c>
      <c r="Z94" s="41">
        <f>Cohort_T4!Z$198</f>
        <v/>
      </c>
      <c r="AA94" s="41">
        <f>Cohort_T4!AA$198</f>
        <v/>
      </c>
      <c r="AB94" s="41">
        <f>Cohort_T4!AB$198</f>
        <v/>
      </c>
      <c r="AC94" s="41">
        <f>Cohort_T4!AC$198</f>
        <v/>
      </c>
      <c r="AD94" s="41">
        <f>Cohort_T4!AD$198</f>
        <v/>
      </c>
      <c r="AE94" s="41">
        <f>Cohort_T4!AE$198</f>
        <v/>
      </c>
      <c r="AF94" s="41">
        <f>Cohort_T4!AF$198</f>
        <v/>
      </c>
      <c r="AG94" s="41">
        <f>Cohort_T4!AG$198</f>
        <v/>
      </c>
      <c r="AH94" s="41">
        <f>Cohort_T4!AH$198</f>
        <v/>
      </c>
      <c r="AI94" s="41">
        <f>Cohort_T4!AI$198</f>
        <v/>
      </c>
      <c r="AJ94" s="41">
        <f>Cohort_T4!AJ$198</f>
        <v/>
      </c>
      <c r="AK94" s="41">
        <f>Cohort_T4!AK$198</f>
        <v/>
      </c>
      <c r="AL94" s="41">
        <f>Cohort_T4!AL$198</f>
        <v/>
      </c>
      <c r="AM94" s="41">
        <f>Cohort_T4!AM$198</f>
        <v/>
      </c>
      <c r="AN94" s="41">
        <f>Cohort_T4!AN$198</f>
        <v/>
      </c>
      <c r="AO94" s="41">
        <f>Cohort_T4!AO$198</f>
        <v/>
      </c>
      <c r="AP94" s="41">
        <f>Cohort_T4!AP$198</f>
        <v/>
      </c>
      <c r="AQ94" s="41">
        <f>Cohort_T4!AQ$198</f>
        <v/>
      </c>
      <c r="AR94" s="41">
        <f>Cohort_T4!AR$198</f>
        <v/>
      </c>
      <c r="AS94" s="41">
        <f>Cohort_T4!AS$198</f>
        <v/>
      </c>
      <c r="AT94" s="41">
        <f>Cohort_T4!AT$198</f>
        <v/>
      </c>
      <c r="AU94" s="41">
        <f>Cohort_T4!AU$198</f>
        <v/>
      </c>
      <c r="AV94" s="41">
        <f>Cohort_T4!AV$198</f>
        <v/>
      </c>
      <c r="AW94" s="41">
        <f>Cohort_T4!AW$198</f>
        <v/>
      </c>
      <c r="AX94" s="41">
        <f>Cohort_T4!AX$198</f>
        <v/>
      </c>
      <c r="AY94" s="41">
        <f>Cohort_T4!AY$198</f>
        <v/>
      </c>
      <c r="AZ94" s="41">
        <f>Cohort_T4!AZ$198</f>
        <v/>
      </c>
      <c r="BA94" s="41">
        <f>Cohort_T4!BA$198</f>
        <v/>
      </c>
      <c r="BB94" s="41">
        <f>Cohort_T4!BB$198</f>
        <v/>
      </c>
      <c r="BC94" s="41">
        <f>Cohort_T4!BC$198</f>
        <v/>
      </c>
      <c r="BD94" s="41">
        <f>Cohort_T4!BD$198</f>
        <v/>
      </c>
      <c r="BE94" s="41">
        <f>Cohort_T4!BE$198</f>
        <v/>
      </c>
      <c r="BF94" s="41">
        <f>Cohort_T4!BF$198</f>
        <v/>
      </c>
      <c r="BG94" s="41">
        <f>Cohort_T4!BG$198</f>
        <v/>
      </c>
      <c r="BH94" s="41">
        <f>Cohort_T4!BH$198</f>
        <v/>
      </c>
      <c r="BI94" s="41">
        <f>Cohort_T4!BI$198</f>
        <v/>
      </c>
      <c r="BJ94" s="41">
        <f>Cohort_T4!BJ$198</f>
        <v/>
      </c>
      <c r="BK94" s="41">
        <f>Cohort_T4!BK$198</f>
        <v/>
      </c>
      <c r="BL94" s="41">
        <f>Cohort_T4!BL$198</f>
        <v/>
      </c>
    </row>
    <row r="95">
      <c r="A95" s="98" t="inlineStr">
        <is>
          <t>RBF received</t>
        </is>
      </c>
      <c r="B95" s="65" t="inlineStr">
        <is>
          <t>LCY</t>
        </is>
      </c>
      <c r="C95" s="105">
        <f>SUM(E95:BL95)</f>
        <v/>
      </c>
      <c r="E95" s="41">
        <f>RBF_Engine!E$46</f>
        <v/>
      </c>
      <c r="F95" s="41">
        <f>RBF_Engine!F$46</f>
        <v/>
      </c>
      <c r="G95" s="41">
        <f>RBF_Engine!G$46</f>
        <v/>
      </c>
      <c r="H95" s="41">
        <f>RBF_Engine!H$46</f>
        <v/>
      </c>
      <c r="I95" s="41">
        <f>RBF_Engine!I$46</f>
        <v/>
      </c>
      <c r="J95" s="41">
        <f>RBF_Engine!J$46</f>
        <v/>
      </c>
      <c r="K95" s="41">
        <f>RBF_Engine!K$46</f>
        <v/>
      </c>
      <c r="L95" s="41">
        <f>RBF_Engine!L$46</f>
        <v/>
      </c>
      <c r="M95" s="41">
        <f>RBF_Engine!M$46</f>
        <v/>
      </c>
      <c r="N95" s="41">
        <f>RBF_Engine!N$46</f>
        <v/>
      </c>
      <c r="O95" s="41">
        <f>RBF_Engine!O$46</f>
        <v/>
      </c>
      <c r="P95" s="41">
        <f>RBF_Engine!P$46</f>
        <v/>
      </c>
      <c r="Q95" s="41">
        <f>RBF_Engine!Q$46</f>
        <v/>
      </c>
      <c r="R95" s="41">
        <f>RBF_Engine!R$46</f>
        <v/>
      </c>
      <c r="S95" s="41">
        <f>RBF_Engine!S$46</f>
        <v/>
      </c>
      <c r="T95" s="41">
        <f>RBF_Engine!T$46</f>
        <v/>
      </c>
      <c r="U95" s="41">
        <f>RBF_Engine!U$46</f>
        <v/>
      </c>
      <c r="V95" s="41">
        <f>RBF_Engine!V$46</f>
        <v/>
      </c>
      <c r="W95" s="41">
        <f>RBF_Engine!W$46</f>
        <v/>
      </c>
      <c r="X95" s="41">
        <f>RBF_Engine!X$46</f>
        <v/>
      </c>
      <c r="Y95" s="41">
        <f>RBF_Engine!Y$46</f>
        <v/>
      </c>
      <c r="Z95" s="41">
        <f>RBF_Engine!Z$46</f>
        <v/>
      </c>
      <c r="AA95" s="41">
        <f>RBF_Engine!AA$46</f>
        <v/>
      </c>
      <c r="AB95" s="41">
        <f>RBF_Engine!AB$46</f>
        <v/>
      </c>
      <c r="AC95" s="41">
        <f>RBF_Engine!AC$46</f>
        <v/>
      </c>
      <c r="AD95" s="41">
        <f>RBF_Engine!AD$46</f>
        <v/>
      </c>
      <c r="AE95" s="41">
        <f>RBF_Engine!AE$46</f>
        <v/>
      </c>
      <c r="AF95" s="41">
        <f>RBF_Engine!AF$46</f>
        <v/>
      </c>
      <c r="AG95" s="41">
        <f>RBF_Engine!AG$46</f>
        <v/>
      </c>
      <c r="AH95" s="41">
        <f>RBF_Engine!AH$46</f>
        <v/>
      </c>
      <c r="AI95" s="41">
        <f>RBF_Engine!AI$46</f>
        <v/>
      </c>
      <c r="AJ95" s="41">
        <f>RBF_Engine!AJ$46</f>
        <v/>
      </c>
      <c r="AK95" s="41">
        <f>RBF_Engine!AK$46</f>
        <v/>
      </c>
      <c r="AL95" s="41">
        <f>RBF_Engine!AL$46</f>
        <v/>
      </c>
      <c r="AM95" s="41">
        <f>RBF_Engine!AM$46</f>
        <v/>
      </c>
      <c r="AN95" s="41">
        <f>RBF_Engine!AN$46</f>
        <v/>
      </c>
      <c r="AO95" s="41">
        <f>RBF_Engine!AO$46</f>
        <v/>
      </c>
      <c r="AP95" s="41">
        <f>RBF_Engine!AP$46</f>
        <v/>
      </c>
      <c r="AQ95" s="41">
        <f>RBF_Engine!AQ$46</f>
        <v/>
      </c>
      <c r="AR95" s="41">
        <f>RBF_Engine!AR$46</f>
        <v/>
      </c>
      <c r="AS95" s="41">
        <f>RBF_Engine!AS$46</f>
        <v/>
      </c>
      <c r="AT95" s="41">
        <f>RBF_Engine!AT$46</f>
        <v/>
      </c>
      <c r="AU95" s="41">
        <f>RBF_Engine!AU$46</f>
        <v/>
      </c>
      <c r="AV95" s="41">
        <f>RBF_Engine!AV$46</f>
        <v/>
      </c>
      <c r="AW95" s="41">
        <f>RBF_Engine!AW$46</f>
        <v/>
      </c>
      <c r="AX95" s="41">
        <f>RBF_Engine!AX$46</f>
        <v/>
      </c>
      <c r="AY95" s="41">
        <f>RBF_Engine!AY$46</f>
        <v/>
      </c>
      <c r="AZ95" s="41">
        <f>RBF_Engine!AZ$46</f>
        <v/>
      </c>
      <c r="BA95" s="41">
        <f>RBF_Engine!BA$46</f>
        <v/>
      </c>
      <c r="BB95" s="41">
        <f>RBF_Engine!BB$46</f>
        <v/>
      </c>
      <c r="BC95" s="41">
        <f>RBF_Engine!BC$46</f>
        <v/>
      </c>
      <c r="BD95" s="41">
        <f>RBF_Engine!BD$46</f>
        <v/>
      </c>
      <c r="BE95" s="41">
        <f>RBF_Engine!BE$46</f>
        <v/>
      </c>
      <c r="BF95" s="41">
        <f>RBF_Engine!BF$46</f>
        <v/>
      </c>
      <c r="BG95" s="41">
        <f>RBF_Engine!BG$46</f>
        <v/>
      </c>
      <c r="BH95" s="41">
        <f>RBF_Engine!BH$46</f>
        <v/>
      </c>
      <c r="BI95" s="41">
        <f>RBF_Engine!BI$46</f>
        <v/>
      </c>
      <c r="BJ95" s="41">
        <f>RBF_Engine!BJ$46</f>
        <v/>
      </c>
      <c r="BK95" s="41">
        <f>RBF_Engine!BK$46</f>
        <v/>
      </c>
      <c r="BL95" s="41">
        <f>RBF_Engine!BL$46</f>
        <v/>
      </c>
    </row>
    <row r="96">
      <c r="A96" s="98" t="inlineStr">
        <is>
          <t>Active (paying, in-tenor) accounts</t>
        </is>
      </c>
      <c r="B96" s="65" t="inlineStr">
        <is>
          <t>accounts</t>
        </is>
      </c>
      <c r="C96" s="105">
        <f>BL96</f>
        <v/>
      </c>
      <c r="E96" s="41">
        <f>Cohort_T4!E$72</f>
        <v/>
      </c>
      <c r="F96" s="41">
        <f>Cohort_T4!F$72</f>
        <v/>
      </c>
      <c r="G96" s="41">
        <f>Cohort_T4!G$72</f>
        <v/>
      </c>
      <c r="H96" s="41">
        <f>Cohort_T4!H$72</f>
        <v/>
      </c>
      <c r="I96" s="41">
        <f>Cohort_T4!I$72</f>
        <v/>
      </c>
      <c r="J96" s="41">
        <f>Cohort_T4!J$72</f>
        <v/>
      </c>
      <c r="K96" s="41">
        <f>Cohort_T4!K$72</f>
        <v/>
      </c>
      <c r="L96" s="41">
        <f>Cohort_T4!L$72</f>
        <v/>
      </c>
      <c r="M96" s="41">
        <f>Cohort_T4!M$72</f>
        <v/>
      </c>
      <c r="N96" s="41">
        <f>Cohort_T4!N$72</f>
        <v/>
      </c>
      <c r="O96" s="41">
        <f>Cohort_T4!O$72</f>
        <v/>
      </c>
      <c r="P96" s="41">
        <f>Cohort_T4!P$72</f>
        <v/>
      </c>
      <c r="Q96" s="41">
        <f>Cohort_T4!Q$72</f>
        <v/>
      </c>
      <c r="R96" s="41">
        <f>Cohort_T4!R$72</f>
        <v/>
      </c>
      <c r="S96" s="41">
        <f>Cohort_T4!S$72</f>
        <v/>
      </c>
      <c r="T96" s="41">
        <f>Cohort_T4!T$72</f>
        <v/>
      </c>
      <c r="U96" s="41">
        <f>Cohort_T4!U$72</f>
        <v/>
      </c>
      <c r="V96" s="41">
        <f>Cohort_T4!V$72</f>
        <v/>
      </c>
      <c r="W96" s="41">
        <f>Cohort_T4!W$72</f>
        <v/>
      </c>
      <c r="X96" s="41">
        <f>Cohort_T4!X$72</f>
        <v/>
      </c>
      <c r="Y96" s="41">
        <f>Cohort_T4!Y$72</f>
        <v/>
      </c>
      <c r="Z96" s="41">
        <f>Cohort_T4!Z$72</f>
        <v/>
      </c>
      <c r="AA96" s="41">
        <f>Cohort_T4!AA$72</f>
        <v/>
      </c>
      <c r="AB96" s="41">
        <f>Cohort_T4!AB$72</f>
        <v/>
      </c>
      <c r="AC96" s="41">
        <f>Cohort_T4!AC$72</f>
        <v/>
      </c>
      <c r="AD96" s="41">
        <f>Cohort_T4!AD$72</f>
        <v/>
      </c>
      <c r="AE96" s="41">
        <f>Cohort_T4!AE$72</f>
        <v/>
      </c>
      <c r="AF96" s="41">
        <f>Cohort_T4!AF$72</f>
        <v/>
      </c>
      <c r="AG96" s="41">
        <f>Cohort_T4!AG$72</f>
        <v/>
      </c>
      <c r="AH96" s="41">
        <f>Cohort_T4!AH$72</f>
        <v/>
      </c>
      <c r="AI96" s="41">
        <f>Cohort_T4!AI$72</f>
        <v/>
      </c>
      <c r="AJ96" s="41">
        <f>Cohort_T4!AJ$72</f>
        <v/>
      </c>
      <c r="AK96" s="41">
        <f>Cohort_T4!AK$72</f>
        <v/>
      </c>
      <c r="AL96" s="41">
        <f>Cohort_T4!AL$72</f>
        <v/>
      </c>
      <c r="AM96" s="41">
        <f>Cohort_T4!AM$72</f>
        <v/>
      </c>
      <c r="AN96" s="41">
        <f>Cohort_T4!AN$72</f>
        <v/>
      </c>
      <c r="AO96" s="41">
        <f>Cohort_T4!AO$72</f>
        <v/>
      </c>
      <c r="AP96" s="41">
        <f>Cohort_T4!AP$72</f>
        <v/>
      </c>
      <c r="AQ96" s="41">
        <f>Cohort_T4!AQ$72</f>
        <v/>
      </c>
      <c r="AR96" s="41">
        <f>Cohort_T4!AR$72</f>
        <v/>
      </c>
      <c r="AS96" s="41">
        <f>Cohort_T4!AS$72</f>
        <v/>
      </c>
      <c r="AT96" s="41">
        <f>Cohort_T4!AT$72</f>
        <v/>
      </c>
      <c r="AU96" s="41">
        <f>Cohort_T4!AU$72</f>
        <v/>
      </c>
      <c r="AV96" s="41">
        <f>Cohort_T4!AV$72</f>
        <v/>
      </c>
      <c r="AW96" s="41">
        <f>Cohort_T4!AW$72</f>
        <v/>
      </c>
      <c r="AX96" s="41">
        <f>Cohort_T4!AX$72</f>
        <v/>
      </c>
      <c r="AY96" s="41">
        <f>Cohort_T4!AY$72</f>
        <v/>
      </c>
      <c r="AZ96" s="41">
        <f>Cohort_T4!AZ$72</f>
        <v/>
      </c>
      <c r="BA96" s="41">
        <f>Cohort_T4!BA$72</f>
        <v/>
      </c>
      <c r="BB96" s="41">
        <f>Cohort_T4!BB$72</f>
        <v/>
      </c>
      <c r="BC96" s="41">
        <f>Cohort_T4!BC$72</f>
        <v/>
      </c>
      <c r="BD96" s="41">
        <f>Cohort_T4!BD$72</f>
        <v/>
      </c>
      <c r="BE96" s="41">
        <f>Cohort_T4!BE$72</f>
        <v/>
      </c>
      <c r="BF96" s="41">
        <f>Cohort_T4!BF$72</f>
        <v/>
      </c>
      <c r="BG96" s="41">
        <f>Cohort_T4!BG$72</f>
        <v/>
      </c>
      <c r="BH96" s="41">
        <f>Cohort_T4!BH$72</f>
        <v/>
      </c>
      <c r="BI96" s="41">
        <f>Cohort_T4!BI$72</f>
        <v/>
      </c>
      <c r="BJ96" s="41">
        <f>Cohort_T4!BJ$72</f>
        <v/>
      </c>
      <c r="BK96" s="41">
        <f>Cohort_T4!BK$72</f>
        <v/>
      </c>
      <c r="BL96" s="41">
        <f>Cohort_T4!BL$72</f>
        <v/>
      </c>
    </row>
    <row r="97">
      <c r="A97" s="98" t="inlineStr">
        <is>
          <t>Accounts reaching end of tenor (unlocked)</t>
        </is>
      </c>
      <c r="B97" s="65" t="inlineStr">
        <is>
          <t>accounts</t>
        </is>
      </c>
      <c r="C97" s="105">
        <f>SUM(E97:BL97)</f>
        <v/>
      </c>
      <c r="E97" s="80">
        <f>IF(E$4&gt;Products!$F$16,INDEX($E$84:$BL$84,1,E$4-Products!$F$16)*INDEX(Curves!$AO$8:$AO$68,Products!$F$16+1),0)</f>
        <v/>
      </c>
      <c r="F97" s="80">
        <f>IF(F$4&gt;Products!$F$16,INDEX($E$84:$BL$84,1,F$4-Products!$F$16)*INDEX(Curves!$AO$8:$AO$68,Products!$F$16+1),0)</f>
        <v/>
      </c>
      <c r="G97" s="80">
        <f>IF(G$4&gt;Products!$F$16,INDEX($E$84:$BL$84,1,G$4-Products!$F$16)*INDEX(Curves!$AO$8:$AO$68,Products!$F$16+1),0)</f>
        <v/>
      </c>
      <c r="H97" s="80">
        <f>IF(H$4&gt;Products!$F$16,INDEX($E$84:$BL$84,1,H$4-Products!$F$16)*INDEX(Curves!$AO$8:$AO$68,Products!$F$16+1),0)</f>
        <v/>
      </c>
      <c r="I97" s="80">
        <f>IF(I$4&gt;Products!$F$16,INDEX($E$84:$BL$84,1,I$4-Products!$F$16)*INDEX(Curves!$AO$8:$AO$68,Products!$F$16+1),0)</f>
        <v/>
      </c>
      <c r="J97" s="80">
        <f>IF(J$4&gt;Products!$F$16,INDEX($E$84:$BL$84,1,J$4-Products!$F$16)*INDEX(Curves!$AO$8:$AO$68,Products!$F$16+1),0)</f>
        <v/>
      </c>
      <c r="K97" s="80">
        <f>IF(K$4&gt;Products!$F$16,INDEX($E$84:$BL$84,1,K$4-Products!$F$16)*INDEX(Curves!$AO$8:$AO$68,Products!$F$16+1),0)</f>
        <v/>
      </c>
      <c r="L97" s="80">
        <f>IF(L$4&gt;Products!$F$16,INDEX($E$84:$BL$84,1,L$4-Products!$F$16)*INDEX(Curves!$AO$8:$AO$68,Products!$F$16+1),0)</f>
        <v/>
      </c>
      <c r="M97" s="80">
        <f>IF(M$4&gt;Products!$F$16,INDEX($E$84:$BL$84,1,M$4-Products!$F$16)*INDEX(Curves!$AO$8:$AO$68,Products!$F$16+1),0)</f>
        <v/>
      </c>
      <c r="N97" s="80">
        <f>IF(N$4&gt;Products!$F$16,INDEX($E$84:$BL$84,1,N$4-Products!$F$16)*INDEX(Curves!$AO$8:$AO$68,Products!$F$16+1),0)</f>
        <v/>
      </c>
      <c r="O97" s="80">
        <f>IF(O$4&gt;Products!$F$16,INDEX($E$84:$BL$84,1,O$4-Products!$F$16)*INDEX(Curves!$AO$8:$AO$68,Products!$F$16+1),0)</f>
        <v/>
      </c>
      <c r="P97" s="80">
        <f>IF(P$4&gt;Products!$F$16,INDEX($E$84:$BL$84,1,P$4-Products!$F$16)*INDEX(Curves!$AO$8:$AO$68,Products!$F$16+1),0)</f>
        <v/>
      </c>
      <c r="Q97" s="80">
        <f>IF(Q$4&gt;Products!$F$16,INDEX($E$84:$BL$84,1,Q$4-Products!$F$16)*INDEX(Curves!$AO$8:$AO$68,Products!$F$16+1),0)</f>
        <v/>
      </c>
      <c r="R97" s="80">
        <f>IF(R$4&gt;Products!$F$16,INDEX($E$84:$BL$84,1,R$4-Products!$F$16)*INDEX(Curves!$AO$8:$AO$68,Products!$F$16+1),0)</f>
        <v/>
      </c>
      <c r="S97" s="80">
        <f>IF(S$4&gt;Products!$F$16,INDEX($E$84:$BL$84,1,S$4-Products!$F$16)*INDEX(Curves!$AO$8:$AO$68,Products!$F$16+1),0)</f>
        <v/>
      </c>
      <c r="T97" s="80">
        <f>IF(T$4&gt;Products!$F$16,INDEX($E$84:$BL$84,1,T$4-Products!$F$16)*INDEX(Curves!$AO$8:$AO$68,Products!$F$16+1),0)</f>
        <v/>
      </c>
      <c r="U97" s="80">
        <f>IF(U$4&gt;Products!$F$16,INDEX($E$84:$BL$84,1,U$4-Products!$F$16)*INDEX(Curves!$AO$8:$AO$68,Products!$F$16+1),0)</f>
        <v/>
      </c>
      <c r="V97" s="80">
        <f>IF(V$4&gt;Products!$F$16,INDEX($E$84:$BL$84,1,V$4-Products!$F$16)*INDEX(Curves!$AO$8:$AO$68,Products!$F$16+1),0)</f>
        <v/>
      </c>
      <c r="W97" s="80">
        <f>IF(W$4&gt;Products!$F$16,INDEX($E$84:$BL$84,1,W$4-Products!$F$16)*INDEX(Curves!$AO$8:$AO$68,Products!$F$16+1),0)</f>
        <v/>
      </c>
      <c r="X97" s="80">
        <f>IF(X$4&gt;Products!$F$16,INDEX($E$84:$BL$84,1,X$4-Products!$F$16)*INDEX(Curves!$AO$8:$AO$68,Products!$F$16+1),0)</f>
        <v/>
      </c>
      <c r="Y97" s="80">
        <f>IF(Y$4&gt;Products!$F$16,INDEX($E$84:$BL$84,1,Y$4-Products!$F$16)*INDEX(Curves!$AO$8:$AO$68,Products!$F$16+1),0)</f>
        <v/>
      </c>
      <c r="Z97" s="80">
        <f>IF(Z$4&gt;Products!$F$16,INDEX($E$84:$BL$84,1,Z$4-Products!$F$16)*INDEX(Curves!$AO$8:$AO$68,Products!$F$16+1),0)</f>
        <v/>
      </c>
      <c r="AA97" s="80">
        <f>IF(AA$4&gt;Products!$F$16,INDEX($E$84:$BL$84,1,AA$4-Products!$F$16)*INDEX(Curves!$AO$8:$AO$68,Products!$F$16+1),0)</f>
        <v/>
      </c>
      <c r="AB97" s="80">
        <f>IF(AB$4&gt;Products!$F$16,INDEX($E$84:$BL$84,1,AB$4-Products!$F$16)*INDEX(Curves!$AO$8:$AO$68,Products!$F$16+1),0)</f>
        <v/>
      </c>
      <c r="AC97" s="80">
        <f>IF(AC$4&gt;Products!$F$16,INDEX($E$84:$BL$84,1,AC$4-Products!$F$16)*INDEX(Curves!$AO$8:$AO$68,Products!$F$16+1),0)</f>
        <v/>
      </c>
      <c r="AD97" s="80">
        <f>IF(AD$4&gt;Products!$F$16,INDEX($E$84:$BL$84,1,AD$4-Products!$F$16)*INDEX(Curves!$AO$8:$AO$68,Products!$F$16+1),0)</f>
        <v/>
      </c>
      <c r="AE97" s="80">
        <f>IF(AE$4&gt;Products!$F$16,INDEX($E$84:$BL$84,1,AE$4-Products!$F$16)*INDEX(Curves!$AO$8:$AO$68,Products!$F$16+1),0)</f>
        <v/>
      </c>
      <c r="AF97" s="80">
        <f>IF(AF$4&gt;Products!$F$16,INDEX($E$84:$BL$84,1,AF$4-Products!$F$16)*INDEX(Curves!$AO$8:$AO$68,Products!$F$16+1),0)</f>
        <v/>
      </c>
      <c r="AG97" s="80">
        <f>IF(AG$4&gt;Products!$F$16,INDEX($E$84:$BL$84,1,AG$4-Products!$F$16)*INDEX(Curves!$AO$8:$AO$68,Products!$F$16+1),0)</f>
        <v/>
      </c>
      <c r="AH97" s="80">
        <f>IF(AH$4&gt;Products!$F$16,INDEX($E$84:$BL$84,1,AH$4-Products!$F$16)*INDEX(Curves!$AO$8:$AO$68,Products!$F$16+1),0)</f>
        <v/>
      </c>
      <c r="AI97" s="80">
        <f>IF(AI$4&gt;Products!$F$16,INDEX($E$84:$BL$84,1,AI$4-Products!$F$16)*INDEX(Curves!$AO$8:$AO$68,Products!$F$16+1),0)</f>
        <v/>
      </c>
      <c r="AJ97" s="80">
        <f>IF(AJ$4&gt;Products!$F$16,INDEX($E$84:$BL$84,1,AJ$4-Products!$F$16)*INDEX(Curves!$AO$8:$AO$68,Products!$F$16+1),0)</f>
        <v/>
      </c>
      <c r="AK97" s="80">
        <f>IF(AK$4&gt;Products!$F$16,INDEX($E$84:$BL$84,1,AK$4-Products!$F$16)*INDEX(Curves!$AO$8:$AO$68,Products!$F$16+1),0)</f>
        <v/>
      </c>
      <c r="AL97" s="80">
        <f>IF(AL$4&gt;Products!$F$16,INDEX($E$84:$BL$84,1,AL$4-Products!$F$16)*INDEX(Curves!$AO$8:$AO$68,Products!$F$16+1),0)</f>
        <v/>
      </c>
      <c r="AM97" s="80">
        <f>IF(AM$4&gt;Products!$F$16,INDEX($E$84:$BL$84,1,AM$4-Products!$F$16)*INDEX(Curves!$AO$8:$AO$68,Products!$F$16+1),0)</f>
        <v/>
      </c>
      <c r="AN97" s="80">
        <f>IF(AN$4&gt;Products!$F$16,INDEX($E$84:$BL$84,1,AN$4-Products!$F$16)*INDEX(Curves!$AO$8:$AO$68,Products!$F$16+1),0)</f>
        <v/>
      </c>
      <c r="AO97" s="80">
        <f>IF(AO$4&gt;Products!$F$16,INDEX($E$84:$BL$84,1,AO$4-Products!$F$16)*INDEX(Curves!$AO$8:$AO$68,Products!$F$16+1),0)</f>
        <v/>
      </c>
      <c r="AP97" s="80">
        <f>IF(AP$4&gt;Products!$F$16,INDEX($E$84:$BL$84,1,AP$4-Products!$F$16)*INDEX(Curves!$AO$8:$AO$68,Products!$F$16+1),0)</f>
        <v/>
      </c>
      <c r="AQ97" s="80">
        <f>IF(AQ$4&gt;Products!$F$16,INDEX($E$84:$BL$84,1,AQ$4-Products!$F$16)*INDEX(Curves!$AO$8:$AO$68,Products!$F$16+1),0)</f>
        <v/>
      </c>
      <c r="AR97" s="80">
        <f>IF(AR$4&gt;Products!$F$16,INDEX($E$84:$BL$84,1,AR$4-Products!$F$16)*INDEX(Curves!$AO$8:$AO$68,Products!$F$16+1),0)</f>
        <v/>
      </c>
      <c r="AS97" s="80">
        <f>IF(AS$4&gt;Products!$F$16,INDEX($E$84:$BL$84,1,AS$4-Products!$F$16)*INDEX(Curves!$AO$8:$AO$68,Products!$F$16+1),0)</f>
        <v/>
      </c>
      <c r="AT97" s="80">
        <f>IF(AT$4&gt;Products!$F$16,INDEX($E$84:$BL$84,1,AT$4-Products!$F$16)*INDEX(Curves!$AO$8:$AO$68,Products!$F$16+1),0)</f>
        <v/>
      </c>
      <c r="AU97" s="80">
        <f>IF(AU$4&gt;Products!$F$16,INDEX($E$84:$BL$84,1,AU$4-Products!$F$16)*INDEX(Curves!$AO$8:$AO$68,Products!$F$16+1),0)</f>
        <v/>
      </c>
      <c r="AV97" s="80">
        <f>IF(AV$4&gt;Products!$F$16,INDEX($E$84:$BL$84,1,AV$4-Products!$F$16)*INDEX(Curves!$AO$8:$AO$68,Products!$F$16+1),0)</f>
        <v/>
      </c>
      <c r="AW97" s="80">
        <f>IF(AW$4&gt;Products!$F$16,INDEX($E$84:$BL$84,1,AW$4-Products!$F$16)*INDEX(Curves!$AO$8:$AO$68,Products!$F$16+1),0)</f>
        <v/>
      </c>
      <c r="AX97" s="80">
        <f>IF(AX$4&gt;Products!$F$16,INDEX($E$84:$BL$84,1,AX$4-Products!$F$16)*INDEX(Curves!$AO$8:$AO$68,Products!$F$16+1),0)</f>
        <v/>
      </c>
      <c r="AY97" s="80">
        <f>IF(AY$4&gt;Products!$F$16,INDEX($E$84:$BL$84,1,AY$4-Products!$F$16)*INDEX(Curves!$AO$8:$AO$68,Products!$F$16+1),0)</f>
        <v/>
      </c>
      <c r="AZ97" s="80">
        <f>IF(AZ$4&gt;Products!$F$16,INDEX($E$84:$BL$84,1,AZ$4-Products!$F$16)*INDEX(Curves!$AO$8:$AO$68,Products!$F$16+1),0)</f>
        <v/>
      </c>
      <c r="BA97" s="80">
        <f>IF(BA$4&gt;Products!$F$16,INDEX($E$84:$BL$84,1,BA$4-Products!$F$16)*INDEX(Curves!$AO$8:$AO$68,Products!$F$16+1),0)</f>
        <v/>
      </c>
      <c r="BB97" s="80">
        <f>IF(BB$4&gt;Products!$F$16,INDEX($E$84:$BL$84,1,BB$4-Products!$F$16)*INDEX(Curves!$AO$8:$AO$68,Products!$F$16+1),0)</f>
        <v/>
      </c>
      <c r="BC97" s="80">
        <f>IF(BC$4&gt;Products!$F$16,INDEX($E$84:$BL$84,1,BC$4-Products!$F$16)*INDEX(Curves!$AO$8:$AO$68,Products!$F$16+1),0)</f>
        <v/>
      </c>
      <c r="BD97" s="80">
        <f>IF(BD$4&gt;Products!$F$16,INDEX($E$84:$BL$84,1,BD$4-Products!$F$16)*INDEX(Curves!$AO$8:$AO$68,Products!$F$16+1),0)</f>
        <v/>
      </c>
      <c r="BE97" s="80">
        <f>IF(BE$4&gt;Products!$F$16,INDEX($E$84:$BL$84,1,BE$4-Products!$F$16)*INDEX(Curves!$AO$8:$AO$68,Products!$F$16+1),0)</f>
        <v/>
      </c>
      <c r="BF97" s="80">
        <f>IF(BF$4&gt;Products!$F$16,INDEX($E$84:$BL$84,1,BF$4-Products!$F$16)*INDEX(Curves!$AO$8:$AO$68,Products!$F$16+1),0)</f>
        <v/>
      </c>
      <c r="BG97" s="80">
        <f>IF(BG$4&gt;Products!$F$16,INDEX($E$84:$BL$84,1,BG$4-Products!$F$16)*INDEX(Curves!$AO$8:$AO$68,Products!$F$16+1),0)</f>
        <v/>
      </c>
      <c r="BH97" s="80">
        <f>IF(BH$4&gt;Products!$F$16,INDEX($E$84:$BL$84,1,BH$4-Products!$F$16)*INDEX(Curves!$AO$8:$AO$68,Products!$F$16+1),0)</f>
        <v/>
      </c>
      <c r="BI97" s="80">
        <f>IF(BI$4&gt;Products!$F$16,INDEX($E$84:$BL$84,1,BI$4-Products!$F$16)*INDEX(Curves!$AO$8:$AO$68,Products!$F$16+1),0)</f>
        <v/>
      </c>
      <c r="BJ97" s="80">
        <f>IF(BJ$4&gt;Products!$F$16,INDEX($E$84:$BL$84,1,BJ$4-Products!$F$16)*INDEX(Curves!$AO$8:$AO$68,Products!$F$16+1),0)</f>
        <v/>
      </c>
      <c r="BK97" s="80">
        <f>IF(BK$4&gt;Products!$F$16,INDEX($E$84:$BL$84,1,BK$4-Products!$F$16)*INDEX(Curves!$AO$8:$AO$68,Products!$F$16+1),0)</f>
        <v/>
      </c>
      <c r="BL97" s="80">
        <f>IF(BL$4&gt;Products!$F$16,INDEX($E$84:$BL$84,1,BL$4-Products!$F$16)*INDEX(Curves!$AO$8:$AO$68,Products!$F$16+1),0)</f>
        <v/>
      </c>
    </row>
    <row r="98">
      <c r="A98" s="98" t="inlineStr">
        <is>
          <t>Receivables at risk (carrying amount, accounts that stopped paying)</t>
        </is>
      </c>
      <c r="B98" s="65" t="inlineStr">
        <is>
          <t>LCY</t>
        </is>
      </c>
      <c r="C98" s="105">
        <f>BL98</f>
        <v/>
      </c>
      <c r="E98" s="41">
        <f>Cohort_T4!E$135</f>
        <v/>
      </c>
      <c r="F98" s="41">
        <f>Cohort_T4!F$135</f>
        <v/>
      </c>
      <c r="G98" s="41">
        <f>Cohort_T4!G$135</f>
        <v/>
      </c>
      <c r="H98" s="41">
        <f>Cohort_T4!H$135</f>
        <v/>
      </c>
      <c r="I98" s="41">
        <f>Cohort_T4!I$135</f>
        <v/>
      </c>
      <c r="J98" s="41">
        <f>Cohort_T4!J$135</f>
        <v/>
      </c>
      <c r="K98" s="41">
        <f>Cohort_T4!K$135</f>
        <v/>
      </c>
      <c r="L98" s="41">
        <f>Cohort_T4!L$135</f>
        <v/>
      </c>
      <c r="M98" s="41">
        <f>Cohort_T4!M$135</f>
        <v/>
      </c>
      <c r="N98" s="41">
        <f>Cohort_T4!N$135</f>
        <v/>
      </c>
      <c r="O98" s="41">
        <f>Cohort_T4!O$135</f>
        <v/>
      </c>
      <c r="P98" s="41">
        <f>Cohort_T4!P$135</f>
        <v/>
      </c>
      <c r="Q98" s="41">
        <f>Cohort_T4!Q$135</f>
        <v/>
      </c>
      <c r="R98" s="41">
        <f>Cohort_T4!R$135</f>
        <v/>
      </c>
      <c r="S98" s="41">
        <f>Cohort_T4!S$135</f>
        <v/>
      </c>
      <c r="T98" s="41">
        <f>Cohort_T4!T$135</f>
        <v/>
      </c>
      <c r="U98" s="41">
        <f>Cohort_T4!U$135</f>
        <v/>
      </c>
      <c r="V98" s="41">
        <f>Cohort_T4!V$135</f>
        <v/>
      </c>
      <c r="W98" s="41">
        <f>Cohort_T4!W$135</f>
        <v/>
      </c>
      <c r="X98" s="41">
        <f>Cohort_T4!X$135</f>
        <v/>
      </c>
      <c r="Y98" s="41">
        <f>Cohort_T4!Y$135</f>
        <v/>
      </c>
      <c r="Z98" s="41">
        <f>Cohort_T4!Z$135</f>
        <v/>
      </c>
      <c r="AA98" s="41">
        <f>Cohort_T4!AA$135</f>
        <v/>
      </c>
      <c r="AB98" s="41">
        <f>Cohort_T4!AB$135</f>
        <v/>
      </c>
      <c r="AC98" s="41">
        <f>Cohort_T4!AC$135</f>
        <v/>
      </c>
      <c r="AD98" s="41">
        <f>Cohort_T4!AD$135</f>
        <v/>
      </c>
      <c r="AE98" s="41">
        <f>Cohort_T4!AE$135</f>
        <v/>
      </c>
      <c r="AF98" s="41">
        <f>Cohort_T4!AF$135</f>
        <v/>
      </c>
      <c r="AG98" s="41">
        <f>Cohort_T4!AG$135</f>
        <v/>
      </c>
      <c r="AH98" s="41">
        <f>Cohort_T4!AH$135</f>
        <v/>
      </c>
      <c r="AI98" s="41">
        <f>Cohort_T4!AI$135</f>
        <v/>
      </c>
      <c r="AJ98" s="41">
        <f>Cohort_T4!AJ$135</f>
        <v/>
      </c>
      <c r="AK98" s="41">
        <f>Cohort_T4!AK$135</f>
        <v/>
      </c>
      <c r="AL98" s="41">
        <f>Cohort_T4!AL$135</f>
        <v/>
      </c>
      <c r="AM98" s="41">
        <f>Cohort_T4!AM$135</f>
        <v/>
      </c>
      <c r="AN98" s="41">
        <f>Cohort_T4!AN$135</f>
        <v/>
      </c>
      <c r="AO98" s="41">
        <f>Cohort_T4!AO$135</f>
        <v/>
      </c>
      <c r="AP98" s="41">
        <f>Cohort_T4!AP$135</f>
        <v/>
      </c>
      <c r="AQ98" s="41">
        <f>Cohort_T4!AQ$135</f>
        <v/>
      </c>
      <c r="AR98" s="41">
        <f>Cohort_T4!AR$135</f>
        <v/>
      </c>
      <c r="AS98" s="41">
        <f>Cohort_T4!AS$135</f>
        <v/>
      </c>
      <c r="AT98" s="41">
        <f>Cohort_T4!AT$135</f>
        <v/>
      </c>
      <c r="AU98" s="41">
        <f>Cohort_T4!AU$135</f>
        <v/>
      </c>
      <c r="AV98" s="41">
        <f>Cohort_T4!AV$135</f>
        <v/>
      </c>
      <c r="AW98" s="41">
        <f>Cohort_T4!AW$135</f>
        <v/>
      </c>
      <c r="AX98" s="41">
        <f>Cohort_T4!AX$135</f>
        <v/>
      </c>
      <c r="AY98" s="41">
        <f>Cohort_T4!AY$135</f>
        <v/>
      </c>
      <c r="AZ98" s="41">
        <f>Cohort_T4!AZ$135</f>
        <v/>
      </c>
      <c r="BA98" s="41">
        <f>Cohort_T4!BA$135</f>
        <v/>
      </c>
      <c r="BB98" s="41">
        <f>Cohort_T4!BB$135</f>
        <v/>
      </c>
      <c r="BC98" s="41">
        <f>Cohort_T4!BC$135</f>
        <v/>
      </c>
      <c r="BD98" s="41">
        <f>Cohort_T4!BD$135</f>
        <v/>
      </c>
      <c r="BE98" s="41">
        <f>Cohort_T4!BE$135</f>
        <v/>
      </c>
      <c r="BF98" s="41">
        <f>Cohort_T4!BF$135</f>
        <v/>
      </c>
      <c r="BG98" s="41">
        <f>Cohort_T4!BG$135</f>
        <v/>
      </c>
      <c r="BH98" s="41">
        <f>Cohort_T4!BH$135</f>
        <v/>
      </c>
      <c r="BI98" s="41">
        <f>Cohort_T4!BI$135</f>
        <v/>
      </c>
      <c r="BJ98" s="41">
        <f>Cohort_T4!BJ$135</f>
        <v/>
      </c>
      <c r="BK98" s="41">
        <f>Cohort_T4!BK$135</f>
        <v/>
      </c>
      <c r="BL98" s="41">
        <f>Cohort_T4!BL$135</f>
        <v/>
      </c>
    </row>
    <row r="99">
      <c r="A99" s="98" t="inlineStr">
        <is>
          <t>Gross PAYGo receivables (closing)</t>
        </is>
      </c>
      <c r="B99" s="65" t="inlineStr">
        <is>
          <t>LCY</t>
        </is>
      </c>
      <c r="C99" s="105">
        <f>BL99</f>
        <v/>
      </c>
      <c r="E99" s="80">
        <f>D99+E88+E92-E90-E91</f>
        <v/>
      </c>
      <c r="F99" s="80">
        <f>E99+F88+F92-F90-F91</f>
        <v/>
      </c>
      <c r="G99" s="80">
        <f>F99+G88+G92-G90-G91</f>
        <v/>
      </c>
      <c r="H99" s="80">
        <f>G99+H88+H92-H90-H91</f>
        <v/>
      </c>
      <c r="I99" s="80">
        <f>H99+I88+I92-I90-I91</f>
        <v/>
      </c>
      <c r="J99" s="80">
        <f>I99+J88+J92-J90-J91</f>
        <v/>
      </c>
      <c r="K99" s="80">
        <f>J99+K88+K92-K90-K91</f>
        <v/>
      </c>
      <c r="L99" s="80">
        <f>K99+L88+L92-L90-L91</f>
        <v/>
      </c>
      <c r="M99" s="80">
        <f>L99+M88+M92-M90-M91</f>
        <v/>
      </c>
      <c r="N99" s="80">
        <f>M99+N88+N92-N90-N91</f>
        <v/>
      </c>
      <c r="O99" s="80">
        <f>N99+O88+O92-O90-O91</f>
        <v/>
      </c>
      <c r="P99" s="80">
        <f>O99+P88+P92-P90-P91</f>
        <v/>
      </c>
      <c r="Q99" s="80">
        <f>P99+Q88+Q92-Q90-Q91</f>
        <v/>
      </c>
      <c r="R99" s="80">
        <f>Q99+R88+R92-R90-R91</f>
        <v/>
      </c>
      <c r="S99" s="80">
        <f>R99+S88+S92-S90-S91</f>
        <v/>
      </c>
      <c r="T99" s="80">
        <f>S99+T88+T92-T90-T91</f>
        <v/>
      </c>
      <c r="U99" s="80">
        <f>T99+U88+U92-U90-U91</f>
        <v/>
      </c>
      <c r="V99" s="80">
        <f>U99+V88+V92-V90-V91</f>
        <v/>
      </c>
      <c r="W99" s="80">
        <f>V99+W88+W92-W90-W91</f>
        <v/>
      </c>
      <c r="X99" s="80">
        <f>W99+X88+X92-X90-X91</f>
        <v/>
      </c>
      <c r="Y99" s="80">
        <f>X99+Y88+Y92-Y90-Y91</f>
        <v/>
      </c>
      <c r="Z99" s="80">
        <f>Y99+Z88+Z92-Z90-Z91</f>
        <v/>
      </c>
      <c r="AA99" s="80">
        <f>Z99+AA88+AA92-AA90-AA91</f>
        <v/>
      </c>
      <c r="AB99" s="80">
        <f>AA99+AB88+AB92-AB90-AB91</f>
        <v/>
      </c>
      <c r="AC99" s="80">
        <f>AB99+AC88+AC92-AC90-AC91</f>
        <v/>
      </c>
      <c r="AD99" s="80">
        <f>AC99+AD88+AD92-AD90-AD91</f>
        <v/>
      </c>
      <c r="AE99" s="80">
        <f>AD99+AE88+AE92-AE90-AE91</f>
        <v/>
      </c>
      <c r="AF99" s="80">
        <f>AE99+AF88+AF92-AF90-AF91</f>
        <v/>
      </c>
      <c r="AG99" s="80">
        <f>AF99+AG88+AG92-AG90-AG91</f>
        <v/>
      </c>
      <c r="AH99" s="80">
        <f>AG99+AH88+AH92-AH90-AH91</f>
        <v/>
      </c>
      <c r="AI99" s="80">
        <f>AH99+AI88+AI92-AI90-AI91</f>
        <v/>
      </c>
      <c r="AJ99" s="80">
        <f>AI99+AJ88+AJ92-AJ90-AJ91</f>
        <v/>
      </c>
      <c r="AK99" s="80">
        <f>AJ99+AK88+AK92-AK90-AK91</f>
        <v/>
      </c>
      <c r="AL99" s="80">
        <f>AK99+AL88+AL92-AL90-AL91</f>
        <v/>
      </c>
      <c r="AM99" s="80">
        <f>AL99+AM88+AM92-AM90-AM91</f>
        <v/>
      </c>
      <c r="AN99" s="80">
        <f>AM99+AN88+AN92-AN90-AN91</f>
        <v/>
      </c>
      <c r="AO99" s="80">
        <f>AN99+AO88+AO92-AO90-AO91</f>
        <v/>
      </c>
      <c r="AP99" s="80">
        <f>AO99+AP88+AP92-AP90-AP91</f>
        <v/>
      </c>
      <c r="AQ99" s="80">
        <f>AP99+AQ88+AQ92-AQ90-AQ91</f>
        <v/>
      </c>
      <c r="AR99" s="80">
        <f>AQ99+AR88+AR92-AR90-AR91</f>
        <v/>
      </c>
      <c r="AS99" s="80">
        <f>AR99+AS88+AS92-AS90-AS91</f>
        <v/>
      </c>
      <c r="AT99" s="80">
        <f>AS99+AT88+AT92-AT90-AT91</f>
        <v/>
      </c>
      <c r="AU99" s="80">
        <f>AT99+AU88+AU92-AU90-AU91</f>
        <v/>
      </c>
      <c r="AV99" s="80">
        <f>AU99+AV88+AV92-AV90-AV91</f>
        <v/>
      </c>
      <c r="AW99" s="80">
        <f>AV99+AW88+AW92-AW90-AW91</f>
        <v/>
      </c>
      <c r="AX99" s="80">
        <f>AW99+AX88+AX92-AX90-AX91</f>
        <v/>
      </c>
      <c r="AY99" s="80">
        <f>AX99+AY88+AY92-AY90-AY91</f>
        <v/>
      </c>
      <c r="AZ99" s="80">
        <f>AY99+AZ88+AZ92-AZ90-AZ91</f>
        <v/>
      </c>
      <c r="BA99" s="80">
        <f>AZ99+BA88+BA92-BA90-BA91</f>
        <v/>
      </c>
      <c r="BB99" s="80">
        <f>BA99+BB88+BB92-BB90-BB91</f>
        <v/>
      </c>
      <c r="BC99" s="80">
        <f>BB99+BC88+BC92-BC90-BC91</f>
        <v/>
      </c>
      <c r="BD99" s="80">
        <f>BC99+BD88+BD92-BD90-BD91</f>
        <v/>
      </c>
      <c r="BE99" s="80">
        <f>BD99+BE88+BE92-BE90-BE91</f>
        <v/>
      </c>
      <c r="BF99" s="80">
        <f>BE99+BF88+BF92-BF90-BF91</f>
        <v/>
      </c>
      <c r="BG99" s="80">
        <f>BF99+BG88+BG92-BG90-BG91</f>
        <v/>
      </c>
      <c r="BH99" s="80">
        <f>BG99+BH88+BH92-BH90-BH91</f>
        <v/>
      </c>
      <c r="BI99" s="80">
        <f>BH99+BI88+BI92-BI90-BI91</f>
        <v/>
      </c>
      <c r="BJ99" s="80">
        <f>BI99+BJ88+BJ92-BJ90-BJ91</f>
        <v/>
      </c>
      <c r="BK99" s="80">
        <f>BJ99+BK88+BK92-BK90-BK91</f>
        <v/>
      </c>
      <c r="BL99" s="80">
        <f>BK99+BL88+BL92-BL90-BL91</f>
        <v/>
      </c>
    </row>
    <row r="100">
      <c r="A100" s="98" t="inlineStr">
        <is>
          <t>Eligible receivables (Credit_Engine, max-DPD rule)</t>
        </is>
      </c>
      <c r="B100" s="65" t="inlineStr">
        <is>
          <t>LCY</t>
        </is>
      </c>
      <c r="C100" s="105">
        <f>BL100</f>
        <v/>
      </c>
      <c r="E100" s="41">
        <f>Credit_Engine!E$201</f>
        <v/>
      </c>
      <c r="F100" s="41">
        <f>Credit_Engine!F$201</f>
        <v/>
      </c>
      <c r="G100" s="41">
        <f>Credit_Engine!G$201</f>
        <v/>
      </c>
      <c r="H100" s="41">
        <f>Credit_Engine!H$201</f>
        <v/>
      </c>
      <c r="I100" s="41">
        <f>Credit_Engine!I$201</f>
        <v/>
      </c>
      <c r="J100" s="41">
        <f>Credit_Engine!J$201</f>
        <v/>
      </c>
      <c r="K100" s="41">
        <f>Credit_Engine!K$201</f>
        <v/>
      </c>
      <c r="L100" s="41">
        <f>Credit_Engine!L$201</f>
        <v/>
      </c>
      <c r="M100" s="41">
        <f>Credit_Engine!M$201</f>
        <v/>
      </c>
      <c r="N100" s="41">
        <f>Credit_Engine!N$201</f>
        <v/>
      </c>
      <c r="O100" s="41">
        <f>Credit_Engine!O$201</f>
        <v/>
      </c>
      <c r="P100" s="41">
        <f>Credit_Engine!P$201</f>
        <v/>
      </c>
      <c r="Q100" s="41">
        <f>Credit_Engine!Q$201</f>
        <v/>
      </c>
      <c r="R100" s="41">
        <f>Credit_Engine!R$201</f>
        <v/>
      </c>
      <c r="S100" s="41">
        <f>Credit_Engine!S$201</f>
        <v/>
      </c>
      <c r="T100" s="41">
        <f>Credit_Engine!T$201</f>
        <v/>
      </c>
      <c r="U100" s="41">
        <f>Credit_Engine!U$201</f>
        <v/>
      </c>
      <c r="V100" s="41">
        <f>Credit_Engine!V$201</f>
        <v/>
      </c>
      <c r="W100" s="41">
        <f>Credit_Engine!W$201</f>
        <v/>
      </c>
      <c r="X100" s="41">
        <f>Credit_Engine!X$201</f>
        <v/>
      </c>
      <c r="Y100" s="41">
        <f>Credit_Engine!Y$201</f>
        <v/>
      </c>
      <c r="Z100" s="41">
        <f>Credit_Engine!Z$201</f>
        <v/>
      </c>
      <c r="AA100" s="41">
        <f>Credit_Engine!AA$201</f>
        <v/>
      </c>
      <c r="AB100" s="41">
        <f>Credit_Engine!AB$201</f>
        <v/>
      </c>
      <c r="AC100" s="41">
        <f>Credit_Engine!AC$201</f>
        <v/>
      </c>
      <c r="AD100" s="41">
        <f>Credit_Engine!AD$201</f>
        <v/>
      </c>
      <c r="AE100" s="41">
        <f>Credit_Engine!AE$201</f>
        <v/>
      </c>
      <c r="AF100" s="41">
        <f>Credit_Engine!AF$201</f>
        <v/>
      </c>
      <c r="AG100" s="41">
        <f>Credit_Engine!AG$201</f>
        <v/>
      </c>
      <c r="AH100" s="41">
        <f>Credit_Engine!AH$201</f>
        <v/>
      </c>
      <c r="AI100" s="41">
        <f>Credit_Engine!AI$201</f>
        <v/>
      </c>
      <c r="AJ100" s="41">
        <f>Credit_Engine!AJ$201</f>
        <v/>
      </c>
      <c r="AK100" s="41">
        <f>Credit_Engine!AK$201</f>
        <v/>
      </c>
      <c r="AL100" s="41">
        <f>Credit_Engine!AL$201</f>
        <v/>
      </c>
      <c r="AM100" s="41">
        <f>Credit_Engine!AM$201</f>
        <v/>
      </c>
      <c r="AN100" s="41">
        <f>Credit_Engine!AN$201</f>
        <v/>
      </c>
      <c r="AO100" s="41">
        <f>Credit_Engine!AO$201</f>
        <v/>
      </c>
      <c r="AP100" s="41">
        <f>Credit_Engine!AP$201</f>
        <v/>
      </c>
      <c r="AQ100" s="41">
        <f>Credit_Engine!AQ$201</f>
        <v/>
      </c>
      <c r="AR100" s="41">
        <f>Credit_Engine!AR$201</f>
        <v/>
      </c>
      <c r="AS100" s="41">
        <f>Credit_Engine!AS$201</f>
        <v/>
      </c>
      <c r="AT100" s="41">
        <f>Credit_Engine!AT$201</f>
        <v/>
      </c>
      <c r="AU100" s="41">
        <f>Credit_Engine!AU$201</f>
        <v/>
      </c>
      <c r="AV100" s="41">
        <f>Credit_Engine!AV$201</f>
        <v/>
      </c>
      <c r="AW100" s="41">
        <f>Credit_Engine!AW$201</f>
        <v/>
      </c>
      <c r="AX100" s="41">
        <f>Credit_Engine!AX$201</f>
        <v/>
      </c>
      <c r="AY100" s="41">
        <f>Credit_Engine!AY$201</f>
        <v/>
      </c>
      <c r="AZ100" s="41">
        <f>Credit_Engine!AZ$201</f>
        <v/>
      </c>
      <c r="BA100" s="41">
        <f>Credit_Engine!BA$201</f>
        <v/>
      </c>
      <c r="BB100" s="41">
        <f>Credit_Engine!BB$201</f>
        <v/>
      </c>
      <c r="BC100" s="41">
        <f>Credit_Engine!BC$201</f>
        <v/>
      </c>
      <c r="BD100" s="41">
        <f>Credit_Engine!BD$201</f>
        <v/>
      </c>
      <c r="BE100" s="41">
        <f>Credit_Engine!BE$201</f>
        <v/>
      </c>
      <c r="BF100" s="41">
        <f>Credit_Engine!BF$201</f>
        <v/>
      </c>
      <c r="BG100" s="41">
        <f>Credit_Engine!BG$201</f>
        <v/>
      </c>
      <c r="BH100" s="41">
        <f>Credit_Engine!BH$201</f>
        <v/>
      </c>
      <c r="BI100" s="41">
        <f>Credit_Engine!BI$201</f>
        <v/>
      </c>
      <c r="BJ100" s="41">
        <f>Credit_Engine!BJ$201</f>
        <v/>
      </c>
      <c r="BK100" s="41">
        <f>Credit_Engine!BK$201</f>
        <v/>
      </c>
      <c r="BL100" s="41">
        <f>Credit_Engine!BL$201</f>
        <v/>
      </c>
    </row>
    <row r="101">
      <c r="A101" s="98" t="inlineStr">
        <is>
          <t>Borrowing-base contribution (advance rate x eligible)</t>
        </is>
      </c>
      <c r="B101" s="65" t="inlineStr">
        <is>
          <t>LCY</t>
        </is>
      </c>
      <c r="C101" s="105">
        <f>BL101</f>
        <v/>
      </c>
      <c r="E101" s="80">
        <f>E100*Products!$F$31</f>
        <v/>
      </c>
      <c r="F101" s="80">
        <f>F100*Products!$F$31</f>
        <v/>
      </c>
      <c r="G101" s="80">
        <f>G100*Products!$F$31</f>
        <v/>
      </c>
      <c r="H101" s="80">
        <f>H100*Products!$F$31</f>
        <v/>
      </c>
      <c r="I101" s="80">
        <f>I100*Products!$F$31</f>
        <v/>
      </c>
      <c r="J101" s="80">
        <f>J100*Products!$F$31</f>
        <v/>
      </c>
      <c r="K101" s="80">
        <f>K100*Products!$F$31</f>
        <v/>
      </c>
      <c r="L101" s="80">
        <f>L100*Products!$F$31</f>
        <v/>
      </c>
      <c r="M101" s="80">
        <f>M100*Products!$F$31</f>
        <v/>
      </c>
      <c r="N101" s="80">
        <f>N100*Products!$F$31</f>
        <v/>
      </c>
      <c r="O101" s="80">
        <f>O100*Products!$F$31</f>
        <v/>
      </c>
      <c r="P101" s="80">
        <f>P100*Products!$F$31</f>
        <v/>
      </c>
      <c r="Q101" s="80">
        <f>Q100*Products!$F$31</f>
        <v/>
      </c>
      <c r="R101" s="80">
        <f>R100*Products!$F$31</f>
        <v/>
      </c>
      <c r="S101" s="80">
        <f>S100*Products!$F$31</f>
        <v/>
      </c>
      <c r="T101" s="80">
        <f>T100*Products!$F$31</f>
        <v/>
      </c>
      <c r="U101" s="80">
        <f>U100*Products!$F$31</f>
        <v/>
      </c>
      <c r="V101" s="80">
        <f>V100*Products!$F$31</f>
        <v/>
      </c>
      <c r="W101" s="80">
        <f>W100*Products!$F$31</f>
        <v/>
      </c>
      <c r="X101" s="80">
        <f>X100*Products!$F$31</f>
        <v/>
      </c>
      <c r="Y101" s="80">
        <f>Y100*Products!$F$31</f>
        <v/>
      </c>
      <c r="Z101" s="80">
        <f>Z100*Products!$F$31</f>
        <v/>
      </c>
      <c r="AA101" s="80">
        <f>AA100*Products!$F$31</f>
        <v/>
      </c>
      <c r="AB101" s="80">
        <f>AB100*Products!$F$31</f>
        <v/>
      </c>
      <c r="AC101" s="80">
        <f>AC100*Products!$F$31</f>
        <v/>
      </c>
      <c r="AD101" s="80">
        <f>AD100*Products!$F$31</f>
        <v/>
      </c>
      <c r="AE101" s="80">
        <f>AE100*Products!$F$31</f>
        <v/>
      </c>
      <c r="AF101" s="80">
        <f>AF100*Products!$F$31</f>
        <v/>
      </c>
      <c r="AG101" s="80">
        <f>AG100*Products!$F$31</f>
        <v/>
      </c>
      <c r="AH101" s="80">
        <f>AH100*Products!$F$31</f>
        <v/>
      </c>
      <c r="AI101" s="80">
        <f>AI100*Products!$F$31</f>
        <v/>
      </c>
      <c r="AJ101" s="80">
        <f>AJ100*Products!$F$31</f>
        <v/>
      </c>
      <c r="AK101" s="80">
        <f>AK100*Products!$F$31</f>
        <v/>
      </c>
      <c r="AL101" s="80">
        <f>AL100*Products!$F$31</f>
        <v/>
      </c>
      <c r="AM101" s="80">
        <f>AM100*Products!$F$31</f>
        <v/>
      </c>
      <c r="AN101" s="80">
        <f>AN100*Products!$F$31</f>
        <v/>
      </c>
      <c r="AO101" s="80">
        <f>AO100*Products!$F$31</f>
        <v/>
      </c>
      <c r="AP101" s="80">
        <f>AP100*Products!$F$31</f>
        <v/>
      </c>
      <c r="AQ101" s="80">
        <f>AQ100*Products!$F$31</f>
        <v/>
      </c>
      <c r="AR101" s="80">
        <f>AR100*Products!$F$31</f>
        <v/>
      </c>
      <c r="AS101" s="80">
        <f>AS100*Products!$F$31</f>
        <v/>
      </c>
      <c r="AT101" s="80">
        <f>AT100*Products!$F$31</f>
        <v/>
      </c>
      <c r="AU101" s="80">
        <f>AU100*Products!$F$31</f>
        <v/>
      </c>
      <c r="AV101" s="80">
        <f>AV100*Products!$F$31</f>
        <v/>
      </c>
      <c r="AW101" s="80">
        <f>AW100*Products!$F$31</f>
        <v/>
      </c>
      <c r="AX101" s="80">
        <f>AX100*Products!$F$31</f>
        <v/>
      </c>
      <c r="AY101" s="80">
        <f>AY100*Products!$F$31</f>
        <v/>
      </c>
      <c r="AZ101" s="80">
        <f>AZ100*Products!$F$31</f>
        <v/>
      </c>
      <c r="BA101" s="80">
        <f>BA100*Products!$F$31</f>
        <v/>
      </c>
      <c r="BB101" s="80">
        <f>BB100*Products!$F$31</f>
        <v/>
      </c>
      <c r="BC101" s="80">
        <f>BC100*Products!$F$31</f>
        <v/>
      </c>
      <c r="BD101" s="80">
        <f>BD100*Products!$F$31</f>
        <v/>
      </c>
      <c r="BE101" s="80">
        <f>BE100*Products!$F$31</f>
        <v/>
      </c>
      <c r="BF101" s="80">
        <f>BF100*Products!$F$31</f>
        <v/>
      </c>
      <c r="BG101" s="80">
        <f>BG100*Products!$F$31</f>
        <v/>
      </c>
      <c r="BH101" s="80">
        <f>BH100*Products!$F$31</f>
        <v/>
      </c>
      <c r="BI101" s="80">
        <f>BI100*Products!$F$31</f>
        <v/>
      </c>
      <c r="BJ101" s="80">
        <f>BJ100*Products!$F$31</f>
        <v/>
      </c>
      <c r="BK101" s="80">
        <f>BK100*Products!$F$31</f>
        <v/>
      </c>
      <c r="BL101" s="80">
        <f>BL100*Products!$F$31</f>
        <v/>
      </c>
    </row>
    <row r="102">
      <c r="A102" s="98" t="inlineStr">
        <is>
          <t>Landed hardware cost of units sold</t>
        </is>
      </c>
      <c r="B102" s="65" t="inlineStr">
        <is>
          <t>LCY</t>
        </is>
      </c>
      <c r="C102" s="105">
        <f>SUM(E102:BL102)</f>
        <v/>
      </c>
      <c r="E102" s="80">
        <f>E84*Products!$F$18*(1+Inputs!$C$28)*Timeline!E$8*Scenarios!$G$9</f>
        <v/>
      </c>
      <c r="F102" s="80">
        <f>F84*Products!$F$18*(1+Inputs!$C$28)*Timeline!F$8*Scenarios!$G$9</f>
        <v/>
      </c>
      <c r="G102" s="80">
        <f>G84*Products!$F$18*(1+Inputs!$C$28)*Timeline!G$8*Scenarios!$G$9</f>
        <v/>
      </c>
      <c r="H102" s="80">
        <f>H84*Products!$F$18*(1+Inputs!$C$28)*Timeline!H$8*Scenarios!$G$9</f>
        <v/>
      </c>
      <c r="I102" s="80">
        <f>I84*Products!$F$18*(1+Inputs!$C$28)*Timeline!I$8*Scenarios!$G$9</f>
        <v/>
      </c>
      <c r="J102" s="80">
        <f>J84*Products!$F$18*(1+Inputs!$C$28)*Timeline!J$8*Scenarios!$G$9</f>
        <v/>
      </c>
      <c r="K102" s="80">
        <f>K84*Products!$F$18*(1+Inputs!$C$28)*Timeline!K$8*Scenarios!$G$9</f>
        <v/>
      </c>
      <c r="L102" s="80">
        <f>L84*Products!$F$18*(1+Inputs!$C$28)*Timeline!L$8*Scenarios!$G$9</f>
        <v/>
      </c>
      <c r="M102" s="80">
        <f>M84*Products!$F$18*(1+Inputs!$C$28)*Timeline!M$8*Scenarios!$G$9</f>
        <v/>
      </c>
      <c r="N102" s="80">
        <f>N84*Products!$F$18*(1+Inputs!$C$28)*Timeline!N$8*Scenarios!$G$9</f>
        <v/>
      </c>
      <c r="O102" s="80">
        <f>O84*Products!$F$18*(1+Inputs!$C$28)*Timeline!O$8*Scenarios!$G$9</f>
        <v/>
      </c>
      <c r="P102" s="80">
        <f>P84*Products!$F$18*(1+Inputs!$C$28)*Timeline!P$8*Scenarios!$G$9</f>
        <v/>
      </c>
      <c r="Q102" s="80">
        <f>Q84*Products!$F$18*(1+Inputs!$C$28)*Timeline!Q$8*Scenarios!$G$9</f>
        <v/>
      </c>
      <c r="R102" s="80">
        <f>R84*Products!$F$18*(1+Inputs!$C$28)*Timeline!R$8*Scenarios!$G$9</f>
        <v/>
      </c>
      <c r="S102" s="80">
        <f>S84*Products!$F$18*(1+Inputs!$C$28)*Timeline!S$8*Scenarios!$G$9</f>
        <v/>
      </c>
      <c r="T102" s="80">
        <f>T84*Products!$F$18*(1+Inputs!$C$28)*Timeline!T$8*Scenarios!$G$9</f>
        <v/>
      </c>
      <c r="U102" s="80">
        <f>U84*Products!$F$18*(1+Inputs!$C$28)*Timeline!U$8*Scenarios!$G$9</f>
        <v/>
      </c>
      <c r="V102" s="80">
        <f>V84*Products!$F$18*(1+Inputs!$C$28)*Timeline!V$8*Scenarios!$G$9</f>
        <v/>
      </c>
      <c r="W102" s="80">
        <f>W84*Products!$F$18*(1+Inputs!$C$28)*Timeline!W$8*Scenarios!$G$9</f>
        <v/>
      </c>
      <c r="X102" s="80">
        <f>X84*Products!$F$18*(1+Inputs!$C$28)*Timeline!X$8*Scenarios!$G$9</f>
        <v/>
      </c>
      <c r="Y102" s="80">
        <f>Y84*Products!$F$18*(1+Inputs!$C$28)*Timeline!Y$8*Scenarios!$G$9</f>
        <v/>
      </c>
      <c r="Z102" s="80">
        <f>Z84*Products!$F$18*(1+Inputs!$C$28)*Timeline!Z$8*Scenarios!$G$9</f>
        <v/>
      </c>
      <c r="AA102" s="80">
        <f>AA84*Products!$F$18*(1+Inputs!$C$28)*Timeline!AA$8*Scenarios!$G$9</f>
        <v/>
      </c>
      <c r="AB102" s="80">
        <f>AB84*Products!$F$18*(1+Inputs!$C$28)*Timeline!AB$8*Scenarios!$G$9</f>
        <v/>
      </c>
      <c r="AC102" s="80">
        <f>AC84*Products!$F$18*(1+Inputs!$C$28)*Timeline!AC$8*Scenarios!$G$9</f>
        <v/>
      </c>
      <c r="AD102" s="80">
        <f>AD84*Products!$F$18*(1+Inputs!$C$28)*Timeline!AD$8*Scenarios!$G$9</f>
        <v/>
      </c>
      <c r="AE102" s="80">
        <f>AE84*Products!$F$18*(1+Inputs!$C$28)*Timeline!AE$8*Scenarios!$G$9</f>
        <v/>
      </c>
      <c r="AF102" s="80">
        <f>AF84*Products!$F$18*(1+Inputs!$C$28)*Timeline!AF$8*Scenarios!$G$9</f>
        <v/>
      </c>
      <c r="AG102" s="80">
        <f>AG84*Products!$F$18*(1+Inputs!$C$28)*Timeline!AG$8*Scenarios!$G$9</f>
        <v/>
      </c>
      <c r="AH102" s="80">
        <f>AH84*Products!$F$18*(1+Inputs!$C$28)*Timeline!AH$8*Scenarios!$G$9</f>
        <v/>
      </c>
      <c r="AI102" s="80">
        <f>AI84*Products!$F$18*(1+Inputs!$C$28)*Timeline!AI$8*Scenarios!$G$9</f>
        <v/>
      </c>
      <c r="AJ102" s="80">
        <f>AJ84*Products!$F$18*(1+Inputs!$C$28)*Timeline!AJ$8*Scenarios!$G$9</f>
        <v/>
      </c>
      <c r="AK102" s="80">
        <f>AK84*Products!$F$18*(1+Inputs!$C$28)*Timeline!AK$8*Scenarios!$G$9</f>
        <v/>
      </c>
      <c r="AL102" s="80">
        <f>AL84*Products!$F$18*(1+Inputs!$C$28)*Timeline!AL$8*Scenarios!$G$9</f>
        <v/>
      </c>
      <c r="AM102" s="80">
        <f>AM84*Products!$F$18*(1+Inputs!$C$28)*Timeline!AM$8*Scenarios!$G$9</f>
        <v/>
      </c>
      <c r="AN102" s="80">
        <f>AN84*Products!$F$18*(1+Inputs!$C$28)*Timeline!AN$8*Scenarios!$G$9</f>
        <v/>
      </c>
      <c r="AO102" s="80">
        <f>AO84*Products!$F$18*(1+Inputs!$C$28)*Timeline!AO$8*Scenarios!$G$9</f>
        <v/>
      </c>
      <c r="AP102" s="80">
        <f>AP84*Products!$F$18*(1+Inputs!$C$28)*Timeline!AP$8*Scenarios!$G$9</f>
        <v/>
      </c>
      <c r="AQ102" s="80">
        <f>AQ84*Products!$F$18*(1+Inputs!$C$28)*Timeline!AQ$8*Scenarios!$G$9</f>
        <v/>
      </c>
      <c r="AR102" s="80">
        <f>AR84*Products!$F$18*(1+Inputs!$C$28)*Timeline!AR$8*Scenarios!$G$9</f>
        <v/>
      </c>
      <c r="AS102" s="80">
        <f>AS84*Products!$F$18*(1+Inputs!$C$28)*Timeline!AS$8*Scenarios!$G$9</f>
        <v/>
      </c>
      <c r="AT102" s="80">
        <f>AT84*Products!$F$18*(1+Inputs!$C$28)*Timeline!AT$8*Scenarios!$G$9</f>
        <v/>
      </c>
      <c r="AU102" s="80">
        <f>AU84*Products!$F$18*(1+Inputs!$C$28)*Timeline!AU$8*Scenarios!$G$9</f>
        <v/>
      </c>
      <c r="AV102" s="80">
        <f>AV84*Products!$F$18*(1+Inputs!$C$28)*Timeline!AV$8*Scenarios!$G$9</f>
        <v/>
      </c>
      <c r="AW102" s="80">
        <f>AW84*Products!$F$18*(1+Inputs!$C$28)*Timeline!AW$8*Scenarios!$G$9</f>
        <v/>
      </c>
      <c r="AX102" s="80">
        <f>AX84*Products!$F$18*(1+Inputs!$C$28)*Timeline!AX$8*Scenarios!$G$9</f>
        <v/>
      </c>
      <c r="AY102" s="80">
        <f>AY84*Products!$F$18*(1+Inputs!$C$28)*Timeline!AY$8*Scenarios!$G$9</f>
        <v/>
      </c>
      <c r="AZ102" s="80">
        <f>AZ84*Products!$F$18*(1+Inputs!$C$28)*Timeline!AZ$8*Scenarios!$G$9</f>
        <v/>
      </c>
      <c r="BA102" s="80">
        <f>BA84*Products!$F$18*(1+Inputs!$C$28)*Timeline!BA$8*Scenarios!$G$9</f>
        <v/>
      </c>
      <c r="BB102" s="80">
        <f>BB84*Products!$F$18*(1+Inputs!$C$28)*Timeline!BB$8*Scenarios!$G$9</f>
        <v/>
      </c>
      <c r="BC102" s="80">
        <f>BC84*Products!$F$18*(1+Inputs!$C$28)*Timeline!BC$8*Scenarios!$G$9</f>
        <v/>
      </c>
      <c r="BD102" s="80">
        <f>BD84*Products!$F$18*(1+Inputs!$C$28)*Timeline!BD$8*Scenarios!$G$9</f>
        <v/>
      </c>
      <c r="BE102" s="80">
        <f>BE84*Products!$F$18*(1+Inputs!$C$28)*Timeline!BE$8*Scenarios!$G$9</f>
        <v/>
      </c>
      <c r="BF102" s="80">
        <f>BF84*Products!$F$18*(1+Inputs!$C$28)*Timeline!BF$8*Scenarios!$G$9</f>
        <v/>
      </c>
      <c r="BG102" s="80">
        <f>BG84*Products!$F$18*(1+Inputs!$C$28)*Timeline!BG$8*Scenarios!$G$9</f>
        <v/>
      </c>
      <c r="BH102" s="80">
        <f>BH84*Products!$F$18*(1+Inputs!$C$28)*Timeline!BH$8*Scenarios!$G$9</f>
        <v/>
      </c>
      <c r="BI102" s="80">
        <f>BI84*Products!$F$18*(1+Inputs!$C$28)*Timeline!BI$8*Scenarios!$G$9</f>
        <v/>
      </c>
      <c r="BJ102" s="80">
        <f>BJ84*Products!$F$18*(1+Inputs!$C$28)*Timeline!BJ$8*Scenarios!$G$9</f>
        <v/>
      </c>
      <c r="BK102" s="80">
        <f>BK84*Products!$F$18*(1+Inputs!$C$28)*Timeline!BK$8*Scenarios!$G$9</f>
        <v/>
      </c>
      <c r="BL102" s="80">
        <f>BL84*Products!$F$18*(1+Inputs!$C$28)*Timeline!BL$8*Scenarios!$G$9</f>
        <v/>
      </c>
    </row>
    <row r="103">
      <c r="A103" s="98" t="inlineStr">
        <is>
          <t>Installation &amp; logistics</t>
        </is>
      </c>
      <c r="B103" s="65" t="inlineStr">
        <is>
          <t>LCY</t>
        </is>
      </c>
      <c r="C103" s="105">
        <f>SUM(E103:BL103)</f>
        <v/>
      </c>
      <c r="E103" s="80">
        <f>E84*Products!$F$19*Timeline!E$9</f>
        <v/>
      </c>
      <c r="F103" s="80">
        <f>F84*Products!$F$19*Timeline!F$9</f>
        <v/>
      </c>
      <c r="G103" s="80">
        <f>G84*Products!$F$19*Timeline!G$9</f>
        <v/>
      </c>
      <c r="H103" s="80">
        <f>H84*Products!$F$19*Timeline!H$9</f>
        <v/>
      </c>
      <c r="I103" s="80">
        <f>I84*Products!$F$19*Timeline!I$9</f>
        <v/>
      </c>
      <c r="J103" s="80">
        <f>J84*Products!$F$19*Timeline!J$9</f>
        <v/>
      </c>
      <c r="K103" s="80">
        <f>K84*Products!$F$19*Timeline!K$9</f>
        <v/>
      </c>
      <c r="L103" s="80">
        <f>L84*Products!$F$19*Timeline!L$9</f>
        <v/>
      </c>
      <c r="M103" s="80">
        <f>M84*Products!$F$19*Timeline!M$9</f>
        <v/>
      </c>
      <c r="N103" s="80">
        <f>N84*Products!$F$19*Timeline!N$9</f>
        <v/>
      </c>
      <c r="O103" s="80">
        <f>O84*Products!$F$19*Timeline!O$9</f>
        <v/>
      </c>
      <c r="P103" s="80">
        <f>P84*Products!$F$19*Timeline!P$9</f>
        <v/>
      </c>
      <c r="Q103" s="80">
        <f>Q84*Products!$F$19*Timeline!Q$9</f>
        <v/>
      </c>
      <c r="R103" s="80">
        <f>R84*Products!$F$19*Timeline!R$9</f>
        <v/>
      </c>
      <c r="S103" s="80">
        <f>S84*Products!$F$19*Timeline!S$9</f>
        <v/>
      </c>
      <c r="T103" s="80">
        <f>T84*Products!$F$19*Timeline!T$9</f>
        <v/>
      </c>
      <c r="U103" s="80">
        <f>U84*Products!$F$19*Timeline!U$9</f>
        <v/>
      </c>
      <c r="V103" s="80">
        <f>V84*Products!$F$19*Timeline!V$9</f>
        <v/>
      </c>
      <c r="W103" s="80">
        <f>W84*Products!$F$19*Timeline!W$9</f>
        <v/>
      </c>
      <c r="X103" s="80">
        <f>X84*Products!$F$19*Timeline!X$9</f>
        <v/>
      </c>
      <c r="Y103" s="80">
        <f>Y84*Products!$F$19*Timeline!Y$9</f>
        <v/>
      </c>
      <c r="Z103" s="80">
        <f>Z84*Products!$F$19*Timeline!Z$9</f>
        <v/>
      </c>
      <c r="AA103" s="80">
        <f>AA84*Products!$F$19*Timeline!AA$9</f>
        <v/>
      </c>
      <c r="AB103" s="80">
        <f>AB84*Products!$F$19*Timeline!AB$9</f>
        <v/>
      </c>
      <c r="AC103" s="80">
        <f>AC84*Products!$F$19*Timeline!AC$9</f>
        <v/>
      </c>
      <c r="AD103" s="80">
        <f>AD84*Products!$F$19*Timeline!AD$9</f>
        <v/>
      </c>
      <c r="AE103" s="80">
        <f>AE84*Products!$F$19*Timeline!AE$9</f>
        <v/>
      </c>
      <c r="AF103" s="80">
        <f>AF84*Products!$F$19*Timeline!AF$9</f>
        <v/>
      </c>
      <c r="AG103" s="80">
        <f>AG84*Products!$F$19*Timeline!AG$9</f>
        <v/>
      </c>
      <c r="AH103" s="80">
        <f>AH84*Products!$F$19*Timeline!AH$9</f>
        <v/>
      </c>
      <c r="AI103" s="80">
        <f>AI84*Products!$F$19*Timeline!AI$9</f>
        <v/>
      </c>
      <c r="AJ103" s="80">
        <f>AJ84*Products!$F$19*Timeline!AJ$9</f>
        <v/>
      </c>
      <c r="AK103" s="80">
        <f>AK84*Products!$F$19*Timeline!AK$9</f>
        <v/>
      </c>
      <c r="AL103" s="80">
        <f>AL84*Products!$F$19*Timeline!AL$9</f>
        <v/>
      </c>
      <c r="AM103" s="80">
        <f>AM84*Products!$F$19*Timeline!AM$9</f>
        <v/>
      </c>
      <c r="AN103" s="80">
        <f>AN84*Products!$F$19*Timeline!AN$9</f>
        <v/>
      </c>
      <c r="AO103" s="80">
        <f>AO84*Products!$F$19*Timeline!AO$9</f>
        <v/>
      </c>
      <c r="AP103" s="80">
        <f>AP84*Products!$F$19*Timeline!AP$9</f>
        <v/>
      </c>
      <c r="AQ103" s="80">
        <f>AQ84*Products!$F$19*Timeline!AQ$9</f>
        <v/>
      </c>
      <c r="AR103" s="80">
        <f>AR84*Products!$F$19*Timeline!AR$9</f>
        <v/>
      </c>
      <c r="AS103" s="80">
        <f>AS84*Products!$F$19*Timeline!AS$9</f>
        <v/>
      </c>
      <c r="AT103" s="80">
        <f>AT84*Products!$F$19*Timeline!AT$9</f>
        <v/>
      </c>
      <c r="AU103" s="80">
        <f>AU84*Products!$F$19*Timeline!AU$9</f>
        <v/>
      </c>
      <c r="AV103" s="80">
        <f>AV84*Products!$F$19*Timeline!AV$9</f>
        <v/>
      </c>
      <c r="AW103" s="80">
        <f>AW84*Products!$F$19*Timeline!AW$9</f>
        <v/>
      </c>
      <c r="AX103" s="80">
        <f>AX84*Products!$F$19*Timeline!AX$9</f>
        <v/>
      </c>
      <c r="AY103" s="80">
        <f>AY84*Products!$F$19*Timeline!AY$9</f>
        <v/>
      </c>
      <c r="AZ103" s="80">
        <f>AZ84*Products!$F$19*Timeline!AZ$9</f>
        <v/>
      </c>
      <c r="BA103" s="80">
        <f>BA84*Products!$F$19*Timeline!BA$9</f>
        <v/>
      </c>
      <c r="BB103" s="80">
        <f>BB84*Products!$F$19*Timeline!BB$9</f>
        <v/>
      </c>
      <c r="BC103" s="80">
        <f>BC84*Products!$F$19*Timeline!BC$9</f>
        <v/>
      </c>
      <c r="BD103" s="80">
        <f>BD84*Products!$F$19*Timeline!BD$9</f>
        <v/>
      </c>
      <c r="BE103" s="80">
        <f>BE84*Products!$F$19*Timeline!BE$9</f>
        <v/>
      </c>
      <c r="BF103" s="80">
        <f>BF84*Products!$F$19*Timeline!BF$9</f>
        <v/>
      </c>
      <c r="BG103" s="80">
        <f>BG84*Products!$F$19*Timeline!BG$9</f>
        <v/>
      </c>
      <c r="BH103" s="80">
        <f>BH84*Products!$F$19*Timeline!BH$9</f>
        <v/>
      </c>
      <c r="BI103" s="80">
        <f>BI84*Products!$F$19*Timeline!BI$9</f>
        <v/>
      </c>
      <c r="BJ103" s="80">
        <f>BJ84*Products!$F$19*Timeline!BJ$9</f>
        <v/>
      </c>
      <c r="BK103" s="80">
        <f>BK84*Products!$F$19*Timeline!BK$9</f>
        <v/>
      </c>
      <c r="BL103" s="80">
        <f>BL84*Products!$F$19*Timeline!BL$9</f>
        <v/>
      </c>
    </row>
    <row r="104">
      <c r="A104" s="98" t="inlineStr">
        <is>
          <t>Warranty &amp; after-sales provision</t>
        </is>
      </c>
      <c r="B104" s="65" t="inlineStr">
        <is>
          <t>LCY</t>
        </is>
      </c>
      <c r="C104" s="105">
        <f>SUM(E104:BL104)</f>
        <v/>
      </c>
      <c r="E104" s="80">
        <f>E102*Products!$F$22</f>
        <v/>
      </c>
      <c r="F104" s="80">
        <f>F102*Products!$F$22</f>
        <v/>
      </c>
      <c r="G104" s="80">
        <f>G102*Products!$F$22</f>
        <v/>
      </c>
      <c r="H104" s="80">
        <f>H102*Products!$F$22</f>
        <v/>
      </c>
      <c r="I104" s="80">
        <f>I102*Products!$F$22</f>
        <v/>
      </c>
      <c r="J104" s="80">
        <f>J102*Products!$F$22</f>
        <v/>
      </c>
      <c r="K104" s="80">
        <f>K102*Products!$F$22</f>
        <v/>
      </c>
      <c r="L104" s="80">
        <f>L102*Products!$F$22</f>
        <v/>
      </c>
      <c r="M104" s="80">
        <f>M102*Products!$F$22</f>
        <v/>
      </c>
      <c r="N104" s="80">
        <f>N102*Products!$F$22</f>
        <v/>
      </c>
      <c r="O104" s="80">
        <f>O102*Products!$F$22</f>
        <v/>
      </c>
      <c r="P104" s="80">
        <f>P102*Products!$F$22</f>
        <v/>
      </c>
      <c r="Q104" s="80">
        <f>Q102*Products!$F$22</f>
        <v/>
      </c>
      <c r="R104" s="80">
        <f>R102*Products!$F$22</f>
        <v/>
      </c>
      <c r="S104" s="80">
        <f>S102*Products!$F$22</f>
        <v/>
      </c>
      <c r="T104" s="80">
        <f>T102*Products!$F$22</f>
        <v/>
      </c>
      <c r="U104" s="80">
        <f>U102*Products!$F$22</f>
        <v/>
      </c>
      <c r="V104" s="80">
        <f>V102*Products!$F$22</f>
        <v/>
      </c>
      <c r="W104" s="80">
        <f>W102*Products!$F$22</f>
        <v/>
      </c>
      <c r="X104" s="80">
        <f>X102*Products!$F$22</f>
        <v/>
      </c>
      <c r="Y104" s="80">
        <f>Y102*Products!$F$22</f>
        <v/>
      </c>
      <c r="Z104" s="80">
        <f>Z102*Products!$F$22</f>
        <v/>
      </c>
      <c r="AA104" s="80">
        <f>AA102*Products!$F$22</f>
        <v/>
      </c>
      <c r="AB104" s="80">
        <f>AB102*Products!$F$22</f>
        <v/>
      </c>
      <c r="AC104" s="80">
        <f>AC102*Products!$F$22</f>
        <v/>
      </c>
      <c r="AD104" s="80">
        <f>AD102*Products!$F$22</f>
        <v/>
      </c>
      <c r="AE104" s="80">
        <f>AE102*Products!$F$22</f>
        <v/>
      </c>
      <c r="AF104" s="80">
        <f>AF102*Products!$F$22</f>
        <v/>
      </c>
      <c r="AG104" s="80">
        <f>AG102*Products!$F$22</f>
        <v/>
      </c>
      <c r="AH104" s="80">
        <f>AH102*Products!$F$22</f>
        <v/>
      </c>
      <c r="AI104" s="80">
        <f>AI102*Products!$F$22</f>
        <v/>
      </c>
      <c r="AJ104" s="80">
        <f>AJ102*Products!$F$22</f>
        <v/>
      </c>
      <c r="AK104" s="80">
        <f>AK102*Products!$F$22</f>
        <v/>
      </c>
      <c r="AL104" s="80">
        <f>AL102*Products!$F$22</f>
        <v/>
      </c>
      <c r="AM104" s="80">
        <f>AM102*Products!$F$22</f>
        <v/>
      </c>
      <c r="AN104" s="80">
        <f>AN102*Products!$F$22</f>
        <v/>
      </c>
      <c r="AO104" s="80">
        <f>AO102*Products!$F$22</f>
        <v/>
      </c>
      <c r="AP104" s="80">
        <f>AP102*Products!$F$22</f>
        <v/>
      </c>
      <c r="AQ104" s="80">
        <f>AQ102*Products!$F$22</f>
        <v/>
      </c>
      <c r="AR104" s="80">
        <f>AR102*Products!$F$22</f>
        <v/>
      </c>
      <c r="AS104" s="80">
        <f>AS102*Products!$F$22</f>
        <v/>
      </c>
      <c r="AT104" s="80">
        <f>AT102*Products!$F$22</f>
        <v/>
      </c>
      <c r="AU104" s="80">
        <f>AU102*Products!$F$22</f>
        <v/>
      </c>
      <c r="AV104" s="80">
        <f>AV102*Products!$F$22</f>
        <v/>
      </c>
      <c r="AW104" s="80">
        <f>AW102*Products!$F$22</f>
        <v/>
      </c>
      <c r="AX104" s="80">
        <f>AX102*Products!$F$22</f>
        <v/>
      </c>
      <c r="AY104" s="80">
        <f>AY102*Products!$F$22</f>
        <v/>
      </c>
      <c r="AZ104" s="80">
        <f>AZ102*Products!$F$22</f>
        <v/>
      </c>
      <c r="BA104" s="80">
        <f>BA102*Products!$F$22</f>
        <v/>
      </c>
      <c r="BB104" s="80">
        <f>BB102*Products!$F$22</f>
        <v/>
      </c>
      <c r="BC104" s="80">
        <f>BC102*Products!$F$22</f>
        <v/>
      </c>
      <c r="BD104" s="80">
        <f>BD102*Products!$F$22</f>
        <v/>
      </c>
      <c r="BE104" s="80">
        <f>BE102*Products!$F$22</f>
        <v/>
      </c>
      <c r="BF104" s="80">
        <f>BF102*Products!$F$22</f>
        <v/>
      </c>
      <c r="BG104" s="80">
        <f>BG102*Products!$F$22</f>
        <v/>
      </c>
      <c r="BH104" s="80">
        <f>BH102*Products!$F$22</f>
        <v/>
      </c>
      <c r="BI104" s="80">
        <f>BI102*Products!$F$22</f>
        <v/>
      </c>
      <c r="BJ104" s="80">
        <f>BJ102*Products!$F$22</f>
        <v/>
      </c>
      <c r="BK104" s="80">
        <f>BK102*Products!$F$22</f>
        <v/>
      </c>
      <c r="BL104" s="80">
        <f>BL102*Products!$F$22</f>
        <v/>
      </c>
    </row>
    <row r="105">
      <c r="A105" s="98" t="inlineStr">
        <is>
          <t>Commissions</t>
        </is>
      </c>
      <c r="B105" s="65" t="inlineStr">
        <is>
          <t>LCY</t>
        </is>
      </c>
      <c r="C105" s="105">
        <f>SUM(E105:BL105)</f>
        <v/>
      </c>
      <c r="E105" s="80">
        <f>E84*Products!$F$20*Timeline!E$9</f>
        <v/>
      </c>
      <c r="F105" s="80">
        <f>F84*Products!$F$20*Timeline!F$9</f>
        <v/>
      </c>
      <c r="G105" s="80">
        <f>G84*Products!$F$20*Timeline!G$9</f>
        <v/>
      </c>
      <c r="H105" s="80">
        <f>H84*Products!$F$20*Timeline!H$9</f>
        <v/>
      </c>
      <c r="I105" s="80">
        <f>I84*Products!$F$20*Timeline!I$9</f>
        <v/>
      </c>
      <c r="J105" s="80">
        <f>J84*Products!$F$20*Timeline!J$9</f>
        <v/>
      </c>
      <c r="K105" s="80">
        <f>K84*Products!$F$20*Timeline!K$9</f>
        <v/>
      </c>
      <c r="L105" s="80">
        <f>L84*Products!$F$20*Timeline!L$9</f>
        <v/>
      </c>
      <c r="M105" s="80">
        <f>M84*Products!$F$20*Timeline!M$9</f>
        <v/>
      </c>
      <c r="N105" s="80">
        <f>N84*Products!$F$20*Timeline!N$9</f>
        <v/>
      </c>
      <c r="O105" s="80">
        <f>O84*Products!$F$20*Timeline!O$9</f>
        <v/>
      </c>
      <c r="P105" s="80">
        <f>P84*Products!$F$20*Timeline!P$9</f>
        <v/>
      </c>
      <c r="Q105" s="80">
        <f>Q84*Products!$F$20*Timeline!Q$9</f>
        <v/>
      </c>
      <c r="R105" s="80">
        <f>R84*Products!$F$20*Timeline!R$9</f>
        <v/>
      </c>
      <c r="S105" s="80">
        <f>S84*Products!$F$20*Timeline!S$9</f>
        <v/>
      </c>
      <c r="T105" s="80">
        <f>T84*Products!$F$20*Timeline!T$9</f>
        <v/>
      </c>
      <c r="U105" s="80">
        <f>U84*Products!$F$20*Timeline!U$9</f>
        <v/>
      </c>
      <c r="V105" s="80">
        <f>V84*Products!$F$20*Timeline!V$9</f>
        <v/>
      </c>
      <c r="W105" s="80">
        <f>W84*Products!$F$20*Timeline!W$9</f>
        <v/>
      </c>
      <c r="X105" s="80">
        <f>X84*Products!$F$20*Timeline!X$9</f>
        <v/>
      </c>
      <c r="Y105" s="80">
        <f>Y84*Products!$F$20*Timeline!Y$9</f>
        <v/>
      </c>
      <c r="Z105" s="80">
        <f>Z84*Products!$F$20*Timeline!Z$9</f>
        <v/>
      </c>
      <c r="AA105" s="80">
        <f>AA84*Products!$F$20*Timeline!AA$9</f>
        <v/>
      </c>
      <c r="AB105" s="80">
        <f>AB84*Products!$F$20*Timeline!AB$9</f>
        <v/>
      </c>
      <c r="AC105" s="80">
        <f>AC84*Products!$F$20*Timeline!AC$9</f>
        <v/>
      </c>
      <c r="AD105" s="80">
        <f>AD84*Products!$F$20*Timeline!AD$9</f>
        <v/>
      </c>
      <c r="AE105" s="80">
        <f>AE84*Products!$F$20*Timeline!AE$9</f>
        <v/>
      </c>
      <c r="AF105" s="80">
        <f>AF84*Products!$F$20*Timeline!AF$9</f>
        <v/>
      </c>
      <c r="AG105" s="80">
        <f>AG84*Products!$F$20*Timeline!AG$9</f>
        <v/>
      </c>
      <c r="AH105" s="80">
        <f>AH84*Products!$F$20*Timeline!AH$9</f>
        <v/>
      </c>
      <c r="AI105" s="80">
        <f>AI84*Products!$F$20*Timeline!AI$9</f>
        <v/>
      </c>
      <c r="AJ105" s="80">
        <f>AJ84*Products!$F$20*Timeline!AJ$9</f>
        <v/>
      </c>
      <c r="AK105" s="80">
        <f>AK84*Products!$F$20*Timeline!AK$9</f>
        <v/>
      </c>
      <c r="AL105" s="80">
        <f>AL84*Products!$F$20*Timeline!AL$9</f>
        <v/>
      </c>
      <c r="AM105" s="80">
        <f>AM84*Products!$F$20*Timeline!AM$9</f>
        <v/>
      </c>
      <c r="AN105" s="80">
        <f>AN84*Products!$F$20*Timeline!AN$9</f>
        <v/>
      </c>
      <c r="AO105" s="80">
        <f>AO84*Products!$F$20*Timeline!AO$9</f>
        <v/>
      </c>
      <c r="AP105" s="80">
        <f>AP84*Products!$F$20*Timeline!AP$9</f>
        <v/>
      </c>
      <c r="AQ105" s="80">
        <f>AQ84*Products!$F$20*Timeline!AQ$9</f>
        <v/>
      </c>
      <c r="AR105" s="80">
        <f>AR84*Products!$F$20*Timeline!AR$9</f>
        <v/>
      </c>
      <c r="AS105" s="80">
        <f>AS84*Products!$F$20*Timeline!AS$9</f>
        <v/>
      </c>
      <c r="AT105" s="80">
        <f>AT84*Products!$F$20*Timeline!AT$9</f>
        <v/>
      </c>
      <c r="AU105" s="80">
        <f>AU84*Products!$F$20*Timeline!AU$9</f>
        <v/>
      </c>
      <c r="AV105" s="80">
        <f>AV84*Products!$F$20*Timeline!AV$9</f>
        <v/>
      </c>
      <c r="AW105" s="80">
        <f>AW84*Products!$F$20*Timeline!AW$9</f>
        <v/>
      </c>
      <c r="AX105" s="80">
        <f>AX84*Products!$F$20*Timeline!AX$9</f>
        <v/>
      </c>
      <c r="AY105" s="80">
        <f>AY84*Products!$F$20*Timeline!AY$9</f>
        <v/>
      </c>
      <c r="AZ105" s="80">
        <f>AZ84*Products!$F$20*Timeline!AZ$9</f>
        <v/>
      </c>
      <c r="BA105" s="80">
        <f>BA84*Products!$F$20*Timeline!BA$9</f>
        <v/>
      </c>
      <c r="BB105" s="80">
        <f>BB84*Products!$F$20*Timeline!BB$9</f>
        <v/>
      </c>
      <c r="BC105" s="80">
        <f>BC84*Products!$F$20*Timeline!BC$9</f>
        <v/>
      </c>
      <c r="BD105" s="80">
        <f>BD84*Products!$F$20*Timeline!BD$9</f>
        <v/>
      </c>
      <c r="BE105" s="80">
        <f>BE84*Products!$F$20*Timeline!BE$9</f>
        <v/>
      </c>
      <c r="BF105" s="80">
        <f>BF84*Products!$F$20*Timeline!BF$9</f>
        <v/>
      </c>
      <c r="BG105" s="80">
        <f>BG84*Products!$F$20*Timeline!BG$9</f>
        <v/>
      </c>
      <c r="BH105" s="80">
        <f>BH84*Products!$F$20*Timeline!BH$9</f>
        <v/>
      </c>
      <c r="BI105" s="80">
        <f>BI84*Products!$F$20*Timeline!BI$9</f>
        <v/>
      </c>
      <c r="BJ105" s="80">
        <f>BJ84*Products!$F$20*Timeline!BJ$9</f>
        <v/>
      </c>
      <c r="BK105" s="80">
        <f>BK84*Products!$F$20*Timeline!BK$9</f>
        <v/>
      </c>
      <c r="BL105" s="80">
        <f>BL84*Products!$F$20*Timeline!BL$9</f>
        <v/>
      </c>
    </row>
    <row r="106">
      <c r="A106" s="98" t="inlineStr">
        <is>
          <t>Marketing &amp; acquisition</t>
        </is>
      </c>
      <c r="B106" s="65" t="inlineStr">
        <is>
          <t>LCY</t>
        </is>
      </c>
      <c r="C106" s="105">
        <f>SUM(E106:BL106)</f>
        <v/>
      </c>
      <c r="E106" s="80">
        <f>E84*Products!$F$21*Timeline!E$9</f>
        <v/>
      </c>
      <c r="F106" s="80">
        <f>F84*Products!$F$21*Timeline!F$9</f>
        <v/>
      </c>
      <c r="G106" s="80">
        <f>G84*Products!$F$21*Timeline!G$9</f>
        <v/>
      </c>
      <c r="H106" s="80">
        <f>H84*Products!$F$21*Timeline!H$9</f>
        <v/>
      </c>
      <c r="I106" s="80">
        <f>I84*Products!$F$21*Timeline!I$9</f>
        <v/>
      </c>
      <c r="J106" s="80">
        <f>J84*Products!$F$21*Timeline!J$9</f>
        <v/>
      </c>
      <c r="K106" s="80">
        <f>K84*Products!$F$21*Timeline!K$9</f>
        <v/>
      </c>
      <c r="L106" s="80">
        <f>L84*Products!$F$21*Timeline!L$9</f>
        <v/>
      </c>
      <c r="M106" s="80">
        <f>M84*Products!$F$21*Timeline!M$9</f>
        <v/>
      </c>
      <c r="N106" s="80">
        <f>N84*Products!$F$21*Timeline!N$9</f>
        <v/>
      </c>
      <c r="O106" s="80">
        <f>O84*Products!$F$21*Timeline!O$9</f>
        <v/>
      </c>
      <c r="P106" s="80">
        <f>P84*Products!$F$21*Timeline!P$9</f>
        <v/>
      </c>
      <c r="Q106" s="80">
        <f>Q84*Products!$F$21*Timeline!Q$9</f>
        <v/>
      </c>
      <c r="R106" s="80">
        <f>R84*Products!$F$21*Timeline!R$9</f>
        <v/>
      </c>
      <c r="S106" s="80">
        <f>S84*Products!$F$21*Timeline!S$9</f>
        <v/>
      </c>
      <c r="T106" s="80">
        <f>T84*Products!$F$21*Timeline!T$9</f>
        <v/>
      </c>
      <c r="U106" s="80">
        <f>U84*Products!$F$21*Timeline!U$9</f>
        <v/>
      </c>
      <c r="V106" s="80">
        <f>V84*Products!$F$21*Timeline!V$9</f>
        <v/>
      </c>
      <c r="W106" s="80">
        <f>W84*Products!$F$21*Timeline!W$9</f>
        <v/>
      </c>
      <c r="X106" s="80">
        <f>X84*Products!$F$21*Timeline!X$9</f>
        <v/>
      </c>
      <c r="Y106" s="80">
        <f>Y84*Products!$F$21*Timeline!Y$9</f>
        <v/>
      </c>
      <c r="Z106" s="80">
        <f>Z84*Products!$F$21*Timeline!Z$9</f>
        <v/>
      </c>
      <c r="AA106" s="80">
        <f>AA84*Products!$F$21*Timeline!AA$9</f>
        <v/>
      </c>
      <c r="AB106" s="80">
        <f>AB84*Products!$F$21*Timeline!AB$9</f>
        <v/>
      </c>
      <c r="AC106" s="80">
        <f>AC84*Products!$F$21*Timeline!AC$9</f>
        <v/>
      </c>
      <c r="AD106" s="80">
        <f>AD84*Products!$F$21*Timeline!AD$9</f>
        <v/>
      </c>
      <c r="AE106" s="80">
        <f>AE84*Products!$F$21*Timeline!AE$9</f>
        <v/>
      </c>
      <c r="AF106" s="80">
        <f>AF84*Products!$F$21*Timeline!AF$9</f>
        <v/>
      </c>
      <c r="AG106" s="80">
        <f>AG84*Products!$F$21*Timeline!AG$9</f>
        <v/>
      </c>
      <c r="AH106" s="80">
        <f>AH84*Products!$F$21*Timeline!AH$9</f>
        <v/>
      </c>
      <c r="AI106" s="80">
        <f>AI84*Products!$F$21*Timeline!AI$9</f>
        <v/>
      </c>
      <c r="AJ106" s="80">
        <f>AJ84*Products!$F$21*Timeline!AJ$9</f>
        <v/>
      </c>
      <c r="AK106" s="80">
        <f>AK84*Products!$F$21*Timeline!AK$9</f>
        <v/>
      </c>
      <c r="AL106" s="80">
        <f>AL84*Products!$F$21*Timeline!AL$9</f>
        <v/>
      </c>
      <c r="AM106" s="80">
        <f>AM84*Products!$F$21*Timeline!AM$9</f>
        <v/>
      </c>
      <c r="AN106" s="80">
        <f>AN84*Products!$F$21*Timeline!AN$9</f>
        <v/>
      </c>
      <c r="AO106" s="80">
        <f>AO84*Products!$F$21*Timeline!AO$9</f>
        <v/>
      </c>
      <c r="AP106" s="80">
        <f>AP84*Products!$F$21*Timeline!AP$9</f>
        <v/>
      </c>
      <c r="AQ106" s="80">
        <f>AQ84*Products!$F$21*Timeline!AQ$9</f>
        <v/>
      </c>
      <c r="AR106" s="80">
        <f>AR84*Products!$F$21*Timeline!AR$9</f>
        <v/>
      </c>
      <c r="AS106" s="80">
        <f>AS84*Products!$F$21*Timeline!AS$9</f>
        <v/>
      </c>
      <c r="AT106" s="80">
        <f>AT84*Products!$F$21*Timeline!AT$9</f>
        <v/>
      </c>
      <c r="AU106" s="80">
        <f>AU84*Products!$F$21*Timeline!AU$9</f>
        <v/>
      </c>
      <c r="AV106" s="80">
        <f>AV84*Products!$F$21*Timeline!AV$9</f>
        <v/>
      </c>
      <c r="AW106" s="80">
        <f>AW84*Products!$F$21*Timeline!AW$9</f>
        <v/>
      </c>
      <c r="AX106" s="80">
        <f>AX84*Products!$F$21*Timeline!AX$9</f>
        <v/>
      </c>
      <c r="AY106" s="80">
        <f>AY84*Products!$F$21*Timeline!AY$9</f>
        <v/>
      </c>
      <c r="AZ106" s="80">
        <f>AZ84*Products!$F$21*Timeline!AZ$9</f>
        <v/>
      </c>
      <c r="BA106" s="80">
        <f>BA84*Products!$F$21*Timeline!BA$9</f>
        <v/>
      </c>
      <c r="BB106" s="80">
        <f>BB84*Products!$F$21*Timeline!BB$9</f>
        <v/>
      </c>
      <c r="BC106" s="80">
        <f>BC84*Products!$F$21*Timeline!BC$9</f>
        <v/>
      </c>
      <c r="BD106" s="80">
        <f>BD84*Products!$F$21*Timeline!BD$9</f>
        <v/>
      </c>
      <c r="BE106" s="80">
        <f>BE84*Products!$F$21*Timeline!BE$9</f>
        <v/>
      </c>
      <c r="BF106" s="80">
        <f>BF84*Products!$F$21*Timeline!BF$9</f>
        <v/>
      </c>
      <c r="BG106" s="80">
        <f>BG84*Products!$F$21*Timeline!BG$9</f>
        <v/>
      </c>
      <c r="BH106" s="80">
        <f>BH84*Products!$F$21*Timeline!BH$9</f>
        <v/>
      </c>
      <c r="BI106" s="80">
        <f>BI84*Products!$F$21*Timeline!BI$9</f>
        <v/>
      </c>
      <c r="BJ106" s="80">
        <f>BJ84*Products!$F$21*Timeline!BJ$9</f>
        <v/>
      </c>
      <c r="BK106" s="80">
        <f>BK84*Products!$F$21*Timeline!BK$9</f>
        <v/>
      </c>
      <c r="BL106" s="80">
        <f>BL84*Products!$F$21*Timeline!BL$9</f>
        <v/>
      </c>
    </row>
    <row r="107"/>
    <row r="108">
      <c r="A108" s="21">
        <f>Products!$G$6</f>
        <v/>
      </c>
      <c r="B108" s="22" t="n"/>
      <c r="C108" s="22" t="n"/>
      <c r="D108" s="22" t="n"/>
      <c r="E108" s="22" t="n"/>
      <c r="F108" s="22"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c r="AA108" s="22" t="n"/>
      <c r="AB108" s="22" t="n"/>
      <c r="AC108" s="22" t="n"/>
      <c r="AD108" s="22" t="n"/>
      <c r="AE108" s="22" t="n"/>
      <c r="AF108" s="22" t="n"/>
      <c r="AG108" s="22" t="n"/>
      <c r="AH108" s="22" t="n"/>
      <c r="AI108" s="22" t="n"/>
      <c r="AJ108" s="22" t="n"/>
      <c r="AK108" s="22" t="n"/>
      <c r="AL108" s="22" t="n"/>
      <c r="AM108" s="22" t="n"/>
      <c r="AN108" s="22" t="n"/>
      <c r="AO108" s="22" t="n"/>
      <c r="AP108" s="22" t="n"/>
      <c r="AQ108" s="22" t="n"/>
      <c r="AR108" s="22" t="n"/>
      <c r="AS108" s="22" t="n"/>
      <c r="AT108" s="22" t="n"/>
      <c r="AU108" s="22" t="n"/>
      <c r="AV108" s="22" t="n"/>
      <c r="AW108" s="22" t="n"/>
      <c r="AX108" s="22" t="n"/>
      <c r="AY108" s="22" t="n"/>
      <c r="AZ108" s="22" t="n"/>
      <c r="BA108" s="22" t="n"/>
      <c r="BB108" s="22" t="n"/>
      <c r="BC108" s="22" t="n"/>
      <c r="BD108" s="22" t="n"/>
      <c r="BE108" s="22" t="n"/>
      <c r="BF108" s="22" t="n"/>
      <c r="BG108" s="22" t="n"/>
      <c r="BH108" s="22" t="n"/>
      <c r="BI108" s="22" t="n"/>
      <c r="BJ108" s="22" t="n"/>
      <c r="BK108" s="22" t="n"/>
      <c r="BL108" s="22" t="n"/>
    </row>
    <row r="109">
      <c r="A109" s="98" t="inlineStr">
        <is>
          <t>Units sold</t>
        </is>
      </c>
      <c r="B109" s="65" t="inlineStr">
        <is>
          <t>units</t>
        </is>
      </c>
      <c r="C109" s="105">
        <f>SUM(E109:BL109)</f>
        <v/>
      </c>
      <c r="E109" s="80">
        <f>Timeline!E$11*Products!$G$23</f>
        <v/>
      </c>
      <c r="F109" s="80">
        <f>Timeline!F$11*Products!$G$23</f>
        <v/>
      </c>
      <c r="G109" s="80">
        <f>Timeline!G$11*Products!$G$23</f>
        <v/>
      </c>
      <c r="H109" s="80">
        <f>Timeline!H$11*Products!$G$23</f>
        <v/>
      </c>
      <c r="I109" s="80">
        <f>Timeline!I$11*Products!$G$23</f>
        <v/>
      </c>
      <c r="J109" s="80">
        <f>Timeline!J$11*Products!$G$23</f>
        <v/>
      </c>
      <c r="K109" s="80">
        <f>Timeline!K$11*Products!$G$23</f>
        <v/>
      </c>
      <c r="L109" s="80">
        <f>Timeline!L$11*Products!$G$23</f>
        <v/>
      </c>
      <c r="M109" s="80">
        <f>Timeline!M$11*Products!$G$23</f>
        <v/>
      </c>
      <c r="N109" s="80">
        <f>Timeline!N$11*Products!$G$23</f>
        <v/>
      </c>
      <c r="O109" s="80">
        <f>Timeline!O$11*Products!$G$23</f>
        <v/>
      </c>
      <c r="P109" s="80">
        <f>Timeline!P$11*Products!$G$23</f>
        <v/>
      </c>
      <c r="Q109" s="80">
        <f>Timeline!Q$11*Products!$G$23</f>
        <v/>
      </c>
      <c r="R109" s="80">
        <f>Timeline!R$11*Products!$G$23</f>
        <v/>
      </c>
      <c r="S109" s="80">
        <f>Timeline!S$11*Products!$G$23</f>
        <v/>
      </c>
      <c r="T109" s="80">
        <f>Timeline!T$11*Products!$G$23</f>
        <v/>
      </c>
      <c r="U109" s="80">
        <f>Timeline!U$11*Products!$G$23</f>
        <v/>
      </c>
      <c r="V109" s="80">
        <f>Timeline!V$11*Products!$G$23</f>
        <v/>
      </c>
      <c r="W109" s="80">
        <f>Timeline!W$11*Products!$G$23</f>
        <v/>
      </c>
      <c r="X109" s="80">
        <f>Timeline!X$11*Products!$G$23</f>
        <v/>
      </c>
      <c r="Y109" s="80">
        <f>Timeline!Y$11*Products!$G$23</f>
        <v/>
      </c>
      <c r="Z109" s="80">
        <f>Timeline!Z$11*Products!$G$23</f>
        <v/>
      </c>
      <c r="AA109" s="80">
        <f>Timeline!AA$11*Products!$G$23</f>
        <v/>
      </c>
      <c r="AB109" s="80">
        <f>Timeline!AB$11*Products!$G$23</f>
        <v/>
      </c>
      <c r="AC109" s="80">
        <f>Timeline!AC$11*Products!$G$23</f>
        <v/>
      </c>
      <c r="AD109" s="80">
        <f>Timeline!AD$11*Products!$G$23</f>
        <v/>
      </c>
      <c r="AE109" s="80">
        <f>Timeline!AE$11*Products!$G$23</f>
        <v/>
      </c>
      <c r="AF109" s="80">
        <f>Timeline!AF$11*Products!$G$23</f>
        <v/>
      </c>
      <c r="AG109" s="80">
        <f>Timeline!AG$11*Products!$G$23</f>
        <v/>
      </c>
      <c r="AH109" s="80">
        <f>Timeline!AH$11*Products!$G$23</f>
        <v/>
      </c>
      <c r="AI109" s="80">
        <f>Timeline!AI$11*Products!$G$23</f>
        <v/>
      </c>
      <c r="AJ109" s="80">
        <f>Timeline!AJ$11*Products!$G$23</f>
        <v/>
      </c>
      <c r="AK109" s="80">
        <f>Timeline!AK$11*Products!$G$23</f>
        <v/>
      </c>
      <c r="AL109" s="80">
        <f>Timeline!AL$11*Products!$G$23</f>
        <v/>
      </c>
      <c r="AM109" s="80">
        <f>Timeline!AM$11*Products!$G$23</f>
        <v/>
      </c>
      <c r="AN109" s="80">
        <f>Timeline!AN$11*Products!$G$23</f>
        <v/>
      </c>
      <c r="AO109" s="80">
        <f>Timeline!AO$11*Products!$G$23</f>
        <v/>
      </c>
      <c r="AP109" s="80">
        <f>Timeline!AP$11*Products!$G$23</f>
        <v/>
      </c>
      <c r="AQ109" s="80">
        <f>Timeline!AQ$11*Products!$G$23</f>
        <v/>
      </c>
      <c r="AR109" s="80">
        <f>Timeline!AR$11*Products!$G$23</f>
        <v/>
      </c>
      <c r="AS109" s="80">
        <f>Timeline!AS$11*Products!$G$23</f>
        <v/>
      </c>
      <c r="AT109" s="80">
        <f>Timeline!AT$11*Products!$G$23</f>
        <v/>
      </c>
      <c r="AU109" s="80">
        <f>Timeline!AU$11*Products!$G$23</f>
        <v/>
      </c>
      <c r="AV109" s="80">
        <f>Timeline!AV$11*Products!$G$23</f>
        <v/>
      </c>
      <c r="AW109" s="80">
        <f>Timeline!AW$11*Products!$G$23</f>
        <v/>
      </c>
      <c r="AX109" s="80">
        <f>Timeline!AX$11*Products!$G$23</f>
        <v/>
      </c>
      <c r="AY109" s="80">
        <f>Timeline!AY$11*Products!$G$23</f>
        <v/>
      </c>
      <c r="AZ109" s="80">
        <f>Timeline!AZ$11*Products!$G$23</f>
        <v/>
      </c>
      <c r="BA109" s="80">
        <f>Timeline!BA$11*Products!$G$23</f>
        <v/>
      </c>
      <c r="BB109" s="80">
        <f>Timeline!BB$11*Products!$G$23</f>
        <v/>
      </c>
      <c r="BC109" s="80">
        <f>Timeline!BC$11*Products!$G$23</f>
        <v/>
      </c>
      <c r="BD109" s="80">
        <f>Timeline!BD$11*Products!$G$23</f>
        <v/>
      </c>
      <c r="BE109" s="80">
        <f>Timeline!BE$11*Products!$G$23</f>
        <v/>
      </c>
      <c r="BF109" s="80">
        <f>Timeline!BF$11*Products!$G$23</f>
        <v/>
      </c>
      <c r="BG109" s="80">
        <f>Timeline!BG$11*Products!$G$23</f>
        <v/>
      </c>
      <c r="BH109" s="80">
        <f>Timeline!BH$11*Products!$G$23</f>
        <v/>
      </c>
      <c r="BI109" s="80">
        <f>Timeline!BI$11*Products!$G$23</f>
        <v/>
      </c>
      <c r="BJ109" s="80">
        <f>Timeline!BJ$11*Products!$G$23</f>
        <v/>
      </c>
      <c r="BK109" s="80">
        <f>Timeline!BK$11*Products!$G$23</f>
        <v/>
      </c>
      <c r="BL109" s="80">
        <f>Timeline!BL$11*Products!$G$23</f>
        <v/>
      </c>
    </row>
    <row r="110">
      <c r="A110" s="98" t="inlineStr">
        <is>
          <t>Price-indexed units (units x price index)</t>
        </is>
      </c>
      <c r="B110" s="65" t="inlineStr">
        <is>
          <t>units</t>
        </is>
      </c>
      <c r="C110" s="105">
        <f>SUM(E110:BL110)</f>
        <v/>
      </c>
      <c r="E110" s="80">
        <f>E109*Timeline!E$10</f>
        <v/>
      </c>
      <c r="F110" s="80">
        <f>F109*Timeline!F$10</f>
        <v/>
      </c>
      <c r="G110" s="80">
        <f>G109*Timeline!G$10</f>
        <v/>
      </c>
      <c r="H110" s="80">
        <f>H109*Timeline!H$10</f>
        <v/>
      </c>
      <c r="I110" s="80">
        <f>I109*Timeline!I$10</f>
        <v/>
      </c>
      <c r="J110" s="80">
        <f>J109*Timeline!J$10</f>
        <v/>
      </c>
      <c r="K110" s="80">
        <f>K109*Timeline!K$10</f>
        <v/>
      </c>
      <c r="L110" s="80">
        <f>L109*Timeline!L$10</f>
        <v/>
      </c>
      <c r="M110" s="80">
        <f>M109*Timeline!M$10</f>
        <v/>
      </c>
      <c r="N110" s="80">
        <f>N109*Timeline!N$10</f>
        <v/>
      </c>
      <c r="O110" s="80">
        <f>O109*Timeline!O$10</f>
        <v/>
      </c>
      <c r="P110" s="80">
        <f>P109*Timeline!P$10</f>
        <v/>
      </c>
      <c r="Q110" s="80">
        <f>Q109*Timeline!Q$10</f>
        <v/>
      </c>
      <c r="R110" s="80">
        <f>R109*Timeline!R$10</f>
        <v/>
      </c>
      <c r="S110" s="80">
        <f>S109*Timeline!S$10</f>
        <v/>
      </c>
      <c r="T110" s="80">
        <f>T109*Timeline!T$10</f>
        <v/>
      </c>
      <c r="U110" s="80">
        <f>U109*Timeline!U$10</f>
        <v/>
      </c>
      <c r="V110" s="80">
        <f>V109*Timeline!V$10</f>
        <v/>
      </c>
      <c r="W110" s="80">
        <f>W109*Timeline!W$10</f>
        <v/>
      </c>
      <c r="X110" s="80">
        <f>X109*Timeline!X$10</f>
        <v/>
      </c>
      <c r="Y110" s="80">
        <f>Y109*Timeline!Y$10</f>
        <v/>
      </c>
      <c r="Z110" s="80">
        <f>Z109*Timeline!Z$10</f>
        <v/>
      </c>
      <c r="AA110" s="80">
        <f>AA109*Timeline!AA$10</f>
        <v/>
      </c>
      <c r="AB110" s="80">
        <f>AB109*Timeline!AB$10</f>
        <v/>
      </c>
      <c r="AC110" s="80">
        <f>AC109*Timeline!AC$10</f>
        <v/>
      </c>
      <c r="AD110" s="80">
        <f>AD109*Timeline!AD$10</f>
        <v/>
      </c>
      <c r="AE110" s="80">
        <f>AE109*Timeline!AE$10</f>
        <v/>
      </c>
      <c r="AF110" s="80">
        <f>AF109*Timeline!AF$10</f>
        <v/>
      </c>
      <c r="AG110" s="80">
        <f>AG109*Timeline!AG$10</f>
        <v/>
      </c>
      <c r="AH110" s="80">
        <f>AH109*Timeline!AH$10</f>
        <v/>
      </c>
      <c r="AI110" s="80">
        <f>AI109*Timeline!AI$10</f>
        <v/>
      </c>
      <c r="AJ110" s="80">
        <f>AJ109*Timeline!AJ$10</f>
        <v/>
      </c>
      <c r="AK110" s="80">
        <f>AK109*Timeline!AK$10</f>
        <v/>
      </c>
      <c r="AL110" s="80">
        <f>AL109*Timeline!AL$10</f>
        <v/>
      </c>
      <c r="AM110" s="80">
        <f>AM109*Timeline!AM$10</f>
        <v/>
      </c>
      <c r="AN110" s="80">
        <f>AN109*Timeline!AN$10</f>
        <v/>
      </c>
      <c r="AO110" s="80">
        <f>AO109*Timeline!AO$10</f>
        <v/>
      </c>
      <c r="AP110" s="80">
        <f>AP109*Timeline!AP$10</f>
        <v/>
      </c>
      <c r="AQ110" s="80">
        <f>AQ109*Timeline!AQ$10</f>
        <v/>
      </c>
      <c r="AR110" s="80">
        <f>AR109*Timeline!AR$10</f>
        <v/>
      </c>
      <c r="AS110" s="80">
        <f>AS109*Timeline!AS$10</f>
        <v/>
      </c>
      <c r="AT110" s="80">
        <f>AT109*Timeline!AT$10</f>
        <v/>
      </c>
      <c r="AU110" s="80">
        <f>AU109*Timeline!AU$10</f>
        <v/>
      </c>
      <c r="AV110" s="80">
        <f>AV109*Timeline!AV$10</f>
        <v/>
      </c>
      <c r="AW110" s="80">
        <f>AW109*Timeline!AW$10</f>
        <v/>
      </c>
      <c r="AX110" s="80">
        <f>AX109*Timeline!AX$10</f>
        <v/>
      </c>
      <c r="AY110" s="80">
        <f>AY109*Timeline!AY$10</f>
        <v/>
      </c>
      <c r="AZ110" s="80">
        <f>AZ109*Timeline!AZ$10</f>
        <v/>
      </c>
      <c r="BA110" s="80">
        <f>BA109*Timeline!BA$10</f>
        <v/>
      </c>
      <c r="BB110" s="80">
        <f>BB109*Timeline!BB$10</f>
        <v/>
      </c>
      <c r="BC110" s="80">
        <f>BC109*Timeline!BC$10</f>
        <v/>
      </c>
      <c r="BD110" s="80">
        <f>BD109*Timeline!BD$10</f>
        <v/>
      </c>
      <c r="BE110" s="80">
        <f>BE109*Timeline!BE$10</f>
        <v/>
      </c>
      <c r="BF110" s="80">
        <f>BF109*Timeline!BF$10</f>
        <v/>
      </c>
      <c r="BG110" s="80">
        <f>BG109*Timeline!BG$10</f>
        <v/>
      </c>
      <c r="BH110" s="80">
        <f>BH109*Timeline!BH$10</f>
        <v/>
      </c>
      <c r="BI110" s="80">
        <f>BI109*Timeline!BI$10</f>
        <v/>
      </c>
      <c r="BJ110" s="80">
        <f>BJ109*Timeline!BJ$10</f>
        <v/>
      </c>
      <c r="BK110" s="80">
        <f>BK109*Timeline!BK$10</f>
        <v/>
      </c>
      <c r="BL110" s="80">
        <f>BL109*Timeline!BL$10</f>
        <v/>
      </c>
    </row>
    <row r="111">
      <c r="A111" s="98" t="inlineStr">
        <is>
          <t>Down payments collected</t>
        </is>
      </c>
      <c r="B111" s="65" t="inlineStr">
        <is>
          <t>LCY</t>
        </is>
      </c>
      <c r="C111" s="105">
        <f>SUM(E111:BL111)</f>
        <v/>
      </c>
      <c r="E111" s="80">
        <f>E110*Products!$G$14</f>
        <v/>
      </c>
      <c r="F111" s="80">
        <f>F110*Products!$G$14</f>
        <v/>
      </c>
      <c r="G111" s="80">
        <f>G110*Products!$G$14</f>
        <v/>
      </c>
      <c r="H111" s="80">
        <f>H110*Products!$G$14</f>
        <v/>
      </c>
      <c r="I111" s="80">
        <f>I110*Products!$G$14</f>
        <v/>
      </c>
      <c r="J111" s="80">
        <f>J110*Products!$G$14</f>
        <v/>
      </c>
      <c r="K111" s="80">
        <f>K110*Products!$G$14</f>
        <v/>
      </c>
      <c r="L111" s="80">
        <f>L110*Products!$G$14</f>
        <v/>
      </c>
      <c r="M111" s="80">
        <f>M110*Products!$G$14</f>
        <v/>
      </c>
      <c r="N111" s="80">
        <f>N110*Products!$G$14</f>
        <v/>
      </c>
      <c r="O111" s="80">
        <f>O110*Products!$G$14</f>
        <v/>
      </c>
      <c r="P111" s="80">
        <f>P110*Products!$G$14</f>
        <v/>
      </c>
      <c r="Q111" s="80">
        <f>Q110*Products!$G$14</f>
        <v/>
      </c>
      <c r="R111" s="80">
        <f>R110*Products!$G$14</f>
        <v/>
      </c>
      <c r="S111" s="80">
        <f>S110*Products!$G$14</f>
        <v/>
      </c>
      <c r="T111" s="80">
        <f>T110*Products!$G$14</f>
        <v/>
      </c>
      <c r="U111" s="80">
        <f>U110*Products!$G$14</f>
        <v/>
      </c>
      <c r="V111" s="80">
        <f>V110*Products!$G$14</f>
        <v/>
      </c>
      <c r="W111" s="80">
        <f>W110*Products!$G$14</f>
        <v/>
      </c>
      <c r="X111" s="80">
        <f>X110*Products!$G$14</f>
        <v/>
      </c>
      <c r="Y111" s="80">
        <f>Y110*Products!$G$14</f>
        <v/>
      </c>
      <c r="Z111" s="80">
        <f>Z110*Products!$G$14</f>
        <v/>
      </c>
      <c r="AA111" s="80">
        <f>AA110*Products!$G$14</f>
        <v/>
      </c>
      <c r="AB111" s="80">
        <f>AB110*Products!$G$14</f>
        <v/>
      </c>
      <c r="AC111" s="80">
        <f>AC110*Products!$G$14</f>
        <v/>
      </c>
      <c r="AD111" s="80">
        <f>AD110*Products!$G$14</f>
        <v/>
      </c>
      <c r="AE111" s="80">
        <f>AE110*Products!$G$14</f>
        <v/>
      </c>
      <c r="AF111" s="80">
        <f>AF110*Products!$G$14</f>
        <v/>
      </c>
      <c r="AG111" s="80">
        <f>AG110*Products!$G$14</f>
        <v/>
      </c>
      <c r="AH111" s="80">
        <f>AH110*Products!$G$14</f>
        <v/>
      </c>
      <c r="AI111" s="80">
        <f>AI110*Products!$G$14</f>
        <v/>
      </c>
      <c r="AJ111" s="80">
        <f>AJ110*Products!$G$14</f>
        <v/>
      </c>
      <c r="AK111" s="80">
        <f>AK110*Products!$G$14</f>
        <v/>
      </c>
      <c r="AL111" s="80">
        <f>AL110*Products!$G$14</f>
        <v/>
      </c>
      <c r="AM111" s="80">
        <f>AM110*Products!$G$14</f>
        <v/>
      </c>
      <c r="AN111" s="80">
        <f>AN110*Products!$G$14</f>
        <v/>
      </c>
      <c r="AO111" s="80">
        <f>AO110*Products!$G$14</f>
        <v/>
      </c>
      <c r="AP111" s="80">
        <f>AP110*Products!$G$14</f>
        <v/>
      </c>
      <c r="AQ111" s="80">
        <f>AQ110*Products!$G$14</f>
        <v/>
      </c>
      <c r="AR111" s="80">
        <f>AR110*Products!$G$14</f>
        <v/>
      </c>
      <c r="AS111" s="80">
        <f>AS110*Products!$G$14</f>
        <v/>
      </c>
      <c r="AT111" s="80">
        <f>AT110*Products!$G$14</f>
        <v/>
      </c>
      <c r="AU111" s="80">
        <f>AU110*Products!$G$14</f>
        <v/>
      </c>
      <c r="AV111" s="80">
        <f>AV110*Products!$G$14</f>
        <v/>
      </c>
      <c r="AW111" s="80">
        <f>AW110*Products!$G$14</f>
        <v/>
      </c>
      <c r="AX111" s="80">
        <f>AX110*Products!$G$14</f>
        <v/>
      </c>
      <c r="AY111" s="80">
        <f>AY110*Products!$G$14</f>
        <v/>
      </c>
      <c r="AZ111" s="80">
        <f>AZ110*Products!$G$14</f>
        <v/>
      </c>
      <c r="BA111" s="80">
        <f>BA110*Products!$G$14</f>
        <v/>
      </c>
      <c r="BB111" s="80">
        <f>BB110*Products!$G$14</f>
        <v/>
      </c>
      <c r="BC111" s="80">
        <f>BC110*Products!$G$14</f>
        <v/>
      </c>
      <c r="BD111" s="80">
        <f>BD110*Products!$G$14</f>
        <v/>
      </c>
      <c r="BE111" s="80">
        <f>BE110*Products!$G$14</f>
        <v/>
      </c>
      <c r="BF111" s="80">
        <f>BF110*Products!$G$14</f>
        <v/>
      </c>
      <c r="BG111" s="80">
        <f>BG110*Products!$G$14</f>
        <v/>
      </c>
      <c r="BH111" s="80">
        <f>BH110*Products!$G$14</f>
        <v/>
      </c>
      <c r="BI111" s="80">
        <f>BI110*Products!$G$14</f>
        <v/>
      </c>
      <c r="BJ111" s="80">
        <f>BJ110*Products!$G$14</f>
        <v/>
      </c>
      <c r="BK111" s="80">
        <f>BK110*Products!$G$14</f>
        <v/>
      </c>
      <c r="BL111" s="80">
        <f>BL110*Products!$G$14</f>
        <v/>
      </c>
    </row>
    <row r="112">
      <c r="A112" s="98" t="inlineStr">
        <is>
          <t>Hardware revenue (cash price)</t>
        </is>
      </c>
      <c r="B112" s="65" t="inlineStr">
        <is>
          <t>LCY</t>
        </is>
      </c>
      <c r="C112" s="105">
        <f>SUM(E112:BL112)</f>
        <v/>
      </c>
      <c r="E112" s="80">
        <f>E110*Products!$G$13</f>
        <v/>
      </c>
      <c r="F112" s="80">
        <f>F110*Products!$G$13</f>
        <v/>
      </c>
      <c r="G112" s="80">
        <f>G110*Products!$G$13</f>
        <v/>
      </c>
      <c r="H112" s="80">
        <f>H110*Products!$G$13</f>
        <v/>
      </c>
      <c r="I112" s="80">
        <f>I110*Products!$G$13</f>
        <v/>
      </c>
      <c r="J112" s="80">
        <f>J110*Products!$G$13</f>
        <v/>
      </c>
      <c r="K112" s="80">
        <f>K110*Products!$G$13</f>
        <v/>
      </c>
      <c r="L112" s="80">
        <f>L110*Products!$G$13</f>
        <v/>
      </c>
      <c r="M112" s="80">
        <f>M110*Products!$G$13</f>
        <v/>
      </c>
      <c r="N112" s="80">
        <f>N110*Products!$G$13</f>
        <v/>
      </c>
      <c r="O112" s="80">
        <f>O110*Products!$G$13</f>
        <v/>
      </c>
      <c r="P112" s="80">
        <f>P110*Products!$G$13</f>
        <v/>
      </c>
      <c r="Q112" s="80">
        <f>Q110*Products!$G$13</f>
        <v/>
      </c>
      <c r="R112" s="80">
        <f>R110*Products!$G$13</f>
        <v/>
      </c>
      <c r="S112" s="80">
        <f>S110*Products!$G$13</f>
        <v/>
      </c>
      <c r="T112" s="80">
        <f>T110*Products!$G$13</f>
        <v/>
      </c>
      <c r="U112" s="80">
        <f>U110*Products!$G$13</f>
        <v/>
      </c>
      <c r="V112" s="80">
        <f>V110*Products!$G$13</f>
        <v/>
      </c>
      <c r="W112" s="80">
        <f>W110*Products!$G$13</f>
        <v/>
      </c>
      <c r="X112" s="80">
        <f>X110*Products!$G$13</f>
        <v/>
      </c>
      <c r="Y112" s="80">
        <f>Y110*Products!$G$13</f>
        <v/>
      </c>
      <c r="Z112" s="80">
        <f>Z110*Products!$G$13</f>
        <v/>
      </c>
      <c r="AA112" s="80">
        <f>AA110*Products!$G$13</f>
        <v/>
      </c>
      <c r="AB112" s="80">
        <f>AB110*Products!$G$13</f>
        <v/>
      </c>
      <c r="AC112" s="80">
        <f>AC110*Products!$G$13</f>
        <v/>
      </c>
      <c r="AD112" s="80">
        <f>AD110*Products!$G$13</f>
        <v/>
      </c>
      <c r="AE112" s="80">
        <f>AE110*Products!$G$13</f>
        <v/>
      </c>
      <c r="AF112" s="80">
        <f>AF110*Products!$G$13</f>
        <v/>
      </c>
      <c r="AG112" s="80">
        <f>AG110*Products!$G$13</f>
        <v/>
      </c>
      <c r="AH112" s="80">
        <f>AH110*Products!$G$13</f>
        <v/>
      </c>
      <c r="AI112" s="80">
        <f>AI110*Products!$G$13</f>
        <v/>
      </c>
      <c r="AJ112" s="80">
        <f>AJ110*Products!$G$13</f>
        <v/>
      </c>
      <c r="AK112" s="80">
        <f>AK110*Products!$G$13</f>
        <v/>
      </c>
      <c r="AL112" s="80">
        <f>AL110*Products!$G$13</f>
        <v/>
      </c>
      <c r="AM112" s="80">
        <f>AM110*Products!$G$13</f>
        <v/>
      </c>
      <c r="AN112" s="80">
        <f>AN110*Products!$G$13</f>
        <v/>
      </c>
      <c r="AO112" s="80">
        <f>AO110*Products!$G$13</f>
        <v/>
      </c>
      <c r="AP112" s="80">
        <f>AP110*Products!$G$13</f>
        <v/>
      </c>
      <c r="AQ112" s="80">
        <f>AQ110*Products!$G$13</f>
        <v/>
      </c>
      <c r="AR112" s="80">
        <f>AR110*Products!$G$13</f>
        <v/>
      </c>
      <c r="AS112" s="80">
        <f>AS110*Products!$G$13</f>
        <v/>
      </c>
      <c r="AT112" s="80">
        <f>AT110*Products!$G$13</f>
        <v/>
      </c>
      <c r="AU112" s="80">
        <f>AU110*Products!$G$13</f>
        <v/>
      </c>
      <c r="AV112" s="80">
        <f>AV110*Products!$G$13</f>
        <v/>
      </c>
      <c r="AW112" s="80">
        <f>AW110*Products!$G$13</f>
        <v/>
      </c>
      <c r="AX112" s="80">
        <f>AX110*Products!$G$13</f>
        <v/>
      </c>
      <c r="AY112" s="80">
        <f>AY110*Products!$G$13</f>
        <v/>
      </c>
      <c r="AZ112" s="80">
        <f>AZ110*Products!$G$13</f>
        <v/>
      </c>
      <c r="BA112" s="80">
        <f>BA110*Products!$G$13</f>
        <v/>
      </c>
      <c r="BB112" s="80">
        <f>BB110*Products!$G$13</f>
        <v/>
      </c>
      <c r="BC112" s="80">
        <f>BC110*Products!$G$13</f>
        <v/>
      </c>
      <c r="BD112" s="80">
        <f>BD110*Products!$G$13</f>
        <v/>
      </c>
      <c r="BE112" s="80">
        <f>BE110*Products!$G$13</f>
        <v/>
      </c>
      <c r="BF112" s="80">
        <f>BF110*Products!$G$13</f>
        <v/>
      </c>
      <c r="BG112" s="80">
        <f>BG110*Products!$G$13</f>
        <v/>
      </c>
      <c r="BH112" s="80">
        <f>BH110*Products!$G$13</f>
        <v/>
      </c>
      <c r="BI112" s="80">
        <f>BI110*Products!$G$13</f>
        <v/>
      </c>
      <c r="BJ112" s="80">
        <f>BJ110*Products!$G$13</f>
        <v/>
      </c>
      <c r="BK112" s="80">
        <f>BK110*Products!$G$13</f>
        <v/>
      </c>
      <c r="BL112" s="80">
        <f>BL110*Products!$G$13</f>
        <v/>
      </c>
    </row>
    <row r="113">
      <c r="A113" s="98" t="inlineStr">
        <is>
          <t>New PAYGo receivables originated</t>
        </is>
      </c>
      <c r="B113" s="65" t="inlineStr">
        <is>
          <t>LCY</t>
        </is>
      </c>
      <c r="C113" s="105">
        <f>SUM(E113:BL113)</f>
        <v/>
      </c>
      <c r="E113" s="80">
        <f>E110*Products!$G$38</f>
        <v/>
      </c>
      <c r="F113" s="80">
        <f>F110*Products!$G$38</f>
        <v/>
      </c>
      <c r="G113" s="80">
        <f>G110*Products!$G$38</f>
        <v/>
      </c>
      <c r="H113" s="80">
        <f>H110*Products!$G$38</f>
        <v/>
      </c>
      <c r="I113" s="80">
        <f>I110*Products!$G$38</f>
        <v/>
      </c>
      <c r="J113" s="80">
        <f>J110*Products!$G$38</f>
        <v/>
      </c>
      <c r="K113" s="80">
        <f>K110*Products!$G$38</f>
        <v/>
      </c>
      <c r="L113" s="80">
        <f>L110*Products!$G$38</f>
        <v/>
      </c>
      <c r="M113" s="80">
        <f>M110*Products!$G$38</f>
        <v/>
      </c>
      <c r="N113" s="80">
        <f>N110*Products!$G$38</f>
        <v/>
      </c>
      <c r="O113" s="80">
        <f>O110*Products!$G$38</f>
        <v/>
      </c>
      <c r="P113" s="80">
        <f>P110*Products!$G$38</f>
        <v/>
      </c>
      <c r="Q113" s="80">
        <f>Q110*Products!$G$38</f>
        <v/>
      </c>
      <c r="R113" s="80">
        <f>R110*Products!$G$38</f>
        <v/>
      </c>
      <c r="S113" s="80">
        <f>S110*Products!$G$38</f>
        <v/>
      </c>
      <c r="T113" s="80">
        <f>T110*Products!$G$38</f>
        <v/>
      </c>
      <c r="U113" s="80">
        <f>U110*Products!$G$38</f>
        <v/>
      </c>
      <c r="V113" s="80">
        <f>V110*Products!$G$38</f>
        <v/>
      </c>
      <c r="W113" s="80">
        <f>W110*Products!$G$38</f>
        <v/>
      </c>
      <c r="X113" s="80">
        <f>X110*Products!$G$38</f>
        <v/>
      </c>
      <c r="Y113" s="80">
        <f>Y110*Products!$G$38</f>
        <v/>
      </c>
      <c r="Z113" s="80">
        <f>Z110*Products!$G$38</f>
        <v/>
      </c>
      <c r="AA113" s="80">
        <f>AA110*Products!$G$38</f>
        <v/>
      </c>
      <c r="AB113" s="80">
        <f>AB110*Products!$G$38</f>
        <v/>
      </c>
      <c r="AC113" s="80">
        <f>AC110*Products!$G$38</f>
        <v/>
      </c>
      <c r="AD113" s="80">
        <f>AD110*Products!$G$38</f>
        <v/>
      </c>
      <c r="AE113" s="80">
        <f>AE110*Products!$G$38</f>
        <v/>
      </c>
      <c r="AF113" s="80">
        <f>AF110*Products!$G$38</f>
        <v/>
      </c>
      <c r="AG113" s="80">
        <f>AG110*Products!$G$38</f>
        <v/>
      </c>
      <c r="AH113" s="80">
        <f>AH110*Products!$G$38</f>
        <v/>
      </c>
      <c r="AI113" s="80">
        <f>AI110*Products!$G$38</f>
        <v/>
      </c>
      <c r="AJ113" s="80">
        <f>AJ110*Products!$G$38</f>
        <v/>
      </c>
      <c r="AK113" s="80">
        <f>AK110*Products!$G$38</f>
        <v/>
      </c>
      <c r="AL113" s="80">
        <f>AL110*Products!$G$38</f>
        <v/>
      </c>
      <c r="AM113" s="80">
        <f>AM110*Products!$G$38</f>
        <v/>
      </c>
      <c r="AN113" s="80">
        <f>AN110*Products!$G$38</f>
        <v/>
      </c>
      <c r="AO113" s="80">
        <f>AO110*Products!$G$38</f>
        <v/>
      </c>
      <c r="AP113" s="80">
        <f>AP110*Products!$G$38</f>
        <v/>
      </c>
      <c r="AQ113" s="80">
        <f>AQ110*Products!$G$38</f>
        <v/>
      </c>
      <c r="AR113" s="80">
        <f>AR110*Products!$G$38</f>
        <v/>
      </c>
      <c r="AS113" s="80">
        <f>AS110*Products!$G$38</f>
        <v/>
      </c>
      <c r="AT113" s="80">
        <f>AT110*Products!$G$38</f>
        <v/>
      </c>
      <c r="AU113" s="80">
        <f>AU110*Products!$G$38</f>
        <v/>
      </c>
      <c r="AV113" s="80">
        <f>AV110*Products!$G$38</f>
        <v/>
      </c>
      <c r="AW113" s="80">
        <f>AW110*Products!$G$38</f>
        <v/>
      </c>
      <c r="AX113" s="80">
        <f>AX110*Products!$G$38</f>
        <v/>
      </c>
      <c r="AY113" s="80">
        <f>AY110*Products!$G$38</f>
        <v/>
      </c>
      <c r="AZ113" s="80">
        <f>AZ110*Products!$G$38</f>
        <v/>
      </c>
      <c r="BA113" s="80">
        <f>BA110*Products!$G$38</f>
        <v/>
      </c>
      <c r="BB113" s="80">
        <f>BB110*Products!$G$38</f>
        <v/>
      </c>
      <c r="BC113" s="80">
        <f>BC110*Products!$G$38</f>
        <v/>
      </c>
      <c r="BD113" s="80">
        <f>BD110*Products!$G$38</f>
        <v/>
      </c>
      <c r="BE113" s="80">
        <f>BE110*Products!$G$38</f>
        <v/>
      </c>
      <c r="BF113" s="80">
        <f>BF110*Products!$G$38</f>
        <v/>
      </c>
      <c r="BG113" s="80">
        <f>BG110*Products!$G$38</f>
        <v/>
      </c>
      <c r="BH113" s="80">
        <f>BH110*Products!$G$38</f>
        <v/>
      </c>
      <c r="BI113" s="80">
        <f>BI110*Products!$G$38</f>
        <v/>
      </c>
      <c r="BJ113" s="80">
        <f>BJ110*Products!$G$38</f>
        <v/>
      </c>
      <c r="BK113" s="80">
        <f>BK110*Products!$G$38</f>
        <v/>
      </c>
      <c r="BL113" s="80">
        <f>BL110*Products!$G$38</f>
        <v/>
      </c>
    </row>
    <row r="114">
      <c r="A114" s="98" t="inlineStr">
        <is>
          <t>Instalments due</t>
        </is>
      </c>
      <c r="B114" s="65" t="inlineStr">
        <is>
          <t>LCY</t>
        </is>
      </c>
      <c r="C114" s="105">
        <f>SUM(E114:BL114)</f>
        <v/>
      </c>
      <c r="E114" s="80">
        <f>Products!$G$33*SUMIFS($E$110:$BL$110,Timeline!$E$4:$BL$4,"&gt;="&amp;(E$4-Products!$G$16),Timeline!$E$4:$BL$4,"&lt;="&amp;(E$4-1))</f>
        <v/>
      </c>
      <c r="F114" s="80">
        <f>Products!$G$33*SUMIFS($E$110:$BL$110,Timeline!$E$4:$BL$4,"&gt;="&amp;(F$4-Products!$G$16),Timeline!$E$4:$BL$4,"&lt;="&amp;(F$4-1))</f>
        <v/>
      </c>
      <c r="G114" s="80">
        <f>Products!$G$33*SUMIFS($E$110:$BL$110,Timeline!$E$4:$BL$4,"&gt;="&amp;(G$4-Products!$G$16),Timeline!$E$4:$BL$4,"&lt;="&amp;(G$4-1))</f>
        <v/>
      </c>
      <c r="H114" s="80">
        <f>Products!$G$33*SUMIFS($E$110:$BL$110,Timeline!$E$4:$BL$4,"&gt;="&amp;(H$4-Products!$G$16),Timeline!$E$4:$BL$4,"&lt;="&amp;(H$4-1))</f>
        <v/>
      </c>
      <c r="I114" s="80">
        <f>Products!$G$33*SUMIFS($E$110:$BL$110,Timeline!$E$4:$BL$4,"&gt;="&amp;(I$4-Products!$G$16),Timeline!$E$4:$BL$4,"&lt;="&amp;(I$4-1))</f>
        <v/>
      </c>
      <c r="J114" s="80">
        <f>Products!$G$33*SUMIFS($E$110:$BL$110,Timeline!$E$4:$BL$4,"&gt;="&amp;(J$4-Products!$G$16),Timeline!$E$4:$BL$4,"&lt;="&amp;(J$4-1))</f>
        <v/>
      </c>
      <c r="K114" s="80">
        <f>Products!$G$33*SUMIFS($E$110:$BL$110,Timeline!$E$4:$BL$4,"&gt;="&amp;(K$4-Products!$G$16),Timeline!$E$4:$BL$4,"&lt;="&amp;(K$4-1))</f>
        <v/>
      </c>
      <c r="L114" s="80">
        <f>Products!$G$33*SUMIFS($E$110:$BL$110,Timeline!$E$4:$BL$4,"&gt;="&amp;(L$4-Products!$G$16),Timeline!$E$4:$BL$4,"&lt;="&amp;(L$4-1))</f>
        <v/>
      </c>
      <c r="M114" s="80">
        <f>Products!$G$33*SUMIFS($E$110:$BL$110,Timeline!$E$4:$BL$4,"&gt;="&amp;(M$4-Products!$G$16),Timeline!$E$4:$BL$4,"&lt;="&amp;(M$4-1))</f>
        <v/>
      </c>
      <c r="N114" s="80">
        <f>Products!$G$33*SUMIFS($E$110:$BL$110,Timeline!$E$4:$BL$4,"&gt;="&amp;(N$4-Products!$G$16),Timeline!$E$4:$BL$4,"&lt;="&amp;(N$4-1))</f>
        <v/>
      </c>
      <c r="O114" s="80">
        <f>Products!$G$33*SUMIFS($E$110:$BL$110,Timeline!$E$4:$BL$4,"&gt;="&amp;(O$4-Products!$G$16),Timeline!$E$4:$BL$4,"&lt;="&amp;(O$4-1))</f>
        <v/>
      </c>
      <c r="P114" s="80">
        <f>Products!$G$33*SUMIFS($E$110:$BL$110,Timeline!$E$4:$BL$4,"&gt;="&amp;(P$4-Products!$G$16),Timeline!$E$4:$BL$4,"&lt;="&amp;(P$4-1))</f>
        <v/>
      </c>
      <c r="Q114" s="80">
        <f>Products!$G$33*SUMIFS($E$110:$BL$110,Timeline!$E$4:$BL$4,"&gt;="&amp;(Q$4-Products!$G$16),Timeline!$E$4:$BL$4,"&lt;="&amp;(Q$4-1))</f>
        <v/>
      </c>
      <c r="R114" s="80">
        <f>Products!$G$33*SUMIFS($E$110:$BL$110,Timeline!$E$4:$BL$4,"&gt;="&amp;(R$4-Products!$G$16),Timeline!$E$4:$BL$4,"&lt;="&amp;(R$4-1))</f>
        <v/>
      </c>
      <c r="S114" s="80">
        <f>Products!$G$33*SUMIFS($E$110:$BL$110,Timeline!$E$4:$BL$4,"&gt;="&amp;(S$4-Products!$G$16),Timeline!$E$4:$BL$4,"&lt;="&amp;(S$4-1))</f>
        <v/>
      </c>
      <c r="T114" s="80">
        <f>Products!$G$33*SUMIFS($E$110:$BL$110,Timeline!$E$4:$BL$4,"&gt;="&amp;(T$4-Products!$G$16),Timeline!$E$4:$BL$4,"&lt;="&amp;(T$4-1))</f>
        <v/>
      </c>
      <c r="U114" s="80">
        <f>Products!$G$33*SUMIFS($E$110:$BL$110,Timeline!$E$4:$BL$4,"&gt;="&amp;(U$4-Products!$G$16),Timeline!$E$4:$BL$4,"&lt;="&amp;(U$4-1))</f>
        <v/>
      </c>
      <c r="V114" s="80">
        <f>Products!$G$33*SUMIFS($E$110:$BL$110,Timeline!$E$4:$BL$4,"&gt;="&amp;(V$4-Products!$G$16),Timeline!$E$4:$BL$4,"&lt;="&amp;(V$4-1))</f>
        <v/>
      </c>
      <c r="W114" s="80">
        <f>Products!$G$33*SUMIFS($E$110:$BL$110,Timeline!$E$4:$BL$4,"&gt;="&amp;(W$4-Products!$G$16),Timeline!$E$4:$BL$4,"&lt;="&amp;(W$4-1))</f>
        <v/>
      </c>
      <c r="X114" s="80">
        <f>Products!$G$33*SUMIFS($E$110:$BL$110,Timeline!$E$4:$BL$4,"&gt;="&amp;(X$4-Products!$G$16),Timeline!$E$4:$BL$4,"&lt;="&amp;(X$4-1))</f>
        <v/>
      </c>
      <c r="Y114" s="80">
        <f>Products!$G$33*SUMIFS($E$110:$BL$110,Timeline!$E$4:$BL$4,"&gt;="&amp;(Y$4-Products!$G$16),Timeline!$E$4:$BL$4,"&lt;="&amp;(Y$4-1))</f>
        <v/>
      </c>
      <c r="Z114" s="80">
        <f>Products!$G$33*SUMIFS($E$110:$BL$110,Timeline!$E$4:$BL$4,"&gt;="&amp;(Z$4-Products!$G$16),Timeline!$E$4:$BL$4,"&lt;="&amp;(Z$4-1))</f>
        <v/>
      </c>
      <c r="AA114" s="80">
        <f>Products!$G$33*SUMIFS($E$110:$BL$110,Timeline!$E$4:$BL$4,"&gt;="&amp;(AA$4-Products!$G$16),Timeline!$E$4:$BL$4,"&lt;="&amp;(AA$4-1))</f>
        <v/>
      </c>
      <c r="AB114" s="80">
        <f>Products!$G$33*SUMIFS($E$110:$BL$110,Timeline!$E$4:$BL$4,"&gt;="&amp;(AB$4-Products!$G$16),Timeline!$E$4:$BL$4,"&lt;="&amp;(AB$4-1))</f>
        <v/>
      </c>
      <c r="AC114" s="80">
        <f>Products!$G$33*SUMIFS($E$110:$BL$110,Timeline!$E$4:$BL$4,"&gt;="&amp;(AC$4-Products!$G$16),Timeline!$E$4:$BL$4,"&lt;="&amp;(AC$4-1))</f>
        <v/>
      </c>
      <c r="AD114" s="80">
        <f>Products!$G$33*SUMIFS($E$110:$BL$110,Timeline!$E$4:$BL$4,"&gt;="&amp;(AD$4-Products!$G$16),Timeline!$E$4:$BL$4,"&lt;="&amp;(AD$4-1))</f>
        <v/>
      </c>
      <c r="AE114" s="80">
        <f>Products!$G$33*SUMIFS($E$110:$BL$110,Timeline!$E$4:$BL$4,"&gt;="&amp;(AE$4-Products!$G$16),Timeline!$E$4:$BL$4,"&lt;="&amp;(AE$4-1))</f>
        <v/>
      </c>
      <c r="AF114" s="80">
        <f>Products!$G$33*SUMIFS($E$110:$BL$110,Timeline!$E$4:$BL$4,"&gt;="&amp;(AF$4-Products!$G$16),Timeline!$E$4:$BL$4,"&lt;="&amp;(AF$4-1))</f>
        <v/>
      </c>
      <c r="AG114" s="80">
        <f>Products!$G$33*SUMIFS($E$110:$BL$110,Timeline!$E$4:$BL$4,"&gt;="&amp;(AG$4-Products!$G$16),Timeline!$E$4:$BL$4,"&lt;="&amp;(AG$4-1))</f>
        <v/>
      </c>
      <c r="AH114" s="80">
        <f>Products!$G$33*SUMIFS($E$110:$BL$110,Timeline!$E$4:$BL$4,"&gt;="&amp;(AH$4-Products!$G$16),Timeline!$E$4:$BL$4,"&lt;="&amp;(AH$4-1))</f>
        <v/>
      </c>
      <c r="AI114" s="80">
        <f>Products!$G$33*SUMIFS($E$110:$BL$110,Timeline!$E$4:$BL$4,"&gt;="&amp;(AI$4-Products!$G$16),Timeline!$E$4:$BL$4,"&lt;="&amp;(AI$4-1))</f>
        <v/>
      </c>
      <c r="AJ114" s="80">
        <f>Products!$G$33*SUMIFS($E$110:$BL$110,Timeline!$E$4:$BL$4,"&gt;="&amp;(AJ$4-Products!$G$16),Timeline!$E$4:$BL$4,"&lt;="&amp;(AJ$4-1))</f>
        <v/>
      </c>
      <c r="AK114" s="80">
        <f>Products!$G$33*SUMIFS($E$110:$BL$110,Timeline!$E$4:$BL$4,"&gt;="&amp;(AK$4-Products!$G$16),Timeline!$E$4:$BL$4,"&lt;="&amp;(AK$4-1))</f>
        <v/>
      </c>
      <c r="AL114" s="80">
        <f>Products!$G$33*SUMIFS($E$110:$BL$110,Timeline!$E$4:$BL$4,"&gt;="&amp;(AL$4-Products!$G$16),Timeline!$E$4:$BL$4,"&lt;="&amp;(AL$4-1))</f>
        <v/>
      </c>
      <c r="AM114" s="80">
        <f>Products!$G$33*SUMIFS($E$110:$BL$110,Timeline!$E$4:$BL$4,"&gt;="&amp;(AM$4-Products!$G$16),Timeline!$E$4:$BL$4,"&lt;="&amp;(AM$4-1))</f>
        <v/>
      </c>
      <c r="AN114" s="80">
        <f>Products!$G$33*SUMIFS($E$110:$BL$110,Timeline!$E$4:$BL$4,"&gt;="&amp;(AN$4-Products!$G$16),Timeline!$E$4:$BL$4,"&lt;="&amp;(AN$4-1))</f>
        <v/>
      </c>
      <c r="AO114" s="80">
        <f>Products!$G$33*SUMIFS($E$110:$BL$110,Timeline!$E$4:$BL$4,"&gt;="&amp;(AO$4-Products!$G$16),Timeline!$E$4:$BL$4,"&lt;="&amp;(AO$4-1))</f>
        <v/>
      </c>
      <c r="AP114" s="80">
        <f>Products!$G$33*SUMIFS($E$110:$BL$110,Timeline!$E$4:$BL$4,"&gt;="&amp;(AP$4-Products!$G$16),Timeline!$E$4:$BL$4,"&lt;="&amp;(AP$4-1))</f>
        <v/>
      </c>
      <c r="AQ114" s="80">
        <f>Products!$G$33*SUMIFS($E$110:$BL$110,Timeline!$E$4:$BL$4,"&gt;="&amp;(AQ$4-Products!$G$16),Timeline!$E$4:$BL$4,"&lt;="&amp;(AQ$4-1))</f>
        <v/>
      </c>
      <c r="AR114" s="80">
        <f>Products!$G$33*SUMIFS($E$110:$BL$110,Timeline!$E$4:$BL$4,"&gt;="&amp;(AR$4-Products!$G$16),Timeline!$E$4:$BL$4,"&lt;="&amp;(AR$4-1))</f>
        <v/>
      </c>
      <c r="AS114" s="80">
        <f>Products!$G$33*SUMIFS($E$110:$BL$110,Timeline!$E$4:$BL$4,"&gt;="&amp;(AS$4-Products!$G$16),Timeline!$E$4:$BL$4,"&lt;="&amp;(AS$4-1))</f>
        <v/>
      </c>
      <c r="AT114" s="80">
        <f>Products!$G$33*SUMIFS($E$110:$BL$110,Timeline!$E$4:$BL$4,"&gt;="&amp;(AT$4-Products!$G$16),Timeline!$E$4:$BL$4,"&lt;="&amp;(AT$4-1))</f>
        <v/>
      </c>
      <c r="AU114" s="80">
        <f>Products!$G$33*SUMIFS($E$110:$BL$110,Timeline!$E$4:$BL$4,"&gt;="&amp;(AU$4-Products!$G$16),Timeline!$E$4:$BL$4,"&lt;="&amp;(AU$4-1))</f>
        <v/>
      </c>
      <c r="AV114" s="80">
        <f>Products!$G$33*SUMIFS($E$110:$BL$110,Timeline!$E$4:$BL$4,"&gt;="&amp;(AV$4-Products!$G$16),Timeline!$E$4:$BL$4,"&lt;="&amp;(AV$4-1))</f>
        <v/>
      </c>
      <c r="AW114" s="80">
        <f>Products!$G$33*SUMIFS($E$110:$BL$110,Timeline!$E$4:$BL$4,"&gt;="&amp;(AW$4-Products!$G$16),Timeline!$E$4:$BL$4,"&lt;="&amp;(AW$4-1))</f>
        <v/>
      </c>
      <c r="AX114" s="80">
        <f>Products!$G$33*SUMIFS($E$110:$BL$110,Timeline!$E$4:$BL$4,"&gt;="&amp;(AX$4-Products!$G$16),Timeline!$E$4:$BL$4,"&lt;="&amp;(AX$4-1))</f>
        <v/>
      </c>
      <c r="AY114" s="80">
        <f>Products!$G$33*SUMIFS($E$110:$BL$110,Timeline!$E$4:$BL$4,"&gt;="&amp;(AY$4-Products!$G$16),Timeline!$E$4:$BL$4,"&lt;="&amp;(AY$4-1))</f>
        <v/>
      </c>
      <c r="AZ114" s="80">
        <f>Products!$G$33*SUMIFS($E$110:$BL$110,Timeline!$E$4:$BL$4,"&gt;="&amp;(AZ$4-Products!$G$16),Timeline!$E$4:$BL$4,"&lt;="&amp;(AZ$4-1))</f>
        <v/>
      </c>
      <c r="BA114" s="80">
        <f>Products!$G$33*SUMIFS($E$110:$BL$110,Timeline!$E$4:$BL$4,"&gt;="&amp;(BA$4-Products!$G$16),Timeline!$E$4:$BL$4,"&lt;="&amp;(BA$4-1))</f>
        <v/>
      </c>
      <c r="BB114" s="80">
        <f>Products!$G$33*SUMIFS($E$110:$BL$110,Timeline!$E$4:$BL$4,"&gt;="&amp;(BB$4-Products!$G$16),Timeline!$E$4:$BL$4,"&lt;="&amp;(BB$4-1))</f>
        <v/>
      </c>
      <c r="BC114" s="80">
        <f>Products!$G$33*SUMIFS($E$110:$BL$110,Timeline!$E$4:$BL$4,"&gt;="&amp;(BC$4-Products!$G$16),Timeline!$E$4:$BL$4,"&lt;="&amp;(BC$4-1))</f>
        <v/>
      </c>
      <c r="BD114" s="80">
        <f>Products!$G$33*SUMIFS($E$110:$BL$110,Timeline!$E$4:$BL$4,"&gt;="&amp;(BD$4-Products!$G$16),Timeline!$E$4:$BL$4,"&lt;="&amp;(BD$4-1))</f>
        <v/>
      </c>
      <c r="BE114" s="80">
        <f>Products!$G$33*SUMIFS($E$110:$BL$110,Timeline!$E$4:$BL$4,"&gt;="&amp;(BE$4-Products!$G$16),Timeline!$E$4:$BL$4,"&lt;="&amp;(BE$4-1))</f>
        <v/>
      </c>
      <c r="BF114" s="80">
        <f>Products!$G$33*SUMIFS($E$110:$BL$110,Timeline!$E$4:$BL$4,"&gt;="&amp;(BF$4-Products!$G$16),Timeline!$E$4:$BL$4,"&lt;="&amp;(BF$4-1))</f>
        <v/>
      </c>
      <c r="BG114" s="80">
        <f>Products!$G$33*SUMIFS($E$110:$BL$110,Timeline!$E$4:$BL$4,"&gt;="&amp;(BG$4-Products!$G$16),Timeline!$E$4:$BL$4,"&lt;="&amp;(BG$4-1))</f>
        <v/>
      </c>
      <c r="BH114" s="80">
        <f>Products!$G$33*SUMIFS($E$110:$BL$110,Timeline!$E$4:$BL$4,"&gt;="&amp;(BH$4-Products!$G$16),Timeline!$E$4:$BL$4,"&lt;="&amp;(BH$4-1))</f>
        <v/>
      </c>
      <c r="BI114" s="80">
        <f>Products!$G$33*SUMIFS($E$110:$BL$110,Timeline!$E$4:$BL$4,"&gt;="&amp;(BI$4-Products!$G$16),Timeline!$E$4:$BL$4,"&lt;="&amp;(BI$4-1))</f>
        <v/>
      </c>
      <c r="BJ114" s="80">
        <f>Products!$G$33*SUMIFS($E$110:$BL$110,Timeline!$E$4:$BL$4,"&gt;="&amp;(BJ$4-Products!$G$16),Timeline!$E$4:$BL$4,"&lt;="&amp;(BJ$4-1))</f>
        <v/>
      </c>
      <c r="BK114" s="80">
        <f>Products!$G$33*SUMIFS($E$110:$BL$110,Timeline!$E$4:$BL$4,"&gt;="&amp;(BK$4-Products!$G$16),Timeline!$E$4:$BL$4,"&lt;="&amp;(BK$4-1))</f>
        <v/>
      </c>
      <c r="BL114" s="80">
        <f>Products!$G$33*SUMIFS($E$110:$BL$110,Timeline!$E$4:$BL$4,"&gt;="&amp;(BL$4-Products!$G$16),Timeline!$E$4:$BL$4,"&lt;="&amp;(BL$4-1))</f>
        <v/>
      </c>
    </row>
    <row r="115">
      <c r="A115" s="98" t="inlineStr">
        <is>
          <t>Instalments collected</t>
        </is>
      </c>
      <c r="B115" s="65" t="inlineStr">
        <is>
          <t>LCY</t>
        </is>
      </c>
      <c r="C115" s="105">
        <f>SUM(E115:BL115)</f>
        <v/>
      </c>
      <c r="E115" s="41">
        <f>Cohort_T5!E$9</f>
        <v/>
      </c>
      <c r="F115" s="41">
        <f>Cohort_T5!F$9</f>
        <v/>
      </c>
      <c r="G115" s="41">
        <f>Cohort_T5!G$9</f>
        <v/>
      </c>
      <c r="H115" s="41">
        <f>Cohort_T5!H$9</f>
        <v/>
      </c>
      <c r="I115" s="41">
        <f>Cohort_T5!I$9</f>
        <v/>
      </c>
      <c r="J115" s="41">
        <f>Cohort_T5!J$9</f>
        <v/>
      </c>
      <c r="K115" s="41">
        <f>Cohort_T5!K$9</f>
        <v/>
      </c>
      <c r="L115" s="41">
        <f>Cohort_T5!L$9</f>
        <v/>
      </c>
      <c r="M115" s="41">
        <f>Cohort_T5!M$9</f>
        <v/>
      </c>
      <c r="N115" s="41">
        <f>Cohort_T5!N$9</f>
        <v/>
      </c>
      <c r="O115" s="41">
        <f>Cohort_T5!O$9</f>
        <v/>
      </c>
      <c r="P115" s="41">
        <f>Cohort_T5!P$9</f>
        <v/>
      </c>
      <c r="Q115" s="41">
        <f>Cohort_T5!Q$9</f>
        <v/>
      </c>
      <c r="R115" s="41">
        <f>Cohort_T5!R$9</f>
        <v/>
      </c>
      <c r="S115" s="41">
        <f>Cohort_T5!S$9</f>
        <v/>
      </c>
      <c r="T115" s="41">
        <f>Cohort_T5!T$9</f>
        <v/>
      </c>
      <c r="U115" s="41">
        <f>Cohort_T5!U$9</f>
        <v/>
      </c>
      <c r="V115" s="41">
        <f>Cohort_T5!V$9</f>
        <v/>
      </c>
      <c r="W115" s="41">
        <f>Cohort_T5!W$9</f>
        <v/>
      </c>
      <c r="X115" s="41">
        <f>Cohort_T5!X$9</f>
        <v/>
      </c>
      <c r="Y115" s="41">
        <f>Cohort_T5!Y$9</f>
        <v/>
      </c>
      <c r="Z115" s="41">
        <f>Cohort_T5!Z$9</f>
        <v/>
      </c>
      <c r="AA115" s="41">
        <f>Cohort_T5!AA$9</f>
        <v/>
      </c>
      <c r="AB115" s="41">
        <f>Cohort_T5!AB$9</f>
        <v/>
      </c>
      <c r="AC115" s="41">
        <f>Cohort_T5!AC$9</f>
        <v/>
      </c>
      <c r="AD115" s="41">
        <f>Cohort_T5!AD$9</f>
        <v/>
      </c>
      <c r="AE115" s="41">
        <f>Cohort_T5!AE$9</f>
        <v/>
      </c>
      <c r="AF115" s="41">
        <f>Cohort_T5!AF$9</f>
        <v/>
      </c>
      <c r="AG115" s="41">
        <f>Cohort_T5!AG$9</f>
        <v/>
      </c>
      <c r="AH115" s="41">
        <f>Cohort_T5!AH$9</f>
        <v/>
      </c>
      <c r="AI115" s="41">
        <f>Cohort_T5!AI$9</f>
        <v/>
      </c>
      <c r="AJ115" s="41">
        <f>Cohort_T5!AJ$9</f>
        <v/>
      </c>
      <c r="AK115" s="41">
        <f>Cohort_T5!AK$9</f>
        <v/>
      </c>
      <c r="AL115" s="41">
        <f>Cohort_T5!AL$9</f>
        <v/>
      </c>
      <c r="AM115" s="41">
        <f>Cohort_T5!AM$9</f>
        <v/>
      </c>
      <c r="AN115" s="41">
        <f>Cohort_T5!AN$9</f>
        <v/>
      </c>
      <c r="AO115" s="41">
        <f>Cohort_T5!AO$9</f>
        <v/>
      </c>
      <c r="AP115" s="41">
        <f>Cohort_T5!AP$9</f>
        <v/>
      </c>
      <c r="AQ115" s="41">
        <f>Cohort_T5!AQ$9</f>
        <v/>
      </c>
      <c r="AR115" s="41">
        <f>Cohort_T5!AR$9</f>
        <v/>
      </c>
      <c r="AS115" s="41">
        <f>Cohort_T5!AS$9</f>
        <v/>
      </c>
      <c r="AT115" s="41">
        <f>Cohort_T5!AT$9</f>
        <v/>
      </c>
      <c r="AU115" s="41">
        <f>Cohort_T5!AU$9</f>
        <v/>
      </c>
      <c r="AV115" s="41">
        <f>Cohort_T5!AV$9</f>
        <v/>
      </c>
      <c r="AW115" s="41">
        <f>Cohort_T5!AW$9</f>
        <v/>
      </c>
      <c r="AX115" s="41">
        <f>Cohort_T5!AX$9</f>
        <v/>
      </c>
      <c r="AY115" s="41">
        <f>Cohort_T5!AY$9</f>
        <v/>
      </c>
      <c r="AZ115" s="41">
        <f>Cohort_T5!AZ$9</f>
        <v/>
      </c>
      <c r="BA115" s="41">
        <f>Cohort_T5!BA$9</f>
        <v/>
      </c>
      <c r="BB115" s="41">
        <f>Cohort_T5!BB$9</f>
        <v/>
      </c>
      <c r="BC115" s="41">
        <f>Cohort_T5!BC$9</f>
        <v/>
      </c>
      <c r="BD115" s="41">
        <f>Cohort_T5!BD$9</f>
        <v/>
      </c>
      <c r="BE115" s="41">
        <f>Cohort_T5!BE$9</f>
        <v/>
      </c>
      <c r="BF115" s="41">
        <f>Cohort_T5!BF$9</f>
        <v/>
      </c>
      <c r="BG115" s="41">
        <f>Cohort_T5!BG$9</f>
        <v/>
      </c>
      <c r="BH115" s="41">
        <f>Cohort_T5!BH$9</f>
        <v/>
      </c>
      <c r="BI115" s="41">
        <f>Cohort_T5!BI$9</f>
        <v/>
      </c>
      <c r="BJ115" s="41">
        <f>Cohort_T5!BJ$9</f>
        <v/>
      </c>
      <c r="BK115" s="41">
        <f>Cohort_T5!BK$9</f>
        <v/>
      </c>
      <c r="BL115" s="41">
        <f>Cohort_T5!BL$9</f>
        <v/>
      </c>
    </row>
    <row r="116">
      <c r="A116" s="98" t="inlineStr">
        <is>
          <t>Missed instalments written off</t>
        </is>
      </c>
      <c r="B116" s="65" t="inlineStr">
        <is>
          <t>LCY</t>
        </is>
      </c>
      <c r="C116" s="105">
        <f>SUM(E116:BL116)</f>
        <v/>
      </c>
      <c r="E116" s="80">
        <f>E114-E115</f>
        <v/>
      </c>
      <c r="F116" s="80">
        <f>F114-F115</f>
        <v/>
      </c>
      <c r="G116" s="80">
        <f>G114-G115</f>
        <v/>
      </c>
      <c r="H116" s="80">
        <f>H114-H115</f>
        <v/>
      </c>
      <c r="I116" s="80">
        <f>I114-I115</f>
        <v/>
      </c>
      <c r="J116" s="80">
        <f>J114-J115</f>
        <v/>
      </c>
      <c r="K116" s="80">
        <f>K114-K115</f>
        <v/>
      </c>
      <c r="L116" s="80">
        <f>L114-L115</f>
        <v/>
      </c>
      <c r="M116" s="80">
        <f>M114-M115</f>
        <v/>
      </c>
      <c r="N116" s="80">
        <f>N114-N115</f>
        <v/>
      </c>
      <c r="O116" s="80">
        <f>O114-O115</f>
        <v/>
      </c>
      <c r="P116" s="80">
        <f>P114-P115</f>
        <v/>
      </c>
      <c r="Q116" s="80">
        <f>Q114-Q115</f>
        <v/>
      </c>
      <c r="R116" s="80">
        <f>R114-R115</f>
        <v/>
      </c>
      <c r="S116" s="80">
        <f>S114-S115</f>
        <v/>
      </c>
      <c r="T116" s="80">
        <f>T114-T115</f>
        <v/>
      </c>
      <c r="U116" s="80">
        <f>U114-U115</f>
        <v/>
      </c>
      <c r="V116" s="80">
        <f>V114-V115</f>
        <v/>
      </c>
      <c r="W116" s="80">
        <f>W114-W115</f>
        <v/>
      </c>
      <c r="X116" s="80">
        <f>X114-X115</f>
        <v/>
      </c>
      <c r="Y116" s="80">
        <f>Y114-Y115</f>
        <v/>
      </c>
      <c r="Z116" s="80">
        <f>Z114-Z115</f>
        <v/>
      </c>
      <c r="AA116" s="80">
        <f>AA114-AA115</f>
        <v/>
      </c>
      <c r="AB116" s="80">
        <f>AB114-AB115</f>
        <v/>
      </c>
      <c r="AC116" s="80">
        <f>AC114-AC115</f>
        <v/>
      </c>
      <c r="AD116" s="80">
        <f>AD114-AD115</f>
        <v/>
      </c>
      <c r="AE116" s="80">
        <f>AE114-AE115</f>
        <v/>
      </c>
      <c r="AF116" s="80">
        <f>AF114-AF115</f>
        <v/>
      </c>
      <c r="AG116" s="80">
        <f>AG114-AG115</f>
        <v/>
      </c>
      <c r="AH116" s="80">
        <f>AH114-AH115</f>
        <v/>
      </c>
      <c r="AI116" s="80">
        <f>AI114-AI115</f>
        <v/>
      </c>
      <c r="AJ116" s="80">
        <f>AJ114-AJ115</f>
        <v/>
      </c>
      <c r="AK116" s="80">
        <f>AK114-AK115</f>
        <v/>
      </c>
      <c r="AL116" s="80">
        <f>AL114-AL115</f>
        <v/>
      </c>
      <c r="AM116" s="80">
        <f>AM114-AM115</f>
        <v/>
      </c>
      <c r="AN116" s="80">
        <f>AN114-AN115</f>
        <v/>
      </c>
      <c r="AO116" s="80">
        <f>AO114-AO115</f>
        <v/>
      </c>
      <c r="AP116" s="80">
        <f>AP114-AP115</f>
        <v/>
      </c>
      <c r="AQ116" s="80">
        <f>AQ114-AQ115</f>
        <v/>
      </c>
      <c r="AR116" s="80">
        <f>AR114-AR115</f>
        <v/>
      </c>
      <c r="AS116" s="80">
        <f>AS114-AS115</f>
        <v/>
      </c>
      <c r="AT116" s="80">
        <f>AT114-AT115</f>
        <v/>
      </c>
      <c r="AU116" s="80">
        <f>AU114-AU115</f>
        <v/>
      </c>
      <c r="AV116" s="80">
        <f>AV114-AV115</f>
        <v/>
      </c>
      <c r="AW116" s="80">
        <f>AW114-AW115</f>
        <v/>
      </c>
      <c r="AX116" s="80">
        <f>AX114-AX115</f>
        <v/>
      </c>
      <c r="AY116" s="80">
        <f>AY114-AY115</f>
        <v/>
      </c>
      <c r="AZ116" s="80">
        <f>AZ114-AZ115</f>
        <v/>
      </c>
      <c r="BA116" s="80">
        <f>BA114-BA115</f>
        <v/>
      </c>
      <c r="BB116" s="80">
        <f>BB114-BB115</f>
        <v/>
      </c>
      <c r="BC116" s="80">
        <f>BC114-BC115</f>
        <v/>
      </c>
      <c r="BD116" s="80">
        <f>BD114-BD115</f>
        <v/>
      </c>
      <c r="BE116" s="80">
        <f>BE114-BE115</f>
        <v/>
      </c>
      <c r="BF116" s="80">
        <f>BF114-BF115</f>
        <v/>
      </c>
      <c r="BG116" s="80">
        <f>BG114-BG115</f>
        <v/>
      </c>
      <c r="BH116" s="80">
        <f>BH114-BH115</f>
        <v/>
      </c>
      <c r="BI116" s="80">
        <f>BI114-BI115</f>
        <v/>
      </c>
      <c r="BJ116" s="80">
        <f>BJ114-BJ115</f>
        <v/>
      </c>
      <c r="BK116" s="80">
        <f>BK114-BK115</f>
        <v/>
      </c>
      <c r="BL116" s="80">
        <f>BL114-BL115</f>
        <v/>
      </c>
    </row>
    <row r="117">
      <c r="A117" s="98" t="inlineStr">
        <is>
          <t>PAYGo financing income (straight-line over tenor)</t>
        </is>
      </c>
      <c r="B117" s="65" t="inlineStr">
        <is>
          <t>LCY</t>
        </is>
      </c>
      <c r="C117" s="105">
        <f>SUM(E117:BL117)</f>
        <v/>
      </c>
      <c r="E117" s="80">
        <f>IF(Products!$G$16=0,0,Products!$G$35/Products!$G$16*SUMIFS($E$110:$BL$110,Timeline!$E$4:$BL$4,"&gt;="&amp;(E$4-Products!$G$16),Timeline!$E$4:$BL$4,"&lt;="&amp;(E$4-1)))</f>
        <v/>
      </c>
      <c r="F117" s="80">
        <f>IF(Products!$G$16=0,0,Products!$G$35/Products!$G$16*SUMIFS($E$110:$BL$110,Timeline!$E$4:$BL$4,"&gt;="&amp;(F$4-Products!$G$16),Timeline!$E$4:$BL$4,"&lt;="&amp;(F$4-1)))</f>
        <v/>
      </c>
      <c r="G117" s="80">
        <f>IF(Products!$G$16=0,0,Products!$G$35/Products!$G$16*SUMIFS($E$110:$BL$110,Timeline!$E$4:$BL$4,"&gt;="&amp;(G$4-Products!$G$16),Timeline!$E$4:$BL$4,"&lt;="&amp;(G$4-1)))</f>
        <v/>
      </c>
      <c r="H117" s="80">
        <f>IF(Products!$G$16=0,0,Products!$G$35/Products!$G$16*SUMIFS($E$110:$BL$110,Timeline!$E$4:$BL$4,"&gt;="&amp;(H$4-Products!$G$16),Timeline!$E$4:$BL$4,"&lt;="&amp;(H$4-1)))</f>
        <v/>
      </c>
      <c r="I117" s="80">
        <f>IF(Products!$G$16=0,0,Products!$G$35/Products!$G$16*SUMIFS($E$110:$BL$110,Timeline!$E$4:$BL$4,"&gt;="&amp;(I$4-Products!$G$16),Timeline!$E$4:$BL$4,"&lt;="&amp;(I$4-1)))</f>
        <v/>
      </c>
      <c r="J117" s="80">
        <f>IF(Products!$G$16=0,0,Products!$G$35/Products!$G$16*SUMIFS($E$110:$BL$110,Timeline!$E$4:$BL$4,"&gt;="&amp;(J$4-Products!$G$16),Timeline!$E$4:$BL$4,"&lt;="&amp;(J$4-1)))</f>
        <v/>
      </c>
      <c r="K117" s="80">
        <f>IF(Products!$G$16=0,0,Products!$G$35/Products!$G$16*SUMIFS($E$110:$BL$110,Timeline!$E$4:$BL$4,"&gt;="&amp;(K$4-Products!$G$16),Timeline!$E$4:$BL$4,"&lt;="&amp;(K$4-1)))</f>
        <v/>
      </c>
      <c r="L117" s="80">
        <f>IF(Products!$G$16=0,0,Products!$G$35/Products!$G$16*SUMIFS($E$110:$BL$110,Timeline!$E$4:$BL$4,"&gt;="&amp;(L$4-Products!$G$16),Timeline!$E$4:$BL$4,"&lt;="&amp;(L$4-1)))</f>
        <v/>
      </c>
      <c r="M117" s="80">
        <f>IF(Products!$G$16=0,0,Products!$G$35/Products!$G$16*SUMIFS($E$110:$BL$110,Timeline!$E$4:$BL$4,"&gt;="&amp;(M$4-Products!$G$16),Timeline!$E$4:$BL$4,"&lt;="&amp;(M$4-1)))</f>
        <v/>
      </c>
      <c r="N117" s="80">
        <f>IF(Products!$G$16=0,0,Products!$G$35/Products!$G$16*SUMIFS($E$110:$BL$110,Timeline!$E$4:$BL$4,"&gt;="&amp;(N$4-Products!$G$16),Timeline!$E$4:$BL$4,"&lt;="&amp;(N$4-1)))</f>
        <v/>
      </c>
      <c r="O117" s="80">
        <f>IF(Products!$G$16=0,0,Products!$G$35/Products!$G$16*SUMIFS($E$110:$BL$110,Timeline!$E$4:$BL$4,"&gt;="&amp;(O$4-Products!$G$16),Timeline!$E$4:$BL$4,"&lt;="&amp;(O$4-1)))</f>
        <v/>
      </c>
      <c r="P117" s="80">
        <f>IF(Products!$G$16=0,0,Products!$G$35/Products!$G$16*SUMIFS($E$110:$BL$110,Timeline!$E$4:$BL$4,"&gt;="&amp;(P$4-Products!$G$16),Timeline!$E$4:$BL$4,"&lt;="&amp;(P$4-1)))</f>
        <v/>
      </c>
      <c r="Q117" s="80">
        <f>IF(Products!$G$16=0,0,Products!$G$35/Products!$G$16*SUMIFS($E$110:$BL$110,Timeline!$E$4:$BL$4,"&gt;="&amp;(Q$4-Products!$G$16),Timeline!$E$4:$BL$4,"&lt;="&amp;(Q$4-1)))</f>
        <v/>
      </c>
      <c r="R117" s="80">
        <f>IF(Products!$G$16=0,0,Products!$G$35/Products!$G$16*SUMIFS($E$110:$BL$110,Timeline!$E$4:$BL$4,"&gt;="&amp;(R$4-Products!$G$16),Timeline!$E$4:$BL$4,"&lt;="&amp;(R$4-1)))</f>
        <v/>
      </c>
      <c r="S117" s="80">
        <f>IF(Products!$G$16=0,0,Products!$G$35/Products!$G$16*SUMIFS($E$110:$BL$110,Timeline!$E$4:$BL$4,"&gt;="&amp;(S$4-Products!$G$16),Timeline!$E$4:$BL$4,"&lt;="&amp;(S$4-1)))</f>
        <v/>
      </c>
      <c r="T117" s="80">
        <f>IF(Products!$G$16=0,0,Products!$G$35/Products!$G$16*SUMIFS($E$110:$BL$110,Timeline!$E$4:$BL$4,"&gt;="&amp;(T$4-Products!$G$16),Timeline!$E$4:$BL$4,"&lt;="&amp;(T$4-1)))</f>
        <v/>
      </c>
      <c r="U117" s="80">
        <f>IF(Products!$G$16=0,0,Products!$G$35/Products!$G$16*SUMIFS($E$110:$BL$110,Timeline!$E$4:$BL$4,"&gt;="&amp;(U$4-Products!$G$16),Timeline!$E$4:$BL$4,"&lt;="&amp;(U$4-1)))</f>
        <v/>
      </c>
      <c r="V117" s="80">
        <f>IF(Products!$G$16=0,0,Products!$G$35/Products!$G$16*SUMIFS($E$110:$BL$110,Timeline!$E$4:$BL$4,"&gt;="&amp;(V$4-Products!$G$16),Timeline!$E$4:$BL$4,"&lt;="&amp;(V$4-1)))</f>
        <v/>
      </c>
      <c r="W117" s="80">
        <f>IF(Products!$G$16=0,0,Products!$G$35/Products!$G$16*SUMIFS($E$110:$BL$110,Timeline!$E$4:$BL$4,"&gt;="&amp;(W$4-Products!$G$16),Timeline!$E$4:$BL$4,"&lt;="&amp;(W$4-1)))</f>
        <v/>
      </c>
      <c r="X117" s="80">
        <f>IF(Products!$G$16=0,0,Products!$G$35/Products!$G$16*SUMIFS($E$110:$BL$110,Timeline!$E$4:$BL$4,"&gt;="&amp;(X$4-Products!$G$16),Timeline!$E$4:$BL$4,"&lt;="&amp;(X$4-1)))</f>
        <v/>
      </c>
      <c r="Y117" s="80">
        <f>IF(Products!$G$16=0,0,Products!$G$35/Products!$G$16*SUMIFS($E$110:$BL$110,Timeline!$E$4:$BL$4,"&gt;="&amp;(Y$4-Products!$G$16),Timeline!$E$4:$BL$4,"&lt;="&amp;(Y$4-1)))</f>
        <v/>
      </c>
      <c r="Z117" s="80">
        <f>IF(Products!$G$16=0,0,Products!$G$35/Products!$G$16*SUMIFS($E$110:$BL$110,Timeline!$E$4:$BL$4,"&gt;="&amp;(Z$4-Products!$G$16),Timeline!$E$4:$BL$4,"&lt;="&amp;(Z$4-1)))</f>
        <v/>
      </c>
      <c r="AA117" s="80">
        <f>IF(Products!$G$16=0,0,Products!$G$35/Products!$G$16*SUMIFS($E$110:$BL$110,Timeline!$E$4:$BL$4,"&gt;="&amp;(AA$4-Products!$G$16),Timeline!$E$4:$BL$4,"&lt;="&amp;(AA$4-1)))</f>
        <v/>
      </c>
      <c r="AB117" s="80">
        <f>IF(Products!$G$16=0,0,Products!$G$35/Products!$G$16*SUMIFS($E$110:$BL$110,Timeline!$E$4:$BL$4,"&gt;="&amp;(AB$4-Products!$G$16),Timeline!$E$4:$BL$4,"&lt;="&amp;(AB$4-1)))</f>
        <v/>
      </c>
      <c r="AC117" s="80">
        <f>IF(Products!$G$16=0,0,Products!$G$35/Products!$G$16*SUMIFS($E$110:$BL$110,Timeline!$E$4:$BL$4,"&gt;="&amp;(AC$4-Products!$G$16),Timeline!$E$4:$BL$4,"&lt;="&amp;(AC$4-1)))</f>
        <v/>
      </c>
      <c r="AD117" s="80">
        <f>IF(Products!$G$16=0,0,Products!$G$35/Products!$G$16*SUMIFS($E$110:$BL$110,Timeline!$E$4:$BL$4,"&gt;="&amp;(AD$4-Products!$G$16),Timeline!$E$4:$BL$4,"&lt;="&amp;(AD$4-1)))</f>
        <v/>
      </c>
      <c r="AE117" s="80">
        <f>IF(Products!$G$16=0,0,Products!$G$35/Products!$G$16*SUMIFS($E$110:$BL$110,Timeline!$E$4:$BL$4,"&gt;="&amp;(AE$4-Products!$G$16),Timeline!$E$4:$BL$4,"&lt;="&amp;(AE$4-1)))</f>
        <v/>
      </c>
      <c r="AF117" s="80">
        <f>IF(Products!$G$16=0,0,Products!$G$35/Products!$G$16*SUMIFS($E$110:$BL$110,Timeline!$E$4:$BL$4,"&gt;="&amp;(AF$4-Products!$G$16),Timeline!$E$4:$BL$4,"&lt;="&amp;(AF$4-1)))</f>
        <v/>
      </c>
      <c r="AG117" s="80">
        <f>IF(Products!$G$16=0,0,Products!$G$35/Products!$G$16*SUMIFS($E$110:$BL$110,Timeline!$E$4:$BL$4,"&gt;="&amp;(AG$4-Products!$G$16),Timeline!$E$4:$BL$4,"&lt;="&amp;(AG$4-1)))</f>
        <v/>
      </c>
      <c r="AH117" s="80">
        <f>IF(Products!$G$16=0,0,Products!$G$35/Products!$G$16*SUMIFS($E$110:$BL$110,Timeline!$E$4:$BL$4,"&gt;="&amp;(AH$4-Products!$G$16),Timeline!$E$4:$BL$4,"&lt;="&amp;(AH$4-1)))</f>
        <v/>
      </c>
      <c r="AI117" s="80">
        <f>IF(Products!$G$16=0,0,Products!$G$35/Products!$G$16*SUMIFS($E$110:$BL$110,Timeline!$E$4:$BL$4,"&gt;="&amp;(AI$4-Products!$G$16),Timeline!$E$4:$BL$4,"&lt;="&amp;(AI$4-1)))</f>
        <v/>
      </c>
      <c r="AJ117" s="80">
        <f>IF(Products!$G$16=0,0,Products!$G$35/Products!$G$16*SUMIFS($E$110:$BL$110,Timeline!$E$4:$BL$4,"&gt;="&amp;(AJ$4-Products!$G$16),Timeline!$E$4:$BL$4,"&lt;="&amp;(AJ$4-1)))</f>
        <v/>
      </c>
      <c r="AK117" s="80">
        <f>IF(Products!$G$16=0,0,Products!$G$35/Products!$G$16*SUMIFS($E$110:$BL$110,Timeline!$E$4:$BL$4,"&gt;="&amp;(AK$4-Products!$G$16),Timeline!$E$4:$BL$4,"&lt;="&amp;(AK$4-1)))</f>
        <v/>
      </c>
      <c r="AL117" s="80">
        <f>IF(Products!$G$16=0,0,Products!$G$35/Products!$G$16*SUMIFS($E$110:$BL$110,Timeline!$E$4:$BL$4,"&gt;="&amp;(AL$4-Products!$G$16),Timeline!$E$4:$BL$4,"&lt;="&amp;(AL$4-1)))</f>
        <v/>
      </c>
      <c r="AM117" s="80">
        <f>IF(Products!$G$16=0,0,Products!$G$35/Products!$G$16*SUMIFS($E$110:$BL$110,Timeline!$E$4:$BL$4,"&gt;="&amp;(AM$4-Products!$G$16),Timeline!$E$4:$BL$4,"&lt;="&amp;(AM$4-1)))</f>
        <v/>
      </c>
      <c r="AN117" s="80">
        <f>IF(Products!$G$16=0,0,Products!$G$35/Products!$G$16*SUMIFS($E$110:$BL$110,Timeline!$E$4:$BL$4,"&gt;="&amp;(AN$4-Products!$G$16),Timeline!$E$4:$BL$4,"&lt;="&amp;(AN$4-1)))</f>
        <v/>
      </c>
      <c r="AO117" s="80">
        <f>IF(Products!$G$16=0,0,Products!$G$35/Products!$G$16*SUMIFS($E$110:$BL$110,Timeline!$E$4:$BL$4,"&gt;="&amp;(AO$4-Products!$G$16),Timeline!$E$4:$BL$4,"&lt;="&amp;(AO$4-1)))</f>
        <v/>
      </c>
      <c r="AP117" s="80">
        <f>IF(Products!$G$16=0,0,Products!$G$35/Products!$G$16*SUMIFS($E$110:$BL$110,Timeline!$E$4:$BL$4,"&gt;="&amp;(AP$4-Products!$G$16),Timeline!$E$4:$BL$4,"&lt;="&amp;(AP$4-1)))</f>
        <v/>
      </c>
      <c r="AQ117" s="80">
        <f>IF(Products!$G$16=0,0,Products!$G$35/Products!$G$16*SUMIFS($E$110:$BL$110,Timeline!$E$4:$BL$4,"&gt;="&amp;(AQ$4-Products!$G$16),Timeline!$E$4:$BL$4,"&lt;="&amp;(AQ$4-1)))</f>
        <v/>
      </c>
      <c r="AR117" s="80">
        <f>IF(Products!$G$16=0,0,Products!$G$35/Products!$G$16*SUMIFS($E$110:$BL$110,Timeline!$E$4:$BL$4,"&gt;="&amp;(AR$4-Products!$G$16),Timeline!$E$4:$BL$4,"&lt;="&amp;(AR$4-1)))</f>
        <v/>
      </c>
      <c r="AS117" s="80">
        <f>IF(Products!$G$16=0,0,Products!$G$35/Products!$G$16*SUMIFS($E$110:$BL$110,Timeline!$E$4:$BL$4,"&gt;="&amp;(AS$4-Products!$G$16),Timeline!$E$4:$BL$4,"&lt;="&amp;(AS$4-1)))</f>
        <v/>
      </c>
      <c r="AT117" s="80">
        <f>IF(Products!$G$16=0,0,Products!$G$35/Products!$G$16*SUMIFS($E$110:$BL$110,Timeline!$E$4:$BL$4,"&gt;="&amp;(AT$4-Products!$G$16),Timeline!$E$4:$BL$4,"&lt;="&amp;(AT$4-1)))</f>
        <v/>
      </c>
      <c r="AU117" s="80">
        <f>IF(Products!$G$16=0,0,Products!$G$35/Products!$G$16*SUMIFS($E$110:$BL$110,Timeline!$E$4:$BL$4,"&gt;="&amp;(AU$4-Products!$G$16),Timeline!$E$4:$BL$4,"&lt;="&amp;(AU$4-1)))</f>
        <v/>
      </c>
      <c r="AV117" s="80">
        <f>IF(Products!$G$16=0,0,Products!$G$35/Products!$G$16*SUMIFS($E$110:$BL$110,Timeline!$E$4:$BL$4,"&gt;="&amp;(AV$4-Products!$G$16),Timeline!$E$4:$BL$4,"&lt;="&amp;(AV$4-1)))</f>
        <v/>
      </c>
      <c r="AW117" s="80">
        <f>IF(Products!$G$16=0,0,Products!$G$35/Products!$G$16*SUMIFS($E$110:$BL$110,Timeline!$E$4:$BL$4,"&gt;="&amp;(AW$4-Products!$G$16),Timeline!$E$4:$BL$4,"&lt;="&amp;(AW$4-1)))</f>
        <v/>
      </c>
      <c r="AX117" s="80">
        <f>IF(Products!$G$16=0,0,Products!$G$35/Products!$G$16*SUMIFS($E$110:$BL$110,Timeline!$E$4:$BL$4,"&gt;="&amp;(AX$4-Products!$G$16),Timeline!$E$4:$BL$4,"&lt;="&amp;(AX$4-1)))</f>
        <v/>
      </c>
      <c r="AY117" s="80">
        <f>IF(Products!$G$16=0,0,Products!$G$35/Products!$G$16*SUMIFS($E$110:$BL$110,Timeline!$E$4:$BL$4,"&gt;="&amp;(AY$4-Products!$G$16),Timeline!$E$4:$BL$4,"&lt;="&amp;(AY$4-1)))</f>
        <v/>
      </c>
      <c r="AZ117" s="80">
        <f>IF(Products!$G$16=0,0,Products!$G$35/Products!$G$16*SUMIFS($E$110:$BL$110,Timeline!$E$4:$BL$4,"&gt;="&amp;(AZ$4-Products!$G$16),Timeline!$E$4:$BL$4,"&lt;="&amp;(AZ$4-1)))</f>
        <v/>
      </c>
      <c r="BA117" s="80">
        <f>IF(Products!$G$16=0,0,Products!$G$35/Products!$G$16*SUMIFS($E$110:$BL$110,Timeline!$E$4:$BL$4,"&gt;="&amp;(BA$4-Products!$G$16),Timeline!$E$4:$BL$4,"&lt;="&amp;(BA$4-1)))</f>
        <v/>
      </c>
      <c r="BB117" s="80">
        <f>IF(Products!$G$16=0,0,Products!$G$35/Products!$G$16*SUMIFS($E$110:$BL$110,Timeline!$E$4:$BL$4,"&gt;="&amp;(BB$4-Products!$G$16),Timeline!$E$4:$BL$4,"&lt;="&amp;(BB$4-1)))</f>
        <v/>
      </c>
      <c r="BC117" s="80">
        <f>IF(Products!$G$16=0,0,Products!$G$35/Products!$G$16*SUMIFS($E$110:$BL$110,Timeline!$E$4:$BL$4,"&gt;="&amp;(BC$4-Products!$G$16),Timeline!$E$4:$BL$4,"&lt;="&amp;(BC$4-1)))</f>
        <v/>
      </c>
      <c r="BD117" s="80">
        <f>IF(Products!$G$16=0,0,Products!$G$35/Products!$G$16*SUMIFS($E$110:$BL$110,Timeline!$E$4:$BL$4,"&gt;="&amp;(BD$4-Products!$G$16),Timeline!$E$4:$BL$4,"&lt;="&amp;(BD$4-1)))</f>
        <v/>
      </c>
      <c r="BE117" s="80">
        <f>IF(Products!$G$16=0,0,Products!$G$35/Products!$G$16*SUMIFS($E$110:$BL$110,Timeline!$E$4:$BL$4,"&gt;="&amp;(BE$4-Products!$G$16),Timeline!$E$4:$BL$4,"&lt;="&amp;(BE$4-1)))</f>
        <v/>
      </c>
      <c r="BF117" s="80">
        <f>IF(Products!$G$16=0,0,Products!$G$35/Products!$G$16*SUMIFS($E$110:$BL$110,Timeline!$E$4:$BL$4,"&gt;="&amp;(BF$4-Products!$G$16),Timeline!$E$4:$BL$4,"&lt;="&amp;(BF$4-1)))</f>
        <v/>
      </c>
      <c r="BG117" s="80">
        <f>IF(Products!$G$16=0,0,Products!$G$35/Products!$G$16*SUMIFS($E$110:$BL$110,Timeline!$E$4:$BL$4,"&gt;="&amp;(BG$4-Products!$G$16),Timeline!$E$4:$BL$4,"&lt;="&amp;(BG$4-1)))</f>
        <v/>
      </c>
      <c r="BH117" s="80">
        <f>IF(Products!$G$16=0,0,Products!$G$35/Products!$G$16*SUMIFS($E$110:$BL$110,Timeline!$E$4:$BL$4,"&gt;="&amp;(BH$4-Products!$G$16),Timeline!$E$4:$BL$4,"&lt;="&amp;(BH$4-1)))</f>
        <v/>
      </c>
      <c r="BI117" s="80">
        <f>IF(Products!$G$16=0,0,Products!$G$35/Products!$G$16*SUMIFS($E$110:$BL$110,Timeline!$E$4:$BL$4,"&gt;="&amp;(BI$4-Products!$G$16),Timeline!$E$4:$BL$4,"&lt;="&amp;(BI$4-1)))</f>
        <v/>
      </c>
      <c r="BJ117" s="80">
        <f>IF(Products!$G$16=0,0,Products!$G$35/Products!$G$16*SUMIFS($E$110:$BL$110,Timeline!$E$4:$BL$4,"&gt;="&amp;(BJ$4-Products!$G$16),Timeline!$E$4:$BL$4,"&lt;="&amp;(BJ$4-1)))</f>
        <v/>
      </c>
      <c r="BK117" s="80">
        <f>IF(Products!$G$16=0,0,Products!$G$35/Products!$G$16*SUMIFS($E$110:$BL$110,Timeline!$E$4:$BL$4,"&gt;="&amp;(BK$4-Products!$G$16),Timeline!$E$4:$BL$4,"&lt;="&amp;(BK$4-1)))</f>
        <v/>
      </c>
      <c r="BL117" s="80">
        <f>IF(Products!$G$16=0,0,Products!$G$35/Products!$G$16*SUMIFS($E$110:$BL$110,Timeline!$E$4:$BL$4,"&gt;="&amp;(BL$4-Products!$G$16),Timeline!$E$4:$BL$4,"&lt;="&amp;(BL$4-1)))</f>
        <v/>
      </c>
    </row>
    <row r="118">
      <c r="A118" s="98" t="inlineStr">
        <is>
          <t>Expected credit loss charged at origination</t>
        </is>
      </c>
      <c r="B118" s="65" t="inlineStr">
        <is>
          <t>LCY</t>
        </is>
      </c>
      <c r="C118" s="105">
        <f>SUM(E118:BL118)</f>
        <v/>
      </c>
      <c r="E118" s="80">
        <f>E110*Curves!$BE$70</f>
        <v/>
      </c>
      <c r="F118" s="80">
        <f>F110*Curves!$BE$70</f>
        <v/>
      </c>
      <c r="G118" s="80">
        <f>G110*Curves!$BE$70</f>
        <v/>
      </c>
      <c r="H118" s="80">
        <f>H110*Curves!$BE$70</f>
        <v/>
      </c>
      <c r="I118" s="80">
        <f>I110*Curves!$BE$70</f>
        <v/>
      </c>
      <c r="J118" s="80">
        <f>J110*Curves!$BE$70</f>
        <v/>
      </c>
      <c r="K118" s="80">
        <f>K110*Curves!$BE$70</f>
        <v/>
      </c>
      <c r="L118" s="80">
        <f>L110*Curves!$BE$70</f>
        <v/>
      </c>
      <c r="M118" s="80">
        <f>M110*Curves!$BE$70</f>
        <v/>
      </c>
      <c r="N118" s="80">
        <f>N110*Curves!$BE$70</f>
        <v/>
      </c>
      <c r="O118" s="80">
        <f>O110*Curves!$BE$70</f>
        <v/>
      </c>
      <c r="P118" s="80">
        <f>P110*Curves!$BE$70</f>
        <v/>
      </c>
      <c r="Q118" s="80">
        <f>Q110*Curves!$BE$70</f>
        <v/>
      </c>
      <c r="R118" s="80">
        <f>R110*Curves!$BE$70</f>
        <v/>
      </c>
      <c r="S118" s="80">
        <f>S110*Curves!$BE$70</f>
        <v/>
      </c>
      <c r="T118" s="80">
        <f>T110*Curves!$BE$70</f>
        <v/>
      </c>
      <c r="U118" s="80">
        <f>U110*Curves!$BE$70</f>
        <v/>
      </c>
      <c r="V118" s="80">
        <f>V110*Curves!$BE$70</f>
        <v/>
      </c>
      <c r="W118" s="80">
        <f>W110*Curves!$BE$70</f>
        <v/>
      </c>
      <c r="X118" s="80">
        <f>X110*Curves!$BE$70</f>
        <v/>
      </c>
      <c r="Y118" s="80">
        <f>Y110*Curves!$BE$70</f>
        <v/>
      </c>
      <c r="Z118" s="80">
        <f>Z110*Curves!$BE$70</f>
        <v/>
      </c>
      <c r="AA118" s="80">
        <f>AA110*Curves!$BE$70</f>
        <v/>
      </c>
      <c r="AB118" s="80">
        <f>AB110*Curves!$BE$70</f>
        <v/>
      </c>
      <c r="AC118" s="80">
        <f>AC110*Curves!$BE$70</f>
        <v/>
      </c>
      <c r="AD118" s="80">
        <f>AD110*Curves!$BE$70</f>
        <v/>
      </c>
      <c r="AE118" s="80">
        <f>AE110*Curves!$BE$70</f>
        <v/>
      </c>
      <c r="AF118" s="80">
        <f>AF110*Curves!$BE$70</f>
        <v/>
      </c>
      <c r="AG118" s="80">
        <f>AG110*Curves!$BE$70</f>
        <v/>
      </c>
      <c r="AH118" s="80">
        <f>AH110*Curves!$BE$70</f>
        <v/>
      </c>
      <c r="AI118" s="80">
        <f>AI110*Curves!$BE$70</f>
        <v/>
      </c>
      <c r="AJ118" s="80">
        <f>AJ110*Curves!$BE$70</f>
        <v/>
      </c>
      <c r="AK118" s="80">
        <f>AK110*Curves!$BE$70</f>
        <v/>
      </c>
      <c r="AL118" s="80">
        <f>AL110*Curves!$BE$70</f>
        <v/>
      </c>
      <c r="AM118" s="80">
        <f>AM110*Curves!$BE$70</f>
        <v/>
      </c>
      <c r="AN118" s="80">
        <f>AN110*Curves!$BE$70</f>
        <v/>
      </c>
      <c r="AO118" s="80">
        <f>AO110*Curves!$BE$70</f>
        <v/>
      </c>
      <c r="AP118" s="80">
        <f>AP110*Curves!$BE$70</f>
        <v/>
      </c>
      <c r="AQ118" s="80">
        <f>AQ110*Curves!$BE$70</f>
        <v/>
      </c>
      <c r="AR118" s="80">
        <f>AR110*Curves!$BE$70</f>
        <v/>
      </c>
      <c r="AS118" s="80">
        <f>AS110*Curves!$BE$70</f>
        <v/>
      </c>
      <c r="AT118" s="80">
        <f>AT110*Curves!$BE$70</f>
        <v/>
      </c>
      <c r="AU118" s="80">
        <f>AU110*Curves!$BE$70</f>
        <v/>
      </c>
      <c r="AV118" s="80">
        <f>AV110*Curves!$BE$70</f>
        <v/>
      </c>
      <c r="AW118" s="80">
        <f>AW110*Curves!$BE$70</f>
        <v/>
      </c>
      <c r="AX118" s="80">
        <f>AX110*Curves!$BE$70</f>
        <v/>
      </c>
      <c r="AY118" s="80">
        <f>AY110*Curves!$BE$70</f>
        <v/>
      </c>
      <c r="AZ118" s="80">
        <f>AZ110*Curves!$BE$70</f>
        <v/>
      </c>
      <c r="BA118" s="80">
        <f>BA110*Curves!$BE$70</f>
        <v/>
      </c>
      <c r="BB118" s="80">
        <f>BB110*Curves!$BE$70</f>
        <v/>
      </c>
      <c r="BC118" s="80">
        <f>BC110*Curves!$BE$70</f>
        <v/>
      </c>
      <c r="BD118" s="80">
        <f>BD110*Curves!$BE$70</f>
        <v/>
      </c>
      <c r="BE118" s="80">
        <f>BE110*Curves!$BE$70</f>
        <v/>
      </c>
      <c r="BF118" s="80">
        <f>BF110*Curves!$BE$70</f>
        <v/>
      </c>
      <c r="BG118" s="80">
        <f>BG110*Curves!$BE$70</f>
        <v/>
      </c>
      <c r="BH118" s="80">
        <f>BH110*Curves!$BE$70</f>
        <v/>
      </c>
      <c r="BI118" s="80">
        <f>BI110*Curves!$BE$70</f>
        <v/>
      </c>
      <c r="BJ118" s="80">
        <f>BJ110*Curves!$BE$70</f>
        <v/>
      </c>
      <c r="BK118" s="80">
        <f>BK110*Curves!$BE$70</f>
        <v/>
      </c>
      <c r="BL118" s="80">
        <f>BL110*Curves!$BE$70</f>
        <v/>
      </c>
    </row>
    <row r="119">
      <c r="A119" s="98" t="inlineStr">
        <is>
          <t>Recoveries from resale of repossessed units</t>
        </is>
      </c>
      <c r="B119" s="65" t="inlineStr">
        <is>
          <t>LCY</t>
        </is>
      </c>
      <c r="C119" s="105">
        <f>SUM(E119:BL119)</f>
        <v/>
      </c>
      <c r="E119" s="41">
        <f>Cohort_T5!E$198</f>
        <v/>
      </c>
      <c r="F119" s="41">
        <f>Cohort_T5!F$198</f>
        <v/>
      </c>
      <c r="G119" s="41">
        <f>Cohort_T5!G$198</f>
        <v/>
      </c>
      <c r="H119" s="41">
        <f>Cohort_T5!H$198</f>
        <v/>
      </c>
      <c r="I119" s="41">
        <f>Cohort_T5!I$198</f>
        <v/>
      </c>
      <c r="J119" s="41">
        <f>Cohort_T5!J$198</f>
        <v/>
      </c>
      <c r="K119" s="41">
        <f>Cohort_T5!K$198</f>
        <v/>
      </c>
      <c r="L119" s="41">
        <f>Cohort_T5!L$198</f>
        <v/>
      </c>
      <c r="M119" s="41">
        <f>Cohort_T5!M$198</f>
        <v/>
      </c>
      <c r="N119" s="41">
        <f>Cohort_T5!N$198</f>
        <v/>
      </c>
      <c r="O119" s="41">
        <f>Cohort_T5!O$198</f>
        <v/>
      </c>
      <c r="P119" s="41">
        <f>Cohort_T5!P$198</f>
        <v/>
      </c>
      <c r="Q119" s="41">
        <f>Cohort_T5!Q$198</f>
        <v/>
      </c>
      <c r="R119" s="41">
        <f>Cohort_T5!R$198</f>
        <v/>
      </c>
      <c r="S119" s="41">
        <f>Cohort_T5!S$198</f>
        <v/>
      </c>
      <c r="T119" s="41">
        <f>Cohort_T5!T$198</f>
        <v/>
      </c>
      <c r="U119" s="41">
        <f>Cohort_T5!U$198</f>
        <v/>
      </c>
      <c r="V119" s="41">
        <f>Cohort_T5!V$198</f>
        <v/>
      </c>
      <c r="W119" s="41">
        <f>Cohort_T5!W$198</f>
        <v/>
      </c>
      <c r="X119" s="41">
        <f>Cohort_T5!X$198</f>
        <v/>
      </c>
      <c r="Y119" s="41">
        <f>Cohort_T5!Y$198</f>
        <v/>
      </c>
      <c r="Z119" s="41">
        <f>Cohort_T5!Z$198</f>
        <v/>
      </c>
      <c r="AA119" s="41">
        <f>Cohort_T5!AA$198</f>
        <v/>
      </c>
      <c r="AB119" s="41">
        <f>Cohort_T5!AB$198</f>
        <v/>
      </c>
      <c r="AC119" s="41">
        <f>Cohort_T5!AC$198</f>
        <v/>
      </c>
      <c r="AD119" s="41">
        <f>Cohort_T5!AD$198</f>
        <v/>
      </c>
      <c r="AE119" s="41">
        <f>Cohort_T5!AE$198</f>
        <v/>
      </c>
      <c r="AF119" s="41">
        <f>Cohort_T5!AF$198</f>
        <v/>
      </c>
      <c r="AG119" s="41">
        <f>Cohort_T5!AG$198</f>
        <v/>
      </c>
      <c r="AH119" s="41">
        <f>Cohort_T5!AH$198</f>
        <v/>
      </c>
      <c r="AI119" s="41">
        <f>Cohort_T5!AI$198</f>
        <v/>
      </c>
      <c r="AJ119" s="41">
        <f>Cohort_T5!AJ$198</f>
        <v/>
      </c>
      <c r="AK119" s="41">
        <f>Cohort_T5!AK$198</f>
        <v/>
      </c>
      <c r="AL119" s="41">
        <f>Cohort_T5!AL$198</f>
        <v/>
      </c>
      <c r="AM119" s="41">
        <f>Cohort_T5!AM$198</f>
        <v/>
      </c>
      <c r="AN119" s="41">
        <f>Cohort_T5!AN$198</f>
        <v/>
      </c>
      <c r="AO119" s="41">
        <f>Cohort_T5!AO$198</f>
        <v/>
      </c>
      <c r="AP119" s="41">
        <f>Cohort_T5!AP$198</f>
        <v/>
      </c>
      <c r="AQ119" s="41">
        <f>Cohort_T5!AQ$198</f>
        <v/>
      </c>
      <c r="AR119" s="41">
        <f>Cohort_T5!AR$198</f>
        <v/>
      </c>
      <c r="AS119" s="41">
        <f>Cohort_T5!AS$198</f>
        <v/>
      </c>
      <c r="AT119" s="41">
        <f>Cohort_T5!AT$198</f>
        <v/>
      </c>
      <c r="AU119" s="41">
        <f>Cohort_T5!AU$198</f>
        <v/>
      </c>
      <c r="AV119" s="41">
        <f>Cohort_T5!AV$198</f>
        <v/>
      </c>
      <c r="AW119" s="41">
        <f>Cohort_T5!AW$198</f>
        <v/>
      </c>
      <c r="AX119" s="41">
        <f>Cohort_T5!AX$198</f>
        <v/>
      </c>
      <c r="AY119" s="41">
        <f>Cohort_T5!AY$198</f>
        <v/>
      </c>
      <c r="AZ119" s="41">
        <f>Cohort_T5!AZ$198</f>
        <v/>
      </c>
      <c r="BA119" s="41">
        <f>Cohort_T5!BA$198</f>
        <v/>
      </c>
      <c r="BB119" s="41">
        <f>Cohort_T5!BB$198</f>
        <v/>
      </c>
      <c r="BC119" s="41">
        <f>Cohort_T5!BC$198</f>
        <v/>
      </c>
      <c r="BD119" s="41">
        <f>Cohort_T5!BD$198</f>
        <v/>
      </c>
      <c r="BE119" s="41">
        <f>Cohort_T5!BE$198</f>
        <v/>
      </c>
      <c r="BF119" s="41">
        <f>Cohort_T5!BF$198</f>
        <v/>
      </c>
      <c r="BG119" s="41">
        <f>Cohort_T5!BG$198</f>
        <v/>
      </c>
      <c r="BH119" s="41">
        <f>Cohort_T5!BH$198</f>
        <v/>
      </c>
      <c r="BI119" s="41">
        <f>Cohort_T5!BI$198</f>
        <v/>
      </c>
      <c r="BJ119" s="41">
        <f>Cohort_T5!BJ$198</f>
        <v/>
      </c>
      <c r="BK119" s="41">
        <f>Cohort_T5!BK$198</f>
        <v/>
      </c>
      <c r="BL119" s="41">
        <f>Cohort_T5!BL$198</f>
        <v/>
      </c>
    </row>
    <row r="120">
      <c r="A120" s="98" t="inlineStr">
        <is>
          <t>RBF received</t>
        </is>
      </c>
      <c r="B120" s="65" t="inlineStr">
        <is>
          <t>LCY</t>
        </is>
      </c>
      <c r="C120" s="105">
        <f>SUM(E120:BL120)</f>
        <v/>
      </c>
      <c r="E120" s="41">
        <f>RBF_Engine!E$54</f>
        <v/>
      </c>
      <c r="F120" s="41">
        <f>RBF_Engine!F$54</f>
        <v/>
      </c>
      <c r="G120" s="41">
        <f>RBF_Engine!G$54</f>
        <v/>
      </c>
      <c r="H120" s="41">
        <f>RBF_Engine!H$54</f>
        <v/>
      </c>
      <c r="I120" s="41">
        <f>RBF_Engine!I$54</f>
        <v/>
      </c>
      <c r="J120" s="41">
        <f>RBF_Engine!J$54</f>
        <v/>
      </c>
      <c r="K120" s="41">
        <f>RBF_Engine!K$54</f>
        <v/>
      </c>
      <c r="L120" s="41">
        <f>RBF_Engine!L$54</f>
        <v/>
      </c>
      <c r="M120" s="41">
        <f>RBF_Engine!M$54</f>
        <v/>
      </c>
      <c r="N120" s="41">
        <f>RBF_Engine!N$54</f>
        <v/>
      </c>
      <c r="O120" s="41">
        <f>RBF_Engine!O$54</f>
        <v/>
      </c>
      <c r="P120" s="41">
        <f>RBF_Engine!P$54</f>
        <v/>
      </c>
      <c r="Q120" s="41">
        <f>RBF_Engine!Q$54</f>
        <v/>
      </c>
      <c r="R120" s="41">
        <f>RBF_Engine!R$54</f>
        <v/>
      </c>
      <c r="S120" s="41">
        <f>RBF_Engine!S$54</f>
        <v/>
      </c>
      <c r="T120" s="41">
        <f>RBF_Engine!T$54</f>
        <v/>
      </c>
      <c r="U120" s="41">
        <f>RBF_Engine!U$54</f>
        <v/>
      </c>
      <c r="V120" s="41">
        <f>RBF_Engine!V$54</f>
        <v/>
      </c>
      <c r="W120" s="41">
        <f>RBF_Engine!W$54</f>
        <v/>
      </c>
      <c r="X120" s="41">
        <f>RBF_Engine!X$54</f>
        <v/>
      </c>
      <c r="Y120" s="41">
        <f>RBF_Engine!Y$54</f>
        <v/>
      </c>
      <c r="Z120" s="41">
        <f>RBF_Engine!Z$54</f>
        <v/>
      </c>
      <c r="AA120" s="41">
        <f>RBF_Engine!AA$54</f>
        <v/>
      </c>
      <c r="AB120" s="41">
        <f>RBF_Engine!AB$54</f>
        <v/>
      </c>
      <c r="AC120" s="41">
        <f>RBF_Engine!AC$54</f>
        <v/>
      </c>
      <c r="AD120" s="41">
        <f>RBF_Engine!AD$54</f>
        <v/>
      </c>
      <c r="AE120" s="41">
        <f>RBF_Engine!AE$54</f>
        <v/>
      </c>
      <c r="AF120" s="41">
        <f>RBF_Engine!AF$54</f>
        <v/>
      </c>
      <c r="AG120" s="41">
        <f>RBF_Engine!AG$54</f>
        <v/>
      </c>
      <c r="AH120" s="41">
        <f>RBF_Engine!AH$54</f>
        <v/>
      </c>
      <c r="AI120" s="41">
        <f>RBF_Engine!AI$54</f>
        <v/>
      </c>
      <c r="AJ120" s="41">
        <f>RBF_Engine!AJ$54</f>
        <v/>
      </c>
      <c r="AK120" s="41">
        <f>RBF_Engine!AK$54</f>
        <v/>
      </c>
      <c r="AL120" s="41">
        <f>RBF_Engine!AL$54</f>
        <v/>
      </c>
      <c r="AM120" s="41">
        <f>RBF_Engine!AM$54</f>
        <v/>
      </c>
      <c r="AN120" s="41">
        <f>RBF_Engine!AN$54</f>
        <v/>
      </c>
      <c r="AO120" s="41">
        <f>RBF_Engine!AO$54</f>
        <v/>
      </c>
      <c r="AP120" s="41">
        <f>RBF_Engine!AP$54</f>
        <v/>
      </c>
      <c r="AQ120" s="41">
        <f>RBF_Engine!AQ$54</f>
        <v/>
      </c>
      <c r="AR120" s="41">
        <f>RBF_Engine!AR$54</f>
        <v/>
      </c>
      <c r="AS120" s="41">
        <f>RBF_Engine!AS$54</f>
        <v/>
      </c>
      <c r="AT120" s="41">
        <f>RBF_Engine!AT$54</f>
        <v/>
      </c>
      <c r="AU120" s="41">
        <f>RBF_Engine!AU$54</f>
        <v/>
      </c>
      <c r="AV120" s="41">
        <f>RBF_Engine!AV$54</f>
        <v/>
      </c>
      <c r="AW120" s="41">
        <f>RBF_Engine!AW$54</f>
        <v/>
      </c>
      <c r="AX120" s="41">
        <f>RBF_Engine!AX$54</f>
        <v/>
      </c>
      <c r="AY120" s="41">
        <f>RBF_Engine!AY$54</f>
        <v/>
      </c>
      <c r="AZ120" s="41">
        <f>RBF_Engine!AZ$54</f>
        <v/>
      </c>
      <c r="BA120" s="41">
        <f>RBF_Engine!BA$54</f>
        <v/>
      </c>
      <c r="BB120" s="41">
        <f>RBF_Engine!BB$54</f>
        <v/>
      </c>
      <c r="BC120" s="41">
        <f>RBF_Engine!BC$54</f>
        <v/>
      </c>
      <c r="BD120" s="41">
        <f>RBF_Engine!BD$54</f>
        <v/>
      </c>
      <c r="BE120" s="41">
        <f>RBF_Engine!BE$54</f>
        <v/>
      </c>
      <c r="BF120" s="41">
        <f>RBF_Engine!BF$54</f>
        <v/>
      </c>
      <c r="BG120" s="41">
        <f>RBF_Engine!BG$54</f>
        <v/>
      </c>
      <c r="BH120" s="41">
        <f>RBF_Engine!BH$54</f>
        <v/>
      </c>
      <c r="BI120" s="41">
        <f>RBF_Engine!BI$54</f>
        <v/>
      </c>
      <c r="BJ120" s="41">
        <f>RBF_Engine!BJ$54</f>
        <v/>
      </c>
      <c r="BK120" s="41">
        <f>RBF_Engine!BK$54</f>
        <v/>
      </c>
      <c r="BL120" s="41">
        <f>RBF_Engine!BL$54</f>
        <v/>
      </c>
    </row>
    <row r="121">
      <c r="A121" s="98" t="inlineStr">
        <is>
          <t>Active (paying, in-tenor) accounts</t>
        </is>
      </c>
      <c r="B121" s="65" t="inlineStr">
        <is>
          <t>accounts</t>
        </is>
      </c>
      <c r="C121" s="105">
        <f>BL121</f>
        <v/>
      </c>
      <c r="E121" s="41">
        <f>Cohort_T5!E$72</f>
        <v/>
      </c>
      <c r="F121" s="41">
        <f>Cohort_T5!F$72</f>
        <v/>
      </c>
      <c r="G121" s="41">
        <f>Cohort_T5!G$72</f>
        <v/>
      </c>
      <c r="H121" s="41">
        <f>Cohort_T5!H$72</f>
        <v/>
      </c>
      <c r="I121" s="41">
        <f>Cohort_T5!I$72</f>
        <v/>
      </c>
      <c r="J121" s="41">
        <f>Cohort_T5!J$72</f>
        <v/>
      </c>
      <c r="K121" s="41">
        <f>Cohort_T5!K$72</f>
        <v/>
      </c>
      <c r="L121" s="41">
        <f>Cohort_T5!L$72</f>
        <v/>
      </c>
      <c r="M121" s="41">
        <f>Cohort_T5!M$72</f>
        <v/>
      </c>
      <c r="N121" s="41">
        <f>Cohort_T5!N$72</f>
        <v/>
      </c>
      <c r="O121" s="41">
        <f>Cohort_T5!O$72</f>
        <v/>
      </c>
      <c r="P121" s="41">
        <f>Cohort_T5!P$72</f>
        <v/>
      </c>
      <c r="Q121" s="41">
        <f>Cohort_T5!Q$72</f>
        <v/>
      </c>
      <c r="R121" s="41">
        <f>Cohort_T5!R$72</f>
        <v/>
      </c>
      <c r="S121" s="41">
        <f>Cohort_T5!S$72</f>
        <v/>
      </c>
      <c r="T121" s="41">
        <f>Cohort_T5!T$72</f>
        <v/>
      </c>
      <c r="U121" s="41">
        <f>Cohort_T5!U$72</f>
        <v/>
      </c>
      <c r="V121" s="41">
        <f>Cohort_T5!V$72</f>
        <v/>
      </c>
      <c r="W121" s="41">
        <f>Cohort_T5!W$72</f>
        <v/>
      </c>
      <c r="X121" s="41">
        <f>Cohort_T5!X$72</f>
        <v/>
      </c>
      <c r="Y121" s="41">
        <f>Cohort_T5!Y$72</f>
        <v/>
      </c>
      <c r="Z121" s="41">
        <f>Cohort_T5!Z$72</f>
        <v/>
      </c>
      <c r="AA121" s="41">
        <f>Cohort_T5!AA$72</f>
        <v/>
      </c>
      <c r="AB121" s="41">
        <f>Cohort_T5!AB$72</f>
        <v/>
      </c>
      <c r="AC121" s="41">
        <f>Cohort_T5!AC$72</f>
        <v/>
      </c>
      <c r="AD121" s="41">
        <f>Cohort_T5!AD$72</f>
        <v/>
      </c>
      <c r="AE121" s="41">
        <f>Cohort_T5!AE$72</f>
        <v/>
      </c>
      <c r="AF121" s="41">
        <f>Cohort_T5!AF$72</f>
        <v/>
      </c>
      <c r="AG121" s="41">
        <f>Cohort_T5!AG$72</f>
        <v/>
      </c>
      <c r="AH121" s="41">
        <f>Cohort_T5!AH$72</f>
        <v/>
      </c>
      <c r="AI121" s="41">
        <f>Cohort_T5!AI$72</f>
        <v/>
      </c>
      <c r="AJ121" s="41">
        <f>Cohort_T5!AJ$72</f>
        <v/>
      </c>
      <c r="AK121" s="41">
        <f>Cohort_T5!AK$72</f>
        <v/>
      </c>
      <c r="AL121" s="41">
        <f>Cohort_T5!AL$72</f>
        <v/>
      </c>
      <c r="AM121" s="41">
        <f>Cohort_T5!AM$72</f>
        <v/>
      </c>
      <c r="AN121" s="41">
        <f>Cohort_T5!AN$72</f>
        <v/>
      </c>
      <c r="AO121" s="41">
        <f>Cohort_T5!AO$72</f>
        <v/>
      </c>
      <c r="AP121" s="41">
        <f>Cohort_T5!AP$72</f>
        <v/>
      </c>
      <c r="AQ121" s="41">
        <f>Cohort_T5!AQ$72</f>
        <v/>
      </c>
      <c r="AR121" s="41">
        <f>Cohort_T5!AR$72</f>
        <v/>
      </c>
      <c r="AS121" s="41">
        <f>Cohort_T5!AS$72</f>
        <v/>
      </c>
      <c r="AT121" s="41">
        <f>Cohort_T5!AT$72</f>
        <v/>
      </c>
      <c r="AU121" s="41">
        <f>Cohort_T5!AU$72</f>
        <v/>
      </c>
      <c r="AV121" s="41">
        <f>Cohort_T5!AV$72</f>
        <v/>
      </c>
      <c r="AW121" s="41">
        <f>Cohort_T5!AW$72</f>
        <v/>
      </c>
      <c r="AX121" s="41">
        <f>Cohort_T5!AX$72</f>
        <v/>
      </c>
      <c r="AY121" s="41">
        <f>Cohort_T5!AY$72</f>
        <v/>
      </c>
      <c r="AZ121" s="41">
        <f>Cohort_T5!AZ$72</f>
        <v/>
      </c>
      <c r="BA121" s="41">
        <f>Cohort_T5!BA$72</f>
        <v/>
      </c>
      <c r="BB121" s="41">
        <f>Cohort_T5!BB$72</f>
        <v/>
      </c>
      <c r="BC121" s="41">
        <f>Cohort_T5!BC$72</f>
        <v/>
      </c>
      <c r="BD121" s="41">
        <f>Cohort_T5!BD$72</f>
        <v/>
      </c>
      <c r="BE121" s="41">
        <f>Cohort_T5!BE$72</f>
        <v/>
      </c>
      <c r="BF121" s="41">
        <f>Cohort_T5!BF$72</f>
        <v/>
      </c>
      <c r="BG121" s="41">
        <f>Cohort_T5!BG$72</f>
        <v/>
      </c>
      <c r="BH121" s="41">
        <f>Cohort_T5!BH$72</f>
        <v/>
      </c>
      <c r="BI121" s="41">
        <f>Cohort_T5!BI$72</f>
        <v/>
      </c>
      <c r="BJ121" s="41">
        <f>Cohort_T5!BJ$72</f>
        <v/>
      </c>
      <c r="BK121" s="41">
        <f>Cohort_T5!BK$72</f>
        <v/>
      </c>
      <c r="BL121" s="41">
        <f>Cohort_T5!BL$72</f>
        <v/>
      </c>
    </row>
    <row r="122">
      <c r="A122" s="98" t="inlineStr">
        <is>
          <t>Accounts reaching end of tenor (unlocked)</t>
        </is>
      </c>
      <c r="B122" s="65" t="inlineStr">
        <is>
          <t>accounts</t>
        </is>
      </c>
      <c r="C122" s="105">
        <f>SUM(E122:BL122)</f>
        <v/>
      </c>
      <c r="E122" s="80">
        <f>IF(E$4&gt;Products!$G$16,INDEX($E$109:$BL$109,1,E$4-Products!$G$16)*INDEX(Curves!$BB$8:$BB$68,Products!$G$16+1),0)</f>
        <v/>
      </c>
      <c r="F122" s="80">
        <f>IF(F$4&gt;Products!$G$16,INDEX($E$109:$BL$109,1,F$4-Products!$G$16)*INDEX(Curves!$BB$8:$BB$68,Products!$G$16+1),0)</f>
        <v/>
      </c>
      <c r="G122" s="80">
        <f>IF(G$4&gt;Products!$G$16,INDEX($E$109:$BL$109,1,G$4-Products!$G$16)*INDEX(Curves!$BB$8:$BB$68,Products!$G$16+1),0)</f>
        <v/>
      </c>
      <c r="H122" s="80">
        <f>IF(H$4&gt;Products!$G$16,INDEX($E$109:$BL$109,1,H$4-Products!$G$16)*INDEX(Curves!$BB$8:$BB$68,Products!$G$16+1),0)</f>
        <v/>
      </c>
      <c r="I122" s="80">
        <f>IF(I$4&gt;Products!$G$16,INDEX($E$109:$BL$109,1,I$4-Products!$G$16)*INDEX(Curves!$BB$8:$BB$68,Products!$G$16+1),0)</f>
        <v/>
      </c>
      <c r="J122" s="80">
        <f>IF(J$4&gt;Products!$G$16,INDEX($E$109:$BL$109,1,J$4-Products!$G$16)*INDEX(Curves!$BB$8:$BB$68,Products!$G$16+1),0)</f>
        <v/>
      </c>
      <c r="K122" s="80">
        <f>IF(K$4&gt;Products!$G$16,INDEX($E$109:$BL$109,1,K$4-Products!$G$16)*INDEX(Curves!$BB$8:$BB$68,Products!$G$16+1),0)</f>
        <v/>
      </c>
      <c r="L122" s="80">
        <f>IF(L$4&gt;Products!$G$16,INDEX($E$109:$BL$109,1,L$4-Products!$G$16)*INDEX(Curves!$BB$8:$BB$68,Products!$G$16+1),0)</f>
        <v/>
      </c>
      <c r="M122" s="80">
        <f>IF(M$4&gt;Products!$G$16,INDEX($E$109:$BL$109,1,M$4-Products!$G$16)*INDEX(Curves!$BB$8:$BB$68,Products!$G$16+1),0)</f>
        <v/>
      </c>
      <c r="N122" s="80">
        <f>IF(N$4&gt;Products!$G$16,INDEX($E$109:$BL$109,1,N$4-Products!$G$16)*INDEX(Curves!$BB$8:$BB$68,Products!$G$16+1),0)</f>
        <v/>
      </c>
      <c r="O122" s="80">
        <f>IF(O$4&gt;Products!$G$16,INDEX($E$109:$BL$109,1,O$4-Products!$G$16)*INDEX(Curves!$BB$8:$BB$68,Products!$G$16+1),0)</f>
        <v/>
      </c>
      <c r="P122" s="80">
        <f>IF(P$4&gt;Products!$G$16,INDEX($E$109:$BL$109,1,P$4-Products!$G$16)*INDEX(Curves!$BB$8:$BB$68,Products!$G$16+1),0)</f>
        <v/>
      </c>
      <c r="Q122" s="80">
        <f>IF(Q$4&gt;Products!$G$16,INDEX($E$109:$BL$109,1,Q$4-Products!$G$16)*INDEX(Curves!$BB$8:$BB$68,Products!$G$16+1),0)</f>
        <v/>
      </c>
      <c r="R122" s="80">
        <f>IF(R$4&gt;Products!$G$16,INDEX($E$109:$BL$109,1,R$4-Products!$G$16)*INDEX(Curves!$BB$8:$BB$68,Products!$G$16+1),0)</f>
        <v/>
      </c>
      <c r="S122" s="80">
        <f>IF(S$4&gt;Products!$G$16,INDEX($E$109:$BL$109,1,S$4-Products!$G$16)*INDEX(Curves!$BB$8:$BB$68,Products!$G$16+1),0)</f>
        <v/>
      </c>
      <c r="T122" s="80">
        <f>IF(T$4&gt;Products!$G$16,INDEX($E$109:$BL$109,1,T$4-Products!$G$16)*INDEX(Curves!$BB$8:$BB$68,Products!$G$16+1),0)</f>
        <v/>
      </c>
      <c r="U122" s="80">
        <f>IF(U$4&gt;Products!$G$16,INDEX($E$109:$BL$109,1,U$4-Products!$G$16)*INDEX(Curves!$BB$8:$BB$68,Products!$G$16+1),0)</f>
        <v/>
      </c>
      <c r="V122" s="80">
        <f>IF(V$4&gt;Products!$G$16,INDEX($E$109:$BL$109,1,V$4-Products!$G$16)*INDEX(Curves!$BB$8:$BB$68,Products!$G$16+1),0)</f>
        <v/>
      </c>
      <c r="W122" s="80">
        <f>IF(W$4&gt;Products!$G$16,INDEX($E$109:$BL$109,1,W$4-Products!$G$16)*INDEX(Curves!$BB$8:$BB$68,Products!$G$16+1),0)</f>
        <v/>
      </c>
      <c r="X122" s="80">
        <f>IF(X$4&gt;Products!$G$16,INDEX($E$109:$BL$109,1,X$4-Products!$G$16)*INDEX(Curves!$BB$8:$BB$68,Products!$G$16+1),0)</f>
        <v/>
      </c>
      <c r="Y122" s="80">
        <f>IF(Y$4&gt;Products!$G$16,INDEX($E$109:$BL$109,1,Y$4-Products!$G$16)*INDEX(Curves!$BB$8:$BB$68,Products!$G$16+1),0)</f>
        <v/>
      </c>
      <c r="Z122" s="80">
        <f>IF(Z$4&gt;Products!$G$16,INDEX($E$109:$BL$109,1,Z$4-Products!$G$16)*INDEX(Curves!$BB$8:$BB$68,Products!$G$16+1),0)</f>
        <v/>
      </c>
      <c r="AA122" s="80">
        <f>IF(AA$4&gt;Products!$G$16,INDEX($E$109:$BL$109,1,AA$4-Products!$G$16)*INDEX(Curves!$BB$8:$BB$68,Products!$G$16+1),0)</f>
        <v/>
      </c>
      <c r="AB122" s="80">
        <f>IF(AB$4&gt;Products!$G$16,INDEX($E$109:$BL$109,1,AB$4-Products!$G$16)*INDEX(Curves!$BB$8:$BB$68,Products!$G$16+1),0)</f>
        <v/>
      </c>
      <c r="AC122" s="80">
        <f>IF(AC$4&gt;Products!$G$16,INDEX($E$109:$BL$109,1,AC$4-Products!$G$16)*INDEX(Curves!$BB$8:$BB$68,Products!$G$16+1),0)</f>
        <v/>
      </c>
      <c r="AD122" s="80">
        <f>IF(AD$4&gt;Products!$G$16,INDEX($E$109:$BL$109,1,AD$4-Products!$G$16)*INDEX(Curves!$BB$8:$BB$68,Products!$G$16+1),0)</f>
        <v/>
      </c>
      <c r="AE122" s="80">
        <f>IF(AE$4&gt;Products!$G$16,INDEX($E$109:$BL$109,1,AE$4-Products!$G$16)*INDEX(Curves!$BB$8:$BB$68,Products!$G$16+1),0)</f>
        <v/>
      </c>
      <c r="AF122" s="80">
        <f>IF(AF$4&gt;Products!$G$16,INDEX($E$109:$BL$109,1,AF$4-Products!$G$16)*INDEX(Curves!$BB$8:$BB$68,Products!$G$16+1),0)</f>
        <v/>
      </c>
      <c r="AG122" s="80">
        <f>IF(AG$4&gt;Products!$G$16,INDEX($E$109:$BL$109,1,AG$4-Products!$G$16)*INDEX(Curves!$BB$8:$BB$68,Products!$G$16+1),0)</f>
        <v/>
      </c>
      <c r="AH122" s="80">
        <f>IF(AH$4&gt;Products!$G$16,INDEX($E$109:$BL$109,1,AH$4-Products!$G$16)*INDEX(Curves!$BB$8:$BB$68,Products!$G$16+1),0)</f>
        <v/>
      </c>
      <c r="AI122" s="80">
        <f>IF(AI$4&gt;Products!$G$16,INDEX($E$109:$BL$109,1,AI$4-Products!$G$16)*INDEX(Curves!$BB$8:$BB$68,Products!$G$16+1),0)</f>
        <v/>
      </c>
      <c r="AJ122" s="80">
        <f>IF(AJ$4&gt;Products!$G$16,INDEX($E$109:$BL$109,1,AJ$4-Products!$G$16)*INDEX(Curves!$BB$8:$BB$68,Products!$G$16+1),0)</f>
        <v/>
      </c>
      <c r="AK122" s="80">
        <f>IF(AK$4&gt;Products!$G$16,INDEX($E$109:$BL$109,1,AK$4-Products!$G$16)*INDEX(Curves!$BB$8:$BB$68,Products!$G$16+1),0)</f>
        <v/>
      </c>
      <c r="AL122" s="80">
        <f>IF(AL$4&gt;Products!$G$16,INDEX($E$109:$BL$109,1,AL$4-Products!$G$16)*INDEX(Curves!$BB$8:$BB$68,Products!$G$16+1),0)</f>
        <v/>
      </c>
      <c r="AM122" s="80">
        <f>IF(AM$4&gt;Products!$G$16,INDEX($E$109:$BL$109,1,AM$4-Products!$G$16)*INDEX(Curves!$BB$8:$BB$68,Products!$G$16+1),0)</f>
        <v/>
      </c>
      <c r="AN122" s="80">
        <f>IF(AN$4&gt;Products!$G$16,INDEX($E$109:$BL$109,1,AN$4-Products!$G$16)*INDEX(Curves!$BB$8:$BB$68,Products!$G$16+1),0)</f>
        <v/>
      </c>
      <c r="AO122" s="80">
        <f>IF(AO$4&gt;Products!$G$16,INDEX($E$109:$BL$109,1,AO$4-Products!$G$16)*INDEX(Curves!$BB$8:$BB$68,Products!$G$16+1),0)</f>
        <v/>
      </c>
      <c r="AP122" s="80">
        <f>IF(AP$4&gt;Products!$G$16,INDEX($E$109:$BL$109,1,AP$4-Products!$G$16)*INDEX(Curves!$BB$8:$BB$68,Products!$G$16+1),0)</f>
        <v/>
      </c>
      <c r="AQ122" s="80">
        <f>IF(AQ$4&gt;Products!$G$16,INDEX($E$109:$BL$109,1,AQ$4-Products!$G$16)*INDEX(Curves!$BB$8:$BB$68,Products!$G$16+1),0)</f>
        <v/>
      </c>
      <c r="AR122" s="80">
        <f>IF(AR$4&gt;Products!$G$16,INDEX($E$109:$BL$109,1,AR$4-Products!$G$16)*INDEX(Curves!$BB$8:$BB$68,Products!$G$16+1),0)</f>
        <v/>
      </c>
      <c r="AS122" s="80">
        <f>IF(AS$4&gt;Products!$G$16,INDEX($E$109:$BL$109,1,AS$4-Products!$G$16)*INDEX(Curves!$BB$8:$BB$68,Products!$G$16+1),0)</f>
        <v/>
      </c>
      <c r="AT122" s="80">
        <f>IF(AT$4&gt;Products!$G$16,INDEX($E$109:$BL$109,1,AT$4-Products!$G$16)*INDEX(Curves!$BB$8:$BB$68,Products!$G$16+1),0)</f>
        <v/>
      </c>
      <c r="AU122" s="80">
        <f>IF(AU$4&gt;Products!$G$16,INDEX($E$109:$BL$109,1,AU$4-Products!$G$16)*INDEX(Curves!$BB$8:$BB$68,Products!$G$16+1),0)</f>
        <v/>
      </c>
      <c r="AV122" s="80">
        <f>IF(AV$4&gt;Products!$G$16,INDEX($E$109:$BL$109,1,AV$4-Products!$G$16)*INDEX(Curves!$BB$8:$BB$68,Products!$G$16+1),0)</f>
        <v/>
      </c>
      <c r="AW122" s="80">
        <f>IF(AW$4&gt;Products!$G$16,INDEX($E$109:$BL$109,1,AW$4-Products!$G$16)*INDEX(Curves!$BB$8:$BB$68,Products!$G$16+1),0)</f>
        <v/>
      </c>
      <c r="AX122" s="80">
        <f>IF(AX$4&gt;Products!$G$16,INDEX($E$109:$BL$109,1,AX$4-Products!$G$16)*INDEX(Curves!$BB$8:$BB$68,Products!$G$16+1),0)</f>
        <v/>
      </c>
      <c r="AY122" s="80">
        <f>IF(AY$4&gt;Products!$G$16,INDEX($E$109:$BL$109,1,AY$4-Products!$G$16)*INDEX(Curves!$BB$8:$BB$68,Products!$G$16+1),0)</f>
        <v/>
      </c>
      <c r="AZ122" s="80">
        <f>IF(AZ$4&gt;Products!$G$16,INDEX($E$109:$BL$109,1,AZ$4-Products!$G$16)*INDEX(Curves!$BB$8:$BB$68,Products!$G$16+1),0)</f>
        <v/>
      </c>
      <c r="BA122" s="80">
        <f>IF(BA$4&gt;Products!$G$16,INDEX($E$109:$BL$109,1,BA$4-Products!$G$16)*INDEX(Curves!$BB$8:$BB$68,Products!$G$16+1),0)</f>
        <v/>
      </c>
      <c r="BB122" s="80">
        <f>IF(BB$4&gt;Products!$G$16,INDEX($E$109:$BL$109,1,BB$4-Products!$G$16)*INDEX(Curves!$BB$8:$BB$68,Products!$G$16+1),0)</f>
        <v/>
      </c>
      <c r="BC122" s="80">
        <f>IF(BC$4&gt;Products!$G$16,INDEX($E$109:$BL$109,1,BC$4-Products!$G$16)*INDEX(Curves!$BB$8:$BB$68,Products!$G$16+1),0)</f>
        <v/>
      </c>
      <c r="BD122" s="80">
        <f>IF(BD$4&gt;Products!$G$16,INDEX($E$109:$BL$109,1,BD$4-Products!$G$16)*INDEX(Curves!$BB$8:$BB$68,Products!$G$16+1),0)</f>
        <v/>
      </c>
      <c r="BE122" s="80">
        <f>IF(BE$4&gt;Products!$G$16,INDEX($E$109:$BL$109,1,BE$4-Products!$G$16)*INDEX(Curves!$BB$8:$BB$68,Products!$G$16+1),0)</f>
        <v/>
      </c>
      <c r="BF122" s="80">
        <f>IF(BF$4&gt;Products!$G$16,INDEX($E$109:$BL$109,1,BF$4-Products!$G$16)*INDEX(Curves!$BB$8:$BB$68,Products!$G$16+1),0)</f>
        <v/>
      </c>
      <c r="BG122" s="80">
        <f>IF(BG$4&gt;Products!$G$16,INDEX($E$109:$BL$109,1,BG$4-Products!$G$16)*INDEX(Curves!$BB$8:$BB$68,Products!$G$16+1),0)</f>
        <v/>
      </c>
      <c r="BH122" s="80">
        <f>IF(BH$4&gt;Products!$G$16,INDEX($E$109:$BL$109,1,BH$4-Products!$G$16)*INDEX(Curves!$BB$8:$BB$68,Products!$G$16+1),0)</f>
        <v/>
      </c>
      <c r="BI122" s="80">
        <f>IF(BI$4&gt;Products!$G$16,INDEX($E$109:$BL$109,1,BI$4-Products!$G$16)*INDEX(Curves!$BB$8:$BB$68,Products!$G$16+1),0)</f>
        <v/>
      </c>
      <c r="BJ122" s="80">
        <f>IF(BJ$4&gt;Products!$G$16,INDEX($E$109:$BL$109,1,BJ$4-Products!$G$16)*INDEX(Curves!$BB$8:$BB$68,Products!$G$16+1),0)</f>
        <v/>
      </c>
      <c r="BK122" s="80">
        <f>IF(BK$4&gt;Products!$G$16,INDEX($E$109:$BL$109,1,BK$4-Products!$G$16)*INDEX(Curves!$BB$8:$BB$68,Products!$G$16+1),0)</f>
        <v/>
      </c>
      <c r="BL122" s="80">
        <f>IF(BL$4&gt;Products!$G$16,INDEX($E$109:$BL$109,1,BL$4-Products!$G$16)*INDEX(Curves!$BB$8:$BB$68,Products!$G$16+1),0)</f>
        <v/>
      </c>
    </row>
    <row r="123">
      <c r="A123" s="98" t="inlineStr">
        <is>
          <t>Receivables at risk (carrying amount, accounts that stopped paying)</t>
        </is>
      </c>
      <c r="B123" s="65" t="inlineStr">
        <is>
          <t>LCY</t>
        </is>
      </c>
      <c r="C123" s="105">
        <f>BL123</f>
        <v/>
      </c>
      <c r="E123" s="41">
        <f>Cohort_T5!E$135</f>
        <v/>
      </c>
      <c r="F123" s="41">
        <f>Cohort_T5!F$135</f>
        <v/>
      </c>
      <c r="G123" s="41">
        <f>Cohort_T5!G$135</f>
        <v/>
      </c>
      <c r="H123" s="41">
        <f>Cohort_T5!H$135</f>
        <v/>
      </c>
      <c r="I123" s="41">
        <f>Cohort_T5!I$135</f>
        <v/>
      </c>
      <c r="J123" s="41">
        <f>Cohort_T5!J$135</f>
        <v/>
      </c>
      <c r="K123" s="41">
        <f>Cohort_T5!K$135</f>
        <v/>
      </c>
      <c r="L123" s="41">
        <f>Cohort_T5!L$135</f>
        <v/>
      </c>
      <c r="M123" s="41">
        <f>Cohort_T5!M$135</f>
        <v/>
      </c>
      <c r="N123" s="41">
        <f>Cohort_T5!N$135</f>
        <v/>
      </c>
      <c r="O123" s="41">
        <f>Cohort_T5!O$135</f>
        <v/>
      </c>
      <c r="P123" s="41">
        <f>Cohort_T5!P$135</f>
        <v/>
      </c>
      <c r="Q123" s="41">
        <f>Cohort_T5!Q$135</f>
        <v/>
      </c>
      <c r="R123" s="41">
        <f>Cohort_T5!R$135</f>
        <v/>
      </c>
      <c r="S123" s="41">
        <f>Cohort_T5!S$135</f>
        <v/>
      </c>
      <c r="T123" s="41">
        <f>Cohort_T5!T$135</f>
        <v/>
      </c>
      <c r="U123" s="41">
        <f>Cohort_T5!U$135</f>
        <v/>
      </c>
      <c r="V123" s="41">
        <f>Cohort_T5!V$135</f>
        <v/>
      </c>
      <c r="W123" s="41">
        <f>Cohort_T5!W$135</f>
        <v/>
      </c>
      <c r="X123" s="41">
        <f>Cohort_T5!X$135</f>
        <v/>
      </c>
      <c r="Y123" s="41">
        <f>Cohort_T5!Y$135</f>
        <v/>
      </c>
      <c r="Z123" s="41">
        <f>Cohort_T5!Z$135</f>
        <v/>
      </c>
      <c r="AA123" s="41">
        <f>Cohort_T5!AA$135</f>
        <v/>
      </c>
      <c r="AB123" s="41">
        <f>Cohort_T5!AB$135</f>
        <v/>
      </c>
      <c r="AC123" s="41">
        <f>Cohort_T5!AC$135</f>
        <v/>
      </c>
      <c r="AD123" s="41">
        <f>Cohort_T5!AD$135</f>
        <v/>
      </c>
      <c r="AE123" s="41">
        <f>Cohort_T5!AE$135</f>
        <v/>
      </c>
      <c r="AF123" s="41">
        <f>Cohort_T5!AF$135</f>
        <v/>
      </c>
      <c r="AG123" s="41">
        <f>Cohort_T5!AG$135</f>
        <v/>
      </c>
      <c r="AH123" s="41">
        <f>Cohort_T5!AH$135</f>
        <v/>
      </c>
      <c r="AI123" s="41">
        <f>Cohort_T5!AI$135</f>
        <v/>
      </c>
      <c r="AJ123" s="41">
        <f>Cohort_T5!AJ$135</f>
        <v/>
      </c>
      <c r="AK123" s="41">
        <f>Cohort_T5!AK$135</f>
        <v/>
      </c>
      <c r="AL123" s="41">
        <f>Cohort_T5!AL$135</f>
        <v/>
      </c>
      <c r="AM123" s="41">
        <f>Cohort_T5!AM$135</f>
        <v/>
      </c>
      <c r="AN123" s="41">
        <f>Cohort_T5!AN$135</f>
        <v/>
      </c>
      <c r="AO123" s="41">
        <f>Cohort_T5!AO$135</f>
        <v/>
      </c>
      <c r="AP123" s="41">
        <f>Cohort_T5!AP$135</f>
        <v/>
      </c>
      <c r="AQ123" s="41">
        <f>Cohort_T5!AQ$135</f>
        <v/>
      </c>
      <c r="AR123" s="41">
        <f>Cohort_T5!AR$135</f>
        <v/>
      </c>
      <c r="AS123" s="41">
        <f>Cohort_T5!AS$135</f>
        <v/>
      </c>
      <c r="AT123" s="41">
        <f>Cohort_T5!AT$135</f>
        <v/>
      </c>
      <c r="AU123" s="41">
        <f>Cohort_T5!AU$135</f>
        <v/>
      </c>
      <c r="AV123" s="41">
        <f>Cohort_T5!AV$135</f>
        <v/>
      </c>
      <c r="AW123" s="41">
        <f>Cohort_T5!AW$135</f>
        <v/>
      </c>
      <c r="AX123" s="41">
        <f>Cohort_T5!AX$135</f>
        <v/>
      </c>
      <c r="AY123" s="41">
        <f>Cohort_T5!AY$135</f>
        <v/>
      </c>
      <c r="AZ123" s="41">
        <f>Cohort_T5!AZ$135</f>
        <v/>
      </c>
      <c r="BA123" s="41">
        <f>Cohort_T5!BA$135</f>
        <v/>
      </c>
      <c r="BB123" s="41">
        <f>Cohort_T5!BB$135</f>
        <v/>
      </c>
      <c r="BC123" s="41">
        <f>Cohort_T5!BC$135</f>
        <v/>
      </c>
      <c r="BD123" s="41">
        <f>Cohort_T5!BD$135</f>
        <v/>
      </c>
      <c r="BE123" s="41">
        <f>Cohort_T5!BE$135</f>
        <v/>
      </c>
      <c r="BF123" s="41">
        <f>Cohort_T5!BF$135</f>
        <v/>
      </c>
      <c r="BG123" s="41">
        <f>Cohort_T5!BG$135</f>
        <v/>
      </c>
      <c r="BH123" s="41">
        <f>Cohort_T5!BH$135</f>
        <v/>
      </c>
      <c r="BI123" s="41">
        <f>Cohort_T5!BI$135</f>
        <v/>
      </c>
      <c r="BJ123" s="41">
        <f>Cohort_T5!BJ$135</f>
        <v/>
      </c>
      <c r="BK123" s="41">
        <f>Cohort_T5!BK$135</f>
        <v/>
      </c>
      <c r="BL123" s="41">
        <f>Cohort_T5!BL$135</f>
        <v/>
      </c>
    </row>
    <row r="124">
      <c r="A124" s="98" t="inlineStr">
        <is>
          <t>Gross PAYGo receivables (closing)</t>
        </is>
      </c>
      <c r="B124" s="65" t="inlineStr">
        <is>
          <t>LCY</t>
        </is>
      </c>
      <c r="C124" s="105">
        <f>BL124</f>
        <v/>
      </c>
      <c r="E124" s="80">
        <f>D124+E113+E117-E115-E116</f>
        <v/>
      </c>
      <c r="F124" s="80">
        <f>E124+F113+F117-F115-F116</f>
        <v/>
      </c>
      <c r="G124" s="80">
        <f>F124+G113+G117-G115-G116</f>
        <v/>
      </c>
      <c r="H124" s="80">
        <f>G124+H113+H117-H115-H116</f>
        <v/>
      </c>
      <c r="I124" s="80">
        <f>H124+I113+I117-I115-I116</f>
        <v/>
      </c>
      <c r="J124" s="80">
        <f>I124+J113+J117-J115-J116</f>
        <v/>
      </c>
      <c r="K124" s="80">
        <f>J124+K113+K117-K115-K116</f>
        <v/>
      </c>
      <c r="L124" s="80">
        <f>K124+L113+L117-L115-L116</f>
        <v/>
      </c>
      <c r="M124" s="80">
        <f>L124+M113+M117-M115-M116</f>
        <v/>
      </c>
      <c r="N124" s="80">
        <f>M124+N113+N117-N115-N116</f>
        <v/>
      </c>
      <c r="O124" s="80">
        <f>N124+O113+O117-O115-O116</f>
        <v/>
      </c>
      <c r="P124" s="80">
        <f>O124+P113+P117-P115-P116</f>
        <v/>
      </c>
      <c r="Q124" s="80">
        <f>P124+Q113+Q117-Q115-Q116</f>
        <v/>
      </c>
      <c r="R124" s="80">
        <f>Q124+R113+R117-R115-R116</f>
        <v/>
      </c>
      <c r="S124" s="80">
        <f>R124+S113+S117-S115-S116</f>
        <v/>
      </c>
      <c r="T124" s="80">
        <f>S124+T113+T117-T115-T116</f>
        <v/>
      </c>
      <c r="U124" s="80">
        <f>T124+U113+U117-U115-U116</f>
        <v/>
      </c>
      <c r="V124" s="80">
        <f>U124+V113+V117-V115-V116</f>
        <v/>
      </c>
      <c r="W124" s="80">
        <f>V124+W113+W117-W115-W116</f>
        <v/>
      </c>
      <c r="X124" s="80">
        <f>W124+X113+X117-X115-X116</f>
        <v/>
      </c>
      <c r="Y124" s="80">
        <f>X124+Y113+Y117-Y115-Y116</f>
        <v/>
      </c>
      <c r="Z124" s="80">
        <f>Y124+Z113+Z117-Z115-Z116</f>
        <v/>
      </c>
      <c r="AA124" s="80">
        <f>Z124+AA113+AA117-AA115-AA116</f>
        <v/>
      </c>
      <c r="AB124" s="80">
        <f>AA124+AB113+AB117-AB115-AB116</f>
        <v/>
      </c>
      <c r="AC124" s="80">
        <f>AB124+AC113+AC117-AC115-AC116</f>
        <v/>
      </c>
      <c r="AD124" s="80">
        <f>AC124+AD113+AD117-AD115-AD116</f>
        <v/>
      </c>
      <c r="AE124" s="80">
        <f>AD124+AE113+AE117-AE115-AE116</f>
        <v/>
      </c>
      <c r="AF124" s="80">
        <f>AE124+AF113+AF117-AF115-AF116</f>
        <v/>
      </c>
      <c r="AG124" s="80">
        <f>AF124+AG113+AG117-AG115-AG116</f>
        <v/>
      </c>
      <c r="AH124" s="80">
        <f>AG124+AH113+AH117-AH115-AH116</f>
        <v/>
      </c>
      <c r="AI124" s="80">
        <f>AH124+AI113+AI117-AI115-AI116</f>
        <v/>
      </c>
      <c r="AJ124" s="80">
        <f>AI124+AJ113+AJ117-AJ115-AJ116</f>
        <v/>
      </c>
      <c r="AK124" s="80">
        <f>AJ124+AK113+AK117-AK115-AK116</f>
        <v/>
      </c>
      <c r="AL124" s="80">
        <f>AK124+AL113+AL117-AL115-AL116</f>
        <v/>
      </c>
      <c r="AM124" s="80">
        <f>AL124+AM113+AM117-AM115-AM116</f>
        <v/>
      </c>
      <c r="AN124" s="80">
        <f>AM124+AN113+AN117-AN115-AN116</f>
        <v/>
      </c>
      <c r="AO124" s="80">
        <f>AN124+AO113+AO117-AO115-AO116</f>
        <v/>
      </c>
      <c r="AP124" s="80">
        <f>AO124+AP113+AP117-AP115-AP116</f>
        <v/>
      </c>
      <c r="AQ124" s="80">
        <f>AP124+AQ113+AQ117-AQ115-AQ116</f>
        <v/>
      </c>
      <c r="AR124" s="80">
        <f>AQ124+AR113+AR117-AR115-AR116</f>
        <v/>
      </c>
      <c r="AS124" s="80">
        <f>AR124+AS113+AS117-AS115-AS116</f>
        <v/>
      </c>
      <c r="AT124" s="80">
        <f>AS124+AT113+AT117-AT115-AT116</f>
        <v/>
      </c>
      <c r="AU124" s="80">
        <f>AT124+AU113+AU117-AU115-AU116</f>
        <v/>
      </c>
      <c r="AV124" s="80">
        <f>AU124+AV113+AV117-AV115-AV116</f>
        <v/>
      </c>
      <c r="AW124" s="80">
        <f>AV124+AW113+AW117-AW115-AW116</f>
        <v/>
      </c>
      <c r="AX124" s="80">
        <f>AW124+AX113+AX117-AX115-AX116</f>
        <v/>
      </c>
      <c r="AY124" s="80">
        <f>AX124+AY113+AY117-AY115-AY116</f>
        <v/>
      </c>
      <c r="AZ124" s="80">
        <f>AY124+AZ113+AZ117-AZ115-AZ116</f>
        <v/>
      </c>
      <c r="BA124" s="80">
        <f>AZ124+BA113+BA117-BA115-BA116</f>
        <v/>
      </c>
      <c r="BB124" s="80">
        <f>BA124+BB113+BB117-BB115-BB116</f>
        <v/>
      </c>
      <c r="BC124" s="80">
        <f>BB124+BC113+BC117-BC115-BC116</f>
        <v/>
      </c>
      <c r="BD124" s="80">
        <f>BC124+BD113+BD117-BD115-BD116</f>
        <v/>
      </c>
      <c r="BE124" s="80">
        <f>BD124+BE113+BE117-BE115-BE116</f>
        <v/>
      </c>
      <c r="BF124" s="80">
        <f>BE124+BF113+BF117-BF115-BF116</f>
        <v/>
      </c>
      <c r="BG124" s="80">
        <f>BF124+BG113+BG117-BG115-BG116</f>
        <v/>
      </c>
      <c r="BH124" s="80">
        <f>BG124+BH113+BH117-BH115-BH116</f>
        <v/>
      </c>
      <c r="BI124" s="80">
        <f>BH124+BI113+BI117-BI115-BI116</f>
        <v/>
      </c>
      <c r="BJ124" s="80">
        <f>BI124+BJ113+BJ117-BJ115-BJ116</f>
        <v/>
      </c>
      <c r="BK124" s="80">
        <f>BJ124+BK113+BK117-BK115-BK116</f>
        <v/>
      </c>
      <c r="BL124" s="80">
        <f>BK124+BL113+BL117-BL115-BL116</f>
        <v/>
      </c>
    </row>
    <row r="125">
      <c r="A125" s="98" t="inlineStr">
        <is>
          <t>Eligible receivables (Credit_Engine, max-DPD rule)</t>
        </is>
      </c>
      <c r="B125" s="65" t="inlineStr">
        <is>
          <t>LCY</t>
        </is>
      </c>
      <c r="C125" s="105">
        <f>BL125</f>
        <v/>
      </c>
      <c r="E125" s="41">
        <f>Credit_Engine!E$257</f>
        <v/>
      </c>
      <c r="F125" s="41">
        <f>Credit_Engine!F$257</f>
        <v/>
      </c>
      <c r="G125" s="41">
        <f>Credit_Engine!G$257</f>
        <v/>
      </c>
      <c r="H125" s="41">
        <f>Credit_Engine!H$257</f>
        <v/>
      </c>
      <c r="I125" s="41">
        <f>Credit_Engine!I$257</f>
        <v/>
      </c>
      <c r="J125" s="41">
        <f>Credit_Engine!J$257</f>
        <v/>
      </c>
      <c r="K125" s="41">
        <f>Credit_Engine!K$257</f>
        <v/>
      </c>
      <c r="L125" s="41">
        <f>Credit_Engine!L$257</f>
        <v/>
      </c>
      <c r="M125" s="41">
        <f>Credit_Engine!M$257</f>
        <v/>
      </c>
      <c r="N125" s="41">
        <f>Credit_Engine!N$257</f>
        <v/>
      </c>
      <c r="O125" s="41">
        <f>Credit_Engine!O$257</f>
        <v/>
      </c>
      <c r="P125" s="41">
        <f>Credit_Engine!P$257</f>
        <v/>
      </c>
      <c r="Q125" s="41">
        <f>Credit_Engine!Q$257</f>
        <v/>
      </c>
      <c r="R125" s="41">
        <f>Credit_Engine!R$257</f>
        <v/>
      </c>
      <c r="S125" s="41">
        <f>Credit_Engine!S$257</f>
        <v/>
      </c>
      <c r="T125" s="41">
        <f>Credit_Engine!T$257</f>
        <v/>
      </c>
      <c r="U125" s="41">
        <f>Credit_Engine!U$257</f>
        <v/>
      </c>
      <c r="V125" s="41">
        <f>Credit_Engine!V$257</f>
        <v/>
      </c>
      <c r="W125" s="41">
        <f>Credit_Engine!W$257</f>
        <v/>
      </c>
      <c r="X125" s="41">
        <f>Credit_Engine!X$257</f>
        <v/>
      </c>
      <c r="Y125" s="41">
        <f>Credit_Engine!Y$257</f>
        <v/>
      </c>
      <c r="Z125" s="41">
        <f>Credit_Engine!Z$257</f>
        <v/>
      </c>
      <c r="AA125" s="41">
        <f>Credit_Engine!AA$257</f>
        <v/>
      </c>
      <c r="AB125" s="41">
        <f>Credit_Engine!AB$257</f>
        <v/>
      </c>
      <c r="AC125" s="41">
        <f>Credit_Engine!AC$257</f>
        <v/>
      </c>
      <c r="AD125" s="41">
        <f>Credit_Engine!AD$257</f>
        <v/>
      </c>
      <c r="AE125" s="41">
        <f>Credit_Engine!AE$257</f>
        <v/>
      </c>
      <c r="AF125" s="41">
        <f>Credit_Engine!AF$257</f>
        <v/>
      </c>
      <c r="AG125" s="41">
        <f>Credit_Engine!AG$257</f>
        <v/>
      </c>
      <c r="AH125" s="41">
        <f>Credit_Engine!AH$257</f>
        <v/>
      </c>
      <c r="AI125" s="41">
        <f>Credit_Engine!AI$257</f>
        <v/>
      </c>
      <c r="AJ125" s="41">
        <f>Credit_Engine!AJ$257</f>
        <v/>
      </c>
      <c r="AK125" s="41">
        <f>Credit_Engine!AK$257</f>
        <v/>
      </c>
      <c r="AL125" s="41">
        <f>Credit_Engine!AL$257</f>
        <v/>
      </c>
      <c r="AM125" s="41">
        <f>Credit_Engine!AM$257</f>
        <v/>
      </c>
      <c r="AN125" s="41">
        <f>Credit_Engine!AN$257</f>
        <v/>
      </c>
      <c r="AO125" s="41">
        <f>Credit_Engine!AO$257</f>
        <v/>
      </c>
      <c r="AP125" s="41">
        <f>Credit_Engine!AP$257</f>
        <v/>
      </c>
      <c r="AQ125" s="41">
        <f>Credit_Engine!AQ$257</f>
        <v/>
      </c>
      <c r="AR125" s="41">
        <f>Credit_Engine!AR$257</f>
        <v/>
      </c>
      <c r="AS125" s="41">
        <f>Credit_Engine!AS$257</f>
        <v/>
      </c>
      <c r="AT125" s="41">
        <f>Credit_Engine!AT$257</f>
        <v/>
      </c>
      <c r="AU125" s="41">
        <f>Credit_Engine!AU$257</f>
        <v/>
      </c>
      <c r="AV125" s="41">
        <f>Credit_Engine!AV$257</f>
        <v/>
      </c>
      <c r="AW125" s="41">
        <f>Credit_Engine!AW$257</f>
        <v/>
      </c>
      <c r="AX125" s="41">
        <f>Credit_Engine!AX$257</f>
        <v/>
      </c>
      <c r="AY125" s="41">
        <f>Credit_Engine!AY$257</f>
        <v/>
      </c>
      <c r="AZ125" s="41">
        <f>Credit_Engine!AZ$257</f>
        <v/>
      </c>
      <c r="BA125" s="41">
        <f>Credit_Engine!BA$257</f>
        <v/>
      </c>
      <c r="BB125" s="41">
        <f>Credit_Engine!BB$257</f>
        <v/>
      </c>
      <c r="BC125" s="41">
        <f>Credit_Engine!BC$257</f>
        <v/>
      </c>
      <c r="BD125" s="41">
        <f>Credit_Engine!BD$257</f>
        <v/>
      </c>
      <c r="BE125" s="41">
        <f>Credit_Engine!BE$257</f>
        <v/>
      </c>
      <c r="BF125" s="41">
        <f>Credit_Engine!BF$257</f>
        <v/>
      </c>
      <c r="BG125" s="41">
        <f>Credit_Engine!BG$257</f>
        <v/>
      </c>
      <c r="BH125" s="41">
        <f>Credit_Engine!BH$257</f>
        <v/>
      </c>
      <c r="BI125" s="41">
        <f>Credit_Engine!BI$257</f>
        <v/>
      </c>
      <c r="BJ125" s="41">
        <f>Credit_Engine!BJ$257</f>
        <v/>
      </c>
      <c r="BK125" s="41">
        <f>Credit_Engine!BK$257</f>
        <v/>
      </c>
      <c r="BL125" s="41">
        <f>Credit_Engine!BL$257</f>
        <v/>
      </c>
    </row>
    <row r="126">
      <c r="A126" s="98" t="inlineStr">
        <is>
          <t>Borrowing-base contribution (advance rate x eligible)</t>
        </is>
      </c>
      <c r="B126" s="65" t="inlineStr">
        <is>
          <t>LCY</t>
        </is>
      </c>
      <c r="C126" s="105">
        <f>BL126</f>
        <v/>
      </c>
      <c r="E126" s="80">
        <f>E125*Products!$G$31</f>
        <v/>
      </c>
      <c r="F126" s="80">
        <f>F125*Products!$G$31</f>
        <v/>
      </c>
      <c r="G126" s="80">
        <f>G125*Products!$G$31</f>
        <v/>
      </c>
      <c r="H126" s="80">
        <f>H125*Products!$G$31</f>
        <v/>
      </c>
      <c r="I126" s="80">
        <f>I125*Products!$G$31</f>
        <v/>
      </c>
      <c r="J126" s="80">
        <f>J125*Products!$G$31</f>
        <v/>
      </c>
      <c r="K126" s="80">
        <f>K125*Products!$G$31</f>
        <v/>
      </c>
      <c r="L126" s="80">
        <f>L125*Products!$G$31</f>
        <v/>
      </c>
      <c r="M126" s="80">
        <f>M125*Products!$G$31</f>
        <v/>
      </c>
      <c r="N126" s="80">
        <f>N125*Products!$G$31</f>
        <v/>
      </c>
      <c r="O126" s="80">
        <f>O125*Products!$G$31</f>
        <v/>
      </c>
      <c r="P126" s="80">
        <f>P125*Products!$G$31</f>
        <v/>
      </c>
      <c r="Q126" s="80">
        <f>Q125*Products!$G$31</f>
        <v/>
      </c>
      <c r="R126" s="80">
        <f>R125*Products!$G$31</f>
        <v/>
      </c>
      <c r="S126" s="80">
        <f>S125*Products!$G$31</f>
        <v/>
      </c>
      <c r="T126" s="80">
        <f>T125*Products!$G$31</f>
        <v/>
      </c>
      <c r="U126" s="80">
        <f>U125*Products!$G$31</f>
        <v/>
      </c>
      <c r="V126" s="80">
        <f>V125*Products!$G$31</f>
        <v/>
      </c>
      <c r="W126" s="80">
        <f>W125*Products!$G$31</f>
        <v/>
      </c>
      <c r="X126" s="80">
        <f>X125*Products!$G$31</f>
        <v/>
      </c>
      <c r="Y126" s="80">
        <f>Y125*Products!$G$31</f>
        <v/>
      </c>
      <c r="Z126" s="80">
        <f>Z125*Products!$G$31</f>
        <v/>
      </c>
      <c r="AA126" s="80">
        <f>AA125*Products!$G$31</f>
        <v/>
      </c>
      <c r="AB126" s="80">
        <f>AB125*Products!$G$31</f>
        <v/>
      </c>
      <c r="AC126" s="80">
        <f>AC125*Products!$G$31</f>
        <v/>
      </c>
      <c r="AD126" s="80">
        <f>AD125*Products!$G$31</f>
        <v/>
      </c>
      <c r="AE126" s="80">
        <f>AE125*Products!$G$31</f>
        <v/>
      </c>
      <c r="AF126" s="80">
        <f>AF125*Products!$G$31</f>
        <v/>
      </c>
      <c r="AG126" s="80">
        <f>AG125*Products!$G$31</f>
        <v/>
      </c>
      <c r="AH126" s="80">
        <f>AH125*Products!$G$31</f>
        <v/>
      </c>
      <c r="AI126" s="80">
        <f>AI125*Products!$G$31</f>
        <v/>
      </c>
      <c r="AJ126" s="80">
        <f>AJ125*Products!$G$31</f>
        <v/>
      </c>
      <c r="AK126" s="80">
        <f>AK125*Products!$G$31</f>
        <v/>
      </c>
      <c r="AL126" s="80">
        <f>AL125*Products!$G$31</f>
        <v/>
      </c>
      <c r="AM126" s="80">
        <f>AM125*Products!$G$31</f>
        <v/>
      </c>
      <c r="AN126" s="80">
        <f>AN125*Products!$G$31</f>
        <v/>
      </c>
      <c r="AO126" s="80">
        <f>AO125*Products!$G$31</f>
        <v/>
      </c>
      <c r="AP126" s="80">
        <f>AP125*Products!$G$31</f>
        <v/>
      </c>
      <c r="AQ126" s="80">
        <f>AQ125*Products!$G$31</f>
        <v/>
      </c>
      <c r="AR126" s="80">
        <f>AR125*Products!$G$31</f>
        <v/>
      </c>
      <c r="AS126" s="80">
        <f>AS125*Products!$G$31</f>
        <v/>
      </c>
      <c r="AT126" s="80">
        <f>AT125*Products!$G$31</f>
        <v/>
      </c>
      <c r="AU126" s="80">
        <f>AU125*Products!$G$31</f>
        <v/>
      </c>
      <c r="AV126" s="80">
        <f>AV125*Products!$G$31</f>
        <v/>
      </c>
      <c r="AW126" s="80">
        <f>AW125*Products!$G$31</f>
        <v/>
      </c>
      <c r="AX126" s="80">
        <f>AX125*Products!$G$31</f>
        <v/>
      </c>
      <c r="AY126" s="80">
        <f>AY125*Products!$G$31</f>
        <v/>
      </c>
      <c r="AZ126" s="80">
        <f>AZ125*Products!$G$31</f>
        <v/>
      </c>
      <c r="BA126" s="80">
        <f>BA125*Products!$G$31</f>
        <v/>
      </c>
      <c r="BB126" s="80">
        <f>BB125*Products!$G$31</f>
        <v/>
      </c>
      <c r="BC126" s="80">
        <f>BC125*Products!$G$31</f>
        <v/>
      </c>
      <c r="BD126" s="80">
        <f>BD125*Products!$G$31</f>
        <v/>
      </c>
      <c r="BE126" s="80">
        <f>BE125*Products!$G$31</f>
        <v/>
      </c>
      <c r="BF126" s="80">
        <f>BF125*Products!$G$31</f>
        <v/>
      </c>
      <c r="BG126" s="80">
        <f>BG125*Products!$G$31</f>
        <v/>
      </c>
      <c r="BH126" s="80">
        <f>BH125*Products!$G$31</f>
        <v/>
      </c>
      <c r="BI126" s="80">
        <f>BI125*Products!$G$31</f>
        <v/>
      </c>
      <c r="BJ126" s="80">
        <f>BJ125*Products!$G$31</f>
        <v/>
      </c>
      <c r="BK126" s="80">
        <f>BK125*Products!$G$31</f>
        <v/>
      </c>
      <c r="BL126" s="80">
        <f>BL125*Products!$G$31</f>
        <v/>
      </c>
    </row>
    <row r="127">
      <c r="A127" s="98" t="inlineStr">
        <is>
          <t>Landed hardware cost of units sold</t>
        </is>
      </c>
      <c r="B127" s="65" t="inlineStr">
        <is>
          <t>LCY</t>
        </is>
      </c>
      <c r="C127" s="105">
        <f>SUM(E127:BL127)</f>
        <v/>
      </c>
      <c r="E127" s="80">
        <f>E109*Products!$G$18*(1+Inputs!$C$28)*Timeline!E$8*Scenarios!$G$9</f>
        <v/>
      </c>
      <c r="F127" s="80">
        <f>F109*Products!$G$18*(1+Inputs!$C$28)*Timeline!F$8*Scenarios!$G$9</f>
        <v/>
      </c>
      <c r="G127" s="80">
        <f>G109*Products!$G$18*(1+Inputs!$C$28)*Timeline!G$8*Scenarios!$G$9</f>
        <v/>
      </c>
      <c r="H127" s="80">
        <f>H109*Products!$G$18*(1+Inputs!$C$28)*Timeline!H$8*Scenarios!$G$9</f>
        <v/>
      </c>
      <c r="I127" s="80">
        <f>I109*Products!$G$18*(1+Inputs!$C$28)*Timeline!I$8*Scenarios!$G$9</f>
        <v/>
      </c>
      <c r="J127" s="80">
        <f>J109*Products!$G$18*(1+Inputs!$C$28)*Timeline!J$8*Scenarios!$G$9</f>
        <v/>
      </c>
      <c r="K127" s="80">
        <f>K109*Products!$G$18*(1+Inputs!$C$28)*Timeline!K$8*Scenarios!$G$9</f>
        <v/>
      </c>
      <c r="L127" s="80">
        <f>L109*Products!$G$18*(1+Inputs!$C$28)*Timeline!L$8*Scenarios!$G$9</f>
        <v/>
      </c>
      <c r="M127" s="80">
        <f>M109*Products!$G$18*(1+Inputs!$C$28)*Timeline!M$8*Scenarios!$G$9</f>
        <v/>
      </c>
      <c r="N127" s="80">
        <f>N109*Products!$G$18*(1+Inputs!$C$28)*Timeline!N$8*Scenarios!$G$9</f>
        <v/>
      </c>
      <c r="O127" s="80">
        <f>O109*Products!$G$18*(1+Inputs!$C$28)*Timeline!O$8*Scenarios!$G$9</f>
        <v/>
      </c>
      <c r="P127" s="80">
        <f>P109*Products!$G$18*(1+Inputs!$C$28)*Timeline!P$8*Scenarios!$G$9</f>
        <v/>
      </c>
      <c r="Q127" s="80">
        <f>Q109*Products!$G$18*(1+Inputs!$C$28)*Timeline!Q$8*Scenarios!$G$9</f>
        <v/>
      </c>
      <c r="R127" s="80">
        <f>R109*Products!$G$18*(1+Inputs!$C$28)*Timeline!R$8*Scenarios!$G$9</f>
        <v/>
      </c>
      <c r="S127" s="80">
        <f>S109*Products!$G$18*(1+Inputs!$C$28)*Timeline!S$8*Scenarios!$G$9</f>
        <v/>
      </c>
      <c r="T127" s="80">
        <f>T109*Products!$G$18*(1+Inputs!$C$28)*Timeline!T$8*Scenarios!$G$9</f>
        <v/>
      </c>
      <c r="U127" s="80">
        <f>U109*Products!$G$18*(1+Inputs!$C$28)*Timeline!U$8*Scenarios!$G$9</f>
        <v/>
      </c>
      <c r="V127" s="80">
        <f>V109*Products!$G$18*(1+Inputs!$C$28)*Timeline!V$8*Scenarios!$G$9</f>
        <v/>
      </c>
      <c r="W127" s="80">
        <f>W109*Products!$G$18*(1+Inputs!$C$28)*Timeline!W$8*Scenarios!$G$9</f>
        <v/>
      </c>
      <c r="X127" s="80">
        <f>X109*Products!$G$18*(1+Inputs!$C$28)*Timeline!X$8*Scenarios!$G$9</f>
        <v/>
      </c>
      <c r="Y127" s="80">
        <f>Y109*Products!$G$18*(1+Inputs!$C$28)*Timeline!Y$8*Scenarios!$G$9</f>
        <v/>
      </c>
      <c r="Z127" s="80">
        <f>Z109*Products!$G$18*(1+Inputs!$C$28)*Timeline!Z$8*Scenarios!$G$9</f>
        <v/>
      </c>
      <c r="AA127" s="80">
        <f>AA109*Products!$G$18*(1+Inputs!$C$28)*Timeline!AA$8*Scenarios!$G$9</f>
        <v/>
      </c>
      <c r="AB127" s="80">
        <f>AB109*Products!$G$18*(1+Inputs!$C$28)*Timeline!AB$8*Scenarios!$G$9</f>
        <v/>
      </c>
      <c r="AC127" s="80">
        <f>AC109*Products!$G$18*(1+Inputs!$C$28)*Timeline!AC$8*Scenarios!$G$9</f>
        <v/>
      </c>
      <c r="AD127" s="80">
        <f>AD109*Products!$G$18*(1+Inputs!$C$28)*Timeline!AD$8*Scenarios!$G$9</f>
        <v/>
      </c>
      <c r="AE127" s="80">
        <f>AE109*Products!$G$18*(1+Inputs!$C$28)*Timeline!AE$8*Scenarios!$G$9</f>
        <v/>
      </c>
      <c r="AF127" s="80">
        <f>AF109*Products!$G$18*(1+Inputs!$C$28)*Timeline!AF$8*Scenarios!$G$9</f>
        <v/>
      </c>
      <c r="AG127" s="80">
        <f>AG109*Products!$G$18*(1+Inputs!$C$28)*Timeline!AG$8*Scenarios!$G$9</f>
        <v/>
      </c>
      <c r="AH127" s="80">
        <f>AH109*Products!$G$18*(1+Inputs!$C$28)*Timeline!AH$8*Scenarios!$G$9</f>
        <v/>
      </c>
      <c r="AI127" s="80">
        <f>AI109*Products!$G$18*(1+Inputs!$C$28)*Timeline!AI$8*Scenarios!$G$9</f>
        <v/>
      </c>
      <c r="AJ127" s="80">
        <f>AJ109*Products!$G$18*(1+Inputs!$C$28)*Timeline!AJ$8*Scenarios!$G$9</f>
        <v/>
      </c>
      <c r="AK127" s="80">
        <f>AK109*Products!$G$18*(1+Inputs!$C$28)*Timeline!AK$8*Scenarios!$G$9</f>
        <v/>
      </c>
      <c r="AL127" s="80">
        <f>AL109*Products!$G$18*(1+Inputs!$C$28)*Timeline!AL$8*Scenarios!$G$9</f>
        <v/>
      </c>
      <c r="AM127" s="80">
        <f>AM109*Products!$G$18*(1+Inputs!$C$28)*Timeline!AM$8*Scenarios!$G$9</f>
        <v/>
      </c>
      <c r="AN127" s="80">
        <f>AN109*Products!$G$18*(1+Inputs!$C$28)*Timeline!AN$8*Scenarios!$G$9</f>
        <v/>
      </c>
      <c r="AO127" s="80">
        <f>AO109*Products!$G$18*(1+Inputs!$C$28)*Timeline!AO$8*Scenarios!$G$9</f>
        <v/>
      </c>
      <c r="AP127" s="80">
        <f>AP109*Products!$G$18*(1+Inputs!$C$28)*Timeline!AP$8*Scenarios!$G$9</f>
        <v/>
      </c>
      <c r="AQ127" s="80">
        <f>AQ109*Products!$G$18*(1+Inputs!$C$28)*Timeline!AQ$8*Scenarios!$G$9</f>
        <v/>
      </c>
      <c r="AR127" s="80">
        <f>AR109*Products!$G$18*(1+Inputs!$C$28)*Timeline!AR$8*Scenarios!$G$9</f>
        <v/>
      </c>
      <c r="AS127" s="80">
        <f>AS109*Products!$G$18*(1+Inputs!$C$28)*Timeline!AS$8*Scenarios!$G$9</f>
        <v/>
      </c>
      <c r="AT127" s="80">
        <f>AT109*Products!$G$18*(1+Inputs!$C$28)*Timeline!AT$8*Scenarios!$G$9</f>
        <v/>
      </c>
      <c r="AU127" s="80">
        <f>AU109*Products!$G$18*(1+Inputs!$C$28)*Timeline!AU$8*Scenarios!$G$9</f>
        <v/>
      </c>
      <c r="AV127" s="80">
        <f>AV109*Products!$G$18*(1+Inputs!$C$28)*Timeline!AV$8*Scenarios!$G$9</f>
        <v/>
      </c>
      <c r="AW127" s="80">
        <f>AW109*Products!$G$18*(1+Inputs!$C$28)*Timeline!AW$8*Scenarios!$G$9</f>
        <v/>
      </c>
      <c r="AX127" s="80">
        <f>AX109*Products!$G$18*(1+Inputs!$C$28)*Timeline!AX$8*Scenarios!$G$9</f>
        <v/>
      </c>
      <c r="AY127" s="80">
        <f>AY109*Products!$G$18*(1+Inputs!$C$28)*Timeline!AY$8*Scenarios!$G$9</f>
        <v/>
      </c>
      <c r="AZ127" s="80">
        <f>AZ109*Products!$G$18*(1+Inputs!$C$28)*Timeline!AZ$8*Scenarios!$G$9</f>
        <v/>
      </c>
      <c r="BA127" s="80">
        <f>BA109*Products!$G$18*(1+Inputs!$C$28)*Timeline!BA$8*Scenarios!$G$9</f>
        <v/>
      </c>
      <c r="BB127" s="80">
        <f>BB109*Products!$G$18*(1+Inputs!$C$28)*Timeline!BB$8*Scenarios!$G$9</f>
        <v/>
      </c>
      <c r="BC127" s="80">
        <f>BC109*Products!$G$18*(1+Inputs!$C$28)*Timeline!BC$8*Scenarios!$G$9</f>
        <v/>
      </c>
      <c r="BD127" s="80">
        <f>BD109*Products!$G$18*(1+Inputs!$C$28)*Timeline!BD$8*Scenarios!$G$9</f>
        <v/>
      </c>
      <c r="BE127" s="80">
        <f>BE109*Products!$G$18*(1+Inputs!$C$28)*Timeline!BE$8*Scenarios!$G$9</f>
        <v/>
      </c>
      <c r="BF127" s="80">
        <f>BF109*Products!$G$18*(1+Inputs!$C$28)*Timeline!BF$8*Scenarios!$G$9</f>
        <v/>
      </c>
      <c r="BG127" s="80">
        <f>BG109*Products!$G$18*(1+Inputs!$C$28)*Timeline!BG$8*Scenarios!$G$9</f>
        <v/>
      </c>
      <c r="BH127" s="80">
        <f>BH109*Products!$G$18*(1+Inputs!$C$28)*Timeline!BH$8*Scenarios!$G$9</f>
        <v/>
      </c>
      <c r="BI127" s="80">
        <f>BI109*Products!$G$18*(1+Inputs!$C$28)*Timeline!BI$8*Scenarios!$G$9</f>
        <v/>
      </c>
      <c r="BJ127" s="80">
        <f>BJ109*Products!$G$18*(1+Inputs!$C$28)*Timeline!BJ$8*Scenarios!$G$9</f>
        <v/>
      </c>
      <c r="BK127" s="80">
        <f>BK109*Products!$G$18*(1+Inputs!$C$28)*Timeline!BK$8*Scenarios!$G$9</f>
        <v/>
      </c>
      <c r="BL127" s="80">
        <f>BL109*Products!$G$18*(1+Inputs!$C$28)*Timeline!BL$8*Scenarios!$G$9</f>
        <v/>
      </c>
    </row>
    <row r="128">
      <c r="A128" s="98" t="inlineStr">
        <is>
          <t>Installation &amp; logistics</t>
        </is>
      </c>
      <c r="B128" s="65" t="inlineStr">
        <is>
          <t>LCY</t>
        </is>
      </c>
      <c r="C128" s="105">
        <f>SUM(E128:BL128)</f>
        <v/>
      </c>
      <c r="E128" s="80">
        <f>E109*Products!$G$19*Timeline!E$9</f>
        <v/>
      </c>
      <c r="F128" s="80">
        <f>F109*Products!$G$19*Timeline!F$9</f>
        <v/>
      </c>
      <c r="G128" s="80">
        <f>G109*Products!$G$19*Timeline!G$9</f>
        <v/>
      </c>
      <c r="H128" s="80">
        <f>H109*Products!$G$19*Timeline!H$9</f>
        <v/>
      </c>
      <c r="I128" s="80">
        <f>I109*Products!$G$19*Timeline!I$9</f>
        <v/>
      </c>
      <c r="J128" s="80">
        <f>J109*Products!$G$19*Timeline!J$9</f>
        <v/>
      </c>
      <c r="K128" s="80">
        <f>K109*Products!$G$19*Timeline!K$9</f>
        <v/>
      </c>
      <c r="L128" s="80">
        <f>L109*Products!$G$19*Timeline!L$9</f>
        <v/>
      </c>
      <c r="M128" s="80">
        <f>M109*Products!$G$19*Timeline!M$9</f>
        <v/>
      </c>
      <c r="N128" s="80">
        <f>N109*Products!$G$19*Timeline!N$9</f>
        <v/>
      </c>
      <c r="O128" s="80">
        <f>O109*Products!$G$19*Timeline!O$9</f>
        <v/>
      </c>
      <c r="P128" s="80">
        <f>P109*Products!$G$19*Timeline!P$9</f>
        <v/>
      </c>
      <c r="Q128" s="80">
        <f>Q109*Products!$G$19*Timeline!Q$9</f>
        <v/>
      </c>
      <c r="R128" s="80">
        <f>R109*Products!$G$19*Timeline!R$9</f>
        <v/>
      </c>
      <c r="S128" s="80">
        <f>S109*Products!$G$19*Timeline!S$9</f>
        <v/>
      </c>
      <c r="T128" s="80">
        <f>T109*Products!$G$19*Timeline!T$9</f>
        <v/>
      </c>
      <c r="U128" s="80">
        <f>U109*Products!$G$19*Timeline!U$9</f>
        <v/>
      </c>
      <c r="V128" s="80">
        <f>V109*Products!$G$19*Timeline!V$9</f>
        <v/>
      </c>
      <c r="W128" s="80">
        <f>W109*Products!$G$19*Timeline!W$9</f>
        <v/>
      </c>
      <c r="X128" s="80">
        <f>X109*Products!$G$19*Timeline!X$9</f>
        <v/>
      </c>
      <c r="Y128" s="80">
        <f>Y109*Products!$G$19*Timeline!Y$9</f>
        <v/>
      </c>
      <c r="Z128" s="80">
        <f>Z109*Products!$G$19*Timeline!Z$9</f>
        <v/>
      </c>
      <c r="AA128" s="80">
        <f>AA109*Products!$G$19*Timeline!AA$9</f>
        <v/>
      </c>
      <c r="AB128" s="80">
        <f>AB109*Products!$G$19*Timeline!AB$9</f>
        <v/>
      </c>
      <c r="AC128" s="80">
        <f>AC109*Products!$G$19*Timeline!AC$9</f>
        <v/>
      </c>
      <c r="AD128" s="80">
        <f>AD109*Products!$G$19*Timeline!AD$9</f>
        <v/>
      </c>
      <c r="AE128" s="80">
        <f>AE109*Products!$G$19*Timeline!AE$9</f>
        <v/>
      </c>
      <c r="AF128" s="80">
        <f>AF109*Products!$G$19*Timeline!AF$9</f>
        <v/>
      </c>
      <c r="AG128" s="80">
        <f>AG109*Products!$G$19*Timeline!AG$9</f>
        <v/>
      </c>
      <c r="AH128" s="80">
        <f>AH109*Products!$G$19*Timeline!AH$9</f>
        <v/>
      </c>
      <c r="AI128" s="80">
        <f>AI109*Products!$G$19*Timeline!AI$9</f>
        <v/>
      </c>
      <c r="AJ128" s="80">
        <f>AJ109*Products!$G$19*Timeline!AJ$9</f>
        <v/>
      </c>
      <c r="AK128" s="80">
        <f>AK109*Products!$G$19*Timeline!AK$9</f>
        <v/>
      </c>
      <c r="AL128" s="80">
        <f>AL109*Products!$G$19*Timeline!AL$9</f>
        <v/>
      </c>
      <c r="AM128" s="80">
        <f>AM109*Products!$G$19*Timeline!AM$9</f>
        <v/>
      </c>
      <c r="AN128" s="80">
        <f>AN109*Products!$G$19*Timeline!AN$9</f>
        <v/>
      </c>
      <c r="AO128" s="80">
        <f>AO109*Products!$G$19*Timeline!AO$9</f>
        <v/>
      </c>
      <c r="AP128" s="80">
        <f>AP109*Products!$G$19*Timeline!AP$9</f>
        <v/>
      </c>
      <c r="AQ128" s="80">
        <f>AQ109*Products!$G$19*Timeline!AQ$9</f>
        <v/>
      </c>
      <c r="AR128" s="80">
        <f>AR109*Products!$G$19*Timeline!AR$9</f>
        <v/>
      </c>
      <c r="AS128" s="80">
        <f>AS109*Products!$G$19*Timeline!AS$9</f>
        <v/>
      </c>
      <c r="AT128" s="80">
        <f>AT109*Products!$G$19*Timeline!AT$9</f>
        <v/>
      </c>
      <c r="AU128" s="80">
        <f>AU109*Products!$G$19*Timeline!AU$9</f>
        <v/>
      </c>
      <c r="AV128" s="80">
        <f>AV109*Products!$G$19*Timeline!AV$9</f>
        <v/>
      </c>
      <c r="AW128" s="80">
        <f>AW109*Products!$G$19*Timeline!AW$9</f>
        <v/>
      </c>
      <c r="AX128" s="80">
        <f>AX109*Products!$G$19*Timeline!AX$9</f>
        <v/>
      </c>
      <c r="AY128" s="80">
        <f>AY109*Products!$G$19*Timeline!AY$9</f>
        <v/>
      </c>
      <c r="AZ128" s="80">
        <f>AZ109*Products!$G$19*Timeline!AZ$9</f>
        <v/>
      </c>
      <c r="BA128" s="80">
        <f>BA109*Products!$G$19*Timeline!BA$9</f>
        <v/>
      </c>
      <c r="BB128" s="80">
        <f>BB109*Products!$G$19*Timeline!BB$9</f>
        <v/>
      </c>
      <c r="BC128" s="80">
        <f>BC109*Products!$G$19*Timeline!BC$9</f>
        <v/>
      </c>
      <c r="BD128" s="80">
        <f>BD109*Products!$G$19*Timeline!BD$9</f>
        <v/>
      </c>
      <c r="BE128" s="80">
        <f>BE109*Products!$G$19*Timeline!BE$9</f>
        <v/>
      </c>
      <c r="BF128" s="80">
        <f>BF109*Products!$G$19*Timeline!BF$9</f>
        <v/>
      </c>
      <c r="BG128" s="80">
        <f>BG109*Products!$G$19*Timeline!BG$9</f>
        <v/>
      </c>
      <c r="BH128" s="80">
        <f>BH109*Products!$G$19*Timeline!BH$9</f>
        <v/>
      </c>
      <c r="BI128" s="80">
        <f>BI109*Products!$G$19*Timeline!BI$9</f>
        <v/>
      </c>
      <c r="BJ128" s="80">
        <f>BJ109*Products!$G$19*Timeline!BJ$9</f>
        <v/>
      </c>
      <c r="BK128" s="80">
        <f>BK109*Products!$G$19*Timeline!BK$9</f>
        <v/>
      </c>
      <c r="BL128" s="80">
        <f>BL109*Products!$G$19*Timeline!BL$9</f>
        <v/>
      </c>
    </row>
    <row r="129">
      <c r="A129" s="98" t="inlineStr">
        <is>
          <t>Warranty &amp; after-sales provision</t>
        </is>
      </c>
      <c r="B129" s="65" t="inlineStr">
        <is>
          <t>LCY</t>
        </is>
      </c>
      <c r="C129" s="105">
        <f>SUM(E129:BL129)</f>
        <v/>
      </c>
      <c r="E129" s="80">
        <f>E127*Products!$G$22</f>
        <v/>
      </c>
      <c r="F129" s="80">
        <f>F127*Products!$G$22</f>
        <v/>
      </c>
      <c r="G129" s="80">
        <f>G127*Products!$G$22</f>
        <v/>
      </c>
      <c r="H129" s="80">
        <f>H127*Products!$G$22</f>
        <v/>
      </c>
      <c r="I129" s="80">
        <f>I127*Products!$G$22</f>
        <v/>
      </c>
      <c r="J129" s="80">
        <f>J127*Products!$G$22</f>
        <v/>
      </c>
      <c r="K129" s="80">
        <f>K127*Products!$G$22</f>
        <v/>
      </c>
      <c r="L129" s="80">
        <f>L127*Products!$G$22</f>
        <v/>
      </c>
      <c r="M129" s="80">
        <f>M127*Products!$G$22</f>
        <v/>
      </c>
      <c r="N129" s="80">
        <f>N127*Products!$G$22</f>
        <v/>
      </c>
      <c r="O129" s="80">
        <f>O127*Products!$G$22</f>
        <v/>
      </c>
      <c r="P129" s="80">
        <f>P127*Products!$G$22</f>
        <v/>
      </c>
      <c r="Q129" s="80">
        <f>Q127*Products!$G$22</f>
        <v/>
      </c>
      <c r="R129" s="80">
        <f>R127*Products!$G$22</f>
        <v/>
      </c>
      <c r="S129" s="80">
        <f>S127*Products!$G$22</f>
        <v/>
      </c>
      <c r="T129" s="80">
        <f>T127*Products!$G$22</f>
        <v/>
      </c>
      <c r="U129" s="80">
        <f>U127*Products!$G$22</f>
        <v/>
      </c>
      <c r="V129" s="80">
        <f>V127*Products!$G$22</f>
        <v/>
      </c>
      <c r="W129" s="80">
        <f>W127*Products!$G$22</f>
        <v/>
      </c>
      <c r="X129" s="80">
        <f>X127*Products!$G$22</f>
        <v/>
      </c>
      <c r="Y129" s="80">
        <f>Y127*Products!$G$22</f>
        <v/>
      </c>
      <c r="Z129" s="80">
        <f>Z127*Products!$G$22</f>
        <v/>
      </c>
      <c r="AA129" s="80">
        <f>AA127*Products!$G$22</f>
        <v/>
      </c>
      <c r="AB129" s="80">
        <f>AB127*Products!$G$22</f>
        <v/>
      </c>
      <c r="AC129" s="80">
        <f>AC127*Products!$G$22</f>
        <v/>
      </c>
      <c r="AD129" s="80">
        <f>AD127*Products!$G$22</f>
        <v/>
      </c>
      <c r="AE129" s="80">
        <f>AE127*Products!$G$22</f>
        <v/>
      </c>
      <c r="AF129" s="80">
        <f>AF127*Products!$G$22</f>
        <v/>
      </c>
      <c r="AG129" s="80">
        <f>AG127*Products!$G$22</f>
        <v/>
      </c>
      <c r="AH129" s="80">
        <f>AH127*Products!$G$22</f>
        <v/>
      </c>
      <c r="AI129" s="80">
        <f>AI127*Products!$G$22</f>
        <v/>
      </c>
      <c r="AJ129" s="80">
        <f>AJ127*Products!$G$22</f>
        <v/>
      </c>
      <c r="AK129" s="80">
        <f>AK127*Products!$G$22</f>
        <v/>
      </c>
      <c r="AL129" s="80">
        <f>AL127*Products!$G$22</f>
        <v/>
      </c>
      <c r="AM129" s="80">
        <f>AM127*Products!$G$22</f>
        <v/>
      </c>
      <c r="AN129" s="80">
        <f>AN127*Products!$G$22</f>
        <v/>
      </c>
      <c r="AO129" s="80">
        <f>AO127*Products!$G$22</f>
        <v/>
      </c>
      <c r="AP129" s="80">
        <f>AP127*Products!$G$22</f>
        <v/>
      </c>
      <c r="AQ129" s="80">
        <f>AQ127*Products!$G$22</f>
        <v/>
      </c>
      <c r="AR129" s="80">
        <f>AR127*Products!$G$22</f>
        <v/>
      </c>
      <c r="AS129" s="80">
        <f>AS127*Products!$G$22</f>
        <v/>
      </c>
      <c r="AT129" s="80">
        <f>AT127*Products!$G$22</f>
        <v/>
      </c>
      <c r="AU129" s="80">
        <f>AU127*Products!$G$22</f>
        <v/>
      </c>
      <c r="AV129" s="80">
        <f>AV127*Products!$G$22</f>
        <v/>
      </c>
      <c r="AW129" s="80">
        <f>AW127*Products!$G$22</f>
        <v/>
      </c>
      <c r="AX129" s="80">
        <f>AX127*Products!$G$22</f>
        <v/>
      </c>
      <c r="AY129" s="80">
        <f>AY127*Products!$G$22</f>
        <v/>
      </c>
      <c r="AZ129" s="80">
        <f>AZ127*Products!$G$22</f>
        <v/>
      </c>
      <c r="BA129" s="80">
        <f>BA127*Products!$G$22</f>
        <v/>
      </c>
      <c r="BB129" s="80">
        <f>BB127*Products!$G$22</f>
        <v/>
      </c>
      <c r="BC129" s="80">
        <f>BC127*Products!$G$22</f>
        <v/>
      </c>
      <c r="BD129" s="80">
        <f>BD127*Products!$G$22</f>
        <v/>
      </c>
      <c r="BE129" s="80">
        <f>BE127*Products!$G$22</f>
        <v/>
      </c>
      <c r="BF129" s="80">
        <f>BF127*Products!$G$22</f>
        <v/>
      </c>
      <c r="BG129" s="80">
        <f>BG127*Products!$G$22</f>
        <v/>
      </c>
      <c r="BH129" s="80">
        <f>BH127*Products!$G$22</f>
        <v/>
      </c>
      <c r="BI129" s="80">
        <f>BI127*Products!$G$22</f>
        <v/>
      </c>
      <c r="BJ129" s="80">
        <f>BJ127*Products!$G$22</f>
        <v/>
      </c>
      <c r="BK129" s="80">
        <f>BK127*Products!$G$22</f>
        <v/>
      </c>
      <c r="BL129" s="80">
        <f>BL127*Products!$G$22</f>
        <v/>
      </c>
    </row>
    <row r="130">
      <c r="A130" s="98" t="inlineStr">
        <is>
          <t>Commissions</t>
        </is>
      </c>
      <c r="B130" s="65" t="inlineStr">
        <is>
          <t>LCY</t>
        </is>
      </c>
      <c r="C130" s="105">
        <f>SUM(E130:BL130)</f>
        <v/>
      </c>
      <c r="E130" s="80">
        <f>E109*Products!$G$20*Timeline!E$9</f>
        <v/>
      </c>
      <c r="F130" s="80">
        <f>F109*Products!$G$20*Timeline!F$9</f>
        <v/>
      </c>
      <c r="G130" s="80">
        <f>G109*Products!$G$20*Timeline!G$9</f>
        <v/>
      </c>
      <c r="H130" s="80">
        <f>H109*Products!$G$20*Timeline!H$9</f>
        <v/>
      </c>
      <c r="I130" s="80">
        <f>I109*Products!$G$20*Timeline!I$9</f>
        <v/>
      </c>
      <c r="J130" s="80">
        <f>J109*Products!$G$20*Timeline!J$9</f>
        <v/>
      </c>
      <c r="K130" s="80">
        <f>K109*Products!$G$20*Timeline!K$9</f>
        <v/>
      </c>
      <c r="L130" s="80">
        <f>L109*Products!$G$20*Timeline!L$9</f>
        <v/>
      </c>
      <c r="M130" s="80">
        <f>M109*Products!$G$20*Timeline!M$9</f>
        <v/>
      </c>
      <c r="N130" s="80">
        <f>N109*Products!$G$20*Timeline!N$9</f>
        <v/>
      </c>
      <c r="O130" s="80">
        <f>O109*Products!$G$20*Timeline!O$9</f>
        <v/>
      </c>
      <c r="P130" s="80">
        <f>P109*Products!$G$20*Timeline!P$9</f>
        <v/>
      </c>
      <c r="Q130" s="80">
        <f>Q109*Products!$G$20*Timeline!Q$9</f>
        <v/>
      </c>
      <c r="R130" s="80">
        <f>R109*Products!$G$20*Timeline!R$9</f>
        <v/>
      </c>
      <c r="S130" s="80">
        <f>S109*Products!$G$20*Timeline!S$9</f>
        <v/>
      </c>
      <c r="T130" s="80">
        <f>T109*Products!$G$20*Timeline!T$9</f>
        <v/>
      </c>
      <c r="U130" s="80">
        <f>U109*Products!$G$20*Timeline!U$9</f>
        <v/>
      </c>
      <c r="V130" s="80">
        <f>V109*Products!$G$20*Timeline!V$9</f>
        <v/>
      </c>
      <c r="W130" s="80">
        <f>W109*Products!$G$20*Timeline!W$9</f>
        <v/>
      </c>
      <c r="X130" s="80">
        <f>X109*Products!$G$20*Timeline!X$9</f>
        <v/>
      </c>
      <c r="Y130" s="80">
        <f>Y109*Products!$G$20*Timeline!Y$9</f>
        <v/>
      </c>
      <c r="Z130" s="80">
        <f>Z109*Products!$G$20*Timeline!Z$9</f>
        <v/>
      </c>
      <c r="AA130" s="80">
        <f>AA109*Products!$G$20*Timeline!AA$9</f>
        <v/>
      </c>
      <c r="AB130" s="80">
        <f>AB109*Products!$G$20*Timeline!AB$9</f>
        <v/>
      </c>
      <c r="AC130" s="80">
        <f>AC109*Products!$G$20*Timeline!AC$9</f>
        <v/>
      </c>
      <c r="AD130" s="80">
        <f>AD109*Products!$G$20*Timeline!AD$9</f>
        <v/>
      </c>
      <c r="AE130" s="80">
        <f>AE109*Products!$G$20*Timeline!AE$9</f>
        <v/>
      </c>
      <c r="AF130" s="80">
        <f>AF109*Products!$G$20*Timeline!AF$9</f>
        <v/>
      </c>
      <c r="AG130" s="80">
        <f>AG109*Products!$G$20*Timeline!AG$9</f>
        <v/>
      </c>
      <c r="AH130" s="80">
        <f>AH109*Products!$G$20*Timeline!AH$9</f>
        <v/>
      </c>
      <c r="AI130" s="80">
        <f>AI109*Products!$G$20*Timeline!AI$9</f>
        <v/>
      </c>
      <c r="AJ130" s="80">
        <f>AJ109*Products!$G$20*Timeline!AJ$9</f>
        <v/>
      </c>
      <c r="AK130" s="80">
        <f>AK109*Products!$G$20*Timeline!AK$9</f>
        <v/>
      </c>
      <c r="AL130" s="80">
        <f>AL109*Products!$G$20*Timeline!AL$9</f>
        <v/>
      </c>
      <c r="AM130" s="80">
        <f>AM109*Products!$G$20*Timeline!AM$9</f>
        <v/>
      </c>
      <c r="AN130" s="80">
        <f>AN109*Products!$G$20*Timeline!AN$9</f>
        <v/>
      </c>
      <c r="AO130" s="80">
        <f>AO109*Products!$G$20*Timeline!AO$9</f>
        <v/>
      </c>
      <c r="AP130" s="80">
        <f>AP109*Products!$G$20*Timeline!AP$9</f>
        <v/>
      </c>
      <c r="AQ130" s="80">
        <f>AQ109*Products!$G$20*Timeline!AQ$9</f>
        <v/>
      </c>
      <c r="AR130" s="80">
        <f>AR109*Products!$G$20*Timeline!AR$9</f>
        <v/>
      </c>
      <c r="AS130" s="80">
        <f>AS109*Products!$G$20*Timeline!AS$9</f>
        <v/>
      </c>
      <c r="AT130" s="80">
        <f>AT109*Products!$G$20*Timeline!AT$9</f>
        <v/>
      </c>
      <c r="AU130" s="80">
        <f>AU109*Products!$G$20*Timeline!AU$9</f>
        <v/>
      </c>
      <c r="AV130" s="80">
        <f>AV109*Products!$G$20*Timeline!AV$9</f>
        <v/>
      </c>
      <c r="AW130" s="80">
        <f>AW109*Products!$G$20*Timeline!AW$9</f>
        <v/>
      </c>
      <c r="AX130" s="80">
        <f>AX109*Products!$G$20*Timeline!AX$9</f>
        <v/>
      </c>
      <c r="AY130" s="80">
        <f>AY109*Products!$G$20*Timeline!AY$9</f>
        <v/>
      </c>
      <c r="AZ130" s="80">
        <f>AZ109*Products!$G$20*Timeline!AZ$9</f>
        <v/>
      </c>
      <c r="BA130" s="80">
        <f>BA109*Products!$G$20*Timeline!BA$9</f>
        <v/>
      </c>
      <c r="BB130" s="80">
        <f>BB109*Products!$G$20*Timeline!BB$9</f>
        <v/>
      </c>
      <c r="BC130" s="80">
        <f>BC109*Products!$G$20*Timeline!BC$9</f>
        <v/>
      </c>
      <c r="BD130" s="80">
        <f>BD109*Products!$G$20*Timeline!BD$9</f>
        <v/>
      </c>
      <c r="BE130" s="80">
        <f>BE109*Products!$G$20*Timeline!BE$9</f>
        <v/>
      </c>
      <c r="BF130" s="80">
        <f>BF109*Products!$G$20*Timeline!BF$9</f>
        <v/>
      </c>
      <c r="BG130" s="80">
        <f>BG109*Products!$G$20*Timeline!BG$9</f>
        <v/>
      </c>
      <c r="BH130" s="80">
        <f>BH109*Products!$G$20*Timeline!BH$9</f>
        <v/>
      </c>
      <c r="BI130" s="80">
        <f>BI109*Products!$G$20*Timeline!BI$9</f>
        <v/>
      </c>
      <c r="BJ130" s="80">
        <f>BJ109*Products!$G$20*Timeline!BJ$9</f>
        <v/>
      </c>
      <c r="BK130" s="80">
        <f>BK109*Products!$G$20*Timeline!BK$9</f>
        <v/>
      </c>
      <c r="BL130" s="80">
        <f>BL109*Products!$G$20*Timeline!BL$9</f>
        <v/>
      </c>
    </row>
    <row r="131">
      <c r="A131" s="98" t="inlineStr">
        <is>
          <t>Marketing &amp; acquisition</t>
        </is>
      </c>
      <c r="B131" s="65" t="inlineStr">
        <is>
          <t>LCY</t>
        </is>
      </c>
      <c r="C131" s="105">
        <f>SUM(E131:BL131)</f>
        <v/>
      </c>
      <c r="E131" s="80">
        <f>E109*Products!$G$21*Timeline!E$9</f>
        <v/>
      </c>
      <c r="F131" s="80">
        <f>F109*Products!$G$21*Timeline!F$9</f>
        <v/>
      </c>
      <c r="G131" s="80">
        <f>G109*Products!$G$21*Timeline!G$9</f>
        <v/>
      </c>
      <c r="H131" s="80">
        <f>H109*Products!$G$21*Timeline!H$9</f>
        <v/>
      </c>
      <c r="I131" s="80">
        <f>I109*Products!$G$21*Timeline!I$9</f>
        <v/>
      </c>
      <c r="J131" s="80">
        <f>J109*Products!$G$21*Timeline!J$9</f>
        <v/>
      </c>
      <c r="K131" s="80">
        <f>K109*Products!$G$21*Timeline!K$9</f>
        <v/>
      </c>
      <c r="L131" s="80">
        <f>L109*Products!$G$21*Timeline!L$9</f>
        <v/>
      </c>
      <c r="M131" s="80">
        <f>M109*Products!$G$21*Timeline!M$9</f>
        <v/>
      </c>
      <c r="N131" s="80">
        <f>N109*Products!$G$21*Timeline!N$9</f>
        <v/>
      </c>
      <c r="O131" s="80">
        <f>O109*Products!$G$21*Timeline!O$9</f>
        <v/>
      </c>
      <c r="P131" s="80">
        <f>P109*Products!$G$21*Timeline!P$9</f>
        <v/>
      </c>
      <c r="Q131" s="80">
        <f>Q109*Products!$G$21*Timeline!Q$9</f>
        <v/>
      </c>
      <c r="R131" s="80">
        <f>R109*Products!$G$21*Timeline!R$9</f>
        <v/>
      </c>
      <c r="S131" s="80">
        <f>S109*Products!$G$21*Timeline!S$9</f>
        <v/>
      </c>
      <c r="T131" s="80">
        <f>T109*Products!$G$21*Timeline!T$9</f>
        <v/>
      </c>
      <c r="U131" s="80">
        <f>U109*Products!$G$21*Timeline!U$9</f>
        <v/>
      </c>
      <c r="V131" s="80">
        <f>V109*Products!$G$21*Timeline!V$9</f>
        <v/>
      </c>
      <c r="W131" s="80">
        <f>W109*Products!$G$21*Timeline!W$9</f>
        <v/>
      </c>
      <c r="X131" s="80">
        <f>X109*Products!$G$21*Timeline!X$9</f>
        <v/>
      </c>
      <c r="Y131" s="80">
        <f>Y109*Products!$G$21*Timeline!Y$9</f>
        <v/>
      </c>
      <c r="Z131" s="80">
        <f>Z109*Products!$G$21*Timeline!Z$9</f>
        <v/>
      </c>
      <c r="AA131" s="80">
        <f>AA109*Products!$G$21*Timeline!AA$9</f>
        <v/>
      </c>
      <c r="AB131" s="80">
        <f>AB109*Products!$G$21*Timeline!AB$9</f>
        <v/>
      </c>
      <c r="AC131" s="80">
        <f>AC109*Products!$G$21*Timeline!AC$9</f>
        <v/>
      </c>
      <c r="AD131" s="80">
        <f>AD109*Products!$G$21*Timeline!AD$9</f>
        <v/>
      </c>
      <c r="AE131" s="80">
        <f>AE109*Products!$G$21*Timeline!AE$9</f>
        <v/>
      </c>
      <c r="AF131" s="80">
        <f>AF109*Products!$G$21*Timeline!AF$9</f>
        <v/>
      </c>
      <c r="AG131" s="80">
        <f>AG109*Products!$G$21*Timeline!AG$9</f>
        <v/>
      </c>
      <c r="AH131" s="80">
        <f>AH109*Products!$G$21*Timeline!AH$9</f>
        <v/>
      </c>
      <c r="AI131" s="80">
        <f>AI109*Products!$G$21*Timeline!AI$9</f>
        <v/>
      </c>
      <c r="AJ131" s="80">
        <f>AJ109*Products!$G$21*Timeline!AJ$9</f>
        <v/>
      </c>
      <c r="AK131" s="80">
        <f>AK109*Products!$G$21*Timeline!AK$9</f>
        <v/>
      </c>
      <c r="AL131" s="80">
        <f>AL109*Products!$G$21*Timeline!AL$9</f>
        <v/>
      </c>
      <c r="AM131" s="80">
        <f>AM109*Products!$G$21*Timeline!AM$9</f>
        <v/>
      </c>
      <c r="AN131" s="80">
        <f>AN109*Products!$G$21*Timeline!AN$9</f>
        <v/>
      </c>
      <c r="AO131" s="80">
        <f>AO109*Products!$G$21*Timeline!AO$9</f>
        <v/>
      </c>
      <c r="AP131" s="80">
        <f>AP109*Products!$G$21*Timeline!AP$9</f>
        <v/>
      </c>
      <c r="AQ131" s="80">
        <f>AQ109*Products!$G$21*Timeline!AQ$9</f>
        <v/>
      </c>
      <c r="AR131" s="80">
        <f>AR109*Products!$G$21*Timeline!AR$9</f>
        <v/>
      </c>
      <c r="AS131" s="80">
        <f>AS109*Products!$G$21*Timeline!AS$9</f>
        <v/>
      </c>
      <c r="AT131" s="80">
        <f>AT109*Products!$G$21*Timeline!AT$9</f>
        <v/>
      </c>
      <c r="AU131" s="80">
        <f>AU109*Products!$G$21*Timeline!AU$9</f>
        <v/>
      </c>
      <c r="AV131" s="80">
        <f>AV109*Products!$G$21*Timeline!AV$9</f>
        <v/>
      </c>
      <c r="AW131" s="80">
        <f>AW109*Products!$G$21*Timeline!AW$9</f>
        <v/>
      </c>
      <c r="AX131" s="80">
        <f>AX109*Products!$G$21*Timeline!AX$9</f>
        <v/>
      </c>
      <c r="AY131" s="80">
        <f>AY109*Products!$G$21*Timeline!AY$9</f>
        <v/>
      </c>
      <c r="AZ131" s="80">
        <f>AZ109*Products!$G$21*Timeline!AZ$9</f>
        <v/>
      </c>
      <c r="BA131" s="80">
        <f>BA109*Products!$G$21*Timeline!BA$9</f>
        <v/>
      </c>
      <c r="BB131" s="80">
        <f>BB109*Products!$G$21*Timeline!BB$9</f>
        <v/>
      </c>
      <c r="BC131" s="80">
        <f>BC109*Products!$G$21*Timeline!BC$9</f>
        <v/>
      </c>
      <c r="BD131" s="80">
        <f>BD109*Products!$G$21*Timeline!BD$9</f>
        <v/>
      </c>
      <c r="BE131" s="80">
        <f>BE109*Products!$G$21*Timeline!BE$9</f>
        <v/>
      </c>
      <c r="BF131" s="80">
        <f>BF109*Products!$G$21*Timeline!BF$9</f>
        <v/>
      </c>
      <c r="BG131" s="80">
        <f>BG109*Products!$G$21*Timeline!BG$9</f>
        <v/>
      </c>
      <c r="BH131" s="80">
        <f>BH109*Products!$G$21*Timeline!BH$9</f>
        <v/>
      </c>
      <c r="BI131" s="80">
        <f>BI109*Products!$G$21*Timeline!BI$9</f>
        <v/>
      </c>
      <c r="BJ131" s="80">
        <f>BJ109*Products!$G$21*Timeline!BJ$9</f>
        <v/>
      </c>
      <c r="BK131" s="80">
        <f>BK109*Products!$G$21*Timeline!BK$9</f>
        <v/>
      </c>
      <c r="BL131" s="80">
        <f>BL109*Products!$G$21*Timeline!BL$9</f>
        <v/>
      </c>
    </row>
    <row r="132"/>
    <row r="133">
      <c r="A133" s="21" t="inlineStr">
        <is>
          <t>TOTAL: all tiers</t>
        </is>
      </c>
      <c r="B133" s="22" t="n"/>
      <c r="C133" s="22" t="n"/>
      <c r="D133" s="22" t="n"/>
      <c r="E133" s="22" t="n"/>
      <c r="F133" s="22"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c r="AA133" s="22" t="n"/>
      <c r="AB133" s="22" t="n"/>
      <c r="AC133" s="22" t="n"/>
      <c r="AD133" s="22" t="n"/>
      <c r="AE133" s="22" t="n"/>
      <c r="AF133" s="22" t="n"/>
      <c r="AG133" s="22" t="n"/>
      <c r="AH133" s="22" t="n"/>
      <c r="AI133" s="22" t="n"/>
      <c r="AJ133" s="22" t="n"/>
      <c r="AK133" s="22" t="n"/>
      <c r="AL133" s="22" t="n"/>
      <c r="AM133" s="22" t="n"/>
      <c r="AN133" s="22" t="n"/>
      <c r="AO133" s="22" t="n"/>
      <c r="AP133" s="22" t="n"/>
      <c r="AQ133" s="22" t="n"/>
      <c r="AR133" s="22" t="n"/>
      <c r="AS133" s="22" t="n"/>
      <c r="AT133" s="22" t="n"/>
      <c r="AU133" s="22" t="n"/>
      <c r="AV133" s="22" t="n"/>
      <c r="AW133" s="22" t="n"/>
      <c r="AX133" s="22" t="n"/>
      <c r="AY133" s="22" t="n"/>
      <c r="AZ133" s="22" t="n"/>
      <c r="BA133" s="22" t="n"/>
      <c r="BB133" s="22" t="n"/>
      <c r="BC133" s="22" t="n"/>
      <c r="BD133" s="22" t="n"/>
      <c r="BE133" s="22" t="n"/>
      <c r="BF133" s="22" t="n"/>
      <c r="BG133" s="22" t="n"/>
      <c r="BH133" s="22" t="n"/>
      <c r="BI133" s="22" t="n"/>
      <c r="BJ133" s="22" t="n"/>
      <c r="BK133" s="22" t="n"/>
      <c r="BL133" s="22" t="n"/>
    </row>
    <row r="134">
      <c r="A134" s="100" t="inlineStr">
        <is>
          <t>Units sold</t>
        </is>
      </c>
      <c r="B134" s="101" t="inlineStr">
        <is>
          <t>units</t>
        </is>
      </c>
      <c r="C134" s="102">
        <f>SUM(E134:BL134)</f>
        <v/>
      </c>
      <c r="D134" s="103" t="n"/>
      <c r="E134" s="104">
        <f>E9+E34+E59+E84+E109</f>
        <v/>
      </c>
      <c r="F134" s="104">
        <f>F9+F34+F59+F84+F109</f>
        <v/>
      </c>
      <c r="G134" s="104">
        <f>G9+G34+G59+G84+G109</f>
        <v/>
      </c>
      <c r="H134" s="104">
        <f>H9+H34+H59+H84+H109</f>
        <v/>
      </c>
      <c r="I134" s="104">
        <f>I9+I34+I59+I84+I109</f>
        <v/>
      </c>
      <c r="J134" s="104">
        <f>J9+J34+J59+J84+J109</f>
        <v/>
      </c>
      <c r="K134" s="104">
        <f>K9+K34+K59+K84+K109</f>
        <v/>
      </c>
      <c r="L134" s="104">
        <f>L9+L34+L59+L84+L109</f>
        <v/>
      </c>
      <c r="M134" s="104">
        <f>M9+M34+M59+M84+M109</f>
        <v/>
      </c>
      <c r="N134" s="104">
        <f>N9+N34+N59+N84+N109</f>
        <v/>
      </c>
      <c r="O134" s="104">
        <f>O9+O34+O59+O84+O109</f>
        <v/>
      </c>
      <c r="P134" s="104">
        <f>P9+P34+P59+P84+P109</f>
        <v/>
      </c>
      <c r="Q134" s="104">
        <f>Q9+Q34+Q59+Q84+Q109</f>
        <v/>
      </c>
      <c r="R134" s="104">
        <f>R9+R34+R59+R84+R109</f>
        <v/>
      </c>
      <c r="S134" s="104">
        <f>S9+S34+S59+S84+S109</f>
        <v/>
      </c>
      <c r="T134" s="104">
        <f>T9+T34+T59+T84+T109</f>
        <v/>
      </c>
      <c r="U134" s="104">
        <f>U9+U34+U59+U84+U109</f>
        <v/>
      </c>
      <c r="V134" s="104">
        <f>V9+V34+V59+V84+V109</f>
        <v/>
      </c>
      <c r="W134" s="104">
        <f>W9+W34+W59+W84+W109</f>
        <v/>
      </c>
      <c r="X134" s="104">
        <f>X9+X34+X59+X84+X109</f>
        <v/>
      </c>
      <c r="Y134" s="104">
        <f>Y9+Y34+Y59+Y84+Y109</f>
        <v/>
      </c>
      <c r="Z134" s="104">
        <f>Z9+Z34+Z59+Z84+Z109</f>
        <v/>
      </c>
      <c r="AA134" s="104">
        <f>AA9+AA34+AA59+AA84+AA109</f>
        <v/>
      </c>
      <c r="AB134" s="104">
        <f>AB9+AB34+AB59+AB84+AB109</f>
        <v/>
      </c>
      <c r="AC134" s="104">
        <f>AC9+AC34+AC59+AC84+AC109</f>
        <v/>
      </c>
      <c r="AD134" s="104">
        <f>AD9+AD34+AD59+AD84+AD109</f>
        <v/>
      </c>
      <c r="AE134" s="104">
        <f>AE9+AE34+AE59+AE84+AE109</f>
        <v/>
      </c>
      <c r="AF134" s="104">
        <f>AF9+AF34+AF59+AF84+AF109</f>
        <v/>
      </c>
      <c r="AG134" s="104">
        <f>AG9+AG34+AG59+AG84+AG109</f>
        <v/>
      </c>
      <c r="AH134" s="104">
        <f>AH9+AH34+AH59+AH84+AH109</f>
        <v/>
      </c>
      <c r="AI134" s="104">
        <f>AI9+AI34+AI59+AI84+AI109</f>
        <v/>
      </c>
      <c r="AJ134" s="104">
        <f>AJ9+AJ34+AJ59+AJ84+AJ109</f>
        <v/>
      </c>
      <c r="AK134" s="104">
        <f>AK9+AK34+AK59+AK84+AK109</f>
        <v/>
      </c>
      <c r="AL134" s="104">
        <f>AL9+AL34+AL59+AL84+AL109</f>
        <v/>
      </c>
      <c r="AM134" s="104">
        <f>AM9+AM34+AM59+AM84+AM109</f>
        <v/>
      </c>
      <c r="AN134" s="104">
        <f>AN9+AN34+AN59+AN84+AN109</f>
        <v/>
      </c>
      <c r="AO134" s="104">
        <f>AO9+AO34+AO59+AO84+AO109</f>
        <v/>
      </c>
      <c r="AP134" s="104">
        <f>AP9+AP34+AP59+AP84+AP109</f>
        <v/>
      </c>
      <c r="AQ134" s="104">
        <f>AQ9+AQ34+AQ59+AQ84+AQ109</f>
        <v/>
      </c>
      <c r="AR134" s="104">
        <f>AR9+AR34+AR59+AR84+AR109</f>
        <v/>
      </c>
      <c r="AS134" s="104">
        <f>AS9+AS34+AS59+AS84+AS109</f>
        <v/>
      </c>
      <c r="AT134" s="104">
        <f>AT9+AT34+AT59+AT84+AT109</f>
        <v/>
      </c>
      <c r="AU134" s="104">
        <f>AU9+AU34+AU59+AU84+AU109</f>
        <v/>
      </c>
      <c r="AV134" s="104">
        <f>AV9+AV34+AV59+AV84+AV109</f>
        <v/>
      </c>
      <c r="AW134" s="104">
        <f>AW9+AW34+AW59+AW84+AW109</f>
        <v/>
      </c>
      <c r="AX134" s="104">
        <f>AX9+AX34+AX59+AX84+AX109</f>
        <v/>
      </c>
      <c r="AY134" s="104">
        <f>AY9+AY34+AY59+AY84+AY109</f>
        <v/>
      </c>
      <c r="AZ134" s="104">
        <f>AZ9+AZ34+AZ59+AZ84+AZ109</f>
        <v/>
      </c>
      <c r="BA134" s="104">
        <f>BA9+BA34+BA59+BA84+BA109</f>
        <v/>
      </c>
      <c r="BB134" s="104">
        <f>BB9+BB34+BB59+BB84+BB109</f>
        <v/>
      </c>
      <c r="BC134" s="104">
        <f>BC9+BC34+BC59+BC84+BC109</f>
        <v/>
      </c>
      <c r="BD134" s="104">
        <f>BD9+BD34+BD59+BD84+BD109</f>
        <v/>
      </c>
      <c r="BE134" s="104">
        <f>BE9+BE34+BE59+BE84+BE109</f>
        <v/>
      </c>
      <c r="BF134" s="104">
        <f>BF9+BF34+BF59+BF84+BF109</f>
        <v/>
      </c>
      <c r="BG134" s="104">
        <f>BG9+BG34+BG59+BG84+BG109</f>
        <v/>
      </c>
      <c r="BH134" s="104">
        <f>BH9+BH34+BH59+BH84+BH109</f>
        <v/>
      </c>
      <c r="BI134" s="104">
        <f>BI9+BI34+BI59+BI84+BI109</f>
        <v/>
      </c>
      <c r="BJ134" s="104">
        <f>BJ9+BJ34+BJ59+BJ84+BJ109</f>
        <v/>
      </c>
      <c r="BK134" s="104">
        <f>BK9+BK34+BK59+BK84+BK109</f>
        <v/>
      </c>
      <c r="BL134" s="104">
        <f>BL9+BL34+BL59+BL84+BL109</f>
        <v/>
      </c>
    </row>
    <row r="135">
      <c r="A135" s="100" t="inlineStr">
        <is>
          <t>Price-indexed units (units x price index)</t>
        </is>
      </c>
      <c r="B135" s="101" t="inlineStr">
        <is>
          <t>units</t>
        </is>
      </c>
      <c r="C135" s="102">
        <f>SUM(E135:BL135)</f>
        <v/>
      </c>
      <c r="D135" s="103" t="n"/>
      <c r="E135" s="104">
        <f>E10+E35+E60+E85+E110</f>
        <v/>
      </c>
      <c r="F135" s="104">
        <f>F10+F35+F60+F85+F110</f>
        <v/>
      </c>
      <c r="G135" s="104">
        <f>G10+G35+G60+G85+G110</f>
        <v/>
      </c>
      <c r="H135" s="104">
        <f>H10+H35+H60+H85+H110</f>
        <v/>
      </c>
      <c r="I135" s="104">
        <f>I10+I35+I60+I85+I110</f>
        <v/>
      </c>
      <c r="J135" s="104">
        <f>J10+J35+J60+J85+J110</f>
        <v/>
      </c>
      <c r="K135" s="104">
        <f>K10+K35+K60+K85+K110</f>
        <v/>
      </c>
      <c r="L135" s="104">
        <f>L10+L35+L60+L85+L110</f>
        <v/>
      </c>
      <c r="M135" s="104">
        <f>M10+M35+M60+M85+M110</f>
        <v/>
      </c>
      <c r="N135" s="104">
        <f>N10+N35+N60+N85+N110</f>
        <v/>
      </c>
      <c r="O135" s="104">
        <f>O10+O35+O60+O85+O110</f>
        <v/>
      </c>
      <c r="P135" s="104">
        <f>P10+P35+P60+P85+P110</f>
        <v/>
      </c>
      <c r="Q135" s="104">
        <f>Q10+Q35+Q60+Q85+Q110</f>
        <v/>
      </c>
      <c r="R135" s="104">
        <f>R10+R35+R60+R85+R110</f>
        <v/>
      </c>
      <c r="S135" s="104">
        <f>S10+S35+S60+S85+S110</f>
        <v/>
      </c>
      <c r="T135" s="104">
        <f>T10+T35+T60+T85+T110</f>
        <v/>
      </c>
      <c r="U135" s="104">
        <f>U10+U35+U60+U85+U110</f>
        <v/>
      </c>
      <c r="V135" s="104">
        <f>V10+V35+V60+V85+V110</f>
        <v/>
      </c>
      <c r="W135" s="104">
        <f>W10+W35+W60+W85+W110</f>
        <v/>
      </c>
      <c r="X135" s="104">
        <f>X10+X35+X60+X85+X110</f>
        <v/>
      </c>
      <c r="Y135" s="104">
        <f>Y10+Y35+Y60+Y85+Y110</f>
        <v/>
      </c>
      <c r="Z135" s="104">
        <f>Z10+Z35+Z60+Z85+Z110</f>
        <v/>
      </c>
      <c r="AA135" s="104">
        <f>AA10+AA35+AA60+AA85+AA110</f>
        <v/>
      </c>
      <c r="AB135" s="104">
        <f>AB10+AB35+AB60+AB85+AB110</f>
        <v/>
      </c>
      <c r="AC135" s="104">
        <f>AC10+AC35+AC60+AC85+AC110</f>
        <v/>
      </c>
      <c r="AD135" s="104">
        <f>AD10+AD35+AD60+AD85+AD110</f>
        <v/>
      </c>
      <c r="AE135" s="104">
        <f>AE10+AE35+AE60+AE85+AE110</f>
        <v/>
      </c>
      <c r="AF135" s="104">
        <f>AF10+AF35+AF60+AF85+AF110</f>
        <v/>
      </c>
      <c r="AG135" s="104">
        <f>AG10+AG35+AG60+AG85+AG110</f>
        <v/>
      </c>
      <c r="AH135" s="104">
        <f>AH10+AH35+AH60+AH85+AH110</f>
        <v/>
      </c>
      <c r="AI135" s="104">
        <f>AI10+AI35+AI60+AI85+AI110</f>
        <v/>
      </c>
      <c r="AJ135" s="104">
        <f>AJ10+AJ35+AJ60+AJ85+AJ110</f>
        <v/>
      </c>
      <c r="AK135" s="104">
        <f>AK10+AK35+AK60+AK85+AK110</f>
        <v/>
      </c>
      <c r="AL135" s="104">
        <f>AL10+AL35+AL60+AL85+AL110</f>
        <v/>
      </c>
      <c r="AM135" s="104">
        <f>AM10+AM35+AM60+AM85+AM110</f>
        <v/>
      </c>
      <c r="AN135" s="104">
        <f>AN10+AN35+AN60+AN85+AN110</f>
        <v/>
      </c>
      <c r="AO135" s="104">
        <f>AO10+AO35+AO60+AO85+AO110</f>
        <v/>
      </c>
      <c r="AP135" s="104">
        <f>AP10+AP35+AP60+AP85+AP110</f>
        <v/>
      </c>
      <c r="AQ135" s="104">
        <f>AQ10+AQ35+AQ60+AQ85+AQ110</f>
        <v/>
      </c>
      <c r="AR135" s="104">
        <f>AR10+AR35+AR60+AR85+AR110</f>
        <v/>
      </c>
      <c r="AS135" s="104">
        <f>AS10+AS35+AS60+AS85+AS110</f>
        <v/>
      </c>
      <c r="AT135" s="104">
        <f>AT10+AT35+AT60+AT85+AT110</f>
        <v/>
      </c>
      <c r="AU135" s="104">
        <f>AU10+AU35+AU60+AU85+AU110</f>
        <v/>
      </c>
      <c r="AV135" s="104">
        <f>AV10+AV35+AV60+AV85+AV110</f>
        <v/>
      </c>
      <c r="AW135" s="104">
        <f>AW10+AW35+AW60+AW85+AW110</f>
        <v/>
      </c>
      <c r="AX135" s="104">
        <f>AX10+AX35+AX60+AX85+AX110</f>
        <v/>
      </c>
      <c r="AY135" s="104">
        <f>AY10+AY35+AY60+AY85+AY110</f>
        <v/>
      </c>
      <c r="AZ135" s="104">
        <f>AZ10+AZ35+AZ60+AZ85+AZ110</f>
        <v/>
      </c>
      <c r="BA135" s="104">
        <f>BA10+BA35+BA60+BA85+BA110</f>
        <v/>
      </c>
      <c r="BB135" s="104">
        <f>BB10+BB35+BB60+BB85+BB110</f>
        <v/>
      </c>
      <c r="BC135" s="104">
        <f>BC10+BC35+BC60+BC85+BC110</f>
        <v/>
      </c>
      <c r="BD135" s="104">
        <f>BD10+BD35+BD60+BD85+BD110</f>
        <v/>
      </c>
      <c r="BE135" s="104">
        <f>BE10+BE35+BE60+BE85+BE110</f>
        <v/>
      </c>
      <c r="BF135" s="104">
        <f>BF10+BF35+BF60+BF85+BF110</f>
        <v/>
      </c>
      <c r="BG135" s="104">
        <f>BG10+BG35+BG60+BG85+BG110</f>
        <v/>
      </c>
      <c r="BH135" s="104">
        <f>BH10+BH35+BH60+BH85+BH110</f>
        <v/>
      </c>
      <c r="BI135" s="104">
        <f>BI10+BI35+BI60+BI85+BI110</f>
        <v/>
      </c>
      <c r="BJ135" s="104">
        <f>BJ10+BJ35+BJ60+BJ85+BJ110</f>
        <v/>
      </c>
      <c r="BK135" s="104">
        <f>BK10+BK35+BK60+BK85+BK110</f>
        <v/>
      </c>
      <c r="BL135" s="104">
        <f>BL10+BL35+BL60+BL85+BL110</f>
        <v/>
      </c>
    </row>
    <row r="136">
      <c r="A136" s="100" t="inlineStr">
        <is>
          <t>Down payments collected</t>
        </is>
      </c>
      <c r="B136" s="101" t="inlineStr">
        <is>
          <t>LCY</t>
        </is>
      </c>
      <c r="C136" s="102">
        <f>SUM(E136:BL136)</f>
        <v/>
      </c>
      <c r="D136" s="103" t="n"/>
      <c r="E136" s="104">
        <f>E11+E36+E61+E86+E111</f>
        <v/>
      </c>
      <c r="F136" s="104">
        <f>F11+F36+F61+F86+F111</f>
        <v/>
      </c>
      <c r="G136" s="104">
        <f>G11+G36+G61+G86+G111</f>
        <v/>
      </c>
      <c r="H136" s="104">
        <f>H11+H36+H61+H86+H111</f>
        <v/>
      </c>
      <c r="I136" s="104">
        <f>I11+I36+I61+I86+I111</f>
        <v/>
      </c>
      <c r="J136" s="104">
        <f>J11+J36+J61+J86+J111</f>
        <v/>
      </c>
      <c r="K136" s="104">
        <f>K11+K36+K61+K86+K111</f>
        <v/>
      </c>
      <c r="L136" s="104">
        <f>L11+L36+L61+L86+L111</f>
        <v/>
      </c>
      <c r="M136" s="104">
        <f>M11+M36+M61+M86+M111</f>
        <v/>
      </c>
      <c r="N136" s="104">
        <f>N11+N36+N61+N86+N111</f>
        <v/>
      </c>
      <c r="O136" s="104">
        <f>O11+O36+O61+O86+O111</f>
        <v/>
      </c>
      <c r="P136" s="104">
        <f>P11+P36+P61+P86+P111</f>
        <v/>
      </c>
      <c r="Q136" s="104">
        <f>Q11+Q36+Q61+Q86+Q111</f>
        <v/>
      </c>
      <c r="R136" s="104">
        <f>R11+R36+R61+R86+R111</f>
        <v/>
      </c>
      <c r="S136" s="104">
        <f>S11+S36+S61+S86+S111</f>
        <v/>
      </c>
      <c r="T136" s="104">
        <f>T11+T36+T61+T86+T111</f>
        <v/>
      </c>
      <c r="U136" s="104">
        <f>U11+U36+U61+U86+U111</f>
        <v/>
      </c>
      <c r="V136" s="104">
        <f>V11+V36+V61+V86+V111</f>
        <v/>
      </c>
      <c r="W136" s="104">
        <f>W11+W36+W61+W86+W111</f>
        <v/>
      </c>
      <c r="X136" s="104">
        <f>X11+X36+X61+X86+X111</f>
        <v/>
      </c>
      <c r="Y136" s="104">
        <f>Y11+Y36+Y61+Y86+Y111</f>
        <v/>
      </c>
      <c r="Z136" s="104">
        <f>Z11+Z36+Z61+Z86+Z111</f>
        <v/>
      </c>
      <c r="AA136" s="104">
        <f>AA11+AA36+AA61+AA86+AA111</f>
        <v/>
      </c>
      <c r="AB136" s="104">
        <f>AB11+AB36+AB61+AB86+AB111</f>
        <v/>
      </c>
      <c r="AC136" s="104">
        <f>AC11+AC36+AC61+AC86+AC111</f>
        <v/>
      </c>
      <c r="AD136" s="104">
        <f>AD11+AD36+AD61+AD86+AD111</f>
        <v/>
      </c>
      <c r="AE136" s="104">
        <f>AE11+AE36+AE61+AE86+AE111</f>
        <v/>
      </c>
      <c r="AF136" s="104">
        <f>AF11+AF36+AF61+AF86+AF111</f>
        <v/>
      </c>
      <c r="AG136" s="104">
        <f>AG11+AG36+AG61+AG86+AG111</f>
        <v/>
      </c>
      <c r="AH136" s="104">
        <f>AH11+AH36+AH61+AH86+AH111</f>
        <v/>
      </c>
      <c r="AI136" s="104">
        <f>AI11+AI36+AI61+AI86+AI111</f>
        <v/>
      </c>
      <c r="AJ136" s="104">
        <f>AJ11+AJ36+AJ61+AJ86+AJ111</f>
        <v/>
      </c>
      <c r="AK136" s="104">
        <f>AK11+AK36+AK61+AK86+AK111</f>
        <v/>
      </c>
      <c r="AL136" s="104">
        <f>AL11+AL36+AL61+AL86+AL111</f>
        <v/>
      </c>
      <c r="AM136" s="104">
        <f>AM11+AM36+AM61+AM86+AM111</f>
        <v/>
      </c>
      <c r="AN136" s="104">
        <f>AN11+AN36+AN61+AN86+AN111</f>
        <v/>
      </c>
      <c r="AO136" s="104">
        <f>AO11+AO36+AO61+AO86+AO111</f>
        <v/>
      </c>
      <c r="AP136" s="104">
        <f>AP11+AP36+AP61+AP86+AP111</f>
        <v/>
      </c>
      <c r="AQ136" s="104">
        <f>AQ11+AQ36+AQ61+AQ86+AQ111</f>
        <v/>
      </c>
      <c r="AR136" s="104">
        <f>AR11+AR36+AR61+AR86+AR111</f>
        <v/>
      </c>
      <c r="AS136" s="104">
        <f>AS11+AS36+AS61+AS86+AS111</f>
        <v/>
      </c>
      <c r="AT136" s="104">
        <f>AT11+AT36+AT61+AT86+AT111</f>
        <v/>
      </c>
      <c r="AU136" s="104">
        <f>AU11+AU36+AU61+AU86+AU111</f>
        <v/>
      </c>
      <c r="AV136" s="104">
        <f>AV11+AV36+AV61+AV86+AV111</f>
        <v/>
      </c>
      <c r="AW136" s="104">
        <f>AW11+AW36+AW61+AW86+AW111</f>
        <v/>
      </c>
      <c r="AX136" s="104">
        <f>AX11+AX36+AX61+AX86+AX111</f>
        <v/>
      </c>
      <c r="AY136" s="104">
        <f>AY11+AY36+AY61+AY86+AY111</f>
        <v/>
      </c>
      <c r="AZ136" s="104">
        <f>AZ11+AZ36+AZ61+AZ86+AZ111</f>
        <v/>
      </c>
      <c r="BA136" s="104">
        <f>BA11+BA36+BA61+BA86+BA111</f>
        <v/>
      </c>
      <c r="BB136" s="104">
        <f>BB11+BB36+BB61+BB86+BB111</f>
        <v/>
      </c>
      <c r="BC136" s="104">
        <f>BC11+BC36+BC61+BC86+BC111</f>
        <v/>
      </c>
      <c r="BD136" s="104">
        <f>BD11+BD36+BD61+BD86+BD111</f>
        <v/>
      </c>
      <c r="BE136" s="104">
        <f>BE11+BE36+BE61+BE86+BE111</f>
        <v/>
      </c>
      <c r="BF136" s="104">
        <f>BF11+BF36+BF61+BF86+BF111</f>
        <v/>
      </c>
      <c r="BG136" s="104">
        <f>BG11+BG36+BG61+BG86+BG111</f>
        <v/>
      </c>
      <c r="BH136" s="104">
        <f>BH11+BH36+BH61+BH86+BH111</f>
        <v/>
      </c>
      <c r="BI136" s="104">
        <f>BI11+BI36+BI61+BI86+BI111</f>
        <v/>
      </c>
      <c r="BJ136" s="104">
        <f>BJ11+BJ36+BJ61+BJ86+BJ111</f>
        <v/>
      </c>
      <c r="BK136" s="104">
        <f>BK11+BK36+BK61+BK86+BK111</f>
        <v/>
      </c>
      <c r="BL136" s="104">
        <f>BL11+BL36+BL61+BL86+BL111</f>
        <v/>
      </c>
    </row>
    <row r="137">
      <c r="A137" s="100" t="inlineStr">
        <is>
          <t>Hardware revenue (cash price)</t>
        </is>
      </c>
      <c r="B137" s="101" t="inlineStr">
        <is>
          <t>LCY</t>
        </is>
      </c>
      <c r="C137" s="102">
        <f>SUM(E137:BL137)</f>
        <v/>
      </c>
      <c r="D137" s="103" t="n"/>
      <c r="E137" s="104">
        <f>E12+E37+E62+E87+E112</f>
        <v/>
      </c>
      <c r="F137" s="104">
        <f>F12+F37+F62+F87+F112</f>
        <v/>
      </c>
      <c r="G137" s="104">
        <f>G12+G37+G62+G87+G112</f>
        <v/>
      </c>
      <c r="H137" s="104">
        <f>H12+H37+H62+H87+H112</f>
        <v/>
      </c>
      <c r="I137" s="104">
        <f>I12+I37+I62+I87+I112</f>
        <v/>
      </c>
      <c r="J137" s="104">
        <f>J12+J37+J62+J87+J112</f>
        <v/>
      </c>
      <c r="K137" s="104">
        <f>K12+K37+K62+K87+K112</f>
        <v/>
      </c>
      <c r="L137" s="104">
        <f>L12+L37+L62+L87+L112</f>
        <v/>
      </c>
      <c r="M137" s="104">
        <f>M12+M37+M62+M87+M112</f>
        <v/>
      </c>
      <c r="N137" s="104">
        <f>N12+N37+N62+N87+N112</f>
        <v/>
      </c>
      <c r="O137" s="104">
        <f>O12+O37+O62+O87+O112</f>
        <v/>
      </c>
      <c r="P137" s="104">
        <f>P12+P37+P62+P87+P112</f>
        <v/>
      </c>
      <c r="Q137" s="104">
        <f>Q12+Q37+Q62+Q87+Q112</f>
        <v/>
      </c>
      <c r="R137" s="104">
        <f>R12+R37+R62+R87+R112</f>
        <v/>
      </c>
      <c r="S137" s="104">
        <f>S12+S37+S62+S87+S112</f>
        <v/>
      </c>
      <c r="T137" s="104">
        <f>T12+T37+T62+T87+T112</f>
        <v/>
      </c>
      <c r="U137" s="104">
        <f>U12+U37+U62+U87+U112</f>
        <v/>
      </c>
      <c r="V137" s="104">
        <f>V12+V37+V62+V87+V112</f>
        <v/>
      </c>
      <c r="W137" s="104">
        <f>W12+W37+W62+W87+W112</f>
        <v/>
      </c>
      <c r="X137" s="104">
        <f>X12+X37+X62+X87+X112</f>
        <v/>
      </c>
      <c r="Y137" s="104">
        <f>Y12+Y37+Y62+Y87+Y112</f>
        <v/>
      </c>
      <c r="Z137" s="104">
        <f>Z12+Z37+Z62+Z87+Z112</f>
        <v/>
      </c>
      <c r="AA137" s="104">
        <f>AA12+AA37+AA62+AA87+AA112</f>
        <v/>
      </c>
      <c r="AB137" s="104">
        <f>AB12+AB37+AB62+AB87+AB112</f>
        <v/>
      </c>
      <c r="AC137" s="104">
        <f>AC12+AC37+AC62+AC87+AC112</f>
        <v/>
      </c>
      <c r="AD137" s="104">
        <f>AD12+AD37+AD62+AD87+AD112</f>
        <v/>
      </c>
      <c r="AE137" s="104">
        <f>AE12+AE37+AE62+AE87+AE112</f>
        <v/>
      </c>
      <c r="AF137" s="104">
        <f>AF12+AF37+AF62+AF87+AF112</f>
        <v/>
      </c>
      <c r="AG137" s="104">
        <f>AG12+AG37+AG62+AG87+AG112</f>
        <v/>
      </c>
      <c r="AH137" s="104">
        <f>AH12+AH37+AH62+AH87+AH112</f>
        <v/>
      </c>
      <c r="AI137" s="104">
        <f>AI12+AI37+AI62+AI87+AI112</f>
        <v/>
      </c>
      <c r="AJ137" s="104">
        <f>AJ12+AJ37+AJ62+AJ87+AJ112</f>
        <v/>
      </c>
      <c r="AK137" s="104">
        <f>AK12+AK37+AK62+AK87+AK112</f>
        <v/>
      </c>
      <c r="AL137" s="104">
        <f>AL12+AL37+AL62+AL87+AL112</f>
        <v/>
      </c>
      <c r="AM137" s="104">
        <f>AM12+AM37+AM62+AM87+AM112</f>
        <v/>
      </c>
      <c r="AN137" s="104">
        <f>AN12+AN37+AN62+AN87+AN112</f>
        <v/>
      </c>
      <c r="AO137" s="104">
        <f>AO12+AO37+AO62+AO87+AO112</f>
        <v/>
      </c>
      <c r="AP137" s="104">
        <f>AP12+AP37+AP62+AP87+AP112</f>
        <v/>
      </c>
      <c r="AQ137" s="104">
        <f>AQ12+AQ37+AQ62+AQ87+AQ112</f>
        <v/>
      </c>
      <c r="AR137" s="104">
        <f>AR12+AR37+AR62+AR87+AR112</f>
        <v/>
      </c>
      <c r="AS137" s="104">
        <f>AS12+AS37+AS62+AS87+AS112</f>
        <v/>
      </c>
      <c r="AT137" s="104">
        <f>AT12+AT37+AT62+AT87+AT112</f>
        <v/>
      </c>
      <c r="AU137" s="104">
        <f>AU12+AU37+AU62+AU87+AU112</f>
        <v/>
      </c>
      <c r="AV137" s="104">
        <f>AV12+AV37+AV62+AV87+AV112</f>
        <v/>
      </c>
      <c r="AW137" s="104">
        <f>AW12+AW37+AW62+AW87+AW112</f>
        <v/>
      </c>
      <c r="AX137" s="104">
        <f>AX12+AX37+AX62+AX87+AX112</f>
        <v/>
      </c>
      <c r="AY137" s="104">
        <f>AY12+AY37+AY62+AY87+AY112</f>
        <v/>
      </c>
      <c r="AZ137" s="104">
        <f>AZ12+AZ37+AZ62+AZ87+AZ112</f>
        <v/>
      </c>
      <c r="BA137" s="104">
        <f>BA12+BA37+BA62+BA87+BA112</f>
        <v/>
      </c>
      <c r="BB137" s="104">
        <f>BB12+BB37+BB62+BB87+BB112</f>
        <v/>
      </c>
      <c r="BC137" s="104">
        <f>BC12+BC37+BC62+BC87+BC112</f>
        <v/>
      </c>
      <c r="BD137" s="104">
        <f>BD12+BD37+BD62+BD87+BD112</f>
        <v/>
      </c>
      <c r="BE137" s="104">
        <f>BE12+BE37+BE62+BE87+BE112</f>
        <v/>
      </c>
      <c r="BF137" s="104">
        <f>BF12+BF37+BF62+BF87+BF112</f>
        <v/>
      </c>
      <c r="BG137" s="104">
        <f>BG12+BG37+BG62+BG87+BG112</f>
        <v/>
      </c>
      <c r="BH137" s="104">
        <f>BH12+BH37+BH62+BH87+BH112</f>
        <v/>
      </c>
      <c r="BI137" s="104">
        <f>BI12+BI37+BI62+BI87+BI112</f>
        <v/>
      </c>
      <c r="BJ137" s="104">
        <f>BJ12+BJ37+BJ62+BJ87+BJ112</f>
        <v/>
      </c>
      <c r="BK137" s="104">
        <f>BK12+BK37+BK62+BK87+BK112</f>
        <v/>
      </c>
      <c r="BL137" s="104">
        <f>BL12+BL37+BL62+BL87+BL112</f>
        <v/>
      </c>
    </row>
    <row r="138">
      <c r="A138" s="100" t="inlineStr">
        <is>
          <t>New PAYGo receivables originated</t>
        </is>
      </c>
      <c r="B138" s="101" t="inlineStr">
        <is>
          <t>LCY</t>
        </is>
      </c>
      <c r="C138" s="102">
        <f>SUM(E138:BL138)</f>
        <v/>
      </c>
      <c r="D138" s="103" t="n"/>
      <c r="E138" s="104">
        <f>E13+E38+E63+E88+E113</f>
        <v/>
      </c>
      <c r="F138" s="104">
        <f>F13+F38+F63+F88+F113</f>
        <v/>
      </c>
      <c r="G138" s="104">
        <f>G13+G38+G63+G88+G113</f>
        <v/>
      </c>
      <c r="H138" s="104">
        <f>H13+H38+H63+H88+H113</f>
        <v/>
      </c>
      <c r="I138" s="104">
        <f>I13+I38+I63+I88+I113</f>
        <v/>
      </c>
      <c r="J138" s="104">
        <f>J13+J38+J63+J88+J113</f>
        <v/>
      </c>
      <c r="K138" s="104">
        <f>K13+K38+K63+K88+K113</f>
        <v/>
      </c>
      <c r="L138" s="104">
        <f>L13+L38+L63+L88+L113</f>
        <v/>
      </c>
      <c r="M138" s="104">
        <f>M13+M38+M63+M88+M113</f>
        <v/>
      </c>
      <c r="N138" s="104">
        <f>N13+N38+N63+N88+N113</f>
        <v/>
      </c>
      <c r="O138" s="104">
        <f>O13+O38+O63+O88+O113</f>
        <v/>
      </c>
      <c r="P138" s="104">
        <f>P13+P38+P63+P88+P113</f>
        <v/>
      </c>
      <c r="Q138" s="104">
        <f>Q13+Q38+Q63+Q88+Q113</f>
        <v/>
      </c>
      <c r="R138" s="104">
        <f>R13+R38+R63+R88+R113</f>
        <v/>
      </c>
      <c r="S138" s="104">
        <f>S13+S38+S63+S88+S113</f>
        <v/>
      </c>
      <c r="T138" s="104">
        <f>T13+T38+T63+T88+T113</f>
        <v/>
      </c>
      <c r="U138" s="104">
        <f>U13+U38+U63+U88+U113</f>
        <v/>
      </c>
      <c r="V138" s="104">
        <f>V13+V38+V63+V88+V113</f>
        <v/>
      </c>
      <c r="W138" s="104">
        <f>W13+W38+W63+W88+W113</f>
        <v/>
      </c>
      <c r="X138" s="104">
        <f>X13+X38+X63+X88+X113</f>
        <v/>
      </c>
      <c r="Y138" s="104">
        <f>Y13+Y38+Y63+Y88+Y113</f>
        <v/>
      </c>
      <c r="Z138" s="104">
        <f>Z13+Z38+Z63+Z88+Z113</f>
        <v/>
      </c>
      <c r="AA138" s="104">
        <f>AA13+AA38+AA63+AA88+AA113</f>
        <v/>
      </c>
      <c r="AB138" s="104">
        <f>AB13+AB38+AB63+AB88+AB113</f>
        <v/>
      </c>
      <c r="AC138" s="104">
        <f>AC13+AC38+AC63+AC88+AC113</f>
        <v/>
      </c>
      <c r="AD138" s="104">
        <f>AD13+AD38+AD63+AD88+AD113</f>
        <v/>
      </c>
      <c r="AE138" s="104">
        <f>AE13+AE38+AE63+AE88+AE113</f>
        <v/>
      </c>
      <c r="AF138" s="104">
        <f>AF13+AF38+AF63+AF88+AF113</f>
        <v/>
      </c>
      <c r="AG138" s="104">
        <f>AG13+AG38+AG63+AG88+AG113</f>
        <v/>
      </c>
      <c r="AH138" s="104">
        <f>AH13+AH38+AH63+AH88+AH113</f>
        <v/>
      </c>
      <c r="AI138" s="104">
        <f>AI13+AI38+AI63+AI88+AI113</f>
        <v/>
      </c>
      <c r="AJ138" s="104">
        <f>AJ13+AJ38+AJ63+AJ88+AJ113</f>
        <v/>
      </c>
      <c r="AK138" s="104">
        <f>AK13+AK38+AK63+AK88+AK113</f>
        <v/>
      </c>
      <c r="AL138" s="104">
        <f>AL13+AL38+AL63+AL88+AL113</f>
        <v/>
      </c>
      <c r="AM138" s="104">
        <f>AM13+AM38+AM63+AM88+AM113</f>
        <v/>
      </c>
      <c r="AN138" s="104">
        <f>AN13+AN38+AN63+AN88+AN113</f>
        <v/>
      </c>
      <c r="AO138" s="104">
        <f>AO13+AO38+AO63+AO88+AO113</f>
        <v/>
      </c>
      <c r="AP138" s="104">
        <f>AP13+AP38+AP63+AP88+AP113</f>
        <v/>
      </c>
      <c r="AQ138" s="104">
        <f>AQ13+AQ38+AQ63+AQ88+AQ113</f>
        <v/>
      </c>
      <c r="AR138" s="104">
        <f>AR13+AR38+AR63+AR88+AR113</f>
        <v/>
      </c>
      <c r="AS138" s="104">
        <f>AS13+AS38+AS63+AS88+AS113</f>
        <v/>
      </c>
      <c r="AT138" s="104">
        <f>AT13+AT38+AT63+AT88+AT113</f>
        <v/>
      </c>
      <c r="AU138" s="104">
        <f>AU13+AU38+AU63+AU88+AU113</f>
        <v/>
      </c>
      <c r="AV138" s="104">
        <f>AV13+AV38+AV63+AV88+AV113</f>
        <v/>
      </c>
      <c r="AW138" s="104">
        <f>AW13+AW38+AW63+AW88+AW113</f>
        <v/>
      </c>
      <c r="AX138" s="104">
        <f>AX13+AX38+AX63+AX88+AX113</f>
        <v/>
      </c>
      <c r="AY138" s="104">
        <f>AY13+AY38+AY63+AY88+AY113</f>
        <v/>
      </c>
      <c r="AZ138" s="104">
        <f>AZ13+AZ38+AZ63+AZ88+AZ113</f>
        <v/>
      </c>
      <c r="BA138" s="104">
        <f>BA13+BA38+BA63+BA88+BA113</f>
        <v/>
      </c>
      <c r="BB138" s="104">
        <f>BB13+BB38+BB63+BB88+BB113</f>
        <v/>
      </c>
      <c r="BC138" s="104">
        <f>BC13+BC38+BC63+BC88+BC113</f>
        <v/>
      </c>
      <c r="BD138" s="104">
        <f>BD13+BD38+BD63+BD88+BD113</f>
        <v/>
      </c>
      <c r="BE138" s="104">
        <f>BE13+BE38+BE63+BE88+BE113</f>
        <v/>
      </c>
      <c r="BF138" s="104">
        <f>BF13+BF38+BF63+BF88+BF113</f>
        <v/>
      </c>
      <c r="BG138" s="104">
        <f>BG13+BG38+BG63+BG88+BG113</f>
        <v/>
      </c>
      <c r="BH138" s="104">
        <f>BH13+BH38+BH63+BH88+BH113</f>
        <v/>
      </c>
      <c r="BI138" s="104">
        <f>BI13+BI38+BI63+BI88+BI113</f>
        <v/>
      </c>
      <c r="BJ138" s="104">
        <f>BJ13+BJ38+BJ63+BJ88+BJ113</f>
        <v/>
      </c>
      <c r="BK138" s="104">
        <f>BK13+BK38+BK63+BK88+BK113</f>
        <v/>
      </c>
      <c r="BL138" s="104">
        <f>BL13+BL38+BL63+BL88+BL113</f>
        <v/>
      </c>
    </row>
    <row r="139">
      <c r="A139" s="100" t="inlineStr">
        <is>
          <t>Instalments due</t>
        </is>
      </c>
      <c r="B139" s="101" t="inlineStr">
        <is>
          <t>LCY</t>
        </is>
      </c>
      <c r="C139" s="102">
        <f>SUM(E139:BL139)</f>
        <v/>
      </c>
      <c r="D139" s="103" t="n"/>
      <c r="E139" s="104">
        <f>E14+E39+E64+E89+E114</f>
        <v/>
      </c>
      <c r="F139" s="104">
        <f>F14+F39+F64+F89+F114</f>
        <v/>
      </c>
      <c r="G139" s="104">
        <f>G14+G39+G64+G89+G114</f>
        <v/>
      </c>
      <c r="H139" s="104">
        <f>H14+H39+H64+H89+H114</f>
        <v/>
      </c>
      <c r="I139" s="104">
        <f>I14+I39+I64+I89+I114</f>
        <v/>
      </c>
      <c r="J139" s="104">
        <f>J14+J39+J64+J89+J114</f>
        <v/>
      </c>
      <c r="K139" s="104">
        <f>K14+K39+K64+K89+K114</f>
        <v/>
      </c>
      <c r="L139" s="104">
        <f>L14+L39+L64+L89+L114</f>
        <v/>
      </c>
      <c r="M139" s="104">
        <f>M14+M39+M64+M89+M114</f>
        <v/>
      </c>
      <c r="N139" s="104">
        <f>N14+N39+N64+N89+N114</f>
        <v/>
      </c>
      <c r="O139" s="104">
        <f>O14+O39+O64+O89+O114</f>
        <v/>
      </c>
      <c r="P139" s="104">
        <f>P14+P39+P64+P89+P114</f>
        <v/>
      </c>
      <c r="Q139" s="104">
        <f>Q14+Q39+Q64+Q89+Q114</f>
        <v/>
      </c>
      <c r="R139" s="104">
        <f>R14+R39+R64+R89+R114</f>
        <v/>
      </c>
      <c r="S139" s="104">
        <f>S14+S39+S64+S89+S114</f>
        <v/>
      </c>
      <c r="T139" s="104">
        <f>T14+T39+T64+T89+T114</f>
        <v/>
      </c>
      <c r="U139" s="104">
        <f>U14+U39+U64+U89+U114</f>
        <v/>
      </c>
      <c r="V139" s="104">
        <f>V14+V39+V64+V89+V114</f>
        <v/>
      </c>
      <c r="W139" s="104">
        <f>W14+W39+W64+W89+W114</f>
        <v/>
      </c>
      <c r="X139" s="104">
        <f>X14+X39+X64+X89+X114</f>
        <v/>
      </c>
      <c r="Y139" s="104">
        <f>Y14+Y39+Y64+Y89+Y114</f>
        <v/>
      </c>
      <c r="Z139" s="104">
        <f>Z14+Z39+Z64+Z89+Z114</f>
        <v/>
      </c>
      <c r="AA139" s="104">
        <f>AA14+AA39+AA64+AA89+AA114</f>
        <v/>
      </c>
      <c r="AB139" s="104">
        <f>AB14+AB39+AB64+AB89+AB114</f>
        <v/>
      </c>
      <c r="AC139" s="104">
        <f>AC14+AC39+AC64+AC89+AC114</f>
        <v/>
      </c>
      <c r="AD139" s="104">
        <f>AD14+AD39+AD64+AD89+AD114</f>
        <v/>
      </c>
      <c r="AE139" s="104">
        <f>AE14+AE39+AE64+AE89+AE114</f>
        <v/>
      </c>
      <c r="AF139" s="104">
        <f>AF14+AF39+AF64+AF89+AF114</f>
        <v/>
      </c>
      <c r="AG139" s="104">
        <f>AG14+AG39+AG64+AG89+AG114</f>
        <v/>
      </c>
      <c r="AH139" s="104">
        <f>AH14+AH39+AH64+AH89+AH114</f>
        <v/>
      </c>
      <c r="AI139" s="104">
        <f>AI14+AI39+AI64+AI89+AI114</f>
        <v/>
      </c>
      <c r="AJ139" s="104">
        <f>AJ14+AJ39+AJ64+AJ89+AJ114</f>
        <v/>
      </c>
      <c r="AK139" s="104">
        <f>AK14+AK39+AK64+AK89+AK114</f>
        <v/>
      </c>
      <c r="AL139" s="104">
        <f>AL14+AL39+AL64+AL89+AL114</f>
        <v/>
      </c>
      <c r="AM139" s="104">
        <f>AM14+AM39+AM64+AM89+AM114</f>
        <v/>
      </c>
      <c r="AN139" s="104">
        <f>AN14+AN39+AN64+AN89+AN114</f>
        <v/>
      </c>
      <c r="AO139" s="104">
        <f>AO14+AO39+AO64+AO89+AO114</f>
        <v/>
      </c>
      <c r="AP139" s="104">
        <f>AP14+AP39+AP64+AP89+AP114</f>
        <v/>
      </c>
      <c r="AQ139" s="104">
        <f>AQ14+AQ39+AQ64+AQ89+AQ114</f>
        <v/>
      </c>
      <c r="AR139" s="104">
        <f>AR14+AR39+AR64+AR89+AR114</f>
        <v/>
      </c>
      <c r="AS139" s="104">
        <f>AS14+AS39+AS64+AS89+AS114</f>
        <v/>
      </c>
      <c r="AT139" s="104">
        <f>AT14+AT39+AT64+AT89+AT114</f>
        <v/>
      </c>
      <c r="AU139" s="104">
        <f>AU14+AU39+AU64+AU89+AU114</f>
        <v/>
      </c>
      <c r="AV139" s="104">
        <f>AV14+AV39+AV64+AV89+AV114</f>
        <v/>
      </c>
      <c r="AW139" s="104">
        <f>AW14+AW39+AW64+AW89+AW114</f>
        <v/>
      </c>
      <c r="AX139" s="104">
        <f>AX14+AX39+AX64+AX89+AX114</f>
        <v/>
      </c>
      <c r="AY139" s="104">
        <f>AY14+AY39+AY64+AY89+AY114</f>
        <v/>
      </c>
      <c r="AZ139" s="104">
        <f>AZ14+AZ39+AZ64+AZ89+AZ114</f>
        <v/>
      </c>
      <c r="BA139" s="104">
        <f>BA14+BA39+BA64+BA89+BA114</f>
        <v/>
      </c>
      <c r="BB139" s="104">
        <f>BB14+BB39+BB64+BB89+BB114</f>
        <v/>
      </c>
      <c r="BC139" s="104">
        <f>BC14+BC39+BC64+BC89+BC114</f>
        <v/>
      </c>
      <c r="BD139" s="104">
        <f>BD14+BD39+BD64+BD89+BD114</f>
        <v/>
      </c>
      <c r="BE139" s="104">
        <f>BE14+BE39+BE64+BE89+BE114</f>
        <v/>
      </c>
      <c r="BF139" s="104">
        <f>BF14+BF39+BF64+BF89+BF114</f>
        <v/>
      </c>
      <c r="BG139" s="104">
        <f>BG14+BG39+BG64+BG89+BG114</f>
        <v/>
      </c>
      <c r="BH139" s="104">
        <f>BH14+BH39+BH64+BH89+BH114</f>
        <v/>
      </c>
      <c r="BI139" s="104">
        <f>BI14+BI39+BI64+BI89+BI114</f>
        <v/>
      </c>
      <c r="BJ139" s="104">
        <f>BJ14+BJ39+BJ64+BJ89+BJ114</f>
        <v/>
      </c>
      <c r="BK139" s="104">
        <f>BK14+BK39+BK64+BK89+BK114</f>
        <v/>
      </c>
      <c r="BL139" s="104">
        <f>BL14+BL39+BL64+BL89+BL114</f>
        <v/>
      </c>
    </row>
    <row r="140">
      <c r="A140" s="100" t="inlineStr">
        <is>
          <t>Instalments collected</t>
        </is>
      </c>
      <c r="B140" s="101" t="inlineStr">
        <is>
          <t>LCY</t>
        </is>
      </c>
      <c r="C140" s="102">
        <f>SUM(E140:BL140)</f>
        <v/>
      </c>
      <c r="D140" s="103" t="n"/>
      <c r="E140" s="104">
        <f>E15+E40+E65+E90+E115</f>
        <v/>
      </c>
      <c r="F140" s="104">
        <f>F15+F40+F65+F90+F115</f>
        <v/>
      </c>
      <c r="G140" s="104">
        <f>G15+G40+G65+G90+G115</f>
        <v/>
      </c>
      <c r="H140" s="104">
        <f>H15+H40+H65+H90+H115</f>
        <v/>
      </c>
      <c r="I140" s="104">
        <f>I15+I40+I65+I90+I115</f>
        <v/>
      </c>
      <c r="J140" s="104">
        <f>J15+J40+J65+J90+J115</f>
        <v/>
      </c>
      <c r="K140" s="104">
        <f>K15+K40+K65+K90+K115</f>
        <v/>
      </c>
      <c r="L140" s="104">
        <f>L15+L40+L65+L90+L115</f>
        <v/>
      </c>
      <c r="M140" s="104">
        <f>M15+M40+M65+M90+M115</f>
        <v/>
      </c>
      <c r="N140" s="104">
        <f>N15+N40+N65+N90+N115</f>
        <v/>
      </c>
      <c r="O140" s="104">
        <f>O15+O40+O65+O90+O115</f>
        <v/>
      </c>
      <c r="P140" s="104">
        <f>P15+P40+P65+P90+P115</f>
        <v/>
      </c>
      <c r="Q140" s="104">
        <f>Q15+Q40+Q65+Q90+Q115</f>
        <v/>
      </c>
      <c r="R140" s="104">
        <f>R15+R40+R65+R90+R115</f>
        <v/>
      </c>
      <c r="S140" s="104">
        <f>S15+S40+S65+S90+S115</f>
        <v/>
      </c>
      <c r="T140" s="104">
        <f>T15+T40+T65+T90+T115</f>
        <v/>
      </c>
      <c r="U140" s="104">
        <f>U15+U40+U65+U90+U115</f>
        <v/>
      </c>
      <c r="V140" s="104">
        <f>V15+V40+V65+V90+V115</f>
        <v/>
      </c>
      <c r="W140" s="104">
        <f>W15+W40+W65+W90+W115</f>
        <v/>
      </c>
      <c r="X140" s="104">
        <f>X15+X40+X65+X90+X115</f>
        <v/>
      </c>
      <c r="Y140" s="104">
        <f>Y15+Y40+Y65+Y90+Y115</f>
        <v/>
      </c>
      <c r="Z140" s="104">
        <f>Z15+Z40+Z65+Z90+Z115</f>
        <v/>
      </c>
      <c r="AA140" s="104">
        <f>AA15+AA40+AA65+AA90+AA115</f>
        <v/>
      </c>
      <c r="AB140" s="104">
        <f>AB15+AB40+AB65+AB90+AB115</f>
        <v/>
      </c>
      <c r="AC140" s="104">
        <f>AC15+AC40+AC65+AC90+AC115</f>
        <v/>
      </c>
      <c r="AD140" s="104">
        <f>AD15+AD40+AD65+AD90+AD115</f>
        <v/>
      </c>
      <c r="AE140" s="104">
        <f>AE15+AE40+AE65+AE90+AE115</f>
        <v/>
      </c>
      <c r="AF140" s="104">
        <f>AF15+AF40+AF65+AF90+AF115</f>
        <v/>
      </c>
      <c r="AG140" s="104">
        <f>AG15+AG40+AG65+AG90+AG115</f>
        <v/>
      </c>
      <c r="AH140" s="104">
        <f>AH15+AH40+AH65+AH90+AH115</f>
        <v/>
      </c>
      <c r="AI140" s="104">
        <f>AI15+AI40+AI65+AI90+AI115</f>
        <v/>
      </c>
      <c r="AJ140" s="104">
        <f>AJ15+AJ40+AJ65+AJ90+AJ115</f>
        <v/>
      </c>
      <c r="AK140" s="104">
        <f>AK15+AK40+AK65+AK90+AK115</f>
        <v/>
      </c>
      <c r="AL140" s="104">
        <f>AL15+AL40+AL65+AL90+AL115</f>
        <v/>
      </c>
      <c r="AM140" s="104">
        <f>AM15+AM40+AM65+AM90+AM115</f>
        <v/>
      </c>
      <c r="AN140" s="104">
        <f>AN15+AN40+AN65+AN90+AN115</f>
        <v/>
      </c>
      <c r="AO140" s="104">
        <f>AO15+AO40+AO65+AO90+AO115</f>
        <v/>
      </c>
      <c r="AP140" s="104">
        <f>AP15+AP40+AP65+AP90+AP115</f>
        <v/>
      </c>
      <c r="AQ140" s="104">
        <f>AQ15+AQ40+AQ65+AQ90+AQ115</f>
        <v/>
      </c>
      <c r="AR140" s="104">
        <f>AR15+AR40+AR65+AR90+AR115</f>
        <v/>
      </c>
      <c r="AS140" s="104">
        <f>AS15+AS40+AS65+AS90+AS115</f>
        <v/>
      </c>
      <c r="AT140" s="104">
        <f>AT15+AT40+AT65+AT90+AT115</f>
        <v/>
      </c>
      <c r="AU140" s="104">
        <f>AU15+AU40+AU65+AU90+AU115</f>
        <v/>
      </c>
      <c r="AV140" s="104">
        <f>AV15+AV40+AV65+AV90+AV115</f>
        <v/>
      </c>
      <c r="AW140" s="104">
        <f>AW15+AW40+AW65+AW90+AW115</f>
        <v/>
      </c>
      <c r="AX140" s="104">
        <f>AX15+AX40+AX65+AX90+AX115</f>
        <v/>
      </c>
      <c r="AY140" s="104">
        <f>AY15+AY40+AY65+AY90+AY115</f>
        <v/>
      </c>
      <c r="AZ140" s="104">
        <f>AZ15+AZ40+AZ65+AZ90+AZ115</f>
        <v/>
      </c>
      <c r="BA140" s="104">
        <f>BA15+BA40+BA65+BA90+BA115</f>
        <v/>
      </c>
      <c r="BB140" s="104">
        <f>BB15+BB40+BB65+BB90+BB115</f>
        <v/>
      </c>
      <c r="BC140" s="104">
        <f>BC15+BC40+BC65+BC90+BC115</f>
        <v/>
      </c>
      <c r="BD140" s="104">
        <f>BD15+BD40+BD65+BD90+BD115</f>
        <v/>
      </c>
      <c r="BE140" s="104">
        <f>BE15+BE40+BE65+BE90+BE115</f>
        <v/>
      </c>
      <c r="BF140" s="104">
        <f>BF15+BF40+BF65+BF90+BF115</f>
        <v/>
      </c>
      <c r="BG140" s="104">
        <f>BG15+BG40+BG65+BG90+BG115</f>
        <v/>
      </c>
      <c r="BH140" s="104">
        <f>BH15+BH40+BH65+BH90+BH115</f>
        <v/>
      </c>
      <c r="BI140" s="104">
        <f>BI15+BI40+BI65+BI90+BI115</f>
        <v/>
      </c>
      <c r="BJ140" s="104">
        <f>BJ15+BJ40+BJ65+BJ90+BJ115</f>
        <v/>
      </c>
      <c r="BK140" s="104">
        <f>BK15+BK40+BK65+BK90+BK115</f>
        <v/>
      </c>
      <c r="BL140" s="104">
        <f>BL15+BL40+BL65+BL90+BL115</f>
        <v/>
      </c>
    </row>
    <row r="141">
      <c r="A141" s="100" t="inlineStr">
        <is>
          <t>Missed instalments written off</t>
        </is>
      </c>
      <c r="B141" s="101" t="inlineStr">
        <is>
          <t>LCY</t>
        </is>
      </c>
      <c r="C141" s="102">
        <f>SUM(E141:BL141)</f>
        <v/>
      </c>
      <c r="D141" s="103" t="n"/>
      <c r="E141" s="104">
        <f>E16+E41+E66+E91+E116</f>
        <v/>
      </c>
      <c r="F141" s="104">
        <f>F16+F41+F66+F91+F116</f>
        <v/>
      </c>
      <c r="G141" s="104">
        <f>G16+G41+G66+G91+G116</f>
        <v/>
      </c>
      <c r="H141" s="104">
        <f>H16+H41+H66+H91+H116</f>
        <v/>
      </c>
      <c r="I141" s="104">
        <f>I16+I41+I66+I91+I116</f>
        <v/>
      </c>
      <c r="J141" s="104">
        <f>J16+J41+J66+J91+J116</f>
        <v/>
      </c>
      <c r="K141" s="104">
        <f>K16+K41+K66+K91+K116</f>
        <v/>
      </c>
      <c r="L141" s="104">
        <f>L16+L41+L66+L91+L116</f>
        <v/>
      </c>
      <c r="M141" s="104">
        <f>M16+M41+M66+M91+M116</f>
        <v/>
      </c>
      <c r="N141" s="104">
        <f>N16+N41+N66+N91+N116</f>
        <v/>
      </c>
      <c r="O141" s="104">
        <f>O16+O41+O66+O91+O116</f>
        <v/>
      </c>
      <c r="P141" s="104">
        <f>P16+P41+P66+P91+P116</f>
        <v/>
      </c>
      <c r="Q141" s="104">
        <f>Q16+Q41+Q66+Q91+Q116</f>
        <v/>
      </c>
      <c r="R141" s="104">
        <f>R16+R41+R66+R91+R116</f>
        <v/>
      </c>
      <c r="S141" s="104">
        <f>S16+S41+S66+S91+S116</f>
        <v/>
      </c>
      <c r="T141" s="104">
        <f>T16+T41+T66+T91+T116</f>
        <v/>
      </c>
      <c r="U141" s="104">
        <f>U16+U41+U66+U91+U116</f>
        <v/>
      </c>
      <c r="V141" s="104">
        <f>V16+V41+V66+V91+V116</f>
        <v/>
      </c>
      <c r="W141" s="104">
        <f>W16+W41+W66+W91+W116</f>
        <v/>
      </c>
      <c r="X141" s="104">
        <f>X16+X41+X66+X91+X116</f>
        <v/>
      </c>
      <c r="Y141" s="104">
        <f>Y16+Y41+Y66+Y91+Y116</f>
        <v/>
      </c>
      <c r="Z141" s="104">
        <f>Z16+Z41+Z66+Z91+Z116</f>
        <v/>
      </c>
      <c r="AA141" s="104">
        <f>AA16+AA41+AA66+AA91+AA116</f>
        <v/>
      </c>
      <c r="AB141" s="104">
        <f>AB16+AB41+AB66+AB91+AB116</f>
        <v/>
      </c>
      <c r="AC141" s="104">
        <f>AC16+AC41+AC66+AC91+AC116</f>
        <v/>
      </c>
      <c r="AD141" s="104">
        <f>AD16+AD41+AD66+AD91+AD116</f>
        <v/>
      </c>
      <c r="AE141" s="104">
        <f>AE16+AE41+AE66+AE91+AE116</f>
        <v/>
      </c>
      <c r="AF141" s="104">
        <f>AF16+AF41+AF66+AF91+AF116</f>
        <v/>
      </c>
      <c r="AG141" s="104">
        <f>AG16+AG41+AG66+AG91+AG116</f>
        <v/>
      </c>
      <c r="AH141" s="104">
        <f>AH16+AH41+AH66+AH91+AH116</f>
        <v/>
      </c>
      <c r="AI141" s="104">
        <f>AI16+AI41+AI66+AI91+AI116</f>
        <v/>
      </c>
      <c r="AJ141" s="104">
        <f>AJ16+AJ41+AJ66+AJ91+AJ116</f>
        <v/>
      </c>
      <c r="AK141" s="104">
        <f>AK16+AK41+AK66+AK91+AK116</f>
        <v/>
      </c>
      <c r="AL141" s="104">
        <f>AL16+AL41+AL66+AL91+AL116</f>
        <v/>
      </c>
      <c r="AM141" s="104">
        <f>AM16+AM41+AM66+AM91+AM116</f>
        <v/>
      </c>
      <c r="AN141" s="104">
        <f>AN16+AN41+AN66+AN91+AN116</f>
        <v/>
      </c>
      <c r="AO141" s="104">
        <f>AO16+AO41+AO66+AO91+AO116</f>
        <v/>
      </c>
      <c r="AP141" s="104">
        <f>AP16+AP41+AP66+AP91+AP116</f>
        <v/>
      </c>
      <c r="AQ141" s="104">
        <f>AQ16+AQ41+AQ66+AQ91+AQ116</f>
        <v/>
      </c>
      <c r="AR141" s="104">
        <f>AR16+AR41+AR66+AR91+AR116</f>
        <v/>
      </c>
      <c r="AS141" s="104">
        <f>AS16+AS41+AS66+AS91+AS116</f>
        <v/>
      </c>
      <c r="AT141" s="104">
        <f>AT16+AT41+AT66+AT91+AT116</f>
        <v/>
      </c>
      <c r="AU141" s="104">
        <f>AU16+AU41+AU66+AU91+AU116</f>
        <v/>
      </c>
      <c r="AV141" s="104">
        <f>AV16+AV41+AV66+AV91+AV116</f>
        <v/>
      </c>
      <c r="AW141" s="104">
        <f>AW16+AW41+AW66+AW91+AW116</f>
        <v/>
      </c>
      <c r="AX141" s="104">
        <f>AX16+AX41+AX66+AX91+AX116</f>
        <v/>
      </c>
      <c r="AY141" s="104">
        <f>AY16+AY41+AY66+AY91+AY116</f>
        <v/>
      </c>
      <c r="AZ141" s="104">
        <f>AZ16+AZ41+AZ66+AZ91+AZ116</f>
        <v/>
      </c>
      <c r="BA141" s="104">
        <f>BA16+BA41+BA66+BA91+BA116</f>
        <v/>
      </c>
      <c r="BB141" s="104">
        <f>BB16+BB41+BB66+BB91+BB116</f>
        <v/>
      </c>
      <c r="BC141" s="104">
        <f>BC16+BC41+BC66+BC91+BC116</f>
        <v/>
      </c>
      <c r="BD141" s="104">
        <f>BD16+BD41+BD66+BD91+BD116</f>
        <v/>
      </c>
      <c r="BE141" s="104">
        <f>BE16+BE41+BE66+BE91+BE116</f>
        <v/>
      </c>
      <c r="BF141" s="104">
        <f>BF16+BF41+BF66+BF91+BF116</f>
        <v/>
      </c>
      <c r="BG141" s="104">
        <f>BG16+BG41+BG66+BG91+BG116</f>
        <v/>
      </c>
      <c r="BH141" s="104">
        <f>BH16+BH41+BH66+BH91+BH116</f>
        <v/>
      </c>
      <c r="BI141" s="104">
        <f>BI16+BI41+BI66+BI91+BI116</f>
        <v/>
      </c>
      <c r="BJ141" s="104">
        <f>BJ16+BJ41+BJ66+BJ91+BJ116</f>
        <v/>
      </c>
      <c r="BK141" s="104">
        <f>BK16+BK41+BK66+BK91+BK116</f>
        <v/>
      </c>
      <c r="BL141" s="104">
        <f>BL16+BL41+BL66+BL91+BL116</f>
        <v/>
      </c>
    </row>
    <row r="142">
      <c r="A142" s="100" t="inlineStr">
        <is>
          <t>PAYGo financing income (straight-line over tenor)</t>
        </is>
      </c>
      <c r="B142" s="101" t="inlineStr">
        <is>
          <t>LCY</t>
        </is>
      </c>
      <c r="C142" s="102">
        <f>SUM(E142:BL142)</f>
        <v/>
      </c>
      <c r="D142" s="103" t="n"/>
      <c r="E142" s="104">
        <f>E17+E42+E67+E92+E117</f>
        <v/>
      </c>
      <c r="F142" s="104">
        <f>F17+F42+F67+F92+F117</f>
        <v/>
      </c>
      <c r="G142" s="104">
        <f>G17+G42+G67+G92+G117</f>
        <v/>
      </c>
      <c r="H142" s="104">
        <f>H17+H42+H67+H92+H117</f>
        <v/>
      </c>
      <c r="I142" s="104">
        <f>I17+I42+I67+I92+I117</f>
        <v/>
      </c>
      <c r="J142" s="104">
        <f>J17+J42+J67+J92+J117</f>
        <v/>
      </c>
      <c r="K142" s="104">
        <f>K17+K42+K67+K92+K117</f>
        <v/>
      </c>
      <c r="L142" s="104">
        <f>L17+L42+L67+L92+L117</f>
        <v/>
      </c>
      <c r="M142" s="104">
        <f>M17+M42+M67+M92+M117</f>
        <v/>
      </c>
      <c r="N142" s="104">
        <f>N17+N42+N67+N92+N117</f>
        <v/>
      </c>
      <c r="O142" s="104">
        <f>O17+O42+O67+O92+O117</f>
        <v/>
      </c>
      <c r="P142" s="104">
        <f>P17+P42+P67+P92+P117</f>
        <v/>
      </c>
      <c r="Q142" s="104">
        <f>Q17+Q42+Q67+Q92+Q117</f>
        <v/>
      </c>
      <c r="R142" s="104">
        <f>R17+R42+R67+R92+R117</f>
        <v/>
      </c>
      <c r="S142" s="104">
        <f>S17+S42+S67+S92+S117</f>
        <v/>
      </c>
      <c r="T142" s="104">
        <f>T17+T42+T67+T92+T117</f>
        <v/>
      </c>
      <c r="U142" s="104">
        <f>U17+U42+U67+U92+U117</f>
        <v/>
      </c>
      <c r="V142" s="104">
        <f>V17+V42+V67+V92+V117</f>
        <v/>
      </c>
      <c r="W142" s="104">
        <f>W17+W42+W67+W92+W117</f>
        <v/>
      </c>
      <c r="X142" s="104">
        <f>X17+X42+X67+X92+X117</f>
        <v/>
      </c>
      <c r="Y142" s="104">
        <f>Y17+Y42+Y67+Y92+Y117</f>
        <v/>
      </c>
      <c r="Z142" s="104">
        <f>Z17+Z42+Z67+Z92+Z117</f>
        <v/>
      </c>
      <c r="AA142" s="104">
        <f>AA17+AA42+AA67+AA92+AA117</f>
        <v/>
      </c>
      <c r="AB142" s="104">
        <f>AB17+AB42+AB67+AB92+AB117</f>
        <v/>
      </c>
      <c r="AC142" s="104">
        <f>AC17+AC42+AC67+AC92+AC117</f>
        <v/>
      </c>
      <c r="AD142" s="104">
        <f>AD17+AD42+AD67+AD92+AD117</f>
        <v/>
      </c>
      <c r="AE142" s="104">
        <f>AE17+AE42+AE67+AE92+AE117</f>
        <v/>
      </c>
      <c r="AF142" s="104">
        <f>AF17+AF42+AF67+AF92+AF117</f>
        <v/>
      </c>
      <c r="AG142" s="104">
        <f>AG17+AG42+AG67+AG92+AG117</f>
        <v/>
      </c>
      <c r="AH142" s="104">
        <f>AH17+AH42+AH67+AH92+AH117</f>
        <v/>
      </c>
      <c r="AI142" s="104">
        <f>AI17+AI42+AI67+AI92+AI117</f>
        <v/>
      </c>
      <c r="AJ142" s="104">
        <f>AJ17+AJ42+AJ67+AJ92+AJ117</f>
        <v/>
      </c>
      <c r="AK142" s="104">
        <f>AK17+AK42+AK67+AK92+AK117</f>
        <v/>
      </c>
      <c r="AL142" s="104">
        <f>AL17+AL42+AL67+AL92+AL117</f>
        <v/>
      </c>
      <c r="AM142" s="104">
        <f>AM17+AM42+AM67+AM92+AM117</f>
        <v/>
      </c>
      <c r="AN142" s="104">
        <f>AN17+AN42+AN67+AN92+AN117</f>
        <v/>
      </c>
      <c r="AO142" s="104">
        <f>AO17+AO42+AO67+AO92+AO117</f>
        <v/>
      </c>
      <c r="AP142" s="104">
        <f>AP17+AP42+AP67+AP92+AP117</f>
        <v/>
      </c>
      <c r="AQ142" s="104">
        <f>AQ17+AQ42+AQ67+AQ92+AQ117</f>
        <v/>
      </c>
      <c r="AR142" s="104">
        <f>AR17+AR42+AR67+AR92+AR117</f>
        <v/>
      </c>
      <c r="AS142" s="104">
        <f>AS17+AS42+AS67+AS92+AS117</f>
        <v/>
      </c>
      <c r="AT142" s="104">
        <f>AT17+AT42+AT67+AT92+AT117</f>
        <v/>
      </c>
      <c r="AU142" s="104">
        <f>AU17+AU42+AU67+AU92+AU117</f>
        <v/>
      </c>
      <c r="AV142" s="104">
        <f>AV17+AV42+AV67+AV92+AV117</f>
        <v/>
      </c>
      <c r="AW142" s="104">
        <f>AW17+AW42+AW67+AW92+AW117</f>
        <v/>
      </c>
      <c r="AX142" s="104">
        <f>AX17+AX42+AX67+AX92+AX117</f>
        <v/>
      </c>
      <c r="AY142" s="104">
        <f>AY17+AY42+AY67+AY92+AY117</f>
        <v/>
      </c>
      <c r="AZ142" s="104">
        <f>AZ17+AZ42+AZ67+AZ92+AZ117</f>
        <v/>
      </c>
      <c r="BA142" s="104">
        <f>BA17+BA42+BA67+BA92+BA117</f>
        <v/>
      </c>
      <c r="BB142" s="104">
        <f>BB17+BB42+BB67+BB92+BB117</f>
        <v/>
      </c>
      <c r="BC142" s="104">
        <f>BC17+BC42+BC67+BC92+BC117</f>
        <v/>
      </c>
      <c r="BD142" s="104">
        <f>BD17+BD42+BD67+BD92+BD117</f>
        <v/>
      </c>
      <c r="BE142" s="104">
        <f>BE17+BE42+BE67+BE92+BE117</f>
        <v/>
      </c>
      <c r="BF142" s="104">
        <f>BF17+BF42+BF67+BF92+BF117</f>
        <v/>
      </c>
      <c r="BG142" s="104">
        <f>BG17+BG42+BG67+BG92+BG117</f>
        <v/>
      </c>
      <c r="BH142" s="104">
        <f>BH17+BH42+BH67+BH92+BH117</f>
        <v/>
      </c>
      <c r="BI142" s="104">
        <f>BI17+BI42+BI67+BI92+BI117</f>
        <v/>
      </c>
      <c r="BJ142" s="104">
        <f>BJ17+BJ42+BJ67+BJ92+BJ117</f>
        <v/>
      </c>
      <c r="BK142" s="104">
        <f>BK17+BK42+BK67+BK92+BK117</f>
        <v/>
      </c>
      <c r="BL142" s="104">
        <f>BL17+BL42+BL67+BL92+BL117</f>
        <v/>
      </c>
    </row>
    <row r="143">
      <c r="A143" s="100" t="inlineStr">
        <is>
          <t>Expected credit loss charged at origination</t>
        </is>
      </c>
      <c r="B143" s="101" t="inlineStr">
        <is>
          <t>LCY</t>
        </is>
      </c>
      <c r="C143" s="102">
        <f>SUM(E143:BL143)</f>
        <v/>
      </c>
      <c r="D143" s="103" t="n"/>
      <c r="E143" s="104">
        <f>E18+E43+E68+E93+E118</f>
        <v/>
      </c>
      <c r="F143" s="104">
        <f>F18+F43+F68+F93+F118</f>
        <v/>
      </c>
      <c r="G143" s="104">
        <f>G18+G43+G68+G93+G118</f>
        <v/>
      </c>
      <c r="H143" s="104">
        <f>H18+H43+H68+H93+H118</f>
        <v/>
      </c>
      <c r="I143" s="104">
        <f>I18+I43+I68+I93+I118</f>
        <v/>
      </c>
      <c r="J143" s="104">
        <f>J18+J43+J68+J93+J118</f>
        <v/>
      </c>
      <c r="K143" s="104">
        <f>K18+K43+K68+K93+K118</f>
        <v/>
      </c>
      <c r="L143" s="104">
        <f>L18+L43+L68+L93+L118</f>
        <v/>
      </c>
      <c r="M143" s="104">
        <f>M18+M43+M68+M93+M118</f>
        <v/>
      </c>
      <c r="N143" s="104">
        <f>N18+N43+N68+N93+N118</f>
        <v/>
      </c>
      <c r="O143" s="104">
        <f>O18+O43+O68+O93+O118</f>
        <v/>
      </c>
      <c r="P143" s="104">
        <f>P18+P43+P68+P93+P118</f>
        <v/>
      </c>
      <c r="Q143" s="104">
        <f>Q18+Q43+Q68+Q93+Q118</f>
        <v/>
      </c>
      <c r="R143" s="104">
        <f>R18+R43+R68+R93+R118</f>
        <v/>
      </c>
      <c r="S143" s="104">
        <f>S18+S43+S68+S93+S118</f>
        <v/>
      </c>
      <c r="T143" s="104">
        <f>T18+T43+T68+T93+T118</f>
        <v/>
      </c>
      <c r="U143" s="104">
        <f>U18+U43+U68+U93+U118</f>
        <v/>
      </c>
      <c r="V143" s="104">
        <f>V18+V43+V68+V93+V118</f>
        <v/>
      </c>
      <c r="W143" s="104">
        <f>W18+W43+W68+W93+W118</f>
        <v/>
      </c>
      <c r="X143" s="104">
        <f>X18+X43+X68+X93+X118</f>
        <v/>
      </c>
      <c r="Y143" s="104">
        <f>Y18+Y43+Y68+Y93+Y118</f>
        <v/>
      </c>
      <c r="Z143" s="104">
        <f>Z18+Z43+Z68+Z93+Z118</f>
        <v/>
      </c>
      <c r="AA143" s="104">
        <f>AA18+AA43+AA68+AA93+AA118</f>
        <v/>
      </c>
      <c r="AB143" s="104">
        <f>AB18+AB43+AB68+AB93+AB118</f>
        <v/>
      </c>
      <c r="AC143" s="104">
        <f>AC18+AC43+AC68+AC93+AC118</f>
        <v/>
      </c>
      <c r="AD143" s="104">
        <f>AD18+AD43+AD68+AD93+AD118</f>
        <v/>
      </c>
      <c r="AE143" s="104">
        <f>AE18+AE43+AE68+AE93+AE118</f>
        <v/>
      </c>
      <c r="AF143" s="104">
        <f>AF18+AF43+AF68+AF93+AF118</f>
        <v/>
      </c>
      <c r="AG143" s="104">
        <f>AG18+AG43+AG68+AG93+AG118</f>
        <v/>
      </c>
      <c r="AH143" s="104">
        <f>AH18+AH43+AH68+AH93+AH118</f>
        <v/>
      </c>
      <c r="AI143" s="104">
        <f>AI18+AI43+AI68+AI93+AI118</f>
        <v/>
      </c>
      <c r="AJ143" s="104">
        <f>AJ18+AJ43+AJ68+AJ93+AJ118</f>
        <v/>
      </c>
      <c r="AK143" s="104">
        <f>AK18+AK43+AK68+AK93+AK118</f>
        <v/>
      </c>
      <c r="AL143" s="104">
        <f>AL18+AL43+AL68+AL93+AL118</f>
        <v/>
      </c>
      <c r="AM143" s="104">
        <f>AM18+AM43+AM68+AM93+AM118</f>
        <v/>
      </c>
      <c r="AN143" s="104">
        <f>AN18+AN43+AN68+AN93+AN118</f>
        <v/>
      </c>
      <c r="AO143" s="104">
        <f>AO18+AO43+AO68+AO93+AO118</f>
        <v/>
      </c>
      <c r="AP143" s="104">
        <f>AP18+AP43+AP68+AP93+AP118</f>
        <v/>
      </c>
      <c r="AQ143" s="104">
        <f>AQ18+AQ43+AQ68+AQ93+AQ118</f>
        <v/>
      </c>
      <c r="AR143" s="104">
        <f>AR18+AR43+AR68+AR93+AR118</f>
        <v/>
      </c>
      <c r="AS143" s="104">
        <f>AS18+AS43+AS68+AS93+AS118</f>
        <v/>
      </c>
      <c r="AT143" s="104">
        <f>AT18+AT43+AT68+AT93+AT118</f>
        <v/>
      </c>
      <c r="AU143" s="104">
        <f>AU18+AU43+AU68+AU93+AU118</f>
        <v/>
      </c>
      <c r="AV143" s="104">
        <f>AV18+AV43+AV68+AV93+AV118</f>
        <v/>
      </c>
      <c r="AW143" s="104">
        <f>AW18+AW43+AW68+AW93+AW118</f>
        <v/>
      </c>
      <c r="AX143" s="104">
        <f>AX18+AX43+AX68+AX93+AX118</f>
        <v/>
      </c>
      <c r="AY143" s="104">
        <f>AY18+AY43+AY68+AY93+AY118</f>
        <v/>
      </c>
      <c r="AZ143" s="104">
        <f>AZ18+AZ43+AZ68+AZ93+AZ118</f>
        <v/>
      </c>
      <c r="BA143" s="104">
        <f>BA18+BA43+BA68+BA93+BA118</f>
        <v/>
      </c>
      <c r="BB143" s="104">
        <f>BB18+BB43+BB68+BB93+BB118</f>
        <v/>
      </c>
      <c r="BC143" s="104">
        <f>BC18+BC43+BC68+BC93+BC118</f>
        <v/>
      </c>
      <c r="BD143" s="104">
        <f>BD18+BD43+BD68+BD93+BD118</f>
        <v/>
      </c>
      <c r="BE143" s="104">
        <f>BE18+BE43+BE68+BE93+BE118</f>
        <v/>
      </c>
      <c r="BF143" s="104">
        <f>BF18+BF43+BF68+BF93+BF118</f>
        <v/>
      </c>
      <c r="BG143" s="104">
        <f>BG18+BG43+BG68+BG93+BG118</f>
        <v/>
      </c>
      <c r="BH143" s="104">
        <f>BH18+BH43+BH68+BH93+BH118</f>
        <v/>
      </c>
      <c r="BI143" s="104">
        <f>BI18+BI43+BI68+BI93+BI118</f>
        <v/>
      </c>
      <c r="BJ143" s="104">
        <f>BJ18+BJ43+BJ68+BJ93+BJ118</f>
        <v/>
      </c>
      <c r="BK143" s="104">
        <f>BK18+BK43+BK68+BK93+BK118</f>
        <v/>
      </c>
      <c r="BL143" s="104">
        <f>BL18+BL43+BL68+BL93+BL118</f>
        <v/>
      </c>
    </row>
    <row r="144">
      <c r="A144" s="100" t="inlineStr">
        <is>
          <t>Recoveries from resale of repossessed units</t>
        </is>
      </c>
      <c r="B144" s="101" t="inlineStr">
        <is>
          <t>LCY</t>
        </is>
      </c>
      <c r="C144" s="102">
        <f>SUM(E144:BL144)</f>
        <v/>
      </c>
      <c r="D144" s="103" t="n"/>
      <c r="E144" s="104">
        <f>E19+E44+E69+E94+E119</f>
        <v/>
      </c>
      <c r="F144" s="104">
        <f>F19+F44+F69+F94+F119</f>
        <v/>
      </c>
      <c r="G144" s="104">
        <f>G19+G44+G69+G94+G119</f>
        <v/>
      </c>
      <c r="H144" s="104">
        <f>H19+H44+H69+H94+H119</f>
        <v/>
      </c>
      <c r="I144" s="104">
        <f>I19+I44+I69+I94+I119</f>
        <v/>
      </c>
      <c r="J144" s="104">
        <f>J19+J44+J69+J94+J119</f>
        <v/>
      </c>
      <c r="K144" s="104">
        <f>K19+K44+K69+K94+K119</f>
        <v/>
      </c>
      <c r="L144" s="104">
        <f>L19+L44+L69+L94+L119</f>
        <v/>
      </c>
      <c r="M144" s="104">
        <f>M19+M44+M69+M94+M119</f>
        <v/>
      </c>
      <c r="N144" s="104">
        <f>N19+N44+N69+N94+N119</f>
        <v/>
      </c>
      <c r="O144" s="104">
        <f>O19+O44+O69+O94+O119</f>
        <v/>
      </c>
      <c r="P144" s="104">
        <f>P19+P44+P69+P94+P119</f>
        <v/>
      </c>
      <c r="Q144" s="104">
        <f>Q19+Q44+Q69+Q94+Q119</f>
        <v/>
      </c>
      <c r="R144" s="104">
        <f>R19+R44+R69+R94+R119</f>
        <v/>
      </c>
      <c r="S144" s="104">
        <f>S19+S44+S69+S94+S119</f>
        <v/>
      </c>
      <c r="T144" s="104">
        <f>T19+T44+T69+T94+T119</f>
        <v/>
      </c>
      <c r="U144" s="104">
        <f>U19+U44+U69+U94+U119</f>
        <v/>
      </c>
      <c r="V144" s="104">
        <f>V19+V44+V69+V94+V119</f>
        <v/>
      </c>
      <c r="W144" s="104">
        <f>W19+W44+W69+W94+W119</f>
        <v/>
      </c>
      <c r="X144" s="104">
        <f>X19+X44+X69+X94+X119</f>
        <v/>
      </c>
      <c r="Y144" s="104">
        <f>Y19+Y44+Y69+Y94+Y119</f>
        <v/>
      </c>
      <c r="Z144" s="104">
        <f>Z19+Z44+Z69+Z94+Z119</f>
        <v/>
      </c>
      <c r="AA144" s="104">
        <f>AA19+AA44+AA69+AA94+AA119</f>
        <v/>
      </c>
      <c r="AB144" s="104">
        <f>AB19+AB44+AB69+AB94+AB119</f>
        <v/>
      </c>
      <c r="AC144" s="104">
        <f>AC19+AC44+AC69+AC94+AC119</f>
        <v/>
      </c>
      <c r="AD144" s="104">
        <f>AD19+AD44+AD69+AD94+AD119</f>
        <v/>
      </c>
      <c r="AE144" s="104">
        <f>AE19+AE44+AE69+AE94+AE119</f>
        <v/>
      </c>
      <c r="AF144" s="104">
        <f>AF19+AF44+AF69+AF94+AF119</f>
        <v/>
      </c>
      <c r="AG144" s="104">
        <f>AG19+AG44+AG69+AG94+AG119</f>
        <v/>
      </c>
      <c r="AH144" s="104">
        <f>AH19+AH44+AH69+AH94+AH119</f>
        <v/>
      </c>
      <c r="AI144" s="104">
        <f>AI19+AI44+AI69+AI94+AI119</f>
        <v/>
      </c>
      <c r="AJ144" s="104">
        <f>AJ19+AJ44+AJ69+AJ94+AJ119</f>
        <v/>
      </c>
      <c r="AK144" s="104">
        <f>AK19+AK44+AK69+AK94+AK119</f>
        <v/>
      </c>
      <c r="AL144" s="104">
        <f>AL19+AL44+AL69+AL94+AL119</f>
        <v/>
      </c>
      <c r="AM144" s="104">
        <f>AM19+AM44+AM69+AM94+AM119</f>
        <v/>
      </c>
      <c r="AN144" s="104">
        <f>AN19+AN44+AN69+AN94+AN119</f>
        <v/>
      </c>
      <c r="AO144" s="104">
        <f>AO19+AO44+AO69+AO94+AO119</f>
        <v/>
      </c>
      <c r="AP144" s="104">
        <f>AP19+AP44+AP69+AP94+AP119</f>
        <v/>
      </c>
      <c r="AQ144" s="104">
        <f>AQ19+AQ44+AQ69+AQ94+AQ119</f>
        <v/>
      </c>
      <c r="AR144" s="104">
        <f>AR19+AR44+AR69+AR94+AR119</f>
        <v/>
      </c>
      <c r="AS144" s="104">
        <f>AS19+AS44+AS69+AS94+AS119</f>
        <v/>
      </c>
      <c r="AT144" s="104">
        <f>AT19+AT44+AT69+AT94+AT119</f>
        <v/>
      </c>
      <c r="AU144" s="104">
        <f>AU19+AU44+AU69+AU94+AU119</f>
        <v/>
      </c>
      <c r="AV144" s="104">
        <f>AV19+AV44+AV69+AV94+AV119</f>
        <v/>
      </c>
      <c r="AW144" s="104">
        <f>AW19+AW44+AW69+AW94+AW119</f>
        <v/>
      </c>
      <c r="AX144" s="104">
        <f>AX19+AX44+AX69+AX94+AX119</f>
        <v/>
      </c>
      <c r="AY144" s="104">
        <f>AY19+AY44+AY69+AY94+AY119</f>
        <v/>
      </c>
      <c r="AZ144" s="104">
        <f>AZ19+AZ44+AZ69+AZ94+AZ119</f>
        <v/>
      </c>
      <c r="BA144" s="104">
        <f>BA19+BA44+BA69+BA94+BA119</f>
        <v/>
      </c>
      <c r="BB144" s="104">
        <f>BB19+BB44+BB69+BB94+BB119</f>
        <v/>
      </c>
      <c r="BC144" s="104">
        <f>BC19+BC44+BC69+BC94+BC119</f>
        <v/>
      </c>
      <c r="BD144" s="104">
        <f>BD19+BD44+BD69+BD94+BD119</f>
        <v/>
      </c>
      <c r="BE144" s="104">
        <f>BE19+BE44+BE69+BE94+BE119</f>
        <v/>
      </c>
      <c r="BF144" s="104">
        <f>BF19+BF44+BF69+BF94+BF119</f>
        <v/>
      </c>
      <c r="BG144" s="104">
        <f>BG19+BG44+BG69+BG94+BG119</f>
        <v/>
      </c>
      <c r="BH144" s="104">
        <f>BH19+BH44+BH69+BH94+BH119</f>
        <v/>
      </c>
      <c r="BI144" s="104">
        <f>BI19+BI44+BI69+BI94+BI119</f>
        <v/>
      </c>
      <c r="BJ144" s="104">
        <f>BJ19+BJ44+BJ69+BJ94+BJ119</f>
        <v/>
      </c>
      <c r="BK144" s="104">
        <f>BK19+BK44+BK69+BK94+BK119</f>
        <v/>
      </c>
      <c r="BL144" s="104">
        <f>BL19+BL44+BL69+BL94+BL119</f>
        <v/>
      </c>
    </row>
    <row r="145">
      <c r="A145" s="100" t="inlineStr">
        <is>
          <t>RBF received</t>
        </is>
      </c>
      <c r="B145" s="101" t="inlineStr">
        <is>
          <t>LCY</t>
        </is>
      </c>
      <c r="C145" s="102">
        <f>SUM(E145:BL145)</f>
        <v/>
      </c>
      <c r="D145" s="103" t="n"/>
      <c r="E145" s="104">
        <f>E20+E45+E70+E95+E120</f>
        <v/>
      </c>
      <c r="F145" s="104">
        <f>F20+F45+F70+F95+F120</f>
        <v/>
      </c>
      <c r="G145" s="104">
        <f>G20+G45+G70+G95+G120</f>
        <v/>
      </c>
      <c r="H145" s="104">
        <f>H20+H45+H70+H95+H120</f>
        <v/>
      </c>
      <c r="I145" s="104">
        <f>I20+I45+I70+I95+I120</f>
        <v/>
      </c>
      <c r="J145" s="104">
        <f>J20+J45+J70+J95+J120</f>
        <v/>
      </c>
      <c r="K145" s="104">
        <f>K20+K45+K70+K95+K120</f>
        <v/>
      </c>
      <c r="L145" s="104">
        <f>L20+L45+L70+L95+L120</f>
        <v/>
      </c>
      <c r="M145" s="104">
        <f>M20+M45+M70+M95+M120</f>
        <v/>
      </c>
      <c r="N145" s="104">
        <f>N20+N45+N70+N95+N120</f>
        <v/>
      </c>
      <c r="O145" s="104">
        <f>O20+O45+O70+O95+O120</f>
        <v/>
      </c>
      <c r="P145" s="104">
        <f>P20+P45+P70+P95+P120</f>
        <v/>
      </c>
      <c r="Q145" s="104">
        <f>Q20+Q45+Q70+Q95+Q120</f>
        <v/>
      </c>
      <c r="R145" s="104">
        <f>R20+R45+R70+R95+R120</f>
        <v/>
      </c>
      <c r="S145" s="104">
        <f>S20+S45+S70+S95+S120</f>
        <v/>
      </c>
      <c r="T145" s="104">
        <f>T20+T45+T70+T95+T120</f>
        <v/>
      </c>
      <c r="U145" s="104">
        <f>U20+U45+U70+U95+U120</f>
        <v/>
      </c>
      <c r="V145" s="104">
        <f>V20+V45+V70+V95+V120</f>
        <v/>
      </c>
      <c r="W145" s="104">
        <f>W20+W45+W70+W95+W120</f>
        <v/>
      </c>
      <c r="X145" s="104">
        <f>X20+X45+X70+X95+X120</f>
        <v/>
      </c>
      <c r="Y145" s="104">
        <f>Y20+Y45+Y70+Y95+Y120</f>
        <v/>
      </c>
      <c r="Z145" s="104">
        <f>Z20+Z45+Z70+Z95+Z120</f>
        <v/>
      </c>
      <c r="AA145" s="104">
        <f>AA20+AA45+AA70+AA95+AA120</f>
        <v/>
      </c>
      <c r="AB145" s="104">
        <f>AB20+AB45+AB70+AB95+AB120</f>
        <v/>
      </c>
      <c r="AC145" s="104">
        <f>AC20+AC45+AC70+AC95+AC120</f>
        <v/>
      </c>
      <c r="AD145" s="104">
        <f>AD20+AD45+AD70+AD95+AD120</f>
        <v/>
      </c>
      <c r="AE145" s="104">
        <f>AE20+AE45+AE70+AE95+AE120</f>
        <v/>
      </c>
      <c r="AF145" s="104">
        <f>AF20+AF45+AF70+AF95+AF120</f>
        <v/>
      </c>
      <c r="AG145" s="104">
        <f>AG20+AG45+AG70+AG95+AG120</f>
        <v/>
      </c>
      <c r="AH145" s="104">
        <f>AH20+AH45+AH70+AH95+AH120</f>
        <v/>
      </c>
      <c r="AI145" s="104">
        <f>AI20+AI45+AI70+AI95+AI120</f>
        <v/>
      </c>
      <c r="AJ145" s="104">
        <f>AJ20+AJ45+AJ70+AJ95+AJ120</f>
        <v/>
      </c>
      <c r="AK145" s="104">
        <f>AK20+AK45+AK70+AK95+AK120</f>
        <v/>
      </c>
      <c r="AL145" s="104">
        <f>AL20+AL45+AL70+AL95+AL120</f>
        <v/>
      </c>
      <c r="AM145" s="104">
        <f>AM20+AM45+AM70+AM95+AM120</f>
        <v/>
      </c>
      <c r="AN145" s="104">
        <f>AN20+AN45+AN70+AN95+AN120</f>
        <v/>
      </c>
      <c r="AO145" s="104">
        <f>AO20+AO45+AO70+AO95+AO120</f>
        <v/>
      </c>
      <c r="AP145" s="104">
        <f>AP20+AP45+AP70+AP95+AP120</f>
        <v/>
      </c>
      <c r="AQ145" s="104">
        <f>AQ20+AQ45+AQ70+AQ95+AQ120</f>
        <v/>
      </c>
      <c r="AR145" s="104">
        <f>AR20+AR45+AR70+AR95+AR120</f>
        <v/>
      </c>
      <c r="AS145" s="104">
        <f>AS20+AS45+AS70+AS95+AS120</f>
        <v/>
      </c>
      <c r="AT145" s="104">
        <f>AT20+AT45+AT70+AT95+AT120</f>
        <v/>
      </c>
      <c r="AU145" s="104">
        <f>AU20+AU45+AU70+AU95+AU120</f>
        <v/>
      </c>
      <c r="AV145" s="104">
        <f>AV20+AV45+AV70+AV95+AV120</f>
        <v/>
      </c>
      <c r="AW145" s="104">
        <f>AW20+AW45+AW70+AW95+AW120</f>
        <v/>
      </c>
      <c r="AX145" s="104">
        <f>AX20+AX45+AX70+AX95+AX120</f>
        <v/>
      </c>
      <c r="AY145" s="104">
        <f>AY20+AY45+AY70+AY95+AY120</f>
        <v/>
      </c>
      <c r="AZ145" s="104">
        <f>AZ20+AZ45+AZ70+AZ95+AZ120</f>
        <v/>
      </c>
      <c r="BA145" s="104">
        <f>BA20+BA45+BA70+BA95+BA120</f>
        <v/>
      </c>
      <c r="BB145" s="104">
        <f>BB20+BB45+BB70+BB95+BB120</f>
        <v/>
      </c>
      <c r="BC145" s="104">
        <f>BC20+BC45+BC70+BC95+BC120</f>
        <v/>
      </c>
      <c r="BD145" s="104">
        <f>BD20+BD45+BD70+BD95+BD120</f>
        <v/>
      </c>
      <c r="BE145" s="104">
        <f>BE20+BE45+BE70+BE95+BE120</f>
        <v/>
      </c>
      <c r="BF145" s="104">
        <f>BF20+BF45+BF70+BF95+BF120</f>
        <v/>
      </c>
      <c r="BG145" s="104">
        <f>BG20+BG45+BG70+BG95+BG120</f>
        <v/>
      </c>
      <c r="BH145" s="104">
        <f>BH20+BH45+BH70+BH95+BH120</f>
        <v/>
      </c>
      <c r="BI145" s="104">
        <f>BI20+BI45+BI70+BI95+BI120</f>
        <v/>
      </c>
      <c r="BJ145" s="104">
        <f>BJ20+BJ45+BJ70+BJ95+BJ120</f>
        <v/>
      </c>
      <c r="BK145" s="104">
        <f>BK20+BK45+BK70+BK95+BK120</f>
        <v/>
      </c>
      <c r="BL145" s="104">
        <f>BL20+BL45+BL70+BL95+BL120</f>
        <v/>
      </c>
    </row>
    <row r="146">
      <c r="A146" s="100" t="inlineStr">
        <is>
          <t>Active (paying, in-tenor) accounts</t>
        </is>
      </c>
      <c r="B146" s="101" t="inlineStr">
        <is>
          <t>accounts</t>
        </is>
      </c>
      <c r="C146" s="102">
        <f>BL146</f>
        <v/>
      </c>
      <c r="D146" s="103" t="n"/>
      <c r="E146" s="104">
        <f>E21+E46+E71+E96+E121</f>
        <v/>
      </c>
      <c r="F146" s="104">
        <f>F21+F46+F71+F96+F121</f>
        <v/>
      </c>
      <c r="G146" s="104">
        <f>G21+G46+G71+G96+G121</f>
        <v/>
      </c>
      <c r="H146" s="104">
        <f>H21+H46+H71+H96+H121</f>
        <v/>
      </c>
      <c r="I146" s="104">
        <f>I21+I46+I71+I96+I121</f>
        <v/>
      </c>
      <c r="J146" s="104">
        <f>J21+J46+J71+J96+J121</f>
        <v/>
      </c>
      <c r="K146" s="104">
        <f>K21+K46+K71+K96+K121</f>
        <v/>
      </c>
      <c r="L146" s="104">
        <f>L21+L46+L71+L96+L121</f>
        <v/>
      </c>
      <c r="M146" s="104">
        <f>M21+M46+M71+M96+M121</f>
        <v/>
      </c>
      <c r="N146" s="104">
        <f>N21+N46+N71+N96+N121</f>
        <v/>
      </c>
      <c r="O146" s="104">
        <f>O21+O46+O71+O96+O121</f>
        <v/>
      </c>
      <c r="P146" s="104">
        <f>P21+P46+P71+P96+P121</f>
        <v/>
      </c>
      <c r="Q146" s="104">
        <f>Q21+Q46+Q71+Q96+Q121</f>
        <v/>
      </c>
      <c r="R146" s="104">
        <f>R21+R46+R71+R96+R121</f>
        <v/>
      </c>
      <c r="S146" s="104">
        <f>S21+S46+S71+S96+S121</f>
        <v/>
      </c>
      <c r="T146" s="104">
        <f>T21+T46+T71+T96+T121</f>
        <v/>
      </c>
      <c r="U146" s="104">
        <f>U21+U46+U71+U96+U121</f>
        <v/>
      </c>
      <c r="V146" s="104">
        <f>V21+V46+V71+V96+V121</f>
        <v/>
      </c>
      <c r="W146" s="104">
        <f>W21+W46+W71+W96+W121</f>
        <v/>
      </c>
      <c r="X146" s="104">
        <f>X21+X46+X71+X96+X121</f>
        <v/>
      </c>
      <c r="Y146" s="104">
        <f>Y21+Y46+Y71+Y96+Y121</f>
        <v/>
      </c>
      <c r="Z146" s="104">
        <f>Z21+Z46+Z71+Z96+Z121</f>
        <v/>
      </c>
      <c r="AA146" s="104">
        <f>AA21+AA46+AA71+AA96+AA121</f>
        <v/>
      </c>
      <c r="AB146" s="104">
        <f>AB21+AB46+AB71+AB96+AB121</f>
        <v/>
      </c>
      <c r="AC146" s="104">
        <f>AC21+AC46+AC71+AC96+AC121</f>
        <v/>
      </c>
      <c r="AD146" s="104">
        <f>AD21+AD46+AD71+AD96+AD121</f>
        <v/>
      </c>
      <c r="AE146" s="104">
        <f>AE21+AE46+AE71+AE96+AE121</f>
        <v/>
      </c>
      <c r="AF146" s="104">
        <f>AF21+AF46+AF71+AF96+AF121</f>
        <v/>
      </c>
      <c r="AG146" s="104">
        <f>AG21+AG46+AG71+AG96+AG121</f>
        <v/>
      </c>
      <c r="AH146" s="104">
        <f>AH21+AH46+AH71+AH96+AH121</f>
        <v/>
      </c>
      <c r="AI146" s="104">
        <f>AI21+AI46+AI71+AI96+AI121</f>
        <v/>
      </c>
      <c r="AJ146" s="104">
        <f>AJ21+AJ46+AJ71+AJ96+AJ121</f>
        <v/>
      </c>
      <c r="AK146" s="104">
        <f>AK21+AK46+AK71+AK96+AK121</f>
        <v/>
      </c>
      <c r="AL146" s="104">
        <f>AL21+AL46+AL71+AL96+AL121</f>
        <v/>
      </c>
      <c r="AM146" s="104">
        <f>AM21+AM46+AM71+AM96+AM121</f>
        <v/>
      </c>
      <c r="AN146" s="104">
        <f>AN21+AN46+AN71+AN96+AN121</f>
        <v/>
      </c>
      <c r="AO146" s="104">
        <f>AO21+AO46+AO71+AO96+AO121</f>
        <v/>
      </c>
      <c r="AP146" s="104">
        <f>AP21+AP46+AP71+AP96+AP121</f>
        <v/>
      </c>
      <c r="AQ146" s="104">
        <f>AQ21+AQ46+AQ71+AQ96+AQ121</f>
        <v/>
      </c>
      <c r="AR146" s="104">
        <f>AR21+AR46+AR71+AR96+AR121</f>
        <v/>
      </c>
      <c r="AS146" s="104">
        <f>AS21+AS46+AS71+AS96+AS121</f>
        <v/>
      </c>
      <c r="AT146" s="104">
        <f>AT21+AT46+AT71+AT96+AT121</f>
        <v/>
      </c>
      <c r="AU146" s="104">
        <f>AU21+AU46+AU71+AU96+AU121</f>
        <v/>
      </c>
      <c r="AV146" s="104">
        <f>AV21+AV46+AV71+AV96+AV121</f>
        <v/>
      </c>
      <c r="AW146" s="104">
        <f>AW21+AW46+AW71+AW96+AW121</f>
        <v/>
      </c>
      <c r="AX146" s="104">
        <f>AX21+AX46+AX71+AX96+AX121</f>
        <v/>
      </c>
      <c r="AY146" s="104">
        <f>AY21+AY46+AY71+AY96+AY121</f>
        <v/>
      </c>
      <c r="AZ146" s="104">
        <f>AZ21+AZ46+AZ71+AZ96+AZ121</f>
        <v/>
      </c>
      <c r="BA146" s="104">
        <f>BA21+BA46+BA71+BA96+BA121</f>
        <v/>
      </c>
      <c r="BB146" s="104">
        <f>BB21+BB46+BB71+BB96+BB121</f>
        <v/>
      </c>
      <c r="BC146" s="104">
        <f>BC21+BC46+BC71+BC96+BC121</f>
        <v/>
      </c>
      <c r="BD146" s="104">
        <f>BD21+BD46+BD71+BD96+BD121</f>
        <v/>
      </c>
      <c r="BE146" s="104">
        <f>BE21+BE46+BE71+BE96+BE121</f>
        <v/>
      </c>
      <c r="BF146" s="104">
        <f>BF21+BF46+BF71+BF96+BF121</f>
        <v/>
      </c>
      <c r="BG146" s="104">
        <f>BG21+BG46+BG71+BG96+BG121</f>
        <v/>
      </c>
      <c r="BH146" s="104">
        <f>BH21+BH46+BH71+BH96+BH121</f>
        <v/>
      </c>
      <c r="BI146" s="104">
        <f>BI21+BI46+BI71+BI96+BI121</f>
        <v/>
      </c>
      <c r="BJ146" s="104">
        <f>BJ21+BJ46+BJ71+BJ96+BJ121</f>
        <v/>
      </c>
      <c r="BK146" s="104">
        <f>BK21+BK46+BK71+BK96+BK121</f>
        <v/>
      </c>
      <c r="BL146" s="104">
        <f>BL21+BL46+BL71+BL96+BL121</f>
        <v/>
      </c>
    </row>
    <row r="147">
      <c r="A147" s="100" t="inlineStr">
        <is>
          <t>Accounts reaching end of tenor (unlocked)</t>
        </is>
      </c>
      <c r="B147" s="101" t="inlineStr">
        <is>
          <t>accounts</t>
        </is>
      </c>
      <c r="C147" s="102">
        <f>SUM(E147:BL147)</f>
        <v/>
      </c>
      <c r="D147" s="103" t="n"/>
      <c r="E147" s="104">
        <f>E22+E47+E72+E97+E122</f>
        <v/>
      </c>
      <c r="F147" s="104">
        <f>F22+F47+F72+F97+F122</f>
        <v/>
      </c>
      <c r="G147" s="104">
        <f>G22+G47+G72+G97+G122</f>
        <v/>
      </c>
      <c r="H147" s="104">
        <f>H22+H47+H72+H97+H122</f>
        <v/>
      </c>
      <c r="I147" s="104">
        <f>I22+I47+I72+I97+I122</f>
        <v/>
      </c>
      <c r="J147" s="104">
        <f>J22+J47+J72+J97+J122</f>
        <v/>
      </c>
      <c r="K147" s="104">
        <f>K22+K47+K72+K97+K122</f>
        <v/>
      </c>
      <c r="L147" s="104">
        <f>L22+L47+L72+L97+L122</f>
        <v/>
      </c>
      <c r="M147" s="104">
        <f>M22+M47+M72+M97+M122</f>
        <v/>
      </c>
      <c r="N147" s="104">
        <f>N22+N47+N72+N97+N122</f>
        <v/>
      </c>
      <c r="O147" s="104">
        <f>O22+O47+O72+O97+O122</f>
        <v/>
      </c>
      <c r="P147" s="104">
        <f>P22+P47+P72+P97+P122</f>
        <v/>
      </c>
      <c r="Q147" s="104">
        <f>Q22+Q47+Q72+Q97+Q122</f>
        <v/>
      </c>
      <c r="R147" s="104">
        <f>R22+R47+R72+R97+R122</f>
        <v/>
      </c>
      <c r="S147" s="104">
        <f>S22+S47+S72+S97+S122</f>
        <v/>
      </c>
      <c r="T147" s="104">
        <f>T22+T47+T72+T97+T122</f>
        <v/>
      </c>
      <c r="U147" s="104">
        <f>U22+U47+U72+U97+U122</f>
        <v/>
      </c>
      <c r="V147" s="104">
        <f>V22+V47+V72+V97+V122</f>
        <v/>
      </c>
      <c r="W147" s="104">
        <f>W22+W47+W72+W97+W122</f>
        <v/>
      </c>
      <c r="X147" s="104">
        <f>X22+X47+X72+X97+X122</f>
        <v/>
      </c>
      <c r="Y147" s="104">
        <f>Y22+Y47+Y72+Y97+Y122</f>
        <v/>
      </c>
      <c r="Z147" s="104">
        <f>Z22+Z47+Z72+Z97+Z122</f>
        <v/>
      </c>
      <c r="AA147" s="104">
        <f>AA22+AA47+AA72+AA97+AA122</f>
        <v/>
      </c>
      <c r="AB147" s="104">
        <f>AB22+AB47+AB72+AB97+AB122</f>
        <v/>
      </c>
      <c r="AC147" s="104">
        <f>AC22+AC47+AC72+AC97+AC122</f>
        <v/>
      </c>
      <c r="AD147" s="104">
        <f>AD22+AD47+AD72+AD97+AD122</f>
        <v/>
      </c>
      <c r="AE147" s="104">
        <f>AE22+AE47+AE72+AE97+AE122</f>
        <v/>
      </c>
      <c r="AF147" s="104">
        <f>AF22+AF47+AF72+AF97+AF122</f>
        <v/>
      </c>
      <c r="AG147" s="104">
        <f>AG22+AG47+AG72+AG97+AG122</f>
        <v/>
      </c>
      <c r="AH147" s="104">
        <f>AH22+AH47+AH72+AH97+AH122</f>
        <v/>
      </c>
      <c r="AI147" s="104">
        <f>AI22+AI47+AI72+AI97+AI122</f>
        <v/>
      </c>
      <c r="AJ147" s="104">
        <f>AJ22+AJ47+AJ72+AJ97+AJ122</f>
        <v/>
      </c>
      <c r="AK147" s="104">
        <f>AK22+AK47+AK72+AK97+AK122</f>
        <v/>
      </c>
      <c r="AL147" s="104">
        <f>AL22+AL47+AL72+AL97+AL122</f>
        <v/>
      </c>
      <c r="AM147" s="104">
        <f>AM22+AM47+AM72+AM97+AM122</f>
        <v/>
      </c>
      <c r="AN147" s="104">
        <f>AN22+AN47+AN72+AN97+AN122</f>
        <v/>
      </c>
      <c r="AO147" s="104">
        <f>AO22+AO47+AO72+AO97+AO122</f>
        <v/>
      </c>
      <c r="AP147" s="104">
        <f>AP22+AP47+AP72+AP97+AP122</f>
        <v/>
      </c>
      <c r="AQ147" s="104">
        <f>AQ22+AQ47+AQ72+AQ97+AQ122</f>
        <v/>
      </c>
      <c r="AR147" s="104">
        <f>AR22+AR47+AR72+AR97+AR122</f>
        <v/>
      </c>
      <c r="AS147" s="104">
        <f>AS22+AS47+AS72+AS97+AS122</f>
        <v/>
      </c>
      <c r="AT147" s="104">
        <f>AT22+AT47+AT72+AT97+AT122</f>
        <v/>
      </c>
      <c r="AU147" s="104">
        <f>AU22+AU47+AU72+AU97+AU122</f>
        <v/>
      </c>
      <c r="AV147" s="104">
        <f>AV22+AV47+AV72+AV97+AV122</f>
        <v/>
      </c>
      <c r="AW147" s="104">
        <f>AW22+AW47+AW72+AW97+AW122</f>
        <v/>
      </c>
      <c r="AX147" s="104">
        <f>AX22+AX47+AX72+AX97+AX122</f>
        <v/>
      </c>
      <c r="AY147" s="104">
        <f>AY22+AY47+AY72+AY97+AY122</f>
        <v/>
      </c>
      <c r="AZ147" s="104">
        <f>AZ22+AZ47+AZ72+AZ97+AZ122</f>
        <v/>
      </c>
      <c r="BA147" s="104">
        <f>BA22+BA47+BA72+BA97+BA122</f>
        <v/>
      </c>
      <c r="BB147" s="104">
        <f>BB22+BB47+BB72+BB97+BB122</f>
        <v/>
      </c>
      <c r="BC147" s="104">
        <f>BC22+BC47+BC72+BC97+BC122</f>
        <v/>
      </c>
      <c r="BD147" s="104">
        <f>BD22+BD47+BD72+BD97+BD122</f>
        <v/>
      </c>
      <c r="BE147" s="104">
        <f>BE22+BE47+BE72+BE97+BE122</f>
        <v/>
      </c>
      <c r="BF147" s="104">
        <f>BF22+BF47+BF72+BF97+BF122</f>
        <v/>
      </c>
      <c r="BG147" s="104">
        <f>BG22+BG47+BG72+BG97+BG122</f>
        <v/>
      </c>
      <c r="BH147" s="104">
        <f>BH22+BH47+BH72+BH97+BH122</f>
        <v/>
      </c>
      <c r="BI147" s="104">
        <f>BI22+BI47+BI72+BI97+BI122</f>
        <v/>
      </c>
      <c r="BJ147" s="104">
        <f>BJ22+BJ47+BJ72+BJ97+BJ122</f>
        <v/>
      </c>
      <c r="BK147" s="104">
        <f>BK22+BK47+BK72+BK97+BK122</f>
        <v/>
      </c>
      <c r="BL147" s="104">
        <f>BL22+BL47+BL72+BL97+BL122</f>
        <v/>
      </c>
    </row>
    <row r="148">
      <c r="A148" s="100" t="inlineStr">
        <is>
          <t>Receivables at risk (carrying amount, accounts that stopped paying)</t>
        </is>
      </c>
      <c r="B148" s="101" t="inlineStr">
        <is>
          <t>LCY</t>
        </is>
      </c>
      <c r="C148" s="102">
        <f>BL148</f>
        <v/>
      </c>
      <c r="D148" s="103" t="n"/>
      <c r="E148" s="104">
        <f>E23+E48+E73+E98+E123</f>
        <v/>
      </c>
      <c r="F148" s="104">
        <f>F23+F48+F73+F98+F123</f>
        <v/>
      </c>
      <c r="G148" s="104">
        <f>G23+G48+G73+G98+G123</f>
        <v/>
      </c>
      <c r="H148" s="104">
        <f>H23+H48+H73+H98+H123</f>
        <v/>
      </c>
      <c r="I148" s="104">
        <f>I23+I48+I73+I98+I123</f>
        <v/>
      </c>
      <c r="J148" s="104">
        <f>J23+J48+J73+J98+J123</f>
        <v/>
      </c>
      <c r="K148" s="104">
        <f>K23+K48+K73+K98+K123</f>
        <v/>
      </c>
      <c r="L148" s="104">
        <f>L23+L48+L73+L98+L123</f>
        <v/>
      </c>
      <c r="M148" s="104">
        <f>M23+M48+M73+M98+M123</f>
        <v/>
      </c>
      <c r="N148" s="104">
        <f>N23+N48+N73+N98+N123</f>
        <v/>
      </c>
      <c r="O148" s="104">
        <f>O23+O48+O73+O98+O123</f>
        <v/>
      </c>
      <c r="P148" s="104">
        <f>P23+P48+P73+P98+P123</f>
        <v/>
      </c>
      <c r="Q148" s="104">
        <f>Q23+Q48+Q73+Q98+Q123</f>
        <v/>
      </c>
      <c r="R148" s="104">
        <f>R23+R48+R73+R98+R123</f>
        <v/>
      </c>
      <c r="S148" s="104">
        <f>S23+S48+S73+S98+S123</f>
        <v/>
      </c>
      <c r="T148" s="104">
        <f>T23+T48+T73+T98+T123</f>
        <v/>
      </c>
      <c r="U148" s="104">
        <f>U23+U48+U73+U98+U123</f>
        <v/>
      </c>
      <c r="V148" s="104">
        <f>V23+V48+V73+V98+V123</f>
        <v/>
      </c>
      <c r="W148" s="104">
        <f>W23+W48+W73+W98+W123</f>
        <v/>
      </c>
      <c r="X148" s="104">
        <f>X23+X48+X73+X98+X123</f>
        <v/>
      </c>
      <c r="Y148" s="104">
        <f>Y23+Y48+Y73+Y98+Y123</f>
        <v/>
      </c>
      <c r="Z148" s="104">
        <f>Z23+Z48+Z73+Z98+Z123</f>
        <v/>
      </c>
      <c r="AA148" s="104">
        <f>AA23+AA48+AA73+AA98+AA123</f>
        <v/>
      </c>
      <c r="AB148" s="104">
        <f>AB23+AB48+AB73+AB98+AB123</f>
        <v/>
      </c>
      <c r="AC148" s="104">
        <f>AC23+AC48+AC73+AC98+AC123</f>
        <v/>
      </c>
      <c r="AD148" s="104">
        <f>AD23+AD48+AD73+AD98+AD123</f>
        <v/>
      </c>
      <c r="AE148" s="104">
        <f>AE23+AE48+AE73+AE98+AE123</f>
        <v/>
      </c>
      <c r="AF148" s="104">
        <f>AF23+AF48+AF73+AF98+AF123</f>
        <v/>
      </c>
      <c r="AG148" s="104">
        <f>AG23+AG48+AG73+AG98+AG123</f>
        <v/>
      </c>
      <c r="AH148" s="104">
        <f>AH23+AH48+AH73+AH98+AH123</f>
        <v/>
      </c>
      <c r="AI148" s="104">
        <f>AI23+AI48+AI73+AI98+AI123</f>
        <v/>
      </c>
      <c r="AJ148" s="104">
        <f>AJ23+AJ48+AJ73+AJ98+AJ123</f>
        <v/>
      </c>
      <c r="AK148" s="104">
        <f>AK23+AK48+AK73+AK98+AK123</f>
        <v/>
      </c>
      <c r="AL148" s="104">
        <f>AL23+AL48+AL73+AL98+AL123</f>
        <v/>
      </c>
      <c r="AM148" s="104">
        <f>AM23+AM48+AM73+AM98+AM123</f>
        <v/>
      </c>
      <c r="AN148" s="104">
        <f>AN23+AN48+AN73+AN98+AN123</f>
        <v/>
      </c>
      <c r="AO148" s="104">
        <f>AO23+AO48+AO73+AO98+AO123</f>
        <v/>
      </c>
      <c r="AP148" s="104">
        <f>AP23+AP48+AP73+AP98+AP123</f>
        <v/>
      </c>
      <c r="AQ148" s="104">
        <f>AQ23+AQ48+AQ73+AQ98+AQ123</f>
        <v/>
      </c>
      <c r="AR148" s="104">
        <f>AR23+AR48+AR73+AR98+AR123</f>
        <v/>
      </c>
      <c r="AS148" s="104">
        <f>AS23+AS48+AS73+AS98+AS123</f>
        <v/>
      </c>
      <c r="AT148" s="104">
        <f>AT23+AT48+AT73+AT98+AT123</f>
        <v/>
      </c>
      <c r="AU148" s="104">
        <f>AU23+AU48+AU73+AU98+AU123</f>
        <v/>
      </c>
      <c r="AV148" s="104">
        <f>AV23+AV48+AV73+AV98+AV123</f>
        <v/>
      </c>
      <c r="AW148" s="104">
        <f>AW23+AW48+AW73+AW98+AW123</f>
        <v/>
      </c>
      <c r="AX148" s="104">
        <f>AX23+AX48+AX73+AX98+AX123</f>
        <v/>
      </c>
      <c r="AY148" s="104">
        <f>AY23+AY48+AY73+AY98+AY123</f>
        <v/>
      </c>
      <c r="AZ148" s="104">
        <f>AZ23+AZ48+AZ73+AZ98+AZ123</f>
        <v/>
      </c>
      <c r="BA148" s="104">
        <f>BA23+BA48+BA73+BA98+BA123</f>
        <v/>
      </c>
      <c r="BB148" s="104">
        <f>BB23+BB48+BB73+BB98+BB123</f>
        <v/>
      </c>
      <c r="BC148" s="104">
        <f>BC23+BC48+BC73+BC98+BC123</f>
        <v/>
      </c>
      <c r="BD148" s="104">
        <f>BD23+BD48+BD73+BD98+BD123</f>
        <v/>
      </c>
      <c r="BE148" s="104">
        <f>BE23+BE48+BE73+BE98+BE123</f>
        <v/>
      </c>
      <c r="BF148" s="104">
        <f>BF23+BF48+BF73+BF98+BF123</f>
        <v/>
      </c>
      <c r="BG148" s="104">
        <f>BG23+BG48+BG73+BG98+BG123</f>
        <v/>
      </c>
      <c r="BH148" s="104">
        <f>BH23+BH48+BH73+BH98+BH123</f>
        <v/>
      </c>
      <c r="BI148" s="104">
        <f>BI23+BI48+BI73+BI98+BI123</f>
        <v/>
      </c>
      <c r="BJ148" s="104">
        <f>BJ23+BJ48+BJ73+BJ98+BJ123</f>
        <v/>
      </c>
      <c r="BK148" s="104">
        <f>BK23+BK48+BK73+BK98+BK123</f>
        <v/>
      </c>
      <c r="BL148" s="104">
        <f>BL23+BL48+BL73+BL98+BL123</f>
        <v/>
      </c>
    </row>
    <row r="149">
      <c r="A149" s="100" t="inlineStr">
        <is>
          <t>Gross PAYGo receivables (closing)</t>
        </is>
      </c>
      <c r="B149" s="101" t="inlineStr">
        <is>
          <t>LCY</t>
        </is>
      </c>
      <c r="C149" s="102">
        <f>BL149</f>
        <v/>
      </c>
      <c r="D149" s="103" t="n"/>
      <c r="E149" s="104">
        <f>E24+E49+E74+E99+E124</f>
        <v/>
      </c>
      <c r="F149" s="104">
        <f>F24+F49+F74+F99+F124</f>
        <v/>
      </c>
      <c r="G149" s="104">
        <f>G24+G49+G74+G99+G124</f>
        <v/>
      </c>
      <c r="H149" s="104">
        <f>H24+H49+H74+H99+H124</f>
        <v/>
      </c>
      <c r="I149" s="104">
        <f>I24+I49+I74+I99+I124</f>
        <v/>
      </c>
      <c r="J149" s="104">
        <f>J24+J49+J74+J99+J124</f>
        <v/>
      </c>
      <c r="K149" s="104">
        <f>K24+K49+K74+K99+K124</f>
        <v/>
      </c>
      <c r="L149" s="104">
        <f>L24+L49+L74+L99+L124</f>
        <v/>
      </c>
      <c r="M149" s="104">
        <f>M24+M49+M74+M99+M124</f>
        <v/>
      </c>
      <c r="N149" s="104">
        <f>N24+N49+N74+N99+N124</f>
        <v/>
      </c>
      <c r="O149" s="104">
        <f>O24+O49+O74+O99+O124</f>
        <v/>
      </c>
      <c r="P149" s="104">
        <f>P24+P49+P74+P99+P124</f>
        <v/>
      </c>
      <c r="Q149" s="104">
        <f>Q24+Q49+Q74+Q99+Q124</f>
        <v/>
      </c>
      <c r="R149" s="104">
        <f>R24+R49+R74+R99+R124</f>
        <v/>
      </c>
      <c r="S149" s="104">
        <f>S24+S49+S74+S99+S124</f>
        <v/>
      </c>
      <c r="T149" s="104">
        <f>T24+T49+T74+T99+T124</f>
        <v/>
      </c>
      <c r="U149" s="104">
        <f>U24+U49+U74+U99+U124</f>
        <v/>
      </c>
      <c r="V149" s="104">
        <f>V24+V49+V74+V99+V124</f>
        <v/>
      </c>
      <c r="W149" s="104">
        <f>W24+W49+W74+W99+W124</f>
        <v/>
      </c>
      <c r="X149" s="104">
        <f>X24+X49+X74+X99+X124</f>
        <v/>
      </c>
      <c r="Y149" s="104">
        <f>Y24+Y49+Y74+Y99+Y124</f>
        <v/>
      </c>
      <c r="Z149" s="104">
        <f>Z24+Z49+Z74+Z99+Z124</f>
        <v/>
      </c>
      <c r="AA149" s="104">
        <f>AA24+AA49+AA74+AA99+AA124</f>
        <v/>
      </c>
      <c r="AB149" s="104">
        <f>AB24+AB49+AB74+AB99+AB124</f>
        <v/>
      </c>
      <c r="AC149" s="104">
        <f>AC24+AC49+AC74+AC99+AC124</f>
        <v/>
      </c>
      <c r="AD149" s="104">
        <f>AD24+AD49+AD74+AD99+AD124</f>
        <v/>
      </c>
      <c r="AE149" s="104">
        <f>AE24+AE49+AE74+AE99+AE124</f>
        <v/>
      </c>
      <c r="AF149" s="104">
        <f>AF24+AF49+AF74+AF99+AF124</f>
        <v/>
      </c>
      <c r="AG149" s="104">
        <f>AG24+AG49+AG74+AG99+AG124</f>
        <v/>
      </c>
      <c r="AH149" s="104">
        <f>AH24+AH49+AH74+AH99+AH124</f>
        <v/>
      </c>
      <c r="AI149" s="104">
        <f>AI24+AI49+AI74+AI99+AI124</f>
        <v/>
      </c>
      <c r="AJ149" s="104">
        <f>AJ24+AJ49+AJ74+AJ99+AJ124</f>
        <v/>
      </c>
      <c r="AK149" s="104">
        <f>AK24+AK49+AK74+AK99+AK124</f>
        <v/>
      </c>
      <c r="AL149" s="104">
        <f>AL24+AL49+AL74+AL99+AL124</f>
        <v/>
      </c>
      <c r="AM149" s="104">
        <f>AM24+AM49+AM74+AM99+AM124</f>
        <v/>
      </c>
      <c r="AN149" s="104">
        <f>AN24+AN49+AN74+AN99+AN124</f>
        <v/>
      </c>
      <c r="AO149" s="104">
        <f>AO24+AO49+AO74+AO99+AO124</f>
        <v/>
      </c>
      <c r="AP149" s="104">
        <f>AP24+AP49+AP74+AP99+AP124</f>
        <v/>
      </c>
      <c r="AQ149" s="104">
        <f>AQ24+AQ49+AQ74+AQ99+AQ124</f>
        <v/>
      </c>
      <c r="AR149" s="104">
        <f>AR24+AR49+AR74+AR99+AR124</f>
        <v/>
      </c>
      <c r="AS149" s="104">
        <f>AS24+AS49+AS74+AS99+AS124</f>
        <v/>
      </c>
      <c r="AT149" s="104">
        <f>AT24+AT49+AT74+AT99+AT124</f>
        <v/>
      </c>
      <c r="AU149" s="104">
        <f>AU24+AU49+AU74+AU99+AU124</f>
        <v/>
      </c>
      <c r="AV149" s="104">
        <f>AV24+AV49+AV74+AV99+AV124</f>
        <v/>
      </c>
      <c r="AW149" s="104">
        <f>AW24+AW49+AW74+AW99+AW124</f>
        <v/>
      </c>
      <c r="AX149" s="104">
        <f>AX24+AX49+AX74+AX99+AX124</f>
        <v/>
      </c>
      <c r="AY149" s="104">
        <f>AY24+AY49+AY74+AY99+AY124</f>
        <v/>
      </c>
      <c r="AZ149" s="104">
        <f>AZ24+AZ49+AZ74+AZ99+AZ124</f>
        <v/>
      </c>
      <c r="BA149" s="104">
        <f>BA24+BA49+BA74+BA99+BA124</f>
        <v/>
      </c>
      <c r="BB149" s="104">
        <f>BB24+BB49+BB74+BB99+BB124</f>
        <v/>
      </c>
      <c r="BC149" s="104">
        <f>BC24+BC49+BC74+BC99+BC124</f>
        <v/>
      </c>
      <c r="BD149" s="104">
        <f>BD24+BD49+BD74+BD99+BD124</f>
        <v/>
      </c>
      <c r="BE149" s="104">
        <f>BE24+BE49+BE74+BE99+BE124</f>
        <v/>
      </c>
      <c r="BF149" s="104">
        <f>BF24+BF49+BF74+BF99+BF124</f>
        <v/>
      </c>
      <c r="BG149" s="104">
        <f>BG24+BG49+BG74+BG99+BG124</f>
        <v/>
      </c>
      <c r="BH149" s="104">
        <f>BH24+BH49+BH74+BH99+BH124</f>
        <v/>
      </c>
      <c r="BI149" s="104">
        <f>BI24+BI49+BI74+BI99+BI124</f>
        <v/>
      </c>
      <c r="BJ149" s="104">
        <f>BJ24+BJ49+BJ74+BJ99+BJ124</f>
        <v/>
      </c>
      <c r="BK149" s="104">
        <f>BK24+BK49+BK74+BK99+BK124</f>
        <v/>
      </c>
      <c r="BL149" s="104">
        <f>BL24+BL49+BL74+BL99+BL124</f>
        <v/>
      </c>
    </row>
    <row r="150">
      <c r="A150" s="100" t="inlineStr">
        <is>
          <t>Eligible receivables (Credit_Engine, max-DPD rule)</t>
        </is>
      </c>
      <c r="B150" s="101" t="inlineStr">
        <is>
          <t>LCY</t>
        </is>
      </c>
      <c r="C150" s="102">
        <f>BL150</f>
        <v/>
      </c>
      <c r="D150" s="103" t="n"/>
      <c r="E150" s="104">
        <f>E25+E50+E75+E100+E125</f>
        <v/>
      </c>
      <c r="F150" s="104">
        <f>F25+F50+F75+F100+F125</f>
        <v/>
      </c>
      <c r="G150" s="104">
        <f>G25+G50+G75+G100+G125</f>
        <v/>
      </c>
      <c r="H150" s="104">
        <f>H25+H50+H75+H100+H125</f>
        <v/>
      </c>
      <c r="I150" s="104">
        <f>I25+I50+I75+I100+I125</f>
        <v/>
      </c>
      <c r="J150" s="104">
        <f>J25+J50+J75+J100+J125</f>
        <v/>
      </c>
      <c r="K150" s="104">
        <f>K25+K50+K75+K100+K125</f>
        <v/>
      </c>
      <c r="L150" s="104">
        <f>L25+L50+L75+L100+L125</f>
        <v/>
      </c>
      <c r="M150" s="104">
        <f>M25+M50+M75+M100+M125</f>
        <v/>
      </c>
      <c r="N150" s="104">
        <f>N25+N50+N75+N100+N125</f>
        <v/>
      </c>
      <c r="O150" s="104">
        <f>O25+O50+O75+O100+O125</f>
        <v/>
      </c>
      <c r="P150" s="104">
        <f>P25+P50+P75+P100+P125</f>
        <v/>
      </c>
      <c r="Q150" s="104">
        <f>Q25+Q50+Q75+Q100+Q125</f>
        <v/>
      </c>
      <c r="R150" s="104">
        <f>R25+R50+R75+R100+R125</f>
        <v/>
      </c>
      <c r="S150" s="104">
        <f>S25+S50+S75+S100+S125</f>
        <v/>
      </c>
      <c r="T150" s="104">
        <f>T25+T50+T75+T100+T125</f>
        <v/>
      </c>
      <c r="U150" s="104">
        <f>U25+U50+U75+U100+U125</f>
        <v/>
      </c>
      <c r="V150" s="104">
        <f>V25+V50+V75+V100+V125</f>
        <v/>
      </c>
      <c r="W150" s="104">
        <f>W25+W50+W75+W100+W125</f>
        <v/>
      </c>
      <c r="X150" s="104">
        <f>X25+X50+X75+X100+X125</f>
        <v/>
      </c>
      <c r="Y150" s="104">
        <f>Y25+Y50+Y75+Y100+Y125</f>
        <v/>
      </c>
      <c r="Z150" s="104">
        <f>Z25+Z50+Z75+Z100+Z125</f>
        <v/>
      </c>
      <c r="AA150" s="104">
        <f>AA25+AA50+AA75+AA100+AA125</f>
        <v/>
      </c>
      <c r="AB150" s="104">
        <f>AB25+AB50+AB75+AB100+AB125</f>
        <v/>
      </c>
      <c r="AC150" s="104">
        <f>AC25+AC50+AC75+AC100+AC125</f>
        <v/>
      </c>
      <c r="AD150" s="104">
        <f>AD25+AD50+AD75+AD100+AD125</f>
        <v/>
      </c>
      <c r="AE150" s="104">
        <f>AE25+AE50+AE75+AE100+AE125</f>
        <v/>
      </c>
      <c r="AF150" s="104">
        <f>AF25+AF50+AF75+AF100+AF125</f>
        <v/>
      </c>
      <c r="AG150" s="104">
        <f>AG25+AG50+AG75+AG100+AG125</f>
        <v/>
      </c>
      <c r="AH150" s="104">
        <f>AH25+AH50+AH75+AH100+AH125</f>
        <v/>
      </c>
      <c r="AI150" s="104">
        <f>AI25+AI50+AI75+AI100+AI125</f>
        <v/>
      </c>
      <c r="AJ150" s="104">
        <f>AJ25+AJ50+AJ75+AJ100+AJ125</f>
        <v/>
      </c>
      <c r="AK150" s="104">
        <f>AK25+AK50+AK75+AK100+AK125</f>
        <v/>
      </c>
      <c r="AL150" s="104">
        <f>AL25+AL50+AL75+AL100+AL125</f>
        <v/>
      </c>
      <c r="AM150" s="104">
        <f>AM25+AM50+AM75+AM100+AM125</f>
        <v/>
      </c>
      <c r="AN150" s="104">
        <f>AN25+AN50+AN75+AN100+AN125</f>
        <v/>
      </c>
      <c r="AO150" s="104">
        <f>AO25+AO50+AO75+AO100+AO125</f>
        <v/>
      </c>
      <c r="AP150" s="104">
        <f>AP25+AP50+AP75+AP100+AP125</f>
        <v/>
      </c>
      <c r="AQ150" s="104">
        <f>AQ25+AQ50+AQ75+AQ100+AQ125</f>
        <v/>
      </c>
      <c r="AR150" s="104">
        <f>AR25+AR50+AR75+AR100+AR125</f>
        <v/>
      </c>
      <c r="AS150" s="104">
        <f>AS25+AS50+AS75+AS100+AS125</f>
        <v/>
      </c>
      <c r="AT150" s="104">
        <f>AT25+AT50+AT75+AT100+AT125</f>
        <v/>
      </c>
      <c r="AU150" s="104">
        <f>AU25+AU50+AU75+AU100+AU125</f>
        <v/>
      </c>
      <c r="AV150" s="104">
        <f>AV25+AV50+AV75+AV100+AV125</f>
        <v/>
      </c>
      <c r="AW150" s="104">
        <f>AW25+AW50+AW75+AW100+AW125</f>
        <v/>
      </c>
      <c r="AX150" s="104">
        <f>AX25+AX50+AX75+AX100+AX125</f>
        <v/>
      </c>
      <c r="AY150" s="104">
        <f>AY25+AY50+AY75+AY100+AY125</f>
        <v/>
      </c>
      <c r="AZ150" s="104">
        <f>AZ25+AZ50+AZ75+AZ100+AZ125</f>
        <v/>
      </c>
      <c r="BA150" s="104">
        <f>BA25+BA50+BA75+BA100+BA125</f>
        <v/>
      </c>
      <c r="BB150" s="104">
        <f>BB25+BB50+BB75+BB100+BB125</f>
        <v/>
      </c>
      <c r="BC150" s="104">
        <f>BC25+BC50+BC75+BC100+BC125</f>
        <v/>
      </c>
      <c r="BD150" s="104">
        <f>BD25+BD50+BD75+BD100+BD125</f>
        <v/>
      </c>
      <c r="BE150" s="104">
        <f>BE25+BE50+BE75+BE100+BE125</f>
        <v/>
      </c>
      <c r="BF150" s="104">
        <f>BF25+BF50+BF75+BF100+BF125</f>
        <v/>
      </c>
      <c r="BG150" s="104">
        <f>BG25+BG50+BG75+BG100+BG125</f>
        <v/>
      </c>
      <c r="BH150" s="104">
        <f>BH25+BH50+BH75+BH100+BH125</f>
        <v/>
      </c>
      <c r="BI150" s="104">
        <f>BI25+BI50+BI75+BI100+BI125</f>
        <v/>
      </c>
      <c r="BJ150" s="104">
        <f>BJ25+BJ50+BJ75+BJ100+BJ125</f>
        <v/>
      </c>
      <c r="BK150" s="104">
        <f>BK25+BK50+BK75+BK100+BK125</f>
        <v/>
      </c>
      <c r="BL150" s="104">
        <f>BL25+BL50+BL75+BL100+BL125</f>
        <v/>
      </c>
    </row>
    <row r="151">
      <c r="A151" s="100" t="inlineStr">
        <is>
          <t>Borrowing-base contribution (advance rate x eligible)</t>
        </is>
      </c>
      <c r="B151" s="101" t="inlineStr">
        <is>
          <t>LCY</t>
        </is>
      </c>
      <c r="C151" s="102">
        <f>BL151</f>
        <v/>
      </c>
      <c r="D151" s="103" t="n"/>
      <c r="E151" s="104">
        <f>E26+E51+E76+E101+E126</f>
        <v/>
      </c>
      <c r="F151" s="104">
        <f>F26+F51+F76+F101+F126</f>
        <v/>
      </c>
      <c r="G151" s="104">
        <f>G26+G51+G76+G101+G126</f>
        <v/>
      </c>
      <c r="H151" s="104">
        <f>H26+H51+H76+H101+H126</f>
        <v/>
      </c>
      <c r="I151" s="104">
        <f>I26+I51+I76+I101+I126</f>
        <v/>
      </c>
      <c r="J151" s="104">
        <f>J26+J51+J76+J101+J126</f>
        <v/>
      </c>
      <c r="K151" s="104">
        <f>K26+K51+K76+K101+K126</f>
        <v/>
      </c>
      <c r="L151" s="104">
        <f>L26+L51+L76+L101+L126</f>
        <v/>
      </c>
      <c r="M151" s="104">
        <f>M26+M51+M76+M101+M126</f>
        <v/>
      </c>
      <c r="N151" s="104">
        <f>N26+N51+N76+N101+N126</f>
        <v/>
      </c>
      <c r="O151" s="104">
        <f>O26+O51+O76+O101+O126</f>
        <v/>
      </c>
      <c r="P151" s="104">
        <f>P26+P51+P76+P101+P126</f>
        <v/>
      </c>
      <c r="Q151" s="104">
        <f>Q26+Q51+Q76+Q101+Q126</f>
        <v/>
      </c>
      <c r="R151" s="104">
        <f>R26+R51+R76+R101+R126</f>
        <v/>
      </c>
      <c r="S151" s="104">
        <f>S26+S51+S76+S101+S126</f>
        <v/>
      </c>
      <c r="T151" s="104">
        <f>T26+T51+T76+T101+T126</f>
        <v/>
      </c>
      <c r="U151" s="104">
        <f>U26+U51+U76+U101+U126</f>
        <v/>
      </c>
      <c r="V151" s="104">
        <f>V26+V51+V76+V101+V126</f>
        <v/>
      </c>
      <c r="W151" s="104">
        <f>W26+W51+W76+W101+W126</f>
        <v/>
      </c>
      <c r="X151" s="104">
        <f>X26+X51+X76+X101+X126</f>
        <v/>
      </c>
      <c r="Y151" s="104">
        <f>Y26+Y51+Y76+Y101+Y126</f>
        <v/>
      </c>
      <c r="Z151" s="104">
        <f>Z26+Z51+Z76+Z101+Z126</f>
        <v/>
      </c>
      <c r="AA151" s="104">
        <f>AA26+AA51+AA76+AA101+AA126</f>
        <v/>
      </c>
      <c r="AB151" s="104">
        <f>AB26+AB51+AB76+AB101+AB126</f>
        <v/>
      </c>
      <c r="AC151" s="104">
        <f>AC26+AC51+AC76+AC101+AC126</f>
        <v/>
      </c>
      <c r="AD151" s="104">
        <f>AD26+AD51+AD76+AD101+AD126</f>
        <v/>
      </c>
      <c r="AE151" s="104">
        <f>AE26+AE51+AE76+AE101+AE126</f>
        <v/>
      </c>
      <c r="AF151" s="104">
        <f>AF26+AF51+AF76+AF101+AF126</f>
        <v/>
      </c>
      <c r="AG151" s="104">
        <f>AG26+AG51+AG76+AG101+AG126</f>
        <v/>
      </c>
      <c r="AH151" s="104">
        <f>AH26+AH51+AH76+AH101+AH126</f>
        <v/>
      </c>
      <c r="AI151" s="104">
        <f>AI26+AI51+AI76+AI101+AI126</f>
        <v/>
      </c>
      <c r="AJ151" s="104">
        <f>AJ26+AJ51+AJ76+AJ101+AJ126</f>
        <v/>
      </c>
      <c r="AK151" s="104">
        <f>AK26+AK51+AK76+AK101+AK126</f>
        <v/>
      </c>
      <c r="AL151" s="104">
        <f>AL26+AL51+AL76+AL101+AL126</f>
        <v/>
      </c>
      <c r="AM151" s="104">
        <f>AM26+AM51+AM76+AM101+AM126</f>
        <v/>
      </c>
      <c r="AN151" s="104">
        <f>AN26+AN51+AN76+AN101+AN126</f>
        <v/>
      </c>
      <c r="AO151" s="104">
        <f>AO26+AO51+AO76+AO101+AO126</f>
        <v/>
      </c>
      <c r="AP151" s="104">
        <f>AP26+AP51+AP76+AP101+AP126</f>
        <v/>
      </c>
      <c r="AQ151" s="104">
        <f>AQ26+AQ51+AQ76+AQ101+AQ126</f>
        <v/>
      </c>
      <c r="AR151" s="104">
        <f>AR26+AR51+AR76+AR101+AR126</f>
        <v/>
      </c>
      <c r="AS151" s="104">
        <f>AS26+AS51+AS76+AS101+AS126</f>
        <v/>
      </c>
      <c r="AT151" s="104">
        <f>AT26+AT51+AT76+AT101+AT126</f>
        <v/>
      </c>
      <c r="AU151" s="104">
        <f>AU26+AU51+AU76+AU101+AU126</f>
        <v/>
      </c>
      <c r="AV151" s="104">
        <f>AV26+AV51+AV76+AV101+AV126</f>
        <v/>
      </c>
      <c r="AW151" s="104">
        <f>AW26+AW51+AW76+AW101+AW126</f>
        <v/>
      </c>
      <c r="AX151" s="104">
        <f>AX26+AX51+AX76+AX101+AX126</f>
        <v/>
      </c>
      <c r="AY151" s="104">
        <f>AY26+AY51+AY76+AY101+AY126</f>
        <v/>
      </c>
      <c r="AZ151" s="104">
        <f>AZ26+AZ51+AZ76+AZ101+AZ126</f>
        <v/>
      </c>
      <c r="BA151" s="104">
        <f>BA26+BA51+BA76+BA101+BA126</f>
        <v/>
      </c>
      <c r="BB151" s="104">
        <f>BB26+BB51+BB76+BB101+BB126</f>
        <v/>
      </c>
      <c r="BC151" s="104">
        <f>BC26+BC51+BC76+BC101+BC126</f>
        <v/>
      </c>
      <c r="BD151" s="104">
        <f>BD26+BD51+BD76+BD101+BD126</f>
        <v/>
      </c>
      <c r="BE151" s="104">
        <f>BE26+BE51+BE76+BE101+BE126</f>
        <v/>
      </c>
      <c r="BF151" s="104">
        <f>BF26+BF51+BF76+BF101+BF126</f>
        <v/>
      </c>
      <c r="BG151" s="104">
        <f>BG26+BG51+BG76+BG101+BG126</f>
        <v/>
      </c>
      <c r="BH151" s="104">
        <f>BH26+BH51+BH76+BH101+BH126</f>
        <v/>
      </c>
      <c r="BI151" s="104">
        <f>BI26+BI51+BI76+BI101+BI126</f>
        <v/>
      </c>
      <c r="BJ151" s="104">
        <f>BJ26+BJ51+BJ76+BJ101+BJ126</f>
        <v/>
      </c>
      <c r="BK151" s="104">
        <f>BK26+BK51+BK76+BK101+BK126</f>
        <v/>
      </c>
      <c r="BL151" s="104">
        <f>BL26+BL51+BL76+BL101+BL126</f>
        <v/>
      </c>
    </row>
    <row r="152">
      <c r="A152" s="100" t="inlineStr">
        <is>
          <t>Landed hardware cost of units sold</t>
        </is>
      </c>
      <c r="B152" s="101" t="inlineStr">
        <is>
          <t>LCY</t>
        </is>
      </c>
      <c r="C152" s="102">
        <f>SUM(E152:BL152)</f>
        <v/>
      </c>
      <c r="D152" s="103" t="n"/>
      <c r="E152" s="104">
        <f>E27+E52+E77+E102+E127</f>
        <v/>
      </c>
      <c r="F152" s="104">
        <f>F27+F52+F77+F102+F127</f>
        <v/>
      </c>
      <c r="G152" s="104">
        <f>G27+G52+G77+G102+G127</f>
        <v/>
      </c>
      <c r="H152" s="104">
        <f>H27+H52+H77+H102+H127</f>
        <v/>
      </c>
      <c r="I152" s="104">
        <f>I27+I52+I77+I102+I127</f>
        <v/>
      </c>
      <c r="J152" s="104">
        <f>J27+J52+J77+J102+J127</f>
        <v/>
      </c>
      <c r="K152" s="104">
        <f>K27+K52+K77+K102+K127</f>
        <v/>
      </c>
      <c r="L152" s="104">
        <f>L27+L52+L77+L102+L127</f>
        <v/>
      </c>
      <c r="M152" s="104">
        <f>M27+M52+M77+M102+M127</f>
        <v/>
      </c>
      <c r="N152" s="104">
        <f>N27+N52+N77+N102+N127</f>
        <v/>
      </c>
      <c r="O152" s="104">
        <f>O27+O52+O77+O102+O127</f>
        <v/>
      </c>
      <c r="P152" s="104">
        <f>P27+P52+P77+P102+P127</f>
        <v/>
      </c>
      <c r="Q152" s="104">
        <f>Q27+Q52+Q77+Q102+Q127</f>
        <v/>
      </c>
      <c r="R152" s="104">
        <f>R27+R52+R77+R102+R127</f>
        <v/>
      </c>
      <c r="S152" s="104">
        <f>S27+S52+S77+S102+S127</f>
        <v/>
      </c>
      <c r="T152" s="104">
        <f>T27+T52+T77+T102+T127</f>
        <v/>
      </c>
      <c r="U152" s="104">
        <f>U27+U52+U77+U102+U127</f>
        <v/>
      </c>
      <c r="V152" s="104">
        <f>V27+V52+V77+V102+V127</f>
        <v/>
      </c>
      <c r="W152" s="104">
        <f>W27+W52+W77+W102+W127</f>
        <v/>
      </c>
      <c r="X152" s="104">
        <f>X27+X52+X77+X102+X127</f>
        <v/>
      </c>
      <c r="Y152" s="104">
        <f>Y27+Y52+Y77+Y102+Y127</f>
        <v/>
      </c>
      <c r="Z152" s="104">
        <f>Z27+Z52+Z77+Z102+Z127</f>
        <v/>
      </c>
      <c r="AA152" s="104">
        <f>AA27+AA52+AA77+AA102+AA127</f>
        <v/>
      </c>
      <c r="AB152" s="104">
        <f>AB27+AB52+AB77+AB102+AB127</f>
        <v/>
      </c>
      <c r="AC152" s="104">
        <f>AC27+AC52+AC77+AC102+AC127</f>
        <v/>
      </c>
      <c r="AD152" s="104">
        <f>AD27+AD52+AD77+AD102+AD127</f>
        <v/>
      </c>
      <c r="AE152" s="104">
        <f>AE27+AE52+AE77+AE102+AE127</f>
        <v/>
      </c>
      <c r="AF152" s="104">
        <f>AF27+AF52+AF77+AF102+AF127</f>
        <v/>
      </c>
      <c r="AG152" s="104">
        <f>AG27+AG52+AG77+AG102+AG127</f>
        <v/>
      </c>
      <c r="AH152" s="104">
        <f>AH27+AH52+AH77+AH102+AH127</f>
        <v/>
      </c>
      <c r="AI152" s="104">
        <f>AI27+AI52+AI77+AI102+AI127</f>
        <v/>
      </c>
      <c r="AJ152" s="104">
        <f>AJ27+AJ52+AJ77+AJ102+AJ127</f>
        <v/>
      </c>
      <c r="AK152" s="104">
        <f>AK27+AK52+AK77+AK102+AK127</f>
        <v/>
      </c>
      <c r="AL152" s="104">
        <f>AL27+AL52+AL77+AL102+AL127</f>
        <v/>
      </c>
      <c r="AM152" s="104">
        <f>AM27+AM52+AM77+AM102+AM127</f>
        <v/>
      </c>
      <c r="AN152" s="104">
        <f>AN27+AN52+AN77+AN102+AN127</f>
        <v/>
      </c>
      <c r="AO152" s="104">
        <f>AO27+AO52+AO77+AO102+AO127</f>
        <v/>
      </c>
      <c r="AP152" s="104">
        <f>AP27+AP52+AP77+AP102+AP127</f>
        <v/>
      </c>
      <c r="AQ152" s="104">
        <f>AQ27+AQ52+AQ77+AQ102+AQ127</f>
        <v/>
      </c>
      <c r="AR152" s="104">
        <f>AR27+AR52+AR77+AR102+AR127</f>
        <v/>
      </c>
      <c r="AS152" s="104">
        <f>AS27+AS52+AS77+AS102+AS127</f>
        <v/>
      </c>
      <c r="AT152" s="104">
        <f>AT27+AT52+AT77+AT102+AT127</f>
        <v/>
      </c>
      <c r="AU152" s="104">
        <f>AU27+AU52+AU77+AU102+AU127</f>
        <v/>
      </c>
      <c r="AV152" s="104">
        <f>AV27+AV52+AV77+AV102+AV127</f>
        <v/>
      </c>
      <c r="AW152" s="104">
        <f>AW27+AW52+AW77+AW102+AW127</f>
        <v/>
      </c>
      <c r="AX152" s="104">
        <f>AX27+AX52+AX77+AX102+AX127</f>
        <v/>
      </c>
      <c r="AY152" s="104">
        <f>AY27+AY52+AY77+AY102+AY127</f>
        <v/>
      </c>
      <c r="AZ152" s="104">
        <f>AZ27+AZ52+AZ77+AZ102+AZ127</f>
        <v/>
      </c>
      <c r="BA152" s="104">
        <f>BA27+BA52+BA77+BA102+BA127</f>
        <v/>
      </c>
      <c r="BB152" s="104">
        <f>BB27+BB52+BB77+BB102+BB127</f>
        <v/>
      </c>
      <c r="BC152" s="104">
        <f>BC27+BC52+BC77+BC102+BC127</f>
        <v/>
      </c>
      <c r="BD152" s="104">
        <f>BD27+BD52+BD77+BD102+BD127</f>
        <v/>
      </c>
      <c r="BE152" s="104">
        <f>BE27+BE52+BE77+BE102+BE127</f>
        <v/>
      </c>
      <c r="BF152" s="104">
        <f>BF27+BF52+BF77+BF102+BF127</f>
        <v/>
      </c>
      <c r="BG152" s="104">
        <f>BG27+BG52+BG77+BG102+BG127</f>
        <v/>
      </c>
      <c r="BH152" s="104">
        <f>BH27+BH52+BH77+BH102+BH127</f>
        <v/>
      </c>
      <c r="BI152" s="104">
        <f>BI27+BI52+BI77+BI102+BI127</f>
        <v/>
      </c>
      <c r="BJ152" s="104">
        <f>BJ27+BJ52+BJ77+BJ102+BJ127</f>
        <v/>
      </c>
      <c r="BK152" s="104">
        <f>BK27+BK52+BK77+BK102+BK127</f>
        <v/>
      </c>
      <c r="BL152" s="104">
        <f>BL27+BL52+BL77+BL102+BL127</f>
        <v/>
      </c>
    </row>
    <row r="153">
      <c r="A153" s="100" t="inlineStr">
        <is>
          <t>Installation &amp; logistics</t>
        </is>
      </c>
      <c r="B153" s="101" t="inlineStr">
        <is>
          <t>LCY</t>
        </is>
      </c>
      <c r="C153" s="102">
        <f>SUM(E153:BL153)</f>
        <v/>
      </c>
      <c r="D153" s="103" t="n"/>
      <c r="E153" s="104">
        <f>E28+E53+E78+E103+E128</f>
        <v/>
      </c>
      <c r="F153" s="104">
        <f>F28+F53+F78+F103+F128</f>
        <v/>
      </c>
      <c r="G153" s="104">
        <f>G28+G53+G78+G103+G128</f>
        <v/>
      </c>
      <c r="H153" s="104">
        <f>H28+H53+H78+H103+H128</f>
        <v/>
      </c>
      <c r="I153" s="104">
        <f>I28+I53+I78+I103+I128</f>
        <v/>
      </c>
      <c r="J153" s="104">
        <f>J28+J53+J78+J103+J128</f>
        <v/>
      </c>
      <c r="K153" s="104">
        <f>K28+K53+K78+K103+K128</f>
        <v/>
      </c>
      <c r="L153" s="104">
        <f>L28+L53+L78+L103+L128</f>
        <v/>
      </c>
      <c r="M153" s="104">
        <f>M28+M53+M78+M103+M128</f>
        <v/>
      </c>
      <c r="N153" s="104">
        <f>N28+N53+N78+N103+N128</f>
        <v/>
      </c>
      <c r="O153" s="104">
        <f>O28+O53+O78+O103+O128</f>
        <v/>
      </c>
      <c r="P153" s="104">
        <f>P28+P53+P78+P103+P128</f>
        <v/>
      </c>
      <c r="Q153" s="104">
        <f>Q28+Q53+Q78+Q103+Q128</f>
        <v/>
      </c>
      <c r="R153" s="104">
        <f>R28+R53+R78+R103+R128</f>
        <v/>
      </c>
      <c r="S153" s="104">
        <f>S28+S53+S78+S103+S128</f>
        <v/>
      </c>
      <c r="T153" s="104">
        <f>T28+T53+T78+T103+T128</f>
        <v/>
      </c>
      <c r="U153" s="104">
        <f>U28+U53+U78+U103+U128</f>
        <v/>
      </c>
      <c r="V153" s="104">
        <f>V28+V53+V78+V103+V128</f>
        <v/>
      </c>
      <c r="W153" s="104">
        <f>W28+W53+W78+W103+W128</f>
        <v/>
      </c>
      <c r="X153" s="104">
        <f>X28+X53+X78+X103+X128</f>
        <v/>
      </c>
      <c r="Y153" s="104">
        <f>Y28+Y53+Y78+Y103+Y128</f>
        <v/>
      </c>
      <c r="Z153" s="104">
        <f>Z28+Z53+Z78+Z103+Z128</f>
        <v/>
      </c>
      <c r="AA153" s="104">
        <f>AA28+AA53+AA78+AA103+AA128</f>
        <v/>
      </c>
      <c r="AB153" s="104">
        <f>AB28+AB53+AB78+AB103+AB128</f>
        <v/>
      </c>
      <c r="AC153" s="104">
        <f>AC28+AC53+AC78+AC103+AC128</f>
        <v/>
      </c>
      <c r="AD153" s="104">
        <f>AD28+AD53+AD78+AD103+AD128</f>
        <v/>
      </c>
      <c r="AE153" s="104">
        <f>AE28+AE53+AE78+AE103+AE128</f>
        <v/>
      </c>
      <c r="AF153" s="104">
        <f>AF28+AF53+AF78+AF103+AF128</f>
        <v/>
      </c>
      <c r="AG153" s="104">
        <f>AG28+AG53+AG78+AG103+AG128</f>
        <v/>
      </c>
      <c r="AH153" s="104">
        <f>AH28+AH53+AH78+AH103+AH128</f>
        <v/>
      </c>
      <c r="AI153" s="104">
        <f>AI28+AI53+AI78+AI103+AI128</f>
        <v/>
      </c>
      <c r="AJ153" s="104">
        <f>AJ28+AJ53+AJ78+AJ103+AJ128</f>
        <v/>
      </c>
      <c r="AK153" s="104">
        <f>AK28+AK53+AK78+AK103+AK128</f>
        <v/>
      </c>
      <c r="AL153" s="104">
        <f>AL28+AL53+AL78+AL103+AL128</f>
        <v/>
      </c>
      <c r="AM153" s="104">
        <f>AM28+AM53+AM78+AM103+AM128</f>
        <v/>
      </c>
      <c r="AN153" s="104">
        <f>AN28+AN53+AN78+AN103+AN128</f>
        <v/>
      </c>
      <c r="AO153" s="104">
        <f>AO28+AO53+AO78+AO103+AO128</f>
        <v/>
      </c>
      <c r="AP153" s="104">
        <f>AP28+AP53+AP78+AP103+AP128</f>
        <v/>
      </c>
      <c r="AQ153" s="104">
        <f>AQ28+AQ53+AQ78+AQ103+AQ128</f>
        <v/>
      </c>
      <c r="AR153" s="104">
        <f>AR28+AR53+AR78+AR103+AR128</f>
        <v/>
      </c>
      <c r="AS153" s="104">
        <f>AS28+AS53+AS78+AS103+AS128</f>
        <v/>
      </c>
      <c r="AT153" s="104">
        <f>AT28+AT53+AT78+AT103+AT128</f>
        <v/>
      </c>
      <c r="AU153" s="104">
        <f>AU28+AU53+AU78+AU103+AU128</f>
        <v/>
      </c>
      <c r="AV153" s="104">
        <f>AV28+AV53+AV78+AV103+AV128</f>
        <v/>
      </c>
      <c r="AW153" s="104">
        <f>AW28+AW53+AW78+AW103+AW128</f>
        <v/>
      </c>
      <c r="AX153" s="104">
        <f>AX28+AX53+AX78+AX103+AX128</f>
        <v/>
      </c>
      <c r="AY153" s="104">
        <f>AY28+AY53+AY78+AY103+AY128</f>
        <v/>
      </c>
      <c r="AZ153" s="104">
        <f>AZ28+AZ53+AZ78+AZ103+AZ128</f>
        <v/>
      </c>
      <c r="BA153" s="104">
        <f>BA28+BA53+BA78+BA103+BA128</f>
        <v/>
      </c>
      <c r="BB153" s="104">
        <f>BB28+BB53+BB78+BB103+BB128</f>
        <v/>
      </c>
      <c r="BC153" s="104">
        <f>BC28+BC53+BC78+BC103+BC128</f>
        <v/>
      </c>
      <c r="BD153" s="104">
        <f>BD28+BD53+BD78+BD103+BD128</f>
        <v/>
      </c>
      <c r="BE153" s="104">
        <f>BE28+BE53+BE78+BE103+BE128</f>
        <v/>
      </c>
      <c r="BF153" s="104">
        <f>BF28+BF53+BF78+BF103+BF128</f>
        <v/>
      </c>
      <c r="BG153" s="104">
        <f>BG28+BG53+BG78+BG103+BG128</f>
        <v/>
      </c>
      <c r="BH153" s="104">
        <f>BH28+BH53+BH78+BH103+BH128</f>
        <v/>
      </c>
      <c r="BI153" s="104">
        <f>BI28+BI53+BI78+BI103+BI128</f>
        <v/>
      </c>
      <c r="BJ153" s="104">
        <f>BJ28+BJ53+BJ78+BJ103+BJ128</f>
        <v/>
      </c>
      <c r="BK153" s="104">
        <f>BK28+BK53+BK78+BK103+BK128</f>
        <v/>
      </c>
      <c r="BL153" s="104">
        <f>BL28+BL53+BL78+BL103+BL128</f>
        <v/>
      </c>
    </row>
    <row r="154">
      <c r="A154" s="100" t="inlineStr">
        <is>
          <t>Warranty &amp; after-sales provision</t>
        </is>
      </c>
      <c r="B154" s="101" t="inlineStr">
        <is>
          <t>LCY</t>
        </is>
      </c>
      <c r="C154" s="102">
        <f>SUM(E154:BL154)</f>
        <v/>
      </c>
      <c r="D154" s="103" t="n"/>
      <c r="E154" s="104">
        <f>E29+E54+E79+E104+E129</f>
        <v/>
      </c>
      <c r="F154" s="104">
        <f>F29+F54+F79+F104+F129</f>
        <v/>
      </c>
      <c r="G154" s="104">
        <f>G29+G54+G79+G104+G129</f>
        <v/>
      </c>
      <c r="H154" s="104">
        <f>H29+H54+H79+H104+H129</f>
        <v/>
      </c>
      <c r="I154" s="104">
        <f>I29+I54+I79+I104+I129</f>
        <v/>
      </c>
      <c r="J154" s="104">
        <f>J29+J54+J79+J104+J129</f>
        <v/>
      </c>
      <c r="K154" s="104">
        <f>K29+K54+K79+K104+K129</f>
        <v/>
      </c>
      <c r="L154" s="104">
        <f>L29+L54+L79+L104+L129</f>
        <v/>
      </c>
      <c r="M154" s="104">
        <f>M29+M54+M79+M104+M129</f>
        <v/>
      </c>
      <c r="N154" s="104">
        <f>N29+N54+N79+N104+N129</f>
        <v/>
      </c>
      <c r="O154" s="104">
        <f>O29+O54+O79+O104+O129</f>
        <v/>
      </c>
      <c r="P154" s="104">
        <f>P29+P54+P79+P104+P129</f>
        <v/>
      </c>
      <c r="Q154" s="104">
        <f>Q29+Q54+Q79+Q104+Q129</f>
        <v/>
      </c>
      <c r="R154" s="104">
        <f>R29+R54+R79+R104+R129</f>
        <v/>
      </c>
      <c r="S154" s="104">
        <f>S29+S54+S79+S104+S129</f>
        <v/>
      </c>
      <c r="T154" s="104">
        <f>T29+T54+T79+T104+T129</f>
        <v/>
      </c>
      <c r="U154" s="104">
        <f>U29+U54+U79+U104+U129</f>
        <v/>
      </c>
      <c r="V154" s="104">
        <f>V29+V54+V79+V104+V129</f>
        <v/>
      </c>
      <c r="W154" s="104">
        <f>W29+W54+W79+W104+W129</f>
        <v/>
      </c>
      <c r="X154" s="104">
        <f>X29+X54+X79+X104+X129</f>
        <v/>
      </c>
      <c r="Y154" s="104">
        <f>Y29+Y54+Y79+Y104+Y129</f>
        <v/>
      </c>
      <c r="Z154" s="104">
        <f>Z29+Z54+Z79+Z104+Z129</f>
        <v/>
      </c>
      <c r="AA154" s="104">
        <f>AA29+AA54+AA79+AA104+AA129</f>
        <v/>
      </c>
      <c r="AB154" s="104">
        <f>AB29+AB54+AB79+AB104+AB129</f>
        <v/>
      </c>
      <c r="AC154" s="104">
        <f>AC29+AC54+AC79+AC104+AC129</f>
        <v/>
      </c>
      <c r="AD154" s="104">
        <f>AD29+AD54+AD79+AD104+AD129</f>
        <v/>
      </c>
      <c r="AE154" s="104">
        <f>AE29+AE54+AE79+AE104+AE129</f>
        <v/>
      </c>
      <c r="AF154" s="104">
        <f>AF29+AF54+AF79+AF104+AF129</f>
        <v/>
      </c>
      <c r="AG154" s="104">
        <f>AG29+AG54+AG79+AG104+AG129</f>
        <v/>
      </c>
      <c r="AH154" s="104">
        <f>AH29+AH54+AH79+AH104+AH129</f>
        <v/>
      </c>
      <c r="AI154" s="104">
        <f>AI29+AI54+AI79+AI104+AI129</f>
        <v/>
      </c>
      <c r="AJ154" s="104">
        <f>AJ29+AJ54+AJ79+AJ104+AJ129</f>
        <v/>
      </c>
      <c r="AK154" s="104">
        <f>AK29+AK54+AK79+AK104+AK129</f>
        <v/>
      </c>
      <c r="AL154" s="104">
        <f>AL29+AL54+AL79+AL104+AL129</f>
        <v/>
      </c>
      <c r="AM154" s="104">
        <f>AM29+AM54+AM79+AM104+AM129</f>
        <v/>
      </c>
      <c r="AN154" s="104">
        <f>AN29+AN54+AN79+AN104+AN129</f>
        <v/>
      </c>
      <c r="AO154" s="104">
        <f>AO29+AO54+AO79+AO104+AO129</f>
        <v/>
      </c>
      <c r="AP154" s="104">
        <f>AP29+AP54+AP79+AP104+AP129</f>
        <v/>
      </c>
      <c r="AQ154" s="104">
        <f>AQ29+AQ54+AQ79+AQ104+AQ129</f>
        <v/>
      </c>
      <c r="AR154" s="104">
        <f>AR29+AR54+AR79+AR104+AR129</f>
        <v/>
      </c>
      <c r="AS154" s="104">
        <f>AS29+AS54+AS79+AS104+AS129</f>
        <v/>
      </c>
      <c r="AT154" s="104">
        <f>AT29+AT54+AT79+AT104+AT129</f>
        <v/>
      </c>
      <c r="AU154" s="104">
        <f>AU29+AU54+AU79+AU104+AU129</f>
        <v/>
      </c>
      <c r="AV154" s="104">
        <f>AV29+AV54+AV79+AV104+AV129</f>
        <v/>
      </c>
      <c r="AW154" s="104">
        <f>AW29+AW54+AW79+AW104+AW129</f>
        <v/>
      </c>
      <c r="AX154" s="104">
        <f>AX29+AX54+AX79+AX104+AX129</f>
        <v/>
      </c>
      <c r="AY154" s="104">
        <f>AY29+AY54+AY79+AY104+AY129</f>
        <v/>
      </c>
      <c r="AZ154" s="104">
        <f>AZ29+AZ54+AZ79+AZ104+AZ129</f>
        <v/>
      </c>
      <c r="BA154" s="104">
        <f>BA29+BA54+BA79+BA104+BA129</f>
        <v/>
      </c>
      <c r="BB154" s="104">
        <f>BB29+BB54+BB79+BB104+BB129</f>
        <v/>
      </c>
      <c r="BC154" s="104">
        <f>BC29+BC54+BC79+BC104+BC129</f>
        <v/>
      </c>
      <c r="BD154" s="104">
        <f>BD29+BD54+BD79+BD104+BD129</f>
        <v/>
      </c>
      <c r="BE154" s="104">
        <f>BE29+BE54+BE79+BE104+BE129</f>
        <v/>
      </c>
      <c r="BF154" s="104">
        <f>BF29+BF54+BF79+BF104+BF129</f>
        <v/>
      </c>
      <c r="BG154" s="104">
        <f>BG29+BG54+BG79+BG104+BG129</f>
        <v/>
      </c>
      <c r="BH154" s="104">
        <f>BH29+BH54+BH79+BH104+BH129</f>
        <v/>
      </c>
      <c r="BI154" s="104">
        <f>BI29+BI54+BI79+BI104+BI129</f>
        <v/>
      </c>
      <c r="BJ154" s="104">
        <f>BJ29+BJ54+BJ79+BJ104+BJ129</f>
        <v/>
      </c>
      <c r="BK154" s="104">
        <f>BK29+BK54+BK79+BK104+BK129</f>
        <v/>
      </c>
      <c r="BL154" s="104">
        <f>BL29+BL54+BL79+BL104+BL129</f>
        <v/>
      </c>
    </row>
    <row r="155">
      <c r="A155" s="100" t="inlineStr">
        <is>
          <t>Commissions</t>
        </is>
      </c>
      <c r="B155" s="101" t="inlineStr">
        <is>
          <t>LCY</t>
        </is>
      </c>
      <c r="C155" s="102">
        <f>SUM(E155:BL155)</f>
        <v/>
      </c>
      <c r="D155" s="103" t="n"/>
      <c r="E155" s="104">
        <f>E30+E55+E80+E105+E130</f>
        <v/>
      </c>
      <c r="F155" s="104">
        <f>F30+F55+F80+F105+F130</f>
        <v/>
      </c>
      <c r="G155" s="104">
        <f>G30+G55+G80+G105+G130</f>
        <v/>
      </c>
      <c r="H155" s="104">
        <f>H30+H55+H80+H105+H130</f>
        <v/>
      </c>
      <c r="I155" s="104">
        <f>I30+I55+I80+I105+I130</f>
        <v/>
      </c>
      <c r="J155" s="104">
        <f>J30+J55+J80+J105+J130</f>
        <v/>
      </c>
      <c r="K155" s="104">
        <f>K30+K55+K80+K105+K130</f>
        <v/>
      </c>
      <c r="L155" s="104">
        <f>L30+L55+L80+L105+L130</f>
        <v/>
      </c>
      <c r="M155" s="104">
        <f>M30+M55+M80+M105+M130</f>
        <v/>
      </c>
      <c r="N155" s="104">
        <f>N30+N55+N80+N105+N130</f>
        <v/>
      </c>
      <c r="O155" s="104">
        <f>O30+O55+O80+O105+O130</f>
        <v/>
      </c>
      <c r="P155" s="104">
        <f>P30+P55+P80+P105+P130</f>
        <v/>
      </c>
      <c r="Q155" s="104">
        <f>Q30+Q55+Q80+Q105+Q130</f>
        <v/>
      </c>
      <c r="R155" s="104">
        <f>R30+R55+R80+R105+R130</f>
        <v/>
      </c>
      <c r="S155" s="104">
        <f>S30+S55+S80+S105+S130</f>
        <v/>
      </c>
      <c r="T155" s="104">
        <f>T30+T55+T80+T105+T130</f>
        <v/>
      </c>
      <c r="U155" s="104">
        <f>U30+U55+U80+U105+U130</f>
        <v/>
      </c>
      <c r="V155" s="104">
        <f>V30+V55+V80+V105+V130</f>
        <v/>
      </c>
      <c r="W155" s="104">
        <f>W30+W55+W80+W105+W130</f>
        <v/>
      </c>
      <c r="X155" s="104">
        <f>X30+X55+X80+X105+X130</f>
        <v/>
      </c>
      <c r="Y155" s="104">
        <f>Y30+Y55+Y80+Y105+Y130</f>
        <v/>
      </c>
      <c r="Z155" s="104">
        <f>Z30+Z55+Z80+Z105+Z130</f>
        <v/>
      </c>
      <c r="AA155" s="104">
        <f>AA30+AA55+AA80+AA105+AA130</f>
        <v/>
      </c>
      <c r="AB155" s="104">
        <f>AB30+AB55+AB80+AB105+AB130</f>
        <v/>
      </c>
      <c r="AC155" s="104">
        <f>AC30+AC55+AC80+AC105+AC130</f>
        <v/>
      </c>
      <c r="AD155" s="104">
        <f>AD30+AD55+AD80+AD105+AD130</f>
        <v/>
      </c>
      <c r="AE155" s="104">
        <f>AE30+AE55+AE80+AE105+AE130</f>
        <v/>
      </c>
      <c r="AF155" s="104">
        <f>AF30+AF55+AF80+AF105+AF130</f>
        <v/>
      </c>
      <c r="AG155" s="104">
        <f>AG30+AG55+AG80+AG105+AG130</f>
        <v/>
      </c>
      <c r="AH155" s="104">
        <f>AH30+AH55+AH80+AH105+AH130</f>
        <v/>
      </c>
      <c r="AI155" s="104">
        <f>AI30+AI55+AI80+AI105+AI130</f>
        <v/>
      </c>
      <c r="AJ155" s="104">
        <f>AJ30+AJ55+AJ80+AJ105+AJ130</f>
        <v/>
      </c>
      <c r="AK155" s="104">
        <f>AK30+AK55+AK80+AK105+AK130</f>
        <v/>
      </c>
      <c r="AL155" s="104">
        <f>AL30+AL55+AL80+AL105+AL130</f>
        <v/>
      </c>
      <c r="AM155" s="104">
        <f>AM30+AM55+AM80+AM105+AM130</f>
        <v/>
      </c>
      <c r="AN155" s="104">
        <f>AN30+AN55+AN80+AN105+AN130</f>
        <v/>
      </c>
      <c r="AO155" s="104">
        <f>AO30+AO55+AO80+AO105+AO130</f>
        <v/>
      </c>
      <c r="AP155" s="104">
        <f>AP30+AP55+AP80+AP105+AP130</f>
        <v/>
      </c>
      <c r="AQ155" s="104">
        <f>AQ30+AQ55+AQ80+AQ105+AQ130</f>
        <v/>
      </c>
      <c r="AR155" s="104">
        <f>AR30+AR55+AR80+AR105+AR130</f>
        <v/>
      </c>
      <c r="AS155" s="104">
        <f>AS30+AS55+AS80+AS105+AS130</f>
        <v/>
      </c>
      <c r="AT155" s="104">
        <f>AT30+AT55+AT80+AT105+AT130</f>
        <v/>
      </c>
      <c r="AU155" s="104">
        <f>AU30+AU55+AU80+AU105+AU130</f>
        <v/>
      </c>
      <c r="AV155" s="104">
        <f>AV30+AV55+AV80+AV105+AV130</f>
        <v/>
      </c>
      <c r="AW155" s="104">
        <f>AW30+AW55+AW80+AW105+AW130</f>
        <v/>
      </c>
      <c r="AX155" s="104">
        <f>AX30+AX55+AX80+AX105+AX130</f>
        <v/>
      </c>
      <c r="AY155" s="104">
        <f>AY30+AY55+AY80+AY105+AY130</f>
        <v/>
      </c>
      <c r="AZ155" s="104">
        <f>AZ30+AZ55+AZ80+AZ105+AZ130</f>
        <v/>
      </c>
      <c r="BA155" s="104">
        <f>BA30+BA55+BA80+BA105+BA130</f>
        <v/>
      </c>
      <c r="BB155" s="104">
        <f>BB30+BB55+BB80+BB105+BB130</f>
        <v/>
      </c>
      <c r="BC155" s="104">
        <f>BC30+BC55+BC80+BC105+BC130</f>
        <v/>
      </c>
      <c r="BD155" s="104">
        <f>BD30+BD55+BD80+BD105+BD130</f>
        <v/>
      </c>
      <c r="BE155" s="104">
        <f>BE30+BE55+BE80+BE105+BE130</f>
        <v/>
      </c>
      <c r="BF155" s="104">
        <f>BF30+BF55+BF80+BF105+BF130</f>
        <v/>
      </c>
      <c r="BG155" s="104">
        <f>BG30+BG55+BG80+BG105+BG130</f>
        <v/>
      </c>
      <c r="BH155" s="104">
        <f>BH30+BH55+BH80+BH105+BH130</f>
        <v/>
      </c>
      <c r="BI155" s="104">
        <f>BI30+BI55+BI80+BI105+BI130</f>
        <v/>
      </c>
      <c r="BJ155" s="104">
        <f>BJ30+BJ55+BJ80+BJ105+BJ130</f>
        <v/>
      </c>
      <c r="BK155" s="104">
        <f>BK30+BK55+BK80+BK105+BK130</f>
        <v/>
      </c>
      <c r="BL155" s="104">
        <f>BL30+BL55+BL80+BL105+BL130</f>
        <v/>
      </c>
    </row>
    <row r="156">
      <c r="A156" s="100" t="inlineStr">
        <is>
          <t>Marketing &amp; acquisition</t>
        </is>
      </c>
      <c r="B156" s="101" t="inlineStr">
        <is>
          <t>LCY</t>
        </is>
      </c>
      <c r="C156" s="102">
        <f>SUM(E156:BL156)</f>
        <v/>
      </c>
      <c r="D156" s="103" t="n"/>
      <c r="E156" s="104">
        <f>E31+E56+E81+E106+E131</f>
        <v/>
      </c>
      <c r="F156" s="104">
        <f>F31+F56+F81+F106+F131</f>
        <v/>
      </c>
      <c r="G156" s="104">
        <f>G31+G56+G81+G106+G131</f>
        <v/>
      </c>
      <c r="H156" s="104">
        <f>H31+H56+H81+H106+H131</f>
        <v/>
      </c>
      <c r="I156" s="104">
        <f>I31+I56+I81+I106+I131</f>
        <v/>
      </c>
      <c r="J156" s="104">
        <f>J31+J56+J81+J106+J131</f>
        <v/>
      </c>
      <c r="K156" s="104">
        <f>K31+K56+K81+K106+K131</f>
        <v/>
      </c>
      <c r="L156" s="104">
        <f>L31+L56+L81+L106+L131</f>
        <v/>
      </c>
      <c r="M156" s="104">
        <f>M31+M56+M81+M106+M131</f>
        <v/>
      </c>
      <c r="N156" s="104">
        <f>N31+N56+N81+N106+N131</f>
        <v/>
      </c>
      <c r="O156" s="104">
        <f>O31+O56+O81+O106+O131</f>
        <v/>
      </c>
      <c r="P156" s="104">
        <f>P31+P56+P81+P106+P131</f>
        <v/>
      </c>
      <c r="Q156" s="104">
        <f>Q31+Q56+Q81+Q106+Q131</f>
        <v/>
      </c>
      <c r="R156" s="104">
        <f>R31+R56+R81+R106+R131</f>
        <v/>
      </c>
      <c r="S156" s="104">
        <f>S31+S56+S81+S106+S131</f>
        <v/>
      </c>
      <c r="T156" s="104">
        <f>T31+T56+T81+T106+T131</f>
        <v/>
      </c>
      <c r="U156" s="104">
        <f>U31+U56+U81+U106+U131</f>
        <v/>
      </c>
      <c r="V156" s="104">
        <f>V31+V56+V81+V106+V131</f>
        <v/>
      </c>
      <c r="W156" s="104">
        <f>W31+W56+W81+W106+W131</f>
        <v/>
      </c>
      <c r="X156" s="104">
        <f>X31+X56+X81+X106+X131</f>
        <v/>
      </c>
      <c r="Y156" s="104">
        <f>Y31+Y56+Y81+Y106+Y131</f>
        <v/>
      </c>
      <c r="Z156" s="104">
        <f>Z31+Z56+Z81+Z106+Z131</f>
        <v/>
      </c>
      <c r="AA156" s="104">
        <f>AA31+AA56+AA81+AA106+AA131</f>
        <v/>
      </c>
      <c r="AB156" s="104">
        <f>AB31+AB56+AB81+AB106+AB131</f>
        <v/>
      </c>
      <c r="AC156" s="104">
        <f>AC31+AC56+AC81+AC106+AC131</f>
        <v/>
      </c>
      <c r="AD156" s="104">
        <f>AD31+AD56+AD81+AD106+AD131</f>
        <v/>
      </c>
      <c r="AE156" s="104">
        <f>AE31+AE56+AE81+AE106+AE131</f>
        <v/>
      </c>
      <c r="AF156" s="104">
        <f>AF31+AF56+AF81+AF106+AF131</f>
        <v/>
      </c>
      <c r="AG156" s="104">
        <f>AG31+AG56+AG81+AG106+AG131</f>
        <v/>
      </c>
      <c r="AH156" s="104">
        <f>AH31+AH56+AH81+AH106+AH131</f>
        <v/>
      </c>
      <c r="AI156" s="104">
        <f>AI31+AI56+AI81+AI106+AI131</f>
        <v/>
      </c>
      <c r="AJ156" s="104">
        <f>AJ31+AJ56+AJ81+AJ106+AJ131</f>
        <v/>
      </c>
      <c r="AK156" s="104">
        <f>AK31+AK56+AK81+AK106+AK131</f>
        <v/>
      </c>
      <c r="AL156" s="104">
        <f>AL31+AL56+AL81+AL106+AL131</f>
        <v/>
      </c>
      <c r="AM156" s="104">
        <f>AM31+AM56+AM81+AM106+AM131</f>
        <v/>
      </c>
      <c r="AN156" s="104">
        <f>AN31+AN56+AN81+AN106+AN131</f>
        <v/>
      </c>
      <c r="AO156" s="104">
        <f>AO31+AO56+AO81+AO106+AO131</f>
        <v/>
      </c>
      <c r="AP156" s="104">
        <f>AP31+AP56+AP81+AP106+AP131</f>
        <v/>
      </c>
      <c r="AQ156" s="104">
        <f>AQ31+AQ56+AQ81+AQ106+AQ131</f>
        <v/>
      </c>
      <c r="AR156" s="104">
        <f>AR31+AR56+AR81+AR106+AR131</f>
        <v/>
      </c>
      <c r="AS156" s="104">
        <f>AS31+AS56+AS81+AS106+AS131</f>
        <v/>
      </c>
      <c r="AT156" s="104">
        <f>AT31+AT56+AT81+AT106+AT131</f>
        <v/>
      </c>
      <c r="AU156" s="104">
        <f>AU31+AU56+AU81+AU106+AU131</f>
        <v/>
      </c>
      <c r="AV156" s="104">
        <f>AV31+AV56+AV81+AV106+AV131</f>
        <v/>
      </c>
      <c r="AW156" s="104">
        <f>AW31+AW56+AW81+AW106+AW131</f>
        <v/>
      </c>
      <c r="AX156" s="104">
        <f>AX31+AX56+AX81+AX106+AX131</f>
        <v/>
      </c>
      <c r="AY156" s="104">
        <f>AY31+AY56+AY81+AY106+AY131</f>
        <v/>
      </c>
      <c r="AZ156" s="104">
        <f>AZ31+AZ56+AZ81+AZ106+AZ131</f>
        <v/>
      </c>
      <c r="BA156" s="104">
        <f>BA31+BA56+BA81+BA106+BA131</f>
        <v/>
      </c>
      <c r="BB156" s="104">
        <f>BB31+BB56+BB81+BB106+BB131</f>
        <v/>
      </c>
      <c r="BC156" s="104">
        <f>BC31+BC56+BC81+BC106+BC131</f>
        <v/>
      </c>
      <c r="BD156" s="104">
        <f>BD31+BD56+BD81+BD106+BD131</f>
        <v/>
      </c>
      <c r="BE156" s="104">
        <f>BE31+BE56+BE81+BE106+BE131</f>
        <v/>
      </c>
      <c r="BF156" s="104">
        <f>BF31+BF56+BF81+BF106+BF131</f>
        <v/>
      </c>
      <c r="BG156" s="104">
        <f>BG31+BG56+BG81+BG106+BG131</f>
        <v/>
      </c>
      <c r="BH156" s="104">
        <f>BH31+BH56+BH81+BH106+BH131</f>
        <v/>
      </c>
      <c r="BI156" s="104">
        <f>BI31+BI56+BI81+BI106+BI131</f>
        <v/>
      </c>
      <c r="BJ156" s="104">
        <f>BJ31+BJ56+BJ81+BJ106+BJ131</f>
        <v/>
      </c>
      <c r="BK156" s="104">
        <f>BK31+BK56+BK81+BK106+BK131</f>
        <v/>
      </c>
      <c r="BL156" s="104">
        <f>BL31+BL56+BL81+BL106+BL131</f>
        <v/>
      </c>
    </row>
    <row r="157"/>
    <row r="158">
      <c r="A158" s="98" t="inlineStr">
        <is>
          <t>Cumulative unlocked accounts (customer ownership)</t>
        </is>
      </c>
      <c r="B158" s="65" t="inlineStr">
        <is>
          <t>accounts</t>
        </is>
      </c>
      <c r="C158" s="105">
        <f>BL158</f>
        <v/>
      </c>
      <c r="E158" s="80">
        <f>D158+E147</f>
        <v/>
      </c>
      <c r="F158" s="80">
        <f>E158+F147</f>
        <v/>
      </c>
      <c r="G158" s="80">
        <f>F158+G147</f>
        <v/>
      </c>
      <c r="H158" s="80">
        <f>G158+H147</f>
        <v/>
      </c>
      <c r="I158" s="80">
        <f>H158+I147</f>
        <v/>
      </c>
      <c r="J158" s="80">
        <f>I158+J147</f>
        <v/>
      </c>
      <c r="K158" s="80">
        <f>J158+K147</f>
        <v/>
      </c>
      <c r="L158" s="80">
        <f>K158+L147</f>
        <v/>
      </c>
      <c r="M158" s="80">
        <f>L158+M147</f>
        <v/>
      </c>
      <c r="N158" s="80">
        <f>M158+N147</f>
        <v/>
      </c>
      <c r="O158" s="80">
        <f>N158+O147</f>
        <v/>
      </c>
      <c r="P158" s="80">
        <f>O158+P147</f>
        <v/>
      </c>
      <c r="Q158" s="80">
        <f>P158+Q147</f>
        <v/>
      </c>
      <c r="R158" s="80">
        <f>Q158+R147</f>
        <v/>
      </c>
      <c r="S158" s="80">
        <f>R158+S147</f>
        <v/>
      </c>
      <c r="T158" s="80">
        <f>S158+T147</f>
        <v/>
      </c>
      <c r="U158" s="80">
        <f>T158+U147</f>
        <v/>
      </c>
      <c r="V158" s="80">
        <f>U158+V147</f>
        <v/>
      </c>
      <c r="W158" s="80">
        <f>V158+W147</f>
        <v/>
      </c>
      <c r="X158" s="80">
        <f>W158+X147</f>
        <v/>
      </c>
      <c r="Y158" s="80">
        <f>X158+Y147</f>
        <v/>
      </c>
      <c r="Z158" s="80">
        <f>Y158+Z147</f>
        <v/>
      </c>
      <c r="AA158" s="80">
        <f>Z158+AA147</f>
        <v/>
      </c>
      <c r="AB158" s="80">
        <f>AA158+AB147</f>
        <v/>
      </c>
      <c r="AC158" s="80">
        <f>AB158+AC147</f>
        <v/>
      </c>
      <c r="AD158" s="80">
        <f>AC158+AD147</f>
        <v/>
      </c>
      <c r="AE158" s="80">
        <f>AD158+AE147</f>
        <v/>
      </c>
      <c r="AF158" s="80">
        <f>AE158+AF147</f>
        <v/>
      </c>
      <c r="AG158" s="80">
        <f>AF158+AG147</f>
        <v/>
      </c>
      <c r="AH158" s="80">
        <f>AG158+AH147</f>
        <v/>
      </c>
      <c r="AI158" s="80">
        <f>AH158+AI147</f>
        <v/>
      </c>
      <c r="AJ158" s="80">
        <f>AI158+AJ147</f>
        <v/>
      </c>
      <c r="AK158" s="80">
        <f>AJ158+AK147</f>
        <v/>
      </c>
      <c r="AL158" s="80">
        <f>AK158+AL147</f>
        <v/>
      </c>
      <c r="AM158" s="80">
        <f>AL158+AM147</f>
        <v/>
      </c>
      <c r="AN158" s="80">
        <f>AM158+AN147</f>
        <v/>
      </c>
      <c r="AO158" s="80">
        <f>AN158+AO147</f>
        <v/>
      </c>
      <c r="AP158" s="80">
        <f>AO158+AP147</f>
        <v/>
      </c>
      <c r="AQ158" s="80">
        <f>AP158+AQ147</f>
        <v/>
      </c>
      <c r="AR158" s="80">
        <f>AQ158+AR147</f>
        <v/>
      </c>
      <c r="AS158" s="80">
        <f>AR158+AS147</f>
        <v/>
      </c>
      <c r="AT158" s="80">
        <f>AS158+AT147</f>
        <v/>
      </c>
      <c r="AU158" s="80">
        <f>AT158+AU147</f>
        <v/>
      </c>
      <c r="AV158" s="80">
        <f>AU158+AV147</f>
        <v/>
      </c>
      <c r="AW158" s="80">
        <f>AV158+AW147</f>
        <v/>
      </c>
      <c r="AX158" s="80">
        <f>AW158+AX147</f>
        <v/>
      </c>
      <c r="AY158" s="80">
        <f>AX158+AY147</f>
        <v/>
      </c>
      <c r="AZ158" s="80">
        <f>AY158+AZ147</f>
        <v/>
      </c>
      <c r="BA158" s="80">
        <f>AZ158+BA147</f>
        <v/>
      </c>
      <c r="BB158" s="80">
        <f>BA158+BB147</f>
        <v/>
      </c>
      <c r="BC158" s="80">
        <f>BB158+BC147</f>
        <v/>
      </c>
      <c r="BD158" s="80">
        <f>BC158+BD147</f>
        <v/>
      </c>
      <c r="BE158" s="80">
        <f>BD158+BE147</f>
        <v/>
      </c>
      <c r="BF158" s="80">
        <f>BE158+BF147</f>
        <v/>
      </c>
      <c r="BG158" s="80">
        <f>BF158+BG147</f>
        <v/>
      </c>
      <c r="BH158" s="80">
        <f>BG158+BH147</f>
        <v/>
      </c>
      <c r="BI158" s="80">
        <f>BH158+BI147</f>
        <v/>
      </c>
      <c r="BJ158" s="80">
        <f>BI158+BJ147</f>
        <v/>
      </c>
      <c r="BK158" s="80">
        <f>BJ158+BK147</f>
        <v/>
      </c>
      <c r="BL158" s="80">
        <f>BK158+BL147</f>
        <v/>
      </c>
    </row>
    <row r="159">
      <c r="A159" s="98" t="inlineStr">
        <is>
          <t>Operational collection rate (collected / due, excl. down payments; not a PERFORM KPI)</t>
        </is>
      </c>
      <c r="B159" s="65" t="inlineStr">
        <is>
          <t>%</t>
        </is>
      </c>
      <c r="E159" s="81">
        <f>IF(E139=0,0,E140/E139)</f>
        <v/>
      </c>
      <c r="F159" s="81">
        <f>IF(F139=0,0,F140/F139)</f>
        <v/>
      </c>
      <c r="G159" s="81">
        <f>IF(G139=0,0,G140/G139)</f>
        <v/>
      </c>
      <c r="H159" s="81">
        <f>IF(H139=0,0,H140/H139)</f>
        <v/>
      </c>
      <c r="I159" s="81">
        <f>IF(I139=0,0,I140/I139)</f>
        <v/>
      </c>
      <c r="J159" s="81">
        <f>IF(J139=0,0,J140/J139)</f>
        <v/>
      </c>
      <c r="K159" s="81">
        <f>IF(K139=0,0,K140/K139)</f>
        <v/>
      </c>
      <c r="L159" s="81">
        <f>IF(L139=0,0,L140/L139)</f>
        <v/>
      </c>
      <c r="M159" s="81">
        <f>IF(M139=0,0,M140/M139)</f>
        <v/>
      </c>
      <c r="N159" s="81">
        <f>IF(N139=0,0,N140/N139)</f>
        <v/>
      </c>
      <c r="O159" s="81">
        <f>IF(O139=0,0,O140/O139)</f>
        <v/>
      </c>
      <c r="P159" s="81">
        <f>IF(P139=0,0,P140/P139)</f>
        <v/>
      </c>
      <c r="Q159" s="81">
        <f>IF(Q139=0,0,Q140/Q139)</f>
        <v/>
      </c>
      <c r="R159" s="81">
        <f>IF(R139=0,0,R140/R139)</f>
        <v/>
      </c>
      <c r="S159" s="81">
        <f>IF(S139=0,0,S140/S139)</f>
        <v/>
      </c>
      <c r="T159" s="81">
        <f>IF(T139=0,0,T140/T139)</f>
        <v/>
      </c>
      <c r="U159" s="81">
        <f>IF(U139=0,0,U140/U139)</f>
        <v/>
      </c>
      <c r="V159" s="81">
        <f>IF(V139=0,0,V140/V139)</f>
        <v/>
      </c>
      <c r="W159" s="81">
        <f>IF(W139=0,0,W140/W139)</f>
        <v/>
      </c>
      <c r="X159" s="81">
        <f>IF(X139=0,0,X140/X139)</f>
        <v/>
      </c>
      <c r="Y159" s="81">
        <f>IF(Y139=0,0,Y140/Y139)</f>
        <v/>
      </c>
      <c r="Z159" s="81">
        <f>IF(Z139=0,0,Z140/Z139)</f>
        <v/>
      </c>
      <c r="AA159" s="81">
        <f>IF(AA139=0,0,AA140/AA139)</f>
        <v/>
      </c>
      <c r="AB159" s="81">
        <f>IF(AB139=0,0,AB140/AB139)</f>
        <v/>
      </c>
      <c r="AC159" s="81">
        <f>IF(AC139=0,0,AC140/AC139)</f>
        <v/>
      </c>
      <c r="AD159" s="81">
        <f>IF(AD139=0,0,AD140/AD139)</f>
        <v/>
      </c>
      <c r="AE159" s="81">
        <f>IF(AE139=0,0,AE140/AE139)</f>
        <v/>
      </c>
      <c r="AF159" s="81">
        <f>IF(AF139=0,0,AF140/AF139)</f>
        <v/>
      </c>
      <c r="AG159" s="81">
        <f>IF(AG139=0,0,AG140/AG139)</f>
        <v/>
      </c>
      <c r="AH159" s="81">
        <f>IF(AH139=0,0,AH140/AH139)</f>
        <v/>
      </c>
      <c r="AI159" s="81">
        <f>IF(AI139=0,0,AI140/AI139)</f>
        <v/>
      </c>
      <c r="AJ159" s="81">
        <f>IF(AJ139=0,0,AJ140/AJ139)</f>
        <v/>
      </c>
      <c r="AK159" s="81">
        <f>IF(AK139=0,0,AK140/AK139)</f>
        <v/>
      </c>
      <c r="AL159" s="81">
        <f>IF(AL139=0,0,AL140/AL139)</f>
        <v/>
      </c>
      <c r="AM159" s="81">
        <f>IF(AM139=0,0,AM140/AM139)</f>
        <v/>
      </c>
      <c r="AN159" s="81">
        <f>IF(AN139=0,0,AN140/AN139)</f>
        <v/>
      </c>
      <c r="AO159" s="81">
        <f>IF(AO139=0,0,AO140/AO139)</f>
        <v/>
      </c>
      <c r="AP159" s="81">
        <f>IF(AP139=0,0,AP140/AP139)</f>
        <v/>
      </c>
      <c r="AQ159" s="81">
        <f>IF(AQ139=0,0,AQ140/AQ139)</f>
        <v/>
      </c>
      <c r="AR159" s="81">
        <f>IF(AR139=0,0,AR140/AR139)</f>
        <v/>
      </c>
      <c r="AS159" s="81">
        <f>IF(AS139=0,0,AS140/AS139)</f>
        <v/>
      </c>
      <c r="AT159" s="81">
        <f>IF(AT139=0,0,AT140/AT139)</f>
        <v/>
      </c>
      <c r="AU159" s="81">
        <f>IF(AU139=0,0,AU140/AU139)</f>
        <v/>
      </c>
      <c r="AV159" s="81">
        <f>IF(AV139=0,0,AV140/AV139)</f>
        <v/>
      </c>
      <c r="AW159" s="81">
        <f>IF(AW139=0,0,AW140/AW139)</f>
        <v/>
      </c>
      <c r="AX159" s="81">
        <f>IF(AX139=0,0,AX140/AX139)</f>
        <v/>
      </c>
      <c r="AY159" s="81">
        <f>IF(AY139=0,0,AY140/AY139)</f>
        <v/>
      </c>
      <c r="AZ159" s="81">
        <f>IF(AZ139=0,0,AZ140/AZ139)</f>
        <v/>
      </c>
      <c r="BA159" s="81">
        <f>IF(BA139=0,0,BA140/BA139)</f>
        <v/>
      </c>
      <c r="BB159" s="81">
        <f>IF(BB139=0,0,BB140/BB139)</f>
        <v/>
      </c>
      <c r="BC159" s="81">
        <f>IF(BC139=0,0,BC140/BC139)</f>
        <v/>
      </c>
      <c r="BD159" s="81">
        <f>IF(BD139=0,0,BD140/BD139)</f>
        <v/>
      </c>
      <c r="BE159" s="81">
        <f>IF(BE139=0,0,BE140/BE139)</f>
        <v/>
      </c>
      <c r="BF159" s="81">
        <f>IF(BF139=0,0,BF140/BF139)</f>
        <v/>
      </c>
      <c r="BG159" s="81">
        <f>IF(BG139=0,0,BG140/BG139)</f>
        <v/>
      </c>
      <c r="BH159" s="81">
        <f>IF(BH139=0,0,BH140/BH139)</f>
        <v/>
      </c>
      <c r="BI159" s="81">
        <f>IF(BI139=0,0,BI140/BI139)</f>
        <v/>
      </c>
      <c r="BJ159" s="81">
        <f>IF(BJ139=0,0,BJ140/BJ139)</f>
        <v/>
      </c>
      <c r="BK159" s="81">
        <f>IF(BK139=0,0,BK140/BK139)</f>
        <v/>
      </c>
      <c r="BL159" s="81">
        <f>IF(BL139=0,0,BL140/BL139)</f>
        <v/>
      </c>
    </row>
    <row r="160">
      <c r="A160" s="98" t="inlineStr">
        <is>
          <t>Write-off rate (missed / due)</t>
        </is>
      </c>
      <c r="B160" s="65" t="inlineStr">
        <is>
          <t>%</t>
        </is>
      </c>
      <c r="E160" s="81">
        <f>IF(E139=0,0,E141/E139)</f>
        <v/>
      </c>
      <c r="F160" s="81">
        <f>IF(F139=0,0,F141/F139)</f>
        <v/>
      </c>
      <c r="G160" s="81">
        <f>IF(G139=0,0,G141/G139)</f>
        <v/>
      </c>
      <c r="H160" s="81">
        <f>IF(H139=0,0,H141/H139)</f>
        <v/>
      </c>
      <c r="I160" s="81">
        <f>IF(I139=0,0,I141/I139)</f>
        <v/>
      </c>
      <c r="J160" s="81">
        <f>IF(J139=0,0,J141/J139)</f>
        <v/>
      </c>
      <c r="K160" s="81">
        <f>IF(K139=0,0,K141/K139)</f>
        <v/>
      </c>
      <c r="L160" s="81">
        <f>IF(L139=0,0,L141/L139)</f>
        <v/>
      </c>
      <c r="M160" s="81">
        <f>IF(M139=0,0,M141/M139)</f>
        <v/>
      </c>
      <c r="N160" s="81">
        <f>IF(N139=0,0,N141/N139)</f>
        <v/>
      </c>
      <c r="O160" s="81">
        <f>IF(O139=0,0,O141/O139)</f>
        <v/>
      </c>
      <c r="P160" s="81">
        <f>IF(P139=0,0,P141/P139)</f>
        <v/>
      </c>
      <c r="Q160" s="81">
        <f>IF(Q139=0,0,Q141/Q139)</f>
        <v/>
      </c>
      <c r="R160" s="81">
        <f>IF(R139=0,0,R141/R139)</f>
        <v/>
      </c>
      <c r="S160" s="81">
        <f>IF(S139=0,0,S141/S139)</f>
        <v/>
      </c>
      <c r="T160" s="81">
        <f>IF(T139=0,0,T141/T139)</f>
        <v/>
      </c>
      <c r="U160" s="81">
        <f>IF(U139=0,0,U141/U139)</f>
        <v/>
      </c>
      <c r="V160" s="81">
        <f>IF(V139=0,0,V141/V139)</f>
        <v/>
      </c>
      <c r="W160" s="81">
        <f>IF(W139=0,0,W141/W139)</f>
        <v/>
      </c>
      <c r="X160" s="81">
        <f>IF(X139=0,0,X141/X139)</f>
        <v/>
      </c>
      <c r="Y160" s="81">
        <f>IF(Y139=0,0,Y141/Y139)</f>
        <v/>
      </c>
      <c r="Z160" s="81">
        <f>IF(Z139=0,0,Z141/Z139)</f>
        <v/>
      </c>
      <c r="AA160" s="81">
        <f>IF(AA139=0,0,AA141/AA139)</f>
        <v/>
      </c>
      <c r="AB160" s="81">
        <f>IF(AB139=0,0,AB141/AB139)</f>
        <v/>
      </c>
      <c r="AC160" s="81">
        <f>IF(AC139=0,0,AC141/AC139)</f>
        <v/>
      </c>
      <c r="AD160" s="81">
        <f>IF(AD139=0,0,AD141/AD139)</f>
        <v/>
      </c>
      <c r="AE160" s="81">
        <f>IF(AE139=0,0,AE141/AE139)</f>
        <v/>
      </c>
      <c r="AF160" s="81">
        <f>IF(AF139=0,0,AF141/AF139)</f>
        <v/>
      </c>
      <c r="AG160" s="81">
        <f>IF(AG139=0,0,AG141/AG139)</f>
        <v/>
      </c>
      <c r="AH160" s="81">
        <f>IF(AH139=0,0,AH141/AH139)</f>
        <v/>
      </c>
      <c r="AI160" s="81">
        <f>IF(AI139=0,0,AI141/AI139)</f>
        <v/>
      </c>
      <c r="AJ160" s="81">
        <f>IF(AJ139=0,0,AJ141/AJ139)</f>
        <v/>
      </c>
      <c r="AK160" s="81">
        <f>IF(AK139=0,0,AK141/AK139)</f>
        <v/>
      </c>
      <c r="AL160" s="81">
        <f>IF(AL139=0,0,AL141/AL139)</f>
        <v/>
      </c>
      <c r="AM160" s="81">
        <f>IF(AM139=0,0,AM141/AM139)</f>
        <v/>
      </c>
      <c r="AN160" s="81">
        <f>IF(AN139=0,0,AN141/AN139)</f>
        <v/>
      </c>
      <c r="AO160" s="81">
        <f>IF(AO139=0,0,AO141/AO139)</f>
        <v/>
      </c>
      <c r="AP160" s="81">
        <f>IF(AP139=0,0,AP141/AP139)</f>
        <v/>
      </c>
      <c r="AQ160" s="81">
        <f>IF(AQ139=0,0,AQ141/AQ139)</f>
        <v/>
      </c>
      <c r="AR160" s="81">
        <f>IF(AR139=0,0,AR141/AR139)</f>
        <v/>
      </c>
      <c r="AS160" s="81">
        <f>IF(AS139=0,0,AS141/AS139)</f>
        <v/>
      </c>
      <c r="AT160" s="81">
        <f>IF(AT139=0,0,AT141/AT139)</f>
        <v/>
      </c>
      <c r="AU160" s="81">
        <f>IF(AU139=0,0,AU141/AU139)</f>
        <v/>
      </c>
      <c r="AV160" s="81">
        <f>IF(AV139=0,0,AV141/AV139)</f>
        <v/>
      </c>
      <c r="AW160" s="81">
        <f>IF(AW139=0,0,AW141/AW139)</f>
        <v/>
      </c>
      <c r="AX160" s="81">
        <f>IF(AX139=0,0,AX141/AX139)</f>
        <v/>
      </c>
      <c r="AY160" s="81">
        <f>IF(AY139=0,0,AY141/AY139)</f>
        <v/>
      </c>
      <c r="AZ160" s="81">
        <f>IF(AZ139=0,0,AZ141/AZ139)</f>
        <v/>
      </c>
      <c r="BA160" s="81">
        <f>IF(BA139=0,0,BA141/BA139)</f>
        <v/>
      </c>
      <c r="BB160" s="81">
        <f>IF(BB139=0,0,BB141/BB139)</f>
        <v/>
      </c>
      <c r="BC160" s="81">
        <f>IF(BC139=0,0,BC141/BC139)</f>
        <v/>
      </c>
      <c r="BD160" s="81">
        <f>IF(BD139=0,0,BD141/BD139)</f>
        <v/>
      </c>
      <c r="BE160" s="81">
        <f>IF(BE139=0,0,BE141/BE139)</f>
        <v/>
      </c>
      <c r="BF160" s="81">
        <f>IF(BF139=0,0,BF141/BF139)</f>
        <v/>
      </c>
      <c r="BG160" s="81">
        <f>IF(BG139=0,0,BG141/BG139)</f>
        <v/>
      </c>
      <c r="BH160" s="81">
        <f>IF(BH139=0,0,BH141/BH139)</f>
        <v/>
      </c>
      <c r="BI160" s="81">
        <f>IF(BI139=0,0,BI141/BI139)</f>
        <v/>
      </c>
      <c r="BJ160" s="81">
        <f>IF(BJ139=0,0,BJ141/BJ139)</f>
        <v/>
      </c>
      <c r="BK160" s="81">
        <f>IF(BK139=0,0,BK141/BK139)</f>
        <v/>
      </c>
      <c r="BL160" s="81">
        <f>IF(BL139=0,0,BL141/BL139)</f>
        <v/>
      </c>
    </row>
    <row r="161">
      <c r="A161" s="98" t="inlineStr">
        <is>
          <t>Receivables at risk / gross receivables</t>
        </is>
      </c>
      <c r="B161" s="65" t="inlineStr">
        <is>
          <t>%</t>
        </is>
      </c>
      <c r="E161" s="81">
        <f>IF(E149=0,0,E148/E149)</f>
        <v/>
      </c>
      <c r="F161" s="81">
        <f>IF(F149=0,0,F148/F149)</f>
        <v/>
      </c>
      <c r="G161" s="81">
        <f>IF(G149=0,0,G148/G149)</f>
        <v/>
      </c>
      <c r="H161" s="81">
        <f>IF(H149=0,0,H148/H149)</f>
        <v/>
      </c>
      <c r="I161" s="81">
        <f>IF(I149=0,0,I148/I149)</f>
        <v/>
      </c>
      <c r="J161" s="81">
        <f>IF(J149=0,0,J148/J149)</f>
        <v/>
      </c>
      <c r="K161" s="81">
        <f>IF(K149=0,0,K148/K149)</f>
        <v/>
      </c>
      <c r="L161" s="81">
        <f>IF(L149=0,0,L148/L149)</f>
        <v/>
      </c>
      <c r="M161" s="81">
        <f>IF(M149=0,0,M148/M149)</f>
        <v/>
      </c>
      <c r="N161" s="81">
        <f>IF(N149=0,0,N148/N149)</f>
        <v/>
      </c>
      <c r="O161" s="81">
        <f>IF(O149=0,0,O148/O149)</f>
        <v/>
      </c>
      <c r="P161" s="81">
        <f>IF(P149=0,0,P148/P149)</f>
        <v/>
      </c>
      <c r="Q161" s="81">
        <f>IF(Q149=0,0,Q148/Q149)</f>
        <v/>
      </c>
      <c r="R161" s="81">
        <f>IF(R149=0,0,R148/R149)</f>
        <v/>
      </c>
      <c r="S161" s="81">
        <f>IF(S149=0,0,S148/S149)</f>
        <v/>
      </c>
      <c r="T161" s="81">
        <f>IF(T149=0,0,T148/T149)</f>
        <v/>
      </c>
      <c r="U161" s="81">
        <f>IF(U149=0,0,U148/U149)</f>
        <v/>
      </c>
      <c r="V161" s="81">
        <f>IF(V149=0,0,V148/V149)</f>
        <v/>
      </c>
      <c r="W161" s="81">
        <f>IF(W149=0,0,W148/W149)</f>
        <v/>
      </c>
      <c r="X161" s="81">
        <f>IF(X149=0,0,X148/X149)</f>
        <v/>
      </c>
      <c r="Y161" s="81">
        <f>IF(Y149=0,0,Y148/Y149)</f>
        <v/>
      </c>
      <c r="Z161" s="81">
        <f>IF(Z149=0,0,Z148/Z149)</f>
        <v/>
      </c>
      <c r="AA161" s="81">
        <f>IF(AA149=0,0,AA148/AA149)</f>
        <v/>
      </c>
      <c r="AB161" s="81">
        <f>IF(AB149=0,0,AB148/AB149)</f>
        <v/>
      </c>
      <c r="AC161" s="81">
        <f>IF(AC149=0,0,AC148/AC149)</f>
        <v/>
      </c>
      <c r="AD161" s="81">
        <f>IF(AD149=0,0,AD148/AD149)</f>
        <v/>
      </c>
      <c r="AE161" s="81">
        <f>IF(AE149=0,0,AE148/AE149)</f>
        <v/>
      </c>
      <c r="AF161" s="81">
        <f>IF(AF149=0,0,AF148/AF149)</f>
        <v/>
      </c>
      <c r="AG161" s="81">
        <f>IF(AG149=0,0,AG148/AG149)</f>
        <v/>
      </c>
      <c r="AH161" s="81">
        <f>IF(AH149=0,0,AH148/AH149)</f>
        <v/>
      </c>
      <c r="AI161" s="81">
        <f>IF(AI149=0,0,AI148/AI149)</f>
        <v/>
      </c>
      <c r="AJ161" s="81">
        <f>IF(AJ149=0,0,AJ148/AJ149)</f>
        <v/>
      </c>
      <c r="AK161" s="81">
        <f>IF(AK149=0,0,AK148/AK149)</f>
        <v/>
      </c>
      <c r="AL161" s="81">
        <f>IF(AL149=0,0,AL148/AL149)</f>
        <v/>
      </c>
      <c r="AM161" s="81">
        <f>IF(AM149=0,0,AM148/AM149)</f>
        <v/>
      </c>
      <c r="AN161" s="81">
        <f>IF(AN149=0,0,AN148/AN149)</f>
        <v/>
      </c>
      <c r="AO161" s="81">
        <f>IF(AO149=0,0,AO148/AO149)</f>
        <v/>
      </c>
      <c r="AP161" s="81">
        <f>IF(AP149=0,0,AP148/AP149)</f>
        <v/>
      </c>
      <c r="AQ161" s="81">
        <f>IF(AQ149=0,0,AQ148/AQ149)</f>
        <v/>
      </c>
      <c r="AR161" s="81">
        <f>IF(AR149=0,0,AR148/AR149)</f>
        <v/>
      </c>
      <c r="AS161" s="81">
        <f>IF(AS149=0,0,AS148/AS149)</f>
        <v/>
      </c>
      <c r="AT161" s="81">
        <f>IF(AT149=0,0,AT148/AT149)</f>
        <v/>
      </c>
      <c r="AU161" s="81">
        <f>IF(AU149=0,0,AU148/AU149)</f>
        <v/>
      </c>
      <c r="AV161" s="81">
        <f>IF(AV149=0,0,AV148/AV149)</f>
        <v/>
      </c>
      <c r="AW161" s="81">
        <f>IF(AW149=0,0,AW148/AW149)</f>
        <v/>
      </c>
      <c r="AX161" s="81">
        <f>IF(AX149=0,0,AX148/AX149)</f>
        <v/>
      </c>
      <c r="AY161" s="81">
        <f>IF(AY149=0,0,AY148/AY149)</f>
        <v/>
      </c>
      <c r="AZ161" s="81">
        <f>IF(AZ149=0,0,AZ148/AZ149)</f>
        <v/>
      </c>
      <c r="BA161" s="81">
        <f>IF(BA149=0,0,BA148/BA149)</f>
        <v/>
      </c>
      <c r="BB161" s="81">
        <f>IF(BB149=0,0,BB148/BB149)</f>
        <v/>
      </c>
      <c r="BC161" s="81">
        <f>IF(BC149=0,0,BC148/BC149)</f>
        <v/>
      </c>
      <c r="BD161" s="81">
        <f>IF(BD149=0,0,BD148/BD149)</f>
        <v/>
      </c>
      <c r="BE161" s="81">
        <f>IF(BE149=0,0,BE148/BE149)</f>
        <v/>
      </c>
      <c r="BF161" s="81">
        <f>IF(BF149=0,0,BF148/BF149)</f>
        <v/>
      </c>
      <c r="BG161" s="81">
        <f>IF(BG149=0,0,BG148/BG149)</f>
        <v/>
      </c>
      <c r="BH161" s="81">
        <f>IF(BH149=0,0,BH148/BH149)</f>
        <v/>
      </c>
      <c r="BI161" s="81">
        <f>IF(BI149=0,0,BI148/BI149)</f>
        <v/>
      </c>
      <c r="BJ161" s="81">
        <f>IF(BJ149=0,0,BJ148/BJ149)</f>
        <v/>
      </c>
      <c r="BK161" s="81">
        <f>IF(BK149=0,0,BK148/BK149)</f>
        <v/>
      </c>
      <c r="BL161" s="81">
        <f>IF(BL149=0,0,BL148/BL149)</f>
        <v/>
      </c>
    </row>
    <row r="162">
      <c r="A162" s="98" t="inlineStr">
        <is>
          <t>Other revenue: digital loans &amp; services (net take rate)</t>
        </is>
      </c>
      <c r="B162" s="65" t="inlineStr">
        <is>
          <t>LCY</t>
        </is>
      </c>
      <c r="C162" s="105">
        <f>SUM(E162:BL162)</f>
        <v/>
      </c>
      <c r="E162" s="80">
        <f>E146*Inputs!$C$66*Timeline!E$9</f>
        <v/>
      </c>
      <c r="F162" s="80">
        <f>F146*Inputs!$C$66*Timeline!F$9</f>
        <v/>
      </c>
      <c r="G162" s="80">
        <f>G146*Inputs!$C$66*Timeline!G$9</f>
        <v/>
      </c>
      <c r="H162" s="80">
        <f>H146*Inputs!$C$66*Timeline!H$9</f>
        <v/>
      </c>
      <c r="I162" s="80">
        <f>I146*Inputs!$C$66*Timeline!I$9</f>
        <v/>
      </c>
      <c r="J162" s="80">
        <f>J146*Inputs!$C$66*Timeline!J$9</f>
        <v/>
      </c>
      <c r="K162" s="80">
        <f>K146*Inputs!$C$66*Timeline!K$9</f>
        <v/>
      </c>
      <c r="L162" s="80">
        <f>L146*Inputs!$C$66*Timeline!L$9</f>
        <v/>
      </c>
      <c r="M162" s="80">
        <f>M146*Inputs!$C$66*Timeline!M$9</f>
        <v/>
      </c>
      <c r="N162" s="80">
        <f>N146*Inputs!$C$66*Timeline!N$9</f>
        <v/>
      </c>
      <c r="O162" s="80">
        <f>O146*Inputs!$C$66*Timeline!O$9</f>
        <v/>
      </c>
      <c r="P162" s="80">
        <f>P146*Inputs!$C$66*Timeline!P$9</f>
        <v/>
      </c>
      <c r="Q162" s="80">
        <f>Q146*Inputs!$C$66*Timeline!Q$9</f>
        <v/>
      </c>
      <c r="R162" s="80">
        <f>R146*Inputs!$C$66*Timeline!R$9</f>
        <v/>
      </c>
      <c r="S162" s="80">
        <f>S146*Inputs!$C$66*Timeline!S$9</f>
        <v/>
      </c>
      <c r="T162" s="80">
        <f>T146*Inputs!$C$66*Timeline!T$9</f>
        <v/>
      </c>
      <c r="U162" s="80">
        <f>U146*Inputs!$C$66*Timeline!U$9</f>
        <v/>
      </c>
      <c r="V162" s="80">
        <f>V146*Inputs!$C$66*Timeline!V$9</f>
        <v/>
      </c>
      <c r="W162" s="80">
        <f>W146*Inputs!$C$66*Timeline!W$9</f>
        <v/>
      </c>
      <c r="X162" s="80">
        <f>X146*Inputs!$C$66*Timeline!X$9</f>
        <v/>
      </c>
      <c r="Y162" s="80">
        <f>Y146*Inputs!$C$66*Timeline!Y$9</f>
        <v/>
      </c>
      <c r="Z162" s="80">
        <f>Z146*Inputs!$C$66*Timeline!Z$9</f>
        <v/>
      </c>
      <c r="AA162" s="80">
        <f>AA146*Inputs!$C$66*Timeline!AA$9</f>
        <v/>
      </c>
      <c r="AB162" s="80">
        <f>AB146*Inputs!$C$66*Timeline!AB$9</f>
        <v/>
      </c>
      <c r="AC162" s="80">
        <f>AC146*Inputs!$C$66*Timeline!AC$9</f>
        <v/>
      </c>
      <c r="AD162" s="80">
        <f>AD146*Inputs!$C$66*Timeline!AD$9</f>
        <v/>
      </c>
      <c r="AE162" s="80">
        <f>AE146*Inputs!$C$66*Timeline!AE$9</f>
        <v/>
      </c>
      <c r="AF162" s="80">
        <f>AF146*Inputs!$C$66*Timeline!AF$9</f>
        <v/>
      </c>
      <c r="AG162" s="80">
        <f>AG146*Inputs!$C$66*Timeline!AG$9</f>
        <v/>
      </c>
      <c r="AH162" s="80">
        <f>AH146*Inputs!$C$66*Timeline!AH$9</f>
        <v/>
      </c>
      <c r="AI162" s="80">
        <f>AI146*Inputs!$C$66*Timeline!AI$9</f>
        <v/>
      </c>
      <c r="AJ162" s="80">
        <f>AJ146*Inputs!$C$66*Timeline!AJ$9</f>
        <v/>
      </c>
      <c r="AK162" s="80">
        <f>AK146*Inputs!$C$66*Timeline!AK$9</f>
        <v/>
      </c>
      <c r="AL162" s="80">
        <f>AL146*Inputs!$C$66*Timeline!AL$9</f>
        <v/>
      </c>
      <c r="AM162" s="80">
        <f>AM146*Inputs!$C$66*Timeline!AM$9</f>
        <v/>
      </c>
      <c r="AN162" s="80">
        <f>AN146*Inputs!$C$66*Timeline!AN$9</f>
        <v/>
      </c>
      <c r="AO162" s="80">
        <f>AO146*Inputs!$C$66*Timeline!AO$9</f>
        <v/>
      </c>
      <c r="AP162" s="80">
        <f>AP146*Inputs!$C$66*Timeline!AP$9</f>
        <v/>
      </c>
      <c r="AQ162" s="80">
        <f>AQ146*Inputs!$C$66*Timeline!AQ$9</f>
        <v/>
      </c>
      <c r="AR162" s="80">
        <f>AR146*Inputs!$C$66*Timeline!AR$9</f>
        <v/>
      </c>
      <c r="AS162" s="80">
        <f>AS146*Inputs!$C$66*Timeline!AS$9</f>
        <v/>
      </c>
      <c r="AT162" s="80">
        <f>AT146*Inputs!$C$66*Timeline!AT$9</f>
        <v/>
      </c>
      <c r="AU162" s="80">
        <f>AU146*Inputs!$C$66*Timeline!AU$9</f>
        <v/>
      </c>
      <c r="AV162" s="80">
        <f>AV146*Inputs!$C$66*Timeline!AV$9</f>
        <v/>
      </c>
      <c r="AW162" s="80">
        <f>AW146*Inputs!$C$66*Timeline!AW$9</f>
        <v/>
      </c>
      <c r="AX162" s="80">
        <f>AX146*Inputs!$C$66*Timeline!AX$9</f>
        <v/>
      </c>
      <c r="AY162" s="80">
        <f>AY146*Inputs!$C$66*Timeline!AY$9</f>
        <v/>
      </c>
      <c r="AZ162" s="80">
        <f>AZ146*Inputs!$C$66*Timeline!AZ$9</f>
        <v/>
      </c>
      <c r="BA162" s="80">
        <f>BA146*Inputs!$C$66*Timeline!BA$9</f>
        <v/>
      </c>
      <c r="BB162" s="80">
        <f>BB146*Inputs!$C$66*Timeline!BB$9</f>
        <v/>
      </c>
      <c r="BC162" s="80">
        <f>BC146*Inputs!$C$66*Timeline!BC$9</f>
        <v/>
      </c>
      <c r="BD162" s="80">
        <f>BD146*Inputs!$C$66*Timeline!BD$9</f>
        <v/>
      </c>
      <c r="BE162" s="80">
        <f>BE146*Inputs!$C$66*Timeline!BE$9</f>
        <v/>
      </c>
      <c r="BF162" s="80">
        <f>BF146*Inputs!$C$66*Timeline!BF$9</f>
        <v/>
      </c>
      <c r="BG162" s="80">
        <f>BG146*Inputs!$C$66*Timeline!BG$9</f>
        <v/>
      </c>
      <c r="BH162" s="80">
        <f>BH146*Inputs!$C$66*Timeline!BH$9</f>
        <v/>
      </c>
      <c r="BI162" s="80">
        <f>BI146*Inputs!$C$66*Timeline!BI$9</f>
        <v/>
      </c>
      <c r="BJ162" s="80">
        <f>BJ146*Inputs!$C$66*Timeline!BJ$9</f>
        <v/>
      </c>
      <c r="BK162" s="80">
        <f>BK146*Inputs!$C$66*Timeline!BK$9</f>
        <v/>
      </c>
      <c r="BL162" s="80">
        <f>BL146*Inputs!$C$66*Timeline!BL$9</f>
        <v/>
      </c>
    </row>
    <row r="163">
      <c r="A163" s="98" t="inlineStr">
        <is>
          <t>Cost of other revenue</t>
        </is>
      </c>
      <c r="B163" s="65" t="inlineStr">
        <is>
          <t>LCY</t>
        </is>
      </c>
      <c r="C163" s="105">
        <f>SUM(E163:BL163)</f>
        <v/>
      </c>
      <c r="E163" s="80">
        <f>E162*(1-Inputs!$C$67)</f>
        <v/>
      </c>
      <c r="F163" s="80">
        <f>F162*(1-Inputs!$C$67)</f>
        <v/>
      </c>
      <c r="G163" s="80">
        <f>G162*(1-Inputs!$C$67)</f>
        <v/>
      </c>
      <c r="H163" s="80">
        <f>H162*(1-Inputs!$C$67)</f>
        <v/>
      </c>
      <c r="I163" s="80">
        <f>I162*(1-Inputs!$C$67)</f>
        <v/>
      </c>
      <c r="J163" s="80">
        <f>J162*(1-Inputs!$C$67)</f>
        <v/>
      </c>
      <c r="K163" s="80">
        <f>K162*(1-Inputs!$C$67)</f>
        <v/>
      </c>
      <c r="L163" s="80">
        <f>L162*(1-Inputs!$C$67)</f>
        <v/>
      </c>
      <c r="M163" s="80">
        <f>M162*(1-Inputs!$C$67)</f>
        <v/>
      </c>
      <c r="N163" s="80">
        <f>N162*(1-Inputs!$C$67)</f>
        <v/>
      </c>
      <c r="O163" s="80">
        <f>O162*(1-Inputs!$C$67)</f>
        <v/>
      </c>
      <c r="P163" s="80">
        <f>P162*(1-Inputs!$C$67)</f>
        <v/>
      </c>
      <c r="Q163" s="80">
        <f>Q162*(1-Inputs!$C$67)</f>
        <v/>
      </c>
      <c r="R163" s="80">
        <f>R162*(1-Inputs!$C$67)</f>
        <v/>
      </c>
      <c r="S163" s="80">
        <f>S162*(1-Inputs!$C$67)</f>
        <v/>
      </c>
      <c r="T163" s="80">
        <f>T162*(1-Inputs!$C$67)</f>
        <v/>
      </c>
      <c r="U163" s="80">
        <f>U162*(1-Inputs!$C$67)</f>
        <v/>
      </c>
      <c r="V163" s="80">
        <f>V162*(1-Inputs!$C$67)</f>
        <v/>
      </c>
      <c r="W163" s="80">
        <f>W162*(1-Inputs!$C$67)</f>
        <v/>
      </c>
      <c r="X163" s="80">
        <f>X162*(1-Inputs!$C$67)</f>
        <v/>
      </c>
      <c r="Y163" s="80">
        <f>Y162*(1-Inputs!$C$67)</f>
        <v/>
      </c>
      <c r="Z163" s="80">
        <f>Z162*(1-Inputs!$C$67)</f>
        <v/>
      </c>
      <c r="AA163" s="80">
        <f>AA162*(1-Inputs!$C$67)</f>
        <v/>
      </c>
      <c r="AB163" s="80">
        <f>AB162*(1-Inputs!$C$67)</f>
        <v/>
      </c>
      <c r="AC163" s="80">
        <f>AC162*(1-Inputs!$C$67)</f>
        <v/>
      </c>
      <c r="AD163" s="80">
        <f>AD162*(1-Inputs!$C$67)</f>
        <v/>
      </c>
      <c r="AE163" s="80">
        <f>AE162*(1-Inputs!$C$67)</f>
        <v/>
      </c>
      <c r="AF163" s="80">
        <f>AF162*(1-Inputs!$C$67)</f>
        <v/>
      </c>
      <c r="AG163" s="80">
        <f>AG162*(1-Inputs!$C$67)</f>
        <v/>
      </c>
      <c r="AH163" s="80">
        <f>AH162*(1-Inputs!$C$67)</f>
        <v/>
      </c>
      <c r="AI163" s="80">
        <f>AI162*(1-Inputs!$C$67)</f>
        <v/>
      </c>
      <c r="AJ163" s="80">
        <f>AJ162*(1-Inputs!$C$67)</f>
        <v/>
      </c>
      <c r="AK163" s="80">
        <f>AK162*(1-Inputs!$C$67)</f>
        <v/>
      </c>
      <c r="AL163" s="80">
        <f>AL162*(1-Inputs!$C$67)</f>
        <v/>
      </c>
      <c r="AM163" s="80">
        <f>AM162*(1-Inputs!$C$67)</f>
        <v/>
      </c>
      <c r="AN163" s="80">
        <f>AN162*(1-Inputs!$C$67)</f>
        <v/>
      </c>
      <c r="AO163" s="80">
        <f>AO162*(1-Inputs!$C$67)</f>
        <v/>
      </c>
      <c r="AP163" s="80">
        <f>AP162*(1-Inputs!$C$67)</f>
        <v/>
      </c>
      <c r="AQ163" s="80">
        <f>AQ162*(1-Inputs!$C$67)</f>
        <v/>
      </c>
      <c r="AR163" s="80">
        <f>AR162*(1-Inputs!$C$67)</f>
        <v/>
      </c>
      <c r="AS163" s="80">
        <f>AS162*(1-Inputs!$C$67)</f>
        <v/>
      </c>
      <c r="AT163" s="80">
        <f>AT162*(1-Inputs!$C$67)</f>
        <v/>
      </c>
      <c r="AU163" s="80">
        <f>AU162*(1-Inputs!$C$67)</f>
        <v/>
      </c>
      <c r="AV163" s="80">
        <f>AV162*(1-Inputs!$C$67)</f>
        <v/>
      </c>
      <c r="AW163" s="80">
        <f>AW162*(1-Inputs!$C$67)</f>
        <v/>
      </c>
      <c r="AX163" s="80">
        <f>AX162*(1-Inputs!$C$67)</f>
        <v/>
      </c>
      <c r="AY163" s="80">
        <f>AY162*(1-Inputs!$C$67)</f>
        <v/>
      </c>
      <c r="AZ163" s="80">
        <f>AZ162*(1-Inputs!$C$67)</f>
        <v/>
      </c>
      <c r="BA163" s="80">
        <f>BA162*(1-Inputs!$C$67)</f>
        <v/>
      </c>
      <c r="BB163" s="80">
        <f>BB162*(1-Inputs!$C$67)</f>
        <v/>
      </c>
      <c r="BC163" s="80">
        <f>BC162*(1-Inputs!$C$67)</f>
        <v/>
      </c>
      <c r="BD163" s="80">
        <f>BD162*(1-Inputs!$C$67)</f>
        <v/>
      </c>
      <c r="BE163" s="80">
        <f>BE162*(1-Inputs!$C$67)</f>
        <v/>
      </c>
      <c r="BF163" s="80">
        <f>BF162*(1-Inputs!$C$67)</f>
        <v/>
      </c>
      <c r="BG163" s="80">
        <f>BG162*(1-Inputs!$C$67)</f>
        <v/>
      </c>
      <c r="BH163" s="80">
        <f>BH162*(1-Inputs!$C$67)</f>
        <v/>
      </c>
      <c r="BI163" s="80">
        <f>BI162*(1-Inputs!$C$67)</f>
        <v/>
      </c>
      <c r="BJ163" s="80">
        <f>BJ162*(1-Inputs!$C$67)</f>
        <v/>
      </c>
      <c r="BK163" s="80">
        <f>BK162*(1-Inputs!$C$67)</f>
        <v/>
      </c>
      <c r="BL163" s="80">
        <f>BL162*(1-Inputs!$C$67)</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fitToPage="1"/>
  </sheetPr>
  <dimension ref="A1:BL70"/>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52"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RBF engine: sales-based, repayment-linked, ownership-linked, hybrid</t>
        </is>
      </c>
    </row>
    <row r="2">
      <c r="A2" s="18" t="inlineStr">
        <is>
          <t>[FORECAST]  Selected design feeds Ops / P&amp;L. Ownership-linked RBF pays nothing until validated ownership-at-2x evidence exists.</t>
        </is>
      </c>
    </row>
    <row r="3"/>
    <row r="4">
      <c r="A4" s="94" t="inlineStr">
        <is>
          <t>Month #</t>
        </is>
      </c>
      <c r="B4" s="95" t="n"/>
      <c r="C4" s="95" t="n"/>
      <c r="D4" s="94" t="inlineStr">
        <is>
          <t>Opening</t>
        </is>
      </c>
      <c r="E4" s="96">
        <f>Timeline!E4</f>
        <v/>
      </c>
      <c r="F4" s="96">
        <f>Timeline!F4</f>
        <v/>
      </c>
      <c r="G4" s="96">
        <f>Timeline!G4</f>
        <v/>
      </c>
      <c r="H4" s="96">
        <f>Timeline!H4</f>
        <v/>
      </c>
      <c r="I4" s="96">
        <f>Timeline!I4</f>
        <v/>
      </c>
      <c r="J4" s="96">
        <f>Timeline!J4</f>
        <v/>
      </c>
      <c r="K4" s="96">
        <f>Timeline!K4</f>
        <v/>
      </c>
      <c r="L4" s="96">
        <f>Timeline!L4</f>
        <v/>
      </c>
      <c r="M4" s="96">
        <f>Timeline!M4</f>
        <v/>
      </c>
      <c r="N4" s="96">
        <f>Timeline!N4</f>
        <v/>
      </c>
      <c r="O4" s="96">
        <f>Timeline!O4</f>
        <v/>
      </c>
      <c r="P4" s="96">
        <f>Timeline!P4</f>
        <v/>
      </c>
      <c r="Q4" s="96">
        <f>Timeline!Q4</f>
        <v/>
      </c>
      <c r="R4" s="96">
        <f>Timeline!R4</f>
        <v/>
      </c>
      <c r="S4" s="96">
        <f>Timeline!S4</f>
        <v/>
      </c>
      <c r="T4" s="96">
        <f>Timeline!T4</f>
        <v/>
      </c>
      <c r="U4" s="96">
        <f>Timeline!U4</f>
        <v/>
      </c>
      <c r="V4" s="96">
        <f>Timeline!V4</f>
        <v/>
      </c>
      <c r="W4" s="96">
        <f>Timeline!W4</f>
        <v/>
      </c>
      <c r="X4" s="96">
        <f>Timeline!X4</f>
        <v/>
      </c>
      <c r="Y4" s="96">
        <f>Timeline!Y4</f>
        <v/>
      </c>
      <c r="Z4" s="96">
        <f>Timeline!Z4</f>
        <v/>
      </c>
      <c r="AA4" s="96">
        <f>Timeline!AA4</f>
        <v/>
      </c>
      <c r="AB4" s="96">
        <f>Timeline!AB4</f>
        <v/>
      </c>
      <c r="AC4" s="96">
        <f>Timeline!AC4</f>
        <v/>
      </c>
      <c r="AD4" s="96">
        <f>Timeline!AD4</f>
        <v/>
      </c>
      <c r="AE4" s="96">
        <f>Timeline!AE4</f>
        <v/>
      </c>
      <c r="AF4" s="96">
        <f>Timeline!AF4</f>
        <v/>
      </c>
      <c r="AG4" s="96">
        <f>Timeline!AG4</f>
        <v/>
      </c>
      <c r="AH4" s="96">
        <f>Timeline!AH4</f>
        <v/>
      </c>
      <c r="AI4" s="96">
        <f>Timeline!AI4</f>
        <v/>
      </c>
      <c r="AJ4" s="96">
        <f>Timeline!AJ4</f>
        <v/>
      </c>
      <c r="AK4" s="96">
        <f>Timeline!AK4</f>
        <v/>
      </c>
      <c r="AL4" s="96">
        <f>Timeline!AL4</f>
        <v/>
      </c>
      <c r="AM4" s="96">
        <f>Timeline!AM4</f>
        <v/>
      </c>
      <c r="AN4" s="96">
        <f>Timeline!AN4</f>
        <v/>
      </c>
      <c r="AO4" s="96">
        <f>Timeline!AO4</f>
        <v/>
      </c>
      <c r="AP4" s="96">
        <f>Timeline!AP4</f>
        <v/>
      </c>
      <c r="AQ4" s="96">
        <f>Timeline!AQ4</f>
        <v/>
      </c>
      <c r="AR4" s="96">
        <f>Timeline!AR4</f>
        <v/>
      </c>
      <c r="AS4" s="96">
        <f>Timeline!AS4</f>
        <v/>
      </c>
      <c r="AT4" s="96">
        <f>Timeline!AT4</f>
        <v/>
      </c>
      <c r="AU4" s="96">
        <f>Timeline!AU4</f>
        <v/>
      </c>
      <c r="AV4" s="96">
        <f>Timeline!AV4</f>
        <v/>
      </c>
      <c r="AW4" s="96">
        <f>Timeline!AW4</f>
        <v/>
      </c>
      <c r="AX4" s="96">
        <f>Timeline!AX4</f>
        <v/>
      </c>
      <c r="AY4" s="96">
        <f>Timeline!AY4</f>
        <v/>
      </c>
      <c r="AZ4" s="96">
        <f>Timeline!AZ4</f>
        <v/>
      </c>
      <c r="BA4" s="96">
        <f>Timeline!BA4</f>
        <v/>
      </c>
      <c r="BB4" s="96">
        <f>Timeline!BB4</f>
        <v/>
      </c>
      <c r="BC4" s="96">
        <f>Timeline!BC4</f>
        <v/>
      </c>
      <c r="BD4" s="96">
        <f>Timeline!BD4</f>
        <v/>
      </c>
      <c r="BE4" s="96">
        <f>Timeline!BE4</f>
        <v/>
      </c>
      <c r="BF4" s="96">
        <f>Timeline!BF4</f>
        <v/>
      </c>
      <c r="BG4" s="96">
        <f>Timeline!BG4</f>
        <v/>
      </c>
      <c r="BH4" s="96">
        <f>Timeline!BH4</f>
        <v/>
      </c>
      <c r="BI4" s="96">
        <f>Timeline!BI4</f>
        <v/>
      </c>
      <c r="BJ4" s="96">
        <f>Timeline!BJ4</f>
        <v/>
      </c>
      <c r="BK4" s="96">
        <f>Timeline!BK4</f>
        <v/>
      </c>
      <c r="BL4" s="96">
        <f>Timeline!BL4</f>
        <v/>
      </c>
    </row>
    <row r="5">
      <c r="A5" s="94" t="inlineStr">
        <is>
          <t>Period end</t>
        </is>
      </c>
      <c r="B5" s="95" t="n"/>
      <c r="C5" s="95" t="n"/>
      <c r="D5" s="94" t="n"/>
      <c r="E5" s="97">
        <f>Timeline!E5</f>
        <v/>
      </c>
      <c r="F5" s="97">
        <f>Timeline!F5</f>
        <v/>
      </c>
      <c r="G5" s="97">
        <f>Timeline!G5</f>
        <v/>
      </c>
      <c r="H5" s="97">
        <f>Timeline!H5</f>
        <v/>
      </c>
      <c r="I5" s="97">
        <f>Timeline!I5</f>
        <v/>
      </c>
      <c r="J5" s="97">
        <f>Timeline!J5</f>
        <v/>
      </c>
      <c r="K5" s="97">
        <f>Timeline!K5</f>
        <v/>
      </c>
      <c r="L5" s="97">
        <f>Timeline!L5</f>
        <v/>
      </c>
      <c r="M5" s="97">
        <f>Timeline!M5</f>
        <v/>
      </c>
      <c r="N5" s="97">
        <f>Timeline!N5</f>
        <v/>
      </c>
      <c r="O5" s="97">
        <f>Timeline!O5</f>
        <v/>
      </c>
      <c r="P5" s="97">
        <f>Timeline!P5</f>
        <v/>
      </c>
      <c r="Q5" s="97">
        <f>Timeline!Q5</f>
        <v/>
      </c>
      <c r="R5" s="97">
        <f>Timeline!R5</f>
        <v/>
      </c>
      <c r="S5" s="97">
        <f>Timeline!S5</f>
        <v/>
      </c>
      <c r="T5" s="97">
        <f>Timeline!T5</f>
        <v/>
      </c>
      <c r="U5" s="97">
        <f>Timeline!U5</f>
        <v/>
      </c>
      <c r="V5" s="97">
        <f>Timeline!V5</f>
        <v/>
      </c>
      <c r="W5" s="97">
        <f>Timeline!W5</f>
        <v/>
      </c>
      <c r="X5" s="97">
        <f>Timeline!X5</f>
        <v/>
      </c>
      <c r="Y5" s="97">
        <f>Timeline!Y5</f>
        <v/>
      </c>
      <c r="Z5" s="97">
        <f>Timeline!Z5</f>
        <v/>
      </c>
      <c r="AA5" s="97">
        <f>Timeline!AA5</f>
        <v/>
      </c>
      <c r="AB5" s="97">
        <f>Timeline!AB5</f>
        <v/>
      </c>
      <c r="AC5" s="97">
        <f>Timeline!AC5</f>
        <v/>
      </c>
      <c r="AD5" s="97">
        <f>Timeline!AD5</f>
        <v/>
      </c>
      <c r="AE5" s="97">
        <f>Timeline!AE5</f>
        <v/>
      </c>
      <c r="AF5" s="97">
        <f>Timeline!AF5</f>
        <v/>
      </c>
      <c r="AG5" s="97">
        <f>Timeline!AG5</f>
        <v/>
      </c>
      <c r="AH5" s="97">
        <f>Timeline!AH5</f>
        <v/>
      </c>
      <c r="AI5" s="97">
        <f>Timeline!AI5</f>
        <v/>
      </c>
      <c r="AJ5" s="97">
        <f>Timeline!AJ5</f>
        <v/>
      </c>
      <c r="AK5" s="97">
        <f>Timeline!AK5</f>
        <v/>
      </c>
      <c r="AL5" s="97">
        <f>Timeline!AL5</f>
        <v/>
      </c>
      <c r="AM5" s="97">
        <f>Timeline!AM5</f>
        <v/>
      </c>
      <c r="AN5" s="97">
        <f>Timeline!AN5</f>
        <v/>
      </c>
      <c r="AO5" s="97">
        <f>Timeline!AO5</f>
        <v/>
      </c>
      <c r="AP5" s="97">
        <f>Timeline!AP5</f>
        <v/>
      </c>
      <c r="AQ5" s="97">
        <f>Timeline!AQ5</f>
        <v/>
      </c>
      <c r="AR5" s="97">
        <f>Timeline!AR5</f>
        <v/>
      </c>
      <c r="AS5" s="97">
        <f>Timeline!AS5</f>
        <v/>
      </c>
      <c r="AT5" s="97">
        <f>Timeline!AT5</f>
        <v/>
      </c>
      <c r="AU5" s="97">
        <f>Timeline!AU5</f>
        <v/>
      </c>
      <c r="AV5" s="97">
        <f>Timeline!AV5</f>
        <v/>
      </c>
      <c r="AW5" s="97">
        <f>Timeline!AW5</f>
        <v/>
      </c>
      <c r="AX5" s="97">
        <f>Timeline!AX5</f>
        <v/>
      </c>
      <c r="AY5" s="97">
        <f>Timeline!AY5</f>
        <v/>
      </c>
      <c r="AZ5" s="97">
        <f>Timeline!AZ5</f>
        <v/>
      </c>
      <c r="BA5" s="97">
        <f>Timeline!BA5</f>
        <v/>
      </c>
      <c r="BB5" s="97">
        <f>Timeline!BB5</f>
        <v/>
      </c>
      <c r="BC5" s="97">
        <f>Timeline!BC5</f>
        <v/>
      </c>
      <c r="BD5" s="97">
        <f>Timeline!BD5</f>
        <v/>
      </c>
      <c r="BE5" s="97">
        <f>Timeline!BE5</f>
        <v/>
      </c>
      <c r="BF5" s="97">
        <f>Timeline!BF5</f>
        <v/>
      </c>
      <c r="BG5" s="97">
        <f>Timeline!BG5</f>
        <v/>
      </c>
      <c r="BH5" s="97">
        <f>Timeline!BH5</f>
        <v/>
      </c>
      <c r="BI5" s="97">
        <f>Timeline!BI5</f>
        <v/>
      </c>
      <c r="BJ5" s="97">
        <f>Timeline!BJ5</f>
        <v/>
      </c>
      <c r="BK5" s="97">
        <f>Timeline!BK5</f>
        <v/>
      </c>
      <c r="BL5" s="97">
        <f>Timeline!BL5</f>
        <v/>
      </c>
    </row>
    <row r="6">
      <c r="A6" s="94" t="inlineStr">
        <is>
          <t>Year #</t>
        </is>
      </c>
      <c r="B6" s="95" t="n"/>
      <c r="C6" s="95" t="n"/>
      <c r="D6" s="94" t="n"/>
      <c r="E6" s="96">
        <f>Timeline!E6</f>
        <v/>
      </c>
      <c r="F6" s="96">
        <f>Timeline!F6</f>
        <v/>
      </c>
      <c r="G6" s="96">
        <f>Timeline!G6</f>
        <v/>
      </c>
      <c r="H6" s="96">
        <f>Timeline!H6</f>
        <v/>
      </c>
      <c r="I6" s="96">
        <f>Timeline!I6</f>
        <v/>
      </c>
      <c r="J6" s="96">
        <f>Timeline!J6</f>
        <v/>
      </c>
      <c r="K6" s="96">
        <f>Timeline!K6</f>
        <v/>
      </c>
      <c r="L6" s="96">
        <f>Timeline!L6</f>
        <v/>
      </c>
      <c r="M6" s="96">
        <f>Timeline!M6</f>
        <v/>
      </c>
      <c r="N6" s="96">
        <f>Timeline!N6</f>
        <v/>
      </c>
      <c r="O6" s="96">
        <f>Timeline!O6</f>
        <v/>
      </c>
      <c r="P6" s="96">
        <f>Timeline!P6</f>
        <v/>
      </c>
      <c r="Q6" s="96">
        <f>Timeline!Q6</f>
        <v/>
      </c>
      <c r="R6" s="96">
        <f>Timeline!R6</f>
        <v/>
      </c>
      <c r="S6" s="96">
        <f>Timeline!S6</f>
        <v/>
      </c>
      <c r="T6" s="96">
        <f>Timeline!T6</f>
        <v/>
      </c>
      <c r="U6" s="96">
        <f>Timeline!U6</f>
        <v/>
      </c>
      <c r="V6" s="96">
        <f>Timeline!V6</f>
        <v/>
      </c>
      <c r="W6" s="96">
        <f>Timeline!W6</f>
        <v/>
      </c>
      <c r="X6" s="96">
        <f>Timeline!X6</f>
        <v/>
      </c>
      <c r="Y6" s="96">
        <f>Timeline!Y6</f>
        <v/>
      </c>
      <c r="Z6" s="96">
        <f>Timeline!Z6</f>
        <v/>
      </c>
      <c r="AA6" s="96">
        <f>Timeline!AA6</f>
        <v/>
      </c>
      <c r="AB6" s="96">
        <f>Timeline!AB6</f>
        <v/>
      </c>
      <c r="AC6" s="96">
        <f>Timeline!AC6</f>
        <v/>
      </c>
      <c r="AD6" s="96">
        <f>Timeline!AD6</f>
        <v/>
      </c>
      <c r="AE6" s="96">
        <f>Timeline!AE6</f>
        <v/>
      </c>
      <c r="AF6" s="96">
        <f>Timeline!AF6</f>
        <v/>
      </c>
      <c r="AG6" s="96">
        <f>Timeline!AG6</f>
        <v/>
      </c>
      <c r="AH6" s="96">
        <f>Timeline!AH6</f>
        <v/>
      </c>
      <c r="AI6" s="96">
        <f>Timeline!AI6</f>
        <v/>
      </c>
      <c r="AJ6" s="96">
        <f>Timeline!AJ6</f>
        <v/>
      </c>
      <c r="AK6" s="96">
        <f>Timeline!AK6</f>
        <v/>
      </c>
      <c r="AL6" s="96">
        <f>Timeline!AL6</f>
        <v/>
      </c>
      <c r="AM6" s="96">
        <f>Timeline!AM6</f>
        <v/>
      </c>
      <c r="AN6" s="96">
        <f>Timeline!AN6</f>
        <v/>
      </c>
      <c r="AO6" s="96">
        <f>Timeline!AO6</f>
        <v/>
      </c>
      <c r="AP6" s="96">
        <f>Timeline!AP6</f>
        <v/>
      </c>
      <c r="AQ6" s="96">
        <f>Timeline!AQ6</f>
        <v/>
      </c>
      <c r="AR6" s="96">
        <f>Timeline!AR6</f>
        <v/>
      </c>
      <c r="AS6" s="96">
        <f>Timeline!AS6</f>
        <v/>
      </c>
      <c r="AT6" s="96">
        <f>Timeline!AT6</f>
        <v/>
      </c>
      <c r="AU6" s="96">
        <f>Timeline!AU6</f>
        <v/>
      </c>
      <c r="AV6" s="96">
        <f>Timeline!AV6</f>
        <v/>
      </c>
      <c r="AW6" s="96">
        <f>Timeline!AW6</f>
        <v/>
      </c>
      <c r="AX6" s="96">
        <f>Timeline!AX6</f>
        <v/>
      </c>
      <c r="AY6" s="96">
        <f>Timeline!AY6</f>
        <v/>
      </c>
      <c r="AZ6" s="96">
        <f>Timeline!AZ6</f>
        <v/>
      </c>
      <c r="BA6" s="96">
        <f>Timeline!BA6</f>
        <v/>
      </c>
      <c r="BB6" s="96">
        <f>Timeline!BB6</f>
        <v/>
      </c>
      <c r="BC6" s="96">
        <f>Timeline!BC6</f>
        <v/>
      </c>
      <c r="BD6" s="96">
        <f>Timeline!BD6</f>
        <v/>
      </c>
      <c r="BE6" s="96">
        <f>Timeline!BE6</f>
        <v/>
      </c>
      <c r="BF6" s="96">
        <f>Timeline!BF6</f>
        <v/>
      </c>
      <c r="BG6" s="96">
        <f>Timeline!BG6</f>
        <v/>
      </c>
      <c r="BH6" s="96">
        <f>Timeline!BH6</f>
        <v/>
      </c>
      <c r="BI6" s="96">
        <f>Timeline!BI6</f>
        <v/>
      </c>
      <c r="BJ6" s="96">
        <f>Timeline!BJ6</f>
        <v/>
      </c>
      <c r="BK6" s="96">
        <f>Timeline!BK6</f>
        <v/>
      </c>
      <c r="BL6" s="96">
        <f>Timeline!BL6</f>
        <v/>
      </c>
    </row>
    <row r="7"/>
    <row r="8">
      <c r="A8" s="34" t="inlineStr">
        <is>
          <t>Design mode</t>
        </is>
      </c>
      <c r="C8" s="64">
        <f>CHOOSE(MAX(1,MIN(4,INT(N(Inputs!$C$34)))),"Sales-based","Repayment-linked","Ownership-linked","Hybrid")</f>
        <v/>
      </c>
    </row>
    <row r="9"/>
    <row r="10">
      <c r="A10" s="21" t="inlineStr">
        <is>
          <t>Tier parameters (per unit, active scenario)</t>
        </is>
      </c>
      <c r="B10" s="22" t="n"/>
      <c r="C10" s="22" t="n"/>
      <c r="D10" s="22" t="n"/>
      <c r="E10" s="22" t="n"/>
      <c r="F10" s="22"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c r="AA10" s="22" t="n"/>
      <c r="AB10" s="22" t="n"/>
      <c r="AC10" s="22" t="n"/>
      <c r="AD10" s="22" t="n"/>
      <c r="AE10" s="22" t="n"/>
      <c r="AF10" s="22" t="n"/>
      <c r="AG10" s="22" t="n"/>
      <c r="AH10" s="22" t="n"/>
      <c r="AI10" s="22" t="n"/>
      <c r="AJ10" s="22" t="n"/>
      <c r="AK10" s="22" t="n"/>
      <c r="AL10" s="22" t="n"/>
      <c r="AM10" s="22" t="n"/>
      <c r="AN10" s="22" t="n"/>
      <c r="AO10" s="22" t="n"/>
      <c r="AP10" s="22" t="n"/>
      <c r="AQ10" s="22" t="n"/>
      <c r="AR10" s="22" t="n"/>
      <c r="AS10" s="22" t="n"/>
      <c r="AT10" s="22" t="n"/>
      <c r="AU10" s="22" t="n"/>
      <c r="AV10" s="22" t="n"/>
      <c r="AW10" s="22" t="n"/>
      <c r="AX10" s="22" t="n"/>
      <c r="AY10" s="22" t="n"/>
      <c r="AZ10" s="22" t="n"/>
      <c r="BA10" s="22" t="n"/>
      <c r="BB10" s="22" t="n"/>
      <c r="BC10" s="22" t="n"/>
      <c r="BD10" s="22" t="n"/>
      <c r="BE10" s="22" t="n"/>
      <c r="BF10" s="22" t="n"/>
      <c r="BG10" s="22" t="n"/>
      <c r="BH10" s="22" t="n"/>
      <c r="BI10" s="22" t="n"/>
      <c r="BJ10" s="22" t="n"/>
      <c r="BK10" s="22" t="n"/>
      <c r="BL10" s="22" t="n"/>
    </row>
    <row r="11">
      <c r="A11" s="40" t="inlineStr">
        <is>
          <t>Parameter</t>
        </is>
      </c>
      <c r="B11" s="40" t="inlineStr">
        <is>
          <t>Unit</t>
        </is>
      </c>
      <c r="C11" s="40" t="inlineStr">
        <is>
          <t>Tier 1</t>
        </is>
      </c>
      <c r="D11" s="40" t="inlineStr">
        <is>
          <t>Tier 2</t>
        </is>
      </c>
      <c r="E11" s="40" t="inlineStr">
        <is>
          <t>Tier 3</t>
        </is>
      </c>
      <c r="F11" s="40" t="inlineStr">
        <is>
          <t>Tier 4</t>
        </is>
      </c>
      <c r="G11" s="40" t="inlineStr">
        <is>
          <t>Tier 5</t>
        </is>
      </c>
    </row>
    <row r="12">
      <c r="A12" s="34" t="inlineStr">
        <is>
          <t>Cohort repayment ratio at verification age (curve; not PERFORM RR)</t>
        </is>
      </c>
      <c r="B12" s="65" t="inlineStr">
        <is>
          <t>%</t>
        </is>
      </c>
      <c r="C12" s="81">
        <f>IFERROR(SUMIFS(Curves!$D$8:$D$68,Curves!$A$8:$A$68,"&lt;="&amp;Inputs!$C$33)/SUMIFS(Curves!$C$8:$C$68,Curves!$A$8:$A$68,"&lt;="&amp;Inputs!$C$33),0)</f>
        <v/>
      </c>
      <c r="D12" s="81">
        <f>IFERROR(SUMIFS(Curves!$Q$8:$Q$68,Curves!$A$8:$A$68,"&lt;="&amp;Inputs!$C$33)/SUMIFS(Curves!$P$8:$P$68,Curves!$A$8:$A$68,"&lt;="&amp;Inputs!$C$33),0)</f>
        <v/>
      </c>
      <c r="E12" s="81">
        <f>IFERROR(SUMIFS(Curves!$AD$8:$AD$68,Curves!$A$8:$A$68,"&lt;="&amp;Inputs!$C$33)/SUMIFS(Curves!$AC$8:$AC$68,Curves!$A$8:$A$68,"&lt;="&amp;Inputs!$C$33),0)</f>
        <v/>
      </c>
      <c r="F12" s="81">
        <f>IFERROR(SUMIFS(Curves!$AQ$8:$AQ$68,Curves!$A$8:$A$68,"&lt;="&amp;Inputs!$C$33)/SUMIFS(Curves!$AP$8:$AP$68,Curves!$A$8:$A$68,"&lt;="&amp;Inputs!$C$33),0)</f>
        <v/>
      </c>
      <c r="G12" s="81">
        <f>IFERROR(SUMIFS(Curves!$BD$8:$BD$68,Curves!$A$8:$A$68,"&lt;="&amp;Inputs!$C$33)/SUMIFS(Curves!$BC$8:$BC$68,Curves!$A$8:$A$68,"&lt;="&amp;Inputs!$C$33),0)</f>
        <v/>
      </c>
    </row>
    <row r="13">
      <c r="A13" s="34" t="inlineStr">
        <is>
          <t>Repayment-linked payout factor (RR / target, max 100%)</t>
        </is>
      </c>
      <c r="B13" s="65" t="inlineStr">
        <is>
          <t>%</t>
        </is>
      </c>
      <c r="C13" s="81">
        <f>IFERROR(MIN(1,C12/Inputs!$C$35),0)</f>
        <v/>
      </c>
      <c r="D13" s="81">
        <f>IFERROR(MIN(1,D12/Inputs!$C$35),0)</f>
        <v/>
      </c>
      <c r="E13" s="81">
        <f>IFERROR(MIN(1,E12/Inputs!$C$35),0)</f>
        <v/>
      </c>
      <c r="F13" s="81">
        <f>IFERROR(MIN(1,F12/Inputs!$C$35),0)</f>
        <v/>
      </c>
      <c r="G13" s="81">
        <f>IFERROR(MIN(1,G12/Inputs!$C$35),0)</f>
        <v/>
      </c>
    </row>
    <row r="14">
      <c r="A14" s="34" t="inlineStr">
        <is>
          <t>Ownership-at-2x rate (validated actual cohorts only)</t>
        </is>
      </c>
      <c r="B14" s="65" t="inlineStr">
        <is>
          <t>%</t>
        </is>
      </c>
      <c r="C14" s="81">
        <f>IF(Inputs!$C$39=1,IFERROR(AVERAGEIFS(Vintage_Input!$BH$9:$BH$68,Vintage_Input!$B$9:$B$68,2),0),0)</f>
        <v/>
      </c>
      <c r="D14" s="81">
        <f>IF(Inputs!$C$39=1,IFERROR(AVERAGEIFS(Vintage_Input!$BH$74:$BH$133,Vintage_Input!$B$74:$B$133,2),0),0)</f>
        <v/>
      </c>
      <c r="E14" s="81">
        <f>IF(Inputs!$C$39=1,IFERROR(AVERAGEIFS(Vintage_Input!$BH$139:$BH$198,Vintage_Input!$B$139:$B$198,2),0),0)</f>
        <v/>
      </c>
      <c r="F14" s="81">
        <f>IF(Inputs!$C$39=1,IFERROR(AVERAGEIFS(Vintage_Input!$BH$204:$BH$263,Vintage_Input!$B$204:$B$263,2),0),0)</f>
        <v/>
      </c>
      <c r="G14" s="81">
        <f>IF(Inputs!$C$39=1,IFERROR(AVERAGEIFS(Vintage_Input!$BH$269:$BH$328,Vintage_Input!$B$269:$B$328,2),0),0)</f>
        <v/>
      </c>
    </row>
    <row r="15">
      <c r="A15" s="34" t="inlineStr">
        <is>
          <t>PERFORM ownership horizon (2 x tenor)</t>
        </is>
      </c>
      <c r="B15" s="65" t="inlineStr">
        <is>
          <t>months</t>
        </is>
      </c>
      <c r="C15" s="23">
        <f>Products!$C$45</f>
        <v/>
      </c>
      <c r="D15" s="23">
        <f>Products!$D$45</f>
        <v/>
      </c>
      <c r="E15" s="23">
        <f>Products!$E$45</f>
        <v/>
      </c>
      <c r="F15" s="23">
        <f>Products!$F$45</f>
        <v/>
      </c>
      <c r="G15" s="23">
        <f>Products!$G$45</f>
        <v/>
      </c>
    </row>
    <row r="16"/>
    <row r="17">
      <c r="A17" s="21" t="inlineStr">
        <is>
          <t>Tier 1: Pico solar kit</t>
        </is>
      </c>
      <c r="B17" s="22" t="n"/>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c r="AA17" s="22" t="n"/>
      <c r="AB17" s="22" t="n"/>
      <c r="AC17" s="22" t="n"/>
      <c r="AD17" s="22" t="n"/>
      <c r="AE17" s="22" t="n"/>
      <c r="AF17" s="22" t="n"/>
      <c r="AG17" s="22" t="n"/>
      <c r="AH17" s="22" t="n"/>
      <c r="AI17" s="22" t="n"/>
      <c r="AJ17" s="22" t="n"/>
      <c r="AK17" s="22" t="n"/>
      <c r="AL17" s="22" t="n"/>
      <c r="AM17" s="22" t="n"/>
      <c r="AN17" s="22" t="n"/>
      <c r="AO17" s="22" t="n"/>
      <c r="AP17" s="22" t="n"/>
      <c r="AQ17" s="22" t="n"/>
      <c r="AR17" s="22" t="n"/>
      <c r="AS17" s="22" t="n"/>
      <c r="AT17" s="22" t="n"/>
      <c r="AU17" s="22" t="n"/>
      <c r="AV17" s="22" t="n"/>
      <c r="AW17" s="22" t="n"/>
      <c r="AX17" s="22" t="n"/>
      <c r="AY17" s="22" t="n"/>
      <c r="AZ17" s="22" t="n"/>
      <c r="BA17" s="22" t="n"/>
      <c r="BB17" s="22" t="n"/>
      <c r="BC17" s="22" t="n"/>
      <c r="BD17" s="22" t="n"/>
      <c r="BE17" s="22" t="n"/>
      <c r="BF17" s="22" t="n"/>
      <c r="BG17" s="22" t="n"/>
      <c r="BH17" s="22" t="n"/>
      <c r="BI17" s="22" t="n"/>
      <c r="BJ17" s="22" t="n"/>
      <c r="BK17" s="22" t="n"/>
      <c r="BL17" s="22" t="n"/>
    </row>
    <row r="18">
      <c r="A18" s="98" t="inlineStr">
        <is>
          <t>Sales-based RBF (per unit sold, after verification lag)</t>
        </is>
      </c>
      <c r="B18" s="65" t="inlineStr">
        <is>
          <t>LCY</t>
        </is>
      </c>
      <c r="C18" s="105">
        <f>SUM(E18:BL18)</f>
        <v/>
      </c>
      <c r="E18" s="80">
        <f>IF(E$4-Inputs!$C$33&gt;=1,INDEX(Ops!$E$9:$BL$9,1,E$4-Inputs!$C$33),0)*Products!$C$30*Timeline!E$8*Inputs!$C$32</f>
        <v/>
      </c>
      <c r="F18" s="80">
        <f>IF(F$4-Inputs!$C$33&gt;=1,INDEX(Ops!$E$9:$BL$9,1,F$4-Inputs!$C$33),0)*Products!$C$30*Timeline!F$8*Inputs!$C$32</f>
        <v/>
      </c>
      <c r="G18" s="80">
        <f>IF(G$4-Inputs!$C$33&gt;=1,INDEX(Ops!$E$9:$BL$9,1,G$4-Inputs!$C$33),0)*Products!$C$30*Timeline!G$8*Inputs!$C$32</f>
        <v/>
      </c>
      <c r="H18" s="80">
        <f>IF(H$4-Inputs!$C$33&gt;=1,INDEX(Ops!$E$9:$BL$9,1,H$4-Inputs!$C$33),0)*Products!$C$30*Timeline!H$8*Inputs!$C$32</f>
        <v/>
      </c>
      <c r="I18" s="80">
        <f>IF(I$4-Inputs!$C$33&gt;=1,INDEX(Ops!$E$9:$BL$9,1,I$4-Inputs!$C$33),0)*Products!$C$30*Timeline!I$8*Inputs!$C$32</f>
        <v/>
      </c>
      <c r="J18" s="80">
        <f>IF(J$4-Inputs!$C$33&gt;=1,INDEX(Ops!$E$9:$BL$9,1,J$4-Inputs!$C$33),0)*Products!$C$30*Timeline!J$8*Inputs!$C$32</f>
        <v/>
      </c>
      <c r="K18" s="80">
        <f>IF(K$4-Inputs!$C$33&gt;=1,INDEX(Ops!$E$9:$BL$9,1,K$4-Inputs!$C$33),0)*Products!$C$30*Timeline!K$8*Inputs!$C$32</f>
        <v/>
      </c>
      <c r="L18" s="80">
        <f>IF(L$4-Inputs!$C$33&gt;=1,INDEX(Ops!$E$9:$BL$9,1,L$4-Inputs!$C$33),0)*Products!$C$30*Timeline!L$8*Inputs!$C$32</f>
        <v/>
      </c>
      <c r="M18" s="80">
        <f>IF(M$4-Inputs!$C$33&gt;=1,INDEX(Ops!$E$9:$BL$9,1,M$4-Inputs!$C$33),0)*Products!$C$30*Timeline!M$8*Inputs!$C$32</f>
        <v/>
      </c>
      <c r="N18" s="80">
        <f>IF(N$4-Inputs!$C$33&gt;=1,INDEX(Ops!$E$9:$BL$9,1,N$4-Inputs!$C$33),0)*Products!$C$30*Timeline!N$8*Inputs!$C$32</f>
        <v/>
      </c>
      <c r="O18" s="80">
        <f>IF(O$4-Inputs!$C$33&gt;=1,INDEX(Ops!$E$9:$BL$9,1,O$4-Inputs!$C$33),0)*Products!$C$30*Timeline!O$8*Inputs!$C$32</f>
        <v/>
      </c>
      <c r="P18" s="80">
        <f>IF(P$4-Inputs!$C$33&gt;=1,INDEX(Ops!$E$9:$BL$9,1,P$4-Inputs!$C$33),0)*Products!$C$30*Timeline!P$8*Inputs!$C$32</f>
        <v/>
      </c>
      <c r="Q18" s="80">
        <f>IF(Q$4-Inputs!$C$33&gt;=1,INDEX(Ops!$E$9:$BL$9,1,Q$4-Inputs!$C$33),0)*Products!$C$30*Timeline!Q$8*Inputs!$C$32</f>
        <v/>
      </c>
      <c r="R18" s="80">
        <f>IF(R$4-Inputs!$C$33&gt;=1,INDEX(Ops!$E$9:$BL$9,1,R$4-Inputs!$C$33),0)*Products!$C$30*Timeline!R$8*Inputs!$C$32</f>
        <v/>
      </c>
      <c r="S18" s="80">
        <f>IF(S$4-Inputs!$C$33&gt;=1,INDEX(Ops!$E$9:$BL$9,1,S$4-Inputs!$C$33),0)*Products!$C$30*Timeline!S$8*Inputs!$C$32</f>
        <v/>
      </c>
      <c r="T18" s="80">
        <f>IF(T$4-Inputs!$C$33&gt;=1,INDEX(Ops!$E$9:$BL$9,1,T$4-Inputs!$C$33),0)*Products!$C$30*Timeline!T$8*Inputs!$C$32</f>
        <v/>
      </c>
      <c r="U18" s="80">
        <f>IF(U$4-Inputs!$C$33&gt;=1,INDEX(Ops!$E$9:$BL$9,1,U$4-Inputs!$C$33),0)*Products!$C$30*Timeline!U$8*Inputs!$C$32</f>
        <v/>
      </c>
      <c r="V18" s="80">
        <f>IF(V$4-Inputs!$C$33&gt;=1,INDEX(Ops!$E$9:$BL$9,1,V$4-Inputs!$C$33),0)*Products!$C$30*Timeline!V$8*Inputs!$C$32</f>
        <v/>
      </c>
      <c r="W18" s="80">
        <f>IF(W$4-Inputs!$C$33&gt;=1,INDEX(Ops!$E$9:$BL$9,1,W$4-Inputs!$C$33),0)*Products!$C$30*Timeline!W$8*Inputs!$C$32</f>
        <v/>
      </c>
      <c r="X18" s="80">
        <f>IF(X$4-Inputs!$C$33&gt;=1,INDEX(Ops!$E$9:$BL$9,1,X$4-Inputs!$C$33),0)*Products!$C$30*Timeline!X$8*Inputs!$C$32</f>
        <v/>
      </c>
      <c r="Y18" s="80">
        <f>IF(Y$4-Inputs!$C$33&gt;=1,INDEX(Ops!$E$9:$BL$9,1,Y$4-Inputs!$C$33),0)*Products!$C$30*Timeline!Y$8*Inputs!$C$32</f>
        <v/>
      </c>
      <c r="Z18" s="80">
        <f>IF(Z$4-Inputs!$C$33&gt;=1,INDEX(Ops!$E$9:$BL$9,1,Z$4-Inputs!$C$33),0)*Products!$C$30*Timeline!Z$8*Inputs!$C$32</f>
        <v/>
      </c>
      <c r="AA18" s="80">
        <f>IF(AA$4-Inputs!$C$33&gt;=1,INDEX(Ops!$E$9:$BL$9,1,AA$4-Inputs!$C$33),0)*Products!$C$30*Timeline!AA$8*Inputs!$C$32</f>
        <v/>
      </c>
      <c r="AB18" s="80">
        <f>IF(AB$4-Inputs!$C$33&gt;=1,INDEX(Ops!$E$9:$BL$9,1,AB$4-Inputs!$C$33),0)*Products!$C$30*Timeline!AB$8*Inputs!$C$32</f>
        <v/>
      </c>
      <c r="AC18" s="80">
        <f>IF(AC$4-Inputs!$C$33&gt;=1,INDEX(Ops!$E$9:$BL$9,1,AC$4-Inputs!$C$33),0)*Products!$C$30*Timeline!AC$8*Inputs!$C$32</f>
        <v/>
      </c>
      <c r="AD18" s="80">
        <f>IF(AD$4-Inputs!$C$33&gt;=1,INDEX(Ops!$E$9:$BL$9,1,AD$4-Inputs!$C$33),0)*Products!$C$30*Timeline!AD$8*Inputs!$C$32</f>
        <v/>
      </c>
      <c r="AE18" s="80">
        <f>IF(AE$4-Inputs!$C$33&gt;=1,INDEX(Ops!$E$9:$BL$9,1,AE$4-Inputs!$C$33),0)*Products!$C$30*Timeline!AE$8*Inputs!$C$32</f>
        <v/>
      </c>
      <c r="AF18" s="80">
        <f>IF(AF$4-Inputs!$C$33&gt;=1,INDEX(Ops!$E$9:$BL$9,1,AF$4-Inputs!$C$33),0)*Products!$C$30*Timeline!AF$8*Inputs!$C$32</f>
        <v/>
      </c>
      <c r="AG18" s="80">
        <f>IF(AG$4-Inputs!$C$33&gt;=1,INDEX(Ops!$E$9:$BL$9,1,AG$4-Inputs!$C$33),0)*Products!$C$30*Timeline!AG$8*Inputs!$C$32</f>
        <v/>
      </c>
      <c r="AH18" s="80">
        <f>IF(AH$4-Inputs!$C$33&gt;=1,INDEX(Ops!$E$9:$BL$9,1,AH$4-Inputs!$C$33),0)*Products!$C$30*Timeline!AH$8*Inputs!$C$32</f>
        <v/>
      </c>
      <c r="AI18" s="80">
        <f>IF(AI$4-Inputs!$C$33&gt;=1,INDEX(Ops!$E$9:$BL$9,1,AI$4-Inputs!$C$33),0)*Products!$C$30*Timeline!AI$8*Inputs!$C$32</f>
        <v/>
      </c>
      <c r="AJ18" s="80">
        <f>IF(AJ$4-Inputs!$C$33&gt;=1,INDEX(Ops!$E$9:$BL$9,1,AJ$4-Inputs!$C$33),0)*Products!$C$30*Timeline!AJ$8*Inputs!$C$32</f>
        <v/>
      </c>
      <c r="AK18" s="80">
        <f>IF(AK$4-Inputs!$C$33&gt;=1,INDEX(Ops!$E$9:$BL$9,1,AK$4-Inputs!$C$33),0)*Products!$C$30*Timeline!AK$8*Inputs!$C$32</f>
        <v/>
      </c>
      <c r="AL18" s="80">
        <f>IF(AL$4-Inputs!$C$33&gt;=1,INDEX(Ops!$E$9:$BL$9,1,AL$4-Inputs!$C$33),0)*Products!$C$30*Timeline!AL$8*Inputs!$C$32</f>
        <v/>
      </c>
      <c r="AM18" s="80">
        <f>IF(AM$4-Inputs!$C$33&gt;=1,INDEX(Ops!$E$9:$BL$9,1,AM$4-Inputs!$C$33),0)*Products!$C$30*Timeline!AM$8*Inputs!$C$32</f>
        <v/>
      </c>
      <c r="AN18" s="80">
        <f>IF(AN$4-Inputs!$C$33&gt;=1,INDEX(Ops!$E$9:$BL$9,1,AN$4-Inputs!$C$33),0)*Products!$C$30*Timeline!AN$8*Inputs!$C$32</f>
        <v/>
      </c>
      <c r="AO18" s="80">
        <f>IF(AO$4-Inputs!$C$33&gt;=1,INDEX(Ops!$E$9:$BL$9,1,AO$4-Inputs!$C$33),0)*Products!$C$30*Timeline!AO$8*Inputs!$C$32</f>
        <v/>
      </c>
      <c r="AP18" s="80">
        <f>IF(AP$4-Inputs!$C$33&gt;=1,INDEX(Ops!$E$9:$BL$9,1,AP$4-Inputs!$C$33),0)*Products!$C$30*Timeline!AP$8*Inputs!$C$32</f>
        <v/>
      </c>
      <c r="AQ18" s="80">
        <f>IF(AQ$4-Inputs!$C$33&gt;=1,INDEX(Ops!$E$9:$BL$9,1,AQ$4-Inputs!$C$33),0)*Products!$C$30*Timeline!AQ$8*Inputs!$C$32</f>
        <v/>
      </c>
      <c r="AR18" s="80">
        <f>IF(AR$4-Inputs!$C$33&gt;=1,INDEX(Ops!$E$9:$BL$9,1,AR$4-Inputs!$C$33),0)*Products!$C$30*Timeline!AR$8*Inputs!$C$32</f>
        <v/>
      </c>
      <c r="AS18" s="80">
        <f>IF(AS$4-Inputs!$C$33&gt;=1,INDEX(Ops!$E$9:$BL$9,1,AS$4-Inputs!$C$33),0)*Products!$C$30*Timeline!AS$8*Inputs!$C$32</f>
        <v/>
      </c>
      <c r="AT18" s="80">
        <f>IF(AT$4-Inputs!$C$33&gt;=1,INDEX(Ops!$E$9:$BL$9,1,AT$4-Inputs!$C$33),0)*Products!$C$30*Timeline!AT$8*Inputs!$C$32</f>
        <v/>
      </c>
      <c r="AU18" s="80">
        <f>IF(AU$4-Inputs!$C$33&gt;=1,INDEX(Ops!$E$9:$BL$9,1,AU$4-Inputs!$C$33),0)*Products!$C$30*Timeline!AU$8*Inputs!$C$32</f>
        <v/>
      </c>
      <c r="AV18" s="80">
        <f>IF(AV$4-Inputs!$C$33&gt;=1,INDEX(Ops!$E$9:$BL$9,1,AV$4-Inputs!$C$33),0)*Products!$C$30*Timeline!AV$8*Inputs!$C$32</f>
        <v/>
      </c>
      <c r="AW18" s="80">
        <f>IF(AW$4-Inputs!$C$33&gt;=1,INDEX(Ops!$E$9:$BL$9,1,AW$4-Inputs!$C$33),0)*Products!$C$30*Timeline!AW$8*Inputs!$C$32</f>
        <v/>
      </c>
      <c r="AX18" s="80">
        <f>IF(AX$4-Inputs!$C$33&gt;=1,INDEX(Ops!$E$9:$BL$9,1,AX$4-Inputs!$C$33),0)*Products!$C$30*Timeline!AX$8*Inputs!$C$32</f>
        <v/>
      </c>
      <c r="AY18" s="80">
        <f>IF(AY$4-Inputs!$C$33&gt;=1,INDEX(Ops!$E$9:$BL$9,1,AY$4-Inputs!$C$33),0)*Products!$C$30*Timeline!AY$8*Inputs!$C$32</f>
        <v/>
      </c>
      <c r="AZ18" s="80">
        <f>IF(AZ$4-Inputs!$C$33&gt;=1,INDEX(Ops!$E$9:$BL$9,1,AZ$4-Inputs!$C$33),0)*Products!$C$30*Timeline!AZ$8*Inputs!$C$32</f>
        <v/>
      </c>
      <c r="BA18" s="80">
        <f>IF(BA$4-Inputs!$C$33&gt;=1,INDEX(Ops!$E$9:$BL$9,1,BA$4-Inputs!$C$33),0)*Products!$C$30*Timeline!BA$8*Inputs!$C$32</f>
        <v/>
      </c>
      <c r="BB18" s="80">
        <f>IF(BB$4-Inputs!$C$33&gt;=1,INDEX(Ops!$E$9:$BL$9,1,BB$4-Inputs!$C$33),0)*Products!$C$30*Timeline!BB$8*Inputs!$C$32</f>
        <v/>
      </c>
      <c r="BC18" s="80">
        <f>IF(BC$4-Inputs!$C$33&gt;=1,INDEX(Ops!$E$9:$BL$9,1,BC$4-Inputs!$C$33),0)*Products!$C$30*Timeline!BC$8*Inputs!$C$32</f>
        <v/>
      </c>
      <c r="BD18" s="80">
        <f>IF(BD$4-Inputs!$C$33&gt;=1,INDEX(Ops!$E$9:$BL$9,1,BD$4-Inputs!$C$33),0)*Products!$C$30*Timeline!BD$8*Inputs!$C$32</f>
        <v/>
      </c>
      <c r="BE18" s="80">
        <f>IF(BE$4-Inputs!$C$33&gt;=1,INDEX(Ops!$E$9:$BL$9,1,BE$4-Inputs!$C$33),0)*Products!$C$30*Timeline!BE$8*Inputs!$C$32</f>
        <v/>
      </c>
      <c r="BF18" s="80">
        <f>IF(BF$4-Inputs!$C$33&gt;=1,INDEX(Ops!$E$9:$BL$9,1,BF$4-Inputs!$C$33),0)*Products!$C$30*Timeline!BF$8*Inputs!$C$32</f>
        <v/>
      </c>
      <c r="BG18" s="80">
        <f>IF(BG$4-Inputs!$C$33&gt;=1,INDEX(Ops!$E$9:$BL$9,1,BG$4-Inputs!$C$33),0)*Products!$C$30*Timeline!BG$8*Inputs!$C$32</f>
        <v/>
      </c>
      <c r="BH18" s="80">
        <f>IF(BH$4-Inputs!$C$33&gt;=1,INDEX(Ops!$E$9:$BL$9,1,BH$4-Inputs!$C$33),0)*Products!$C$30*Timeline!BH$8*Inputs!$C$32</f>
        <v/>
      </c>
      <c r="BI18" s="80">
        <f>IF(BI$4-Inputs!$C$33&gt;=1,INDEX(Ops!$E$9:$BL$9,1,BI$4-Inputs!$C$33),0)*Products!$C$30*Timeline!BI$8*Inputs!$C$32</f>
        <v/>
      </c>
      <c r="BJ18" s="80">
        <f>IF(BJ$4-Inputs!$C$33&gt;=1,INDEX(Ops!$E$9:$BL$9,1,BJ$4-Inputs!$C$33),0)*Products!$C$30*Timeline!BJ$8*Inputs!$C$32</f>
        <v/>
      </c>
      <c r="BK18" s="80">
        <f>IF(BK$4-Inputs!$C$33&gt;=1,INDEX(Ops!$E$9:$BL$9,1,BK$4-Inputs!$C$33),0)*Products!$C$30*Timeline!BK$8*Inputs!$C$32</f>
        <v/>
      </c>
      <c r="BL18" s="80">
        <f>IF(BL$4-Inputs!$C$33&gt;=1,INDEX(Ops!$E$9:$BL$9,1,BL$4-Inputs!$C$33),0)*Products!$C$30*Timeline!BL$8*Inputs!$C$32</f>
        <v/>
      </c>
    </row>
    <row r="19">
      <c r="A19" s="98" t="inlineStr">
        <is>
          <t>Repayment-linked RBF (sales-based x payout factor)</t>
        </is>
      </c>
      <c r="B19" s="65" t="inlineStr">
        <is>
          <t>LCY</t>
        </is>
      </c>
      <c r="C19" s="105">
        <f>SUM(E19:BL19)</f>
        <v/>
      </c>
      <c r="E19" s="80">
        <f>E18*$C$13</f>
        <v/>
      </c>
      <c r="F19" s="80">
        <f>F18*$C$13</f>
        <v/>
      </c>
      <c r="G19" s="80">
        <f>G18*$C$13</f>
        <v/>
      </c>
      <c r="H19" s="80">
        <f>H18*$C$13</f>
        <v/>
      </c>
      <c r="I19" s="80">
        <f>I18*$C$13</f>
        <v/>
      </c>
      <c r="J19" s="80">
        <f>J18*$C$13</f>
        <v/>
      </c>
      <c r="K19" s="80">
        <f>K18*$C$13</f>
        <v/>
      </c>
      <c r="L19" s="80">
        <f>L18*$C$13</f>
        <v/>
      </c>
      <c r="M19" s="80">
        <f>M18*$C$13</f>
        <v/>
      </c>
      <c r="N19" s="80">
        <f>N18*$C$13</f>
        <v/>
      </c>
      <c r="O19" s="80">
        <f>O18*$C$13</f>
        <v/>
      </c>
      <c r="P19" s="80">
        <f>P18*$C$13</f>
        <v/>
      </c>
      <c r="Q19" s="80">
        <f>Q18*$C$13</f>
        <v/>
      </c>
      <c r="R19" s="80">
        <f>R18*$C$13</f>
        <v/>
      </c>
      <c r="S19" s="80">
        <f>S18*$C$13</f>
        <v/>
      </c>
      <c r="T19" s="80">
        <f>T18*$C$13</f>
        <v/>
      </c>
      <c r="U19" s="80">
        <f>U18*$C$13</f>
        <v/>
      </c>
      <c r="V19" s="80">
        <f>V18*$C$13</f>
        <v/>
      </c>
      <c r="W19" s="80">
        <f>W18*$C$13</f>
        <v/>
      </c>
      <c r="X19" s="80">
        <f>X18*$C$13</f>
        <v/>
      </c>
      <c r="Y19" s="80">
        <f>Y18*$C$13</f>
        <v/>
      </c>
      <c r="Z19" s="80">
        <f>Z18*$C$13</f>
        <v/>
      </c>
      <c r="AA19" s="80">
        <f>AA18*$C$13</f>
        <v/>
      </c>
      <c r="AB19" s="80">
        <f>AB18*$C$13</f>
        <v/>
      </c>
      <c r="AC19" s="80">
        <f>AC18*$C$13</f>
        <v/>
      </c>
      <c r="AD19" s="80">
        <f>AD18*$C$13</f>
        <v/>
      </c>
      <c r="AE19" s="80">
        <f>AE18*$C$13</f>
        <v/>
      </c>
      <c r="AF19" s="80">
        <f>AF18*$C$13</f>
        <v/>
      </c>
      <c r="AG19" s="80">
        <f>AG18*$C$13</f>
        <v/>
      </c>
      <c r="AH19" s="80">
        <f>AH18*$C$13</f>
        <v/>
      </c>
      <c r="AI19" s="80">
        <f>AI18*$C$13</f>
        <v/>
      </c>
      <c r="AJ19" s="80">
        <f>AJ18*$C$13</f>
        <v/>
      </c>
      <c r="AK19" s="80">
        <f>AK18*$C$13</f>
        <v/>
      </c>
      <c r="AL19" s="80">
        <f>AL18*$C$13</f>
        <v/>
      </c>
      <c r="AM19" s="80">
        <f>AM18*$C$13</f>
        <v/>
      </c>
      <c r="AN19" s="80">
        <f>AN18*$C$13</f>
        <v/>
      </c>
      <c r="AO19" s="80">
        <f>AO18*$C$13</f>
        <v/>
      </c>
      <c r="AP19" s="80">
        <f>AP18*$C$13</f>
        <v/>
      </c>
      <c r="AQ19" s="80">
        <f>AQ18*$C$13</f>
        <v/>
      </c>
      <c r="AR19" s="80">
        <f>AR18*$C$13</f>
        <v/>
      </c>
      <c r="AS19" s="80">
        <f>AS18*$C$13</f>
        <v/>
      </c>
      <c r="AT19" s="80">
        <f>AT18*$C$13</f>
        <v/>
      </c>
      <c r="AU19" s="80">
        <f>AU18*$C$13</f>
        <v/>
      </c>
      <c r="AV19" s="80">
        <f>AV18*$C$13</f>
        <v/>
      </c>
      <c r="AW19" s="80">
        <f>AW18*$C$13</f>
        <v/>
      </c>
      <c r="AX19" s="80">
        <f>AX18*$C$13</f>
        <v/>
      </c>
      <c r="AY19" s="80">
        <f>AY18*$C$13</f>
        <v/>
      </c>
      <c r="AZ19" s="80">
        <f>AZ18*$C$13</f>
        <v/>
      </c>
      <c r="BA19" s="80">
        <f>BA18*$C$13</f>
        <v/>
      </c>
      <c r="BB19" s="80">
        <f>BB18*$C$13</f>
        <v/>
      </c>
      <c r="BC19" s="80">
        <f>BC18*$C$13</f>
        <v/>
      </c>
      <c r="BD19" s="80">
        <f>BD18*$C$13</f>
        <v/>
      </c>
      <c r="BE19" s="80">
        <f>BE18*$C$13</f>
        <v/>
      </c>
      <c r="BF19" s="80">
        <f>BF18*$C$13</f>
        <v/>
      </c>
      <c r="BG19" s="80">
        <f>BG18*$C$13</f>
        <v/>
      </c>
      <c r="BH19" s="80">
        <f>BH18*$C$13</f>
        <v/>
      </c>
      <c r="BI19" s="80">
        <f>BI18*$C$13</f>
        <v/>
      </c>
      <c r="BJ19" s="80">
        <f>BJ18*$C$13</f>
        <v/>
      </c>
      <c r="BK19" s="80">
        <f>BK18*$C$13</f>
        <v/>
      </c>
      <c r="BL19" s="80">
        <f>BL18*$C$13</f>
        <v/>
      </c>
    </row>
    <row r="20">
      <c r="A20" s="98" t="inlineStr">
        <is>
          <t>Ownership-linked RBF (paid at 2 x tenor on validated ownership)</t>
        </is>
      </c>
      <c r="B20" s="65" t="inlineStr">
        <is>
          <t>LCY</t>
        </is>
      </c>
      <c r="C20" s="105">
        <f>SUM(E20:BL20)</f>
        <v/>
      </c>
      <c r="E20" s="80">
        <f>IF(AND(Inputs!$C$39=1,E$4-$C$15&gt;=1),INDEX(Ops!$E$9:$BL$9,1,E$4-$C$15),0)*Products!$C$30*Timeline!E$8*Inputs!$C$32*$C$14</f>
        <v/>
      </c>
      <c r="F20" s="80">
        <f>IF(AND(Inputs!$C$39=1,F$4-$C$15&gt;=1),INDEX(Ops!$E$9:$BL$9,1,F$4-$C$15),0)*Products!$C$30*Timeline!F$8*Inputs!$C$32*$C$14</f>
        <v/>
      </c>
      <c r="G20" s="80">
        <f>IF(AND(Inputs!$C$39=1,G$4-$C$15&gt;=1),INDEX(Ops!$E$9:$BL$9,1,G$4-$C$15),0)*Products!$C$30*Timeline!G$8*Inputs!$C$32*$C$14</f>
        <v/>
      </c>
      <c r="H20" s="80">
        <f>IF(AND(Inputs!$C$39=1,H$4-$C$15&gt;=1),INDEX(Ops!$E$9:$BL$9,1,H$4-$C$15),0)*Products!$C$30*Timeline!H$8*Inputs!$C$32*$C$14</f>
        <v/>
      </c>
      <c r="I20" s="80">
        <f>IF(AND(Inputs!$C$39=1,I$4-$C$15&gt;=1),INDEX(Ops!$E$9:$BL$9,1,I$4-$C$15),0)*Products!$C$30*Timeline!I$8*Inputs!$C$32*$C$14</f>
        <v/>
      </c>
      <c r="J20" s="80">
        <f>IF(AND(Inputs!$C$39=1,J$4-$C$15&gt;=1),INDEX(Ops!$E$9:$BL$9,1,J$4-$C$15),0)*Products!$C$30*Timeline!J$8*Inputs!$C$32*$C$14</f>
        <v/>
      </c>
      <c r="K20" s="80">
        <f>IF(AND(Inputs!$C$39=1,K$4-$C$15&gt;=1),INDEX(Ops!$E$9:$BL$9,1,K$4-$C$15),0)*Products!$C$30*Timeline!K$8*Inputs!$C$32*$C$14</f>
        <v/>
      </c>
      <c r="L20" s="80">
        <f>IF(AND(Inputs!$C$39=1,L$4-$C$15&gt;=1),INDEX(Ops!$E$9:$BL$9,1,L$4-$C$15),0)*Products!$C$30*Timeline!L$8*Inputs!$C$32*$C$14</f>
        <v/>
      </c>
      <c r="M20" s="80">
        <f>IF(AND(Inputs!$C$39=1,M$4-$C$15&gt;=1),INDEX(Ops!$E$9:$BL$9,1,M$4-$C$15),0)*Products!$C$30*Timeline!M$8*Inputs!$C$32*$C$14</f>
        <v/>
      </c>
      <c r="N20" s="80">
        <f>IF(AND(Inputs!$C$39=1,N$4-$C$15&gt;=1),INDEX(Ops!$E$9:$BL$9,1,N$4-$C$15),0)*Products!$C$30*Timeline!N$8*Inputs!$C$32*$C$14</f>
        <v/>
      </c>
      <c r="O20" s="80">
        <f>IF(AND(Inputs!$C$39=1,O$4-$C$15&gt;=1),INDEX(Ops!$E$9:$BL$9,1,O$4-$C$15),0)*Products!$C$30*Timeline!O$8*Inputs!$C$32*$C$14</f>
        <v/>
      </c>
      <c r="P20" s="80">
        <f>IF(AND(Inputs!$C$39=1,P$4-$C$15&gt;=1),INDEX(Ops!$E$9:$BL$9,1,P$4-$C$15),0)*Products!$C$30*Timeline!P$8*Inputs!$C$32*$C$14</f>
        <v/>
      </c>
      <c r="Q20" s="80">
        <f>IF(AND(Inputs!$C$39=1,Q$4-$C$15&gt;=1),INDEX(Ops!$E$9:$BL$9,1,Q$4-$C$15),0)*Products!$C$30*Timeline!Q$8*Inputs!$C$32*$C$14</f>
        <v/>
      </c>
      <c r="R20" s="80">
        <f>IF(AND(Inputs!$C$39=1,R$4-$C$15&gt;=1),INDEX(Ops!$E$9:$BL$9,1,R$4-$C$15),0)*Products!$C$30*Timeline!R$8*Inputs!$C$32*$C$14</f>
        <v/>
      </c>
      <c r="S20" s="80">
        <f>IF(AND(Inputs!$C$39=1,S$4-$C$15&gt;=1),INDEX(Ops!$E$9:$BL$9,1,S$4-$C$15),0)*Products!$C$30*Timeline!S$8*Inputs!$C$32*$C$14</f>
        <v/>
      </c>
      <c r="T20" s="80">
        <f>IF(AND(Inputs!$C$39=1,T$4-$C$15&gt;=1),INDEX(Ops!$E$9:$BL$9,1,T$4-$C$15),0)*Products!$C$30*Timeline!T$8*Inputs!$C$32*$C$14</f>
        <v/>
      </c>
      <c r="U20" s="80">
        <f>IF(AND(Inputs!$C$39=1,U$4-$C$15&gt;=1),INDEX(Ops!$E$9:$BL$9,1,U$4-$C$15),0)*Products!$C$30*Timeline!U$8*Inputs!$C$32*$C$14</f>
        <v/>
      </c>
      <c r="V20" s="80">
        <f>IF(AND(Inputs!$C$39=1,V$4-$C$15&gt;=1),INDEX(Ops!$E$9:$BL$9,1,V$4-$C$15),0)*Products!$C$30*Timeline!V$8*Inputs!$C$32*$C$14</f>
        <v/>
      </c>
      <c r="W20" s="80">
        <f>IF(AND(Inputs!$C$39=1,W$4-$C$15&gt;=1),INDEX(Ops!$E$9:$BL$9,1,W$4-$C$15),0)*Products!$C$30*Timeline!W$8*Inputs!$C$32*$C$14</f>
        <v/>
      </c>
      <c r="X20" s="80">
        <f>IF(AND(Inputs!$C$39=1,X$4-$C$15&gt;=1),INDEX(Ops!$E$9:$BL$9,1,X$4-$C$15),0)*Products!$C$30*Timeline!X$8*Inputs!$C$32*$C$14</f>
        <v/>
      </c>
      <c r="Y20" s="80">
        <f>IF(AND(Inputs!$C$39=1,Y$4-$C$15&gt;=1),INDEX(Ops!$E$9:$BL$9,1,Y$4-$C$15),0)*Products!$C$30*Timeline!Y$8*Inputs!$C$32*$C$14</f>
        <v/>
      </c>
      <c r="Z20" s="80">
        <f>IF(AND(Inputs!$C$39=1,Z$4-$C$15&gt;=1),INDEX(Ops!$E$9:$BL$9,1,Z$4-$C$15),0)*Products!$C$30*Timeline!Z$8*Inputs!$C$32*$C$14</f>
        <v/>
      </c>
      <c r="AA20" s="80">
        <f>IF(AND(Inputs!$C$39=1,AA$4-$C$15&gt;=1),INDEX(Ops!$E$9:$BL$9,1,AA$4-$C$15),0)*Products!$C$30*Timeline!AA$8*Inputs!$C$32*$C$14</f>
        <v/>
      </c>
      <c r="AB20" s="80">
        <f>IF(AND(Inputs!$C$39=1,AB$4-$C$15&gt;=1),INDEX(Ops!$E$9:$BL$9,1,AB$4-$C$15),0)*Products!$C$30*Timeline!AB$8*Inputs!$C$32*$C$14</f>
        <v/>
      </c>
      <c r="AC20" s="80">
        <f>IF(AND(Inputs!$C$39=1,AC$4-$C$15&gt;=1),INDEX(Ops!$E$9:$BL$9,1,AC$4-$C$15),0)*Products!$C$30*Timeline!AC$8*Inputs!$C$32*$C$14</f>
        <v/>
      </c>
      <c r="AD20" s="80">
        <f>IF(AND(Inputs!$C$39=1,AD$4-$C$15&gt;=1),INDEX(Ops!$E$9:$BL$9,1,AD$4-$C$15),0)*Products!$C$30*Timeline!AD$8*Inputs!$C$32*$C$14</f>
        <v/>
      </c>
      <c r="AE20" s="80">
        <f>IF(AND(Inputs!$C$39=1,AE$4-$C$15&gt;=1),INDEX(Ops!$E$9:$BL$9,1,AE$4-$C$15),0)*Products!$C$30*Timeline!AE$8*Inputs!$C$32*$C$14</f>
        <v/>
      </c>
      <c r="AF20" s="80">
        <f>IF(AND(Inputs!$C$39=1,AF$4-$C$15&gt;=1),INDEX(Ops!$E$9:$BL$9,1,AF$4-$C$15),0)*Products!$C$30*Timeline!AF$8*Inputs!$C$32*$C$14</f>
        <v/>
      </c>
      <c r="AG20" s="80">
        <f>IF(AND(Inputs!$C$39=1,AG$4-$C$15&gt;=1),INDEX(Ops!$E$9:$BL$9,1,AG$4-$C$15),0)*Products!$C$30*Timeline!AG$8*Inputs!$C$32*$C$14</f>
        <v/>
      </c>
      <c r="AH20" s="80">
        <f>IF(AND(Inputs!$C$39=1,AH$4-$C$15&gt;=1),INDEX(Ops!$E$9:$BL$9,1,AH$4-$C$15),0)*Products!$C$30*Timeline!AH$8*Inputs!$C$32*$C$14</f>
        <v/>
      </c>
      <c r="AI20" s="80">
        <f>IF(AND(Inputs!$C$39=1,AI$4-$C$15&gt;=1),INDEX(Ops!$E$9:$BL$9,1,AI$4-$C$15),0)*Products!$C$30*Timeline!AI$8*Inputs!$C$32*$C$14</f>
        <v/>
      </c>
      <c r="AJ20" s="80">
        <f>IF(AND(Inputs!$C$39=1,AJ$4-$C$15&gt;=1),INDEX(Ops!$E$9:$BL$9,1,AJ$4-$C$15),0)*Products!$C$30*Timeline!AJ$8*Inputs!$C$32*$C$14</f>
        <v/>
      </c>
      <c r="AK20" s="80">
        <f>IF(AND(Inputs!$C$39=1,AK$4-$C$15&gt;=1),INDEX(Ops!$E$9:$BL$9,1,AK$4-$C$15),0)*Products!$C$30*Timeline!AK$8*Inputs!$C$32*$C$14</f>
        <v/>
      </c>
      <c r="AL20" s="80">
        <f>IF(AND(Inputs!$C$39=1,AL$4-$C$15&gt;=1),INDEX(Ops!$E$9:$BL$9,1,AL$4-$C$15),0)*Products!$C$30*Timeline!AL$8*Inputs!$C$32*$C$14</f>
        <v/>
      </c>
      <c r="AM20" s="80">
        <f>IF(AND(Inputs!$C$39=1,AM$4-$C$15&gt;=1),INDEX(Ops!$E$9:$BL$9,1,AM$4-$C$15),0)*Products!$C$30*Timeline!AM$8*Inputs!$C$32*$C$14</f>
        <v/>
      </c>
      <c r="AN20" s="80">
        <f>IF(AND(Inputs!$C$39=1,AN$4-$C$15&gt;=1),INDEX(Ops!$E$9:$BL$9,1,AN$4-$C$15),0)*Products!$C$30*Timeline!AN$8*Inputs!$C$32*$C$14</f>
        <v/>
      </c>
      <c r="AO20" s="80">
        <f>IF(AND(Inputs!$C$39=1,AO$4-$C$15&gt;=1),INDEX(Ops!$E$9:$BL$9,1,AO$4-$C$15),0)*Products!$C$30*Timeline!AO$8*Inputs!$C$32*$C$14</f>
        <v/>
      </c>
      <c r="AP20" s="80">
        <f>IF(AND(Inputs!$C$39=1,AP$4-$C$15&gt;=1),INDEX(Ops!$E$9:$BL$9,1,AP$4-$C$15),0)*Products!$C$30*Timeline!AP$8*Inputs!$C$32*$C$14</f>
        <v/>
      </c>
      <c r="AQ20" s="80">
        <f>IF(AND(Inputs!$C$39=1,AQ$4-$C$15&gt;=1),INDEX(Ops!$E$9:$BL$9,1,AQ$4-$C$15),0)*Products!$C$30*Timeline!AQ$8*Inputs!$C$32*$C$14</f>
        <v/>
      </c>
      <c r="AR20" s="80">
        <f>IF(AND(Inputs!$C$39=1,AR$4-$C$15&gt;=1),INDEX(Ops!$E$9:$BL$9,1,AR$4-$C$15),0)*Products!$C$30*Timeline!AR$8*Inputs!$C$32*$C$14</f>
        <v/>
      </c>
      <c r="AS20" s="80">
        <f>IF(AND(Inputs!$C$39=1,AS$4-$C$15&gt;=1),INDEX(Ops!$E$9:$BL$9,1,AS$4-$C$15),0)*Products!$C$30*Timeline!AS$8*Inputs!$C$32*$C$14</f>
        <v/>
      </c>
      <c r="AT20" s="80">
        <f>IF(AND(Inputs!$C$39=1,AT$4-$C$15&gt;=1),INDEX(Ops!$E$9:$BL$9,1,AT$4-$C$15),0)*Products!$C$30*Timeline!AT$8*Inputs!$C$32*$C$14</f>
        <v/>
      </c>
      <c r="AU20" s="80">
        <f>IF(AND(Inputs!$C$39=1,AU$4-$C$15&gt;=1),INDEX(Ops!$E$9:$BL$9,1,AU$4-$C$15),0)*Products!$C$30*Timeline!AU$8*Inputs!$C$32*$C$14</f>
        <v/>
      </c>
      <c r="AV20" s="80">
        <f>IF(AND(Inputs!$C$39=1,AV$4-$C$15&gt;=1),INDEX(Ops!$E$9:$BL$9,1,AV$4-$C$15),0)*Products!$C$30*Timeline!AV$8*Inputs!$C$32*$C$14</f>
        <v/>
      </c>
      <c r="AW20" s="80">
        <f>IF(AND(Inputs!$C$39=1,AW$4-$C$15&gt;=1),INDEX(Ops!$E$9:$BL$9,1,AW$4-$C$15),0)*Products!$C$30*Timeline!AW$8*Inputs!$C$32*$C$14</f>
        <v/>
      </c>
      <c r="AX20" s="80">
        <f>IF(AND(Inputs!$C$39=1,AX$4-$C$15&gt;=1),INDEX(Ops!$E$9:$BL$9,1,AX$4-$C$15),0)*Products!$C$30*Timeline!AX$8*Inputs!$C$32*$C$14</f>
        <v/>
      </c>
      <c r="AY20" s="80">
        <f>IF(AND(Inputs!$C$39=1,AY$4-$C$15&gt;=1),INDEX(Ops!$E$9:$BL$9,1,AY$4-$C$15),0)*Products!$C$30*Timeline!AY$8*Inputs!$C$32*$C$14</f>
        <v/>
      </c>
      <c r="AZ20" s="80">
        <f>IF(AND(Inputs!$C$39=1,AZ$4-$C$15&gt;=1),INDEX(Ops!$E$9:$BL$9,1,AZ$4-$C$15),0)*Products!$C$30*Timeline!AZ$8*Inputs!$C$32*$C$14</f>
        <v/>
      </c>
      <c r="BA20" s="80">
        <f>IF(AND(Inputs!$C$39=1,BA$4-$C$15&gt;=1),INDEX(Ops!$E$9:$BL$9,1,BA$4-$C$15),0)*Products!$C$30*Timeline!BA$8*Inputs!$C$32*$C$14</f>
        <v/>
      </c>
      <c r="BB20" s="80">
        <f>IF(AND(Inputs!$C$39=1,BB$4-$C$15&gt;=1),INDEX(Ops!$E$9:$BL$9,1,BB$4-$C$15),0)*Products!$C$30*Timeline!BB$8*Inputs!$C$32*$C$14</f>
        <v/>
      </c>
      <c r="BC20" s="80">
        <f>IF(AND(Inputs!$C$39=1,BC$4-$C$15&gt;=1),INDEX(Ops!$E$9:$BL$9,1,BC$4-$C$15),0)*Products!$C$30*Timeline!BC$8*Inputs!$C$32*$C$14</f>
        <v/>
      </c>
      <c r="BD20" s="80">
        <f>IF(AND(Inputs!$C$39=1,BD$4-$C$15&gt;=1),INDEX(Ops!$E$9:$BL$9,1,BD$4-$C$15),0)*Products!$C$30*Timeline!BD$8*Inputs!$C$32*$C$14</f>
        <v/>
      </c>
      <c r="BE20" s="80">
        <f>IF(AND(Inputs!$C$39=1,BE$4-$C$15&gt;=1),INDEX(Ops!$E$9:$BL$9,1,BE$4-$C$15),0)*Products!$C$30*Timeline!BE$8*Inputs!$C$32*$C$14</f>
        <v/>
      </c>
      <c r="BF20" s="80">
        <f>IF(AND(Inputs!$C$39=1,BF$4-$C$15&gt;=1),INDEX(Ops!$E$9:$BL$9,1,BF$4-$C$15),0)*Products!$C$30*Timeline!BF$8*Inputs!$C$32*$C$14</f>
        <v/>
      </c>
      <c r="BG20" s="80">
        <f>IF(AND(Inputs!$C$39=1,BG$4-$C$15&gt;=1),INDEX(Ops!$E$9:$BL$9,1,BG$4-$C$15),0)*Products!$C$30*Timeline!BG$8*Inputs!$C$32*$C$14</f>
        <v/>
      </c>
      <c r="BH20" s="80">
        <f>IF(AND(Inputs!$C$39=1,BH$4-$C$15&gt;=1),INDEX(Ops!$E$9:$BL$9,1,BH$4-$C$15),0)*Products!$C$30*Timeline!BH$8*Inputs!$C$32*$C$14</f>
        <v/>
      </c>
      <c r="BI20" s="80">
        <f>IF(AND(Inputs!$C$39=1,BI$4-$C$15&gt;=1),INDEX(Ops!$E$9:$BL$9,1,BI$4-$C$15),0)*Products!$C$30*Timeline!BI$8*Inputs!$C$32*$C$14</f>
        <v/>
      </c>
      <c r="BJ20" s="80">
        <f>IF(AND(Inputs!$C$39=1,BJ$4-$C$15&gt;=1),INDEX(Ops!$E$9:$BL$9,1,BJ$4-$C$15),0)*Products!$C$30*Timeline!BJ$8*Inputs!$C$32*$C$14</f>
        <v/>
      </c>
      <c r="BK20" s="80">
        <f>IF(AND(Inputs!$C$39=1,BK$4-$C$15&gt;=1),INDEX(Ops!$E$9:$BL$9,1,BK$4-$C$15),0)*Products!$C$30*Timeline!BK$8*Inputs!$C$32*$C$14</f>
        <v/>
      </c>
      <c r="BL20" s="80">
        <f>IF(AND(Inputs!$C$39=1,BL$4-$C$15&gt;=1),INDEX(Ops!$E$9:$BL$9,1,BL$4-$C$15),0)*Products!$C$30*Timeline!BL$8*Inputs!$C$32*$C$14</f>
        <v/>
      </c>
    </row>
    <row r="21">
      <c r="A21" s="98" t="inlineStr">
        <is>
          <t>Hybrid RBF (weighted)</t>
        </is>
      </c>
      <c r="B21" s="65" t="inlineStr">
        <is>
          <t>LCY</t>
        </is>
      </c>
      <c r="C21" s="105">
        <f>SUM(E21:BL21)</f>
        <v/>
      </c>
      <c r="E21" s="80">
        <f>Inputs!$C$36*E18+Inputs!$C$37*E19+Inputs!$C$38*E20</f>
        <v/>
      </c>
      <c r="F21" s="80">
        <f>Inputs!$C$36*F18+Inputs!$C$37*F19+Inputs!$C$38*F20</f>
        <v/>
      </c>
      <c r="G21" s="80">
        <f>Inputs!$C$36*G18+Inputs!$C$37*G19+Inputs!$C$38*G20</f>
        <v/>
      </c>
      <c r="H21" s="80">
        <f>Inputs!$C$36*H18+Inputs!$C$37*H19+Inputs!$C$38*H20</f>
        <v/>
      </c>
      <c r="I21" s="80">
        <f>Inputs!$C$36*I18+Inputs!$C$37*I19+Inputs!$C$38*I20</f>
        <v/>
      </c>
      <c r="J21" s="80">
        <f>Inputs!$C$36*J18+Inputs!$C$37*J19+Inputs!$C$38*J20</f>
        <v/>
      </c>
      <c r="K21" s="80">
        <f>Inputs!$C$36*K18+Inputs!$C$37*K19+Inputs!$C$38*K20</f>
        <v/>
      </c>
      <c r="L21" s="80">
        <f>Inputs!$C$36*L18+Inputs!$C$37*L19+Inputs!$C$38*L20</f>
        <v/>
      </c>
      <c r="M21" s="80">
        <f>Inputs!$C$36*M18+Inputs!$C$37*M19+Inputs!$C$38*M20</f>
        <v/>
      </c>
      <c r="N21" s="80">
        <f>Inputs!$C$36*N18+Inputs!$C$37*N19+Inputs!$C$38*N20</f>
        <v/>
      </c>
      <c r="O21" s="80">
        <f>Inputs!$C$36*O18+Inputs!$C$37*O19+Inputs!$C$38*O20</f>
        <v/>
      </c>
      <c r="P21" s="80">
        <f>Inputs!$C$36*P18+Inputs!$C$37*P19+Inputs!$C$38*P20</f>
        <v/>
      </c>
      <c r="Q21" s="80">
        <f>Inputs!$C$36*Q18+Inputs!$C$37*Q19+Inputs!$C$38*Q20</f>
        <v/>
      </c>
      <c r="R21" s="80">
        <f>Inputs!$C$36*R18+Inputs!$C$37*R19+Inputs!$C$38*R20</f>
        <v/>
      </c>
      <c r="S21" s="80">
        <f>Inputs!$C$36*S18+Inputs!$C$37*S19+Inputs!$C$38*S20</f>
        <v/>
      </c>
      <c r="T21" s="80">
        <f>Inputs!$C$36*T18+Inputs!$C$37*T19+Inputs!$C$38*T20</f>
        <v/>
      </c>
      <c r="U21" s="80">
        <f>Inputs!$C$36*U18+Inputs!$C$37*U19+Inputs!$C$38*U20</f>
        <v/>
      </c>
      <c r="V21" s="80">
        <f>Inputs!$C$36*V18+Inputs!$C$37*V19+Inputs!$C$38*V20</f>
        <v/>
      </c>
      <c r="W21" s="80">
        <f>Inputs!$C$36*W18+Inputs!$C$37*W19+Inputs!$C$38*W20</f>
        <v/>
      </c>
      <c r="X21" s="80">
        <f>Inputs!$C$36*X18+Inputs!$C$37*X19+Inputs!$C$38*X20</f>
        <v/>
      </c>
      <c r="Y21" s="80">
        <f>Inputs!$C$36*Y18+Inputs!$C$37*Y19+Inputs!$C$38*Y20</f>
        <v/>
      </c>
      <c r="Z21" s="80">
        <f>Inputs!$C$36*Z18+Inputs!$C$37*Z19+Inputs!$C$38*Z20</f>
        <v/>
      </c>
      <c r="AA21" s="80">
        <f>Inputs!$C$36*AA18+Inputs!$C$37*AA19+Inputs!$C$38*AA20</f>
        <v/>
      </c>
      <c r="AB21" s="80">
        <f>Inputs!$C$36*AB18+Inputs!$C$37*AB19+Inputs!$C$38*AB20</f>
        <v/>
      </c>
      <c r="AC21" s="80">
        <f>Inputs!$C$36*AC18+Inputs!$C$37*AC19+Inputs!$C$38*AC20</f>
        <v/>
      </c>
      <c r="AD21" s="80">
        <f>Inputs!$C$36*AD18+Inputs!$C$37*AD19+Inputs!$C$38*AD20</f>
        <v/>
      </c>
      <c r="AE21" s="80">
        <f>Inputs!$C$36*AE18+Inputs!$C$37*AE19+Inputs!$C$38*AE20</f>
        <v/>
      </c>
      <c r="AF21" s="80">
        <f>Inputs!$C$36*AF18+Inputs!$C$37*AF19+Inputs!$C$38*AF20</f>
        <v/>
      </c>
      <c r="AG21" s="80">
        <f>Inputs!$C$36*AG18+Inputs!$C$37*AG19+Inputs!$C$38*AG20</f>
        <v/>
      </c>
      <c r="AH21" s="80">
        <f>Inputs!$C$36*AH18+Inputs!$C$37*AH19+Inputs!$C$38*AH20</f>
        <v/>
      </c>
      <c r="AI21" s="80">
        <f>Inputs!$C$36*AI18+Inputs!$C$37*AI19+Inputs!$C$38*AI20</f>
        <v/>
      </c>
      <c r="AJ21" s="80">
        <f>Inputs!$C$36*AJ18+Inputs!$C$37*AJ19+Inputs!$C$38*AJ20</f>
        <v/>
      </c>
      <c r="AK21" s="80">
        <f>Inputs!$C$36*AK18+Inputs!$C$37*AK19+Inputs!$C$38*AK20</f>
        <v/>
      </c>
      <c r="AL21" s="80">
        <f>Inputs!$C$36*AL18+Inputs!$C$37*AL19+Inputs!$C$38*AL20</f>
        <v/>
      </c>
      <c r="AM21" s="80">
        <f>Inputs!$C$36*AM18+Inputs!$C$37*AM19+Inputs!$C$38*AM20</f>
        <v/>
      </c>
      <c r="AN21" s="80">
        <f>Inputs!$C$36*AN18+Inputs!$C$37*AN19+Inputs!$C$38*AN20</f>
        <v/>
      </c>
      <c r="AO21" s="80">
        <f>Inputs!$C$36*AO18+Inputs!$C$37*AO19+Inputs!$C$38*AO20</f>
        <v/>
      </c>
      <c r="AP21" s="80">
        <f>Inputs!$C$36*AP18+Inputs!$C$37*AP19+Inputs!$C$38*AP20</f>
        <v/>
      </c>
      <c r="AQ21" s="80">
        <f>Inputs!$C$36*AQ18+Inputs!$C$37*AQ19+Inputs!$C$38*AQ20</f>
        <v/>
      </c>
      <c r="AR21" s="80">
        <f>Inputs!$C$36*AR18+Inputs!$C$37*AR19+Inputs!$C$38*AR20</f>
        <v/>
      </c>
      <c r="AS21" s="80">
        <f>Inputs!$C$36*AS18+Inputs!$C$37*AS19+Inputs!$C$38*AS20</f>
        <v/>
      </c>
      <c r="AT21" s="80">
        <f>Inputs!$C$36*AT18+Inputs!$C$37*AT19+Inputs!$C$38*AT20</f>
        <v/>
      </c>
      <c r="AU21" s="80">
        <f>Inputs!$C$36*AU18+Inputs!$C$37*AU19+Inputs!$C$38*AU20</f>
        <v/>
      </c>
      <c r="AV21" s="80">
        <f>Inputs!$C$36*AV18+Inputs!$C$37*AV19+Inputs!$C$38*AV20</f>
        <v/>
      </c>
      <c r="AW21" s="80">
        <f>Inputs!$C$36*AW18+Inputs!$C$37*AW19+Inputs!$C$38*AW20</f>
        <v/>
      </c>
      <c r="AX21" s="80">
        <f>Inputs!$C$36*AX18+Inputs!$C$37*AX19+Inputs!$C$38*AX20</f>
        <v/>
      </c>
      <c r="AY21" s="80">
        <f>Inputs!$C$36*AY18+Inputs!$C$37*AY19+Inputs!$C$38*AY20</f>
        <v/>
      </c>
      <c r="AZ21" s="80">
        <f>Inputs!$C$36*AZ18+Inputs!$C$37*AZ19+Inputs!$C$38*AZ20</f>
        <v/>
      </c>
      <c r="BA21" s="80">
        <f>Inputs!$C$36*BA18+Inputs!$C$37*BA19+Inputs!$C$38*BA20</f>
        <v/>
      </c>
      <c r="BB21" s="80">
        <f>Inputs!$C$36*BB18+Inputs!$C$37*BB19+Inputs!$C$38*BB20</f>
        <v/>
      </c>
      <c r="BC21" s="80">
        <f>Inputs!$C$36*BC18+Inputs!$C$37*BC19+Inputs!$C$38*BC20</f>
        <v/>
      </c>
      <c r="BD21" s="80">
        <f>Inputs!$C$36*BD18+Inputs!$C$37*BD19+Inputs!$C$38*BD20</f>
        <v/>
      </c>
      <c r="BE21" s="80">
        <f>Inputs!$C$36*BE18+Inputs!$C$37*BE19+Inputs!$C$38*BE20</f>
        <v/>
      </c>
      <c r="BF21" s="80">
        <f>Inputs!$C$36*BF18+Inputs!$C$37*BF19+Inputs!$C$38*BF20</f>
        <v/>
      </c>
      <c r="BG21" s="80">
        <f>Inputs!$C$36*BG18+Inputs!$C$37*BG19+Inputs!$C$38*BG20</f>
        <v/>
      </c>
      <c r="BH21" s="80">
        <f>Inputs!$C$36*BH18+Inputs!$C$37*BH19+Inputs!$C$38*BH20</f>
        <v/>
      </c>
      <c r="BI21" s="80">
        <f>Inputs!$C$36*BI18+Inputs!$C$37*BI19+Inputs!$C$38*BI20</f>
        <v/>
      </c>
      <c r="BJ21" s="80">
        <f>Inputs!$C$36*BJ18+Inputs!$C$37*BJ19+Inputs!$C$38*BJ20</f>
        <v/>
      </c>
      <c r="BK21" s="80">
        <f>Inputs!$C$36*BK18+Inputs!$C$37*BK19+Inputs!$C$38*BK20</f>
        <v/>
      </c>
      <c r="BL21" s="80">
        <f>Inputs!$C$36*BL18+Inputs!$C$37*BL19+Inputs!$C$38*BL20</f>
        <v/>
      </c>
    </row>
    <row r="22">
      <c r="A22" s="100" t="inlineStr">
        <is>
          <t>Selected RBF (feeds Ops and P&amp;L)</t>
        </is>
      </c>
      <c r="B22" s="101" t="inlineStr">
        <is>
          <t>LCY</t>
        </is>
      </c>
      <c r="C22" s="102">
        <f>SUM(E22:BL22)</f>
        <v/>
      </c>
      <c r="D22" s="103" t="n"/>
      <c r="E22" s="104">
        <f>CHOOSE(MAX(1,MIN(4,INT(N(Inputs!$C$34)))),E18,E19,E20,E21)</f>
        <v/>
      </c>
      <c r="F22" s="104">
        <f>CHOOSE(MAX(1,MIN(4,INT(N(Inputs!$C$34)))),F18,F19,F20,F21)</f>
        <v/>
      </c>
      <c r="G22" s="104">
        <f>CHOOSE(MAX(1,MIN(4,INT(N(Inputs!$C$34)))),G18,G19,G20,G21)</f>
        <v/>
      </c>
      <c r="H22" s="104">
        <f>CHOOSE(MAX(1,MIN(4,INT(N(Inputs!$C$34)))),H18,H19,H20,H21)</f>
        <v/>
      </c>
      <c r="I22" s="104">
        <f>CHOOSE(MAX(1,MIN(4,INT(N(Inputs!$C$34)))),I18,I19,I20,I21)</f>
        <v/>
      </c>
      <c r="J22" s="104">
        <f>CHOOSE(MAX(1,MIN(4,INT(N(Inputs!$C$34)))),J18,J19,J20,J21)</f>
        <v/>
      </c>
      <c r="K22" s="104">
        <f>CHOOSE(MAX(1,MIN(4,INT(N(Inputs!$C$34)))),K18,K19,K20,K21)</f>
        <v/>
      </c>
      <c r="L22" s="104">
        <f>CHOOSE(MAX(1,MIN(4,INT(N(Inputs!$C$34)))),L18,L19,L20,L21)</f>
        <v/>
      </c>
      <c r="M22" s="104">
        <f>CHOOSE(MAX(1,MIN(4,INT(N(Inputs!$C$34)))),M18,M19,M20,M21)</f>
        <v/>
      </c>
      <c r="N22" s="104">
        <f>CHOOSE(MAX(1,MIN(4,INT(N(Inputs!$C$34)))),N18,N19,N20,N21)</f>
        <v/>
      </c>
      <c r="O22" s="104">
        <f>CHOOSE(MAX(1,MIN(4,INT(N(Inputs!$C$34)))),O18,O19,O20,O21)</f>
        <v/>
      </c>
      <c r="P22" s="104">
        <f>CHOOSE(MAX(1,MIN(4,INT(N(Inputs!$C$34)))),P18,P19,P20,P21)</f>
        <v/>
      </c>
      <c r="Q22" s="104">
        <f>CHOOSE(MAX(1,MIN(4,INT(N(Inputs!$C$34)))),Q18,Q19,Q20,Q21)</f>
        <v/>
      </c>
      <c r="R22" s="104">
        <f>CHOOSE(MAX(1,MIN(4,INT(N(Inputs!$C$34)))),R18,R19,R20,R21)</f>
        <v/>
      </c>
      <c r="S22" s="104">
        <f>CHOOSE(MAX(1,MIN(4,INT(N(Inputs!$C$34)))),S18,S19,S20,S21)</f>
        <v/>
      </c>
      <c r="T22" s="104">
        <f>CHOOSE(MAX(1,MIN(4,INT(N(Inputs!$C$34)))),T18,T19,T20,T21)</f>
        <v/>
      </c>
      <c r="U22" s="104">
        <f>CHOOSE(MAX(1,MIN(4,INT(N(Inputs!$C$34)))),U18,U19,U20,U21)</f>
        <v/>
      </c>
      <c r="V22" s="104">
        <f>CHOOSE(MAX(1,MIN(4,INT(N(Inputs!$C$34)))),V18,V19,V20,V21)</f>
        <v/>
      </c>
      <c r="W22" s="104">
        <f>CHOOSE(MAX(1,MIN(4,INT(N(Inputs!$C$34)))),W18,W19,W20,W21)</f>
        <v/>
      </c>
      <c r="X22" s="104">
        <f>CHOOSE(MAX(1,MIN(4,INT(N(Inputs!$C$34)))),X18,X19,X20,X21)</f>
        <v/>
      </c>
      <c r="Y22" s="104">
        <f>CHOOSE(MAX(1,MIN(4,INT(N(Inputs!$C$34)))),Y18,Y19,Y20,Y21)</f>
        <v/>
      </c>
      <c r="Z22" s="104">
        <f>CHOOSE(MAX(1,MIN(4,INT(N(Inputs!$C$34)))),Z18,Z19,Z20,Z21)</f>
        <v/>
      </c>
      <c r="AA22" s="104">
        <f>CHOOSE(MAX(1,MIN(4,INT(N(Inputs!$C$34)))),AA18,AA19,AA20,AA21)</f>
        <v/>
      </c>
      <c r="AB22" s="104">
        <f>CHOOSE(MAX(1,MIN(4,INT(N(Inputs!$C$34)))),AB18,AB19,AB20,AB21)</f>
        <v/>
      </c>
      <c r="AC22" s="104">
        <f>CHOOSE(MAX(1,MIN(4,INT(N(Inputs!$C$34)))),AC18,AC19,AC20,AC21)</f>
        <v/>
      </c>
      <c r="AD22" s="104">
        <f>CHOOSE(MAX(1,MIN(4,INT(N(Inputs!$C$34)))),AD18,AD19,AD20,AD21)</f>
        <v/>
      </c>
      <c r="AE22" s="104">
        <f>CHOOSE(MAX(1,MIN(4,INT(N(Inputs!$C$34)))),AE18,AE19,AE20,AE21)</f>
        <v/>
      </c>
      <c r="AF22" s="104">
        <f>CHOOSE(MAX(1,MIN(4,INT(N(Inputs!$C$34)))),AF18,AF19,AF20,AF21)</f>
        <v/>
      </c>
      <c r="AG22" s="104">
        <f>CHOOSE(MAX(1,MIN(4,INT(N(Inputs!$C$34)))),AG18,AG19,AG20,AG21)</f>
        <v/>
      </c>
      <c r="AH22" s="104">
        <f>CHOOSE(MAX(1,MIN(4,INT(N(Inputs!$C$34)))),AH18,AH19,AH20,AH21)</f>
        <v/>
      </c>
      <c r="AI22" s="104">
        <f>CHOOSE(MAX(1,MIN(4,INT(N(Inputs!$C$34)))),AI18,AI19,AI20,AI21)</f>
        <v/>
      </c>
      <c r="AJ22" s="104">
        <f>CHOOSE(MAX(1,MIN(4,INT(N(Inputs!$C$34)))),AJ18,AJ19,AJ20,AJ21)</f>
        <v/>
      </c>
      <c r="AK22" s="104">
        <f>CHOOSE(MAX(1,MIN(4,INT(N(Inputs!$C$34)))),AK18,AK19,AK20,AK21)</f>
        <v/>
      </c>
      <c r="AL22" s="104">
        <f>CHOOSE(MAX(1,MIN(4,INT(N(Inputs!$C$34)))),AL18,AL19,AL20,AL21)</f>
        <v/>
      </c>
      <c r="AM22" s="104">
        <f>CHOOSE(MAX(1,MIN(4,INT(N(Inputs!$C$34)))),AM18,AM19,AM20,AM21)</f>
        <v/>
      </c>
      <c r="AN22" s="104">
        <f>CHOOSE(MAX(1,MIN(4,INT(N(Inputs!$C$34)))),AN18,AN19,AN20,AN21)</f>
        <v/>
      </c>
      <c r="AO22" s="104">
        <f>CHOOSE(MAX(1,MIN(4,INT(N(Inputs!$C$34)))),AO18,AO19,AO20,AO21)</f>
        <v/>
      </c>
      <c r="AP22" s="104">
        <f>CHOOSE(MAX(1,MIN(4,INT(N(Inputs!$C$34)))),AP18,AP19,AP20,AP21)</f>
        <v/>
      </c>
      <c r="AQ22" s="104">
        <f>CHOOSE(MAX(1,MIN(4,INT(N(Inputs!$C$34)))),AQ18,AQ19,AQ20,AQ21)</f>
        <v/>
      </c>
      <c r="AR22" s="104">
        <f>CHOOSE(MAX(1,MIN(4,INT(N(Inputs!$C$34)))),AR18,AR19,AR20,AR21)</f>
        <v/>
      </c>
      <c r="AS22" s="104">
        <f>CHOOSE(MAX(1,MIN(4,INT(N(Inputs!$C$34)))),AS18,AS19,AS20,AS21)</f>
        <v/>
      </c>
      <c r="AT22" s="104">
        <f>CHOOSE(MAX(1,MIN(4,INT(N(Inputs!$C$34)))),AT18,AT19,AT20,AT21)</f>
        <v/>
      </c>
      <c r="AU22" s="104">
        <f>CHOOSE(MAX(1,MIN(4,INT(N(Inputs!$C$34)))),AU18,AU19,AU20,AU21)</f>
        <v/>
      </c>
      <c r="AV22" s="104">
        <f>CHOOSE(MAX(1,MIN(4,INT(N(Inputs!$C$34)))),AV18,AV19,AV20,AV21)</f>
        <v/>
      </c>
      <c r="AW22" s="104">
        <f>CHOOSE(MAX(1,MIN(4,INT(N(Inputs!$C$34)))),AW18,AW19,AW20,AW21)</f>
        <v/>
      </c>
      <c r="AX22" s="104">
        <f>CHOOSE(MAX(1,MIN(4,INT(N(Inputs!$C$34)))),AX18,AX19,AX20,AX21)</f>
        <v/>
      </c>
      <c r="AY22" s="104">
        <f>CHOOSE(MAX(1,MIN(4,INT(N(Inputs!$C$34)))),AY18,AY19,AY20,AY21)</f>
        <v/>
      </c>
      <c r="AZ22" s="104">
        <f>CHOOSE(MAX(1,MIN(4,INT(N(Inputs!$C$34)))),AZ18,AZ19,AZ20,AZ21)</f>
        <v/>
      </c>
      <c r="BA22" s="104">
        <f>CHOOSE(MAX(1,MIN(4,INT(N(Inputs!$C$34)))),BA18,BA19,BA20,BA21)</f>
        <v/>
      </c>
      <c r="BB22" s="104">
        <f>CHOOSE(MAX(1,MIN(4,INT(N(Inputs!$C$34)))),BB18,BB19,BB20,BB21)</f>
        <v/>
      </c>
      <c r="BC22" s="104">
        <f>CHOOSE(MAX(1,MIN(4,INT(N(Inputs!$C$34)))),BC18,BC19,BC20,BC21)</f>
        <v/>
      </c>
      <c r="BD22" s="104">
        <f>CHOOSE(MAX(1,MIN(4,INT(N(Inputs!$C$34)))),BD18,BD19,BD20,BD21)</f>
        <v/>
      </c>
      <c r="BE22" s="104">
        <f>CHOOSE(MAX(1,MIN(4,INT(N(Inputs!$C$34)))),BE18,BE19,BE20,BE21)</f>
        <v/>
      </c>
      <c r="BF22" s="104">
        <f>CHOOSE(MAX(1,MIN(4,INT(N(Inputs!$C$34)))),BF18,BF19,BF20,BF21)</f>
        <v/>
      </c>
      <c r="BG22" s="104">
        <f>CHOOSE(MAX(1,MIN(4,INT(N(Inputs!$C$34)))),BG18,BG19,BG20,BG21)</f>
        <v/>
      </c>
      <c r="BH22" s="104">
        <f>CHOOSE(MAX(1,MIN(4,INT(N(Inputs!$C$34)))),BH18,BH19,BH20,BH21)</f>
        <v/>
      </c>
      <c r="BI22" s="104">
        <f>CHOOSE(MAX(1,MIN(4,INT(N(Inputs!$C$34)))),BI18,BI19,BI20,BI21)</f>
        <v/>
      </c>
      <c r="BJ22" s="104">
        <f>CHOOSE(MAX(1,MIN(4,INT(N(Inputs!$C$34)))),BJ18,BJ19,BJ20,BJ21)</f>
        <v/>
      </c>
      <c r="BK22" s="104">
        <f>CHOOSE(MAX(1,MIN(4,INT(N(Inputs!$C$34)))),BK18,BK19,BK20,BK21)</f>
        <v/>
      </c>
      <c r="BL22" s="104">
        <f>CHOOSE(MAX(1,MIN(4,INT(N(Inputs!$C$34)))),BL18,BL19,BL20,BL21)</f>
        <v/>
      </c>
    </row>
    <row r="23">
      <c r="A23" s="98" t="inlineStr">
        <is>
          <t>Variance vs sales-based</t>
        </is>
      </c>
      <c r="B23" s="65" t="inlineStr">
        <is>
          <t>LCY</t>
        </is>
      </c>
      <c r="C23" s="105">
        <f>SUM(E23:BL23)</f>
        <v/>
      </c>
      <c r="E23" s="80">
        <f>E22-E18</f>
        <v/>
      </c>
      <c r="F23" s="80">
        <f>F22-F18</f>
        <v/>
      </c>
      <c r="G23" s="80">
        <f>G22-G18</f>
        <v/>
      </c>
      <c r="H23" s="80">
        <f>H22-H18</f>
        <v/>
      </c>
      <c r="I23" s="80">
        <f>I22-I18</f>
        <v/>
      </c>
      <c r="J23" s="80">
        <f>J22-J18</f>
        <v/>
      </c>
      <c r="K23" s="80">
        <f>K22-K18</f>
        <v/>
      </c>
      <c r="L23" s="80">
        <f>L22-L18</f>
        <v/>
      </c>
      <c r="M23" s="80">
        <f>M22-M18</f>
        <v/>
      </c>
      <c r="N23" s="80">
        <f>N22-N18</f>
        <v/>
      </c>
      <c r="O23" s="80">
        <f>O22-O18</f>
        <v/>
      </c>
      <c r="P23" s="80">
        <f>P22-P18</f>
        <v/>
      </c>
      <c r="Q23" s="80">
        <f>Q22-Q18</f>
        <v/>
      </c>
      <c r="R23" s="80">
        <f>R22-R18</f>
        <v/>
      </c>
      <c r="S23" s="80">
        <f>S22-S18</f>
        <v/>
      </c>
      <c r="T23" s="80">
        <f>T22-T18</f>
        <v/>
      </c>
      <c r="U23" s="80">
        <f>U22-U18</f>
        <v/>
      </c>
      <c r="V23" s="80">
        <f>V22-V18</f>
        <v/>
      </c>
      <c r="W23" s="80">
        <f>W22-W18</f>
        <v/>
      </c>
      <c r="X23" s="80">
        <f>X22-X18</f>
        <v/>
      </c>
      <c r="Y23" s="80">
        <f>Y22-Y18</f>
        <v/>
      </c>
      <c r="Z23" s="80">
        <f>Z22-Z18</f>
        <v/>
      </c>
      <c r="AA23" s="80">
        <f>AA22-AA18</f>
        <v/>
      </c>
      <c r="AB23" s="80">
        <f>AB22-AB18</f>
        <v/>
      </c>
      <c r="AC23" s="80">
        <f>AC22-AC18</f>
        <v/>
      </c>
      <c r="AD23" s="80">
        <f>AD22-AD18</f>
        <v/>
      </c>
      <c r="AE23" s="80">
        <f>AE22-AE18</f>
        <v/>
      </c>
      <c r="AF23" s="80">
        <f>AF22-AF18</f>
        <v/>
      </c>
      <c r="AG23" s="80">
        <f>AG22-AG18</f>
        <v/>
      </c>
      <c r="AH23" s="80">
        <f>AH22-AH18</f>
        <v/>
      </c>
      <c r="AI23" s="80">
        <f>AI22-AI18</f>
        <v/>
      </c>
      <c r="AJ23" s="80">
        <f>AJ22-AJ18</f>
        <v/>
      </c>
      <c r="AK23" s="80">
        <f>AK22-AK18</f>
        <v/>
      </c>
      <c r="AL23" s="80">
        <f>AL22-AL18</f>
        <v/>
      </c>
      <c r="AM23" s="80">
        <f>AM22-AM18</f>
        <v/>
      </c>
      <c r="AN23" s="80">
        <f>AN22-AN18</f>
        <v/>
      </c>
      <c r="AO23" s="80">
        <f>AO22-AO18</f>
        <v/>
      </c>
      <c r="AP23" s="80">
        <f>AP22-AP18</f>
        <v/>
      </c>
      <c r="AQ23" s="80">
        <f>AQ22-AQ18</f>
        <v/>
      </c>
      <c r="AR23" s="80">
        <f>AR22-AR18</f>
        <v/>
      </c>
      <c r="AS23" s="80">
        <f>AS22-AS18</f>
        <v/>
      </c>
      <c r="AT23" s="80">
        <f>AT22-AT18</f>
        <v/>
      </c>
      <c r="AU23" s="80">
        <f>AU22-AU18</f>
        <v/>
      </c>
      <c r="AV23" s="80">
        <f>AV22-AV18</f>
        <v/>
      </c>
      <c r="AW23" s="80">
        <f>AW22-AW18</f>
        <v/>
      </c>
      <c r="AX23" s="80">
        <f>AX22-AX18</f>
        <v/>
      </c>
      <c r="AY23" s="80">
        <f>AY22-AY18</f>
        <v/>
      </c>
      <c r="AZ23" s="80">
        <f>AZ22-AZ18</f>
        <v/>
      </c>
      <c r="BA23" s="80">
        <f>BA22-BA18</f>
        <v/>
      </c>
      <c r="BB23" s="80">
        <f>BB22-BB18</f>
        <v/>
      </c>
      <c r="BC23" s="80">
        <f>BC22-BC18</f>
        <v/>
      </c>
      <c r="BD23" s="80">
        <f>BD22-BD18</f>
        <v/>
      </c>
      <c r="BE23" s="80">
        <f>BE22-BE18</f>
        <v/>
      </c>
      <c r="BF23" s="80">
        <f>BF22-BF18</f>
        <v/>
      </c>
      <c r="BG23" s="80">
        <f>BG22-BG18</f>
        <v/>
      </c>
      <c r="BH23" s="80">
        <f>BH22-BH18</f>
        <v/>
      </c>
      <c r="BI23" s="80">
        <f>BI22-BI18</f>
        <v/>
      </c>
      <c r="BJ23" s="80">
        <f>BJ22-BJ18</f>
        <v/>
      </c>
      <c r="BK23" s="80">
        <f>BK22-BK18</f>
        <v/>
      </c>
      <c r="BL23" s="80">
        <f>BL22-BL18</f>
        <v/>
      </c>
    </row>
    <row r="24"/>
    <row r="25">
      <c r="A25" s="21" t="inlineStr">
        <is>
          <t>Tier 2: SHS with TV</t>
        </is>
      </c>
      <c r="B25" s="22" t="n"/>
      <c r="C25" s="22" t="n"/>
      <c r="D25" s="22" t="n"/>
      <c r="E25" s="22" t="n"/>
      <c r="F25" s="22"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c r="AA25" s="22" t="n"/>
      <c r="AB25" s="22" t="n"/>
      <c r="AC25" s="22" t="n"/>
      <c r="AD25" s="22" t="n"/>
      <c r="AE25" s="22" t="n"/>
      <c r="AF25" s="22" t="n"/>
      <c r="AG25" s="22" t="n"/>
      <c r="AH25" s="22" t="n"/>
      <c r="AI25" s="22" t="n"/>
      <c r="AJ25" s="22" t="n"/>
      <c r="AK25" s="22" t="n"/>
      <c r="AL25" s="22" t="n"/>
      <c r="AM25" s="22" t="n"/>
      <c r="AN25" s="22" t="n"/>
      <c r="AO25" s="22" t="n"/>
      <c r="AP25" s="22" t="n"/>
      <c r="AQ25" s="22" t="n"/>
      <c r="AR25" s="22" t="n"/>
      <c r="AS25" s="22" t="n"/>
      <c r="AT25" s="22" t="n"/>
      <c r="AU25" s="22" t="n"/>
      <c r="AV25" s="22" t="n"/>
      <c r="AW25" s="22" t="n"/>
      <c r="AX25" s="22" t="n"/>
      <c r="AY25" s="22" t="n"/>
      <c r="AZ25" s="22" t="n"/>
      <c r="BA25" s="22" t="n"/>
      <c r="BB25" s="22" t="n"/>
      <c r="BC25" s="22" t="n"/>
      <c r="BD25" s="22" t="n"/>
      <c r="BE25" s="22" t="n"/>
      <c r="BF25" s="22" t="n"/>
      <c r="BG25" s="22" t="n"/>
      <c r="BH25" s="22" t="n"/>
      <c r="BI25" s="22" t="n"/>
      <c r="BJ25" s="22" t="n"/>
      <c r="BK25" s="22" t="n"/>
      <c r="BL25" s="22" t="n"/>
    </row>
    <row r="26">
      <c r="A26" s="98" t="inlineStr">
        <is>
          <t>Sales-based RBF (per unit sold, after verification lag)</t>
        </is>
      </c>
      <c r="B26" s="65" t="inlineStr">
        <is>
          <t>LCY</t>
        </is>
      </c>
      <c r="C26" s="105">
        <f>SUM(E26:BL26)</f>
        <v/>
      </c>
      <c r="E26" s="80">
        <f>IF(E$4-Inputs!$C$33&gt;=1,INDEX(Ops!$E$34:$BL$34,1,E$4-Inputs!$C$33),0)*Products!$D$30*Timeline!E$8*Inputs!$C$32</f>
        <v/>
      </c>
      <c r="F26" s="80">
        <f>IF(F$4-Inputs!$C$33&gt;=1,INDEX(Ops!$E$34:$BL$34,1,F$4-Inputs!$C$33),0)*Products!$D$30*Timeline!F$8*Inputs!$C$32</f>
        <v/>
      </c>
      <c r="G26" s="80">
        <f>IF(G$4-Inputs!$C$33&gt;=1,INDEX(Ops!$E$34:$BL$34,1,G$4-Inputs!$C$33),0)*Products!$D$30*Timeline!G$8*Inputs!$C$32</f>
        <v/>
      </c>
      <c r="H26" s="80">
        <f>IF(H$4-Inputs!$C$33&gt;=1,INDEX(Ops!$E$34:$BL$34,1,H$4-Inputs!$C$33),0)*Products!$D$30*Timeline!H$8*Inputs!$C$32</f>
        <v/>
      </c>
      <c r="I26" s="80">
        <f>IF(I$4-Inputs!$C$33&gt;=1,INDEX(Ops!$E$34:$BL$34,1,I$4-Inputs!$C$33),0)*Products!$D$30*Timeline!I$8*Inputs!$C$32</f>
        <v/>
      </c>
      <c r="J26" s="80">
        <f>IF(J$4-Inputs!$C$33&gt;=1,INDEX(Ops!$E$34:$BL$34,1,J$4-Inputs!$C$33),0)*Products!$D$30*Timeline!J$8*Inputs!$C$32</f>
        <v/>
      </c>
      <c r="K26" s="80">
        <f>IF(K$4-Inputs!$C$33&gt;=1,INDEX(Ops!$E$34:$BL$34,1,K$4-Inputs!$C$33),0)*Products!$D$30*Timeline!K$8*Inputs!$C$32</f>
        <v/>
      </c>
      <c r="L26" s="80">
        <f>IF(L$4-Inputs!$C$33&gt;=1,INDEX(Ops!$E$34:$BL$34,1,L$4-Inputs!$C$33),0)*Products!$D$30*Timeline!L$8*Inputs!$C$32</f>
        <v/>
      </c>
      <c r="M26" s="80">
        <f>IF(M$4-Inputs!$C$33&gt;=1,INDEX(Ops!$E$34:$BL$34,1,M$4-Inputs!$C$33),0)*Products!$D$30*Timeline!M$8*Inputs!$C$32</f>
        <v/>
      </c>
      <c r="N26" s="80">
        <f>IF(N$4-Inputs!$C$33&gt;=1,INDEX(Ops!$E$34:$BL$34,1,N$4-Inputs!$C$33),0)*Products!$D$30*Timeline!N$8*Inputs!$C$32</f>
        <v/>
      </c>
      <c r="O26" s="80">
        <f>IF(O$4-Inputs!$C$33&gt;=1,INDEX(Ops!$E$34:$BL$34,1,O$4-Inputs!$C$33),0)*Products!$D$30*Timeline!O$8*Inputs!$C$32</f>
        <v/>
      </c>
      <c r="P26" s="80">
        <f>IF(P$4-Inputs!$C$33&gt;=1,INDEX(Ops!$E$34:$BL$34,1,P$4-Inputs!$C$33),0)*Products!$D$30*Timeline!P$8*Inputs!$C$32</f>
        <v/>
      </c>
      <c r="Q26" s="80">
        <f>IF(Q$4-Inputs!$C$33&gt;=1,INDEX(Ops!$E$34:$BL$34,1,Q$4-Inputs!$C$33),0)*Products!$D$30*Timeline!Q$8*Inputs!$C$32</f>
        <v/>
      </c>
      <c r="R26" s="80">
        <f>IF(R$4-Inputs!$C$33&gt;=1,INDEX(Ops!$E$34:$BL$34,1,R$4-Inputs!$C$33),0)*Products!$D$30*Timeline!R$8*Inputs!$C$32</f>
        <v/>
      </c>
      <c r="S26" s="80">
        <f>IF(S$4-Inputs!$C$33&gt;=1,INDEX(Ops!$E$34:$BL$34,1,S$4-Inputs!$C$33),0)*Products!$D$30*Timeline!S$8*Inputs!$C$32</f>
        <v/>
      </c>
      <c r="T26" s="80">
        <f>IF(T$4-Inputs!$C$33&gt;=1,INDEX(Ops!$E$34:$BL$34,1,T$4-Inputs!$C$33),0)*Products!$D$30*Timeline!T$8*Inputs!$C$32</f>
        <v/>
      </c>
      <c r="U26" s="80">
        <f>IF(U$4-Inputs!$C$33&gt;=1,INDEX(Ops!$E$34:$BL$34,1,U$4-Inputs!$C$33),0)*Products!$D$30*Timeline!U$8*Inputs!$C$32</f>
        <v/>
      </c>
      <c r="V26" s="80">
        <f>IF(V$4-Inputs!$C$33&gt;=1,INDEX(Ops!$E$34:$BL$34,1,V$4-Inputs!$C$33),0)*Products!$D$30*Timeline!V$8*Inputs!$C$32</f>
        <v/>
      </c>
      <c r="W26" s="80">
        <f>IF(W$4-Inputs!$C$33&gt;=1,INDEX(Ops!$E$34:$BL$34,1,W$4-Inputs!$C$33),0)*Products!$D$30*Timeline!W$8*Inputs!$C$32</f>
        <v/>
      </c>
      <c r="X26" s="80">
        <f>IF(X$4-Inputs!$C$33&gt;=1,INDEX(Ops!$E$34:$BL$34,1,X$4-Inputs!$C$33),0)*Products!$D$30*Timeline!X$8*Inputs!$C$32</f>
        <v/>
      </c>
      <c r="Y26" s="80">
        <f>IF(Y$4-Inputs!$C$33&gt;=1,INDEX(Ops!$E$34:$BL$34,1,Y$4-Inputs!$C$33),0)*Products!$D$30*Timeline!Y$8*Inputs!$C$32</f>
        <v/>
      </c>
      <c r="Z26" s="80">
        <f>IF(Z$4-Inputs!$C$33&gt;=1,INDEX(Ops!$E$34:$BL$34,1,Z$4-Inputs!$C$33),0)*Products!$D$30*Timeline!Z$8*Inputs!$C$32</f>
        <v/>
      </c>
      <c r="AA26" s="80">
        <f>IF(AA$4-Inputs!$C$33&gt;=1,INDEX(Ops!$E$34:$BL$34,1,AA$4-Inputs!$C$33),0)*Products!$D$30*Timeline!AA$8*Inputs!$C$32</f>
        <v/>
      </c>
      <c r="AB26" s="80">
        <f>IF(AB$4-Inputs!$C$33&gt;=1,INDEX(Ops!$E$34:$BL$34,1,AB$4-Inputs!$C$33),0)*Products!$D$30*Timeline!AB$8*Inputs!$C$32</f>
        <v/>
      </c>
      <c r="AC26" s="80">
        <f>IF(AC$4-Inputs!$C$33&gt;=1,INDEX(Ops!$E$34:$BL$34,1,AC$4-Inputs!$C$33),0)*Products!$D$30*Timeline!AC$8*Inputs!$C$32</f>
        <v/>
      </c>
      <c r="AD26" s="80">
        <f>IF(AD$4-Inputs!$C$33&gt;=1,INDEX(Ops!$E$34:$BL$34,1,AD$4-Inputs!$C$33),0)*Products!$D$30*Timeline!AD$8*Inputs!$C$32</f>
        <v/>
      </c>
      <c r="AE26" s="80">
        <f>IF(AE$4-Inputs!$C$33&gt;=1,INDEX(Ops!$E$34:$BL$34,1,AE$4-Inputs!$C$33),0)*Products!$D$30*Timeline!AE$8*Inputs!$C$32</f>
        <v/>
      </c>
      <c r="AF26" s="80">
        <f>IF(AF$4-Inputs!$C$33&gt;=1,INDEX(Ops!$E$34:$BL$34,1,AF$4-Inputs!$C$33),0)*Products!$D$30*Timeline!AF$8*Inputs!$C$32</f>
        <v/>
      </c>
      <c r="AG26" s="80">
        <f>IF(AG$4-Inputs!$C$33&gt;=1,INDEX(Ops!$E$34:$BL$34,1,AG$4-Inputs!$C$33),0)*Products!$D$30*Timeline!AG$8*Inputs!$C$32</f>
        <v/>
      </c>
      <c r="AH26" s="80">
        <f>IF(AH$4-Inputs!$C$33&gt;=1,INDEX(Ops!$E$34:$BL$34,1,AH$4-Inputs!$C$33),0)*Products!$D$30*Timeline!AH$8*Inputs!$C$32</f>
        <v/>
      </c>
      <c r="AI26" s="80">
        <f>IF(AI$4-Inputs!$C$33&gt;=1,INDEX(Ops!$E$34:$BL$34,1,AI$4-Inputs!$C$33),0)*Products!$D$30*Timeline!AI$8*Inputs!$C$32</f>
        <v/>
      </c>
      <c r="AJ26" s="80">
        <f>IF(AJ$4-Inputs!$C$33&gt;=1,INDEX(Ops!$E$34:$BL$34,1,AJ$4-Inputs!$C$33),0)*Products!$D$30*Timeline!AJ$8*Inputs!$C$32</f>
        <v/>
      </c>
      <c r="AK26" s="80">
        <f>IF(AK$4-Inputs!$C$33&gt;=1,INDEX(Ops!$E$34:$BL$34,1,AK$4-Inputs!$C$33),0)*Products!$D$30*Timeline!AK$8*Inputs!$C$32</f>
        <v/>
      </c>
      <c r="AL26" s="80">
        <f>IF(AL$4-Inputs!$C$33&gt;=1,INDEX(Ops!$E$34:$BL$34,1,AL$4-Inputs!$C$33),0)*Products!$D$30*Timeline!AL$8*Inputs!$C$32</f>
        <v/>
      </c>
      <c r="AM26" s="80">
        <f>IF(AM$4-Inputs!$C$33&gt;=1,INDEX(Ops!$E$34:$BL$34,1,AM$4-Inputs!$C$33),0)*Products!$D$30*Timeline!AM$8*Inputs!$C$32</f>
        <v/>
      </c>
      <c r="AN26" s="80">
        <f>IF(AN$4-Inputs!$C$33&gt;=1,INDEX(Ops!$E$34:$BL$34,1,AN$4-Inputs!$C$33),0)*Products!$D$30*Timeline!AN$8*Inputs!$C$32</f>
        <v/>
      </c>
      <c r="AO26" s="80">
        <f>IF(AO$4-Inputs!$C$33&gt;=1,INDEX(Ops!$E$34:$BL$34,1,AO$4-Inputs!$C$33),0)*Products!$D$30*Timeline!AO$8*Inputs!$C$32</f>
        <v/>
      </c>
      <c r="AP26" s="80">
        <f>IF(AP$4-Inputs!$C$33&gt;=1,INDEX(Ops!$E$34:$BL$34,1,AP$4-Inputs!$C$33),0)*Products!$D$30*Timeline!AP$8*Inputs!$C$32</f>
        <v/>
      </c>
      <c r="AQ26" s="80">
        <f>IF(AQ$4-Inputs!$C$33&gt;=1,INDEX(Ops!$E$34:$BL$34,1,AQ$4-Inputs!$C$33),0)*Products!$D$30*Timeline!AQ$8*Inputs!$C$32</f>
        <v/>
      </c>
      <c r="AR26" s="80">
        <f>IF(AR$4-Inputs!$C$33&gt;=1,INDEX(Ops!$E$34:$BL$34,1,AR$4-Inputs!$C$33),0)*Products!$D$30*Timeline!AR$8*Inputs!$C$32</f>
        <v/>
      </c>
      <c r="AS26" s="80">
        <f>IF(AS$4-Inputs!$C$33&gt;=1,INDEX(Ops!$E$34:$BL$34,1,AS$4-Inputs!$C$33),0)*Products!$D$30*Timeline!AS$8*Inputs!$C$32</f>
        <v/>
      </c>
      <c r="AT26" s="80">
        <f>IF(AT$4-Inputs!$C$33&gt;=1,INDEX(Ops!$E$34:$BL$34,1,AT$4-Inputs!$C$33),0)*Products!$D$30*Timeline!AT$8*Inputs!$C$32</f>
        <v/>
      </c>
      <c r="AU26" s="80">
        <f>IF(AU$4-Inputs!$C$33&gt;=1,INDEX(Ops!$E$34:$BL$34,1,AU$4-Inputs!$C$33),0)*Products!$D$30*Timeline!AU$8*Inputs!$C$32</f>
        <v/>
      </c>
      <c r="AV26" s="80">
        <f>IF(AV$4-Inputs!$C$33&gt;=1,INDEX(Ops!$E$34:$BL$34,1,AV$4-Inputs!$C$33),0)*Products!$D$30*Timeline!AV$8*Inputs!$C$32</f>
        <v/>
      </c>
      <c r="AW26" s="80">
        <f>IF(AW$4-Inputs!$C$33&gt;=1,INDEX(Ops!$E$34:$BL$34,1,AW$4-Inputs!$C$33),0)*Products!$D$30*Timeline!AW$8*Inputs!$C$32</f>
        <v/>
      </c>
      <c r="AX26" s="80">
        <f>IF(AX$4-Inputs!$C$33&gt;=1,INDEX(Ops!$E$34:$BL$34,1,AX$4-Inputs!$C$33),0)*Products!$D$30*Timeline!AX$8*Inputs!$C$32</f>
        <v/>
      </c>
      <c r="AY26" s="80">
        <f>IF(AY$4-Inputs!$C$33&gt;=1,INDEX(Ops!$E$34:$BL$34,1,AY$4-Inputs!$C$33),0)*Products!$D$30*Timeline!AY$8*Inputs!$C$32</f>
        <v/>
      </c>
      <c r="AZ26" s="80">
        <f>IF(AZ$4-Inputs!$C$33&gt;=1,INDEX(Ops!$E$34:$BL$34,1,AZ$4-Inputs!$C$33),0)*Products!$D$30*Timeline!AZ$8*Inputs!$C$32</f>
        <v/>
      </c>
      <c r="BA26" s="80">
        <f>IF(BA$4-Inputs!$C$33&gt;=1,INDEX(Ops!$E$34:$BL$34,1,BA$4-Inputs!$C$33),0)*Products!$D$30*Timeline!BA$8*Inputs!$C$32</f>
        <v/>
      </c>
      <c r="BB26" s="80">
        <f>IF(BB$4-Inputs!$C$33&gt;=1,INDEX(Ops!$E$34:$BL$34,1,BB$4-Inputs!$C$33),0)*Products!$D$30*Timeline!BB$8*Inputs!$C$32</f>
        <v/>
      </c>
      <c r="BC26" s="80">
        <f>IF(BC$4-Inputs!$C$33&gt;=1,INDEX(Ops!$E$34:$BL$34,1,BC$4-Inputs!$C$33),0)*Products!$D$30*Timeline!BC$8*Inputs!$C$32</f>
        <v/>
      </c>
      <c r="BD26" s="80">
        <f>IF(BD$4-Inputs!$C$33&gt;=1,INDEX(Ops!$E$34:$BL$34,1,BD$4-Inputs!$C$33),0)*Products!$D$30*Timeline!BD$8*Inputs!$C$32</f>
        <v/>
      </c>
      <c r="BE26" s="80">
        <f>IF(BE$4-Inputs!$C$33&gt;=1,INDEX(Ops!$E$34:$BL$34,1,BE$4-Inputs!$C$33),0)*Products!$D$30*Timeline!BE$8*Inputs!$C$32</f>
        <v/>
      </c>
      <c r="BF26" s="80">
        <f>IF(BF$4-Inputs!$C$33&gt;=1,INDEX(Ops!$E$34:$BL$34,1,BF$4-Inputs!$C$33),0)*Products!$D$30*Timeline!BF$8*Inputs!$C$32</f>
        <v/>
      </c>
      <c r="BG26" s="80">
        <f>IF(BG$4-Inputs!$C$33&gt;=1,INDEX(Ops!$E$34:$BL$34,1,BG$4-Inputs!$C$33),0)*Products!$D$30*Timeline!BG$8*Inputs!$C$32</f>
        <v/>
      </c>
      <c r="BH26" s="80">
        <f>IF(BH$4-Inputs!$C$33&gt;=1,INDEX(Ops!$E$34:$BL$34,1,BH$4-Inputs!$C$33),0)*Products!$D$30*Timeline!BH$8*Inputs!$C$32</f>
        <v/>
      </c>
      <c r="BI26" s="80">
        <f>IF(BI$4-Inputs!$C$33&gt;=1,INDEX(Ops!$E$34:$BL$34,1,BI$4-Inputs!$C$33),0)*Products!$D$30*Timeline!BI$8*Inputs!$C$32</f>
        <v/>
      </c>
      <c r="BJ26" s="80">
        <f>IF(BJ$4-Inputs!$C$33&gt;=1,INDEX(Ops!$E$34:$BL$34,1,BJ$4-Inputs!$C$33),0)*Products!$D$30*Timeline!BJ$8*Inputs!$C$32</f>
        <v/>
      </c>
      <c r="BK26" s="80">
        <f>IF(BK$4-Inputs!$C$33&gt;=1,INDEX(Ops!$E$34:$BL$34,1,BK$4-Inputs!$C$33),0)*Products!$D$30*Timeline!BK$8*Inputs!$C$32</f>
        <v/>
      </c>
      <c r="BL26" s="80">
        <f>IF(BL$4-Inputs!$C$33&gt;=1,INDEX(Ops!$E$34:$BL$34,1,BL$4-Inputs!$C$33),0)*Products!$D$30*Timeline!BL$8*Inputs!$C$32</f>
        <v/>
      </c>
    </row>
    <row r="27">
      <c r="A27" s="98" t="inlineStr">
        <is>
          <t>Repayment-linked RBF (sales-based x payout factor)</t>
        </is>
      </c>
      <c r="B27" s="65" t="inlineStr">
        <is>
          <t>LCY</t>
        </is>
      </c>
      <c r="C27" s="105">
        <f>SUM(E27:BL27)</f>
        <v/>
      </c>
      <c r="E27" s="80">
        <f>E26*$D$13</f>
        <v/>
      </c>
      <c r="F27" s="80">
        <f>F26*$D$13</f>
        <v/>
      </c>
      <c r="G27" s="80">
        <f>G26*$D$13</f>
        <v/>
      </c>
      <c r="H27" s="80">
        <f>H26*$D$13</f>
        <v/>
      </c>
      <c r="I27" s="80">
        <f>I26*$D$13</f>
        <v/>
      </c>
      <c r="J27" s="80">
        <f>J26*$D$13</f>
        <v/>
      </c>
      <c r="K27" s="80">
        <f>K26*$D$13</f>
        <v/>
      </c>
      <c r="L27" s="80">
        <f>L26*$D$13</f>
        <v/>
      </c>
      <c r="M27" s="80">
        <f>M26*$D$13</f>
        <v/>
      </c>
      <c r="N27" s="80">
        <f>N26*$D$13</f>
        <v/>
      </c>
      <c r="O27" s="80">
        <f>O26*$D$13</f>
        <v/>
      </c>
      <c r="P27" s="80">
        <f>P26*$D$13</f>
        <v/>
      </c>
      <c r="Q27" s="80">
        <f>Q26*$D$13</f>
        <v/>
      </c>
      <c r="R27" s="80">
        <f>R26*$D$13</f>
        <v/>
      </c>
      <c r="S27" s="80">
        <f>S26*$D$13</f>
        <v/>
      </c>
      <c r="T27" s="80">
        <f>T26*$D$13</f>
        <v/>
      </c>
      <c r="U27" s="80">
        <f>U26*$D$13</f>
        <v/>
      </c>
      <c r="V27" s="80">
        <f>V26*$D$13</f>
        <v/>
      </c>
      <c r="W27" s="80">
        <f>W26*$D$13</f>
        <v/>
      </c>
      <c r="X27" s="80">
        <f>X26*$D$13</f>
        <v/>
      </c>
      <c r="Y27" s="80">
        <f>Y26*$D$13</f>
        <v/>
      </c>
      <c r="Z27" s="80">
        <f>Z26*$D$13</f>
        <v/>
      </c>
      <c r="AA27" s="80">
        <f>AA26*$D$13</f>
        <v/>
      </c>
      <c r="AB27" s="80">
        <f>AB26*$D$13</f>
        <v/>
      </c>
      <c r="AC27" s="80">
        <f>AC26*$D$13</f>
        <v/>
      </c>
      <c r="AD27" s="80">
        <f>AD26*$D$13</f>
        <v/>
      </c>
      <c r="AE27" s="80">
        <f>AE26*$D$13</f>
        <v/>
      </c>
      <c r="AF27" s="80">
        <f>AF26*$D$13</f>
        <v/>
      </c>
      <c r="AG27" s="80">
        <f>AG26*$D$13</f>
        <v/>
      </c>
      <c r="AH27" s="80">
        <f>AH26*$D$13</f>
        <v/>
      </c>
      <c r="AI27" s="80">
        <f>AI26*$D$13</f>
        <v/>
      </c>
      <c r="AJ27" s="80">
        <f>AJ26*$D$13</f>
        <v/>
      </c>
      <c r="AK27" s="80">
        <f>AK26*$D$13</f>
        <v/>
      </c>
      <c r="AL27" s="80">
        <f>AL26*$D$13</f>
        <v/>
      </c>
      <c r="AM27" s="80">
        <f>AM26*$D$13</f>
        <v/>
      </c>
      <c r="AN27" s="80">
        <f>AN26*$D$13</f>
        <v/>
      </c>
      <c r="AO27" s="80">
        <f>AO26*$D$13</f>
        <v/>
      </c>
      <c r="AP27" s="80">
        <f>AP26*$D$13</f>
        <v/>
      </c>
      <c r="AQ27" s="80">
        <f>AQ26*$D$13</f>
        <v/>
      </c>
      <c r="AR27" s="80">
        <f>AR26*$D$13</f>
        <v/>
      </c>
      <c r="AS27" s="80">
        <f>AS26*$D$13</f>
        <v/>
      </c>
      <c r="AT27" s="80">
        <f>AT26*$D$13</f>
        <v/>
      </c>
      <c r="AU27" s="80">
        <f>AU26*$D$13</f>
        <v/>
      </c>
      <c r="AV27" s="80">
        <f>AV26*$D$13</f>
        <v/>
      </c>
      <c r="AW27" s="80">
        <f>AW26*$D$13</f>
        <v/>
      </c>
      <c r="AX27" s="80">
        <f>AX26*$D$13</f>
        <v/>
      </c>
      <c r="AY27" s="80">
        <f>AY26*$D$13</f>
        <v/>
      </c>
      <c r="AZ27" s="80">
        <f>AZ26*$D$13</f>
        <v/>
      </c>
      <c r="BA27" s="80">
        <f>BA26*$D$13</f>
        <v/>
      </c>
      <c r="BB27" s="80">
        <f>BB26*$D$13</f>
        <v/>
      </c>
      <c r="BC27" s="80">
        <f>BC26*$D$13</f>
        <v/>
      </c>
      <c r="BD27" s="80">
        <f>BD26*$D$13</f>
        <v/>
      </c>
      <c r="BE27" s="80">
        <f>BE26*$D$13</f>
        <v/>
      </c>
      <c r="BF27" s="80">
        <f>BF26*$D$13</f>
        <v/>
      </c>
      <c r="BG27" s="80">
        <f>BG26*$D$13</f>
        <v/>
      </c>
      <c r="BH27" s="80">
        <f>BH26*$D$13</f>
        <v/>
      </c>
      <c r="BI27" s="80">
        <f>BI26*$D$13</f>
        <v/>
      </c>
      <c r="BJ27" s="80">
        <f>BJ26*$D$13</f>
        <v/>
      </c>
      <c r="BK27" s="80">
        <f>BK26*$D$13</f>
        <v/>
      </c>
      <c r="BL27" s="80">
        <f>BL26*$D$13</f>
        <v/>
      </c>
    </row>
    <row r="28">
      <c r="A28" s="98" t="inlineStr">
        <is>
          <t>Ownership-linked RBF (paid at 2 x tenor on validated ownership)</t>
        </is>
      </c>
      <c r="B28" s="65" t="inlineStr">
        <is>
          <t>LCY</t>
        </is>
      </c>
      <c r="C28" s="105">
        <f>SUM(E28:BL28)</f>
        <v/>
      </c>
      <c r="E28" s="80">
        <f>IF(AND(Inputs!$C$39=1,E$4-$D$15&gt;=1),INDEX(Ops!$E$34:$BL$34,1,E$4-$D$15),0)*Products!$D$30*Timeline!E$8*Inputs!$C$32*$D$14</f>
        <v/>
      </c>
      <c r="F28" s="80">
        <f>IF(AND(Inputs!$C$39=1,F$4-$D$15&gt;=1),INDEX(Ops!$E$34:$BL$34,1,F$4-$D$15),0)*Products!$D$30*Timeline!F$8*Inputs!$C$32*$D$14</f>
        <v/>
      </c>
      <c r="G28" s="80">
        <f>IF(AND(Inputs!$C$39=1,G$4-$D$15&gt;=1),INDEX(Ops!$E$34:$BL$34,1,G$4-$D$15),0)*Products!$D$30*Timeline!G$8*Inputs!$C$32*$D$14</f>
        <v/>
      </c>
      <c r="H28" s="80">
        <f>IF(AND(Inputs!$C$39=1,H$4-$D$15&gt;=1),INDEX(Ops!$E$34:$BL$34,1,H$4-$D$15),0)*Products!$D$30*Timeline!H$8*Inputs!$C$32*$D$14</f>
        <v/>
      </c>
      <c r="I28" s="80">
        <f>IF(AND(Inputs!$C$39=1,I$4-$D$15&gt;=1),INDEX(Ops!$E$34:$BL$34,1,I$4-$D$15),0)*Products!$D$30*Timeline!I$8*Inputs!$C$32*$D$14</f>
        <v/>
      </c>
      <c r="J28" s="80">
        <f>IF(AND(Inputs!$C$39=1,J$4-$D$15&gt;=1),INDEX(Ops!$E$34:$BL$34,1,J$4-$D$15),0)*Products!$D$30*Timeline!J$8*Inputs!$C$32*$D$14</f>
        <v/>
      </c>
      <c r="K28" s="80">
        <f>IF(AND(Inputs!$C$39=1,K$4-$D$15&gt;=1),INDEX(Ops!$E$34:$BL$34,1,K$4-$D$15),0)*Products!$D$30*Timeline!K$8*Inputs!$C$32*$D$14</f>
        <v/>
      </c>
      <c r="L28" s="80">
        <f>IF(AND(Inputs!$C$39=1,L$4-$D$15&gt;=1),INDEX(Ops!$E$34:$BL$34,1,L$4-$D$15),0)*Products!$D$30*Timeline!L$8*Inputs!$C$32*$D$14</f>
        <v/>
      </c>
      <c r="M28" s="80">
        <f>IF(AND(Inputs!$C$39=1,M$4-$D$15&gt;=1),INDEX(Ops!$E$34:$BL$34,1,M$4-$D$15),0)*Products!$D$30*Timeline!M$8*Inputs!$C$32*$D$14</f>
        <v/>
      </c>
      <c r="N28" s="80">
        <f>IF(AND(Inputs!$C$39=1,N$4-$D$15&gt;=1),INDEX(Ops!$E$34:$BL$34,1,N$4-$D$15),0)*Products!$D$30*Timeline!N$8*Inputs!$C$32*$D$14</f>
        <v/>
      </c>
      <c r="O28" s="80">
        <f>IF(AND(Inputs!$C$39=1,O$4-$D$15&gt;=1),INDEX(Ops!$E$34:$BL$34,1,O$4-$D$15),0)*Products!$D$30*Timeline!O$8*Inputs!$C$32*$D$14</f>
        <v/>
      </c>
      <c r="P28" s="80">
        <f>IF(AND(Inputs!$C$39=1,P$4-$D$15&gt;=1),INDEX(Ops!$E$34:$BL$34,1,P$4-$D$15),0)*Products!$D$30*Timeline!P$8*Inputs!$C$32*$D$14</f>
        <v/>
      </c>
      <c r="Q28" s="80">
        <f>IF(AND(Inputs!$C$39=1,Q$4-$D$15&gt;=1),INDEX(Ops!$E$34:$BL$34,1,Q$4-$D$15),0)*Products!$D$30*Timeline!Q$8*Inputs!$C$32*$D$14</f>
        <v/>
      </c>
      <c r="R28" s="80">
        <f>IF(AND(Inputs!$C$39=1,R$4-$D$15&gt;=1),INDEX(Ops!$E$34:$BL$34,1,R$4-$D$15),0)*Products!$D$30*Timeline!R$8*Inputs!$C$32*$D$14</f>
        <v/>
      </c>
      <c r="S28" s="80">
        <f>IF(AND(Inputs!$C$39=1,S$4-$D$15&gt;=1),INDEX(Ops!$E$34:$BL$34,1,S$4-$D$15),0)*Products!$D$30*Timeline!S$8*Inputs!$C$32*$D$14</f>
        <v/>
      </c>
      <c r="T28" s="80">
        <f>IF(AND(Inputs!$C$39=1,T$4-$D$15&gt;=1),INDEX(Ops!$E$34:$BL$34,1,T$4-$D$15),0)*Products!$D$30*Timeline!T$8*Inputs!$C$32*$D$14</f>
        <v/>
      </c>
      <c r="U28" s="80">
        <f>IF(AND(Inputs!$C$39=1,U$4-$D$15&gt;=1),INDEX(Ops!$E$34:$BL$34,1,U$4-$D$15),0)*Products!$D$30*Timeline!U$8*Inputs!$C$32*$D$14</f>
        <v/>
      </c>
      <c r="V28" s="80">
        <f>IF(AND(Inputs!$C$39=1,V$4-$D$15&gt;=1),INDEX(Ops!$E$34:$BL$34,1,V$4-$D$15),0)*Products!$D$30*Timeline!V$8*Inputs!$C$32*$D$14</f>
        <v/>
      </c>
      <c r="W28" s="80">
        <f>IF(AND(Inputs!$C$39=1,W$4-$D$15&gt;=1),INDEX(Ops!$E$34:$BL$34,1,W$4-$D$15),0)*Products!$D$30*Timeline!W$8*Inputs!$C$32*$D$14</f>
        <v/>
      </c>
      <c r="X28" s="80">
        <f>IF(AND(Inputs!$C$39=1,X$4-$D$15&gt;=1),INDEX(Ops!$E$34:$BL$34,1,X$4-$D$15),0)*Products!$D$30*Timeline!X$8*Inputs!$C$32*$D$14</f>
        <v/>
      </c>
      <c r="Y28" s="80">
        <f>IF(AND(Inputs!$C$39=1,Y$4-$D$15&gt;=1),INDEX(Ops!$E$34:$BL$34,1,Y$4-$D$15),0)*Products!$D$30*Timeline!Y$8*Inputs!$C$32*$D$14</f>
        <v/>
      </c>
      <c r="Z28" s="80">
        <f>IF(AND(Inputs!$C$39=1,Z$4-$D$15&gt;=1),INDEX(Ops!$E$34:$BL$34,1,Z$4-$D$15),0)*Products!$D$30*Timeline!Z$8*Inputs!$C$32*$D$14</f>
        <v/>
      </c>
      <c r="AA28" s="80">
        <f>IF(AND(Inputs!$C$39=1,AA$4-$D$15&gt;=1),INDEX(Ops!$E$34:$BL$34,1,AA$4-$D$15),0)*Products!$D$30*Timeline!AA$8*Inputs!$C$32*$D$14</f>
        <v/>
      </c>
      <c r="AB28" s="80">
        <f>IF(AND(Inputs!$C$39=1,AB$4-$D$15&gt;=1),INDEX(Ops!$E$34:$BL$34,1,AB$4-$D$15),0)*Products!$D$30*Timeline!AB$8*Inputs!$C$32*$D$14</f>
        <v/>
      </c>
      <c r="AC28" s="80">
        <f>IF(AND(Inputs!$C$39=1,AC$4-$D$15&gt;=1),INDEX(Ops!$E$34:$BL$34,1,AC$4-$D$15),0)*Products!$D$30*Timeline!AC$8*Inputs!$C$32*$D$14</f>
        <v/>
      </c>
      <c r="AD28" s="80">
        <f>IF(AND(Inputs!$C$39=1,AD$4-$D$15&gt;=1),INDEX(Ops!$E$34:$BL$34,1,AD$4-$D$15),0)*Products!$D$30*Timeline!AD$8*Inputs!$C$32*$D$14</f>
        <v/>
      </c>
      <c r="AE28" s="80">
        <f>IF(AND(Inputs!$C$39=1,AE$4-$D$15&gt;=1),INDEX(Ops!$E$34:$BL$34,1,AE$4-$D$15),0)*Products!$D$30*Timeline!AE$8*Inputs!$C$32*$D$14</f>
        <v/>
      </c>
      <c r="AF28" s="80">
        <f>IF(AND(Inputs!$C$39=1,AF$4-$D$15&gt;=1),INDEX(Ops!$E$34:$BL$34,1,AF$4-$D$15),0)*Products!$D$30*Timeline!AF$8*Inputs!$C$32*$D$14</f>
        <v/>
      </c>
      <c r="AG28" s="80">
        <f>IF(AND(Inputs!$C$39=1,AG$4-$D$15&gt;=1),INDEX(Ops!$E$34:$BL$34,1,AG$4-$D$15),0)*Products!$D$30*Timeline!AG$8*Inputs!$C$32*$D$14</f>
        <v/>
      </c>
      <c r="AH28" s="80">
        <f>IF(AND(Inputs!$C$39=1,AH$4-$D$15&gt;=1),INDEX(Ops!$E$34:$BL$34,1,AH$4-$D$15),0)*Products!$D$30*Timeline!AH$8*Inputs!$C$32*$D$14</f>
        <v/>
      </c>
      <c r="AI28" s="80">
        <f>IF(AND(Inputs!$C$39=1,AI$4-$D$15&gt;=1),INDEX(Ops!$E$34:$BL$34,1,AI$4-$D$15),0)*Products!$D$30*Timeline!AI$8*Inputs!$C$32*$D$14</f>
        <v/>
      </c>
      <c r="AJ28" s="80">
        <f>IF(AND(Inputs!$C$39=1,AJ$4-$D$15&gt;=1),INDEX(Ops!$E$34:$BL$34,1,AJ$4-$D$15),0)*Products!$D$30*Timeline!AJ$8*Inputs!$C$32*$D$14</f>
        <v/>
      </c>
      <c r="AK28" s="80">
        <f>IF(AND(Inputs!$C$39=1,AK$4-$D$15&gt;=1),INDEX(Ops!$E$34:$BL$34,1,AK$4-$D$15),0)*Products!$D$30*Timeline!AK$8*Inputs!$C$32*$D$14</f>
        <v/>
      </c>
      <c r="AL28" s="80">
        <f>IF(AND(Inputs!$C$39=1,AL$4-$D$15&gt;=1),INDEX(Ops!$E$34:$BL$34,1,AL$4-$D$15),0)*Products!$D$30*Timeline!AL$8*Inputs!$C$32*$D$14</f>
        <v/>
      </c>
      <c r="AM28" s="80">
        <f>IF(AND(Inputs!$C$39=1,AM$4-$D$15&gt;=1),INDEX(Ops!$E$34:$BL$34,1,AM$4-$D$15),0)*Products!$D$30*Timeline!AM$8*Inputs!$C$32*$D$14</f>
        <v/>
      </c>
      <c r="AN28" s="80">
        <f>IF(AND(Inputs!$C$39=1,AN$4-$D$15&gt;=1),INDEX(Ops!$E$34:$BL$34,1,AN$4-$D$15),0)*Products!$D$30*Timeline!AN$8*Inputs!$C$32*$D$14</f>
        <v/>
      </c>
      <c r="AO28" s="80">
        <f>IF(AND(Inputs!$C$39=1,AO$4-$D$15&gt;=1),INDEX(Ops!$E$34:$BL$34,1,AO$4-$D$15),0)*Products!$D$30*Timeline!AO$8*Inputs!$C$32*$D$14</f>
        <v/>
      </c>
      <c r="AP28" s="80">
        <f>IF(AND(Inputs!$C$39=1,AP$4-$D$15&gt;=1),INDEX(Ops!$E$34:$BL$34,1,AP$4-$D$15),0)*Products!$D$30*Timeline!AP$8*Inputs!$C$32*$D$14</f>
        <v/>
      </c>
      <c r="AQ28" s="80">
        <f>IF(AND(Inputs!$C$39=1,AQ$4-$D$15&gt;=1),INDEX(Ops!$E$34:$BL$34,1,AQ$4-$D$15),0)*Products!$D$30*Timeline!AQ$8*Inputs!$C$32*$D$14</f>
        <v/>
      </c>
      <c r="AR28" s="80">
        <f>IF(AND(Inputs!$C$39=1,AR$4-$D$15&gt;=1),INDEX(Ops!$E$34:$BL$34,1,AR$4-$D$15),0)*Products!$D$30*Timeline!AR$8*Inputs!$C$32*$D$14</f>
        <v/>
      </c>
      <c r="AS28" s="80">
        <f>IF(AND(Inputs!$C$39=1,AS$4-$D$15&gt;=1),INDEX(Ops!$E$34:$BL$34,1,AS$4-$D$15),0)*Products!$D$30*Timeline!AS$8*Inputs!$C$32*$D$14</f>
        <v/>
      </c>
      <c r="AT28" s="80">
        <f>IF(AND(Inputs!$C$39=1,AT$4-$D$15&gt;=1),INDEX(Ops!$E$34:$BL$34,1,AT$4-$D$15),0)*Products!$D$30*Timeline!AT$8*Inputs!$C$32*$D$14</f>
        <v/>
      </c>
      <c r="AU28" s="80">
        <f>IF(AND(Inputs!$C$39=1,AU$4-$D$15&gt;=1),INDEX(Ops!$E$34:$BL$34,1,AU$4-$D$15),0)*Products!$D$30*Timeline!AU$8*Inputs!$C$32*$D$14</f>
        <v/>
      </c>
      <c r="AV28" s="80">
        <f>IF(AND(Inputs!$C$39=1,AV$4-$D$15&gt;=1),INDEX(Ops!$E$34:$BL$34,1,AV$4-$D$15),0)*Products!$D$30*Timeline!AV$8*Inputs!$C$32*$D$14</f>
        <v/>
      </c>
      <c r="AW28" s="80">
        <f>IF(AND(Inputs!$C$39=1,AW$4-$D$15&gt;=1),INDEX(Ops!$E$34:$BL$34,1,AW$4-$D$15),0)*Products!$D$30*Timeline!AW$8*Inputs!$C$32*$D$14</f>
        <v/>
      </c>
      <c r="AX28" s="80">
        <f>IF(AND(Inputs!$C$39=1,AX$4-$D$15&gt;=1),INDEX(Ops!$E$34:$BL$34,1,AX$4-$D$15),0)*Products!$D$30*Timeline!AX$8*Inputs!$C$32*$D$14</f>
        <v/>
      </c>
      <c r="AY28" s="80">
        <f>IF(AND(Inputs!$C$39=1,AY$4-$D$15&gt;=1),INDEX(Ops!$E$34:$BL$34,1,AY$4-$D$15),0)*Products!$D$30*Timeline!AY$8*Inputs!$C$32*$D$14</f>
        <v/>
      </c>
      <c r="AZ28" s="80">
        <f>IF(AND(Inputs!$C$39=1,AZ$4-$D$15&gt;=1),INDEX(Ops!$E$34:$BL$34,1,AZ$4-$D$15),0)*Products!$D$30*Timeline!AZ$8*Inputs!$C$32*$D$14</f>
        <v/>
      </c>
      <c r="BA28" s="80">
        <f>IF(AND(Inputs!$C$39=1,BA$4-$D$15&gt;=1),INDEX(Ops!$E$34:$BL$34,1,BA$4-$D$15),0)*Products!$D$30*Timeline!BA$8*Inputs!$C$32*$D$14</f>
        <v/>
      </c>
      <c r="BB28" s="80">
        <f>IF(AND(Inputs!$C$39=1,BB$4-$D$15&gt;=1),INDEX(Ops!$E$34:$BL$34,1,BB$4-$D$15),0)*Products!$D$30*Timeline!BB$8*Inputs!$C$32*$D$14</f>
        <v/>
      </c>
      <c r="BC28" s="80">
        <f>IF(AND(Inputs!$C$39=1,BC$4-$D$15&gt;=1),INDEX(Ops!$E$34:$BL$34,1,BC$4-$D$15),0)*Products!$D$30*Timeline!BC$8*Inputs!$C$32*$D$14</f>
        <v/>
      </c>
      <c r="BD28" s="80">
        <f>IF(AND(Inputs!$C$39=1,BD$4-$D$15&gt;=1),INDEX(Ops!$E$34:$BL$34,1,BD$4-$D$15),0)*Products!$D$30*Timeline!BD$8*Inputs!$C$32*$D$14</f>
        <v/>
      </c>
      <c r="BE28" s="80">
        <f>IF(AND(Inputs!$C$39=1,BE$4-$D$15&gt;=1),INDEX(Ops!$E$34:$BL$34,1,BE$4-$D$15),0)*Products!$D$30*Timeline!BE$8*Inputs!$C$32*$D$14</f>
        <v/>
      </c>
      <c r="BF28" s="80">
        <f>IF(AND(Inputs!$C$39=1,BF$4-$D$15&gt;=1),INDEX(Ops!$E$34:$BL$34,1,BF$4-$D$15),0)*Products!$D$30*Timeline!BF$8*Inputs!$C$32*$D$14</f>
        <v/>
      </c>
      <c r="BG28" s="80">
        <f>IF(AND(Inputs!$C$39=1,BG$4-$D$15&gt;=1),INDEX(Ops!$E$34:$BL$34,1,BG$4-$D$15),0)*Products!$D$30*Timeline!BG$8*Inputs!$C$32*$D$14</f>
        <v/>
      </c>
      <c r="BH28" s="80">
        <f>IF(AND(Inputs!$C$39=1,BH$4-$D$15&gt;=1),INDEX(Ops!$E$34:$BL$34,1,BH$4-$D$15),0)*Products!$D$30*Timeline!BH$8*Inputs!$C$32*$D$14</f>
        <v/>
      </c>
      <c r="BI28" s="80">
        <f>IF(AND(Inputs!$C$39=1,BI$4-$D$15&gt;=1),INDEX(Ops!$E$34:$BL$34,1,BI$4-$D$15),0)*Products!$D$30*Timeline!BI$8*Inputs!$C$32*$D$14</f>
        <v/>
      </c>
      <c r="BJ28" s="80">
        <f>IF(AND(Inputs!$C$39=1,BJ$4-$D$15&gt;=1),INDEX(Ops!$E$34:$BL$34,1,BJ$4-$D$15),0)*Products!$D$30*Timeline!BJ$8*Inputs!$C$32*$D$14</f>
        <v/>
      </c>
      <c r="BK28" s="80">
        <f>IF(AND(Inputs!$C$39=1,BK$4-$D$15&gt;=1),INDEX(Ops!$E$34:$BL$34,1,BK$4-$D$15),0)*Products!$D$30*Timeline!BK$8*Inputs!$C$32*$D$14</f>
        <v/>
      </c>
      <c r="BL28" s="80">
        <f>IF(AND(Inputs!$C$39=1,BL$4-$D$15&gt;=1),INDEX(Ops!$E$34:$BL$34,1,BL$4-$D$15),0)*Products!$D$30*Timeline!BL$8*Inputs!$C$32*$D$14</f>
        <v/>
      </c>
    </row>
    <row r="29">
      <c r="A29" s="98" t="inlineStr">
        <is>
          <t>Hybrid RBF (weighted)</t>
        </is>
      </c>
      <c r="B29" s="65" t="inlineStr">
        <is>
          <t>LCY</t>
        </is>
      </c>
      <c r="C29" s="105">
        <f>SUM(E29:BL29)</f>
        <v/>
      </c>
      <c r="E29" s="80">
        <f>Inputs!$C$36*E26+Inputs!$C$37*E27+Inputs!$C$38*E28</f>
        <v/>
      </c>
      <c r="F29" s="80">
        <f>Inputs!$C$36*F26+Inputs!$C$37*F27+Inputs!$C$38*F28</f>
        <v/>
      </c>
      <c r="G29" s="80">
        <f>Inputs!$C$36*G26+Inputs!$C$37*G27+Inputs!$C$38*G28</f>
        <v/>
      </c>
      <c r="H29" s="80">
        <f>Inputs!$C$36*H26+Inputs!$C$37*H27+Inputs!$C$38*H28</f>
        <v/>
      </c>
      <c r="I29" s="80">
        <f>Inputs!$C$36*I26+Inputs!$C$37*I27+Inputs!$C$38*I28</f>
        <v/>
      </c>
      <c r="J29" s="80">
        <f>Inputs!$C$36*J26+Inputs!$C$37*J27+Inputs!$C$38*J28</f>
        <v/>
      </c>
      <c r="K29" s="80">
        <f>Inputs!$C$36*K26+Inputs!$C$37*K27+Inputs!$C$38*K28</f>
        <v/>
      </c>
      <c r="L29" s="80">
        <f>Inputs!$C$36*L26+Inputs!$C$37*L27+Inputs!$C$38*L28</f>
        <v/>
      </c>
      <c r="M29" s="80">
        <f>Inputs!$C$36*M26+Inputs!$C$37*M27+Inputs!$C$38*M28</f>
        <v/>
      </c>
      <c r="N29" s="80">
        <f>Inputs!$C$36*N26+Inputs!$C$37*N27+Inputs!$C$38*N28</f>
        <v/>
      </c>
      <c r="O29" s="80">
        <f>Inputs!$C$36*O26+Inputs!$C$37*O27+Inputs!$C$38*O28</f>
        <v/>
      </c>
      <c r="P29" s="80">
        <f>Inputs!$C$36*P26+Inputs!$C$37*P27+Inputs!$C$38*P28</f>
        <v/>
      </c>
      <c r="Q29" s="80">
        <f>Inputs!$C$36*Q26+Inputs!$C$37*Q27+Inputs!$C$38*Q28</f>
        <v/>
      </c>
      <c r="R29" s="80">
        <f>Inputs!$C$36*R26+Inputs!$C$37*R27+Inputs!$C$38*R28</f>
        <v/>
      </c>
      <c r="S29" s="80">
        <f>Inputs!$C$36*S26+Inputs!$C$37*S27+Inputs!$C$38*S28</f>
        <v/>
      </c>
      <c r="T29" s="80">
        <f>Inputs!$C$36*T26+Inputs!$C$37*T27+Inputs!$C$38*T28</f>
        <v/>
      </c>
      <c r="U29" s="80">
        <f>Inputs!$C$36*U26+Inputs!$C$37*U27+Inputs!$C$38*U28</f>
        <v/>
      </c>
      <c r="V29" s="80">
        <f>Inputs!$C$36*V26+Inputs!$C$37*V27+Inputs!$C$38*V28</f>
        <v/>
      </c>
      <c r="W29" s="80">
        <f>Inputs!$C$36*W26+Inputs!$C$37*W27+Inputs!$C$38*W28</f>
        <v/>
      </c>
      <c r="X29" s="80">
        <f>Inputs!$C$36*X26+Inputs!$C$37*X27+Inputs!$C$38*X28</f>
        <v/>
      </c>
      <c r="Y29" s="80">
        <f>Inputs!$C$36*Y26+Inputs!$C$37*Y27+Inputs!$C$38*Y28</f>
        <v/>
      </c>
      <c r="Z29" s="80">
        <f>Inputs!$C$36*Z26+Inputs!$C$37*Z27+Inputs!$C$38*Z28</f>
        <v/>
      </c>
      <c r="AA29" s="80">
        <f>Inputs!$C$36*AA26+Inputs!$C$37*AA27+Inputs!$C$38*AA28</f>
        <v/>
      </c>
      <c r="AB29" s="80">
        <f>Inputs!$C$36*AB26+Inputs!$C$37*AB27+Inputs!$C$38*AB28</f>
        <v/>
      </c>
      <c r="AC29" s="80">
        <f>Inputs!$C$36*AC26+Inputs!$C$37*AC27+Inputs!$C$38*AC28</f>
        <v/>
      </c>
      <c r="AD29" s="80">
        <f>Inputs!$C$36*AD26+Inputs!$C$37*AD27+Inputs!$C$38*AD28</f>
        <v/>
      </c>
      <c r="AE29" s="80">
        <f>Inputs!$C$36*AE26+Inputs!$C$37*AE27+Inputs!$C$38*AE28</f>
        <v/>
      </c>
      <c r="AF29" s="80">
        <f>Inputs!$C$36*AF26+Inputs!$C$37*AF27+Inputs!$C$38*AF28</f>
        <v/>
      </c>
      <c r="AG29" s="80">
        <f>Inputs!$C$36*AG26+Inputs!$C$37*AG27+Inputs!$C$38*AG28</f>
        <v/>
      </c>
      <c r="AH29" s="80">
        <f>Inputs!$C$36*AH26+Inputs!$C$37*AH27+Inputs!$C$38*AH28</f>
        <v/>
      </c>
      <c r="AI29" s="80">
        <f>Inputs!$C$36*AI26+Inputs!$C$37*AI27+Inputs!$C$38*AI28</f>
        <v/>
      </c>
      <c r="AJ29" s="80">
        <f>Inputs!$C$36*AJ26+Inputs!$C$37*AJ27+Inputs!$C$38*AJ28</f>
        <v/>
      </c>
      <c r="AK29" s="80">
        <f>Inputs!$C$36*AK26+Inputs!$C$37*AK27+Inputs!$C$38*AK28</f>
        <v/>
      </c>
      <c r="AL29" s="80">
        <f>Inputs!$C$36*AL26+Inputs!$C$37*AL27+Inputs!$C$38*AL28</f>
        <v/>
      </c>
      <c r="AM29" s="80">
        <f>Inputs!$C$36*AM26+Inputs!$C$37*AM27+Inputs!$C$38*AM28</f>
        <v/>
      </c>
      <c r="AN29" s="80">
        <f>Inputs!$C$36*AN26+Inputs!$C$37*AN27+Inputs!$C$38*AN28</f>
        <v/>
      </c>
      <c r="AO29" s="80">
        <f>Inputs!$C$36*AO26+Inputs!$C$37*AO27+Inputs!$C$38*AO28</f>
        <v/>
      </c>
      <c r="AP29" s="80">
        <f>Inputs!$C$36*AP26+Inputs!$C$37*AP27+Inputs!$C$38*AP28</f>
        <v/>
      </c>
      <c r="AQ29" s="80">
        <f>Inputs!$C$36*AQ26+Inputs!$C$37*AQ27+Inputs!$C$38*AQ28</f>
        <v/>
      </c>
      <c r="AR29" s="80">
        <f>Inputs!$C$36*AR26+Inputs!$C$37*AR27+Inputs!$C$38*AR28</f>
        <v/>
      </c>
      <c r="AS29" s="80">
        <f>Inputs!$C$36*AS26+Inputs!$C$37*AS27+Inputs!$C$38*AS28</f>
        <v/>
      </c>
      <c r="AT29" s="80">
        <f>Inputs!$C$36*AT26+Inputs!$C$37*AT27+Inputs!$C$38*AT28</f>
        <v/>
      </c>
      <c r="AU29" s="80">
        <f>Inputs!$C$36*AU26+Inputs!$C$37*AU27+Inputs!$C$38*AU28</f>
        <v/>
      </c>
      <c r="AV29" s="80">
        <f>Inputs!$C$36*AV26+Inputs!$C$37*AV27+Inputs!$C$38*AV28</f>
        <v/>
      </c>
      <c r="AW29" s="80">
        <f>Inputs!$C$36*AW26+Inputs!$C$37*AW27+Inputs!$C$38*AW28</f>
        <v/>
      </c>
      <c r="AX29" s="80">
        <f>Inputs!$C$36*AX26+Inputs!$C$37*AX27+Inputs!$C$38*AX28</f>
        <v/>
      </c>
      <c r="AY29" s="80">
        <f>Inputs!$C$36*AY26+Inputs!$C$37*AY27+Inputs!$C$38*AY28</f>
        <v/>
      </c>
      <c r="AZ29" s="80">
        <f>Inputs!$C$36*AZ26+Inputs!$C$37*AZ27+Inputs!$C$38*AZ28</f>
        <v/>
      </c>
      <c r="BA29" s="80">
        <f>Inputs!$C$36*BA26+Inputs!$C$37*BA27+Inputs!$C$38*BA28</f>
        <v/>
      </c>
      <c r="BB29" s="80">
        <f>Inputs!$C$36*BB26+Inputs!$C$37*BB27+Inputs!$C$38*BB28</f>
        <v/>
      </c>
      <c r="BC29" s="80">
        <f>Inputs!$C$36*BC26+Inputs!$C$37*BC27+Inputs!$C$38*BC28</f>
        <v/>
      </c>
      <c r="BD29" s="80">
        <f>Inputs!$C$36*BD26+Inputs!$C$37*BD27+Inputs!$C$38*BD28</f>
        <v/>
      </c>
      <c r="BE29" s="80">
        <f>Inputs!$C$36*BE26+Inputs!$C$37*BE27+Inputs!$C$38*BE28</f>
        <v/>
      </c>
      <c r="BF29" s="80">
        <f>Inputs!$C$36*BF26+Inputs!$C$37*BF27+Inputs!$C$38*BF28</f>
        <v/>
      </c>
      <c r="BG29" s="80">
        <f>Inputs!$C$36*BG26+Inputs!$C$37*BG27+Inputs!$C$38*BG28</f>
        <v/>
      </c>
      <c r="BH29" s="80">
        <f>Inputs!$C$36*BH26+Inputs!$C$37*BH27+Inputs!$C$38*BH28</f>
        <v/>
      </c>
      <c r="BI29" s="80">
        <f>Inputs!$C$36*BI26+Inputs!$C$37*BI27+Inputs!$C$38*BI28</f>
        <v/>
      </c>
      <c r="BJ29" s="80">
        <f>Inputs!$C$36*BJ26+Inputs!$C$37*BJ27+Inputs!$C$38*BJ28</f>
        <v/>
      </c>
      <c r="BK29" s="80">
        <f>Inputs!$C$36*BK26+Inputs!$C$37*BK27+Inputs!$C$38*BK28</f>
        <v/>
      </c>
      <c r="BL29" s="80">
        <f>Inputs!$C$36*BL26+Inputs!$C$37*BL27+Inputs!$C$38*BL28</f>
        <v/>
      </c>
    </row>
    <row r="30">
      <c r="A30" s="100" t="inlineStr">
        <is>
          <t>Selected RBF (feeds Ops and P&amp;L)</t>
        </is>
      </c>
      <c r="B30" s="101" t="inlineStr">
        <is>
          <t>LCY</t>
        </is>
      </c>
      <c r="C30" s="102">
        <f>SUM(E30:BL30)</f>
        <v/>
      </c>
      <c r="D30" s="103" t="n"/>
      <c r="E30" s="104">
        <f>CHOOSE(MAX(1,MIN(4,INT(N(Inputs!$C$34)))),E26,E27,E28,E29)</f>
        <v/>
      </c>
      <c r="F30" s="104">
        <f>CHOOSE(MAX(1,MIN(4,INT(N(Inputs!$C$34)))),F26,F27,F28,F29)</f>
        <v/>
      </c>
      <c r="G30" s="104">
        <f>CHOOSE(MAX(1,MIN(4,INT(N(Inputs!$C$34)))),G26,G27,G28,G29)</f>
        <v/>
      </c>
      <c r="H30" s="104">
        <f>CHOOSE(MAX(1,MIN(4,INT(N(Inputs!$C$34)))),H26,H27,H28,H29)</f>
        <v/>
      </c>
      <c r="I30" s="104">
        <f>CHOOSE(MAX(1,MIN(4,INT(N(Inputs!$C$34)))),I26,I27,I28,I29)</f>
        <v/>
      </c>
      <c r="J30" s="104">
        <f>CHOOSE(MAX(1,MIN(4,INT(N(Inputs!$C$34)))),J26,J27,J28,J29)</f>
        <v/>
      </c>
      <c r="K30" s="104">
        <f>CHOOSE(MAX(1,MIN(4,INT(N(Inputs!$C$34)))),K26,K27,K28,K29)</f>
        <v/>
      </c>
      <c r="L30" s="104">
        <f>CHOOSE(MAX(1,MIN(4,INT(N(Inputs!$C$34)))),L26,L27,L28,L29)</f>
        <v/>
      </c>
      <c r="M30" s="104">
        <f>CHOOSE(MAX(1,MIN(4,INT(N(Inputs!$C$34)))),M26,M27,M28,M29)</f>
        <v/>
      </c>
      <c r="N30" s="104">
        <f>CHOOSE(MAX(1,MIN(4,INT(N(Inputs!$C$34)))),N26,N27,N28,N29)</f>
        <v/>
      </c>
      <c r="O30" s="104">
        <f>CHOOSE(MAX(1,MIN(4,INT(N(Inputs!$C$34)))),O26,O27,O28,O29)</f>
        <v/>
      </c>
      <c r="P30" s="104">
        <f>CHOOSE(MAX(1,MIN(4,INT(N(Inputs!$C$34)))),P26,P27,P28,P29)</f>
        <v/>
      </c>
      <c r="Q30" s="104">
        <f>CHOOSE(MAX(1,MIN(4,INT(N(Inputs!$C$34)))),Q26,Q27,Q28,Q29)</f>
        <v/>
      </c>
      <c r="R30" s="104">
        <f>CHOOSE(MAX(1,MIN(4,INT(N(Inputs!$C$34)))),R26,R27,R28,R29)</f>
        <v/>
      </c>
      <c r="S30" s="104">
        <f>CHOOSE(MAX(1,MIN(4,INT(N(Inputs!$C$34)))),S26,S27,S28,S29)</f>
        <v/>
      </c>
      <c r="T30" s="104">
        <f>CHOOSE(MAX(1,MIN(4,INT(N(Inputs!$C$34)))),T26,T27,T28,T29)</f>
        <v/>
      </c>
      <c r="U30" s="104">
        <f>CHOOSE(MAX(1,MIN(4,INT(N(Inputs!$C$34)))),U26,U27,U28,U29)</f>
        <v/>
      </c>
      <c r="V30" s="104">
        <f>CHOOSE(MAX(1,MIN(4,INT(N(Inputs!$C$34)))),V26,V27,V28,V29)</f>
        <v/>
      </c>
      <c r="W30" s="104">
        <f>CHOOSE(MAX(1,MIN(4,INT(N(Inputs!$C$34)))),W26,W27,W28,W29)</f>
        <v/>
      </c>
      <c r="X30" s="104">
        <f>CHOOSE(MAX(1,MIN(4,INT(N(Inputs!$C$34)))),X26,X27,X28,X29)</f>
        <v/>
      </c>
      <c r="Y30" s="104">
        <f>CHOOSE(MAX(1,MIN(4,INT(N(Inputs!$C$34)))),Y26,Y27,Y28,Y29)</f>
        <v/>
      </c>
      <c r="Z30" s="104">
        <f>CHOOSE(MAX(1,MIN(4,INT(N(Inputs!$C$34)))),Z26,Z27,Z28,Z29)</f>
        <v/>
      </c>
      <c r="AA30" s="104">
        <f>CHOOSE(MAX(1,MIN(4,INT(N(Inputs!$C$34)))),AA26,AA27,AA28,AA29)</f>
        <v/>
      </c>
      <c r="AB30" s="104">
        <f>CHOOSE(MAX(1,MIN(4,INT(N(Inputs!$C$34)))),AB26,AB27,AB28,AB29)</f>
        <v/>
      </c>
      <c r="AC30" s="104">
        <f>CHOOSE(MAX(1,MIN(4,INT(N(Inputs!$C$34)))),AC26,AC27,AC28,AC29)</f>
        <v/>
      </c>
      <c r="AD30" s="104">
        <f>CHOOSE(MAX(1,MIN(4,INT(N(Inputs!$C$34)))),AD26,AD27,AD28,AD29)</f>
        <v/>
      </c>
      <c r="AE30" s="104">
        <f>CHOOSE(MAX(1,MIN(4,INT(N(Inputs!$C$34)))),AE26,AE27,AE28,AE29)</f>
        <v/>
      </c>
      <c r="AF30" s="104">
        <f>CHOOSE(MAX(1,MIN(4,INT(N(Inputs!$C$34)))),AF26,AF27,AF28,AF29)</f>
        <v/>
      </c>
      <c r="AG30" s="104">
        <f>CHOOSE(MAX(1,MIN(4,INT(N(Inputs!$C$34)))),AG26,AG27,AG28,AG29)</f>
        <v/>
      </c>
      <c r="AH30" s="104">
        <f>CHOOSE(MAX(1,MIN(4,INT(N(Inputs!$C$34)))),AH26,AH27,AH28,AH29)</f>
        <v/>
      </c>
      <c r="AI30" s="104">
        <f>CHOOSE(MAX(1,MIN(4,INT(N(Inputs!$C$34)))),AI26,AI27,AI28,AI29)</f>
        <v/>
      </c>
      <c r="AJ30" s="104">
        <f>CHOOSE(MAX(1,MIN(4,INT(N(Inputs!$C$34)))),AJ26,AJ27,AJ28,AJ29)</f>
        <v/>
      </c>
      <c r="AK30" s="104">
        <f>CHOOSE(MAX(1,MIN(4,INT(N(Inputs!$C$34)))),AK26,AK27,AK28,AK29)</f>
        <v/>
      </c>
      <c r="AL30" s="104">
        <f>CHOOSE(MAX(1,MIN(4,INT(N(Inputs!$C$34)))),AL26,AL27,AL28,AL29)</f>
        <v/>
      </c>
      <c r="AM30" s="104">
        <f>CHOOSE(MAX(1,MIN(4,INT(N(Inputs!$C$34)))),AM26,AM27,AM28,AM29)</f>
        <v/>
      </c>
      <c r="AN30" s="104">
        <f>CHOOSE(MAX(1,MIN(4,INT(N(Inputs!$C$34)))),AN26,AN27,AN28,AN29)</f>
        <v/>
      </c>
      <c r="AO30" s="104">
        <f>CHOOSE(MAX(1,MIN(4,INT(N(Inputs!$C$34)))),AO26,AO27,AO28,AO29)</f>
        <v/>
      </c>
      <c r="AP30" s="104">
        <f>CHOOSE(MAX(1,MIN(4,INT(N(Inputs!$C$34)))),AP26,AP27,AP28,AP29)</f>
        <v/>
      </c>
      <c r="AQ30" s="104">
        <f>CHOOSE(MAX(1,MIN(4,INT(N(Inputs!$C$34)))),AQ26,AQ27,AQ28,AQ29)</f>
        <v/>
      </c>
      <c r="AR30" s="104">
        <f>CHOOSE(MAX(1,MIN(4,INT(N(Inputs!$C$34)))),AR26,AR27,AR28,AR29)</f>
        <v/>
      </c>
      <c r="AS30" s="104">
        <f>CHOOSE(MAX(1,MIN(4,INT(N(Inputs!$C$34)))),AS26,AS27,AS28,AS29)</f>
        <v/>
      </c>
      <c r="AT30" s="104">
        <f>CHOOSE(MAX(1,MIN(4,INT(N(Inputs!$C$34)))),AT26,AT27,AT28,AT29)</f>
        <v/>
      </c>
      <c r="AU30" s="104">
        <f>CHOOSE(MAX(1,MIN(4,INT(N(Inputs!$C$34)))),AU26,AU27,AU28,AU29)</f>
        <v/>
      </c>
      <c r="AV30" s="104">
        <f>CHOOSE(MAX(1,MIN(4,INT(N(Inputs!$C$34)))),AV26,AV27,AV28,AV29)</f>
        <v/>
      </c>
      <c r="AW30" s="104">
        <f>CHOOSE(MAX(1,MIN(4,INT(N(Inputs!$C$34)))),AW26,AW27,AW28,AW29)</f>
        <v/>
      </c>
      <c r="AX30" s="104">
        <f>CHOOSE(MAX(1,MIN(4,INT(N(Inputs!$C$34)))),AX26,AX27,AX28,AX29)</f>
        <v/>
      </c>
      <c r="AY30" s="104">
        <f>CHOOSE(MAX(1,MIN(4,INT(N(Inputs!$C$34)))),AY26,AY27,AY28,AY29)</f>
        <v/>
      </c>
      <c r="AZ30" s="104">
        <f>CHOOSE(MAX(1,MIN(4,INT(N(Inputs!$C$34)))),AZ26,AZ27,AZ28,AZ29)</f>
        <v/>
      </c>
      <c r="BA30" s="104">
        <f>CHOOSE(MAX(1,MIN(4,INT(N(Inputs!$C$34)))),BA26,BA27,BA28,BA29)</f>
        <v/>
      </c>
      <c r="BB30" s="104">
        <f>CHOOSE(MAX(1,MIN(4,INT(N(Inputs!$C$34)))),BB26,BB27,BB28,BB29)</f>
        <v/>
      </c>
      <c r="BC30" s="104">
        <f>CHOOSE(MAX(1,MIN(4,INT(N(Inputs!$C$34)))),BC26,BC27,BC28,BC29)</f>
        <v/>
      </c>
      <c r="BD30" s="104">
        <f>CHOOSE(MAX(1,MIN(4,INT(N(Inputs!$C$34)))),BD26,BD27,BD28,BD29)</f>
        <v/>
      </c>
      <c r="BE30" s="104">
        <f>CHOOSE(MAX(1,MIN(4,INT(N(Inputs!$C$34)))),BE26,BE27,BE28,BE29)</f>
        <v/>
      </c>
      <c r="BF30" s="104">
        <f>CHOOSE(MAX(1,MIN(4,INT(N(Inputs!$C$34)))),BF26,BF27,BF28,BF29)</f>
        <v/>
      </c>
      <c r="BG30" s="104">
        <f>CHOOSE(MAX(1,MIN(4,INT(N(Inputs!$C$34)))),BG26,BG27,BG28,BG29)</f>
        <v/>
      </c>
      <c r="BH30" s="104">
        <f>CHOOSE(MAX(1,MIN(4,INT(N(Inputs!$C$34)))),BH26,BH27,BH28,BH29)</f>
        <v/>
      </c>
      <c r="BI30" s="104">
        <f>CHOOSE(MAX(1,MIN(4,INT(N(Inputs!$C$34)))),BI26,BI27,BI28,BI29)</f>
        <v/>
      </c>
      <c r="BJ30" s="104">
        <f>CHOOSE(MAX(1,MIN(4,INT(N(Inputs!$C$34)))),BJ26,BJ27,BJ28,BJ29)</f>
        <v/>
      </c>
      <c r="BK30" s="104">
        <f>CHOOSE(MAX(1,MIN(4,INT(N(Inputs!$C$34)))),BK26,BK27,BK28,BK29)</f>
        <v/>
      </c>
      <c r="BL30" s="104">
        <f>CHOOSE(MAX(1,MIN(4,INT(N(Inputs!$C$34)))),BL26,BL27,BL28,BL29)</f>
        <v/>
      </c>
    </row>
    <row r="31">
      <c r="A31" s="98" t="inlineStr">
        <is>
          <t>Variance vs sales-based</t>
        </is>
      </c>
      <c r="B31" s="65" t="inlineStr">
        <is>
          <t>LCY</t>
        </is>
      </c>
      <c r="C31" s="105">
        <f>SUM(E31:BL31)</f>
        <v/>
      </c>
      <c r="E31" s="80">
        <f>E30-E26</f>
        <v/>
      </c>
      <c r="F31" s="80">
        <f>F30-F26</f>
        <v/>
      </c>
      <c r="G31" s="80">
        <f>G30-G26</f>
        <v/>
      </c>
      <c r="H31" s="80">
        <f>H30-H26</f>
        <v/>
      </c>
      <c r="I31" s="80">
        <f>I30-I26</f>
        <v/>
      </c>
      <c r="J31" s="80">
        <f>J30-J26</f>
        <v/>
      </c>
      <c r="K31" s="80">
        <f>K30-K26</f>
        <v/>
      </c>
      <c r="L31" s="80">
        <f>L30-L26</f>
        <v/>
      </c>
      <c r="M31" s="80">
        <f>M30-M26</f>
        <v/>
      </c>
      <c r="N31" s="80">
        <f>N30-N26</f>
        <v/>
      </c>
      <c r="O31" s="80">
        <f>O30-O26</f>
        <v/>
      </c>
      <c r="P31" s="80">
        <f>P30-P26</f>
        <v/>
      </c>
      <c r="Q31" s="80">
        <f>Q30-Q26</f>
        <v/>
      </c>
      <c r="R31" s="80">
        <f>R30-R26</f>
        <v/>
      </c>
      <c r="S31" s="80">
        <f>S30-S26</f>
        <v/>
      </c>
      <c r="T31" s="80">
        <f>T30-T26</f>
        <v/>
      </c>
      <c r="U31" s="80">
        <f>U30-U26</f>
        <v/>
      </c>
      <c r="V31" s="80">
        <f>V30-V26</f>
        <v/>
      </c>
      <c r="W31" s="80">
        <f>W30-W26</f>
        <v/>
      </c>
      <c r="X31" s="80">
        <f>X30-X26</f>
        <v/>
      </c>
      <c r="Y31" s="80">
        <f>Y30-Y26</f>
        <v/>
      </c>
      <c r="Z31" s="80">
        <f>Z30-Z26</f>
        <v/>
      </c>
      <c r="AA31" s="80">
        <f>AA30-AA26</f>
        <v/>
      </c>
      <c r="AB31" s="80">
        <f>AB30-AB26</f>
        <v/>
      </c>
      <c r="AC31" s="80">
        <f>AC30-AC26</f>
        <v/>
      </c>
      <c r="AD31" s="80">
        <f>AD30-AD26</f>
        <v/>
      </c>
      <c r="AE31" s="80">
        <f>AE30-AE26</f>
        <v/>
      </c>
      <c r="AF31" s="80">
        <f>AF30-AF26</f>
        <v/>
      </c>
      <c r="AG31" s="80">
        <f>AG30-AG26</f>
        <v/>
      </c>
      <c r="AH31" s="80">
        <f>AH30-AH26</f>
        <v/>
      </c>
      <c r="AI31" s="80">
        <f>AI30-AI26</f>
        <v/>
      </c>
      <c r="AJ31" s="80">
        <f>AJ30-AJ26</f>
        <v/>
      </c>
      <c r="AK31" s="80">
        <f>AK30-AK26</f>
        <v/>
      </c>
      <c r="AL31" s="80">
        <f>AL30-AL26</f>
        <v/>
      </c>
      <c r="AM31" s="80">
        <f>AM30-AM26</f>
        <v/>
      </c>
      <c r="AN31" s="80">
        <f>AN30-AN26</f>
        <v/>
      </c>
      <c r="AO31" s="80">
        <f>AO30-AO26</f>
        <v/>
      </c>
      <c r="AP31" s="80">
        <f>AP30-AP26</f>
        <v/>
      </c>
      <c r="AQ31" s="80">
        <f>AQ30-AQ26</f>
        <v/>
      </c>
      <c r="AR31" s="80">
        <f>AR30-AR26</f>
        <v/>
      </c>
      <c r="AS31" s="80">
        <f>AS30-AS26</f>
        <v/>
      </c>
      <c r="AT31" s="80">
        <f>AT30-AT26</f>
        <v/>
      </c>
      <c r="AU31" s="80">
        <f>AU30-AU26</f>
        <v/>
      </c>
      <c r="AV31" s="80">
        <f>AV30-AV26</f>
        <v/>
      </c>
      <c r="AW31" s="80">
        <f>AW30-AW26</f>
        <v/>
      </c>
      <c r="AX31" s="80">
        <f>AX30-AX26</f>
        <v/>
      </c>
      <c r="AY31" s="80">
        <f>AY30-AY26</f>
        <v/>
      </c>
      <c r="AZ31" s="80">
        <f>AZ30-AZ26</f>
        <v/>
      </c>
      <c r="BA31" s="80">
        <f>BA30-BA26</f>
        <v/>
      </c>
      <c r="BB31" s="80">
        <f>BB30-BB26</f>
        <v/>
      </c>
      <c r="BC31" s="80">
        <f>BC30-BC26</f>
        <v/>
      </c>
      <c r="BD31" s="80">
        <f>BD30-BD26</f>
        <v/>
      </c>
      <c r="BE31" s="80">
        <f>BE30-BE26</f>
        <v/>
      </c>
      <c r="BF31" s="80">
        <f>BF30-BF26</f>
        <v/>
      </c>
      <c r="BG31" s="80">
        <f>BG30-BG26</f>
        <v/>
      </c>
      <c r="BH31" s="80">
        <f>BH30-BH26</f>
        <v/>
      </c>
      <c r="BI31" s="80">
        <f>BI30-BI26</f>
        <v/>
      </c>
      <c r="BJ31" s="80">
        <f>BJ30-BJ26</f>
        <v/>
      </c>
      <c r="BK31" s="80">
        <f>BK30-BK26</f>
        <v/>
      </c>
      <c r="BL31" s="80">
        <f>BL30-BL26</f>
        <v/>
      </c>
    </row>
    <row r="32"/>
    <row r="33">
      <c r="A33" s="21" t="inlineStr">
        <is>
          <t>Tier 3: Large SHS + DC fridge</t>
        </is>
      </c>
      <c r="B33" s="22" t="n"/>
      <c r="C33" s="22" t="n"/>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c r="AA33" s="22" t="n"/>
      <c r="AB33" s="22" t="n"/>
      <c r="AC33" s="22" t="n"/>
      <c r="AD33" s="22" t="n"/>
      <c r="AE33" s="22" t="n"/>
      <c r="AF33" s="22" t="n"/>
      <c r="AG33" s="22" t="n"/>
      <c r="AH33" s="22" t="n"/>
      <c r="AI33" s="22" t="n"/>
      <c r="AJ33" s="22" t="n"/>
      <c r="AK33" s="22" t="n"/>
      <c r="AL33" s="22" t="n"/>
      <c r="AM33" s="22" t="n"/>
      <c r="AN33" s="22" t="n"/>
      <c r="AO33" s="22" t="n"/>
      <c r="AP33" s="22" t="n"/>
      <c r="AQ33" s="22" t="n"/>
      <c r="AR33" s="22" t="n"/>
      <c r="AS33" s="22" t="n"/>
      <c r="AT33" s="22" t="n"/>
      <c r="AU33" s="22" t="n"/>
      <c r="AV33" s="22" t="n"/>
      <c r="AW33" s="22" t="n"/>
      <c r="AX33" s="22" t="n"/>
      <c r="AY33" s="22" t="n"/>
      <c r="AZ33" s="22" t="n"/>
      <c r="BA33" s="22" t="n"/>
      <c r="BB33" s="22" t="n"/>
      <c r="BC33" s="22" t="n"/>
      <c r="BD33" s="22" t="n"/>
      <c r="BE33" s="22" t="n"/>
      <c r="BF33" s="22" t="n"/>
      <c r="BG33" s="22" t="n"/>
      <c r="BH33" s="22" t="n"/>
      <c r="BI33" s="22" t="n"/>
      <c r="BJ33" s="22" t="n"/>
      <c r="BK33" s="22" t="n"/>
      <c r="BL33" s="22" t="n"/>
    </row>
    <row r="34">
      <c r="A34" s="98" t="inlineStr">
        <is>
          <t>Sales-based RBF (per unit sold, after verification lag)</t>
        </is>
      </c>
      <c r="B34" s="65" t="inlineStr">
        <is>
          <t>LCY</t>
        </is>
      </c>
      <c r="C34" s="105">
        <f>SUM(E34:BL34)</f>
        <v/>
      </c>
      <c r="E34" s="80">
        <f>IF(E$4-Inputs!$C$33&gt;=1,INDEX(Ops!$E$59:$BL$59,1,E$4-Inputs!$C$33),0)*Products!$E$30*Timeline!E$8*Inputs!$C$32</f>
        <v/>
      </c>
      <c r="F34" s="80">
        <f>IF(F$4-Inputs!$C$33&gt;=1,INDEX(Ops!$E$59:$BL$59,1,F$4-Inputs!$C$33),0)*Products!$E$30*Timeline!F$8*Inputs!$C$32</f>
        <v/>
      </c>
      <c r="G34" s="80">
        <f>IF(G$4-Inputs!$C$33&gt;=1,INDEX(Ops!$E$59:$BL$59,1,G$4-Inputs!$C$33),0)*Products!$E$30*Timeline!G$8*Inputs!$C$32</f>
        <v/>
      </c>
      <c r="H34" s="80">
        <f>IF(H$4-Inputs!$C$33&gt;=1,INDEX(Ops!$E$59:$BL$59,1,H$4-Inputs!$C$33),0)*Products!$E$30*Timeline!H$8*Inputs!$C$32</f>
        <v/>
      </c>
      <c r="I34" s="80">
        <f>IF(I$4-Inputs!$C$33&gt;=1,INDEX(Ops!$E$59:$BL$59,1,I$4-Inputs!$C$33),0)*Products!$E$30*Timeline!I$8*Inputs!$C$32</f>
        <v/>
      </c>
      <c r="J34" s="80">
        <f>IF(J$4-Inputs!$C$33&gt;=1,INDEX(Ops!$E$59:$BL$59,1,J$4-Inputs!$C$33),0)*Products!$E$30*Timeline!J$8*Inputs!$C$32</f>
        <v/>
      </c>
      <c r="K34" s="80">
        <f>IF(K$4-Inputs!$C$33&gt;=1,INDEX(Ops!$E$59:$BL$59,1,K$4-Inputs!$C$33),0)*Products!$E$30*Timeline!K$8*Inputs!$C$32</f>
        <v/>
      </c>
      <c r="L34" s="80">
        <f>IF(L$4-Inputs!$C$33&gt;=1,INDEX(Ops!$E$59:$BL$59,1,L$4-Inputs!$C$33),0)*Products!$E$30*Timeline!L$8*Inputs!$C$32</f>
        <v/>
      </c>
      <c r="M34" s="80">
        <f>IF(M$4-Inputs!$C$33&gt;=1,INDEX(Ops!$E$59:$BL$59,1,M$4-Inputs!$C$33),0)*Products!$E$30*Timeline!M$8*Inputs!$C$32</f>
        <v/>
      </c>
      <c r="N34" s="80">
        <f>IF(N$4-Inputs!$C$33&gt;=1,INDEX(Ops!$E$59:$BL$59,1,N$4-Inputs!$C$33),0)*Products!$E$30*Timeline!N$8*Inputs!$C$32</f>
        <v/>
      </c>
      <c r="O34" s="80">
        <f>IF(O$4-Inputs!$C$33&gt;=1,INDEX(Ops!$E$59:$BL$59,1,O$4-Inputs!$C$33),0)*Products!$E$30*Timeline!O$8*Inputs!$C$32</f>
        <v/>
      </c>
      <c r="P34" s="80">
        <f>IF(P$4-Inputs!$C$33&gt;=1,INDEX(Ops!$E$59:$BL$59,1,P$4-Inputs!$C$33),0)*Products!$E$30*Timeline!P$8*Inputs!$C$32</f>
        <v/>
      </c>
      <c r="Q34" s="80">
        <f>IF(Q$4-Inputs!$C$33&gt;=1,INDEX(Ops!$E$59:$BL$59,1,Q$4-Inputs!$C$33),0)*Products!$E$30*Timeline!Q$8*Inputs!$C$32</f>
        <v/>
      </c>
      <c r="R34" s="80">
        <f>IF(R$4-Inputs!$C$33&gt;=1,INDEX(Ops!$E$59:$BL$59,1,R$4-Inputs!$C$33),0)*Products!$E$30*Timeline!R$8*Inputs!$C$32</f>
        <v/>
      </c>
      <c r="S34" s="80">
        <f>IF(S$4-Inputs!$C$33&gt;=1,INDEX(Ops!$E$59:$BL$59,1,S$4-Inputs!$C$33),0)*Products!$E$30*Timeline!S$8*Inputs!$C$32</f>
        <v/>
      </c>
      <c r="T34" s="80">
        <f>IF(T$4-Inputs!$C$33&gt;=1,INDEX(Ops!$E$59:$BL$59,1,T$4-Inputs!$C$33),0)*Products!$E$30*Timeline!T$8*Inputs!$C$32</f>
        <v/>
      </c>
      <c r="U34" s="80">
        <f>IF(U$4-Inputs!$C$33&gt;=1,INDEX(Ops!$E$59:$BL$59,1,U$4-Inputs!$C$33),0)*Products!$E$30*Timeline!U$8*Inputs!$C$32</f>
        <v/>
      </c>
      <c r="V34" s="80">
        <f>IF(V$4-Inputs!$C$33&gt;=1,INDEX(Ops!$E$59:$BL$59,1,V$4-Inputs!$C$33),0)*Products!$E$30*Timeline!V$8*Inputs!$C$32</f>
        <v/>
      </c>
      <c r="W34" s="80">
        <f>IF(W$4-Inputs!$C$33&gt;=1,INDEX(Ops!$E$59:$BL$59,1,W$4-Inputs!$C$33),0)*Products!$E$30*Timeline!W$8*Inputs!$C$32</f>
        <v/>
      </c>
      <c r="X34" s="80">
        <f>IF(X$4-Inputs!$C$33&gt;=1,INDEX(Ops!$E$59:$BL$59,1,X$4-Inputs!$C$33),0)*Products!$E$30*Timeline!X$8*Inputs!$C$32</f>
        <v/>
      </c>
      <c r="Y34" s="80">
        <f>IF(Y$4-Inputs!$C$33&gt;=1,INDEX(Ops!$E$59:$BL$59,1,Y$4-Inputs!$C$33),0)*Products!$E$30*Timeline!Y$8*Inputs!$C$32</f>
        <v/>
      </c>
      <c r="Z34" s="80">
        <f>IF(Z$4-Inputs!$C$33&gt;=1,INDEX(Ops!$E$59:$BL$59,1,Z$4-Inputs!$C$33),0)*Products!$E$30*Timeline!Z$8*Inputs!$C$32</f>
        <v/>
      </c>
      <c r="AA34" s="80">
        <f>IF(AA$4-Inputs!$C$33&gt;=1,INDEX(Ops!$E$59:$BL$59,1,AA$4-Inputs!$C$33),0)*Products!$E$30*Timeline!AA$8*Inputs!$C$32</f>
        <v/>
      </c>
      <c r="AB34" s="80">
        <f>IF(AB$4-Inputs!$C$33&gt;=1,INDEX(Ops!$E$59:$BL$59,1,AB$4-Inputs!$C$33),0)*Products!$E$30*Timeline!AB$8*Inputs!$C$32</f>
        <v/>
      </c>
      <c r="AC34" s="80">
        <f>IF(AC$4-Inputs!$C$33&gt;=1,INDEX(Ops!$E$59:$BL$59,1,AC$4-Inputs!$C$33),0)*Products!$E$30*Timeline!AC$8*Inputs!$C$32</f>
        <v/>
      </c>
      <c r="AD34" s="80">
        <f>IF(AD$4-Inputs!$C$33&gt;=1,INDEX(Ops!$E$59:$BL$59,1,AD$4-Inputs!$C$33),0)*Products!$E$30*Timeline!AD$8*Inputs!$C$32</f>
        <v/>
      </c>
      <c r="AE34" s="80">
        <f>IF(AE$4-Inputs!$C$33&gt;=1,INDEX(Ops!$E$59:$BL$59,1,AE$4-Inputs!$C$33),0)*Products!$E$30*Timeline!AE$8*Inputs!$C$32</f>
        <v/>
      </c>
      <c r="AF34" s="80">
        <f>IF(AF$4-Inputs!$C$33&gt;=1,INDEX(Ops!$E$59:$BL$59,1,AF$4-Inputs!$C$33),0)*Products!$E$30*Timeline!AF$8*Inputs!$C$32</f>
        <v/>
      </c>
      <c r="AG34" s="80">
        <f>IF(AG$4-Inputs!$C$33&gt;=1,INDEX(Ops!$E$59:$BL$59,1,AG$4-Inputs!$C$33),0)*Products!$E$30*Timeline!AG$8*Inputs!$C$32</f>
        <v/>
      </c>
      <c r="AH34" s="80">
        <f>IF(AH$4-Inputs!$C$33&gt;=1,INDEX(Ops!$E$59:$BL$59,1,AH$4-Inputs!$C$33),0)*Products!$E$30*Timeline!AH$8*Inputs!$C$32</f>
        <v/>
      </c>
      <c r="AI34" s="80">
        <f>IF(AI$4-Inputs!$C$33&gt;=1,INDEX(Ops!$E$59:$BL$59,1,AI$4-Inputs!$C$33),0)*Products!$E$30*Timeline!AI$8*Inputs!$C$32</f>
        <v/>
      </c>
      <c r="AJ34" s="80">
        <f>IF(AJ$4-Inputs!$C$33&gt;=1,INDEX(Ops!$E$59:$BL$59,1,AJ$4-Inputs!$C$33),0)*Products!$E$30*Timeline!AJ$8*Inputs!$C$32</f>
        <v/>
      </c>
      <c r="AK34" s="80">
        <f>IF(AK$4-Inputs!$C$33&gt;=1,INDEX(Ops!$E$59:$BL$59,1,AK$4-Inputs!$C$33),0)*Products!$E$30*Timeline!AK$8*Inputs!$C$32</f>
        <v/>
      </c>
      <c r="AL34" s="80">
        <f>IF(AL$4-Inputs!$C$33&gt;=1,INDEX(Ops!$E$59:$BL$59,1,AL$4-Inputs!$C$33),0)*Products!$E$30*Timeline!AL$8*Inputs!$C$32</f>
        <v/>
      </c>
      <c r="AM34" s="80">
        <f>IF(AM$4-Inputs!$C$33&gt;=1,INDEX(Ops!$E$59:$BL$59,1,AM$4-Inputs!$C$33),0)*Products!$E$30*Timeline!AM$8*Inputs!$C$32</f>
        <v/>
      </c>
      <c r="AN34" s="80">
        <f>IF(AN$4-Inputs!$C$33&gt;=1,INDEX(Ops!$E$59:$BL$59,1,AN$4-Inputs!$C$33),0)*Products!$E$30*Timeline!AN$8*Inputs!$C$32</f>
        <v/>
      </c>
      <c r="AO34" s="80">
        <f>IF(AO$4-Inputs!$C$33&gt;=1,INDEX(Ops!$E$59:$BL$59,1,AO$4-Inputs!$C$33),0)*Products!$E$30*Timeline!AO$8*Inputs!$C$32</f>
        <v/>
      </c>
      <c r="AP34" s="80">
        <f>IF(AP$4-Inputs!$C$33&gt;=1,INDEX(Ops!$E$59:$BL$59,1,AP$4-Inputs!$C$33),0)*Products!$E$30*Timeline!AP$8*Inputs!$C$32</f>
        <v/>
      </c>
      <c r="AQ34" s="80">
        <f>IF(AQ$4-Inputs!$C$33&gt;=1,INDEX(Ops!$E$59:$BL$59,1,AQ$4-Inputs!$C$33),0)*Products!$E$30*Timeline!AQ$8*Inputs!$C$32</f>
        <v/>
      </c>
      <c r="AR34" s="80">
        <f>IF(AR$4-Inputs!$C$33&gt;=1,INDEX(Ops!$E$59:$BL$59,1,AR$4-Inputs!$C$33),0)*Products!$E$30*Timeline!AR$8*Inputs!$C$32</f>
        <v/>
      </c>
      <c r="AS34" s="80">
        <f>IF(AS$4-Inputs!$C$33&gt;=1,INDEX(Ops!$E$59:$BL$59,1,AS$4-Inputs!$C$33),0)*Products!$E$30*Timeline!AS$8*Inputs!$C$32</f>
        <v/>
      </c>
      <c r="AT34" s="80">
        <f>IF(AT$4-Inputs!$C$33&gt;=1,INDEX(Ops!$E$59:$BL$59,1,AT$4-Inputs!$C$33),0)*Products!$E$30*Timeline!AT$8*Inputs!$C$32</f>
        <v/>
      </c>
      <c r="AU34" s="80">
        <f>IF(AU$4-Inputs!$C$33&gt;=1,INDEX(Ops!$E$59:$BL$59,1,AU$4-Inputs!$C$33),0)*Products!$E$30*Timeline!AU$8*Inputs!$C$32</f>
        <v/>
      </c>
      <c r="AV34" s="80">
        <f>IF(AV$4-Inputs!$C$33&gt;=1,INDEX(Ops!$E$59:$BL$59,1,AV$4-Inputs!$C$33),0)*Products!$E$30*Timeline!AV$8*Inputs!$C$32</f>
        <v/>
      </c>
      <c r="AW34" s="80">
        <f>IF(AW$4-Inputs!$C$33&gt;=1,INDEX(Ops!$E$59:$BL$59,1,AW$4-Inputs!$C$33),0)*Products!$E$30*Timeline!AW$8*Inputs!$C$32</f>
        <v/>
      </c>
      <c r="AX34" s="80">
        <f>IF(AX$4-Inputs!$C$33&gt;=1,INDEX(Ops!$E$59:$BL$59,1,AX$4-Inputs!$C$33),0)*Products!$E$30*Timeline!AX$8*Inputs!$C$32</f>
        <v/>
      </c>
      <c r="AY34" s="80">
        <f>IF(AY$4-Inputs!$C$33&gt;=1,INDEX(Ops!$E$59:$BL$59,1,AY$4-Inputs!$C$33),0)*Products!$E$30*Timeline!AY$8*Inputs!$C$32</f>
        <v/>
      </c>
      <c r="AZ34" s="80">
        <f>IF(AZ$4-Inputs!$C$33&gt;=1,INDEX(Ops!$E$59:$BL$59,1,AZ$4-Inputs!$C$33),0)*Products!$E$30*Timeline!AZ$8*Inputs!$C$32</f>
        <v/>
      </c>
      <c r="BA34" s="80">
        <f>IF(BA$4-Inputs!$C$33&gt;=1,INDEX(Ops!$E$59:$BL$59,1,BA$4-Inputs!$C$33),0)*Products!$E$30*Timeline!BA$8*Inputs!$C$32</f>
        <v/>
      </c>
      <c r="BB34" s="80">
        <f>IF(BB$4-Inputs!$C$33&gt;=1,INDEX(Ops!$E$59:$BL$59,1,BB$4-Inputs!$C$33),0)*Products!$E$30*Timeline!BB$8*Inputs!$C$32</f>
        <v/>
      </c>
      <c r="BC34" s="80">
        <f>IF(BC$4-Inputs!$C$33&gt;=1,INDEX(Ops!$E$59:$BL$59,1,BC$4-Inputs!$C$33),0)*Products!$E$30*Timeline!BC$8*Inputs!$C$32</f>
        <v/>
      </c>
      <c r="BD34" s="80">
        <f>IF(BD$4-Inputs!$C$33&gt;=1,INDEX(Ops!$E$59:$BL$59,1,BD$4-Inputs!$C$33),0)*Products!$E$30*Timeline!BD$8*Inputs!$C$32</f>
        <v/>
      </c>
      <c r="BE34" s="80">
        <f>IF(BE$4-Inputs!$C$33&gt;=1,INDEX(Ops!$E$59:$BL$59,1,BE$4-Inputs!$C$33),0)*Products!$E$30*Timeline!BE$8*Inputs!$C$32</f>
        <v/>
      </c>
      <c r="BF34" s="80">
        <f>IF(BF$4-Inputs!$C$33&gt;=1,INDEX(Ops!$E$59:$BL$59,1,BF$4-Inputs!$C$33),0)*Products!$E$30*Timeline!BF$8*Inputs!$C$32</f>
        <v/>
      </c>
      <c r="BG34" s="80">
        <f>IF(BG$4-Inputs!$C$33&gt;=1,INDEX(Ops!$E$59:$BL$59,1,BG$4-Inputs!$C$33),0)*Products!$E$30*Timeline!BG$8*Inputs!$C$32</f>
        <v/>
      </c>
      <c r="BH34" s="80">
        <f>IF(BH$4-Inputs!$C$33&gt;=1,INDEX(Ops!$E$59:$BL$59,1,BH$4-Inputs!$C$33),0)*Products!$E$30*Timeline!BH$8*Inputs!$C$32</f>
        <v/>
      </c>
      <c r="BI34" s="80">
        <f>IF(BI$4-Inputs!$C$33&gt;=1,INDEX(Ops!$E$59:$BL$59,1,BI$4-Inputs!$C$33),0)*Products!$E$30*Timeline!BI$8*Inputs!$C$32</f>
        <v/>
      </c>
      <c r="BJ34" s="80">
        <f>IF(BJ$4-Inputs!$C$33&gt;=1,INDEX(Ops!$E$59:$BL$59,1,BJ$4-Inputs!$C$33),0)*Products!$E$30*Timeline!BJ$8*Inputs!$C$32</f>
        <v/>
      </c>
      <c r="BK34" s="80">
        <f>IF(BK$4-Inputs!$C$33&gt;=1,INDEX(Ops!$E$59:$BL$59,1,BK$4-Inputs!$C$33),0)*Products!$E$30*Timeline!BK$8*Inputs!$C$32</f>
        <v/>
      </c>
      <c r="BL34" s="80">
        <f>IF(BL$4-Inputs!$C$33&gt;=1,INDEX(Ops!$E$59:$BL$59,1,BL$4-Inputs!$C$33),0)*Products!$E$30*Timeline!BL$8*Inputs!$C$32</f>
        <v/>
      </c>
    </row>
    <row r="35">
      <c r="A35" s="98" t="inlineStr">
        <is>
          <t>Repayment-linked RBF (sales-based x payout factor)</t>
        </is>
      </c>
      <c r="B35" s="65" t="inlineStr">
        <is>
          <t>LCY</t>
        </is>
      </c>
      <c r="C35" s="105">
        <f>SUM(E35:BL35)</f>
        <v/>
      </c>
      <c r="E35" s="80">
        <f>E34*$E$13</f>
        <v/>
      </c>
      <c r="F35" s="80">
        <f>F34*$E$13</f>
        <v/>
      </c>
      <c r="G35" s="80">
        <f>G34*$E$13</f>
        <v/>
      </c>
      <c r="H35" s="80">
        <f>H34*$E$13</f>
        <v/>
      </c>
      <c r="I35" s="80">
        <f>I34*$E$13</f>
        <v/>
      </c>
      <c r="J35" s="80">
        <f>J34*$E$13</f>
        <v/>
      </c>
      <c r="K35" s="80">
        <f>K34*$E$13</f>
        <v/>
      </c>
      <c r="L35" s="80">
        <f>L34*$E$13</f>
        <v/>
      </c>
      <c r="M35" s="80">
        <f>M34*$E$13</f>
        <v/>
      </c>
      <c r="N35" s="80">
        <f>N34*$E$13</f>
        <v/>
      </c>
      <c r="O35" s="80">
        <f>O34*$E$13</f>
        <v/>
      </c>
      <c r="P35" s="80">
        <f>P34*$E$13</f>
        <v/>
      </c>
      <c r="Q35" s="80">
        <f>Q34*$E$13</f>
        <v/>
      </c>
      <c r="R35" s="80">
        <f>R34*$E$13</f>
        <v/>
      </c>
      <c r="S35" s="80">
        <f>S34*$E$13</f>
        <v/>
      </c>
      <c r="T35" s="80">
        <f>T34*$E$13</f>
        <v/>
      </c>
      <c r="U35" s="80">
        <f>U34*$E$13</f>
        <v/>
      </c>
      <c r="V35" s="80">
        <f>V34*$E$13</f>
        <v/>
      </c>
      <c r="W35" s="80">
        <f>W34*$E$13</f>
        <v/>
      </c>
      <c r="X35" s="80">
        <f>X34*$E$13</f>
        <v/>
      </c>
      <c r="Y35" s="80">
        <f>Y34*$E$13</f>
        <v/>
      </c>
      <c r="Z35" s="80">
        <f>Z34*$E$13</f>
        <v/>
      </c>
      <c r="AA35" s="80">
        <f>AA34*$E$13</f>
        <v/>
      </c>
      <c r="AB35" s="80">
        <f>AB34*$E$13</f>
        <v/>
      </c>
      <c r="AC35" s="80">
        <f>AC34*$E$13</f>
        <v/>
      </c>
      <c r="AD35" s="80">
        <f>AD34*$E$13</f>
        <v/>
      </c>
      <c r="AE35" s="80">
        <f>AE34*$E$13</f>
        <v/>
      </c>
      <c r="AF35" s="80">
        <f>AF34*$E$13</f>
        <v/>
      </c>
      <c r="AG35" s="80">
        <f>AG34*$E$13</f>
        <v/>
      </c>
      <c r="AH35" s="80">
        <f>AH34*$E$13</f>
        <v/>
      </c>
      <c r="AI35" s="80">
        <f>AI34*$E$13</f>
        <v/>
      </c>
      <c r="AJ35" s="80">
        <f>AJ34*$E$13</f>
        <v/>
      </c>
      <c r="AK35" s="80">
        <f>AK34*$E$13</f>
        <v/>
      </c>
      <c r="AL35" s="80">
        <f>AL34*$E$13</f>
        <v/>
      </c>
      <c r="AM35" s="80">
        <f>AM34*$E$13</f>
        <v/>
      </c>
      <c r="AN35" s="80">
        <f>AN34*$E$13</f>
        <v/>
      </c>
      <c r="AO35" s="80">
        <f>AO34*$E$13</f>
        <v/>
      </c>
      <c r="AP35" s="80">
        <f>AP34*$E$13</f>
        <v/>
      </c>
      <c r="AQ35" s="80">
        <f>AQ34*$E$13</f>
        <v/>
      </c>
      <c r="AR35" s="80">
        <f>AR34*$E$13</f>
        <v/>
      </c>
      <c r="AS35" s="80">
        <f>AS34*$E$13</f>
        <v/>
      </c>
      <c r="AT35" s="80">
        <f>AT34*$E$13</f>
        <v/>
      </c>
      <c r="AU35" s="80">
        <f>AU34*$E$13</f>
        <v/>
      </c>
      <c r="AV35" s="80">
        <f>AV34*$E$13</f>
        <v/>
      </c>
      <c r="AW35" s="80">
        <f>AW34*$E$13</f>
        <v/>
      </c>
      <c r="AX35" s="80">
        <f>AX34*$E$13</f>
        <v/>
      </c>
      <c r="AY35" s="80">
        <f>AY34*$E$13</f>
        <v/>
      </c>
      <c r="AZ35" s="80">
        <f>AZ34*$E$13</f>
        <v/>
      </c>
      <c r="BA35" s="80">
        <f>BA34*$E$13</f>
        <v/>
      </c>
      <c r="BB35" s="80">
        <f>BB34*$E$13</f>
        <v/>
      </c>
      <c r="BC35" s="80">
        <f>BC34*$E$13</f>
        <v/>
      </c>
      <c r="BD35" s="80">
        <f>BD34*$E$13</f>
        <v/>
      </c>
      <c r="BE35" s="80">
        <f>BE34*$E$13</f>
        <v/>
      </c>
      <c r="BF35" s="80">
        <f>BF34*$E$13</f>
        <v/>
      </c>
      <c r="BG35" s="80">
        <f>BG34*$E$13</f>
        <v/>
      </c>
      <c r="BH35" s="80">
        <f>BH34*$E$13</f>
        <v/>
      </c>
      <c r="BI35" s="80">
        <f>BI34*$E$13</f>
        <v/>
      </c>
      <c r="BJ35" s="80">
        <f>BJ34*$E$13</f>
        <v/>
      </c>
      <c r="BK35" s="80">
        <f>BK34*$E$13</f>
        <v/>
      </c>
      <c r="BL35" s="80">
        <f>BL34*$E$13</f>
        <v/>
      </c>
    </row>
    <row r="36">
      <c r="A36" s="98" t="inlineStr">
        <is>
          <t>Ownership-linked RBF (paid at 2 x tenor on validated ownership)</t>
        </is>
      </c>
      <c r="B36" s="65" t="inlineStr">
        <is>
          <t>LCY</t>
        </is>
      </c>
      <c r="C36" s="105">
        <f>SUM(E36:BL36)</f>
        <v/>
      </c>
      <c r="E36" s="80">
        <f>IF(AND(Inputs!$C$39=1,E$4-$E$15&gt;=1),INDEX(Ops!$E$59:$BL$59,1,E$4-$E$15),0)*Products!$E$30*Timeline!E$8*Inputs!$C$32*$E$14</f>
        <v/>
      </c>
      <c r="F36" s="80">
        <f>IF(AND(Inputs!$C$39=1,F$4-$E$15&gt;=1),INDEX(Ops!$E$59:$BL$59,1,F$4-$E$15),0)*Products!$E$30*Timeline!F$8*Inputs!$C$32*$E$14</f>
        <v/>
      </c>
      <c r="G36" s="80">
        <f>IF(AND(Inputs!$C$39=1,G$4-$E$15&gt;=1),INDEX(Ops!$E$59:$BL$59,1,G$4-$E$15),0)*Products!$E$30*Timeline!G$8*Inputs!$C$32*$E$14</f>
        <v/>
      </c>
      <c r="H36" s="80">
        <f>IF(AND(Inputs!$C$39=1,H$4-$E$15&gt;=1),INDEX(Ops!$E$59:$BL$59,1,H$4-$E$15),0)*Products!$E$30*Timeline!H$8*Inputs!$C$32*$E$14</f>
        <v/>
      </c>
      <c r="I36" s="80">
        <f>IF(AND(Inputs!$C$39=1,I$4-$E$15&gt;=1),INDEX(Ops!$E$59:$BL$59,1,I$4-$E$15),0)*Products!$E$30*Timeline!I$8*Inputs!$C$32*$E$14</f>
        <v/>
      </c>
      <c r="J36" s="80">
        <f>IF(AND(Inputs!$C$39=1,J$4-$E$15&gt;=1),INDEX(Ops!$E$59:$BL$59,1,J$4-$E$15),0)*Products!$E$30*Timeline!J$8*Inputs!$C$32*$E$14</f>
        <v/>
      </c>
      <c r="K36" s="80">
        <f>IF(AND(Inputs!$C$39=1,K$4-$E$15&gt;=1),INDEX(Ops!$E$59:$BL$59,1,K$4-$E$15),0)*Products!$E$30*Timeline!K$8*Inputs!$C$32*$E$14</f>
        <v/>
      </c>
      <c r="L36" s="80">
        <f>IF(AND(Inputs!$C$39=1,L$4-$E$15&gt;=1),INDEX(Ops!$E$59:$BL$59,1,L$4-$E$15),0)*Products!$E$30*Timeline!L$8*Inputs!$C$32*$E$14</f>
        <v/>
      </c>
      <c r="M36" s="80">
        <f>IF(AND(Inputs!$C$39=1,M$4-$E$15&gt;=1),INDEX(Ops!$E$59:$BL$59,1,M$4-$E$15),0)*Products!$E$30*Timeline!M$8*Inputs!$C$32*$E$14</f>
        <v/>
      </c>
      <c r="N36" s="80">
        <f>IF(AND(Inputs!$C$39=1,N$4-$E$15&gt;=1),INDEX(Ops!$E$59:$BL$59,1,N$4-$E$15),0)*Products!$E$30*Timeline!N$8*Inputs!$C$32*$E$14</f>
        <v/>
      </c>
      <c r="O36" s="80">
        <f>IF(AND(Inputs!$C$39=1,O$4-$E$15&gt;=1),INDEX(Ops!$E$59:$BL$59,1,O$4-$E$15),0)*Products!$E$30*Timeline!O$8*Inputs!$C$32*$E$14</f>
        <v/>
      </c>
      <c r="P36" s="80">
        <f>IF(AND(Inputs!$C$39=1,P$4-$E$15&gt;=1),INDEX(Ops!$E$59:$BL$59,1,P$4-$E$15),0)*Products!$E$30*Timeline!P$8*Inputs!$C$32*$E$14</f>
        <v/>
      </c>
      <c r="Q36" s="80">
        <f>IF(AND(Inputs!$C$39=1,Q$4-$E$15&gt;=1),INDEX(Ops!$E$59:$BL$59,1,Q$4-$E$15),0)*Products!$E$30*Timeline!Q$8*Inputs!$C$32*$E$14</f>
        <v/>
      </c>
      <c r="R36" s="80">
        <f>IF(AND(Inputs!$C$39=1,R$4-$E$15&gt;=1),INDEX(Ops!$E$59:$BL$59,1,R$4-$E$15),0)*Products!$E$30*Timeline!R$8*Inputs!$C$32*$E$14</f>
        <v/>
      </c>
      <c r="S36" s="80">
        <f>IF(AND(Inputs!$C$39=1,S$4-$E$15&gt;=1),INDEX(Ops!$E$59:$BL$59,1,S$4-$E$15),0)*Products!$E$30*Timeline!S$8*Inputs!$C$32*$E$14</f>
        <v/>
      </c>
      <c r="T36" s="80">
        <f>IF(AND(Inputs!$C$39=1,T$4-$E$15&gt;=1),INDEX(Ops!$E$59:$BL$59,1,T$4-$E$15),0)*Products!$E$30*Timeline!T$8*Inputs!$C$32*$E$14</f>
        <v/>
      </c>
      <c r="U36" s="80">
        <f>IF(AND(Inputs!$C$39=1,U$4-$E$15&gt;=1),INDEX(Ops!$E$59:$BL$59,1,U$4-$E$15),0)*Products!$E$30*Timeline!U$8*Inputs!$C$32*$E$14</f>
        <v/>
      </c>
      <c r="V36" s="80">
        <f>IF(AND(Inputs!$C$39=1,V$4-$E$15&gt;=1),INDEX(Ops!$E$59:$BL$59,1,V$4-$E$15),0)*Products!$E$30*Timeline!V$8*Inputs!$C$32*$E$14</f>
        <v/>
      </c>
      <c r="W36" s="80">
        <f>IF(AND(Inputs!$C$39=1,W$4-$E$15&gt;=1),INDEX(Ops!$E$59:$BL$59,1,W$4-$E$15),0)*Products!$E$30*Timeline!W$8*Inputs!$C$32*$E$14</f>
        <v/>
      </c>
      <c r="X36" s="80">
        <f>IF(AND(Inputs!$C$39=1,X$4-$E$15&gt;=1),INDEX(Ops!$E$59:$BL$59,1,X$4-$E$15),0)*Products!$E$30*Timeline!X$8*Inputs!$C$32*$E$14</f>
        <v/>
      </c>
      <c r="Y36" s="80">
        <f>IF(AND(Inputs!$C$39=1,Y$4-$E$15&gt;=1),INDEX(Ops!$E$59:$BL$59,1,Y$4-$E$15),0)*Products!$E$30*Timeline!Y$8*Inputs!$C$32*$E$14</f>
        <v/>
      </c>
      <c r="Z36" s="80">
        <f>IF(AND(Inputs!$C$39=1,Z$4-$E$15&gt;=1),INDEX(Ops!$E$59:$BL$59,1,Z$4-$E$15),0)*Products!$E$30*Timeline!Z$8*Inputs!$C$32*$E$14</f>
        <v/>
      </c>
      <c r="AA36" s="80">
        <f>IF(AND(Inputs!$C$39=1,AA$4-$E$15&gt;=1),INDEX(Ops!$E$59:$BL$59,1,AA$4-$E$15),0)*Products!$E$30*Timeline!AA$8*Inputs!$C$32*$E$14</f>
        <v/>
      </c>
      <c r="AB36" s="80">
        <f>IF(AND(Inputs!$C$39=1,AB$4-$E$15&gt;=1),INDEX(Ops!$E$59:$BL$59,1,AB$4-$E$15),0)*Products!$E$30*Timeline!AB$8*Inputs!$C$32*$E$14</f>
        <v/>
      </c>
      <c r="AC36" s="80">
        <f>IF(AND(Inputs!$C$39=1,AC$4-$E$15&gt;=1),INDEX(Ops!$E$59:$BL$59,1,AC$4-$E$15),0)*Products!$E$30*Timeline!AC$8*Inputs!$C$32*$E$14</f>
        <v/>
      </c>
      <c r="AD36" s="80">
        <f>IF(AND(Inputs!$C$39=1,AD$4-$E$15&gt;=1),INDEX(Ops!$E$59:$BL$59,1,AD$4-$E$15),0)*Products!$E$30*Timeline!AD$8*Inputs!$C$32*$E$14</f>
        <v/>
      </c>
      <c r="AE36" s="80">
        <f>IF(AND(Inputs!$C$39=1,AE$4-$E$15&gt;=1),INDEX(Ops!$E$59:$BL$59,1,AE$4-$E$15),0)*Products!$E$30*Timeline!AE$8*Inputs!$C$32*$E$14</f>
        <v/>
      </c>
      <c r="AF36" s="80">
        <f>IF(AND(Inputs!$C$39=1,AF$4-$E$15&gt;=1),INDEX(Ops!$E$59:$BL$59,1,AF$4-$E$15),0)*Products!$E$30*Timeline!AF$8*Inputs!$C$32*$E$14</f>
        <v/>
      </c>
      <c r="AG36" s="80">
        <f>IF(AND(Inputs!$C$39=1,AG$4-$E$15&gt;=1),INDEX(Ops!$E$59:$BL$59,1,AG$4-$E$15),0)*Products!$E$30*Timeline!AG$8*Inputs!$C$32*$E$14</f>
        <v/>
      </c>
      <c r="AH36" s="80">
        <f>IF(AND(Inputs!$C$39=1,AH$4-$E$15&gt;=1),INDEX(Ops!$E$59:$BL$59,1,AH$4-$E$15),0)*Products!$E$30*Timeline!AH$8*Inputs!$C$32*$E$14</f>
        <v/>
      </c>
      <c r="AI36" s="80">
        <f>IF(AND(Inputs!$C$39=1,AI$4-$E$15&gt;=1),INDEX(Ops!$E$59:$BL$59,1,AI$4-$E$15),0)*Products!$E$30*Timeline!AI$8*Inputs!$C$32*$E$14</f>
        <v/>
      </c>
      <c r="AJ36" s="80">
        <f>IF(AND(Inputs!$C$39=1,AJ$4-$E$15&gt;=1),INDEX(Ops!$E$59:$BL$59,1,AJ$4-$E$15),0)*Products!$E$30*Timeline!AJ$8*Inputs!$C$32*$E$14</f>
        <v/>
      </c>
      <c r="AK36" s="80">
        <f>IF(AND(Inputs!$C$39=1,AK$4-$E$15&gt;=1),INDEX(Ops!$E$59:$BL$59,1,AK$4-$E$15),0)*Products!$E$30*Timeline!AK$8*Inputs!$C$32*$E$14</f>
        <v/>
      </c>
      <c r="AL36" s="80">
        <f>IF(AND(Inputs!$C$39=1,AL$4-$E$15&gt;=1),INDEX(Ops!$E$59:$BL$59,1,AL$4-$E$15),0)*Products!$E$30*Timeline!AL$8*Inputs!$C$32*$E$14</f>
        <v/>
      </c>
      <c r="AM36" s="80">
        <f>IF(AND(Inputs!$C$39=1,AM$4-$E$15&gt;=1),INDEX(Ops!$E$59:$BL$59,1,AM$4-$E$15),0)*Products!$E$30*Timeline!AM$8*Inputs!$C$32*$E$14</f>
        <v/>
      </c>
      <c r="AN36" s="80">
        <f>IF(AND(Inputs!$C$39=1,AN$4-$E$15&gt;=1),INDEX(Ops!$E$59:$BL$59,1,AN$4-$E$15),0)*Products!$E$30*Timeline!AN$8*Inputs!$C$32*$E$14</f>
        <v/>
      </c>
      <c r="AO36" s="80">
        <f>IF(AND(Inputs!$C$39=1,AO$4-$E$15&gt;=1),INDEX(Ops!$E$59:$BL$59,1,AO$4-$E$15),0)*Products!$E$30*Timeline!AO$8*Inputs!$C$32*$E$14</f>
        <v/>
      </c>
      <c r="AP36" s="80">
        <f>IF(AND(Inputs!$C$39=1,AP$4-$E$15&gt;=1),INDEX(Ops!$E$59:$BL$59,1,AP$4-$E$15),0)*Products!$E$30*Timeline!AP$8*Inputs!$C$32*$E$14</f>
        <v/>
      </c>
      <c r="AQ36" s="80">
        <f>IF(AND(Inputs!$C$39=1,AQ$4-$E$15&gt;=1),INDEX(Ops!$E$59:$BL$59,1,AQ$4-$E$15),0)*Products!$E$30*Timeline!AQ$8*Inputs!$C$32*$E$14</f>
        <v/>
      </c>
      <c r="AR36" s="80">
        <f>IF(AND(Inputs!$C$39=1,AR$4-$E$15&gt;=1),INDEX(Ops!$E$59:$BL$59,1,AR$4-$E$15),0)*Products!$E$30*Timeline!AR$8*Inputs!$C$32*$E$14</f>
        <v/>
      </c>
      <c r="AS36" s="80">
        <f>IF(AND(Inputs!$C$39=1,AS$4-$E$15&gt;=1),INDEX(Ops!$E$59:$BL$59,1,AS$4-$E$15),0)*Products!$E$30*Timeline!AS$8*Inputs!$C$32*$E$14</f>
        <v/>
      </c>
      <c r="AT36" s="80">
        <f>IF(AND(Inputs!$C$39=1,AT$4-$E$15&gt;=1),INDEX(Ops!$E$59:$BL$59,1,AT$4-$E$15),0)*Products!$E$30*Timeline!AT$8*Inputs!$C$32*$E$14</f>
        <v/>
      </c>
      <c r="AU36" s="80">
        <f>IF(AND(Inputs!$C$39=1,AU$4-$E$15&gt;=1),INDEX(Ops!$E$59:$BL$59,1,AU$4-$E$15),0)*Products!$E$30*Timeline!AU$8*Inputs!$C$32*$E$14</f>
        <v/>
      </c>
      <c r="AV36" s="80">
        <f>IF(AND(Inputs!$C$39=1,AV$4-$E$15&gt;=1),INDEX(Ops!$E$59:$BL$59,1,AV$4-$E$15),0)*Products!$E$30*Timeline!AV$8*Inputs!$C$32*$E$14</f>
        <v/>
      </c>
      <c r="AW36" s="80">
        <f>IF(AND(Inputs!$C$39=1,AW$4-$E$15&gt;=1),INDEX(Ops!$E$59:$BL$59,1,AW$4-$E$15),0)*Products!$E$30*Timeline!AW$8*Inputs!$C$32*$E$14</f>
        <v/>
      </c>
      <c r="AX36" s="80">
        <f>IF(AND(Inputs!$C$39=1,AX$4-$E$15&gt;=1),INDEX(Ops!$E$59:$BL$59,1,AX$4-$E$15),0)*Products!$E$30*Timeline!AX$8*Inputs!$C$32*$E$14</f>
        <v/>
      </c>
      <c r="AY36" s="80">
        <f>IF(AND(Inputs!$C$39=1,AY$4-$E$15&gt;=1),INDEX(Ops!$E$59:$BL$59,1,AY$4-$E$15),0)*Products!$E$30*Timeline!AY$8*Inputs!$C$32*$E$14</f>
        <v/>
      </c>
      <c r="AZ36" s="80">
        <f>IF(AND(Inputs!$C$39=1,AZ$4-$E$15&gt;=1),INDEX(Ops!$E$59:$BL$59,1,AZ$4-$E$15),0)*Products!$E$30*Timeline!AZ$8*Inputs!$C$32*$E$14</f>
        <v/>
      </c>
      <c r="BA36" s="80">
        <f>IF(AND(Inputs!$C$39=1,BA$4-$E$15&gt;=1),INDEX(Ops!$E$59:$BL$59,1,BA$4-$E$15),0)*Products!$E$30*Timeline!BA$8*Inputs!$C$32*$E$14</f>
        <v/>
      </c>
      <c r="BB36" s="80">
        <f>IF(AND(Inputs!$C$39=1,BB$4-$E$15&gt;=1),INDEX(Ops!$E$59:$BL$59,1,BB$4-$E$15),0)*Products!$E$30*Timeline!BB$8*Inputs!$C$32*$E$14</f>
        <v/>
      </c>
      <c r="BC36" s="80">
        <f>IF(AND(Inputs!$C$39=1,BC$4-$E$15&gt;=1),INDEX(Ops!$E$59:$BL$59,1,BC$4-$E$15),0)*Products!$E$30*Timeline!BC$8*Inputs!$C$32*$E$14</f>
        <v/>
      </c>
      <c r="BD36" s="80">
        <f>IF(AND(Inputs!$C$39=1,BD$4-$E$15&gt;=1),INDEX(Ops!$E$59:$BL$59,1,BD$4-$E$15),0)*Products!$E$30*Timeline!BD$8*Inputs!$C$32*$E$14</f>
        <v/>
      </c>
      <c r="BE36" s="80">
        <f>IF(AND(Inputs!$C$39=1,BE$4-$E$15&gt;=1),INDEX(Ops!$E$59:$BL$59,1,BE$4-$E$15),0)*Products!$E$30*Timeline!BE$8*Inputs!$C$32*$E$14</f>
        <v/>
      </c>
      <c r="BF36" s="80">
        <f>IF(AND(Inputs!$C$39=1,BF$4-$E$15&gt;=1),INDEX(Ops!$E$59:$BL$59,1,BF$4-$E$15),0)*Products!$E$30*Timeline!BF$8*Inputs!$C$32*$E$14</f>
        <v/>
      </c>
      <c r="BG36" s="80">
        <f>IF(AND(Inputs!$C$39=1,BG$4-$E$15&gt;=1),INDEX(Ops!$E$59:$BL$59,1,BG$4-$E$15),0)*Products!$E$30*Timeline!BG$8*Inputs!$C$32*$E$14</f>
        <v/>
      </c>
      <c r="BH36" s="80">
        <f>IF(AND(Inputs!$C$39=1,BH$4-$E$15&gt;=1),INDEX(Ops!$E$59:$BL$59,1,BH$4-$E$15),0)*Products!$E$30*Timeline!BH$8*Inputs!$C$32*$E$14</f>
        <v/>
      </c>
      <c r="BI36" s="80">
        <f>IF(AND(Inputs!$C$39=1,BI$4-$E$15&gt;=1),INDEX(Ops!$E$59:$BL$59,1,BI$4-$E$15),0)*Products!$E$30*Timeline!BI$8*Inputs!$C$32*$E$14</f>
        <v/>
      </c>
      <c r="BJ36" s="80">
        <f>IF(AND(Inputs!$C$39=1,BJ$4-$E$15&gt;=1),INDEX(Ops!$E$59:$BL$59,1,BJ$4-$E$15),0)*Products!$E$30*Timeline!BJ$8*Inputs!$C$32*$E$14</f>
        <v/>
      </c>
      <c r="BK36" s="80">
        <f>IF(AND(Inputs!$C$39=1,BK$4-$E$15&gt;=1),INDEX(Ops!$E$59:$BL$59,1,BK$4-$E$15),0)*Products!$E$30*Timeline!BK$8*Inputs!$C$32*$E$14</f>
        <v/>
      </c>
      <c r="BL36" s="80">
        <f>IF(AND(Inputs!$C$39=1,BL$4-$E$15&gt;=1),INDEX(Ops!$E$59:$BL$59,1,BL$4-$E$15),0)*Products!$E$30*Timeline!BL$8*Inputs!$C$32*$E$14</f>
        <v/>
      </c>
    </row>
    <row r="37">
      <c r="A37" s="98" t="inlineStr">
        <is>
          <t>Hybrid RBF (weighted)</t>
        </is>
      </c>
      <c r="B37" s="65" t="inlineStr">
        <is>
          <t>LCY</t>
        </is>
      </c>
      <c r="C37" s="105">
        <f>SUM(E37:BL37)</f>
        <v/>
      </c>
      <c r="E37" s="80">
        <f>Inputs!$C$36*E34+Inputs!$C$37*E35+Inputs!$C$38*E36</f>
        <v/>
      </c>
      <c r="F37" s="80">
        <f>Inputs!$C$36*F34+Inputs!$C$37*F35+Inputs!$C$38*F36</f>
        <v/>
      </c>
      <c r="G37" s="80">
        <f>Inputs!$C$36*G34+Inputs!$C$37*G35+Inputs!$C$38*G36</f>
        <v/>
      </c>
      <c r="H37" s="80">
        <f>Inputs!$C$36*H34+Inputs!$C$37*H35+Inputs!$C$38*H36</f>
        <v/>
      </c>
      <c r="I37" s="80">
        <f>Inputs!$C$36*I34+Inputs!$C$37*I35+Inputs!$C$38*I36</f>
        <v/>
      </c>
      <c r="J37" s="80">
        <f>Inputs!$C$36*J34+Inputs!$C$37*J35+Inputs!$C$38*J36</f>
        <v/>
      </c>
      <c r="K37" s="80">
        <f>Inputs!$C$36*K34+Inputs!$C$37*K35+Inputs!$C$38*K36</f>
        <v/>
      </c>
      <c r="L37" s="80">
        <f>Inputs!$C$36*L34+Inputs!$C$37*L35+Inputs!$C$38*L36</f>
        <v/>
      </c>
      <c r="M37" s="80">
        <f>Inputs!$C$36*M34+Inputs!$C$37*M35+Inputs!$C$38*M36</f>
        <v/>
      </c>
      <c r="N37" s="80">
        <f>Inputs!$C$36*N34+Inputs!$C$37*N35+Inputs!$C$38*N36</f>
        <v/>
      </c>
      <c r="O37" s="80">
        <f>Inputs!$C$36*O34+Inputs!$C$37*O35+Inputs!$C$38*O36</f>
        <v/>
      </c>
      <c r="P37" s="80">
        <f>Inputs!$C$36*P34+Inputs!$C$37*P35+Inputs!$C$38*P36</f>
        <v/>
      </c>
      <c r="Q37" s="80">
        <f>Inputs!$C$36*Q34+Inputs!$C$37*Q35+Inputs!$C$38*Q36</f>
        <v/>
      </c>
      <c r="R37" s="80">
        <f>Inputs!$C$36*R34+Inputs!$C$37*R35+Inputs!$C$38*R36</f>
        <v/>
      </c>
      <c r="S37" s="80">
        <f>Inputs!$C$36*S34+Inputs!$C$37*S35+Inputs!$C$38*S36</f>
        <v/>
      </c>
      <c r="T37" s="80">
        <f>Inputs!$C$36*T34+Inputs!$C$37*T35+Inputs!$C$38*T36</f>
        <v/>
      </c>
      <c r="U37" s="80">
        <f>Inputs!$C$36*U34+Inputs!$C$37*U35+Inputs!$C$38*U36</f>
        <v/>
      </c>
      <c r="V37" s="80">
        <f>Inputs!$C$36*V34+Inputs!$C$37*V35+Inputs!$C$38*V36</f>
        <v/>
      </c>
      <c r="W37" s="80">
        <f>Inputs!$C$36*W34+Inputs!$C$37*W35+Inputs!$C$38*W36</f>
        <v/>
      </c>
      <c r="X37" s="80">
        <f>Inputs!$C$36*X34+Inputs!$C$37*X35+Inputs!$C$38*X36</f>
        <v/>
      </c>
      <c r="Y37" s="80">
        <f>Inputs!$C$36*Y34+Inputs!$C$37*Y35+Inputs!$C$38*Y36</f>
        <v/>
      </c>
      <c r="Z37" s="80">
        <f>Inputs!$C$36*Z34+Inputs!$C$37*Z35+Inputs!$C$38*Z36</f>
        <v/>
      </c>
      <c r="AA37" s="80">
        <f>Inputs!$C$36*AA34+Inputs!$C$37*AA35+Inputs!$C$38*AA36</f>
        <v/>
      </c>
      <c r="AB37" s="80">
        <f>Inputs!$C$36*AB34+Inputs!$C$37*AB35+Inputs!$C$38*AB36</f>
        <v/>
      </c>
      <c r="AC37" s="80">
        <f>Inputs!$C$36*AC34+Inputs!$C$37*AC35+Inputs!$C$38*AC36</f>
        <v/>
      </c>
      <c r="AD37" s="80">
        <f>Inputs!$C$36*AD34+Inputs!$C$37*AD35+Inputs!$C$38*AD36</f>
        <v/>
      </c>
      <c r="AE37" s="80">
        <f>Inputs!$C$36*AE34+Inputs!$C$37*AE35+Inputs!$C$38*AE36</f>
        <v/>
      </c>
      <c r="AF37" s="80">
        <f>Inputs!$C$36*AF34+Inputs!$C$37*AF35+Inputs!$C$38*AF36</f>
        <v/>
      </c>
      <c r="AG37" s="80">
        <f>Inputs!$C$36*AG34+Inputs!$C$37*AG35+Inputs!$C$38*AG36</f>
        <v/>
      </c>
      <c r="AH37" s="80">
        <f>Inputs!$C$36*AH34+Inputs!$C$37*AH35+Inputs!$C$38*AH36</f>
        <v/>
      </c>
      <c r="AI37" s="80">
        <f>Inputs!$C$36*AI34+Inputs!$C$37*AI35+Inputs!$C$38*AI36</f>
        <v/>
      </c>
      <c r="AJ37" s="80">
        <f>Inputs!$C$36*AJ34+Inputs!$C$37*AJ35+Inputs!$C$38*AJ36</f>
        <v/>
      </c>
      <c r="AK37" s="80">
        <f>Inputs!$C$36*AK34+Inputs!$C$37*AK35+Inputs!$C$38*AK36</f>
        <v/>
      </c>
      <c r="AL37" s="80">
        <f>Inputs!$C$36*AL34+Inputs!$C$37*AL35+Inputs!$C$38*AL36</f>
        <v/>
      </c>
      <c r="AM37" s="80">
        <f>Inputs!$C$36*AM34+Inputs!$C$37*AM35+Inputs!$C$38*AM36</f>
        <v/>
      </c>
      <c r="AN37" s="80">
        <f>Inputs!$C$36*AN34+Inputs!$C$37*AN35+Inputs!$C$38*AN36</f>
        <v/>
      </c>
      <c r="AO37" s="80">
        <f>Inputs!$C$36*AO34+Inputs!$C$37*AO35+Inputs!$C$38*AO36</f>
        <v/>
      </c>
      <c r="AP37" s="80">
        <f>Inputs!$C$36*AP34+Inputs!$C$37*AP35+Inputs!$C$38*AP36</f>
        <v/>
      </c>
      <c r="AQ37" s="80">
        <f>Inputs!$C$36*AQ34+Inputs!$C$37*AQ35+Inputs!$C$38*AQ36</f>
        <v/>
      </c>
      <c r="AR37" s="80">
        <f>Inputs!$C$36*AR34+Inputs!$C$37*AR35+Inputs!$C$38*AR36</f>
        <v/>
      </c>
      <c r="AS37" s="80">
        <f>Inputs!$C$36*AS34+Inputs!$C$37*AS35+Inputs!$C$38*AS36</f>
        <v/>
      </c>
      <c r="AT37" s="80">
        <f>Inputs!$C$36*AT34+Inputs!$C$37*AT35+Inputs!$C$38*AT36</f>
        <v/>
      </c>
      <c r="AU37" s="80">
        <f>Inputs!$C$36*AU34+Inputs!$C$37*AU35+Inputs!$C$38*AU36</f>
        <v/>
      </c>
      <c r="AV37" s="80">
        <f>Inputs!$C$36*AV34+Inputs!$C$37*AV35+Inputs!$C$38*AV36</f>
        <v/>
      </c>
      <c r="AW37" s="80">
        <f>Inputs!$C$36*AW34+Inputs!$C$37*AW35+Inputs!$C$38*AW36</f>
        <v/>
      </c>
      <c r="AX37" s="80">
        <f>Inputs!$C$36*AX34+Inputs!$C$37*AX35+Inputs!$C$38*AX36</f>
        <v/>
      </c>
      <c r="AY37" s="80">
        <f>Inputs!$C$36*AY34+Inputs!$C$37*AY35+Inputs!$C$38*AY36</f>
        <v/>
      </c>
      <c r="AZ37" s="80">
        <f>Inputs!$C$36*AZ34+Inputs!$C$37*AZ35+Inputs!$C$38*AZ36</f>
        <v/>
      </c>
      <c r="BA37" s="80">
        <f>Inputs!$C$36*BA34+Inputs!$C$37*BA35+Inputs!$C$38*BA36</f>
        <v/>
      </c>
      <c r="BB37" s="80">
        <f>Inputs!$C$36*BB34+Inputs!$C$37*BB35+Inputs!$C$38*BB36</f>
        <v/>
      </c>
      <c r="BC37" s="80">
        <f>Inputs!$C$36*BC34+Inputs!$C$37*BC35+Inputs!$C$38*BC36</f>
        <v/>
      </c>
      <c r="BD37" s="80">
        <f>Inputs!$C$36*BD34+Inputs!$C$37*BD35+Inputs!$C$38*BD36</f>
        <v/>
      </c>
      <c r="BE37" s="80">
        <f>Inputs!$C$36*BE34+Inputs!$C$37*BE35+Inputs!$C$38*BE36</f>
        <v/>
      </c>
      <c r="BF37" s="80">
        <f>Inputs!$C$36*BF34+Inputs!$C$37*BF35+Inputs!$C$38*BF36</f>
        <v/>
      </c>
      <c r="BG37" s="80">
        <f>Inputs!$C$36*BG34+Inputs!$C$37*BG35+Inputs!$C$38*BG36</f>
        <v/>
      </c>
      <c r="BH37" s="80">
        <f>Inputs!$C$36*BH34+Inputs!$C$37*BH35+Inputs!$C$38*BH36</f>
        <v/>
      </c>
      <c r="BI37" s="80">
        <f>Inputs!$C$36*BI34+Inputs!$C$37*BI35+Inputs!$C$38*BI36</f>
        <v/>
      </c>
      <c r="BJ37" s="80">
        <f>Inputs!$C$36*BJ34+Inputs!$C$37*BJ35+Inputs!$C$38*BJ36</f>
        <v/>
      </c>
      <c r="BK37" s="80">
        <f>Inputs!$C$36*BK34+Inputs!$C$37*BK35+Inputs!$C$38*BK36</f>
        <v/>
      </c>
      <c r="BL37" s="80">
        <f>Inputs!$C$36*BL34+Inputs!$C$37*BL35+Inputs!$C$38*BL36</f>
        <v/>
      </c>
    </row>
    <row r="38">
      <c r="A38" s="100" t="inlineStr">
        <is>
          <t>Selected RBF (feeds Ops and P&amp;L)</t>
        </is>
      </c>
      <c r="B38" s="101" t="inlineStr">
        <is>
          <t>LCY</t>
        </is>
      </c>
      <c r="C38" s="102">
        <f>SUM(E38:BL38)</f>
        <v/>
      </c>
      <c r="D38" s="103" t="n"/>
      <c r="E38" s="104">
        <f>CHOOSE(MAX(1,MIN(4,INT(N(Inputs!$C$34)))),E34,E35,E36,E37)</f>
        <v/>
      </c>
      <c r="F38" s="104">
        <f>CHOOSE(MAX(1,MIN(4,INT(N(Inputs!$C$34)))),F34,F35,F36,F37)</f>
        <v/>
      </c>
      <c r="G38" s="104">
        <f>CHOOSE(MAX(1,MIN(4,INT(N(Inputs!$C$34)))),G34,G35,G36,G37)</f>
        <v/>
      </c>
      <c r="H38" s="104">
        <f>CHOOSE(MAX(1,MIN(4,INT(N(Inputs!$C$34)))),H34,H35,H36,H37)</f>
        <v/>
      </c>
      <c r="I38" s="104">
        <f>CHOOSE(MAX(1,MIN(4,INT(N(Inputs!$C$34)))),I34,I35,I36,I37)</f>
        <v/>
      </c>
      <c r="J38" s="104">
        <f>CHOOSE(MAX(1,MIN(4,INT(N(Inputs!$C$34)))),J34,J35,J36,J37)</f>
        <v/>
      </c>
      <c r="K38" s="104">
        <f>CHOOSE(MAX(1,MIN(4,INT(N(Inputs!$C$34)))),K34,K35,K36,K37)</f>
        <v/>
      </c>
      <c r="L38" s="104">
        <f>CHOOSE(MAX(1,MIN(4,INT(N(Inputs!$C$34)))),L34,L35,L36,L37)</f>
        <v/>
      </c>
      <c r="M38" s="104">
        <f>CHOOSE(MAX(1,MIN(4,INT(N(Inputs!$C$34)))),M34,M35,M36,M37)</f>
        <v/>
      </c>
      <c r="N38" s="104">
        <f>CHOOSE(MAX(1,MIN(4,INT(N(Inputs!$C$34)))),N34,N35,N36,N37)</f>
        <v/>
      </c>
      <c r="O38" s="104">
        <f>CHOOSE(MAX(1,MIN(4,INT(N(Inputs!$C$34)))),O34,O35,O36,O37)</f>
        <v/>
      </c>
      <c r="P38" s="104">
        <f>CHOOSE(MAX(1,MIN(4,INT(N(Inputs!$C$34)))),P34,P35,P36,P37)</f>
        <v/>
      </c>
      <c r="Q38" s="104">
        <f>CHOOSE(MAX(1,MIN(4,INT(N(Inputs!$C$34)))),Q34,Q35,Q36,Q37)</f>
        <v/>
      </c>
      <c r="R38" s="104">
        <f>CHOOSE(MAX(1,MIN(4,INT(N(Inputs!$C$34)))),R34,R35,R36,R37)</f>
        <v/>
      </c>
      <c r="S38" s="104">
        <f>CHOOSE(MAX(1,MIN(4,INT(N(Inputs!$C$34)))),S34,S35,S36,S37)</f>
        <v/>
      </c>
      <c r="T38" s="104">
        <f>CHOOSE(MAX(1,MIN(4,INT(N(Inputs!$C$34)))),T34,T35,T36,T37)</f>
        <v/>
      </c>
      <c r="U38" s="104">
        <f>CHOOSE(MAX(1,MIN(4,INT(N(Inputs!$C$34)))),U34,U35,U36,U37)</f>
        <v/>
      </c>
      <c r="V38" s="104">
        <f>CHOOSE(MAX(1,MIN(4,INT(N(Inputs!$C$34)))),V34,V35,V36,V37)</f>
        <v/>
      </c>
      <c r="W38" s="104">
        <f>CHOOSE(MAX(1,MIN(4,INT(N(Inputs!$C$34)))),W34,W35,W36,W37)</f>
        <v/>
      </c>
      <c r="X38" s="104">
        <f>CHOOSE(MAX(1,MIN(4,INT(N(Inputs!$C$34)))),X34,X35,X36,X37)</f>
        <v/>
      </c>
      <c r="Y38" s="104">
        <f>CHOOSE(MAX(1,MIN(4,INT(N(Inputs!$C$34)))),Y34,Y35,Y36,Y37)</f>
        <v/>
      </c>
      <c r="Z38" s="104">
        <f>CHOOSE(MAX(1,MIN(4,INT(N(Inputs!$C$34)))),Z34,Z35,Z36,Z37)</f>
        <v/>
      </c>
      <c r="AA38" s="104">
        <f>CHOOSE(MAX(1,MIN(4,INT(N(Inputs!$C$34)))),AA34,AA35,AA36,AA37)</f>
        <v/>
      </c>
      <c r="AB38" s="104">
        <f>CHOOSE(MAX(1,MIN(4,INT(N(Inputs!$C$34)))),AB34,AB35,AB36,AB37)</f>
        <v/>
      </c>
      <c r="AC38" s="104">
        <f>CHOOSE(MAX(1,MIN(4,INT(N(Inputs!$C$34)))),AC34,AC35,AC36,AC37)</f>
        <v/>
      </c>
      <c r="AD38" s="104">
        <f>CHOOSE(MAX(1,MIN(4,INT(N(Inputs!$C$34)))),AD34,AD35,AD36,AD37)</f>
        <v/>
      </c>
      <c r="AE38" s="104">
        <f>CHOOSE(MAX(1,MIN(4,INT(N(Inputs!$C$34)))),AE34,AE35,AE36,AE37)</f>
        <v/>
      </c>
      <c r="AF38" s="104">
        <f>CHOOSE(MAX(1,MIN(4,INT(N(Inputs!$C$34)))),AF34,AF35,AF36,AF37)</f>
        <v/>
      </c>
      <c r="AG38" s="104">
        <f>CHOOSE(MAX(1,MIN(4,INT(N(Inputs!$C$34)))),AG34,AG35,AG36,AG37)</f>
        <v/>
      </c>
      <c r="AH38" s="104">
        <f>CHOOSE(MAX(1,MIN(4,INT(N(Inputs!$C$34)))),AH34,AH35,AH36,AH37)</f>
        <v/>
      </c>
      <c r="AI38" s="104">
        <f>CHOOSE(MAX(1,MIN(4,INT(N(Inputs!$C$34)))),AI34,AI35,AI36,AI37)</f>
        <v/>
      </c>
      <c r="AJ38" s="104">
        <f>CHOOSE(MAX(1,MIN(4,INT(N(Inputs!$C$34)))),AJ34,AJ35,AJ36,AJ37)</f>
        <v/>
      </c>
      <c r="AK38" s="104">
        <f>CHOOSE(MAX(1,MIN(4,INT(N(Inputs!$C$34)))),AK34,AK35,AK36,AK37)</f>
        <v/>
      </c>
      <c r="AL38" s="104">
        <f>CHOOSE(MAX(1,MIN(4,INT(N(Inputs!$C$34)))),AL34,AL35,AL36,AL37)</f>
        <v/>
      </c>
      <c r="AM38" s="104">
        <f>CHOOSE(MAX(1,MIN(4,INT(N(Inputs!$C$34)))),AM34,AM35,AM36,AM37)</f>
        <v/>
      </c>
      <c r="AN38" s="104">
        <f>CHOOSE(MAX(1,MIN(4,INT(N(Inputs!$C$34)))),AN34,AN35,AN36,AN37)</f>
        <v/>
      </c>
      <c r="AO38" s="104">
        <f>CHOOSE(MAX(1,MIN(4,INT(N(Inputs!$C$34)))),AO34,AO35,AO36,AO37)</f>
        <v/>
      </c>
      <c r="AP38" s="104">
        <f>CHOOSE(MAX(1,MIN(4,INT(N(Inputs!$C$34)))),AP34,AP35,AP36,AP37)</f>
        <v/>
      </c>
      <c r="AQ38" s="104">
        <f>CHOOSE(MAX(1,MIN(4,INT(N(Inputs!$C$34)))),AQ34,AQ35,AQ36,AQ37)</f>
        <v/>
      </c>
      <c r="AR38" s="104">
        <f>CHOOSE(MAX(1,MIN(4,INT(N(Inputs!$C$34)))),AR34,AR35,AR36,AR37)</f>
        <v/>
      </c>
      <c r="AS38" s="104">
        <f>CHOOSE(MAX(1,MIN(4,INT(N(Inputs!$C$34)))),AS34,AS35,AS36,AS37)</f>
        <v/>
      </c>
      <c r="AT38" s="104">
        <f>CHOOSE(MAX(1,MIN(4,INT(N(Inputs!$C$34)))),AT34,AT35,AT36,AT37)</f>
        <v/>
      </c>
      <c r="AU38" s="104">
        <f>CHOOSE(MAX(1,MIN(4,INT(N(Inputs!$C$34)))),AU34,AU35,AU36,AU37)</f>
        <v/>
      </c>
      <c r="AV38" s="104">
        <f>CHOOSE(MAX(1,MIN(4,INT(N(Inputs!$C$34)))),AV34,AV35,AV36,AV37)</f>
        <v/>
      </c>
      <c r="AW38" s="104">
        <f>CHOOSE(MAX(1,MIN(4,INT(N(Inputs!$C$34)))),AW34,AW35,AW36,AW37)</f>
        <v/>
      </c>
      <c r="AX38" s="104">
        <f>CHOOSE(MAX(1,MIN(4,INT(N(Inputs!$C$34)))),AX34,AX35,AX36,AX37)</f>
        <v/>
      </c>
      <c r="AY38" s="104">
        <f>CHOOSE(MAX(1,MIN(4,INT(N(Inputs!$C$34)))),AY34,AY35,AY36,AY37)</f>
        <v/>
      </c>
      <c r="AZ38" s="104">
        <f>CHOOSE(MAX(1,MIN(4,INT(N(Inputs!$C$34)))),AZ34,AZ35,AZ36,AZ37)</f>
        <v/>
      </c>
      <c r="BA38" s="104">
        <f>CHOOSE(MAX(1,MIN(4,INT(N(Inputs!$C$34)))),BA34,BA35,BA36,BA37)</f>
        <v/>
      </c>
      <c r="BB38" s="104">
        <f>CHOOSE(MAX(1,MIN(4,INT(N(Inputs!$C$34)))),BB34,BB35,BB36,BB37)</f>
        <v/>
      </c>
      <c r="BC38" s="104">
        <f>CHOOSE(MAX(1,MIN(4,INT(N(Inputs!$C$34)))),BC34,BC35,BC36,BC37)</f>
        <v/>
      </c>
      <c r="BD38" s="104">
        <f>CHOOSE(MAX(1,MIN(4,INT(N(Inputs!$C$34)))),BD34,BD35,BD36,BD37)</f>
        <v/>
      </c>
      <c r="BE38" s="104">
        <f>CHOOSE(MAX(1,MIN(4,INT(N(Inputs!$C$34)))),BE34,BE35,BE36,BE37)</f>
        <v/>
      </c>
      <c r="BF38" s="104">
        <f>CHOOSE(MAX(1,MIN(4,INT(N(Inputs!$C$34)))),BF34,BF35,BF36,BF37)</f>
        <v/>
      </c>
      <c r="BG38" s="104">
        <f>CHOOSE(MAX(1,MIN(4,INT(N(Inputs!$C$34)))),BG34,BG35,BG36,BG37)</f>
        <v/>
      </c>
      <c r="BH38" s="104">
        <f>CHOOSE(MAX(1,MIN(4,INT(N(Inputs!$C$34)))),BH34,BH35,BH36,BH37)</f>
        <v/>
      </c>
      <c r="BI38" s="104">
        <f>CHOOSE(MAX(1,MIN(4,INT(N(Inputs!$C$34)))),BI34,BI35,BI36,BI37)</f>
        <v/>
      </c>
      <c r="BJ38" s="104">
        <f>CHOOSE(MAX(1,MIN(4,INT(N(Inputs!$C$34)))),BJ34,BJ35,BJ36,BJ37)</f>
        <v/>
      </c>
      <c r="BK38" s="104">
        <f>CHOOSE(MAX(1,MIN(4,INT(N(Inputs!$C$34)))),BK34,BK35,BK36,BK37)</f>
        <v/>
      </c>
      <c r="BL38" s="104">
        <f>CHOOSE(MAX(1,MIN(4,INT(N(Inputs!$C$34)))),BL34,BL35,BL36,BL37)</f>
        <v/>
      </c>
    </row>
    <row r="39">
      <c r="A39" s="98" t="inlineStr">
        <is>
          <t>Variance vs sales-based</t>
        </is>
      </c>
      <c r="B39" s="65" t="inlineStr">
        <is>
          <t>LCY</t>
        </is>
      </c>
      <c r="C39" s="105">
        <f>SUM(E39:BL39)</f>
        <v/>
      </c>
      <c r="E39" s="80">
        <f>E38-E34</f>
        <v/>
      </c>
      <c r="F39" s="80">
        <f>F38-F34</f>
        <v/>
      </c>
      <c r="G39" s="80">
        <f>G38-G34</f>
        <v/>
      </c>
      <c r="H39" s="80">
        <f>H38-H34</f>
        <v/>
      </c>
      <c r="I39" s="80">
        <f>I38-I34</f>
        <v/>
      </c>
      <c r="J39" s="80">
        <f>J38-J34</f>
        <v/>
      </c>
      <c r="K39" s="80">
        <f>K38-K34</f>
        <v/>
      </c>
      <c r="L39" s="80">
        <f>L38-L34</f>
        <v/>
      </c>
      <c r="M39" s="80">
        <f>M38-M34</f>
        <v/>
      </c>
      <c r="N39" s="80">
        <f>N38-N34</f>
        <v/>
      </c>
      <c r="O39" s="80">
        <f>O38-O34</f>
        <v/>
      </c>
      <c r="P39" s="80">
        <f>P38-P34</f>
        <v/>
      </c>
      <c r="Q39" s="80">
        <f>Q38-Q34</f>
        <v/>
      </c>
      <c r="R39" s="80">
        <f>R38-R34</f>
        <v/>
      </c>
      <c r="S39" s="80">
        <f>S38-S34</f>
        <v/>
      </c>
      <c r="T39" s="80">
        <f>T38-T34</f>
        <v/>
      </c>
      <c r="U39" s="80">
        <f>U38-U34</f>
        <v/>
      </c>
      <c r="V39" s="80">
        <f>V38-V34</f>
        <v/>
      </c>
      <c r="W39" s="80">
        <f>W38-W34</f>
        <v/>
      </c>
      <c r="X39" s="80">
        <f>X38-X34</f>
        <v/>
      </c>
      <c r="Y39" s="80">
        <f>Y38-Y34</f>
        <v/>
      </c>
      <c r="Z39" s="80">
        <f>Z38-Z34</f>
        <v/>
      </c>
      <c r="AA39" s="80">
        <f>AA38-AA34</f>
        <v/>
      </c>
      <c r="AB39" s="80">
        <f>AB38-AB34</f>
        <v/>
      </c>
      <c r="AC39" s="80">
        <f>AC38-AC34</f>
        <v/>
      </c>
      <c r="AD39" s="80">
        <f>AD38-AD34</f>
        <v/>
      </c>
      <c r="AE39" s="80">
        <f>AE38-AE34</f>
        <v/>
      </c>
      <c r="AF39" s="80">
        <f>AF38-AF34</f>
        <v/>
      </c>
      <c r="AG39" s="80">
        <f>AG38-AG34</f>
        <v/>
      </c>
      <c r="AH39" s="80">
        <f>AH38-AH34</f>
        <v/>
      </c>
      <c r="AI39" s="80">
        <f>AI38-AI34</f>
        <v/>
      </c>
      <c r="AJ39" s="80">
        <f>AJ38-AJ34</f>
        <v/>
      </c>
      <c r="AK39" s="80">
        <f>AK38-AK34</f>
        <v/>
      </c>
      <c r="AL39" s="80">
        <f>AL38-AL34</f>
        <v/>
      </c>
      <c r="AM39" s="80">
        <f>AM38-AM34</f>
        <v/>
      </c>
      <c r="AN39" s="80">
        <f>AN38-AN34</f>
        <v/>
      </c>
      <c r="AO39" s="80">
        <f>AO38-AO34</f>
        <v/>
      </c>
      <c r="AP39" s="80">
        <f>AP38-AP34</f>
        <v/>
      </c>
      <c r="AQ39" s="80">
        <f>AQ38-AQ34</f>
        <v/>
      </c>
      <c r="AR39" s="80">
        <f>AR38-AR34</f>
        <v/>
      </c>
      <c r="AS39" s="80">
        <f>AS38-AS34</f>
        <v/>
      </c>
      <c r="AT39" s="80">
        <f>AT38-AT34</f>
        <v/>
      </c>
      <c r="AU39" s="80">
        <f>AU38-AU34</f>
        <v/>
      </c>
      <c r="AV39" s="80">
        <f>AV38-AV34</f>
        <v/>
      </c>
      <c r="AW39" s="80">
        <f>AW38-AW34</f>
        <v/>
      </c>
      <c r="AX39" s="80">
        <f>AX38-AX34</f>
        <v/>
      </c>
      <c r="AY39" s="80">
        <f>AY38-AY34</f>
        <v/>
      </c>
      <c r="AZ39" s="80">
        <f>AZ38-AZ34</f>
        <v/>
      </c>
      <c r="BA39" s="80">
        <f>BA38-BA34</f>
        <v/>
      </c>
      <c r="BB39" s="80">
        <f>BB38-BB34</f>
        <v/>
      </c>
      <c r="BC39" s="80">
        <f>BC38-BC34</f>
        <v/>
      </c>
      <c r="BD39" s="80">
        <f>BD38-BD34</f>
        <v/>
      </c>
      <c r="BE39" s="80">
        <f>BE38-BE34</f>
        <v/>
      </c>
      <c r="BF39" s="80">
        <f>BF38-BF34</f>
        <v/>
      </c>
      <c r="BG39" s="80">
        <f>BG38-BG34</f>
        <v/>
      </c>
      <c r="BH39" s="80">
        <f>BH38-BH34</f>
        <v/>
      </c>
      <c r="BI39" s="80">
        <f>BI38-BI34</f>
        <v/>
      </c>
      <c r="BJ39" s="80">
        <f>BJ38-BJ34</f>
        <v/>
      </c>
      <c r="BK39" s="80">
        <f>BK38-BK34</f>
        <v/>
      </c>
      <c r="BL39" s="80">
        <f>BL38-BL34</f>
        <v/>
      </c>
    </row>
    <row r="40"/>
    <row r="41">
      <c r="A41" s="21" t="inlineStr">
        <is>
          <t>Tier 4: Solar inverter + lithium (~1.2 kWp / 5 kWh)</t>
        </is>
      </c>
      <c r="B41" s="22" t="n"/>
      <c r="C41" s="22" t="n"/>
      <c r="D41" s="22" t="n"/>
      <c r="E41" s="22"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c r="AA41" s="22" t="n"/>
      <c r="AB41" s="22" t="n"/>
      <c r="AC41" s="22" t="n"/>
      <c r="AD41" s="22" t="n"/>
      <c r="AE41" s="22" t="n"/>
      <c r="AF41" s="22" t="n"/>
      <c r="AG41" s="22" t="n"/>
      <c r="AH41" s="22" t="n"/>
      <c r="AI41" s="22" t="n"/>
      <c r="AJ41" s="22" t="n"/>
      <c r="AK41" s="22" t="n"/>
      <c r="AL41" s="22" t="n"/>
      <c r="AM41" s="22" t="n"/>
      <c r="AN41" s="22" t="n"/>
      <c r="AO41" s="22" t="n"/>
      <c r="AP41" s="22" t="n"/>
      <c r="AQ41" s="22" t="n"/>
      <c r="AR41" s="22" t="n"/>
      <c r="AS41" s="22" t="n"/>
      <c r="AT41" s="22" t="n"/>
      <c r="AU41" s="22" t="n"/>
      <c r="AV41" s="22" t="n"/>
      <c r="AW41" s="22" t="n"/>
      <c r="AX41" s="22" t="n"/>
      <c r="AY41" s="22" t="n"/>
      <c r="AZ41" s="22" t="n"/>
      <c r="BA41" s="22" t="n"/>
      <c r="BB41" s="22" t="n"/>
      <c r="BC41" s="22" t="n"/>
      <c r="BD41" s="22" t="n"/>
      <c r="BE41" s="22" t="n"/>
      <c r="BF41" s="22" t="n"/>
      <c r="BG41" s="22" t="n"/>
      <c r="BH41" s="22" t="n"/>
      <c r="BI41" s="22" t="n"/>
      <c r="BJ41" s="22" t="n"/>
      <c r="BK41" s="22" t="n"/>
      <c r="BL41" s="22" t="n"/>
    </row>
    <row r="42">
      <c r="A42" s="98" t="inlineStr">
        <is>
          <t>Sales-based RBF (per unit sold, after verification lag)</t>
        </is>
      </c>
      <c r="B42" s="65" t="inlineStr">
        <is>
          <t>LCY</t>
        </is>
      </c>
      <c r="C42" s="105">
        <f>SUM(E42:BL42)</f>
        <v/>
      </c>
      <c r="E42" s="80">
        <f>IF(E$4-Inputs!$C$33&gt;=1,INDEX(Ops!$E$84:$BL$84,1,E$4-Inputs!$C$33),0)*Products!$F$30*Timeline!E$8*Inputs!$C$32</f>
        <v/>
      </c>
      <c r="F42" s="80">
        <f>IF(F$4-Inputs!$C$33&gt;=1,INDEX(Ops!$E$84:$BL$84,1,F$4-Inputs!$C$33),0)*Products!$F$30*Timeline!F$8*Inputs!$C$32</f>
        <v/>
      </c>
      <c r="G42" s="80">
        <f>IF(G$4-Inputs!$C$33&gt;=1,INDEX(Ops!$E$84:$BL$84,1,G$4-Inputs!$C$33),0)*Products!$F$30*Timeline!G$8*Inputs!$C$32</f>
        <v/>
      </c>
      <c r="H42" s="80">
        <f>IF(H$4-Inputs!$C$33&gt;=1,INDEX(Ops!$E$84:$BL$84,1,H$4-Inputs!$C$33),0)*Products!$F$30*Timeline!H$8*Inputs!$C$32</f>
        <v/>
      </c>
      <c r="I42" s="80">
        <f>IF(I$4-Inputs!$C$33&gt;=1,INDEX(Ops!$E$84:$BL$84,1,I$4-Inputs!$C$33),0)*Products!$F$30*Timeline!I$8*Inputs!$C$32</f>
        <v/>
      </c>
      <c r="J42" s="80">
        <f>IF(J$4-Inputs!$C$33&gt;=1,INDEX(Ops!$E$84:$BL$84,1,J$4-Inputs!$C$33),0)*Products!$F$30*Timeline!J$8*Inputs!$C$32</f>
        <v/>
      </c>
      <c r="K42" s="80">
        <f>IF(K$4-Inputs!$C$33&gt;=1,INDEX(Ops!$E$84:$BL$84,1,K$4-Inputs!$C$33),0)*Products!$F$30*Timeline!K$8*Inputs!$C$32</f>
        <v/>
      </c>
      <c r="L42" s="80">
        <f>IF(L$4-Inputs!$C$33&gt;=1,INDEX(Ops!$E$84:$BL$84,1,L$4-Inputs!$C$33),0)*Products!$F$30*Timeline!L$8*Inputs!$C$32</f>
        <v/>
      </c>
      <c r="M42" s="80">
        <f>IF(M$4-Inputs!$C$33&gt;=1,INDEX(Ops!$E$84:$BL$84,1,M$4-Inputs!$C$33),0)*Products!$F$30*Timeline!M$8*Inputs!$C$32</f>
        <v/>
      </c>
      <c r="N42" s="80">
        <f>IF(N$4-Inputs!$C$33&gt;=1,INDEX(Ops!$E$84:$BL$84,1,N$4-Inputs!$C$33),0)*Products!$F$30*Timeline!N$8*Inputs!$C$32</f>
        <v/>
      </c>
      <c r="O42" s="80">
        <f>IF(O$4-Inputs!$C$33&gt;=1,INDEX(Ops!$E$84:$BL$84,1,O$4-Inputs!$C$33),0)*Products!$F$30*Timeline!O$8*Inputs!$C$32</f>
        <v/>
      </c>
      <c r="P42" s="80">
        <f>IF(P$4-Inputs!$C$33&gt;=1,INDEX(Ops!$E$84:$BL$84,1,P$4-Inputs!$C$33),0)*Products!$F$30*Timeline!P$8*Inputs!$C$32</f>
        <v/>
      </c>
      <c r="Q42" s="80">
        <f>IF(Q$4-Inputs!$C$33&gt;=1,INDEX(Ops!$E$84:$BL$84,1,Q$4-Inputs!$C$33),0)*Products!$F$30*Timeline!Q$8*Inputs!$C$32</f>
        <v/>
      </c>
      <c r="R42" s="80">
        <f>IF(R$4-Inputs!$C$33&gt;=1,INDEX(Ops!$E$84:$BL$84,1,R$4-Inputs!$C$33),0)*Products!$F$30*Timeline!R$8*Inputs!$C$32</f>
        <v/>
      </c>
      <c r="S42" s="80">
        <f>IF(S$4-Inputs!$C$33&gt;=1,INDEX(Ops!$E$84:$BL$84,1,S$4-Inputs!$C$33),0)*Products!$F$30*Timeline!S$8*Inputs!$C$32</f>
        <v/>
      </c>
      <c r="T42" s="80">
        <f>IF(T$4-Inputs!$C$33&gt;=1,INDEX(Ops!$E$84:$BL$84,1,T$4-Inputs!$C$33),0)*Products!$F$30*Timeline!T$8*Inputs!$C$32</f>
        <v/>
      </c>
      <c r="U42" s="80">
        <f>IF(U$4-Inputs!$C$33&gt;=1,INDEX(Ops!$E$84:$BL$84,1,U$4-Inputs!$C$33),0)*Products!$F$30*Timeline!U$8*Inputs!$C$32</f>
        <v/>
      </c>
      <c r="V42" s="80">
        <f>IF(V$4-Inputs!$C$33&gt;=1,INDEX(Ops!$E$84:$BL$84,1,V$4-Inputs!$C$33),0)*Products!$F$30*Timeline!V$8*Inputs!$C$32</f>
        <v/>
      </c>
      <c r="W42" s="80">
        <f>IF(W$4-Inputs!$C$33&gt;=1,INDEX(Ops!$E$84:$BL$84,1,W$4-Inputs!$C$33),0)*Products!$F$30*Timeline!W$8*Inputs!$C$32</f>
        <v/>
      </c>
      <c r="X42" s="80">
        <f>IF(X$4-Inputs!$C$33&gt;=1,INDEX(Ops!$E$84:$BL$84,1,X$4-Inputs!$C$33),0)*Products!$F$30*Timeline!X$8*Inputs!$C$32</f>
        <v/>
      </c>
      <c r="Y42" s="80">
        <f>IF(Y$4-Inputs!$C$33&gt;=1,INDEX(Ops!$E$84:$BL$84,1,Y$4-Inputs!$C$33),0)*Products!$F$30*Timeline!Y$8*Inputs!$C$32</f>
        <v/>
      </c>
      <c r="Z42" s="80">
        <f>IF(Z$4-Inputs!$C$33&gt;=1,INDEX(Ops!$E$84:$BL$84,1,Z$4-Inputs!$C$33),0)*Products!$F$30*Timeline!Z$8*Inputs!$C$32</f>
        <v/>
      </c>
      <c r="AA42" s="80">
        <f>IF(AA$4-Inputs!$C$33&gt;=1,INDEX(Ops!$E$84:$BL$84,1,AA$4-Inputs!$C$33),0)*Products!$F$30*Timeline!AA$8*Inputs!$C$32</f>
        <v/>
      </c>
      <c r="AB42" s="80">
        <f>IF(AB$4-Inputs!$C$33&gt;=1,INDEX(Ops!$E$84:$BL$84,1,AB$4-Inputs!$C$33),0)*Products!$F$30*Timeline!AB$8*Inputs!$C$32</f>
        <v/>
      </c>
      <c r="AC42" s="80">
        <f>IF(AC$4-Inputs!$C$33&gt;=1,INDEX(Ops!$E$84:$BL$84,1,AC$4-Inputs!$C$33),0)*Products!$F$30*Timeline!AC$8*Inputs!$C$32</f>
        <v/>
      </c>
      <c r="AD42" s="80">
        <f>IF(AD$4-Inputs!$C$33&gt;=1,INDEX(Ops!$E$84:$BL$84,1,AD$4-Inputs!$C$33),0)*Products!$F$30*Timeline!AD$8*Inputs!$C$32</f>
        <v/>
      </c>
      <c r="AE42" s="80">
        <f>IF(AE$4-Inputs!$C$33&gt;=1,INDEX(Ops!$E$84:$BL$84,1,AE$4-Inputs!$C$33),0)*Products!$F$30*Timeline!AE$8*Inputs!$C$32</f>
        <v/>
      </c>
      <c r="AF42" s="80">
        <f>IF(AF$4-Inputs!$C$33&gt;=1,INDEX(Ops!$E$84:$BL$84,1,AF$4-Inputs!$C$33),0)*Products!$F$30*Timeline!AF$8*Inputs!$C$32</f>
        <v/>
      </c>
      <c r="AG42" s="80">
        <f>IF(AG$4-Inputs!$C$33&gt;=1,INDEX(Ops!$E$84:$BL$84,1,AG$4-Inputs!$C$33),0)*Products!$F$30*Timeline!AG$8*Inputs!$C$32</f>
        <v/>
      </c>
      <c r="AH42" s="80">
        <f>IF(AH$4-Inputs!$C$33&gt;=1,INDEX(Ops!$E$84:$BL$84,1,AH$4-Inputs!$C$33),0)*Products!$F$30*Timeline!AH$8*Inputs!$C$32</f>
        <v/>
      </c>
      <c r="AI42" s="80">
        <f>IF(AI$4-Inputs!$C$33&gt;=1,INDEX(Ops!$E$84:$BL$84,1,AI$4-Inputs!$C$33),0)*Products!$F$30*Timeline!AI$8*Inputs!$C$32</f>
        <v/>
      </c>
      <c r="AJ42" s="80">
        <f>IF(AJ$4-Inputs!$C$33&gt;=1,INDEX(Ops!$E$84:$BL$84,1,AJ$4-Inputs!$C$33),0)*Products!$F$30*Timeline!AJ$8*Inputs!$C$32</f>
        <v/>
      </c>
      <c r="AK42" s="80">
        <f>IF(AK$4-Inputs!$C$33&gt;=1,INDEX(Ops!$E$84:$BL$84,1,AK$4-Inputs!$C$33),0)*Products!$F$30*Timeline!AK$8*Inputs!$C$32</f>
        <v/>
      </c>
      <c r="AL42" s="80">
        <f>IF(AL$4-Inputs!$C$33&gt;=1,INDEX(Ops!$E$84:$BL$84,1,AL$4-Inputs!$C$33),0)*Products!$F$30*Timeline!AL$8*Inputs!$C$32</f>
        <v/>
      </c>
      <c r="AM42" s="80">
        <f>IF(AM$4-Inputs!$C$33&gt;=1,INDEX(Ops!$E$84:$BL$84,1,AM$4-Inputs!$C$33),0)*Products!$F$30*Timeline!AM$8*Inputs!$C$32</f>
        <v/>
      </c>
      <c r="AN42" s="80">
        <f>IF(AN$4-Inputs!$C$33&gt;=1,INDEX(Ops!$E$84:$BL$84,1,AN$4-Inputs!$C$33),0)*Products!$F$30*Timeline!AN$8*Inputs!$C$32</f>
        <v/>
      </c>
      <c r="AO42" s="80">
        <f>IF(AO$4-Inputs!$C$33&gt;=1,INDEX(Ops!$E$84:$BL$84,1,AO$4-Inputs!$C$33),0)*Products!$F$30*Timeline!AO$8*Inputs!$C$32</f>
        <v/>
      </c>
      <c r="AP42" s="80">
        <f>IF(AP$4-Inputs!$C$33&gt;=1,INDEX(Ops!$E$84:$BL$84,1,AP$4-Inputs!$C$33),0)*Products!$F$30*Timeline!AP$8*Inputs!$C$32</f>
        <v/>
      </c>
      <c r="AQ42" s="80">
        <f>IF(AQ$4-Inputs!$C$33&gt;=1,INDEX(Ops!$E$84:$BL$84,1,AQ$4-Inputs!$C$33),0)*Products!$F$30*Timeline!AQ$8*Inputs!$C$32</f>
        <v/>
      </c>
      <c r="AR42" s="80">
        <f>IF(AR$4-Inputs!$C$33&gt;=1,INDEX(Ops!$E$84:$BL$84,1,AR$4-Inputs!$C$33),0)*Products!$F$30*Timeline!AR$8*Inputs!$C$32</f>
        <v/>
      </c>
      <c r="AS42" s="80">
        <f>IF(AS$4-Inputs!$C$33&gt;=1,INDEX(Ops!$E$84:$BL$84,1,AS$4-Inputs!$C$33),0)*Products!$F$30*Timeline!AS$8*Inputs!$C$32</f>
        <v/>
      </c>
      <c r="AT42" s="80">
        <f>IF(AT$4-Inputs!$C$33&gt;=1,INDEX(Ops!$E$84:$BL$84,1,AT$4-Inputs!$C$33),0)*Products!$F$30*Timeline!AT$8*Inputs!$C$32</f>
        <v/>
      </c>
      <c r="AU42" s="80">
        <f>IF(AU$4-Inputs!$C$33&gt;=1,INDEX(Ops!$E$84:$BL$84,1,AU$4-Inputs!$C$33),0)*Products!$F$30*Timeline!AU$8*Inputs!$C$32</f>
        <v/>
      </c>
      <c r="AV42" s="80">
        <f>IF(AV$4-Inputs!$C$33&gt;=1,INDEX(Ops!$E$84:$BL$84,1,AV$4-Inputs!$C$33),0)*Products!$F$30*Timeline!AV$8*Inputs!$C$32</f>
        <v/>
      </c>
      <c r="AW42" s="80">
        <f>IF(AW$4-Inputs!$C$33&gt;=1,INDEX(Ops!$E$84:$BL$84,1,AW$4-Inputs!$C$33),0)*Products!$F$30*Timeline!AW$8*Inputs!$C$32</f>
        <v/>
      </c>
      <c r="AX42" s="80">
        <f>IF(AX$4-Inputs!$C$33&gt;=1,INDEX(Ops!$E$84:$BL$84,1,AX$4-Inputs!$C$33),0)*Products!$F$30*Timeline!AX$8*Inputs!$C$32</f>
        <v/>
      </c>
      <c r="AY42" s="80">
        <f>IF(AY$4-Inputs!$C$33&gt;=1,INDEX(Ops!$E$84:$BL$84,1,AY$4-Inputs!$C$33),0)*Products!$F$30*Timeline!AY$8*Inputs!$C$32</f>
        <v/>
      </c>
      <c r="AZ42" s="80">
        <f>IF(AZ$4-Inputs!$C$33&gt;=1,INDEX(Ops!$E$84:$BL$84,1,AZ$4-Inputs!$C$33),0)*Products!$F$30*Timeline!AZ$8*Inputs!$C$32</f>
        <v/>
      </c>
      <c r="BA42" s="80">
        <f>IF(BA$4-Inputs!$C$33&gt;=1,INDEX(Ops!$E$84:$BL$84,1,BA$4-Inputs!$C$33),0)*Products!$F$30*Timeline!BA$8*Inputs!$C$32</f>
        <v/>
      </c>
      <c r="BB42" s="80">
        <f>IF(BB$4-Inputs!$C$33&gt;=1,INDEX(Ops!$E$84:$BL$84,1,BB$4-Inputs!$C$33),0)*Products!$F$30*Timeline!BB$8*Inputs!$C$32</f>
        <v/>
      </c>
      <c r="BC42" s="80">
        <f>IF(BC$4-Inputs!$C$33&gt;=1,INDEX(Ops!$E$84:$BL$84,1,BC$4-Inputs!$C$33),0)*Products!$F$30*Timeline!BC$8*Inputs!$C$32</f>
        <v/>
      </c>
      <c r="BD42" s="80">
        <f>IF(BD$4-Inputs!$C$33&gt;=1,INDEX(Ops!$E$84:$BL$84,1,BD$4-Inputs!$C$33),0)*Products!$F$30*Timeline!BD$8*Inputs!$C$32</f>
        <v/>
      </c>
      <c r="BE42" s="80">
        <f>IF(BE$4-Inputs!$C$33&gt;=1,INDEX(Ops!$E$84:$BL$84,1,BE$4-Inputs!$C$33),0)*Products!$F$30*Timeline!BE$8*Inputs!$C$32</f>
        <v/>
      </c>
      <c r="BF42" s="80">
        <f>IF(BF$4-Inputs!$C$33&gt;=1,INDEX(Ops!$E$84:$BL$84,1,BF$4-Inputs!$C$33),0)*Products!$F$30*Timeline!BF$8*Inputs!$C$32</f>
        <v/>
      </c>
      <c r="BG42" s="80">
        <f>IF(BG$4-Inputs!$C$33&gt;=1,INDEX(Ops!$E$84:$BL$84,1,BG$4-Inputs!$C$33),0)*Products!$F$30*Timeline!BG$8*Inputs!$C$32</f>
        <v/>
      </c>
      <c r="BH42" s="80">
        <f>IF(BH$4-Inputs!$C$33&gt;=1,INDEX(Ops!$E$84:$BL$84,1,BH$4-Inputs!$C$33),0)*Products!$F$30*Timeline!BH$8*Inputs!$C$32</f>
        <v/>
      </c>
      <c r="BI42" s="80">
        <f>IF(BI$4-Inputs!$C$33&gt;=1,INDEX(Ops!$E$84:$BL$84,1,BI$4-Inputs!$C$33),0)*Products!$F$30*Timeline!BI$8*Inputs!$C$32</f>
        <v/>
      </c>
      <c r="BJ42" s="80">
        <f>IF(BJ$4-Inputs!$C$33&gt;=1,INDEX(Ops!$E$84:$BL$84,1,BJ$4-Inputs!$C$33),0)*Products!$F$30*Timeline!BJ$8*Inputs!$C$32</f>
        <v/>
      </c>
      <c r="BK42" s="80">
        <f>IF(BK$4-Inputs!$C$33&gt;=1,INDEX(Ops!$E$84:$BL$84,1,BK$4-Inputs!$C$33),0)*Products!$F$30*Timeline!BK$8*Inputs!$C$32</f>
        <v/>
      </c>
      <c r="BL42" s="80">
        <f>IF(BL$4-Inputs!$C$33&gt;=1,INDEX(Ops!$E$84:$BL$84,1,BL$4-Inputs!$C$33),0)*Products!$F$30*Timeline!BL$8*Inputs!$C$32</f>
        <v/>
      </c>
    </row>
    <row r="43">
      <c r="A43" s="98" t="inlineStr">
        <is>
          <t>Repayment-linked RBF (sales-based x payout factor)</t>
        </is>
      </c>
      <c r="B43" s="65" t="inlineStr">
        <is>
          <t>LCY</t>
        </is>
      </c>
      <c r="C43" s="105">
        <f>SUM(E43:BL43)</f>
        <v/>
      </c>
      <c r="E43" s="80">
        <f>E42*$F$13</f>
        <v/>
      </c>
      <c r="F43" s="80">
        <f>F42*$F$13</f>
        <v/>
      </c>
      <c r="G43" s="80">
        <f>G42*$F$13</f>
        <v/>
      </c>
      <c r="H43" s="80">
        <f>H42*$F$13</f>
        <v/>
      </c>
      <c r="I43" s="80">
        <f>I42*$F$13</f>
        <v/>
      </c>
      <c r="J43" s="80">
        <f>J42*$F$13</f>
        <v/>
      </c>
      <c r="K43" s="80">
        <f>K42*$F$13</f>
        <v/>
      </c>
      <c r="L43" s="80">
        <f>L42*$F$13</f>
        <v/>
      </c>
      <c r="M43" s="80">
        <f>M42*$F$13</f>
        <v/>
      </c>
      <c r="N43" s="80">
        <f>N42*$F$13</f>
        <v/>
      </c>
      <c r="O43" s="80">
        <f>O42*$F$13</f>
        <v/>
      </c>
      <c r="P43" s="80">
        <f>P42*$F$13</f>
        <v/>
      </c>
      <c r="Q43" s="80">
        <f>Q42*$F$13</f>
        <v/>
      </c>
      <c r="R43" s="80">
        <f>R42*$F$13</f>
        <v/>
      </c>
      <c r="S43" s="80">
        <f>S42*$F$13</f>
        <v/>
      </c>
      <c r="T43" s="80">
        <f>T42*$F$13</f>
        <v/>
      </c>
      <c r="U43" s="80">
        <f>U42*$F$13</f>
        <v/>
      </c>
      <c r="V43" s="80">
        <f>V42*$F$13</f>
        <v/>
      </c>
      <c r="W43" s="80">
        <f>W42*$F$13</f>
        <v/>
      </c>
      <c r="X43" s="80">
        <f>X42*$F$13</f>
        <v/>
      </c>
      <c r="Y43" s="80">
        <f>Y42*$F$13</f>
        <v/>
      </c>
      <c r="Z43" s="80">
        <f>Z42*$F$13</f>
        <v/>
      </c>
      <c r="AA43" s="80">
        <f>AA42*$F$13</f>
        <v/>
      </c>
      <c r="AB43" s="80">
        <f>AB42*$F$13</f>
        <v/>
      </c>
      <c r="AC43" s="80">
        <f>AC42*$F$13</f>
        <v/>
      </c>
      <c r="AD43" s="80">
        <f>AD42*$F$13</f>
        <v/>
      </c>
      <c r="AE43" s="80">
        <f>AE42*$F$13</f>
        <v/>
      </c>
      <c r="AF43" s="80">
        <f>AF42*$F$13</f>
        <v/>
      </c>
      <c r="AG43" s="80">
        <f>AG42*$F$13</f>
        <v/>
      </c>
      <c r="AH43" s="80">
        <f>AH42*$F$13</f>
        <v/>
      </c>
      <c r="AI43" s="80">
        <f>AI42*$F$13</f>
        <v/>
      </c>
      <c r="AJ43" s="80">
        <f>AJ42*$F$13</f>
        <v/>
      </c>
      <c r="AK43" s="80">
        <f>AK42*$F$13</f>
        <v/>
      </c>
      <c r="AL43" s="80">
        <f>AL42*$F$13</f>
        <v/>
      </c>
      <c r="AM43" s="80">
        <f>AM42*$F$13</f>
        <v/>
      </c>
      <c r="AN43" s="80">
        <f>AN42*$F$13</f>
        <v/>
      </c>
      <c r="AO43" s="80">
        <f>AO42*$F$13</f>
        <v/>
      </c>
      <c r="AP43" s="80">
        <f>AP42*$F$13</f>
        <v/>
      </c>
      <c r="AQ43" s="80">
        <f>AQ42*$F$13</f>
        <v/>
      </c>
      <c r="AR43" s="80">
        <f>AR42*$F$13</f>
        <v/>
      </c>
      <c r="AS43" s="80">
        <f>AS42*$F$13</f>
        <v/>
      </c>
      <c r="AT43" s="80">
        <f>AT42*$F$13</f>
        <v/>
      </c>
      <c r="AU43" s="80">
        <f>AU42*$F$13</f>
        <v/>
      </c>
      <c r="AV43" s="80">
        <f>AV42*$F$13</f>
        <v/>
      </c>
      <c r="AW43" s="80">
        <f>AW42*$F$13</f>
        <v/>
      </c>
      <c r="AX43" s="80">
        <f>AX42*$F$13</f>
        <v/>
      </c>
      <c r="AY43" s="80">
        <f>AY42*$F$13</f>
        <v/>
      </c>
      <c r="AZ43" s="80">
        <f>AZ42*$F$13</f>
        <v/>
      </c>
      <c r="BA43" s="80">
        <f>BA42*$F$13</f>
        <v/>
      </c>
      <c r="BB43" s="80">
        <f>BB42*$F$13</f>
        <v/>
      </c>
      <c r="BC43" s="80">
        <f>BC42*$F$13</f>
        <v/>
      </c>
      <c r="BD43" s="80">
        <f>BD42*$F$13</f>
        <v/>
      </c>
      <c r="BE43" s="80">
        <f>BE42*$F$13</f>
        <v/>
      </c>
      <c r="BF43" s="80">
        <f>BF42*$F$13</f>
        <v/>
      </c>
      <c r="BG43" s="80">
        <f>BG42*$F$13</f>
        <v/>
      </c>
      <c r="BH43" s="80">
        <f>BH42*$F$13</f>
        <v/>
      </c>
      <c r="BI43" s="80">
        <f>BI42*$F$13</f>
        <v/>
      </c>
      <c r="BJ43" s="80">
        <f>BJ42*$F$13</f>
        <v/>
      </c>
      <c r="BK43" s="80">
        <f>BK42*$F$13</f>
        <v/>
      </c>
      <c r="BL43" s="80">
        <f>BL42*$F$13</f>
        <v/>
      </c>
    </row>
    <row r="44">
      <c r="A44" s="98" t="inlineStr">
        <is>
          <t>Ownership-linked RBF (paid at 2 x tenor on validated ownership)</t>
        </is>
      </c>
      <c r="B44" s="65" t="inlineStr">
        <is>
          <t>LCY</t>
        </is>
      </c>
      <c r="C44" s="105">
        <f>SUM(E44:BL44)</f>
        <v/>
      </c>
      <c r="E44" s="80">
        <f>IF(AND(Inputs!$C$39=1,E$4-$F$15&gt;=1),INDEX(Ops!$E$84:$BL$84,1,E$4-$F$15),0)*Products!$F$30*Timeline!E$8*Inputs!$C$32*$F$14</f>
        <v/>
      </c>
      <c r="F44" s="80">
        <f>IF(AND(Inputs!$C$39=1,F$4-$F$15&gt;=1),INDEX(Ops!$E$84:$BL$84,1,F$4-$F$15),0)*Products!$F$30*Timeline!F$8*Inputs!$C$32*$F$14</f>
        <v/>
      </c>
      <c r="G44" s="80">
        <f>IF(AND(Inputs!$C$39=1,G$4-$F$15&gt;=1),INDEX(Ops!$E$84:$BL$84,1,G$4-$F$15),0)*Products!$F$30*Timeline!G$8*Inputs!$C$32*$F$14</f>
        <v/>
      </c>
      <c r="H44" s="80">
        <f>IF(AND(Inputs!$C$39=1,H$4-$F$15&gt;=1),INDEX(Ops!$E$84:$BL$84,1,H$4-$F$15),0)*Products!$F$30*Timeline!H$8*Inputs!$C$32*$F$14</f>
        <v/>
      </c>
      <c r="I44" s="80">
        <f>IF(AND(Inputs!$C$39=1,I$4-$F$15&gt;=1),INDEX(Ops!$E$84:$BL$84,1,I$4-$F$15),0)*Products!$F$30*Timeline!I$8*Inputs!$C$32*$F$14</f>
        <v/>
      </c>
      <c r="J44" s="80">
        <f>IF(AND(Inputs!$C$39=1,J$4-$F$15&gt;=1),INDEX(Ops!$E$84:$BL$84,1,J$4-$F$15),0)*Products!$F$30*Timeline!J$8*Inputs!$C$32*$F$14</f>
        <v/>
      </c>
      <c r="K44" s="80">
        <f>IF(AND(Inputs!$C$39=1,K$4-$F$15&gt;=1),INDEX(Ops!$E$84:$BL$84,1,K$4-$F$15),0)*Products!$F$30*Timeline!K$8*Inputs!$C$32*$F$14</f>
        <v/>
      </c>
      <c r="L44" s="80">
        <f>IF(AND(Inputs!$C$39=1,L$4-$F$15&gt;=1),INDEX(Ops!$E$84:$BL$84,1,L$4-$F$15),0)*Products!$F$30*Timeline!L$8*Inputs!$C$32*$F$14</f>
        <v/>
      </c>
      <c r="M44" s="80">
        <f>IF(AND(Inputs!$C$39=1,M$4-$F$15&gt;=1),INDEX(Ops!$E$84:$BL$84,1,M$4-$F$15),0)*Products!$F$30*Timeline!M$8*Inputs!$C$32*$F$14</f>
        <v/>
      </c>
      <c r="N44" s="80">
        <f>IF(AND(Inputs!$C$39=1,N$4-$F$15&gt;=1),INDEX(Ops!$E$84:$BL$84,1,N$4-$F$15),0)*Products!$F$30*Timeline!N$8*Inputs!$C$32*$F$14</f>
        <v/>
      </c>
      <c r="O44" s="80">
        <f>IF(AND(Inputs!$C$39=1,O$4-$F$15&gt;=1),INDEX(Ops!$E$84:$BL$84,1,O$4-$F$15),0)*Products!$F$30*Timeline!O$8*Inputs!$C$32*$F$14</f>
        <v/>
      </c>
      <c r="P44" s="80">
        <f>IF(AND(Inputs!$C$39=1,P$4-$F$15&gt;=1),INDEX(Ops!$E$84:$BL$84,1,P$4-$F$15),0)*Products!$F$30*Timeline!P$8*Inputs!$C$32*$F$14</f>
        <v/>
      </c>
      <c r="Q44" s="80">
        <f>IF(AND(Inputs!$C$39=1,Q$4-$F$15&gt;=1),INDEX(Ops!$E$84:$BL$84,1,Q$4-$F$15),0)*Products!$F$30*Timeline!Q$8*Inputs!$C$32*$F$14</f>
        <v/>
      </c>
      <c r="R44" s="80">
        <f>IF(AND(Inputs!$C$39=1,R$4-$F$15&gt;=1),INDEX(Ops!$E$84:$BL$84,1,R$4-$F$15),0)*Products!$F$30*Timeline!R$8*Inputs!$C$32*$F$14</f>
        <v/>
      </c>
      <c r="S44" s="80">
        <f>IF(AND(Inputs!$C$39=1,S$4-$F$15&gt;=1),INDEX(Ops!$E$84:$BL$84,1,S$4-$F$15),0)*Products!$F$30*Timeline!S$8*Inputs!$C$32*$F$14</f>
        <v/>
      </c>
      <c r="T44" s="80">
        <f>IF(AND(Inputs!$C$39=1,T$4-$F$15&gt;=1),INDEX(Ops!$E$84:$BL$84,1,T$4-$F$15),0)*Products!$F$30*Timeline!T$8*Inputs!$C$32*$F$14</f>
        <v/>
      </c>
      <c r="U44" s="80">
        <f>IF(AND(Inputs!$C$39=1,U$4-$F$15&gt;=1),INDEX(Ops!$E$84:$BL$84,1,U$4-$F$15),0)*Products!$F$30*Timeline!U$8*Inputs!$C$32*$F$14</f>
        <v/>
      </c>
      <c r="V44" s="80">
        <f>IF(AND(Inputs!$C$39=1,V$4-$F$15&gt;=1),INDEX(Ops!$E$84:$BL$84,1,V$4-$F$15),0)*Products!$F$30*Timeline!V$8*Inputs!$C$32*$F$14</f>
        <v/>
      </c>
      <c r="W44" s="80">
        <f>IF(AND(Inputs!$C$39=1,W$4-$F$15&gt;=1),INDEX(Ops!$E$84:$BL$84,1,W$4-$F$15),0)*Products!$F$30*Timeline!W$8*Inputs!$C$32*$F$14</f>
        <v/>
      </c>
      <c r="X44" s="80">
        <f>IF(AND(Inputs!$C$39=1,X$4-$F$15&gt;=1),INDEX(Ops!$E$84:$BL$84,1,X$4-$F$15),0)*Products!$F$30*Timeline!X$8*Inputs!$C$32*$F$14</f>
        <v/>
      </c>
      <c r="Y44" s="80">
        <f>IF(AND(Inputs!$C$39=1,Y$4-$F$15&gt;=1),INDEX(Ops!$E$84:$BL$84,1,Y$4-$F$15),0)*Products!$F$30*Timeline!Y$8*Inputs!$C$32*$F$14</f>
        <v/>
      </c>
      <c r="Z44" s="80">
        <f>IF(AND(Inputs!$C$39=1,Z$4-$F$15&gt;=1),INDEX(Ops!$E$84:$BL$84,1,Z$4-$F$15),0)*Products!$F$30*Timeline!Z$8*Inputs!$C$32*$F$14</f>
        <v/>
      </c>
      <c r="AA44" s="80">
        <f>IF(AND(Inputs!$C$39=1,AA$4-$F$15&gt;=1),INDEX(Ops!$E$84:$BL$84,1,AA$4-$F$15),0)*Products!$F$30*Timeline!AA$8*Inputs!$C$32*$F$14</f>
        <v/>
      </c>
      <c r="AB44" s="80">
        <f>IF(AND(Inputs!$C$39=1,AB$4-$F$15&gt;=1),INDEX(Ops!$E$84:$BL$84,1,AB$4-$F$15),0)*Products!$F$30*Timeline!AB$8*Inputs!$C$32*$F$14</f>
        <v/>
      </c>
      <c r="AC44" s="80">
        <f>IF(AND(Inputs!$C$39=1,AC$4-$F$15&gt;=1),INDEX(Ops!$E$84:$BL$84,1,AC$4-$F$15),0)*Products!$F$30*Timeline!AC$8*Inputs!$C$32*$F$14</f>
        <v/>
      </c>
      <c r="AD44" s="80">
        <f>IF(AND(Inputs!$C$39=1,AD$4-$F$15&gt;=1),INDEX(Ops!$E$84:$BL$84,1,AD$4-$F$15),0)*Products!$F$30*Timeline!AD$8*Inputs!$C$32*$F$14</f>
        <v/>
      </c>
      <c r="AE44" s="80">
        <f>IF(AND(Inputs!$C$39=1,AE$4-$F$15&gt;=1),INDEX(Ops!$E$84:$BL$84,1,AE$4-$F$15),0)*Products!$F$30*Timeline!AE$8*Inputs!$C$32*$F$14</f>
        <v/>
      </c>
      <c r="AF44" s="80">
        <f>IF(AND(Inputs!$C$39=1,AF$4-$F$15&gt;=1),INDEX(Ops!$E$84:$BL$84,1,AF$4-$F$15),0)*Products!$F$30*Timeline!AF$8*Inputs!$C$32*$F$14</f>
        <v/>
      </c>
      <c r="AG44" s="80">
        <f>IF(AND(Inputs!$C$39=1,AG$4-$F$15&gt;=1),INDEX(Ops!$E$84:$BL$84,1,AG$4-$F$15),0)*Products!$F$30*Timeline!AG$8*Inputs!$C$32*$F$14</f>
        <v/>
      </c>
      <c r="AH44" s="80">
        <f>IF(AND(Inputs!$C$39=1,AH$4-$F$15&gt;=1),INDEX(Ops!$E$84:$BL$84,1,AH$4-$F$15),0)*Products!$F$30*Timeline!AH$8*Inputs!$C$32*$F$14</f>
        <v/>
      </c>
      <c r="AI44" s="80">
        <f>IF(AND(Inputs!$C$39=1,AI$4-$F$15&gt;=1),INDEX(Ops!$E$84:$BL$84,1,AI$4-$F$15),0)*Products!$F$30*Timeline!AI$8*Inputs!$C$32*$F$14</f>
        <v/>
      </c>
      <c r="AJ44" s="80">
        <f>IF(AND(Inputs!$C$39=1,AJ$4-$F$15&gt;=1),INDEX(Ops!$E$84:$BL$84,1,AJ$4-$F$15),0)*Products!$F$30*Timeline!AJ$8*Inputs!$C$32*$F$14</f>
        <v/>
      </c>
      <c r="AK44" s="80">
        <f>IF(AND(Inputs!$C$39=1,AK$4-$F$15&gt;=1),INDEX(Ops!$E$84:$BL$84,1,AK$4-$F$15),0)*Products!$F$30*Timeline!AK$8*Inputs!$C$32*$F$14</f>
        <v/>
      </c>
      <c r="AL44" s="80">
        <f>IF(AND(Inputs!$C$39=1,AL$4-$F$15&gt;=1),INDEX(Ops!$E$84:$BL$84,1,AL$4-$F$15),0)*Products!$F$30*Timeline!AL$8*Inputs!$C$32*$F$14</f>
        <v/>
      </c>
      <c r="AM44" s="80">
        <f>IF(AND(Inputs!$C$39=1,AM$4-$F$15&gt;=1),INDEX(Ops!$E$84:$BL$84,1,AM$4-$F$15),0)*Products!$F$30*Timeline!AM$8*Inputs!$C$32*$F$14</f>
        <v/>
      </c>
      <c r="AN44" s="80">
        <f>IF(AND(Inputs!$C$39=1,AN$4-$F$15&gt;=1),INDEX(Ops!$E$84:$BL$84,1,AN$4-$F$15),0)*Products!$F$30*Timeline!AN$8*Inputs!$C$32*$F$14</f>
        <v/>
      </c>
      <c r="AO44" s="80">
        <f>IF(AND(Inputs!$C$39=1,AO$4-$F$15&gt;=1),INDEX(Ops!$E$84:$BL$84,1,AO$4-$F$15),0)*Products!$F$30*Timeline!AO$8*Inputs!$C$32*$F$14</f>
        <v/>
      </c>
      <c r="AP44" s="80">
        <f>IF(AND(Inputs!$C$39=1,AP$4-$F$15&gt;=1),INDEX(Ops!$E$84:$BL$84,1,AP$4-$F$15),0)*Products!$F$30*Timeline!AP$8*Inputs!$C$32*$F$14</f>
        <v/>
      </c>
      <c r="AQ44" s="80">
        <f>IF(AND(Inputs!$C$39=1,AQ$4-$F$15&gt;=1),INDEX(Ops!$E$84:$BL$84,1,AQ$4-$F$15),0)*Products!$F$30*Timeline!AQ$8*Inputs!$C$32*$F$14</f>
        <v/>
      </c>
      <c r="AR44" s="80">
        <f>IF(AND(Inputs!$C$39=1,AR$4-$F$15&gt;=1),INDEX(Ops!$E$84:$BL$84,1,AR$4-$F$15),0)*Products!$F$30*Timeline!AR$8*Inputs!$C$32*$F$14</f>
        <v/>
      </c>
      <c r="AS44" s="80">
        <f>IF(AND(Inputs!$C$39=1,AS$4-$F$15&gt;=1),INDEX(Ops!$E$84:$BL$84,1,AS$4-$F$15),0)*Products!$F$30*Timeline!AS$8*Inputs!$C$32*$F$14</f>
        <v/>
      </c>
      <c r="AT44" s="80">
        <f>IF(AND(Inputs!$C$39=1,AT$4-$F$15&gt;=1),INDEX(Ops!$E$84:$BL$84,1,AT$4-$F$15),0)*Products!$F$30*Timeline!AT$8*Inputs!$C$32*$F$14</f>
        <v/>
      </c>
      <c r="AU44" s="80">
        <f>IF(AND(Inputs!$C$39=1,AU$4-$F$15&gt;=1),INDEX(Ops!$E$84:$BL$84,1,AU$4-$F$15),0)*Products!$F$30*Timeline!AU$8*Inputs!$C$32*$F$14</f>
        <v/>
      </c>
      <c r="AV44" s="80">
        <f>IF(AND(Inputs!$C$39=1,AV$4-$F$15&gt;=1),INDEX(Ops!$E$84:$BL$84,1,AV$4-$F$15),0)*Products!$F$30*Timeline!AV$8*Inputs!$C$32*$F$14</f>
        <v/>
      </c>
      <c r="AW44" s="80">
        <f>IF(AND(Inputs!$C$39=1,AW$4-$F$15&gt;=1),INDEX(Ops!$E$84:$BL$84,1,AW$4-$F$15),0)*Products!$F$30*Timeline!AW$8*Inputs!$C$32*$F$14</f>
        <v/>
      </c>
      <c r="AX44" s="80">
        <f>IF(AND(Inputs!$C$39=1,AX$4-$F$15&gt;=1),INDEX(Ops!$E$84:$BL$84,1,AX$4-$F$15),0)*Products!$F$30*Timeline!AX$8*Inputs!$C$32*$F$14</f>
        <v/>
      </c>
      <c r="AY44" s="80">
        <f>IF(AND(Inputs!$C$39=1,AY$4-$F$15&gt;=1),INDEX(Ops!$E$84:$BL$84,1,AY$4-$F$15),0)*Products!$F$30*Timeline!AY$8*Inputs!$C$32*$F$14</f>
        <v/>
      </c>
      <c r="AZ44" s="80">
        <f>IF(AND(Inputs!$C$39=1,AZ$4-$F$15&gt;=1),INDEX(Ops!$E$84:$BL$84,1,AZ$4-$F$15),0)*Products!$F$30*Timeline!AZ$8*Inputs!$C$32*$F$14</f>
        <v/>
      </c>
      <c r="BA44" s="80">
        <f>IF(AND(Inputs!$C$39=1,BA$4-$F$15&gt;=1),INDEX(Ops!$E$84:$BL$84,1,BA$4-$F$15),0)*Products!$F$30*Timeline!BA$8*Inputs!$C$32*$F$14</f>
        <v/>
      </c>
      <c r="BB44" s="80">
        <f>IF(AND(Inputs!$C$39=1,BB$4-$F$15&gt;=1),INDEX(Ops!$E$84:$BL$84,1,BB$4-$F$15),0)*Products!$F$30*Timeline!BB$8*Inputs!$C$32*$F$14</f>
        <v/>
      </c>
      <c r="BC44" s="80">
        <f>IF(AND(Inputs!$C$39=1,BC$4-$F$15&gt;=1),INDEX(Ops!$E$84:$BL$84,1,BC$4-$F$15),0)*Products!$F$30*Timeline!BC$8*Inputs!$C$32*$F$14</f>
        <v/>
      </c>
      <c r="BD44" s="80">
        <f>IF(AND(Inputs!$C$39=1,BD$4-$F$15&gt;=1),INDEX(Ops!$E$84:$BL$84,1,BD$4-$F$15),0)*Products!$F$30*Timeline!BD$8*Inputs!$C$32*$F$14</f>
        <v/>
      </c>
      <c r="BE44" s="80">
        <f>IF(AND(Inputs!$C$39=1,BE$4-$F$15&gt;=1),INDEX(Ops!$E$84:$BL$84,1,BE$4-$F$15),0)*Products!$F$30*Timeline!BE$8*Inputs!$C$32*$F$14</f>
        <v/>
      </c>
      <c r="BF44" s="80">
        <f>IF(AND(Inputs!$C$39=1,BF$4-$F$15&gt;=1),INDEX(Ops!$E$84:$BL$84,1,BF$4-$F$15),0)*Products!$F$30*Timeline!BF$8*Inputs!$C$32*$F$14</f>
        <v/>
      </c>
      <c r="BG44" s="80">
        <f>IF(AND(Inputs!$C$39=1,BG$4-$F$15&gt;=1),INDEX(Ops!$E$84:$BL$84,1,BG$4-$F$15),0)*Products!$F$30*Timeline!BG$8*Inputs!$C$32*$F$14</f>
        <v/>
      </c>
      <c r="BH44" s="80">
        <f>IF(AND(Inputs!$C$39=1,BH$4-$F$15&gt;=1),INDEX(Ops!$E$84:$BL$84,1,BH$4-$F$15),0)*Products!$F$30*Timeline!BH$8*Inputs!$C$32*$F$14</f>
        <v/>
      </c>
      <c r="BI44" s="80">
        <f>IF(AND(Inputs!$C$39=1,BI$4-$F$15&gt;=1),INDEX(Ops!$E$84:$BL$84,1,BI$4-$F$15),0)*Products!$F$30*Timeline!BI$8*Inputs!$C$32*$F$14</f>
        <v/>
      </c>
      <c r="BJ44" s="80">
        <f>IF(AND(Inputs!$C$39=1,BJ$4-$F$15&gt;=1),INDEX(Ops!$E$84:$BL$84,1,BJ$4-$F$15),0)*Products!$F$30*Timeline!BJ$8*Inputs!$C$32*$F$14</f>
        <v/>
      </c>
      <c r="BK44" s="80">
        <f>IF(AND(Inputs!$C$39=1,BK$4-$F$15&gt;=1),INDEX(Ops!$E$84:$BL$84,1,BK$4-$F$15),0)*Products!$F$30*Timeline!BK$8*Inputs!$C$32*$F$14</f>
        <v/>
      </c>
      <c r="BL44" s="80">
        <f>IF(AND(Inputs!$C$39=1,BL$4-$F$15&gt;=1),INDEX(Ops!$E$84:$BL$84,1,BL$4-$F$15),0)*Products!$F$30*Timeline!BL$8*Inputs!$C$32*$F$14</f>
        <v/>
      </c>
    </row>
    <row r="45">
      <c r="A45" s="98" t="inlineStr">
        <is>
          <t>Hybrid RBF (weighted)</t>
        </is>
      </c>
      <c r="B45" s="65" t="inlineStr">
        <is>
          <t>LCY</t>
        </is>
      </c>
      <c r="C45" s="105">
        <f>SUM(E45:BL45)</f>
        <v/>
      </c>
      <c r="E45" s="80">
        <f>Inputs!$C$36*E42+Inputs!$C$37*E43+Inputs!$C$38*E44</f>
        <v/>
      </c>
      <c r="F45" s="80">
        <f>Inputs!$C$36*F42+Inputs!$C$37*F43+Inputs!$C$38*F44</f>
        <v/>
      </c>
      <c r="G45" s="80">
        <f>Inputs!$C$36*G42+Inputs!$C$37*G43+Inputs!$C$38*G44</f>
        <v/>
      </c>
      <c r="H45" s="80">
        <f>Inputs!$C$36*H42+Inputs!$C$37*H43+Inputs!$C$38*H44</f>
        <v/>
      </c>
      <c r="I45" s="80">
        <f>Inputs!$C$36*I42+Inputs!$C$37*I43+Inputs!$C$38*I44</f>
        <v/>
      </c>
      <c r="J45" s="80">
        <f>Inputs!$C$36*J42+Inputs!$C$37*J43+Inputs!$C$38*J44</f>
        <v/>
      </c>
      <c r="K45" s="80">
        <f>Inputs!$C$36*K42+Inputs!$C$37*K43+Inputs!$C$38*K44</f>
        <v/>
      </c>
      <c r="L45" s="80">
        <f>Inputs!$C$36*L42+Inputs!$C$37*L43+Inputs!$C$38*L44</f>
        <v/>
      </c>
      <c r="M45" s="80">
        <f>Inputs!$C$36*M42+Inputs!$C$37*M43+Inputs!$C$38*M44</f>
        <v/>
      </c>
      <c r="N45" s="80">
        <f>Inputs!$C$36*N42+Inputs!$C$37*N43+Inputs!$C$38*N44</f>
        <v/>
      </c>
      <c r="O45" s="80">
        <f>Inputs!$C$36*O42+Inputs!$C$37*O43+Inputs!$C$38*O44</f>
        <v/>
      </c>
      <c r="P45" s="80">
        <f>Inputs!$C$36*P42+Inputs!$C$37*P43+Inputs!$C$38*P44</f>
        <v/>
      </c>
      <c r="Q45" s="80">
        <f>Inputs!$C$36*Q42+Inputs!$C$37*Q43+Inputs!$C$38*Q44</f>
        <v/>
      </c>
      <c r="R45" s="80">
        <f>Inputs!$C$36*R42+Inputs!$C$37*R43+Inputs!$C$38*R44</f>
        <v/>
      </c>
      <c r="S45" s="80">
        <f>Inputs!$C$36*S42+Inputs!$C$37*S43+Inputs!$C$38*S44</f>
        <v/>
      </c>
      <c r="T45" s="80">
        <f>Inputs!$C$36*T42+Inputs!$C$37*T43+Inputs!$C$38*T44</f>
        <v/>
      </c>
      <c r="U45" s="80">
        <f>Inputs!$C$36*U42+Inputs!$C$37*U43+Inputs!$C$38*U44</f>
        <v/>
      </c>
      <c r="V45" s="80">
        <f>Inputs!$C$36*V42+Inputs!$C$37*V43+Inputs!$C$38*V44</f>
        <v/>
      </c>
      <c r="W45" s="80">
        <f>Inputs!$C$36*W42+Inputs!$C$37*W43+Inputs!$C$38*W44</f>
        <v/>
      </c>
      <c r="X45" s="80">
        <f>Inputs!$C$36*X42+Inputs!$C$37*X43+Inputs!$C$38*X44</f>
        <v/>
      </c>
      <c r="Y45" s="80">
        <f>Inputs!$C$36*Y42+Inputs!$C$37*Y43+Inputs!$C$38*Y44</f>
        <v/>
      </c>
      <c r="Z45" s="80">
        <f>Inputs!$C$36*Z42+Inputs!$C$37*Z43+Inputs!$C$38*Z44</f>
        <v/>
      </c>
      <c r="AA45" s="80">
        <f>Inputs!$C$36*AA42+Inputs!$C$37*AA43+Inputs!$C$38*AA44</f>
        <v/>
      </c>
      <c r="AB45" s="80">
        <f>Inputs!$C$36*AB42+Inputs!$C$37*AB43+Inputs!$C$38*AB44</f>
        <v/>
      </c>
      <c r="AC45" s="80">
        <f>Inputs!$C$36*AC42+Inputs!$C$37*AC43+Inputs!$C$38*AC44</f>
        <v/>
      </c>
      <c r="AD45" s="80">
        <f>Inputs!$C$36*AD42+Inputs!$C$37*AD43+Inputs!$C$38*AD44</f>
        <v/>
      </c>
      <c r="AE45" s="80">
        <f>Inputs!$C$36*AE42+Inputs!$C$37*AE43+Inputs!$C$38*AE44</f>
        <v/>
      </c>
      <c r="AF45" s="80">
        <f>Inputs!$C$36*AF42+Inputs!$C$37*AF43+Inputs!$C$38*AF44</f>
        <v/>
      </c>
      <c r="AG45" s="80">
        <f>Inputs!$C$36*AG42+Inputs!$C$37*AG43+Inputs!$C$38*AG44</f>
        <v/>
      </c>
      <c r="AH45" s="80">
        <f>Inputs!$C$36*AH42+Inputs!$C$37*AH43+Inputs!$C$38*AH44</f>
        <v/>
      </c>
      <c r="AI45" s="80">
        <f>Inputs!$C$36*AI42+Inputs!$C$37*AI43+Inputs!$C$38*AI44</f>
        <v/>
      </c>
      <c r="AJ45" s="80">
        <f>Inputs!$C$36*AJ42+Inputs!$C$37*AJ43+Inputs!$C$38*AJ44</f>
        <v/>
      </c>
      <c r="AK45" s="80">
        <f>Inputs!$C$36*AK42+Inputs!$C$37*AK43+Inputs!$C$38*AK44</f>
        <v/>
      </c>
      <c r="AL45" s="80">
        <f>Inputs!$C$36*AL42+Inputs!$C$37*AL43+Inputs!$C$38*AL44</f>
        <v/>
      </c>
      <c r="AM45" s="80">
        <f>Inputs!$C$36*AM42+Inputs!$C$37*AM43+Inputs!$C$38*AM44</f>
        <v/>
      </c>
      <c r="AN45" s="80">
        <f>Inputs!$C$36*AN42+Inputs!$C$37*AN43+Inputs!$C$38*AN44</f>
        <v/>
      </c>
      <c r="AO45" s="80">
        <f>Inputs!$C$36*AO42+Inputs!$C$37*AO43+Inputs!$C$38*AO44</f>
        <v/>
      </c>
      <c r="AP45" s="80">
        <f>Inputs!$C$36*AP42+Inputs!$C$37*AP43+Inputs!$C$38*AP44</f>
        <v/>
      </c>
      <c r="AQ45" s="80">
        <f>Inputs!$C$36*AQ42+Inputs!$C$37*AQ43+Inputs!$C$38*AQ44</f>
        <v/>
      </c>
      <c r="AR45" s="80">
        <f>Inputs!$C$36*AR42+Inputs!$C$37*AR43+Inputs!$C$38*AR44</f>
        <v/>
      </c>
      <c r="AS45" s="80">
        <f>Inputs!$C$36*AS42+Inputs!$C$37*AS43+Inputs!$C$38*AS44</f>
        <v/>
      </c>
      <c r="AT45" s="80">
        <f>Inputs!$C$36*AT42+Inputs!$C$37*AT43+Inputs!$C$38*AT44</f>
        <v/>
      </c>
      <c r="AU45" s="80">
        <f>Inputs!$C$36*AU42+Inputs!$C$37*AU43+Inputs!$C$38*AU44</f>
        <v/>
      </c>
      <c r="AV45" s="80">
        <f>Inputs!$C$36*AV42+Inputs!$C$37*AV43+Inputs!$C$38*AV44</f>
        <v/>
      </c>
      <c r="AW45" s="80">
        <f>Inputs!$C$36*AW42+Inputs!$C$37*AW43+Inputs!$C$38*AW44</f>
        <v/>
      </c>
      <c r="AX45" s="80">
        <f>Inputs!$C$36*AX42+Inputs!$C$37*AX43+Inputs!$C$38*AX44</f>
        <v/>
      </c>
      <c r="AY45" s="80">
        <f>Inputs!$C$36*AY42+Inputs!$C$37*AY43+Inputs!$C$38*AY44</f>
        <v/>
      </c>
      <c r="AZ45" s="80">
        <f>Inputs!$C$36*AZ42+Inputs!$C$37*AZ43+Inputs!$C$38*AZ44</f>
        <v/>
      </c>
      <c r="BA45" s="80">
        <f>Inputs!$C$36*BA42+Inputs!$C$37*BA43+Inputs!$C$38*BA44</f>
        <v/>
      </c>
      <c r="BB45" s="80">
        <f>Inputs!$C$36*BB42+Inputs!$C$37*BB43+Inputs!$C$38*BB44</f>
        <v/>
      </c>
      <c r="BC45" s="80">
        <f>Inputs!$C$36*BC42+Inputs!$C$37*BC43+Inputs!$C$38*BC44</f>
        <v/>
      </c>
      <c r="BD45" s="80">
        <f>Inputs!$C$36*BD42+Inputs!$C$37*BD43+Inputs!$C$38*BD44</f>
        <v/>
      </c>
      <c r="BE45" s="80">
        <f>Inputs!$C$36*BE42+Inputs!$C$37*BE43+Inputs!$C$38*BE44</f>
        <v/>
      </c>
      <c r="BF45" s="80">
        <f>Inputs!$C$36*BF42+Inputs!$C$37*BF43+Inputs!$C$38*BF44</f>
        <v/>
      </c>
      <c r="BG45" s="80">
        <f>Inputs!$C$36*BG42+Inputs!$C$37*BG43+Inputs!$C$38*BG44</f>
        <v/>
      </c>
      <c r="BH45" s="80">
        <f>Inputs!$C$36*BH42+Inputs!$C$37*BH43+Inputs!$C$38*BH44</f>
        <v/>
      </c>
      <c r="BI45" s="80">
        <f>Inputs!$C$36*BI42+Inputs!$C$37*BI43+Inputs!$C$38*BI44</f>
        <v/>
      </c>
      <c r="BJ45" s="80">
        <f>Inputs!$C$36*BJ42+Inputs!$C$37*BJ43+Inputs!$C$38*BJ44</f>
        <v/>
      </c>
      <c r="BK45" s="80">
        <f>Inputs!$C$36*BK42+Inputs!$C$37*BK43+Inputs!$C$38*BK44</f>
        <v/>
      </c>
      <c r="BL45" s="80">
        <f>Inputs!$C$36*BL42+Inputs!$C$37*BL43+Inputs!$C$38*BL44</f>
        <v/>
      </c>
    </row>
    <row r="46">
      <c r="A46" s="100" t="inlineStr">
        <is>
          <t>Selected RBF (feeds Ops and P&amp;L)</t>
        </is>
      </c>
      <c r="B46" s="101" t="inlineStr">
        <is>
          <t>LCY</t>
        </is>
      </c>
      <c r="C46" s="102">
        <f>SUM(E46:BL46)</f>
        <v/>
      </c>
      <c r="D46" s="103" t="n"/>
      <c r="E46" s="104">
        <f>CHOOSE(MAX(1,MIN(4,INT(N(Inputs!$C$34)))),E42,E43,E44,E45)</f>
        <v/>
      </c>
      <c r="F46" s="104">
        <f>CHOOSE(MAX(1,MIN(4,INT(N(Inputs!$C$34)))),F42,F43,F44,F45)</f>
        <v/>
      </c>
      <c r="G46" s="104">
        <f>CHOOSE(MAX(1,MIN(4,INT(N(Inputs!$C$34)))),G42,G43,G44,G45)</f>
        <v/>
      </c>
      <c r="H46" s="104">
        <f>CHOOSE(MAX(1,MIN(4,INT(N(Inputs!$C$34)))),H42,H43,H44,H45)</f>
        <v/>
      </c>
      <c r="I46" s="104">
        <f>CHOOSE(MAX(1,MIN(4,INT(N(Inputs!$C$34)))),I42,I43,I44,I45)</f>
        <v/>
      </c>
      <c r="J46" s="104">
        <f>CHOOSE(MAX(1,MIN(4,INT(N(Inputs!$C$34)))),J42,J43,J44,J45)</f>
        <v/>
      </c>
      <c r="K46" s="104">
        <f>CHOOSE(MAX(1,MIN(4,INT(N(Inputs!$C$34)))),K42,K43,K44,K45)</f>
        <v/>
      </c>
      <c r="L46" s="104">
        <f>CHOOSE(MAX(1,MIN(4,INT(N(Inputs!$C$34)))),L42,L43,L44,L45)</f>
        <v/>
      </c>
      <c r="M46" s="104">
        <f>CHOOSE(MAX(1,MIN(4,INT(N(Inputs!$C$34)))),M42,M43,M44,M45)</f>
        <v/>
      </c>
      <c r="N46" s="104">
        <f>CHOOSE(MAX(1,MIN(4,INT(N(Inputs!$C$34)))),N42,N43,N44,N45)</f>
        <v/>
      </c>
      <c r="O46" s="104">
        <f>CHOOSE(MAX(1,MIN(4,INT(N(Inputs!$C$34)))),O42,O43,O44,O45)</f>
        <v/>
      </c>
      <c r="P46" s="104">
        <f>CHOOSE(MAX(1,MIN(4,INT(N(Inputs!$C$34)))),P42,P43,P44,P45)</f>
        <v/>
      </c>
      <c r="Q46" s="104">
        <f>CHOOSE(MAX(1,MIN(4,INT(N(Inputs!$C$34)))),Q42,Q43,Q44,Q45)</f>
        <v/>
      </c>
      <c r="R46" s="104">
        <f>CHOOSE(MAX(1,MIN(4,INT(N(Inputs!$C$34)))),R42,R43,R44,R45)</f>
        <v/>
      </c>
      <c r="S46" s="104">
        <f>CHOOSE(MAX(1,MIN(4,INT(N(Inputs!$C$34)))),S42,S43,S44,S45)</f>
        <v/>
      </c>
      <c r="T46" s="104">
        <f>CHOOSE(MAX(1,MIN(4,INT(N(Inputs!$C$34)))),T42,T43,T44,T45)</f>
        <v/>
      </c>
      <c r="U46" s="104">
        <f>CHOOSE(MAX(1,MIN(4,INT(N(Inputs!$C$34)))),U42,U43,U44,U45)</f>
        <v/>
      </c>
      <c r="V46" s="104">
        <f>CHOOSE(MAX(1,MIN(4,INT(N(Inputs!$C$34)))),V42,V43,V44,V45)</f>
        <v/>
      </c>
      <c r="W46" s="104">
        <f>CHOOSE(MAX(1,MIN(4,INT(N(Inputs!$C$34)))),W42,W43,W44,W45)</f>
        <v/>
      </c>
      <c r="X46" s="104">
        <f>CHOOSE(MAX(1,MIN(4,INT(N(Inputs!$C$34)))),X42,X43,X44,X45)</f>
        <v/>
      </c>
      <c r="Y46" s="104">
        <f>CHOOSE(MAX(1,MIN(4,INT(N(Inputs!$C$34)))),Y42,Y43,Y44,Y45)</f>
        <v/>
      </c>
      <c r="Z46" s="104">
        <f>CHOOSE(MAX(1,MIN(4,INT(N(Inputs!$C$34)))),Z42,Z43,Z44,Z45)</f>
        <v/>
      </c>
      <c r="AA46" s="104">
        <f>CHOOSE(MAX(1,MIN(4,INT(N(Inputs!$C$34)))),AA42,AA43,AA44,AA45)</f>
        <v/>
      </c>
      <c r="AB46" s="104">
        <f>CHOOSE(MAX(1,MIN(4,INT(N(Inputs!$C$34)))),AB42,AB43,AB44,AB45)</f>
        <v/>
      </c>
      <c r="AC46" s="104">
        <f>CHOOSE(MAX(1,MIN(4,INT(N(Inputs!$C$34)))),AC42,AC43,AC44,AC45)</f>
        <v/>
      </c>
      <c r="AD46" s="104">
        <f>CHOOSE(MAX(1,MIN(4,INT(N(Inputs!$C$34)))),AD42,AD43,AD44,AD45)</f>
        <v/>
      </c>
      <c r="AE46" s="104">
        <f>CHOOSE(MAX(1,MIN(4,INT(N(Inputs!$C$34)))),AE42,AE43,AE44,AE45)</f>
        <v/>
      </c>
      <c r="AF46" s="104">
        <f>CHOOSE(MAX(1,MIN(4,INT(N(Inputs!$C$34)))),AF42,AF43,AF44,AF45)</f>
        <v/>
      </c>
      <c r="AG46" s="104">
        <f>CHOOSE(MAX(1,MIN(4,INT(N(Inputs!$C$34)))),AG42,AG43,AG44,AG45)</f>
        <v/>
      </c>
      <c r="AH46" s="104">
        <f>CHOOSE(MAX(1,MIN(4,INT(N(Inputs!$C$34)))),AH42,AH43,AH44,AH45)</f>
        <v/>
      </c>
      <c r="AI46" s="104">
        <f>CHOOSE(MAX(1,MIN(4,INT(N(Inputs!$C$34)))),AI42,AI43,AI44,AI45)</f>
        <v/>
      </c>
      <c r="AJ46" s="104">
        <f>CHOOSE(MAX(1,MIN(4,INT(N(Inputs!$C$34)))),AJ42,AJ43,AJ44,AJ45)</f>
        <v/>
      </c>
      <c r="AK46" s="104">
        <f>CHOOSE(MAX(1,MIN(4,INT(N(Inputs!$C$34)))),AK42,AK43,AK44,AK45)</f>
        <v/>
      </c>
      <c r="AL46" s="104">
        <f>CHOOSE(MAX(1,MIN(4,INT(N(Inputs!$C$34)))),AL42,AL43,AL44,AL45)</f>
        <v/>
      </c>
      <c r="AM46" s="104">
        <f>CHOOSE(MAX(1,MIN(4,INT(N(Inputs!$C$34)))),AM42,AM43,AM44,AM45)</f>
        <v/>
      </c>
      <c r="AN46" s="104">
        <f>CHOOSE(MAX(1,MIN(4,INT(N(Inputs!$C$34)))),AN42,AN43,AN44,AN45)</f>
        <v/>
      </c>
      <c r="AO46" s="104">
        <f>CHOOSE(MAX(1,MIN(4,INT(N(Inputs!$C$34)))),AO42,AO43,AO44,AO45)</f>
        <v/>
      </c>
      <c r="AP46" s="104">
        <f>CHOOSE(MAX(1,MIN(4,INT(N(Inputs!$C$34)))),AP42,AP43,AP44,AP45)</f>
        <v/>
      </c>
      <c r="AQ46" s="104">
        <f>CHOOSE(MAX(1,MIN(4,INT(N(Inputs!$C$34)))),AQ42,AQ43,AQ44,AQ45)</f>
        <v/>
      </c>
      <c r="AR46" s="104">
        <f>CHOOSE(MAX(1,MIN(4,INT(N(Inputs!$C$34)))),AR42,AR43,AR44,AR45)</f>
        <v/>
      </c>
      <c r="AS46" s="104">
        <f>CHOOSE(MAX(1,MIN(4,INT(N(Inputs!$C$34)))),AS42,AS43,AS44,AS45)</f>
        <v/>
      </c>
      <c r="AT46" s="104">
        <f>CHOOSE(MAX(1,MIN(4,INT(N(Inputs!$C$34)))),AT42,AT43,AT44,AT45)</f>
        <v/>
      </c>
      <c r="AU46" s="104">
        <f>CHOOSE(MAX(1,MIN(4,INT(N(Inputs!$C$34)))),AU42,AU43,AU44,AU45)</f>
        <v/>
      </c>
      <c r="AV46" s="104">
        <f>CHOOSE(MAX(1,MIN(4,INT(N(Inputs!$C$34)))),AV42,AV43,AV44,AV45)</f>
        <v/>
      </c>
      <c r="AW46" s="104">
        <f>CHOOSE(MAX(1,MIN(4,INT(N(Inputs!$C$34)))),AW42,AW43,AW44,AW45)</f>
        <v/>
      </c>
      <c r="AX46" s="104">
        <f>CHOOSE(MAX(1,MIN(4,INT(N(Inputs!$C$34)))),AX42,AX43,AX44,AX45)</f>
        <v/>
      </c>
      <c r="AY46" s="104">
        <f>CHOOSE(MAX(1,MIN(4,INT(N(Inputs!$C$34)))),AY42,AY43,AY44,AY45)</f>
        <v/>
      </c>
      <c r="AZ46" s="104">
        <f>CHOOSE(MAX(1,MIN(4,INT(N(Inputs!$C$34)))),AZ42,AZ43,AZ44,AZ45)</f>
        <v/>
      </c>
      <c r="BA46" s="104">
        <f>CHOOSE(MAX(1,MIN(4,INT(N(Inputs!$C$34)))),BA42,BA43,BA44,BA45)</f>
        <v/>
      </c>
      <c r="BB46" s="104">
        <f>CHOOSE(MAX(1,MIN(4,INT(N(Inputs!$C$34)))),BB42,BB43,BB44,BB45)</f>
        <v/>
      </c>
      <c r="BC46" s="104">
        <f>CHOOSE(MAX(1,MIN(4,INT(N(Inputs!$C$34)))),BC42,BC43,BC44,BC45)</f>
        <v/>
      </c>
      <c r="BD46" s="104">
        <f>CHOOSE(MAX(1,MIN(4,INT(N(Inputs!$C$34)))),BD42,BD43,BD44,BD45)</f>
        <v/>
      </c>
      <c r="BE46" s="104">
        <f>CHOOSE(MAX(1,MIN(4,INT(N(Inputs!$C$34)))),BE42,BE43,BE44,BE45)</f>
        <v/>
      </c>
      <c r="BF46" s="104">
        <f>CHOOSE(MAX(1,MIN(4,INT(N(Inputs!$C$34)))),BF42,BF43,BF44,BF45)</f>
        <v/>
      </c>
      <c r="BG46" s="104">
        <f>CHOOSE(MAX(1,MIN(4,INT(N(Inputs!$C$34)))),BG42,BG43,BG44,BG45)</f>
        <v/>
      </c>
      <c r="BH46" s="104">
        <f>CHOOSE(MAX(1,MIN(4,INT(N(Inputs!$C$34)))),BH42,BH43,BH44,BH45)</f>
        <v/>
      </c>
      <c r="BI46" s="104">
        <f>CHOOSE(MAX(1,MIN(4,INT(N(Inputs!$C$34)))),BI42,BI43,BI44,BI45)</f>
        <v/>
      </c>
      <c r="BJ46" s="104">
        <f>CHOOSE(MAX(1,MIN(4,INT(N(Inputs!$C$34)))),BJ42,BJ43,BJ44,BJ45)</f>
        <v/>
      </c>
      <c r="BK46" s="104">
        <f>CHOOSE(MAX(1,MIN(4,INT(N(Inputs!$C$34)))),BK42,BK43,BK44,BK45)</f>
        <v/>
      </c>
      <c r="BL46" s="104">
        <f>CHOOSE(MAX(1,MIN(4,INT(N(Inputs!$C$34)))),BL42,BL43,BL44,BL45)</f>
        <v/>
      </c>
    </row>
    <row r="47">
      <c r="A47" s="98" t="inlineStr">
        <is>
          <t>Variance vs sales-based</t>
        </is>
      </c>
      <c r="B47" s="65" t="inlineStr">
        <is>
          <t>LCY</t>
        </is>
      </c>
      <c r="C47" s="105">
        <f>SUM(E47:BL47)</f>
        <v/>
      </c>
      <c r="E47" s="80">
        <f>E46-E42</f>
        <v/>
      </c>
      <c r="F47" s="80">
        <f>F46-F42</f>
        <v/>
      </c>
      <c r="G47" s="80">
        <f>G46-G42</f>
        <v/>
      </c>
      <c r="H47" s="80">
        <f>H46-H42</f>
        <v/>
      </c>
      <c r="I47" s="80">
        <f>I46-I42</f>
        <v/>
      </c>
      <c r="J47" s="80">
        <f>J46-J42</f>
        <v/>
      </c>
      <c r="K47" s="80">
        <f>K46-K42</f>
        <v/>
      </c>
      <c r="L47" s="80">
        <f>L46-L42</f>
        <v/>
      </c>
      <c r="M47" s="80">
        <f>M46-M42</f>
        <v/>
      </c>
      <c r="N47" s="80">
        <f>N46-N42</f>
        <v/>
      </c>
      <c r="O47" s="80">
        <f>O46-O42</f>
        <v/>
      </c>
      <c r="P47" s="80">
        <f>P46-P42</f>
        <v/>
      </c>
      <c r="Q47" s="80">
        <f>Q46-Q42</f>
        <v/>
      </c>
      <c r="R47" s="80">
        <f>R46-R42</f>
        <v/>
      </c>
      <c r="S47" s="80">
        <f>S46-S42</f>
        <v/>
      </c>
      <c r="T47" s="80">
        <f>T46-T42</f>
        <v/>
      </c>
      <c r="U47" s="80">
        <f>U46-U42</f>
        <v/>
      </c>
      <c r="V47" s="80">
        <f>V46-V42</f>
        <v/>
      </c>
      <c r="W47" s="80">
        <f>W46-W42</f>
        <v/>
      </c>
      <c r="X47" s="80">
        <f>X46-X42</f>
        <v/>
      </c>
      <c r="Y47" s="80">
        <f>Y46-Y42</f>
        <v/>
      </c>
      <c r="Z47" s="80">
        <f>Z46-Z42</f>
        <v/>
      </c>
      <c r="AA47" s="80">
        <f>AA46-AA42</f>
        <v/>
      </c>
      <c r="AB47" s="80">
        <f>AB46-AB42</f>
        <v/>
      </c>
      <c r="AC47" s="80">
        <f>AC46-AC42</f>
        <v/>
      </c>
      <c r="AD47" s="80">
        <f>AD46-AD42</f>
        <v/>
      </c>
      <c r="AE47" s="80">
        <f>AE46-AE42</f>
        <v/>
      </c>
      <c r="AF47" s="80">
        <f>AF46-AF42</f>
        <v/>
      </c>
      <c r="AG47" s="80">
        <f>AG46-AG42</f>
        <v/>
      </c>
      <c r="AH47" s="80">
        <f>AH46-AH42</f>
        <v/>
      </c>
      <c r="AI47" s="80">
        <f>AI46-AI42</f>
        <v/>
      </c>
      <c r="AJ47" s="80">
        <f>AJ46-AJ42</f>
        <v/>
      </c>
      <c r="AK47" s="80">
        <f>AK46-AK42</f>
        <v/>
      </c>
      <c r="AL47" s="80">
        <f>AL46-AL42</f>
        <v/>
      </c>
      <c r="AM47" s="80">
        <f>AM46-AM42</f>
        <v/>
      </c>
      <c r="AN47" s="80">
        <f>AN46-AN42</f>
        <v/>
      </c>
      <c r="AO47" s="80">
        <f>AO46-AO42</f>
        <v/>
      </c>
      <c r="AP47" s="80">
        <f>AP46-AP42</f>
        <v/>
      </c>
      <c r="AQ47" s="80">
        <f>AQ46-AQ42</f>
        <v/>
      </c>
      <c r="AR47" s="80">
        <f>AR46-AR42</f>
        <v/>
      </c>
      <c r="AS47" s="80">
        <f>AS46-AS42</f>
        <v/>
      </c>
      <c r="AT47" s="80">
        <f>AT46-AT42</f>
        <v/>
      </c>
      <c r="AU47" s="80">
        <f>AU46-AU42</f>
        <v/>
      </c>
      <c r="AV47" s="80">
        <f>AV46-AV42</f>
        <v/>
      </c>
      <c r="AW47" s="80">
        <f>AW46-AW42</f>
        <v/>
      </c>
      <c r="AX47" s="80">
        <f>AX46-AX42</f>
        <v/>
      </c>
      <c r="AY47" s="80">
        <f>AY46-AY42</f>
        <v/>
      </c>
      <c r="AZ47" s="80">
        <f>AZ46-AZ42</f>
        <v/>
      </c>
      <c r="BA47" s="80">
        <f>BA46-BA42</f>
        <v/>
      </c>
      <c r="BB47" s="80">
        <f>BB46-BB42</f>
        <v/>
      </c>
      <c r="BC47" s="80">
        <f>BC46-BC42</f>
        <v/>
      </c>
      <c r="BD47" s="80">
        <f>BD46-BD42</f>
        <v/>
      </c>
      <c r="BE47" s="80">
        <f>BE46-BE42</f>
        <v/>
      </c>
      <c r="BF47" s="80">
        <f>BF46-BF42</f>
        <v/>
      </c>
      <c r="BG47" s="80">
        <f>BG46-BG42</f>
        <v/>
      </c>
      <c r="BH47" s="80">
        <f>BH46-BH42</f>
        <v/>
      </c>
      <c r="BI47" s="80">
        <f>BI46-BI42</f>
        <v/>
      </c>
      <c r="BJ47" s="80">
        <f>BJ46-BJ42</f>
        <v/>
      </c>
      <c r="BK47" s="80">
        <f>BK46-BK42</f>
        <v/>
      </c>
      <c r="BL47" s="80">
        <f>BL46-BL42</f>
        <v/>
      </c>
    </row>
    <row r="48"/>
    <row r="49">
      <c r="A49" s="21" t="inlineStr">
        <is>
          <t>Tier 5: Solar inverter + lithium (~3 kWp / 10 kWh)</t>
        </is>
      </c>
      <c r="B49" s="22" t="n"/>
      <c r="C49" s="22" t="n"/>
      <c r="D49" s="22" t="n"/>
      <c r="E49" s="22" t="n"/>
      <c r="F49" s="22"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c r="AA49" s="22" t="n"/>
      <c r="AB49" s="22" t="n"/>
      <c r="AC49" s="22" t="n"/>
      <c r="AD49" s="22" t="n"/>
      <c r="AE49" s="22" t="n"/>
      <c r="AF49" s="22" t="n"/>
      <c r="AG49" s="22" t="n"/>
      <c r="AH49" s="22" t="n"/>
      <c r="AI49" s="22" t="n"/>
      <c r="AJ49" s="22" t="n"/>
      <c r="AK49" s="22" t="n"/>
      <c r="AL49" s="22" t="n"/>
      <c r="AM49" s="22" t="n"/>
      <c r="AN49" s="22" t="n"/>
      <c r="AO49" s="22" t="n"/>
      <c r="AP49" s="22" t="n"/>
      <c r="AQ49" s="22" t="n"/>
      <c r="AR49" s="22" t="n"/>
      <c r="AS49" s="22" t="n"/>
      <c r="AT49" s="22" t="n"/>
      <c r="AU49" s="22" t="n"/>
      <c r="AV49" s="22" t="n"/>
      <c r="AW49" s="22" t="n"/>
      <c r="AX49" s="22" t="n"/>
      <c r="AY49" s="22" t="n"/>
      <c r="AZ49" s="22" t="n"/>
      <c r="BA49" s="22" t="n"/>
      <c r="BB49" s="22" t="n"/>
      <c r="BC49" s="22" t="n"/>
      <c r="BD49" s="22" t="n"/>
      <c r="BE49" s="22" t="n"/>
      <c r="BF49" s="22" t="n"/>
      <c r="BG49" s="22" t="n"/>
      <c r="BH49" s="22" t="n"/>
      <c r="BI49" s="22" t="n"/>
      <c r="BJ49" s="22" t="n"/>
      <c r="BK49" s="22" t="n"/>
      <c r="BL49" s="22" t="n"/>
    </row>
    <row r="50">
      <c r="A50" s="98" t="inlineStr">
        <is>
          <t>Sales-based RBF (per unit sold, after verification lag)</t>
        </is>
      </c>
      <c r="B50" s="65" t="inlineStr">
        <is>
          <t>LCY</t>
        </is>
      </c>
      <c r="C50" s="105">
        <f>SUM(E50:BL50)</f>
        <v/>
      </c>
      <c r="E50" s="80">
        <f>IF(E$4-Inputs!$C$33&gt;=1,INDEX(Ops!$E$109:$BL$109,1,E$4-Inputs!$C$33),0)*Products!$G$30*Timeline!E$8*Inputs!$C$32</f>
        <v/>
      </c>
      <c r="F50" s="80">
        <f>IF(F$4-Inputs!$C$33&gt;=1,INDEX(Ops!$E$109:$BL$109,1,F$4-Inputs!$C$33),0)*Products!$G$30*Timeline!F$8*Inputs!$C$32</f>
        <v/>
      </c>
      <c r="G50" s="80">
        <f>IF(G$4-Inputs!$C$33&gt;=1,INDEX(Ops!$E$109:$BL$109,1,G$4-Inputs!$C$33),0)*Products!$G$30*Timeline!G$8*Inputs!$C$32</f>
        <v/>
      </c>
      <c r="H50" s="80">
        <f>IF(H$4-Inputs!$C$33&gt;=1,INDEX(Ops!$E$109:$BL$109,1,H$4-Inputs!$C$33),0)*Products!$G$30*Timeline!H$8*Inputs!$C$32</f>
        <v/>
      </c>
      <c r="I50" s="80">
        <f>IF(I$4-Inputs!$C$33&gt;=1,INDEX(Ops!$E$109:$BL$109,1,I$4-Inputs!$C$33),0)*Products!$G$30*Timeline!I$8*Inputs!$C$32</f>
        <v/>
      </c>
      <c r="J50" s="80">
        <f>IF(J$4-Inputs!$C$33&gt;=1,INDEX(Ops!$E$109:$BL$109,1,J$4-Inputs!$C$33),0)*Products!$G$30*Timeline!J$8*Inputs!$C$32</f>
        <v/>
      </c>
      <c r="K50" s="80">
        <f>IF(K$4-Inputs!$C$33&gt;=1,INDEX(Ops!$E$109:$BL$109,1,K$4-Inputs!$C$33),0)*Products!$G$30*Timeline!K$8*Inputs!$C$32</f>
        <v/>
      </c>
      <c r="L50" s="80">
        <f>IF(L$4-Inputs!$C$33&gt;=1,INDEX(Ops!$E$109:$BL$109,1,L$4-Inputs!$C$33),0)*Products!$G$30*Timeline!L$8*Inputs!$C$32</f>
        <v/>
      </c>
      <c r="M50" s="80">
        <f>IF(M$4-Inputs!$C$33&gt;=1,INDEX(Ops!$E$109:$BL$109,1,M$4-Inputs!$C$33),0)*Products!$G$30*Timeline!M$8*Inputs!$C$32</f>
        <v/>
      </c>
      <c r="N50" s="80">
        <f>IF(N$4-Inputs!$C$33&gt;=1,INDEX(Ops!$E$109:$BL$109,1,N$4-Inputs!$C$33),0)*Products!$G$30*Timeline!N$8*Inputs!$C$32</f>
        <v/>
      </c>
      <c r="O50" s="80">
        <f>IF(O$4-Inputs!$C$33&gt;=1,INDEX(Ops!$E$109:$BL$109,1,O$4-Inputs!$C$33),0)*Products!$G$30*Timeline!O$8*Inputs!$C$32</f>
        <v/>
      </c>
      <c r="P50" s="80">
        <f>IF(P$4-Inputs!$C$33&gt;=1,INDEX(Ops!$E$109:$BL$109,1,P$4-Inputs!$C$33),0)*Products!$G$30*Timeline!P$8*Inputs!$C$32</f>
        <v/>
      </c>
      <c r="Q50" s="80">
        <f>IF(Q$4-Inputs!$C$33&gt;=1,INDEX(Ops!$E$109:$BL$109,1,Q$4-Inputs!$C$33),0)*Products!$G$30*Timeline!Q$8*Inputs!$C$32</f>
        <v/>
      </c>
      <c r="R50" s="80">
        <f>IF(R$4-Inputs!$C$33&gt;=1,INDEX(Ops!$E$109:$BL$109,1,R$4-Inputs!$C$33),0)*Products!$G$30*Timeline!R$8*Inputs!$C$32</f>
        <v/>
      </c>
      <c r="S50" s="80">
        <f>IF(S$4-Inputs!$C$33&gt;=1,INDEX(Ops!$E$109:$BL$109,1,S$4-Inputs!$C$33),0)*Products!$G$30*Timeline!S$8*Inputs!$C$32</f>
        <v/>
      </c>
      <c r="T50" s="80">
        <f>IF(T$4-Inputs!$C$33&gt;=1,INDEX(Ops!$E$109:$BL$109,1,T$4-Inputs!$C$33),0)*Products!$G$30*Timeline!T$8*Inputs!$C$32</f>
        <v/>
      </c>
      <c r="U50" s="80">
        <f>IF(U$4-Inputs!$C$33&gt;=1,INDEX(Ops!$E$109:$BL$109,1,U$4-Inputs!$C$33),0)*Products!$G$30*Timeline!U$8*Inputs!$C$32</f>
        <v/>
      </c>
      <c r="V50" s="80">
        <f>IF(V$4-Inputs!$C$33&gt;=1,INDEX(Ops!$E$109:$BL$109,1,V$4-Inputs!$C$33),0)*Products!$G$30*Timeline!V$8*Inputs!$C$32</f>
        <v/>
      </c>
      <c r="W50" s="80">
        <f>IF(W$4-Inputs!$C$33&gt;=1,INDEX(Ops!$E$109:$BL$109,1,W$4-Inputs!$C$33),0)*Products!$G$30*Timeline!W$8*Inputs!$C$32</f>
        <v/>
      </c>
      <c r="X50" s="80">
        <f>IF(X$4-Inputs!$C$33&gt;=1,INDEX(Ops!$E$109:$BL$109,1,X$4-Inputs!$C$33),0)*Products!$G$30*Timeline!X$8*Inputs!$C$32</f>
        <v/>
      </c>
      <c r="Y50" s="80">
        <f>IF(Y$4-Inputs!$C$33&gt;=1,INDEX(Ops!$E$109:$BL$109,1,Y$4-Inputs!$C$33),0)*Products!$G$30*Timeline!Y$8*Inputs!$C$32</f>
        <v/>
      </c>
      <c r="Z50" s="80">
        <f>IF(Z$4-Inputs!$C$33&gt;=1,INDEX(Ops!$E$109:$BL$109,1,Z$4-Inputs!$C$33),0)*Products!$G$30*Timeline!Z$8*Inputs!$C$32</f>
        <v/>
      </c>
      <c r="AA50" s="80">
        <f>IF(AA$4-Inputs!$C$33&gt;=1,INDEX(Ops!$E$109:$BL$109,1,AA$4-Inputs!$C$33),0)*Products!$G$30*Timeline!AA$8*Inputs!$C$32</f>
        <v/>
      </c>
      <c r="AB50" s="80">
        <f>IF(AB$4-Inputs!$C$33&gt;=1,INDEX(Ops!$E$109:$BL$109,1,AB$4-Inputs!$C$33),0)*Products!$G$30*Timeline!AB$8*Inputs!$C$32</f>
        <v/>
      </c>
      <c r="AC50" s="80">
        <f>IF(AC$4-Inputs!$C$33&gt;=1,INDEX(Ops!$E$109:$BL$109,1,AC$4-Inputs!$C$33),0)*Products!$G$30*Timeline!AC$8*Inputs!$C$32</f>
        <v/>
      </c>
      <c r="AD50" s="80">
        <f>IF(AD$4-Inputs!$C$33&gt;=1,INDEX(Ops!$E$109:$BL$109,1,AD$4-Inputs!$C$33),0)*Products!$G$30*Timeline!AD$8*Inputs!$C$32</f>
        <v/>
      </c>
      <c r="AE50" s="80">
        <f>IF(AE$4-Inputs!$C$33&gt;=1,INDEX(Ops!$E$109:$BL$109,1,AE$4-Inputs!$C$33),0)*Products!$G$30*Timeline!AE$8*Inputs!$C$32</f>
        <v/>
      </c>
      <c r="AF50" s="80">
        <f>IF(AF$4-Inputs!$C$33&gt;=1,INDEX(Ops!$E$109:$BL$109,1,AF$4-Inputs!$C$33),0)*Products!$G$30*Timeline!AF$8*Inputs!$C$32</f>
        <v/>
      </c>
      <c r="AG50" s="80">
        <f>IF(AG$4-Inputs!$C$33&gt;=1,INDEX(Ops!$E$109:$BL$109,1,AG$4-Inputs!$C$33),0)*Products!$G$30*Timeline!AG$8*Inputs!$C$32</f>
        <v/>
      </c>
      <c r="AH50" s="80">
        <f>IF(AH$4-Inputs!$C$33&gt;=1,INDEX(Ops!$E$109:$BL$109,1,AH$4-Inputs!$C$33),0)*Products!$G$30*Timeline!AH$8*Inputs!$C$32</f>
        <v/>
      </c>
      <c r="AI50" s="80">
        <f>IF(AI$4-Inputs!$C$33&gt;=1,INDEX(Ops!$E$109:$BL$109,1,AI$4-Inputs!$C$33),0)*Products!$G$30*Timeline!AI$8*Inputs!$C$32</f>
        <v/>
      </c>
      <c r="AJ50" s="80">
        <f>IF(AJ$4-Inputs!$C$33&gt;=1,INDEX(Ops!$E$109:$BL$109,1,AJ$4-Inputs!$C$33),0)*Products!$G$30*Timeline!AJ$8*Inputs!$C$32</f>
        <v/>
      </c>
      <c r="AK50" s="80">
        <f>IF(AK$4-Inputs!$C$33&gt;=1,INDEX(Ops!$E$109:$BL$109,1,AK$4-Inputs!$C$33),0)*Products!$G$30*Timeline!AK$8*Inputs!$C$32</f>
        <v/>
      </c>
      <c r="AL50" s="80">
        <f>IF(AL$4-Inputs!$C$33&gt;=1,INDEX(Ops!$E$109:$BL$109,1,AL$4-Inputs!$C$33),0)*Products!$G$30*Timeline!AL$8*Inputs!$C$32</f>
        <v/>
      </c>
      <c r="AM50" s="80">
        <f>IF(AM$4-Inputs!$C$33&gt;=1,INDEX(Ops!$E$109:$BL$109,1,AM$4-Inputs!$C$33),0)*Products!$G$30*Timeline!AM$8*Inputs!$C$32</f>
        <v/>
      </c>
      <c r="AN50" s="80">
        <f>IF(AN$4-Inputs!$C$33&gt;=1,INDEX(Ops!$E$109:$BL$109,1,AN$4-Inputs!$C$33),0)*Products!$G$30*Timeline!AN$8*Inputs!$C$32</f>
        <v/>
      </c>
      <c r="AO50" s="80">
        <f>IF(AO$4-Inputs!$C$33&gt;=1,INDEX(Ops!$E$109:$BL$109,1,AO$4-Inputs!$C$33),0)*Products!$G$30*Timeline!AO$8*Inputs!$C$32</f>
        <v/>
      </c>
      <c r="AP50" s="80">
        <f>IF(AP$4-Inputs!$C$33&gt;=1,INDEX(Ops!$E$109:$BL$109,1,AP$4-Inputs!$C$33),0)*Products!$G$30*Timeline!AP$8*Inputs!$C$32</f>
        <v/>
      </c>
      <c r="AQ50" s="80">
        <f>IF(AQ$4-Inputs!$C$33&gt;=1,INDEX(Ops!$E$109:$BL$109,1,AQ$4-Inputs!$C$33),0)*Products!$G$30*Timeline!AQ$8*Inputs!$C$32</f>
        <v/>
      </c>
      <c r="AR50" s="80">
        <f>IF(AR$4-Inputs!$C$33&gt;=1,INDEX(Ops!$E$109:$BL$109,1,AR$4-Inputs!$C$33),0)*Products!$G$30*Timeline!AR$8*Inputs!$C$32</f>
        <v/>
      </c>
      <c r="AS50" s="80">
        <f>IF(AS$4-Inputs!$C$33&gt;=1,INDEX(Ops!$E$109:$BL$109,1,AS$4-Inputs!$C$33),0)*Products!$G$30*Timeline!AS$8*Inputs!$C$32</f>
        <v/>
      </c>
      <c r="AT50" s="80">
        <f>IF(AT$4-Inputs!$C$33&gt;=1,INDEX(Ops!$E$109:$BL$109,1,AT$4-Inputs!$C$33),0)*Products!$G$30*Timeline!AT$8*Inputs!$C$32</f>
        <v/>
      </c>
      <c r="AU50" s="80">
        <f>IF(AU$4-Inputs!$C$33&gt;=1,INDEX(Ops!$E$109:$BL$109,1,AU$4-Inputs!$C$33),0)*Products!$G$30*Timeline!AU$8*Inputs!$C$32</f>
        <v/>
      </c>
      <c r="AV50" s="80">
        <f>IF(AV$4-Inputs!$C$33&gt;=1,INDEX(Ops!$E$109:$BL$109,1,AV$4-Inputs!$C$33),0)*Products!$G$30*Timeline!AV$8*Inputs!$C$32</f>
        <v/>
      </c>
      <c r="AW50" s="80">
        <f>IF(AW$4-Inputs!$C$33&gt;=1,INDEX(Ops!$E$109:$BL$109,1,AW$4-Inputs!$C$33),0)*Products!$G$30*Timeline!AW$8*Inputs!$C$32</f>
        <v/>
      </c>
      <c r="AX50" s="80">
        <f>IF(AX$4-Inputs!$C$33&gt;=1,INDEX(Ops!$E$109:$BL$109,1,AX$4-Inputs!$C$33),0)*Products!$G$30*Timeline!AX$8*Inputs!$C$32</f>
        <v/>
      </c>
      <c r="AY50" s="80">
        <f>IF(AY$4-Inputs!$C$33&gt;=1,INDEX(Ops!$E$109:$BL$109,1,AY$4-Inputs!$C$33),0)*Products!$G$30*Timeline!AY$8*Inputs!$C$32</f>
        <v/>
      </c>
      <c r="AZ50" s="80">
        <f>IF(AZ$4-Inputs!$C$33&gt;=1,INDEX(Ops!$E$109:$BL$109,1,AZ$4-Inputs!$C$33),0)*Products!$G$30*Timeline!AZ$8*Inputs!$C$32</f>
        <v/>
      </c>
      <c r="BA50" s="80">
        <f>IF(BA$4-Inputs!$C$33&gt;=1,INDEX(Ops!$E$109:$BL$109,1,BA$4-Inputs!$C$33),0)*Products!$G$30*Timeline!BA$8*Inputs!$C$32</f>
        <v/>
      </c>
      <c r="BB50" s="80">
        <f>IF(BB$4-Inputs!$C$33&gt;=1,INDEX(Ops!$E$109:$BL$109,1,BB$4-Inputs!$C$33),0)*Products!$G$30*Timeline!BB$8*Inputs!$C$32</f>
        <v/>
      </c>
      <c r="BC50" s="80">
        <f>IF(BC$4-Inputs!$C$33&gt;=1,INDEX(Ops!$E$109:$BL$109,1,BC$4-Inputs!$C$33),0)*Products!$G$30*Timeline!BC$8*Inputs!$C$32</f>
        <v/>
      </c>
      <c r="BD50" s="80">
        <f>IF(BD$4-Inputs!$C$33&gt;=1,INDEX(Ops!$E$109:$BL$109,1,BD$4-Inputs!$C$33),0)*Products!$G$30*Timeline!BD$8*Inputs!$C$32</f>
        <v/>
      </c>
      <c r="BE50" s="80">
        <f>IF(BE$4-Inputs!$C$33&gt;=1,INDEX(Ops!$E$109:$BL$109,1,BE$4-Inputs!$C$33),0)*Products!$G$30*Timeline!BE$8*Inputs!$C$32</f>
        <v/>
      </c>
      <c r="BF50" s="80">
        <f>IF(BF$4-Inputs!$C$33&gt;=1,INDEX(Ops!$E$109:$BL$109,1,BF$4-Inputs!$C$33),0)*Products!$G$30*Timeline!BF$8*Inputs!$C$32</f>
        <v/>
      </c>
      <c r="BG50" s="80">
        <f>IF(BG$4-Inputs!$C$33&gt;=1,INDEX(Ops!$E$109:$BL$109,1,BG$4-Inputs!$C$33),0)*Products!$G$30*Timeline!BG$8*Inputs!$C$32</f>
        <v/>
      </c>
      <c r="BH50" s="80">
        <f>IF(BH$4-Inputs!$C$33&gt;=1,INDEX(Ops!$E$109:$BL$109,1,BH$4-Inputs!$C$33),0)*Products!$G$30*Timeline!BH$8*Inputs!$C$32</f>
        <v/>
      </c>
      <c r="BI50" s="80">
        <f>IF(BI$4-Inputs!$C$33&gt;=1,INDEX(Ops!$E$109:$BL$109,1,BI$4-Inputs!$C$33),0)*Products!$G$30*Timeline!BI$8*Inputs!$C$32</f>
        <v/>
      </c>
      <c r="BJ50" s="80">
        <f>IF(BJ$4-Inputs!$C$33&gt;=1,INDEX(Ops!$E$109:$BL$109,1,BJ$4-Inputs!$C$33),0)*Products!$G$30*Timeline!BJ$8*Inputs!$C$32</f>
        <v/>
      </c>
      <c r="BK50" s="80">
        <f>IF(BK$4-Inputs!$C$33&gt;=1,INDEX(Ops!$E$109:$BL$109,1,BK$4-Inputs!$C$33),0)*Products!$G$30*Timeline!BK$8*Inputs!$C$32</f>
        <v/>
      </c>
      <c r="BL50" s="80">
        <f>IF(BL$4-Inputs!$C$33&gt;=1,INDEX(Ops!$E$109:$BL$109,1,BL$4-Inputs!$C$33),0)*Products!$G$30*Timeline!BL$8*Inputs!$C$32</f>
        <v/>
      </c>
    </row>
    <row r="51">
      <c r="A51" s="98" t="inlineStr">
        <is>
          <t>Repayment-linked RBF (sales-based x payout factor)</t>
        </is>
      </c>
      <c r="B51" s="65" t="inlineStr">
        <is>
          <t>LCY</t>
        </is>
      </c>
      <c r="C51" s="105">
        <f>SUM(E51:BL51)</f>
        <v/>
      </c>
      <c r="E51" s="80">
        <f>E50*$G$13</f>
        <v/>
      </c>
      <c r="F51" s="80">
        <f>F50*$G$13</f>
        <v/>
      </c>
      <c r="G51" s="80">
        <f>G50*$G$13</f>
        <v/>
      </c>
      <c r="H51" s="80">
        <f>H50*$G$13</f>
        <v/>
      </c>
      <c r="I51" s="80">
        <f>I50*$G$13</f>
        <v/>
      </c>
      <c r="J51" s="80">
        <f>J50*$G$13</f>
        <v/>
      </c>
      <c r="K51" s="80">
        <f>K50*$G$13</f>
        <v/>
      </c>
      <c r="L51" s="80">
        <f>L50*$G$13</f>
        <v/>
      </c>
      <c r="M51" s="80">
        <f>M50*$G$13</f>
        <v/>
      </c>
      <c r="N51" s="80">
        <f>N50*$G$13</f>
        <v/>
      </c>
      <c r="O51" s="80">
        <f>O50*$G$13</f>
        <v/>
      </c>
      <c r="P51" s="80">
        <f>P50*$G$13</f>
        <v/>
      </c>
      <c r="Q51" s="80">
        <f>Q50*$G$13</f>
        <v/>
      </c>
      <c r="R51" s="80">
        <f>R50*$G$13</f>
        <v/>
      </c>
      <c r="S51" s="80">
        <f>S50*$G$13</f>
        <v/>
      </c>
      <c r="T51" s="80">
        <f>T50*$G$13</f>
        <v/>
      </c>
      <c r="U51" s="80">
        <f>U50*$G$13</f>
        <v/>
      </c>
      <c r="V51" s="80">
        <f>V50*$G$13</f>
        <v/>
      </c>
      <c r="W51" s="80">
        <f>W50*$G$13</f>
        <v/>
      </c>
      <c r="X51" s="80">
        <f>X50*$G$13</f>
        <v/>
      </c>
      <c r="Y51" s="80">
        <f>Y50*$G$13</f>
        <v/>
      </c>
      <c r="Z51" s="80">
        <f>Z50*$G$13</f>
        <v/>
      </c>
      <c r="AA51" s="80">
        <f>AA50*$G$13</f>
        <v/>
      </c>
      <c r="AB51" s="80">
        <f>AB50*$G$13</f>
        <v/>
      </c>
      <c r="AC51" s="80">
        <f>AC50*$G$13</f>
        <v/>
      </c>
      <c r="AD51" s="80">
        <f>AD50*$G$13</f>
        <v/>
      </c>
      <c r="AE51" s="80">
        <f>AE50*$G$13</f>
        <v/>
      </c>
      <c r="AF51" s="80">
        <f>AF50*$G$13</f>
        <v/>
      </c>
      <c r="AG51" s="80">
        <f>AG50*$G$13</f>
        <v/>
      </c>
      <c r="AH51" s="80">
        <f>AH50*$G$13</f>
        <v/>
      </c>
      <c r="AI51" s="80">
        <f>AI50*$G$13</f>
        <v/>
      </c>
      <c r="AJ51" s="80">
        <f>AJ50*$G$13</f>
        <v/>
      </c>
      <c r="AK51" s="80">
        <f>AK50*$G$13</f>
        <v/>
      </c>
      <c r="AL51" s="80">
        <f>AL50*$G$13</f>
        <v/>
      </c>
      <c r="AM51" s="80">
        <f>AM50*$G$13</f>
        <v/>
      </c>
      <c r="AN51" s="80">
        <f>AN50*$G$13</f>
        <v/>
      </c>
      <c r="AO51" s="80">
        <f>AO50*$G$13</f>
        <v/>
      </c>
      <c r="AP51" s="80">
        <f>AP50*$G$13</f>
        <v/>
      </c>
      <c r="AQ51" s="80">
        <f>AQ50*$G$13</f>
        <v/>
      </c>
      <c r="AR51" s="80">
        <f>AR50*$G$13</f>
        <v/>
      </c>
      <c r="AS51" s="80">
        <f>AS50*$G$13</f>
        <v/>
      </c>
      <c r="AT51" s="80">
        <f>AT50*$G$13</f>
        <v/>
      </c>
      <c r="AU51" s="80">
        <f>AU50*$G$13</f>
        <v/>
      </c>
      <c r="AV51" s="80">
        <f>AV50*$G$13</f>
        <v/>
      </c>
      <c r="AW51" s="80">
        <f>AW50*$G$13</f>
        <v/>
      </c>
      <c r="AX51" s="80">
        <f>AX50*$G$13</f>
        <v/>
      </c>
      <c r="AY51" s="80">
        <f>AY50*$G$13</f>
        <v/>
      </c>
      <c r="AZ51" s="80">
        <f>AZ50*$G$13</f>
        <v/>
      </c>
      <c r="BA51" s="80">
        <f>BA50*$G$13</f>
        <v/>
      </c>
      <c r="BB51" s="80">
        <f>BB50*$G$13</f>
        <v/>
      </c>
      <c r="BC51" s="80">
        <f>BC50*$G$13</f>
        <v/>
      </c>
      <c r="BD51" s="80">
        <f>BD50*$G$13</f>
        <v/>
      </c>
      <c r="BE51" s="80">
        <f>BE50*$G$13</f>
        <v/>
      </c>
      <c r="BF51" s="80">
        <f>BF50*$G$13</f>
        <v/>
      </c>
      <c r="BG51" s="80">
        <f>BG50*$G$13</f>
        <v/>
      </c>
      <c r="BH51" s="80">
        <f>BH50*$G$13</f>
        <v/>
      </c>
      <c r="BI51" s="80">
        <f>BI50*$G$13</f>
        <v/>
      </c>
      <c r="BJ51" s="80">
        <f>BJ50*$G$13</f>
        <v/>
      </c>
      <c r="BK51" s="80">
        <f>BK50*$G$13</f>
        <v/>
      </c>
      <c r="BL51" s="80">
        <f>BL50*$G$13</f>
        <v/>
      </c>
    </row>
    <row r="52">
      <c r="A52" s="98" t="inlineStr">
        <is>
          <t>Ownership-linked RBF (paid at 2 x tenor on validated ownership)</t>
        </is>
      </c>
      <c r="B52" s="65" t="inlineStr">
        <is>
          <t>LCY</t>
        </is>
      </c>
      <c r="C52" s="105">
        <f>SUM(E52:BL52)</f>
        <v/>
      </c>
      <c r="E52" s="80">
        <f>IF(AND(Inputs!$C$39=1,E$4-$G$15&gt;=1),INDEX(Ops!$E$109:$BL$109,1,E$4-$G$15),0)*Products!$G$30*Timeline!E$8*Inputs!$C$32*$G$14</f>
        <v/>
      </c>
      <c r="F52" s="80">
        <f>IF(AND(Inputs!$C$39=1,F$4-$G$15&gt;=1),INDEX(Ops!$E$109:$BL$109,1,F$4-$G$15),0)*Products!$G$30*Timeline!F$8*Inputs!$C$32*$G$14</f>
        <v/>
      </c>
      <c r="G52" s="80">
        <f>IF(AND(Inputs!$C$39=1,G$4-$G$15&gt;=1),INDEX(Ops!$E$109:$BL$109,1,G$4-$G$15),0)*Products!$G$30*Timeline!G$8*Inputs!$C$32*$G$14</f>
        <v/>
      </c>
      <c r="H52" s="80">
        <f>IF(AND(Inputs!$C$39=1,H$4-$G$15&gt;=1),INDEX(Ops!$E$109:$BL$109,1,H$4-$G$15),0)*Products!$G$30*Timeline!H$8*Inputs!$C$32*$G$14</f>
        <v/>
      </c>
      <c r="I52" s="80">
        <f>IF(AND(Inputs!$C$39=1,I$4-$G$15&gt;=1),INDEX(Ops!$E$109:$BL$109,1,I$4-$G$15),0)*Products!$G$30*Timeline!I$8*Inputs!$C$32*$G$14</f>
        <v/>
      </c>
      <c r="J52" s="80">
        <f>IF(AND(Inputs!$C$39=1,J$4-$G$15&gt;=1),INDEX(Ops!$E$109:$BL$109,1,J$4-$G$15),0)*Products!$G$30*Timeline!J$8*Inputs!$C$32*$G$14</f>
        <v/>
      </c>
      <c r="K52" s="80">
        <f>IF(AND(Inputs!$C$39=1,K$4-$G$15&gt;=1),INDEX(Ops!$E$109:$BL$109,1,K$4-$G$15),0)*Products!$G$30*Timeline!K$8*Inputs!$C$32*$G$14</f>
        <v/>
      </c>
      <c r="L52" s="80">
        <f>IF(AND(Inputs!$C$39=1,L$4-$G$15&gt;=1),INDEX(Ops!$E$109:$BL$109,1,L$4-$G$15),0)*Products!$G$30*Timeline!L$8*Inputs!$C$32*$G$14</f>
        <v/>
      </c>
      <c r="M52" s="80">
        <f>IF(AND(Inputs!$C$39=1,M$4-$G$15&gt;=1),INDEX(Ops!$E$109:$BL$109,1,M$4-$G$15),0)*Products!$G$30*Timeline!M$8*Inputs!$C$32*$G$14</f>
        <v/>
      </c>
      <c r="N52" s="80">
        <f>IF(AND(Inputs!$C$39=1,N$4-$G$15&gt;=1),INDEX(Ops!$E$109:$BL$109,1,N$4-$G$15),0)*Products!$G$30*Timeline!N$8*Inputs!$C$32*$G$14</f>
        <v/>
      </c>
      <c r="O52" s="80">
        <f>IF(AND(Inputs!$C$39=1,O$4-$G$15&gt;=1),INDEX(Ops!$E$109:$BL$109,1,O$4-$G$15),0)*Products!$G$30*Timeline!O$8*Inputs!$C$32*$G$14</f>
        <v/>
      </c>
      <c r="P52" s="80">
        <f>IF(AND(Inputs!$C$39=1,P$4-$G$15&gt;=1),INDEX(Ops!$E$109:$BL$109,1,P$4-$G$15),0)*Products!$G$30*Timeline!P$8*Inputs!$C$32*$G$14</f>
        <v/>
      </c>
      <c r="Q52" s="80">
        <f>IF(AND(Inputs!$C$39=1,Q$4-$G$15&gt;=1),INDEX(Ops!$E$109:$BL$109,1,Q$4-$G$15),0)*Products!$G$30*Timeline!Q$8*Inputs!$C$32*$G$14</f>
        <v/>
      </c>
      <c r="R52" s="80">
        <f>IF(AND(Inputs!$C$39=1,R$4-$G$15&gt;=1),INDEX(Ops!$E$109:$BL$109,1,R$4-$G$15),0)*Products!$G$30*Timeline!R$8*Inputs!$C$32*$G$14</f>
        <v/>
      </c>
      <c r="S52" s="80">
        <f>IF(AND(Inputs!$C$39=1,S$4-$G$15&gt;=1),INDEX(Ops!$E$109:$BL$109,1,S$4-$G$15),0)*Products!$G$30*Timeline!S$8*Inputs!$C$32*$G$14</f>
        <v/>
      </c>
      <c r="T52" s="80">
        <f>IF(AND(Inputs!$C$39=1,T$4-$G$15&gt;=1),INDEX(Ops!$E$109:$BL$109,1,T$4-$G$15),0)*Products!$G$30*Timeline!T$8*Inputs!$C$32*$G$14</f>
        <v/>
      </c>
      <c r="U52" s="80">
        <f>IF(AND(Inputs!$C$39=1,U$4-$G$15&gt;=1),INDEX(Ops!$E$109:$BL$109,1,U$4-$G$15),0)*Products!$G$30*Timeline!U$8*Inputs!$C$32*$G$14</f>
        <v/>
      </c>
      <c r="V52" s="80">
        <f>IF(AND(Inputs!$C$39=1,V$4-$G$15&gt;=1),INDEX(Ops!$E$109:$BL$109,1,V$4-$G$15),0)*Products!$G$30*Timeline!V$8*Inputs!$C$32*$G$14</f>
        <v/>
      </c>
      <c r="W52" s="80">
        <f>IF(AND(Inputs!$C$39=1,W$4-$G$15&gt;=1),INDEX(Ops!$E$109:$BL$109,1,W$4-$G$15),0)*Products!$G$30*Timeline!W$8*Inputs!$C$32*$G$14</f>
        <v/>
      </c>
      <c r="X52" s="80">
        <f>IF(AND(Inputs!$C$39=1,X$4-$G$15&gt;=1),INDEX(Ops!$E$109:$BL$109,1,X$4-$G$15),0)*Products!$G$30*Timeline!X$8*Inputs!$C$32*$G$14</f>
        <v/>
      </c>
      <c r="Y52" s="80">
        <f>IF(AND(Inputs!$C$39=1,Y$4-$G$15&gt;=1),INDEX(Ops!$E$109:$BL$109,1,Y$4-$G$15),0)*Products!$G$30*Timeline!Y$8*Inputs!$C$32*$G$14</f>
        <v/>
      </c>
      <c r="Z52" s="80">
        <f>IF(AND(Inputs!$C$39=1,Z$4-$G$15&gt;=1),INDEX(Ops!$E$109:$BL$109,1,Z$4-$G$15),0)*Products!$G$30*Timeline!Z$8*Inputs!$C$32*$G$14</f>
        <v/>
      </c>
      <c r="AA52" s="80">
        <f>IF(AND(Inputs!$C$39=1,AA$4-$G$15&gt;=1),INDEX(Ops!$E$109:$BL$109,1,AA$4-$G$15),0)*Products!$G$30*Timeline!AA$8*Inputs!$C$32*$G$14</f>
        <v/>
      </c>
      <c r="AB52" s="80">
        <f>IF(AND(Inputs!$C$39=1,AB$4-$G$15&gt;=1),INDEX(Ops!$E$109:$BL$109,1,AB$4-$G$15),0)*Products!$G$30*Timeline!AB$8*Inputs!$C$32*$G$14</f>
        <v/>
      </c>
      <c r="AC52" s="80">
        <f>IF(AND(Inputs!$C$39=1,AC$4-$G$15&gt;=1),INDEX(Ops!$E$109:$BL$109,1,AC$4-$G$15),0)*Products!$G$30*Timeline!AC$8*Inputs!$C$32*$G$14</f>
        <v/>
      </c>
      <c r="AD52" s="80">
        <f>IF(AND(Inputs!$C$39=1,AD$4-$G$15&gt;=1),INDEX(Ops!$E$109:$BL$109,1,AD$4-$G$15),0)*Products!$G$30*Timeline!AD$8*Inputs!$C$32*$G$14</f>
        <v/>
      </c>
      <c r="AE52" s="80">
        <f>IF(AND(Inputs!$C$39=1,AE$4-$G$15&gt;=1),INDEX(Ops!$E$109:$BL$109,1,AE$4-$G$15),0)*Products!$G$30*Timeline!AE$8*Inputs!$C$32*$G$14</f>
        <v/>
      </c>
      <c r="AF52" s="80">
        <f>IF(AND(Inputs!$C$39=1,AF$4-$G$15&gt;=1),INDEX(Ops!$E$109:$BL$109,1,AF$4-$G$15),0)*Products!$G$30*Timeline!AF$8*Inputs!$C$32*$G$14</f>
        <v/>
      </c>
      <c r="AG52" s="80">
        <f>IF(AND(Inputs!$C$39=1,AG$4-$G$15&gt;=1),INDEX(Ops!$E$109:$BL$109,1,AG$4-$G$15),0)*Products!$G$30*Timeline!AG$8*Inputs!$C$32*$G$14</f>
        <v/>
      </c>
      <c r="AH52" s="80">
        <f>IF(AND(Inputs!$C$39=1,AH$4-$G$15&gt;=1),INDEX(Ops!$E$109:$BL$109,1,AH$4-$G$15),0)*Products!$G$30*Timeline!AH$8*Inputs!$C$32*$G$14</f>
        <v/>
      </c>
      <c r="AI52" s="80">
        <f>IF(AND(Inputs!$C$39=1,AI$4-$G$15&gt;=1),INDEX(Ops!$E$109:$BL$109,1,AI$4-$G$15),0)*Products!$G$30*Timeline!AI$8*Inputs!$C$32*$G$14</f>
        <v/>
      </c>
      <c r="AJ52" s="80">
        <f>IF(AND(Inputs!$C$39=1,AJ$4-$G$15&gt;=1),INDEX(Ops!$E$109:$BL$109,1,AJ$4-$G$15),0)*Products!$G$30*Timeline!AJ$8*Inputs!$C$32*$G$14</f>
        <v/>
      </c>
      <c r="AK52" s="80">
        <f>IF(AND(Inputs!$C$39=1,AK$4-$G$15&gt;=1),INDEX(Ops!$E$109:$BL$109,1,AK$4-$G$15),0)*Products!$G$30*Timeline!AK$8*Inputs!$C$32*$G$14</f>
        <v/>
      </c>
      <c r="AL52" s="80">
        <f>IF(AND(Inputs!$C$39=1,AL$4-$G$15&gt;=1),INDEX(Ops!$E$109:$BL$109,1,AL$4-$G$15),0)*Products!$G$30*Timeline!AL$8*Inputs!$C$32*$G$14</f>
        <v/>
      </c>
      <c r="AM52" s="80">
        <f>IF(AND(Inputs!$C$39=1,AM$4-$G$15&gt;=1),INDEX(Ops!$E$109:$BL$109,1,AM$4-$G$15),0)*Products!$G$30*Timeline!AM$8*Inputs!$C$32*$G$14</f>
        <v/>
      </c>
      <c r="AN52" s="80">
        <f>IF(AND(Inputs!$C$39=1,AN$4-$G$15&gt;=1),INDEX(Ops!$E$109:$BL$109,1,AN$4-$G$15),0)*Products!$G$30*Timeline!AN$8*Inputs!$C$32*$G$14</f>
        <v/>
      </c>
      <c r="AO52" s="80">
        <f>IF(AND(Inputs!$C$39=1,AO$4-$G$15&gt;=1),INDEX(Ops!$E$109:$BL$109,1,AO$4-$G$15),0)*Products!$G$30*Timeline!AO$8*Inputs!$C$32*$G$14</f>
        <v/>
      </c>
      <c r="AP52" s="80">
        <f>IF(AND(Inputs!$C$39=1,AP$4-$G$15&gt;=1),INDEX(Ops!$E$109:$BL$109,1,AP$4-$G$15),0)*Products!$G$30*Timeline!AP$8*Inputs!$C$32*$G$14</f>
        <v/>
      </c>
      <c r="AQ52" s="80">
        <f>IF(AND(Inputs!$C$39=1,AQ$4-$G$15&gt;=1),INDEX(Ops!$E$109:$BL$109,1,AQ$4-$G$15),0)*Products!$G$30*Timeline!AQ$8*Inputs!$C$32*$G$14</f>
        <v/>
      </c>
      <c r="AR52" s="80">
        <f>IF(AND(Inputs!$C$39=1,AR$4-$G$15&gt;=1),INDEX(Ops!$E$109:$BL$109,1,AR$4-$G$15),0)*Products!$G$30*Timeline!AR$8*Inputs!$C$32*$G$14</f>
        <v/>
      </c>
      <c r="AS52" s="80">
        <f>IF(AND(Inputs!$C$39=1,AS$4-$G$15&gt;=1),INDEX(Ops!$E$109:$BL$109,1,AS$4-$G$15),0)*Products!$G$30*Timeline!AS$8*Inputs!$C$32*$G$14</f>
        <v/>
      </c>
      <c r="AT52" s="80">
        <f>IF(AND(Inputs!$C$39=1,AT$4-$G$15&gt;=1),INDEX(Ops!$E$109:$BL$109,1,AT$4-$G$15),0)*Products!$G$30*Timeline!AT$8*Inputs!$C$32*$G$14</f>
        <v/>
      </c>
      <c r="AU52" s="80">
        <f>IF(AND(Inputs!$C$39=1,AU$4-$G$15&gt;=1),INDEX(Ops!$E$109:$BL$109,1,AU$4-$G$15),0)*Products!$G$30*Timeline!AU$8*Inputs!$C$32*$G$14</f>
        <v/>
      </c>
      <c r="AV52" s="80">
        <f>IF(AND(Inputs!$C$39=1,AV$4-$G$15&gt;=1),INDEX(Ops!$E$109:$BL$109,1,AV$4-$G$15),0)*Products!$G$30*Timeline!AV$8*Inputs!$C$32*$G$14</f>
        <v/>
      </c>
      <c r="AW52" s="80">
        <f>IF(AND(Inputs!$C$39=1,AW$4-$G$15&gt;=1),INDEX(Ops!$E$109:$BL$109,1,AW$4-$G$15),0)*Products!$G$30*Timeline!AW$8*Inputs!$C$32*$G$14</f>
        <v/>
      </c>
      <c r="AX52" s="80">
        <f>IF(AND(Inputs!$C$39=1,AX$4-$G$15&gt;=1),INDEX(Ops!$E$109:$BL$109,1,AX$4-$G$15),0)*Products!$G$30*Timeline!AX$8*Inputs!$C$32*$G$14</f>
        <v/>
      </c>
      <c r="AY52" s="80">
        <f>IF(AND(Inputs!$C$39=1,AY$4-$G$15&gt;=1),INDEX(Ops!$E$109:$BL$109,1,AY$4-$G$15),0)*Products!$G$30*Timeline!AY$8*Inputs!$C$32*$G$14</f>
        <v/>
      </c>
      <c r="AZ52" s="80">
        <f>IF(AND(Inputs!$C$39=1,AZ$4-$G$15&gt;=1),INDEX(Ops!$E$109:$BL$109,1,AZ$4-$G$15),0)*Products!$G$30*Timeline!AZ$8*Inputs!$C$32*$G$14</f>
        <v/>
      </c>
      <c r="BA52" s="80">
        <f>IF(AND(Inputs!$C$39=1,BA$4-$G$15&gt;=1),INDEX(Ops!$E$109:$BL$109,1,BA$4-$G$15),0)*Products!$G$30*Timeline!BA$8*Inputs!$C$32*$G$14</f>
        <v/>
      </c>
      <c r="BB52" s="80">
        <f>IF(AND(Inputs!$C$39=1,BB$4-$G$15&gt;=1),INDEX(Ops!$E$109:$BL$109,1,BB$4-$G$15),0)*Products!$G$30*Timeline!BB$8*Inputs!$C$32*$G$14</f>
        <v/>
      </c>
      <c r="BC52" s="80">
        <f>IF(AND(Inputs!$C$39=1,BC$4-$G$15&gt;=1),INDEX(Ops!$E$109:$BL$109,1,BC$4-$G$15),0)*Products!$G$30*Timeline!BC$8*Inputs!$C$32*$G$14</f>
        <v/>
      </c>
      <c r="BD52" s="80">
        <f>IF(AND(Inputs!$C$39=1,BD$4-$G$15&gt;=1),INDEX(Ops!$E$109:$BL$109,1,BD$4-$G$15),0)*Products!$G$30*Timeline!BD$8*Inputs!$C$32*$G$14</f>
        <v/>
      </c>
      <c r="BE52" s="80">
        <f>IF(AND(Inputs!$C$39=1,BE$4-$G$15&gt;=1),INDEX(Ops!$E$109:$BL$109,1,BE$4-$G$15),0)*Products!$G$30*Timeline!BE$8*Inputs!$C$32*$G$14</f>
        <v/>
      </c>
      <c r="BF52" s="80">
        <f>IF(AND(Inputs!$C$39=1,BF$4-$G$15&gt;=1),INDEX(Ops!$E$109:$BL$109,1,BF$4-$G$15),0)*Products!$G$30*Timeline!BF$8*Inputs!$C$32*$G$14</f>
        <v/>
      </c>
      <c r="BG52" s="80">
        <f>IF(AND(Inputs!$C$39=1,BG$4-$G$15&gt;=1),INDEX(Ops!$E$109:$BL$109,1,BG$4-$G$15),0)*Products!$G$30*Timeline!BG$8*Inputs!$C$32*$G$14</f>
        <v/>
      </c>
      <c r="BH52" s="80">
        <f>IF(AND(Inputs!$C$39=1,BH$4-$G$15&gt;=1),INDEX(Ops!$E$109:$BL$109,1,BH$4-$G$15),0)*Products!$G$30*Timeline!BH$8*Inputs!$C$32*$G$14</f>
        <v/>
      </c>
      <c r="BI52" s="80">
        <f>IF(AND(Inputs!$C$39=1,BI$4-$G$15&gt;=1),INDEX(Ops!$E$109:$BL$109,1,BI$4-$G$15),0)*Products!$G$30*Timeline!BI$8*Inputs!$C$32*$G$14</f>
        <v/>
      </c>
      <c r="BJ52" s="80">
        <f>IF(AND(Inputs!$C$39=1,BJ$4-$G$15&gt;=1),INDEX(Ops!$E$109:$BL$109,1,BJ$4-$G$15),0)*Products!$G$30*Timeline!BJ$8*Inputs!$C$32*$G$14</f>
        <v/>
      </c>
      <c r="BK52" s="80">
        <f>IF(AND(Inputs!$C$39=1,BK$4-$G$15&gt;=1),INDEX(Ops!$E$109:$BL$109,1,BK$4-$G$15),0)*Products!$G$30*Timeline!BK$8*Inputs!$C$32*$G$14</f>
        <v/>
      </c>
      <c r="BL52" s="80">
        <f>IF(AND(Inputs!$C$39=1,BL$4-$G$15&gt;=1),INDEX(Ops!$E$109:$BL$109,1,BL$4-$G$15),0)*Products!$G$30*Timeline!BL$8*Inputs!$C$32*$G$14</f>
        <v/>
      </c>
    </row>
    <row r="53">
      <c r="A53" s="98" t="inlineStr">
        <is>
          <t>Hybrid RBF (weighted)</t>
        </is>
      </c>
      <c r="B53" s="65" t="inlineStr">
        <is>
          <t>LCY</t>
        </is>
      </c>
      <c r="C53" s="105">
        <f>SUM(E53:BL53)</f>
        <v/>
      </c>
      <c r="E53" s="80">
        <f>Inputs!$C$36*E50+Inputs!$C$37*E51+Inputs!$C$38*E52</f>
        <v/>
      </c>
      <c r="F53" s="80">
        <f>Inputs!$C$36*F50+Inputs!$C$37*F51+Inputs!$C$38*F52</f>
        <v/>
      </c>
      <c r="G53" s="80">
        <f>Inputs!$C$36*G50+Inputs!$C$37*G51+Inputs!$C$38*G52</f>
        <v/>
      </c>
      <c r="H53" s="80">
        <f>Inputs!$C$36*H50+Inputs!$C$37*H51+Inputs!$C$38*H52</f>
        <v/>
      </c>
      <c r="I53" s="80">
        <f>Inputs!$C$36*I50+Inputs!$C$37*I51+Inputs!$C$38*I52</f>
        <v/>
      </c>
      <c r="J53" s="80">
        <f>Inputs!$C$36*J50+Inputs!$C$37*J51+Inputs!$C$38*J52</f>
        <v/>
      </c>
      <c r="K53" s="80">
        <f>Inputs!$C$36*K50+Inputs!$C$37*K51+Inputs!$C$38*K52</f>
        <v/>
      </c>
      <c r="L53" s="80">
        <f>Inputs!$C$36*L50+Inputs!$C$37*L51+Inputs!$C$38*L52</f>
        <v/>
      </c>
      <c r="M53" s="80">
        <f>Inputs!$C$36*M50+Inputs!$C$37*M51+Inputs!$C$38*M52</f>
        <v/>
      </c>
      <c r="N53" s="80">
        <f>Inputs!$C$36*N50+Inputs!$C$37*N51+Inputs!$C$38*N52</f>
        <v/>
      </c>
      <c r="O53" s="80">
        <f>Inputs!$C$36*O50+Inputs!$C$37*O51+Inputs!$C$38*O52</f>
        <v/>
      </c>
      <c r="P53" s="80">
        <f>Inputs!$C$36*P50+Inputs!$C$37*P51+Inputs!$C$38*P52</f>
        <v/>
      </c>
      <c r="Q53" s="80">
        <f>Inputs!$C$36*Q50+Inputs!$C$37*Q51+Inputs!$C$38*Q52</f>
        <v/>
      </c>
      <c r="R53" s="80">
        <f>Inputs!$C$36*R50+Inputs!$C$37*R51+Inputs!$C$38*R52</f>
        <v/>
      </c>
      <c r="S53" s="80">
        <f>Inputs!$C$36*S50+Inputs!$C$37*S51+Inputs!$C$38*S52</f>
        <v/>
      </c>
      <c r="T53" s="80">
        <f>Inputs!$C$36*T50+Inputs!$C$37*T51+Inputs!$C$38*T52</f>
        <v/>
      </c>
      <c r="U53" s="80">
        <f>Inputs!$C$36*U50+Inputs!$C$37*U51+Inputs!$C$38*U52</f>
        <v/>
      </c>
      <c r="V53" s="80">
        <f>Inputs!$C$36*V50+Inputs!$C$37*V51+Inputs!$C$38*V52</f>
        <v/>
      </c>
      <c r="W53" s="80">
        <f>Inputs!$C$36*W50+Inputs!$C$37*W51+Inputs!$C$38*W52</f>
        <v/>
      </c>
      <c r="X53" s="80">
        <f>Inputs!$C$36*X50+Inputs!$C$37*X51+Inputs!$C$38*X52</f>
        <v/>
      </c>
      <c r="Y53" s="80">
        <f>Inputs!$C$36*Y50+Inputs!$C$37*Y51+Inputs!$C$38*Y52</f>
        <v/>
      </c>
      <c r="Z53" s="80">
        <f>Inputs!$C$36*Z50+Inputs!$C$37*Z51+Inputs!$C$38*Z52</f>
        <v/>
      </c>
      <c r="AA53" s="80">
        <f>Inputs!$C$36*AA50+Inputs!$C$37*AA51+Inputs!$C$38*AA52</f>
        <v/>
      </c>
      <c r="AB53" s="80">
        <f>Inputs!$C$36*AB50+Inputs!$C$37*AB51+Inputs!$C$38*AB52</f>
        <v/>
      </c>
      <c r="AC53" s="80">
        <f>Inputs!$C$36*AC50+Inputs!$C$37*AC51+Inputs!$C$38*AC52</f>
        <v/>
      </c>
      <c r="AD53" s="80">
        <f>Inputs!$C$36*AD50+Inputs!$C$37*AD51+Inputs!$C$38*AD52</f>
        <v/>
      </c>
      <c r="AE53" s="80">
        <f>Inputs!$C$36*AE50+Inputs!$C$37*AE51+Inputs!$C$38*AE52</f>
        <v/>
      </c>
      <c r="AF53" s="80">
        <f>Inputs!$C$36*AF50+Inputs!$C$37*AF51+Inputs!$C$38*AF52</f>
        <v/>
      </c>
      <c r="AG53" s="80">
        <f>Inputs!$C$36*AG50+Inputs!$C$37*AG51+Inputs!$C$38*AG52</f>
        <v/>
      </c>
      <c r="AH53" s="80">
        <f>Inputs!$C$36*AH50+Inputs!$C$37*AH51+Inputs!$C$38*AH52</f>
        <v/>
      </c>
      <c r="AI53" s="80">
        <f>Inputs!$C$36*AI50+Inputs!$C$37*AI51+Inputs!$C$38*AI52</f>
        <v/>
      </c>
      <c r="AJ53" s="80">
        <f>Inputs!$C$36*AJ50+Inputs!$C$37*AJ51+Inputs!$C$38*AJ52</f>
        <v/>
      </c>
      <c r="AK53" s="80">
        <f>Inputs!$C$36*AK50+Inputs!$C$37*AK51+Inputs!$C$38*AK52</f>
        <v/>
      </c>
      <c r="AL53" s="80">
        <f>Inputs!$C$36*AL50+Inputs!$C$37*AL51+Inputs!$C$38*AL52</f>
        <v/>
      </c>
      <c r="AM53" s="80">
        <f>Inputs!$C$36*AM50+Inputs!$C$37*AM51+Inputs!$C$38*AM52</f>
        <v/>
      </c>
      <c r="AN53" s="80">
        <f>Inputs!$C$36*AN50+Inputs!$C$37*AN51+Inputs!$C$38*AN52</f>
        <v/>
      </c>
      <c r="AO53" s="80">
        <f>Inputs!$C$36*AO50+Inputs!$C$37*AO51+Inputs!$C$38*AO52</f>
        <v/>
      </c>
      <c r="AP53" s="80">
        <f>Inputs!$C$36*AP50+Inputs!$C$37*AP51+Inputs!$C$38*AP52</f>
        <v/>
      </c>
      <c r="AQ53" s="80">
        <f>Inputs!$C$36*AQ50+Inputs!$C$37*AQ51+Inputs!$C$38*AQ52</f>
        <v/>
      </c>
      <c r="AR53" s="80">
        <f>Inputs!$C$36*AR50+Inputs!$C$37*AR51+Inputs!$C$38*AR52</f>
        <v/>
      </c>
      <c r="AS53" s="80">
        <f>Inputs!$C$36*AS50+Inputs!$C$37*AS51+Inputs!$C$38*AS52</f>
        <v/>
      </c>
      <c r="AT53" s="80">
        <f>Inputs!$C$36*AT50+Inputs!$C$37*AT51+Inputs!$C$38*AT52</f>
        <v/>
      </c>
      <c r="AU53" s="80">
        <f>Inputs!$C$36*AU50+Inputs!$C$37*AU51+Inputs!$C$38*AU52</f>
        <v/>
      </c>
      <c r="AV53" s="80">
        <f>Inputs!$C$36*AV50+Inputs!$C$37*AV51+Inputs!$C$38*AV52</f>
        <v/>
      </c>
      <c r="AW53" s="80">
        <f>Inputs!$C$36*AW50+Inputs!$C$37*AW51+Inputs!$C$38*AW52</f>
        <v/>
      </c>
      <c r="AX53" s="80">
        <f>Inputs!$C$36*AX50+Inputs!$C$37*AX51+Inputs!$C$38*AX52</f>
        <v/>
      </c>
      <c r="AY53" s="80">
        <f>Inputs!$C$36*AY50+Inputs!$C$37*AY51+Inputs!$C$38*AY52</f>
        <v/>
      </c>
      <c r="AZ53" s="80">
        <f>Inputs!$C$36*AZ50+Inputs!$C$37*AZ51+Inputs!$C$38*AZ52</f>
        <v/>
      </c>
      <c r="BA53" s="80">
        <f>Inputs!$C$36*BA50+Inputs!$C$37*BA51+Inputs!$C$38*BA52</f>
        <v/>
      </c>
      <c r="BB53" s="80">
        <f>Inputs!$C$36*BB50+Inputs!$C$37*BB51+Inputs!$C$38*BB52</f>
        <v/>
      </c>
      <c r="BC53" s="80">
        <f>Inputs!$C$36*BC50+Inputs!$C$37*BC51+Inputs!$C$38*BC52</f>
        <v/>
      </c>
      <c r="BD53" s="80">
        <f>Inputs!$C$36*BD50+Inputs!$C$37*BD51+Inputs!$C$38*BD52</f>
        <v/>
      </c>
      <c r="BE53" s="80">
        <f>Inputs!$C$36*BE50+Inputs!$C$37*BE51+Inputs!$C$38*BE52</f>
        <v/>
      </c>
      <c r="BF53" s="80">
        <f>Inputs!$C$36*BF50+Inputs!$C$37*BF51+Inputs!$C$38*BF52</f>
        <v/>
      </c>
      <c r="BG53" s="80">
        <f>Inputs!$C$36*BG50+Inputs!$C$37*BG51+Inputs!$C$38*BG52</f>
        <v/>
      </c>
      <c r="BH53" s="80">
        <f>Inputs!$C$36*BH50+Inputs!$C$37*BH51+Inputs!$C$38*BH52</f>
        <v/>
      </c>
      <c r="BI53" s="80">
        <f>Inputs!$C$36*BI50+Inputs!$C$37*BI51+Inputs!$C$38*BI52</f>
        <v/>
      </c>
      <c r="BJ53" s="80">
        <f>Inputs!$C$36*BJ50+Inputs!$C$37*BJ51+Inputs!$C$38*BJ52</f>
        <v/>
      </c>
      <c r="BK53" s="80">
        <f>Inputs!$C$36*BK50+Inputs!$C$37*BK51+Inputs!$C$38*BK52</f>
        <v/>
      </c>
      <c r="BL53" s="80">
        <f>Inputs!$C$36*BL50+Inputs!$C$37*BL51+Inputs!$C$38*BL52</f>
        <v/>
      </c>
    </row>
    <row r="54">
      <c r="A54" s="100" t="inlineStr">
        <is>
          <t>Selected RBF (feeds Ops and P&amp;L)</t>
        </is>
      </c>
      <c r="B54" s="101" t="inlineStr">
        <is>
          <t>LCY</t>
        </is>
      </c>
      <c r="C54" s="102">
        <f>SUM(E54:BL54)</f>
        <v/>
      </c>
      <c r="D54" s="103" t="n"/>
      <c r="E54" s="104">
        <f>CHOOSE(MAX(1,MIN(4,INT(N(Inputs!$C$34)))),E50,E51,E52,E53)</f>
        <v/>
      </c>
      <c r="F54" s="104">
        <f>CHOOSE(MAX(1,MIN(4,INT(N(Inputs!$C$34)))),F50,F51,F52,F53)</f>
        <v/>
      </c>
      <c r="G54" s="104">
        <f>CHOOSE(MAX(1,MIN(4,INT(N(Inputs!$C$34)))),G50,G51,G52,G53)</f>
        <v/>
      </c>
      <c r="H54" s="104">
        <f>CHOOSE(MAX(1,MIN(4,INT(N(Inputs!$C$34)))),H50,H51,H52,H53)</f>
        <v/>
      </c>
      <c r="I54" s="104">
        <f>CHOOSE(MAX(1,MIN(4,INT(N(Inputs!$C$34)))),I50,I51,I52,I53)</f>
        <v/>
      </c>
      <c r="J54" s="104">
        <f>CHOOSE(MAX(1,MIN(4,INT(N(Inputs!$C$34)))),J50,J51,J52,J53)</f>
        <v/>
      </c>
      <c r="K54" s="104">
        <f>CHOOSE(MAX(1,MIN(4,INT(N(Inputs!$C$34)))),K50,K51,K52,K53)</f>
        <v/>
      </c>
      <c r="L54" s="104">
        <f>CHOOSE(MAX(1,MIN(4,INT(N(Inputs!$C$34)))),L50,L51,L52,L53)</f>
        <v/>
      </c>
      <c r="M54" s="104">
        <f>CHOOSE(MAX(1,MIN(4,INT(N(Inputs!$C$34)))),M50,M51,M52,M53)</f>
        <v/>
      </c>
      <c r="N54" s="104">
        <f>CHOOSE(MAX(1,MIN(4,INT(N(Inputs!$C$34)))),N50,N51,N52,N53)</f>
        <v/>
      </c>
      <c r="O54" s="104">
        <f>CHOOSE(MAX(1,MIN(4,INT(N(Inputs!$C$34)))),O50,O51,O52,O53)</f>
        <v/>
      </c>
      <c r="P54" s="104">
        <f>CHOOSE(MAX(1,MIN(4,INT(N(Inputs!$C$34)))),P50,P51,P52,P53)</f>
        <v/>
      </c>
      <c r="Q54" s="104">
        <f>CHOOSE(MAX(1,MIN(4,INT(N(Inputs!$C$34)))),Q50,Q51,Q52,Q53)</f>
        <v/>
      </c>
      <c r="R54" s="104">
        <f>CHOOSE(MAX(1,MIN(4,INT(N(Inputs!$C$34)))),R50,R51,R52,R53)</f>
        <v/>
      </c>
      <c r="S54" s="104">
        <f>CHOOSE(MAX(1,MIN(4,INT(N(Inputs!$C$34)))),S50,S51,S52,S53)</f>
        <v/>
      </c>
      <c r="T54" s="104">
        <f>CHOOSE(MAX(1,MIN(4,INT(N(Inputs!$C$34)))),T50,T51,T52,T53)</f>
        <v/>
      </c>
      <c r="U54" s="104">
        <f>CHOOSE(MAX(1,MIN(4,INT(N(Inputs!$C$34)))),U50,U51,U52,U53)</f>
        <v/>
      </c>
      <c r="V54" s="104">
        <f>CHOOSE(MAX(1,MIN(4,INT(N(Inputs!$C$34)))),V50,V51,V52,V53)</f>
        <v/>
      </c>
      <c r="W54" s="104">
        <f>CHOOSE(MAX(1,MIN(4,INT(N(Inputs!$C$34)))),W50,W51,W52,W53)</f>
        <v/>
      </c>
      <c r="X54" s="104">
        <f>CHOOSE(MAX(1,MIN(4,INT(N(Inputs!$C$34)))),X50,X51,X52,X53)</f>
        <v/>
      </c>
      <c r="Y54" s="104">
        <f>CHOOSE(MAX(1,MIN(4,INT(N(Inputs!$C$34)))),Y50,Y51,Y52,Y53)</f>
        <v/>
      </c>
      <c r="Z54" s="104">
        <f>CHOOSE(MAX(1,MIN(4,INT(N(Inputs!$C$34)))),Z50,Z51,Z52,Z53)</f>
        <v/>
      </c>
      <c r="AA54" s="104">
        <f>CHOOSE(MAX(1,MIN(4,INT(N(Inputs!$C$34)))),AA50,AA51,AA52,AA53)</f>
        <v/>
      </c>
      <c r="AB54" s="104">
        <f>CHOOSE(MAX(1,MIN(4,INT(N(Inputs!$C$34)))),AB50,AB51,AB52,AB53)</f>
        <v/>
      </c>
      <c r="AC54" s="104">
        <f>CHOOSE(MAX(1,MIN(4,INT(N(Inputs!$C$34)))),AC50,AC51,AC52,AC53)</f>
        <v/>
      </c>
      <c r="AD54" s="104">
        <f>CHOOSE(MAX(1,MIN(4,INT(N(Inputs!$C$34)))),AD50,AD51,AD52,AD53)</f>
        <v/>
      </c>
      <c r="AE54" s="104">
        <f>CHOOSE(MAX(1,MIN(4,INT(N(Inputs!$C$34)))),AE50,AE51,AE52,AE53)</f>
        <v/>
      </c>
      <c r="AF54" s="104">
        <f>CHOOSE(MAX(1,MIN(4,INT(N(Inputs!$C$34)))),AF50,AF51,AF52,AF53)</f>
        <v/>
      </c>
      <c r="AG54" s="104">
        <f>CHOOSE(MAX(1,MIN(4,INT(N(Inputs!$C$34)))),AG50,AG51,AG52,AG53)</f>
        <v/>
      </c>
      <c r="AH54" s="104">
        <f>CHOOSE(MAX(1,MIN(4,INT(N(Inputs!$C$34)))),AH50,AH51,AH52,AH53)</f>
        <v/>
      </c>
      <c r="AI54" s="104">
        <f>CHOOSE(MAX(1,MIN(4,INT(N(Inputs!$C$34)))),AI50,AI51,AI52,AI53)</f>
        <v/>
      </c>
      <c r="AJ54" s="104">
        <f>CHOOSE(MAX(1,MIN(4,INT(N(Inputs!$C$34)))),AJ50,AJ51,AJ52,AJ53)</f>
        <v/>
      </c>
      <c r="AK54" s="104">
        <f>CHOOSE(MAX(1,MIN(4,INT(N(Inputs!$C$34)))),AK50,AK51,AK52,AK53)</f>
        <v/>
      </c>
      <c r="AL54" s="104">
        <f>CHOOSE(MAX(1,MIN(4,INT(N(Inputs!$C$34)))),AL50,AL51,AL52,AL53)</f>
        <v/>
      </c>
      <c r="AM54" s="104">
        <f>CHOOSE(MAX(1,MIN(4,INT(N(Inputs!$C$34)))),AM50,AM51,AM52,AM53)</f>
        <v/>
      </c>
      <c r="AN54" s="104">
        <f>CHOOSE(MAX(1,MIN(4,INT(N(Inputs!$C$34)))),AN50,AN51,AN52,AN53)</f>
        <v/>
      </c>
      <c r="AO54" s="104">
        <f>CHOOSE(MAX(1,MIN(4,INT(N(Inputs!$C$34)))),AO50,AO51,AO52,AO53)</f>
        <v/>
      </c>
      <c r="AP54" s="104">
        <f>CHOOSE(MAX(1,MIN(4,INT(N(Inputs!$C$34)))),AP50,AP51,AP52,AP53)</f>
        <v/>
      </c>
      <c r="AQ54" s="104">
        <f>CHOOSE(MAX(1,MIN(4,INT(N(Inputs!$C$34)))),AQ50,AQ51,AQ52,AQ53)</f>
        <v/>
      </c>
      <c r="AR54" s="104">
        <f>CHOOSE(MAX(1,MIN(4,INT(N(Inputs!$C$34)))),AR50,AR51,AR52,AR53)</f>
        <v/>
      </c>
      <c r="AS54" s="104">
        <f>CHOOSE(MAX(1,MIN(4,INT(N(Inputs!$C$34)))),AS50,AS51,AS52,AS53)</f>
        <v/>
      </c>
      <c r="AT54" s="104">
        <f>CHOOSE(MAX(1,MIN(4,INT(N(Inputs!$C$34)))),AT50,AT51,AT52,AT53)</f>
        <v/>
      </c>
      <c r="AU54" s="104">
        <f>CHOOSE(MAX(1,MIN(4,INT(N(Inputs!$C$34)))),AU50,AU51,AU52,AU53)</f>
        <v/>
      </c>
      <c r="AV54" s="104">
        <f>CHOOSE(MAX(1,MIN(4,INT(N(Inputs!$C$34)))),AV50,AV51,AV52,AV53)</f>
        <v/>
      </c>
      <c r="AW54" s="104">
        <f>CHOOSE(MAX(1,MIN(4,INT(N(Inputs!$C$34)))),AW50,AW51,AW52,AW53)</f>
        <v/>
      </c>
      <c r="AX54" s="104">
        <f>CHOOSE(MAX(1,MIN(4,INT(N(Inputs!$C$34)))),AX50,AX51,AX52,AX53)</f>
        <v/>
      </c>
      <c r="AY54" s="104">
        <f>CHOOSE(MAX(1,MIN(4,INT(N(Inputs!$C$34)))),AY50,AY51,AY52,AY53)</f>
        <v/>
      </c>
      <c r="AZ54" s="104">
        <f>CHOOSE(MAX(1,MIN(4,INT(N(Inputs!$C$34)))),AZ50,AZ51,AZ52,AZ53)</f>
        <v/>
      </c>
      <c r="BA54" s="104">
        <f>CHOOSE(MAX(1,MIN(4,INT(N(Inputs!$C$34)))),BA50,BA51,BA52,BA53)</f>
        <v/>
      </c>
      <c r="BB54" s="104">
        <f>CHOOSE(MAX(1,MIN(4,INT(N(Inputs!$C$34)))),BB50,BB51,BB52,BB53)</f>
        <v/>
      </c>
      <c r="BC54" s="104">
        <f>CHOOSE(MAX(1,MIN(4,INT(N(Inputs!$C$34)))),BC50,BC51,BC52,BC53)</f>
        <v/>
      </c>
      <c r="BD54" s="104">
        <f>CHOOSE(MAX(1,MIN(4,INT(N(Inputs!$C$34)))),BD50,BD51,BD52,BD53)</f>
        <v/>
      </c>
      <c r="BE54" s="104">
        <f>CHOOSE(MAX(1,MIN(4,INT(N(Inputs!$C$34)))),BE50,BE51,BE52,BE53)</f>
        <v/>
      </c>
      <c r="BF54" s="104">
        <f>CHOOSE(MAX(1,MIN(4,INT(N(Inputs!$C$34)))),BF50,BF51,BF52,BF53)</f>
        <v/>
      </c>
      <c r="BG54" s="104">
        <f>CHOOSE(MAX(1,MIN(4,INT(N(Inputs!$C$34)))),BG50,BG51,BG52,BG53)</f>
        <v/>
      </c>
      <c r="BH54" s="104">
        <f>CHOOSE(MAX(1,MIN(4,INT(N(Inputs!$C$34)))),BH50,BH51,BH52,BH53)</f>
        <v/>
      </c>
      <c r="BI54" s="104">
        <f>CHOOSE(MAX(1,MIN(4,INT(N(Inputs!$C$34)))),BI50,BI51,BI52,BI53)</f>
        <v/>
      </c>
      <c r="BJ54" s="104">
        <f>CHOOSE(MAX(1,MIN(4,INT(N(Inputs!$C$34)))),BJ50,BJ51,BJ52,BJ53)</f>
        <v/>
      </c>
      <c r="BK54" s="104">
        <f>CHOOSE(MAX(1,MIN(4,INT(N(Inputs!$C$34)))),BK50,BK51,BK52,BK53)</f>
        <v/>
      </c>
      <c r="BL54" s="104">
        <f>CHOOSE(MAX(1,MIN(4,INT(N(Inputs!$C$34)))),BL50,BL51,BL52,BL53)</f>
        <v/>
      </c>
    </row>
    <row r="55">
      <c r="A55" s="98" t="inlineStr">
        <is>
          <t>Variance vs sales-based</t>
        </is>
      </c>
      <c r="B55" s="65" t="inlineStr">
        <is>
          <t>LCY</t>
        </is>
      </c>
      <c r="C55" s="105">
        <f>SUM(E55:BL55)</f>
        <v/>
      </c>
      <c r="E55" s="80">
        <f>E54-E50</f>
        <v/>
      </c>
      <c r="F55" s="80">
        <f>F54-F50</f>
        <v/>
      </c>
      <c r="G55" s="80">
        <f>G54-G50</f>
        <v/>
      </c>
      <c r="H55" s="80">
        <f>H54-H50</f>
        <v/>
      </c>
      <c r="I55" s="80">
        <f>I54-I50</f>
        <v/>
      </c>
      <c r="J55" s="80">
        <f>J54-J50</f>
        <v/>
      </c>
      <c r="K55" s="80">
        <f>K54-K50</f>
        <v/>
      </c>
      <c r="L55" s="80">
        <f>L54-L50</f>
        <v/>
      </c>
      <c r="M55" s="80">
        <f>M54-M50</f>
        <v/>
      </c>
      <c r="N55" s="80">
        <f>N54-N50</f>
        <v/>
      </c>
      <c r="O55" s="80">
        <f>O54-O50</f>
        <v/>
      </c>
      <c r="P55" s="80">
        <f>P54-P50</f>
        <v/>
      </c>
      <c r="Q55" s="80">
        <f>Q54-Q50</f>
        <v/>
      </c>
      <c r="R55" s="80">
        <f>R54-R50</f>
        <v/>
      </c>
      <c r="S55" s="80">
        <f>S54-S50</f>
        <v/>
      </c>
      <c r="T55" s="80">
        <f>T54-T50</f>
        <v/>
      </c>
      <c r="U55" s="80">
        <f>U54-U50</f>
        <v/>
      </c>
      <c r="V55" s="80">
        <f>V54-V50</f>
        <v/>
      </c>
      <c r="W55" s="80">
        <f>W54-W50</f>
        <v/>
      </c>
      <c r="X55" s="80">
        <f>X54-X50</f>
        <v/>
      </c>
      <c r="Y55" s="80">
        <f>Y54-Y50</f>
        <v/>
      </c>
      <c r="Z55" s="80">
        <f>Z54-Z50</f>
        <v/>
      </c>
      <c r="AA55" s="80">
        <f>AA54-AA50</f>
        <v/>
      </c>
      <c r="AB55" s="80">
        <f>AB54-AB50</f>
        <v/>
      </c>
      <c r="AC55" s="80">
        <f>AC54-AC50</f>
        <v/>
      </c>
      <c r="AD55" s="80">
        <f>AD54-AD50</f>
        <v/>
      </c>
      <c r="AE55" s="80">
        <f>AE54-AE50</f>
        <v/>
      </c>
      <c r="AF55" s="80">
        <f>AF54-AF50</f>
        <v/>
      </c>
      <c r="AG55" s="80">
        <f>AG54-AG50</f>
        <v/>
      </c>
      <c r="AH55" s="80">
        <f>AH54-AH50</f>
        <v/>
      </c>
      <c r="AI55" s="80">
        <f>AI54-AI50</f>
        <v/>
      </c>
      <c r="AJ55" s="80">
        <f>AJ54-AJ50</f>
        <v/>
      </c>
      <c r="AK55" s="80">
        <f>AK54-AK50</f>
        <v/>
      </c>
      <c r="AL55" s="80">
        <f>AL54-AL50</f>
        <v/>
      </c>
      <c r="AM55" s="80">
        <f>AM54-AM50</f>
        <v/>
      </c>
      <c r="AN55" s="80">
        <f>AN54-AN50</f>
        <v/>
      </c>
      <c r="AO55" s="80">
        <f>AO54-AO50</f>
        <v/>
      </c>
      <c r="AP55" s="80">
        <f>AP54-AP50</f>
        <v/>
      </c>
      <c r="AQ55" s="80">
        <f>AQ54-AQ50</f>
        <v/>
      </c>
      <c r="AR55" s="80">
        <f>AR54-AR50</f>
        <v/>
      </c>
      <c r="AS55" s="80">
        <f>AS54-AS50</f>
        <v/>
      </c>
      <c r="AT55" s="80">
        <f>AT54-AT50</f>
        <v/>
      </c>
      <c r="AU55" s="80">
        <f>AU54-AU50</f>
        <v/>
      </c>
      <c r="AV55" s="80">
        <f>AV54-AV50</f>
        <v/>
      </c>
      <c r="AW55" s="80">
        <f>AW54-AW50</f>
        <v/>
      </c>
      <c r="AX55" s="80">
        <f>AX54-AX50</f>
        <v/>
      </c>
      <c r="AY55" s="80">
        <f>AY54-AY50</f>
        <v/>
      </c>
      <c r="AZ55" s="80">
        <f>AZ54-AZ50</f>
        <v/>
      </c>
      <c r="BA55" s="80">
        <f>BA54-BA50</f>
        <v/>
      </c>
      <c r="BB55" s="80">
        <f>BB54-BB50</f>
        <v/>
      </c>
      <c r="BC55" s="80">
        <f>BC54-BC50</f>
        <v/>
      </c>
      <c r="BD55" s="80">
        <f>BD54-BD50</f>
        <v/>
      </c>
      <c r="BE55" s="80">
        <f>BE54-BE50</f>
        <v/>
      </c>
      <c r="BF55" s="80">
        <f>BF54-BF50</f>
        <v/>
      </c>
      <c r="BG55" s="80">
        <f>BG54-BG50</f>
        <v/>
      </c>
      <c r="BH55" s="80">
        <f>BH54-BH50</f>
        <v/>
      </c>
      <c r="BI55" s="80">
        <f>BI54-BI50</f>
        <v/>
      </c>
      <c r="BJ55" s="80">
        <f>BJ54-BJ50</f>
        <v/>
      </c>
      <c r="BK55" s="80">
        <f>BK54-BK50</f>
        <v/>
      </c>
      <c r="BL55" s="80">
        <f>BL54-BL50</f>
        <v/>
      </c>
    </row>
    <row r="56"/>
    <row r="57">
      <c r="A57" s="21" t="inlineStr">
        <is>
          <t>TOTAL: all tiers</t>
        </is>
      </c>
      <c r="B57" s="22" t="n"/>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c r="AA57" s="22" t="n"/>
      <c r="AB57" s="22" t="n"/>
      <c r="AC57" s="22" t="n"/>
      <c r="AD57" s="22" t="n"/>
      <c r="AE57" s="22" t="n"/>
      <c r="AF57" s="22" t="n"/>
      <c r="AG57" s="22" t="n"/>
      <c r="AH57" s="22" t="n"/>
      <c r="AI57" s="22" t="n"/>
      <c r="AJ57" s="22" t="n"/>
      <c r="AK57" s="22" t="n"/>
      <c r="AL57" s="22" t="n"/>
      <c r="AM57" s="22" t="n"/>
      <c r="AN57" s="22" t="n"/>
      <c r="AO57" s="22" t="n"/>
      <c r="AP57" s="22" t="n"/>
      <c r="AQ57" s="22" t="n"/>
      <c r="AR57" s="22" t="n"/>
      <c r="AS57" s="22" t="n"/>
      <c r="AT57" s="22" t="n"/>
      <c r="AU57" s="22" t="n"/>
      <c r="AV57" s="22" t="n"/>
      <c r="AW57" s="22" t="n"/>
      <c r="AX57" s="22" t="n"/>
      <c r="AY57" s="22" t="n"/>
      <c r="AZ57" s="22" t="n"/>
      <c r="BA57" s="22" t="n"/>
      <c r="BB57" s="22" t="n"/>
      <c r="BC57" s="22" t="n"/>
      <c r="BD57" s="22" t="n"/>
      <c r="BE57" s="22" t="n"/>
      <c r="BF57" s="22" t="n"/>
      <c r="BG57" s="22" t="n"/>
      <c r="BH57" s="22" t="n"/>
      <c r="BI57" s="22" t="n"/>
      <c r="BJ57" s="22" t="n"/>
      <c r="BK57" s="22" t="n"/>
      <c r="BL57" s="22" t="n"/>
    </row>
    <row r="58">
      <c r="A58" s="100" t="inlineStr">
        <is>
          <t>Selected RBF: total</t>
        </is>
      </c>
      <c r="B58" s="101" t="inlineStr">
        <is>
          <t>LCY</t>
        </is>
      </c>
      <c r="C58" s="102">
        <f>SUM(E58:BL58)</f>
        <v/>
      </c>
      <c r="D58" s="103" t="n"/>
      <c r="E58" s="104">
        <f>E22+E30+E38+E46+E54</f>
        <v/>
      </c>
      <c r="F58" s="104">
        <f>F22+F30+F38+F46+F54</f>
        <v/>
      </c>
      <c r="G58" s="104">
        <f>G22+G30+G38+G46+G54</f>
        <v/>
      </c>
      <c r="H58" s="104">
        <f>H22+H30+H38+H46+H54</f>
        <v/>
      </c>
      <c r="I58" s="104">
        <f>I22+I30+I38+I46+I54</f>
        <v/>
      </c>
      <c r="J58" s="104">
        <f>J22+J30+J38+J46+J54</f>
        <v/>
      </c>
      <c r="K58" s="104">
        <f>K22+K30+K38+K46+K54</f>
        <v/>
      </c>
      <c r="L58" s="104">
        <f>L22+L30+L38+L46+L54</f>
        <v/>
      </c>
      <c r="M58" s="104">
        <f>M22+M30+M38+M46+M54</f>
        <v/>
      </c>
      <c r="N58" s="104">
        <f>N22+N30+N38+N46+N54</f>
        <v/>
      </c>
      <c r="O58" s="104">
        <f>O22+O30+O38+O46+O54</f>
        <v/>
      </c>
      <c r="P58" s="104">
        <f>P22+P30+P38+P46+P54</f>
        <v/>
      </c>
      <c r="Q58" s="104">
        <f>Q22+Q30+Q38+Q46+Q54</f>
        <v/>
      </c>
      <c r="R58" s="104">
        <f>R22+R30+R38+R46+R54</f>
        <v/>
      </c>
      <c r="S58" s="104">
        <f>S22+S30+S38+S46+S54</f>
        <v/>
      </c>
      <c r="T58" s="104">
        <f>T22+T30+T38+T46+T54</f>
        <v/>
      </c>
      <c r="U58" s="104">
        <f>U22+U30+U38+U46+U54</f>
        <v/>
      </c>
      <c r="V58" s="104">
        <f>V22+V30+V38+V46+V54</f>
        <v/>
      </c>
      <c r="W58" s="104">
        <f>W22+W30+W38+W46+W54</f>
        <v/>
      </c>
      <c r="X58" s="104">
        <f>X22+X30+X38+X46+X54</f>
        <v/>
      </c>
      <c r="Y58" s="104">
        <f>Y22+Y30+Y38+Y46+Y54</f>
        <v/>
      </c>
      <c r="Z58" s="104">
        <f>Z22+Z30+Z38+Z46+Z54</f>
        <v/>
      </c>
      <c r="AA58" s="104">
        <f>AA22+AA30+AA38+AA46+AA54</f>
        <v/>
      </c>
      <c r="AB58" s="104">
        <f>AB22+AB30+AB38+AB46+AB54</f>
        <v/>
      </c>
      <c r="AC58" s="104">
        <f>AC22+AC30+AC38+AC46+AC54</f>
        <v/>
      </c>
      <c r="AD58" s="104">
        <f>AD22+AD30+AD38+AD46+AD54</f>
        <v/>
      </c>
      <c r="AE58" s="104">
        <f>AE22+AE30+AE38+AE46+AE54</f>
        <v/>
      </c>
      <c r="AF58" s="104">
        <f>AF22+AF30+AF38+AF46+AF54</f>
        <v/>
      </c>
      <c r="AG58" s="104">
        <f>AG22+AG30+AG38+AG46+AG54</f>
        <v/>
      </c>
      <c r="AH58" s="104">
        <f>AH22+AH30+AH38+AH46+AH54</f>
        <v/>
      </c>
      <c r="AI58" s="104">
        <f>AI22+AI30+AI38+AI46+AI54</f>
        <v/>
      </c>
      <c r="AJ58" s="104">
        <f>AJ22+AJ30+AJ38+AJ46+AJ54</f>
        <v/>
      </c>
      <c r="AK58" s="104">
        <f>AK22+AK30+AK38+AK46+AK54</f>
        <v/>
      </c>
      <c r="AL58" s="104">
        <f>AL22+AL30+AL38+AL46+AL54</f>
        <v/>
      </c>
      <c r="AM58" s="104">
        <f>AM22+AM30+AM38+AM46+AM54</f>
        <v/>
      </c>
      <c r="AN58" s="104">
        <f>AN22+AN30+AN38+AN46+AN54</f>
        <v/>
      </c>
      <c r="AO58" s="104">
        <f>AO22+AO30+AO38+AO46+AO54</f>
        <v/>
      </c>
      <c r="AP58" s="104">
        <f>AP22+AP30+AP38+AP46+AP54</f>
        <v/>
      </c>
      <c r="AQ58" s="104">
        <f>AQ22+AQ30+AQ38+AQ46+AQ54</f>
        <v/>
      </c>
      <c r="AR58" s="104">
        <f>AR22+AR30+AR38+AR46+AR54</f>
        <v/>
      </c>
      <c r="AS58" s="104">
        <f>AS22+AS30+AS38+AS46+AS54</f>
        <v/>
      </c>
      <c r="AT58" s="104">
        <f>AT22+AT30+AT38+AT46+AT54</f>
        <v/>
      </c>
      <c r="AU58" s="104">
        <f>AU22+AU30+AU38+AU46+AU54</f>
        <v/>
      </c>
      <c r="AV58" s="104">
        <f>AV22+AV30+AV38+AV46+AV54</f>
        <v/>
      </c>
      <c r="AW58" s="104">
        <f>AW22+AW30+AW38+AW46+AW54</f>
        <v/>
      </c>
      <c r="AX58" s="104">
        <f>AX22+AX30+AX38+AX46+AX54</f>
        <v/>
      </c>
      <c r="AY58" s="104">
        <f>AY22+AY30+AY38+AY46+AY54</f>
        <v/>
      </c>
      <c r="AZ58" s="104">
        <f>AZ22+AZ30+AZ38+AZ46+AZ54</f>
        <v/>
      </c>
      <c r="BA58" s="104">
        <f>BA22+BA30+BA38+BA46+BA54</f>
        <v/>
      </c>
      <c r="BB58" s="104">
        <f>BB22+BB30+BB38+BB46+BB54</f>
        <v/>
      </c>
      <c r="BC58" s="104">
        <f>BC22+BC30+BC38+BC46+BC54</f>
        <v/>
      </c>
      <c r="BD58" s="104">
        <f>BD22+BD30+BD38+BD46+BD54</f>
        <v/>
      </c>
      <c r="BE58" s="104">
        <f>BE22+BE30+BE38+BE46+BE54</f>
        <v/>
      </c>
      <c r="BF58" s="104">
        <f>BF22+BF30+BF38+BF46+BF54</f>
        <v/>
      </c>
      <c r="BG58" s="104">
        <f>BG22+BG30+BG38+BG46+BG54</f>
        <v/>
      </c>
      <c r="BH58" s="104">
        <f>BH22+BH30+BH38+BH46+BH54</f>
        <v/>
      </c>
      <c r="BI58" s="104">
        <f>BI22+BI30+BI38+BI46+BI54</f>
        <v/>
      </c>
      <c r="BJ58" s="104">
        <f>BJ22+BJ30+BJ38+BJ46+BJ54</f>
        <v/>
      </c>
      <c r="BK58" s="104">
        <f>BK22+BK30+BK38+BK46+BK54</f>
        <v/>
      </c>
      <c r="BL58" s="104">
        <f>BL22+BL30+BL38+BL46+BL54</f>
        <v/>
      </c>
    </row>
    <row r="59">
      <c r="A59" s="100" t="inlineStr">
        <is>
          <t>Sales-based RBF: total</t>
        </is>
      </c>
      <c r="B59" s="101" t="inlineStr">
        <is>
          <t>LCY</t>
        </is>
      </c>
      <c r="C59" s="102">
        <f>SUM(E59:BL59)</f>
        <v/>
      </c>
      <c r="D59" s="103" t="n"/>
      <c r="E59" s="104">
        <f>E18+E26+E34+E42+E50</f>
        <v/>
      </c>
      <c r="F59" s="104">
        <f>F18+F26+F34+F42+F50</f>
        <v/>
      </c>
      <c r="G59" s="104">
        <f>G18+G26+G34+G42+G50</f>
        <v/>
      </c>
      <c r="H59" s="104">
        <f>H18+H26+H34+H42+H50</f>
        <v/>
      </c>
      <c r="I59" s="104">
        <f>I18+I26+I34+I42+I50</f>
        <v/>
      </c>
      <c r="J59" s="104">
        <f>J18+J26+J34+J42+J50</f>
        <v/>
      </c>
      <c r="K59" s="104">
        <f>K18+K26+K34+K42+K50</f>
        <v/>
      </c>
      <c r="L59" s="104">
        <f>L18+L26+L34+L42+L50</f>
        <v/>
      </c>
      <c r="M59" s="104">
        <f>M18+M26+M34+M42+M50</f>
        <v/>
      </c>
      <c r="N59" s="104">
        <f>N18+N26+N34+N42+N50</f>
        <v/>
      </c>
      <c r="O59" s="104">
        <f>O18+O26+O34+O42+O50</f>
        <v/>
      </c>
      <c r="P59" s="104">
        <f>P18+P26+P34+P42+P50</f>
        <v/>
      </c>
      <c r="Q59" s="104">
        <f>Q18+Q26+Q34+Q42+Q50</f>
        <v/>
      </c>
      <c r="R59" s="104">
        <f>R18+R26+R34+R42+R50</f>
        <v/>
      </c>
      <c r="S59" s="104">
        <f>S18+S26+S34+S42+S50</f>
        <v/>
      </c>
      <c r="T59" s="104">
        <f>T18+T26+T34+T42+T50</f>
        <v/>
      </c>
      <c r="U59" s="104">
        <f>U18+U26+U34+U42+U50</f>
        <v/>
      </c>
      <c r="V59" s="104">
        <f>V18+V26+V34+V42+V50</f>
        <v/>
      </c>
      <c r="W59" s="104">
        <f>W18+W26+W34+W42+W50</f>
        <v/>
      </c>
      <c r="X59" s="104">
        <f>X18+X26+X34+X42+X50</f>
        <v/>
      </c>
      <c r="Y59" s="104">
        <f>Y18+Y26+Y34+Y42+Y50</f>
        <v/>
      </c>
      <c r="Z59" s="104">
        <f>Z18+Z26+Z34+Z42+Z50</f>
        <v/>
      </c>
      <c r="AA59" s="104">
        <f>AA18+AA26+AA34+AA42+AA50</f>
        <v/>
      </c>
      <c r="AB59" s="104">
        <f>AB18+AB26+AB34+AB42+AB50</f>
        <v/>
      </c>
      <c r="AC59" s="104">
        <f>AC18+AC26+AC34+AC42+AC50</f>
        <v/>
      </c>
      <c r="AD59" s="104">
        <f>AD18+AD26+AD34+AD42+AD50</f>
        <v/>
      </c>
      <c r="AE59" s="104">
        <f>AE18+AE26+AE34+AE42+AE50</f>
        <v/>
      </c>
      <c r="AF59" s="104">
        <f>AF18+AF26+AF34+AF42+AF50</f>
        <v/>
      </c>
      <c r="AG59" s="104">
        <f>AG18+AG26+AG34+AG42+AG50</f>
        <v/>
      </c>
      <c r="AH59" s="104">
        <f>AH18+AH26+AH34+AH42+AH50</f>
        <v/>
      </c>
      <c r="AI59" s="104">
        <f>AI18+AI26+AI34+AI42+AI50</f>
        <v/>
      </c>
      <c r="AJ59" s="104">
        <f>AJ18+AJ26+AJ34+AJ42+AJ50</f>
        <v/>
      </c>
      <c r="AK59" s="104">
        <f>AK18+AK26+AK34+AK42+AK50</f>
        <v/>
      </c>
      <c r="AL59" s="104">
        <f>AL18+AL26+AL34+AL42+AL50</f>
        <v/>
      </c>
      <c r="AM59" s="104">
        <f>AM18+AM26+AM34+AM42+AM50</f>
        <v/>
      </c>
      <c r="AN59" s="104">
        <f>AN18+AN26+AN34+AN42+AN50</f>
        <v/>
      </c>
      <c r="AO59" s="104">
        <f>AO18+AO26+AO34+AO42+AO50</f>
        <v/>
      </c>
      <c r="AP59" s="104">
        <f>AP18+AP26+AP34+AP42+AP50</f>
        <v/>
      </c>
      <c r="AQ59" s="104">
        <f>AQ18+AQ26+AQ34+AQ42+AQ50</f>
        <v/>
      </c>
      <c r="AR59" s="104">
        <f>AR18+AR26+AR34+AR42+AR50</f>
        <v/>
      </c>
      <c r="AS59" s="104">
        <f>AS18+AS26+AS34+AS42+AS50</f>
        <v/>
      </c>
      <c r="AT59" s="104">
        <f>AT18+AT26+AT34+AT42+AT50</f>
        <v/>
      </c>
      <c r="AU59" s="104">
        <f>AU18+AU26+AU34+AU42+AU50</f>
        <v/>
      </c>
      <c r="AV59" s="104">
        <f>AV18+AV26+AV34+AV42+AV50</f>
        <v/>
      </c>
      <c r="AW59" s="104">
        <f>AW18+AW26+AW34+AW42+AW50</f>
        <v/>
      </c>
      <c r="AX59" s="104">
        <f>AX18+AX26+AX34+AX42+AX50</f>
        <v/>
      </c>
      <c r="AY59" s="104">
        <f>AY18+AY26+AY34+AY42+AY50</f>
        <v/>
      </c>
      <c r="AZ59" s="104">
        <f>AZ18+AZ26+AZ34+AZ42+AZ50</f>
        <v/>
      </c>
      <c r="BA59" s="104">
        <f>BA18+BA26+BA34+BA42+BA50</f>
        <v/>
      </c>
      <c r="BB59" s="104">
        <f>BB18+BB26+BB34+BB42+BB50</f>
        <v/>
      </c>
      <c r="BC59" s="104">
        <f>BC18+BC26+BC34+BC42+BC50</f>
        <v/>
      </c>
      <c r="BD59" s="104">
        <f>BD18+BD26+BD34+BD42+BD50</f>
        <v/>
      </c>
      <c r="BE59" s="104">
        <f>BE18+BE26+BE34+BE42+BE50</f>
        <v/>
      </c>
      <c r="BF59" s="104">
        <f>BF18+BF26+BF34+BF42+BF50</f>
        <v/>
      </c>
      <c r="BG59" s="104">
        <f>BG18+BG26+BG34+BG42+BG50</f>
        <v/>
      </c>
      <c r="BH59" s="104">
        <f>BH18+BH26+BH34+BH42+BH50</f>
        <v/>
      </c>
      <c r="BI59" s="104">
        <f>BI18+BI26+BI34+BI42+BI50</f>
        <v/>
      </c>
      <c r="BJ59" s="104">
        <f>BJ18+BJ26+BJ34+BJ42+BJ50</f>
        <v/>
      </c>
      <c r="BK59" s="104">
        <f>BK18+BK26+BK34+BK42+BK50</f>
        <v/>
      </c>
      <c r="BL59" s="104">
        <f>BL18+BL26+BL34+BL42+BL50</f>
        <v/>
      </c>
    </row>
    <row r="60">
      <c r="A60" s="100" t="inlineStr">
        <is>
          <t>Variance vs sales-based: total</t>
        </is>
      </c>
      <c r="B60" s="101" t="inlineStr">
        <is>
          <t>LCY</t>
        </is>
      </c>
      <c r="C60" s="102">
        <f>SUM(E60:BL60)</f>
        <v/>
      </c>
      <c r="D60" s="103" t="n"/>
      <c r="E60" s="104">
        <f>E23+E31+E39+E47+E55</f>
        <v/>
      </c>
      <c r="F60" s="104">
        <f>F23+F31+F39+F47+F55</f>
        <v/>
      </c>
      <c r="G60" s="104">
        <f>G23+G31+G39+G47+G55</f>
        <v/>
      </c>
      <c r="H60" s="104">
        <f>H23+H31+H39+H47+H55</f>
        <v/>
      </c>
      <c r="I60" s="104">
        <f>I23+I31+I39+I47+I55</f>
        <v/>
      </c>
      <c r="J60" s="104">
        <f>J23+J31+J39+J47+J55</f>
        <v/>
      </c>
      <c r="K60" s="104">
        <f>K23+K31+K39+K47+K55</f>
        <v/>
      </c>
      <c r="L60" s="104">
        <f>L23+L31+L39+L47+L55</f>
        <v/>
      </c>
      <c r="M60" s="104">
        <f>M23+M31+M39+M47+M55</f>
        <v/>
      </c>
      <c r="N60" s="104">
        <f>N23+N31+N39+N47+N55</f>
        <v/>
      </c>
      <c r="O60" s="104">
        <f>O23+O31+O39+O47+O55</f>
        <v/>
      </c>
      <c r="P60" s="104">
        <f>P23+P31+P39+P47+P55</f>
        <v/>
      </c>
      <c r="Q60" s="104">
        <f>Q23+Q31+Q39+Q47+Q55</f>
        <v/>
      </c>
      <c r="R60" s="104">
        <f>R23+R31+R39+R47+R55</f>
        <v/>
      </c>
      <c r="S60" s="104">
        <f>S23+S31+S39+S47+S55</f>
        <v/>
      </c>
      <c r="T60" s="104">
        <f>T23+T31+T39+T47+T55</f>
        <v/>
      </c>
      <c r="U60" s="104">
        <f>U23+U31+U39+U47+U55</f>
        <v/>
      </c>
      <c r="V60" s="104">
        <f>V23+V31+V39+V47+V55</f>
        <v/>
      </c>
      <c r="W60" s="104">
        <f>W23+W31+W39+W47+W55</f>
        <v/>
      </c>
      <c r="X60" s="104">
        <f>X23+X31+X39+X47+X55</f>
        <v/>
      </c>
      <c r="Y60" s="104">
        <f>Y23+Y31+Y39+Y47+Y55</f>
        <v/>
      </c>
      <c r="Z60" s="104">
        <f>Z23+Z31+Z39+Z47+Z55</f>
        <v/>
      </c>
      <c r="AA60" s="104">
        <f>AA23+AA31+AA39+AA47+AA55</f>
        <v/>
      </c>
      <c r="AB60" s="104">
        <f>AB23+AB31+AB39+AB47+AB55</f>
        <v/>
      </c>
      <c r="AC60" s="104">
        <f>AC23+AC31+AC39+AC47+AC55</f>
        <v/>
      </c>
      <c r="AD60" s="104">
        <f>AD23+AD31+AD39+AD47+AD55</f>
        <v/>
      </c>
      <c r="AE60" s="104">
        <f>AE23+AE31+AE39+AE47+AE55</f>
        <v/>
      </c>
      <c r="AF60" s="104">
        <f>AF23+AF31+AF39+AF47+AF55</f>
        <v/>
      </c>
      <c r="AG60" s="104">
        <f>AG23+AG31+AG39+AG47+AG55</f>
        <v/>
      </c>
      <c r="AH60" s="104">
        <f>AH23+AH31+AH39+AH47+AH55</f>
        <v/>
      </c>
      <c r="AI60" s="104">
        <f>AI23+AI31+AI39+AI47+AI55</f>
        <v/>
      </c>
      <c r="AJ60" s="104">
        <f>AJ23+AJ31+AJ39+AJ47+AJ55</f>
        <v/>
      </c>
      <c r="AK60" s="104">
        <f>AK23+AK31+AK39+AK47+AK55</f>
        <v/>
      </c>
      <c r="AL60" s="104">
        <f>AL23+AL31+AL39+AL47+AL55</f>
        <v/>
      </c>
      <c r="AM60" s="104">
        <f>AM23+AM31+AM39+AM47+AM55</f>
        <v/>
      </c>
      <c r="AN60" s="104">
        <f>AN23+AN31+AN39+AN47+AN55</f>
        <v/>
      </c>
      <c r="AO60" s="104">
        <f>AO23+AO31+AO39+AO47+AO55</f>
        <v/>
      </c>
      <c r="AP60" s="104">
        <f>AP23+AP31+AP39+AP47+AP55</f>
        <v/>
      </c>
      <c r="AQ60" s="104">
        <f>AQ23+AQ31+AQ39+AQ47+AQ55</f>
        <v/>
      </c>
      <c r="AR60" s="104">
        <f>AR23+AR31+AR39+AR47+AR55</f>
        <v/>
      </c>
      <c r="AS60" s="104">
        <f>AS23+AS31+AS39+AS47+AS55</f>
        <v/>
      </c>
      <c r="AT60" s="104">
        <f>AT23+AT31+AT39+AT47+AT55</f>
        <v/>
      </c>
      <c r="AU60" s="104">
        <f>AU23+AU31+AU39+AU47+AU55</f>
        <v/>
      </c>
      <c r="AV60" s="104">
        <f>AV23+AV31+AV39+AV47+AV55</f>
        <v/>
      </c>
      <c r="AW60" s="104">
        <f>AW23+AW31+AW39+AW47+AW55</f>
        <v/>
      </c>
      <c r="AX60" s="104">
        <f>AX23+AX31+AX39+AX47+AX55</f>
        <v/>
      </c>
      <c r="AY60" s="104">
        <f>AY23+AY31+AY39+AY47+AY55</f>
        <v/>
      </c>
      <c r="AZ60" s="104">
        <f>AZ23+AZ31+AZ39+AZ47+AZ55</f>
        <v/>
      </c>
      <c r="BA60" s="104">
        <f>BA23+BA31+BA39+BA47+BA55</f>
        <v/>
      </c>
      <c r="BB60" s="104">
        <f>BB23+BB31+BB39+BB47+BB55</f>
        <v/>
      </c>
      <c r="BC60" s="104">
        <f>BC23+BC31+BC39+BC47+BC55</f>
        <v/>
      </c>
      <c r="BD60" s="104">
        <f>BD23+BD31+BD39+BD47+BD55</f>
        <v/>
      </c>
      <c r="BE60" s="104">
        <f>BE23+BE31+BE39+BE47+BE55</f>
        <v/>
      </c>
      <c r="BF60" s="104">
        <f>BF23+BF31+BF39+BF47+BF55</f>
        <v/>
      </c>
      <c r="BG60" s="104">
        <f>BG23+BG31+BG39+BG47+BG55</f>
        <v/>
      </c>
      <c r="BH60" s="104">
        <f>BH23+BH31+BH39+BH47+BH55</f>
        <v/>
      </c>
      <c r="BI60" s="104">
        <f>BI23+BI31+BI39+BI47+BI55</f>
        <v/>
      </c>
      <c r="BJ60" s="104">
        <f>BJ23+BJ31+BJ39+BJ47+BJ55</f>
        <v/>
      </c>
      <c r="BK60" s="104">
        <f>BK23+BK31+BK39+BK47+BK55</f>
        <v/>
      </c>
      <c r="BL60" s="104">
        <f>BL23+BL31+BL39+BL47+BL55</f>
        <v/>
      </c>
    </row>
    <row r="61"/>
    <row r="62">
      <c r="A62" s="21" t="inlineStr">
        <is>
          <t>CLAIM CYCLE: eligibility, claim, verification, disbursement and the working capital gap</t>
        </is>
      </c>
      <c r="B62" s="22" t="n"/>
      <c r="C62" s="22" t="n"/>
      <c r="D62" s="22" t="n"/>
      <c r="E62" s="22" t="n"/>
      <c r="F62" s="22" t="n"/>
      <c r="G62" s="22" t="n"/>
      <c r="H62" s="22" t="n"/>
      <c r="I62" s="22" t="n"/>
      <c r="J62" s="22" t="n"/>
      <c r="K62" s="22" t="n"/>
      <c r="L62" s="22" t="n"/>
      <c r="M62" s="22" t="n"/>
      <c r="N62" s="22" t="n"/>
      <c r="O62" s="22" t="n"/>
      <c r="P62" s="22" t="n"/>
      <c r="Q62" s="22" t="n"/>
      <c r="R62" s="22" t="n"/>
      <c r="S62" s="22" t="n"/>
      <c r="T62" s="22" t="n"/>
      <c r="U62" s="22" t="n"/>
      <c r="V62" s="22" t="n"/>
      <c r="W62" s="22" t="n"/>
      <c r="X62" s="22" t="n"/>
      <c r="Y62" s="22" t="n"/>
      <c r="Z62" s="22" t="n"/>
      <c r="AA62" s="22" t="n"/>
      <c r="AB62" s="22" t="n"/>
      <c r="AC62" s="22" t="n"/>
      <c r="AD62" s="22" t="n"/>
      <c r="AE62" s="22" t="n"/>
      <c r="AF62" s="22" t="n"/>
      <c r="AG62" s="22" t="n"/>
      <c r="AH62" s="22" t="n"/>
      <c r="AI62" s="22" t="n"/>
      <c r="AJ62" s="22" t="n"/>
      <c r="AK62" s="22" t="n"/>
      <c r="AL62" s="22" t="n"/>
      <c r="AM62" s="22" t="n"/>
      <c r="AN62" s="22" t="n"/>
      <c r="AO62" s="22" t="n"/>
      <c r="AP62" s="22" t="n"/>
      <c r="AQ62" s="22" t="n"/>
      <c r="AR62" s="22" t="n"/>
      <c r="AS62" s="22" t="n"/>
      <c r="AT62" s="22" t="n"/>
      <c r="AU62" s="22" t="n"/>
      <c r="AV62" s="22" t="n"/>
      <c r="AW62" s="22" t="n"/>
      <c r="AX62" s="22" t="n"/>
      <c r="AY62" s="22" t="n"/>
      <c r="AZ62" s="22" t="n"/>
      <c r="BA62" s="22" t="n"/>
      <c r="BB62" s="22" t="n"/>
      <c r="BC62" s="22" t="n"/>
      <c r="BD62" s="22" t="n"/>
      <c r="BE62" s="22" t="n"/>
      <c r="BF62" s="22" t="n"/>
      <c r="BG62" s="22" t="n"/>
      <c r="BH62" s="22" t="n"/>
      <c r="BI62" s="22" t="n"/>
      <c r="BJ62" s="22" t="n"/>
      <c r="BK62" s="22" t="n"/>
      <c r="BL62" s="22" t="n"/>
    </row>
    <row r="63">
      <c r="A63" s="98" t="inlineStr">
        <is>
          <t>1. Eligible units sold (tiers with RBF per unit above zero; programme active)</t>
        </is>
      </c>
      <c r="B63" s="65" t="inlineStr">
        <is>
          <t>units</t>
        </is>
      </c>
      <c r="C63" s="105">
        <f>SUM(E63:BL63)</f>
        <v/>
      </c>
      <c r="E63" s="80">
        <f>(Ops!E$9*IF(Products!$C$30&gt;0,1,0)+Ops!E$34*IF(Products!$D$30&gt;0,1,0)+Ops!E$59*IF(Products!$E$30&gt;0,1,0)+Ops!E$84*IF(Products!$F$30&gt;0,1,0)+Ops!E$109*IF(Products!$G$30&gt;0,1,0))*Inputs!$C$32</f>
        <v/>
      </c>
      <c r="F63" s="80">
        <f>(Ops!F$9*IF(Products!$C$30&gt;0,1,0)+Ops!F$34*IF(Products!$D$30&gt;0,1,0)+Ops!F$59*IF(Products!$E$30&gt;0,1,0)+Ops!F$84*IF(Products!$F$30&gt;0,1,0)+Ops!F$109*IF(Products!$G$30&gt;0,1,0))*Inputs!$C$32</f>
        <v/>
      </c>
      <c r="G63" s="80">
        <f>(Ops!G$9*IF(Products!$C$30&gt;0,1,0)+Ops!G$34*IF(Products!$D$30&gt;0,1,0)+Ops!G$59*IF(Products!$E$30&gt;0,1,0)+Ops!G$84*IF(Products!$F$30&gt;0,1,0)+Ops!G$109*IF(Products!$G$30&gt;0,1,0))*Inputs!$C$32</f>
        <v/>
      </c>
      <c r="H63" s="80">
        <f>(Ops!H$9*IF(Products!$C$30&gt;0,1,0)+Ops!H$34*IF(Products!$D$30&gt;0,1,0)+Ops!H$59*IF(Products!$E$30&gt;0,1,0)+Ops!H$84*IF(Products!$F$30&gt;0,1,0)+Ops!H$109*IF(Products!$G$30&gt;0,1,0))*Inputs!$C$32</f>
        <v/>
      </c>
      <c r="I63" s="80">
        <f>(Ops!I$9*IF(Products!$C$30&gt;0,1,0)+Ops!I$34*IF(Products!$D$30&gt;0,1,0)+Ops!I$59*IF(Products!$E$30&gt;0,1,0)+Ops!I$84*IF(Products!$F$30&gt;0,1,0)+Ops!I$109*IF(Products!$G$30&gt;0,1,0))*Inputs!$C$32</f>
        <v/>
      </c>
      <c r="J63" s="80">
        <f>(Ops!J$9*IF(Products!$C$30&gt;0,1,0)+Ops!J$34*IF(Products!$D$30&gt;0,1,0)+Ops!J$59*IF(Products!$E$30&gt;0,1,0)+Ops!J$84*IF(Products!$F$30&gt;0,1,0)+Ops!J$109*IF(Products!$G$30&gt;0,1,0))*Inputs!$C$32</f>
        <v/>
      </c>
      <c r="K63" s="80">
        <f>(Ops!K$9*IF(Products!$C$30&gt;0,1,0)+Ops!K$34*IF(Products!$D$30&gt;0,1,0)+Ops!K$59*IF(Products!$E$30&gt;0,1,0)+Ops!K$84*IF(Products!$F$30&gt;0,1,0)+Ops!K$109*IF(Products!$G$30&gt;0,1,0))*Inputs!$C$32</f>
        <v/>
      </c>
      <c r="L63" s="80">
        <f>(Ops!L$9*IF(Products!$C$30&gt;0,1,0)+Ops!L$34*IF(Products!$D$30&gt;0,1,0)+Ops!L$59*IF(Products!$E$30&gt;0,1,0)+Ops!L$84*IF(Products!$F$30&gt;0,1,0)+Ops!L$109*IF(Products!$G$30&gt;0,1,0))*Inputs!$C$32</f>
        <v/>
      </c>
      <c r="M63" s="80">
        <f>(Ops!M$9*IF(Products!$C$30&gt;0,1,0)+Ops!M$34*IF(Products!$D$30&gt;0,1,0)+Ops!M$59*IF(Products!$E$30&gt;0,1,0)+Ops!M$84*IF(Products!$F$30&gt;0,1,0)+Ops!M$109*IF(Products!$G$30&gt;0,1,0))*Inputs!$C$32</f>
        <v/>
      </c>
      <c r="N63" s="80">
        <f>(Ops!N$9*IF(Products!$C$30&gt;0,1,0)+Ops!N$34*IF(Products!$D$30&gt;0,1,0)+Ops!N$59*IF(Products!$E$30&gt;0,1,0)+Ops!N$84*IF(Products!$F$30&gt;0,1,0)+Ops!N$109*IF(Products!$G$30&gt;0,1,0))*Inputs!$C$32</f>
        <v/>
      </c>
      <c r="O63" s="80">
        <f>(Ops!O$9*IF(Products!$C$30&gt;0,1,0)+Ops!O$34*IF(Products!$D$30&gt;0,1,0)+Ops!O$59*IF(Products!$E$30&gt;0,1,0)+Ops!O$84*IF(Products!$F$30&gt;0,1,0)+Ops!O$109*IF(Products!$G$30&gt;0,1,0))*Inputs!$C$32</f>
        <v/>
      </c>
      <c r="P63" s="80">
        <f>(Ops!P$9*IF(Products!$C$30&gt;0,1,0)+Ops!P$34*IF(Products!$D$30&gt;0,1,0)+Ops!P$59*IF(Products!$E$30&gt;0,1,0)+Ops!P$84*IF(Products!$F$30&gt;0,1,0)+Ops!P$109*IF(Products!$G$30&gt;0,1,0))*Inputs!$C$32</f>
        <v/>
      </c>
      <c r="Q63" s="80">
        <f>(Ops!Q$9*IF(Products!$C$30&gt;0,1,0)+Ops!Q$34*IF(Products!$D$30&gt;0,1,0)+Ops!Q$59*IF(Products!$E$30&gt;0,1,0)+Ops!Q$84*IF(Products!$F$30&gt;0,1,0)+Ops!Q$109*IF(Products!$G$30&gt;0,1,0))*Inputs!$C$32</f>
        <v/>
      </c>
      <c r="R63" s="80">
        <f>(Ops!R$9*IF(Products!$C$30&gt;0,1,0)+Ops!R$34*IF(Products!$D$30&gt;0,1,0)+Ops!R$59*IF(Products!$E$30&gt;0,1,0)+Ops!R$84*IF(Products!$F$30&gt;0,1,0)+Ops!R$109*IF(Products!$G$30&gt;0,1,0))*Inputs!$C$32</f>
        <v/>
      </c>
      <c r="S63" s="80">
        <f>(Ops!S$9*IF(Products!$C$30&gt;0,1,0)+Ops!S$34*IF(Products!$D$30&gt;0,1,0)+Ops!S$59*IF(Products!$E$30&gt;0,1,0)+Ops!S$84*IF(Products!$F$30&gt;0,1,0)+Ops!S$109*IF(Products!$G$30&gt;0,1,0))*Inputs!$C$32</f>
        <v/>
      </c>
      <c r="T63" s="80">
        <f>(Ops!T$9*IF(Products!$C$30&gt;0,1,0)+Ops!T$34*IF(Products!$D$30&gt;0,1,0)+Ops!T$59*IF(Products!$E$30&gt;0,1,0)+Ops!T$84*IF(Products!$F$30&gt;0,1,0)+Ops!T$109*IF(Products!$G$30&gt;0,1,0))*Inputs!$C$32</f>
        <v/>
      </c>
      <c r="U63" s="80">
        <f>(Ops!U$9*IF(Products!$C$30&gt;0,1,0)+Ops!U$34*IF(Products!$D$30&gt;0,1,0)+Ops!U$59*IF(Products!$E$30&gt;0,1,0)+Ops!U$84*IF(Products!$F$30&gt;0,1,0)+Ops!U$109*IF(Products!$G$30&gt;0,1,0))*Inputs!$C$32</f>
        <v/>
      </c>
      <c r="V63" s="80">
        <f>(Ops!V$9*IF(Products!$C$30&gt;0,1,0)+Ops!V$34*IF(Products!$D$30&gt;0,1,0)+Ops!V$59*IF(Products!$E$30&gt;0,1,0)+Ops!V$84*IF(Products!$F$30&gt;0,1,0)+Ops!V$109*IF(Products!$G$30&gt;0,1,0))*Inputs!$C$32</f>
        <v/>
      </c>
      <c r="W63" s="80">
        <f>(Ops!W$9*IF(Products!$C$30&gt;0,1,0)+Ops!W$34*IF(Products!$D$30&gt;0,1,0)+Ops!W$59*IF(Products!$E$30&gt;0,1,0)+Ops!W$84*IF(Products!$F$30&gt;0,1,0)+Ops!W$109*IF(Products!$G$30&gt;0,1,0))*Inputs!$C$32</f>
        <v/>
      </c>
      <c r="X63" s="80">
        <f>(Ops!X$9*IF(Products!$C$30&gt;0,1,0)+Ops!X$34*IF(Products!$D$30&gt;0,1,0)+Ops!X$59*IF(Products!$E$30&gt;0,1,0)+Ops!X$84*IF(Products!$F$30&gt;0,1,0)+Ops!X$109*IF(Products!$G$30&gt;0,1,0))*Inputs!$C$32</f>
        <v/>
      </c>
      <c r="Y63" s="80">
        <f>(Ops!Y$9*IF(Products!$C$30&gt;0,1,0)+Ops!Y$34*IF(Products!$D$30&gt;0,1,0)+Ops!Y$59*IF(Products!$E$30&gt;0,1,0)+Ops!Y$84*IF(Products!$F$30&gt;0,1,0)+Ops!Y$109*IF(Products!$G$30&gt;0,1,0))*Inputs!$C$32</f>
        <v/>
      </c>
      <c r="Z63" s="80">
        <f>(Ops!Z$9*IF(Products!$C$30&gt;0,1,0)+Ops!Z$34*IF(Products!$D$30&gt;0,1,0)+Ops!Z$59*IF(Products!$E$30&gt;0,1,0)+Ops!Z$84*IF(Products!$F$30&gt;0,1,0)+Ops!Z$109*IF(Products!$G$30&gt;0,1,0))*Inputs!$C$32</f>
        <v/>
      </c>
      <c r="AA63" s="80">
        <f>(Ops!AA$9*IF(Products!$C$30&gt;0,1,0)+Ops!AA$34*IF(Products!$D$30&gt;0,1,0)+Ops!AA$59*IF(Products!$E$30&gt;0,1,0)+Ops!AA$84*IF(Products!$F$30&gt;0,1,0)+Ops!AA$109*IF(Products!$G$30&gt;0,1,0))*Inputs!$C$32</f>
        <v/>
      </c>
      <c r="AB63" s="80">
        <f>(Ops!AB$9*IF(Products!$C$30&gt;0,1,0)+Ops!AB$34*IF(Products!$D$30&gt;0,1,0)+Ops!AB$59*IF(Products!$E$30&gt;0,1,0)+Ops!AB$84*IF(Products!$F$30&gt;0,1,0)+Ops!AB$109*IF(Products!$G$30&gt;0,1,0))*Inputs!$C$32</f>
        <v/>
      </c>
      <c r="AC63" s="80">
        <f>(Ops!AC$9*IF(Products!$C$30&gt;0,1,0)+Ops!AC$34*IF(Products!$D$30&gt;0,1,0)+Ops!AC$59*IF(Products!$E$30&gt;0,1,0)+Ops!AC$84*IF(Products!$F$30&gt;0,1,0)+Ops!AC$109*IF(Products!$G$30&gt;0,1,0))*Inputs!$C$32</f>
        <v/>
      </c>
      <c r="AD63" s="80">
        <f>(Ops!AD$9*IF(Products!$C$30&gt;0,1,0)+Ops!AD$34*IF(Products!$D$30&gt;0,1,0)+Ops!AD$59*IF(Products!$E$30&gt;0,1,0)+Ops!AD$84*IF(Products!$F$30&gt;0,1,0)+Ops!AD$109*IF(Products!$G$30&gt;0,1,0))*Inputs!$C$32</f>
        <v/>
      </c>
      <c r="AE63" s="80">
        <f>(Ops!AE$9*IF(Products!$C$30&gt;0,1,0)+Ops!AE$34*IF(Products!$D$30&gt;0,1,0)+Ops!AE$59*IF(Products!$E$30&gt;0,1,0)+Ops!AE$84*IF(Products!$F$30&gt;0,1,0)+Ops!AE$109*IF(Products!$G$30&gt;0,1,0))*Inputs!$C$32</f>
        <v/>
      </c>
      <c r="AF63" s="80">
        <f>(Ops!AF$9*IF(Products!$C$30&gt;0,1,0)+Ops!AF$34*IF(Products!$D$30&gt;0,1,0)+Ops!AF$59*IF(Products!$E$30&gt;0,1,0)+Ops!AF$84*IF(Products!$F$30&gt;0,1,0)+Ops!AF$109*IF(Products!$G$30&gt;0,1,0))*Inputs!$C$32</f>
        <v/>
      </c>
      <c r="AG63" s="80">
        <f>(Ops!AG$9*IF(Products!$C$30&gt;0,1,0)+Ops!AG$34*IF(Products!$D$30&gt;0,1,0)+Ops!AG$59*IF(Products!$E$30&gt;0,1,0)+Ops!AG$84*IF(Products!$F$30&gt;0,1,0)+Ops!AG$109*IF(Products!$G$30&gt;0,1,0))*Inputs!$C$32</f>
        <v/>
      </c>
      <c r="AH63" s="80">
        <f>(Ops!AH$9*IF(Products!$C$30&gt;0,1,0)+Ops!AH$34*IF(Products!$D$30&gt;0,1,0)+Ops!AH$59*IF(Products!$E$30&gt;0,1,0)+Ops!AH$84*IF(Products!$F$30&gt;0,1,0)+Ops!AH$109*IF(Products!$G$30&gt;0,1,0))*Inputs!$C$32</f>
        <v/>
      </c>
      <c r="AI63" s="80">
        <f>(Ops!AI$9*IF(Products!$C$30&gt;0,1,0)+Ops!AI$34*IF(Products!$D$30&gt;0,1,0)+Ops!AI$59*IF(Products!$E$30&gt;0,1,0)+Ops!AI$84*IF(Products!$F$30&gt;0,1,0)+Ops!AI$109*IF(Products!$G$30&gt;0,1,0))*Inputs!$C$32</f>
        <v/>
      </c>
      <c r="AJ63" s="80">
        <f>(Ops!AJ$9*IF(Products!$C$30&gt;0,1,0)+Ops!AJ$34*IF(Products!$D$30&gt;0,1,0)+Ops!AJ$59*IF(Products!$E$30&gt;0,1,0)+Ops!AJ$84*IF(Products!$F$30&gt;0,1,0)+Ops!AJ$109*IF(Products!$G$30&gt;0,1,0))*Inputs!$C$32</f>
        <v/>
      </c>
      <c r="AK63" s="80">
        <f>(Ops!AK$9*IF(Products!$C$30&gt;0,1,0)+Ops!AK$34*IF(Products!$D$30&gt;0,1,0)+Ops!AK$59*IF(Products!$E$30&gt;0,1,0)+Ops!AK$84*IF(Products!$F$30&gt;0,1,0)+Ops!AK$109*IF(Products!$G$30&gt;0,1,0))*Inputs!$C$32</f>
        <v/>
      </c>
      <c r="AL63" s="80">
        <f>(Ops!AL$9*IF(Products!$C$30&gt;0,1,0)+Ops!AL$34*IF(Products!$D$30&gt;0,1,0)+Ops!AL$59*IF(Products!$E$30&gt;0,1,0)+Ops!AL$84*IF(Products!$F$30&gt;0,1,0)+Ops!AL$109*IF(Products!$G$30&gt;0,1,0))*Inputs!$C$32</f>
        <v/>
      </c>
      <c r="AM63" s="80">
        <f>(Ops!AM$9*IF(Products!$C$30&gt;0,1,0)+Ops!AM$34*IF(Products!$D$30&gt;0,1,0)+Ops!AM$59*IF(Products!$E$30&gt;0,1,0)+Ops!AM$84*IF(Products!$F$30&gt;0,1,0)+Ops!AM$109*IF(Products!$G$30&gt;0,1,0))*Inputs!$C$32</f>
        <v/>
      </c>
      <c r="AN63" s="80">
        <f>(Ops!AN$9*IF(Products!$C$30&gt;0,1,0)+Ops!AN$34*IF(Products!$D$30&gt;0,1,0)+Ops!AN$59*IF(Products!$E$30&gt;0,1,0)+Ops!AN$84*IF(Products!$F$30&gt;0,1,0)+Ops!AN$109*IF(Products!$G$30&gt;0,1,0))*Inputs!$C$32</f>
        <v/>
      </c>
      <c r="AO63" s="80">
        <f>(Ops!AO$9*IF(Products!$C$30&gt;0,1,0)+Ops!AO$34*IF(Products!$D$30&gt;0,1,0)+Ops!AO$59*IF(Products!$E$30&gt;0,1,0)+Ops!AO$84*IF(Products!$F$30&gt;0,1,0)+Ops!AO$109*IF(Products!$G$30&gt;0,1,0))*Inputs!$C$32</f>
        <v/>
      </c>
      <c r="AP63" s="80">
        <f>(Ops!AP$9*IF(Products!$C$30&gt;0,1,0)+Ops!AP$34*IF(Products!$D$30&gt;0,1,0)+Ops!AP$59*IF(Products!$E$30&gt;0,1,0)+Ops!AP$84*IF(Products!$F$30&gt;0,1,0)+Ops!AP$109*IF(Products!$G$30&gt;0,1,0))*Inputs!$C$32</f>
        <v/>
      </c>
      <c r="AQ63" s="80">
        <f>(Ops!AQ$9*IF(Products!$C$30&gt;0,1,0)+Ops!AQ$34*IF(Products!$D$30&gt;0,1,0)+Ops!AQ$59*IF(Products!$E$30&gt;0,1,0)+Ops!AQ$84*IF(Products!$F$30&gt;0,1,0)+Ops!AQ$109*IF(Products!$G$30&gt;0,1,0))*Inputs!$C$32</f>
        <v/>
      </c>
      <c r="AR63" s="80">
        <f>(Ops!AR$9*IF(Products!$C$30&gt;0,1,0)+Ops!AR$34*IF(Products!$D$30&gt;0,1,0)+Ops!AR$59*IF(Products!$E$30&gt;0,1,0)+Ops!AR$84*IF(Products!$F$30&gt;0,1,0)+Ops!AR$109*IF(Products!$G$30&gt;0,1,0))*Inputs!$C$32</f>
        <v/>
      </c>
      <c r="AS63" s="80">
        <f>(Ops!AS$9*IF(Products!$C$30&gt;0,1,0)+Ops!AS$34*IF(Products!$D$30&gt;0,1,0)+Ops!AS$59*IF(Products!$E$30&gt;0,1,0)+Ops!AS$84*IF(Products!$F$30&gt;0,1,0)+Ops!AS$109*IF(Products!$G$30&gt;0,1,0))*Inputs!$C$32</f>
        <v/>
      </c>
      <c r="AT63" s="80">
        <f>(Ops!AT$9*IF(Products!$C$30&gt;0,1,0)+Ops!AT$34*IF(Products!$D$30&gt;0,1,0)+Ops!AT$59*IF(Products!$E$30&gt;0,1,0)+Ops!AT$84*IF(Products!$F$30&gt;0,1,0)+Ops!AT$109*IF(Products!$G$30&gt;0,1,0))*Inputs!$C$32</f>
        <v/>
      </c>
      <c r="AU63" s="80">
        <f>(Ops!AU$9*IF(Products!$C$30&gt;0,1,0)+Ops!AU$34*IF(Products!$D$30&gt;0,1,0)+Ops!AU$59*IF(Products!$E$30&gt;0,1,0)+Ops!AU$84*IF(Products!$F$30&gt;0,1,0)+Ops!AU$109*IF(Products!$G$30&gt;0,1,0))*Inputs!$C$32</f>
        <v/>
      </c>
      <c r="AV63" s="80">
        <f>(Ops!AV$9*IF(Products!$C$30&gt;0,1,0)+Ops!AV$34*IF(Products!$D$30&gt;0,1,0)+Ops!AV$59*IF(Products!$E$30&gt;0,1,0)+Ops!AV$84*IF(Products!$F$30&gt;0,1,0)+Ops!AV$109*IF(Products!$G$30&gt;0,1,0))*Inputs!$C$32</f>
        <v/>
      </c>
      <c r="AW63" s="80">
        <f>(Ops!AW$9*IF(Products!$C$30&gt;0,1,0)+Ops!AW$34*IF(Products!$D$30&gt;0,1,0)+Ops!AW$59*IF(Products!$E$30&gt;0,1,0)+Ops!AW$84*IF(Products!$F$30&gt;0,1,0)+Ops!AW$109*IF(Products!$G$30&gt;0,1,0))*Inputs!$C$32</f>
        <v/>
      </c>
      <c r="AX63" s="80">
        <f>(Ops!AX$9*IF(Products!$C$30&gt;0,1,0)+Ops!AX$34*IF(Products!$D$30&gt;0,1,0)+Ops!AX$59*IF(Products!$E$30&gt;0,1,0)+Ops!AX$84*IF(Products!$F$30&gt;0,1,0)+Ops!AX$109*IF(Products!$G$30&gt;0,1,0))*Inputs!$C$32</f>
        <v/>
      </c>
      <c r="AY63" s="80">
        <f>(Ops!AY$9*IF(Products!$C$30&gt;0,1,0)+Ops!AY$34*IF(Products!$D$30&gt;0,1,0)+Ops!AY$59*IF(Products!$E$30&gt;0,1,0)+Ops!AY$84*IF(Products!$F$30&gt;0,1,0)+Ops!AY$109*IF(Products!$G$30&gt;0,1,0))*Inputs!$C$32</f>
        <v/>
      </c>
      <c r="AZ63" s="80">
        <f>(Ops!AZ$9*IF(Products!$C$30&gt;0,1,0)+Ops!AZ$34*IF(Products!$D$30&gt;0,1,0)+Ops!AZ$59*IF(Products!$E$30&gt;0,1,0)+Ops!AZ$84*IF(Products!$F$30&gt;0,1,0)+Ops!AZ$109*IF(Products!$G$30&gt;0,1,0))*Inputs!$C$32</f>
        <v/>
      </c>
      <c r="BA63" s="80">
        <f>(Ops!BA$9*IF(Products!$C$30&gt;0,1,0)+Ops!BA$34*IF(Products!$D$30&gt;0,1,0)+Ops!BA$59*IF(Products!$E$30&gt;0,1,0)+Ops!BA$84*IF(Products!$F$30&gt;0,1,0)+Ops!BA$109*IF(Products!$G$30&gt;0,1,0))*Inputs!$C$32</f>
        <v/>
      </c>
      <c r="BB63" s="80">
        <f>(Ops!BB$9*IF(Products!$C$30&gt;0,1,0)+Ops!BB$34*IF(Products!$D$30&gt;0,1,0)+Ops!BB$59*IF(Products!$E$30&gt;0,1,0)+Ops!BB$84*IF(Products!$F$30&gt;0,1,0)+Ops!BB$109*IF(Products!$G$30&gt;0,1,0))*Inputs!$C$32</f>
        <v/>
      </c>
      <c r="BC63" s="80">
        <f>(Ops!BC$9*IF(Products!$C$30&gt;0,1,0)+Ops!BC$34*IF(Products!$D$30&gt;0,1,0)+Ops!BC$59*IF(Products!$E$30&gt;0,1,0)+Ops!BC$84*IF(Products!$F$30&gt;0,1,0)+Ops!BC$109*IF(Products!$G$30&gt;0,1,0))*Inputs!$C$32</f>
        <v/>
      </c>
      <c r="BD63" s="80">
        <f>(Ops!BD$9*IF(Products!$C$30&gt;0,1,0)+Ops!BD$34*IF(Products!$D$30&gt;0,1,0)+Ops!BD$59*IF(Products!$E$30&gt;0,1,0)+Ops!BD$84*IF(Products!$F$30&gt;0,1,0)+Ops!BD$109*IF(Products!$G$30&gt;0,1,0))*Inputs!$C$32</f>
        <v/>
      </c>
      <c r="BE63" s="80">
        <f>(Ops!BE$9*IF(Products!$C$30&gt;0,1,0)+Ops!BE$34*IF(Products!$D$30&gt;0,1,0)+Ops!BE$59*IF(Products!$E$30&gt;0,1,0)+Ops!BE$84*IF(Products!$F$30&gt;0,1,0)+Ops!BE$109*IF(Products!$G$30&gt;0,1,0))*Inputs!$C$32</f>
        <v/>
      </c>
      <c r="BF63" s="80">
        <f>(Ops!BF$9*IF(Products!$C$30&gt;0,1,0)+Ops!BF$34*IF(Products!$D$30&gt;0,1,0)+Ops!BF$59*IF(Products!$E$30&gt;0,1,0)+Ops!BF$84*IF(Products!$F$30&gt;0,1,0)+Ops!BF$109*IF(Products!$G$30&gt;0,1,0))*Inputs!$C$32</f>
        <v/>
      </c>
      <c r="BG63" s="80">
        <f>(Ops!BG$9*IF(Products!$C$30&gt;0,1,0)+Ops!BG$34*IF(Products!$D$30&gt;0,1,0)+Ops!BG$59*IF(Products!$E$30&gt;0,1,0)+Ops!BG$84*IF(Products!$F$30&gt;0,1,0)+Ops!BG$109*IF(Products!$G$30&gt;0,1,0))*Inputs!$C$32</f>
        <v/>
      </c>
      <c r="BH63" s="80">
        <f>(Ops!BH$9*IF(Products!$C$30&gt;0,1,0)+Ops!BH$34*IF(Products!$D$30&gt;0,1,0)+Ops!BH$59*IF(Products!$E$30&gt;0,1,0)+Ops!BH$84*IF(Products!$F$30&gt;0,1,0)+Ops!BH$109*IF(Products!$G$30&gt;0,1,0))*Inputs!$C$32</f>
        <v/>
      </c>
      <c r="BI63" s="80">
        <f>(Ops!BI$9*IF(Products!$C$30&gt;0,1,0)+Ops!BI$34*IF(Products!$D$30&gt;0,1,0)+Ops!BI$59*IF(Products!$E$30&gt;0,1,0)+Ops!BI$84*IF(Products!$F$30&gt;0,1,0)+Ops!BI$109*IF(Products!$G$30&gt;0,1,0))*Inputs!$C$32</f>
        <v/>
      </c>
      <c r="BJ63" s="80">
        <f>(Ops!BJ$9*IF(Products!$C$30&gt;0,1,0)+Ops!BJ$34*IF(Products!$D$30&gt;0,1,0)+Ops!BJ$59*IF(Products!$E$30&gt;0,1,0)+Ops!BJ$84*IF(Products!$F$30&gt;0,1,0)+Ops!BJ$109*IF(Products!$G$30&gt;0,1,0))*Inputs!$C$32</f>
        <v/>
      </c>
      <c r="BK63" s="80">
        <f>(Ops!BK$9*IF(Products!$C$30&gt;0,1,0)+Ops!BK$34*IF(Products!$D$30&gt;0,1,0)+Ops!BK$59*IF(Products!$E$30&gt;0,1,0)+Ops!BK$84*IF(Products!$F$30&gt;0,1,0)+Ops!BK$109*IF(Products!$G$30&gt;0,1,0))*Inputs!$C$32</f>
        <v/>
      </c>
      <c r="BL63" s="80">
        <f>(Ops!BL$9*IF(Products!$C$30&gt;0,1,0)+Ops!BL$34*IF(Products!$D$30&gt;0,1,0)+Ops!BL$59*IF(Products!$E$30&gt;0,1,0)+Ops!BL$84*IF(Products!$F$30&gt;0,1,0)+Ops!BL$109*IF(Products!$G$30&gt;0,1,0))*Inputs!$C$32</f>
        <v/>
      </c>
    </row>
    <row r="64">
      <c r="A64" s="98" t="inlineStr">
        <is>
          <t>2. Claims submitted at sale (USD)</t>
        </is>
      </c>
      <c r="B64" s="65" t="inlineStr">
        <is>
          <t>USD</t>
        </is>
      </c>
      <c r="C64" s="105">
        <f>SUM(E64:BL64)</f>
        <v/>
      </c>
      <c r="E64" s="80">
        <f>(Ops!E$9*Products!$C$30+Ops!E$34*Products!$D$30+Ops!E$59*Products!$E$30+Ops!E$84*Products!$F$30+Ops!E$109*Products!$G$30)*Inputs!$C$32</f>
        <v/>
      </c>
      <c r="F64" s="80">
        <f>(Ops!F$9*Products!$C$30+Ops!F$34*Products!$D$30+Ops!F$59*Products!$E$30+Ops!F$84*Products!$F$30+Ops!F$109*Products!$G$30)*Inputs!$C$32</f>
        <v/>
      </c>
      <c r="G64" s="80">
        <f>(Ops!G$9*Products!$C$30+Ops!G$34*Products!$D$30+Ops!G$59*Products!$E$30+Ops!G$84*Products!$F$30+Ops!G$109*Products!$G$30)*Inputs!$C$32</f>
        <v/>
      </c>
      <c r="H64" s="80">
        <f>(Ops!H$9*Products!$C$30+Ops!H$34*Products!$D$30+Ops!H$59*Products!$E$30+Ops!H$84*Products!$F$30+Ops!H$109*Products!$G$30)*Inputs!$C$32</f>
        <v/>
      </c>
      <c r="I64" s="80">
        <f>(Ops!I$9*Products!$C$30+Ops!I$34*Products!$D$30+Ops!I$59*Products!$E$30+Ops!I$84*Products!$F$30+Ops!I$109*Products!$G$30)*Inputs!$C$32</f>
        <v/>
      </c>
      <c r="J64" s="80">
        <f>(Ops!J$9*Products!$C$30+Ops!J$34*Products!$D$30+Ops!J$59*Products!$E$30+Ops!J$84*Products!$F$30+Ops!J$109*Products!$G$30)*Inputs!$C$32</f>
        <v/>
      </c>
      <c r="K64" s="80">
        <f>(Ops!K$9*Products!$C$30+Ops!K$34*Products!$D$30+Ops!K$59*Products!$E$30+Ops!K$84*Products!$F$30+Ops!K$109*Products!$G$30)*Inputs!$C$32</f>
        <v/>
      </c>
      <c r="L64" s="80">
        <f>(Ops!L$9*Products!$C$30+Ops!L$34*Products!$D$30+Ops!L$59*Products!$E$30+Ops!L$84*Products!$F$30+Ops!L$109*Products!$G$30)*Inputs!$C$32</f>
        <v/>
      </c>
      <c r="M64" s="80">
        <f>(Ops!M$9*Products!$C$30+Ops!M$34*Products!$D$30+Ops!M$59*Products!$E$30+Ops!M$84*Products!$F$30+Ops!M$109*Products!$G$30)*Inputs!$C$32</f>
        <v/>
      </c>
      <c r="N64" s="80">
        <f>(Ops!N$9*Products!$C$30+Ops!N$34*Products!$D$30+Ops!N$59*Products!$E$30+Ops!N$84*Products!$F$30+Ops!N$109*Products!$G$30)*Inputs!$C$32</f>
        <v/>
      </c>
      <c r="O64" s="80">
        <f>(Ops!O$9*Products!$C$30+Ops!O$34*Products!$D$30+Ops!O$59*Products!$E$30+Ops!O$84*Products!$F$30+Ops!O$109*Products!$G$30)*Inputs!$C$32</f>
        <v/>
      </c>
      <c r="P64" s="80">
        <f>(Ops!P$9*Products!$C$30+Ops!P$34*Products!$D$30+Ops!P$59*Products!$E$30+Ops!P$84*Products!$F$30+Ops!P$109*Products!$G$30)*Inputs!$C$32</f>
        <v/>
      </c>
      <c r="Q64" s="80">
        <f>(Ops!Q$9*Products!$C$30+Ops!Q$34*Products!$D$30+Ops!Q$59*Products!$E$30+Ops!Q$84*Products!$F$30+Ops!Q$109*Products!$G$30)*Inputs!$C$32</f>
        <v/>
      </c>
      <c r="R64" s="80">
        <f>(Ops!R$9*Products!$C$30+Ops!R$34*Products!$D$30+Ops!R$59*Products!$E$30+Ops!R$84*Products!$F$30+Ops!R$109*Products!$G$30)*Inputs!$C$32</f>
        <v/>
      </c>
      <c r="S64" s="80">
        <f>(Ops!S$9*Products!$C$30+Ops!S$34*Products!$D$30+Ops!S$59*Products!$E$30+Ops!S$84*Products!$F$30+Ops!S$109*Products!$G$30)*Inputs!$C$32</f>
        <v/>
      </c>
      <c r="T64" s="80">
        <f>(Ops!T$9*Products!$C$30+Ops!T$34*Products!$D$30+Ops!T$59*Products!$E$30+Ops!T$84*Products!$F$30+Ops!T$109*Products!$G$30)*Inputs!$C$32</f>
        <v/>
      </c>
      <c r="U64" s="80">
        <f>(Ops!U$9*Products!$C$30+Ops!U$34*Products!$D$30+Ops!U$59*Products!$E$30+Ops!U$84*Products!$F$30+Ops!U$109*Products!$G$30)*Inputs!$C$32</f>
        <v/>
      </c>
      <c r="V64" s="80">
        <f>(Ops!V$9*Products!$C$30+Ops!V$34*Products!$D$30+Ops!V$59*Products!$E$30+Ops!V$84*Products!$F$30+Ops!V$109*Products!$G$30)*Inputs!$C$32</f>
        <v/>
      </c>
      <c r="W64" s="80">
        <f>(Ops!W$9*Products!$C$30+Ops!W$34*Products!$D$30+Ops!W$59*Products!$E$30+Ops!W$84*Products!$F$30+Ops!W$109*Products!$G$30)*Inputs!$C$32</f>
        <v/>
      </c>
      <c r="X64" s="80">
        <f>(Ops!X$9*Products!$C$30+Ops!X$34*Products!$D$30+Ops!X$59*Products!$E$30+Ops!X$84*Products!$F$30+Ops!X$109*Products!$G$30)*Inputs!$C$32</f>
        <v/>
      </c>
      <c r="Y64" s="80">
        <f>(Ops!Y$9*Products!$C$30+Ops!Y$34*Products!$D$30+Ops!Y$59*Products!$E$30+Ops!Y$84*Products!$F$30+Ops!Y$109*Products!$G$30)*Inputs!$C$32</f>
        <v/>
      </c>
      <c r="Z64" s="80">
        <f>(Ops!Z$9*Products!$C$30+Ops!Z$34*Products!$D$30+Ops!Z$59*Products!$E$30+Ops!Z$84*Products!$F$30+Ops!Z$109*Products!$G$30)*Inputs!$C$32</f>
        <v/>
      </c>
      <c r="AA64" s="80">
        <f>(Ops!AA$9*Products!$C$30+Ops!AA$34*Products!$D$30+Ops!AA$59*Products!$E$30+Ops!AA$84*Products!$F$30+Ops!AA$109*Products!$G$30)*Inputs!$C$32</f>
        <v/>
      </c>
      <c r="AB64" s="80">
        <f>(Ops!AB$9*Products!$C$30+Ops!AB$34*Products!$D$30+Ops!AB$59*Products!$E$30+Ops!AB$84*Products!$F$30+Ops!AB$109*Products!$G$30)*Inputs!$C$32</f>
        <v/>
      </c>
      <c r="AC64" s="80">
        <f>(Ops!AC$9*Products!$C$30+Ops!AC$34*Products!$D$30+Ops!AC$59*Products!$E$30+Ops!AC$84*Products!$F$30+Ops!AC$109*Products!$G$30)*Inputs!$C$32</f>
        <v/>
      </c>
      <c r="AD64" s="80">
        <f>(Ops!AD$9*Products!$C$30+Ops!AD$34*Products!$D$30+Ops!AD$59*Products!$E$30+Ops!AD$84*Products!$F$30+Ops!AD$109*Products!$G$30)*Inputs!$C$32</f>
        <v/>
      </c>
      <c r="AE64" s="80">
        <f>(Ops!AE$9*Products!$C$30+Ops!AE$34*Products!$D$30+Ops!AE$59*Products!$E$30+Ops!AE$84*Products!$F$30+Ops!AE$109*Products!$G$30)*Inputs!$C$32</f>
        <v/>
      </c>
      <c r="AF64" s="80">
        <f>(Ops!AF$9*Products!$C$30+Ops!AF$34*Products!$D$30+Ops!AF$59*Products!$E$30+Ops!AF$84*Products!$F$30+Ops!AF$109*Products!$G$30)*Inputs!$C$32</f>
        <v/>
      </c>
      <c r="AG64" s="80">
        <f>(Ops!AG$9*Products!$C$30+Ops!AG$34*Products!$D$30+Ops!AG$59*Products!$E$30+Ops!AG$84*Products!$F$30+Ops!AG$109*Products!$G$30)*Inputs!$C$32</f>
        <v/>
      </c>
      <c r="AH64" s="80">
        <f>(Ops!AH$9*Products!$C$30+Ops!AH$34*Products!$D$30+Ops!AH$59*Products!$E$30+Ops!AH$84*Products!$F$30+Ops!AH$109*Products!$G$30)*Inputs!$C$32</f>
        <v/>
      </c>
      <c r="AI64" s="80">
        <f>(Ops!AI$9*Products!$C$30+Ops!AI$34*Products!$D$30+Ops!AI$59*Products!$E$30+Ops!AI$84*Products!$F$30+Ops!AI$109*Products!$G$30)*Inputs!$C$32</f>
        <v/>
      </c>
      <c r="AJ64" s="80">
        <f>(Ops!AJ$9*Products!$C$30+Ops!AJ$34*Products!$D$30+Ops!AJ$59*Products!$E$30+Ops!AJ$84*Products!$F$30+Ops!AJ$109*Products!$G$30)*Inputs!$C$32</f>
        <v/>
      </c>
      <c r="AK64" s="80">
        <f>(Ops!AK$9*Products!$C$30+Ops!AK$34*Products!$D$30+Ops!AK$59*Products!$E$30+Ops!AK$84*Products!$F$30+Ops!AK$109*Products!$G$30)*Inputs!$C$32</f>
        <v/>
      </c>
      <c r="AL64" s="80">
        <f>(Ops!AL$9*Products!$C$30+Ops!AL$34*Products!$D$30+Ops!AL$59*Products!$E$30+Ops!AL$84*Products!$F$30+Ops!AL$109*Products!$G$30)*Inputs!$C$32</f>
        <v/>
      </c>
      <c r="AM64" s="80">
        <f>(Ops!AM$9*Products!$C$30+Ops!AM$34*Products!$D$30+Ops!AM$59*Products!$E$30+Ops!AM$84*Products!$F$30+Ops!AM$109*Products!$G$30)*Inputs!$C$32</f>
        <v/>
      </c>
      <c r="AN64" s="80">
        <f>(Ops!AN$9*Products!$C$30+Ops!AN$34*Products!$D$30+Ops!AN$59*Products!$E$30+Ops!AN$84*Products!$F$30+Ops!AN$109*Products!$G$30)*Inputs!$C$32</f>
        <v/>
      </c>
      <c r="AO64" s="80">
        <f>(Ops!AO$9*Products!$C$30+Ops!AO$34*Products!$D$30+Ops!AO$59*Products!$E$30+Ops!AO$84*Products!$F$30+Ops!AO$109*Products!$G$30)*Inputs!$C$32</f>
        <v/>
      </c>
      <c r="AP64" s="80">
        <f>(Ops!AP$9*Products!$C$30+Ops!AP$34*Products!$D$30+Ops!AP$59*Products!$E$30+Ops!AP$84*Products!$F$30+Ops!AP$109*Products!$G$30)*Inputs!$C$32</f>
        <v/>
      </c>
      <c r="AQ64" s="80">
        <f>(Ops!AQ$9*Products!$C$30+Ops!AQ$34*Products!$D$30+Ops!AQ$59*Products!$E$30+Ops!AQ$84*Products!$F$30+Ops!AQ$109*Products!$G$30)*Inputs!$C$32</f>
        <v/>
      </c>
      <c r="AR64" s="80">
        <f>(Ops!AR$9*Products!$C$30+Ops!AR$34*Products!$D$30+Ops!AR$59*Products!$E$30+Ops!AR$84*Products!$F$30+Ops!AR$109*Products!$G$30)*Inputs!$C$32</f>
        <v/>
      </c>
      <c r="AS64" s="80">
        <f>(Ops!AS$9*Products!$C$30+Ops!AS$34*Products!$D$30+Ops!AS$59*Products!$E$30+Ops!AS$84*Products!$F$30+Ops!AS$109*Products!$G$30)*Inputs!$C$32</f>
        <v/>
      </c>
      <c r="AT64" s="80">
        <f>(Ops!AT$9*Products!$C$30+Ops!AT$34*Products!$D$30+Ops!AT$59*Products!$E$30+Ops!AT$84*Products!$F$30+Ops!AT$109*Products!$G$30)*Inputs!$C$32</f>
        <v/>
      </c>
      <c r="AU64" s="80">
        <f>(Ops!AU$9*Products!$C$30+Ops!AU$34*Products!$D$30+Ops!AU$59*Products!$E$30+Ops!AU$84*Products!$F$30+Ops!AU$109*Products!$G$30)*Inputs!$C$32</f>
        <v/>
      </c>
      <c r="AV64" s="80">
        <f>(Ops!AV$9*Products!$C$30+Ops!AV$34*Products!$D$30+Ops!AV$59*Products!$E$30+Ops!AV$84*Products!$F$30+Ops!AV$109*Products!$G$30)*Inputs!$C$32</f>
        <v/>
      </c>
      <c r="AW64" s="80">
        <f>(Ops!AW$9*Products!$C$30+Ops!AW$34*Products!$D$30+Ops!AW$59*Products!$E$30+Ops!AW$84*Products!$F$30+Ops!AW$109*Products!$G$30)*Inputs!$C$32</f>
        <v/>
      </c>
      <c r="AX64" s="80">
        <f>(Ops!AX$9*Products!$C$30+Ops!AX$34*Products!$D$30+Ops!AX$59*Products!$E$30+Ops!AX$84*Products!$F$30+Ops!AX$109*Products!$G$30)*Inputs!$C$32</f>
        <v/>
      </c>
      <c r="AY64" s="80">
        <f>(Ops!AY$9*Products!$C$30+Ops!AY$34*Products!$D$30+Ops!AY$59*Products!$E$30+Ops!AY$84*Products!$F$30+Ops!AY$109*Products!$G$30)*Inputs!$C$32</f>
        <v/>
      </c>
      <c r="AZ64" s="80">
        <f>(Ops!AZ$9*Products!$C$30+Ops!AZ$34*Products!$D$30+Ops!AZ$59*Products!$E$30+Ops!AZ$84*Products!$F$30+Ops!AZ$109*Products!$G$30)*Inputs!$C$32</f>
        <v/>
      </c>
      <c r="BA64" s="80">
        <f>(Ops!BA$9*Products!$C$30+Ops!BA$34*Products!$D$30+Ops!BA$59*Products!$E$30+Ops!BA$84*Products!$F$30+Ops!BA$109*Products!$G$30)*Inputs!$C$32</f>
        <v/>
      </c>
      <c r="BB64" s="80">
        <f>(Ops!BB$9*Products!$C$30+Ops!BB$34*Products!$D$30+Ops!BB$59*Products!$E$30+Ops!BB$84*Products!$F$30+Ops!BB$109*Products!$G$30)*Inputs!$C$32</f>
        <v/>
      </c>
      <c r="BC64" s="80">
        <f>(Ops!BC$9*Products!$C$30+Ops!BC$34*Products!$D$30+Ops!BC$59*Products!$E$30+Ops!BC$84*Products!$F$30+Ops!BC$109*Products!$G$30)*Inputs!$C$32</f>
        <v/>
      </c>
      <c r="BD64" s="80">
        <f>(Ops!BD$9*Products!$C$30+Ops!BD$34*Products!$D$30+Ops!BD$59*Products!$E$30+Ops!BD$84*Products!$F$30+Ops!BD$109*Products!$G$30)*Inputs!$C$32</f>
        <v/>
      </c>
      <c r="BE64" s="80">
        <f>(Ops!BE$9*Products!$C$30+Ops!BE$34*Products!$D$30+Ops!BE$59*Products!$E$30+Ops!BE$84*Products!$F$30+Ops!BE$109*Products!$G$30)*Inputs!$C$32</f>
        <v/>
      </c>
      <c r="BF64" s="80">
        <f>(Ops!BF$9*Products!$C$30+Ops!BF$34*Products!$D$30+Ops!BF$59*Products!$E$30+Ops!BF$84*Products!$F$30+Ops!BF$109*Products!$G$30)*Inputs!$C$32</f>
        <v/>
      </c>
      <c r="BG64" s="80">
        <f>(Ops!BG$9*Products!$C$30+Ops!BG$34*Products!$D$30+Ops!BG$59*Products!$E$30+Ops!BG$84*Products!$F$30+Ops!BG$109*Products!$G$30)*Inputs!$C$32</f>
        <v/>
      </c>
      <c r="BH64" s="80">
        <f>(Ops!BH$9*Products!$C$30+Ops!BH$34*Products!$D$30+Ops!BH$59*Products!$E$30+Ops!BH$84*Products!$F$30+Ops!BH$109*Products!$G$30)*Inputs!$C$32</f>
        <v/>
      </c>
      <c r="BI64" s="80">
        <f>(Ops!BI$9*Products!$C$30+Ops!BI$34*Products!$D$30+Ops!BI$59*Products!$E$30+Ops!BI$84*Products!$F$30+Ops!BI$109*Products!$G$30)*Inputs!$C$32</f>
        <v/>
      </c>
      <c r="BJ64" s="80">
        <f>(Ops!BJ$9*Products!$C$30+Ops!BJ$34*Products!$D$30+Ops!BJ$59*Products!$E$30+Ops!BJ$84*Products!$F$30+Ops!BJ$109*Products!$G$30)*Inputs!$C$32</f>
        <v/>
      </c>
      <c r="BK64" s="80">
        <f>(Ops!BK$9*Products!$C$30+Ops!BK$34*Products!$D$30+Ops!BK$59*Products!$E$30+Ops!BK$84*Products!$F$30+Ops!BK$109*Products!$G$30)*Inputs!$C$32</f>
        <v/>
      </c>
      <c r="BL64" s="80">
        <f>(Ops!BL$9*Products!$C$30+Ops!BL$34*Products!$D$30+Ops!BL$59*Products!$E$30+Ops!BL$84*Products!$F$30+Ops!BL$109*Products!$G$30)*Inputs!$C$32</f>
        <v/>
      </c>
    </row>
    <row r="65">
      <c r="A65" s="98" t="inlineStr">
        <is>
          <t>3. Claims reaching verification after the lag (USD, before any outcome adjustment)</t>
        </is>
      </c>
      <c r="B65" s="65" t="inlineStr">
        <is>
          <t>USD</t>
        </is>
      </c>
      <c r="C65" s="105">
        <f>SUM(E65:BL65)</f>
        <v/>
      </c>
      <c r="E65" s="80">
        <f>E59/Timeline!E$8</f>
        <v/>
      </c>
      <c r="F65" s="80">
        <f>F59/Timeline!F$8</f>
        <v/>
      </c>
      <c r="G65" s="80">
        <f>G59/Timeline!G$8</f>
        <v/>
      </c>
      <c r="H65" s="80">
        <f>H59/Timeline!H$8</f>
        <v/>
      </c>
      <c r="I65" s="80">
        <f>I59/Timeline!I$8</f>
        <v/>
      </c>
      <c r="J65" s="80">
        <f>J59/Timeline!J$8</f>
        <v/>
      </c>
      <c r="K65" s="80">
        <f>K59/Timeline!K$8</f>
        <v/>
      </c>
      <c r="L65" s="80">
        <f>L59/Timeline!L$8</f>
        <v/>
      </c>
      <c r="M65" s="80">
        <f>M59/Timeline!M$8</f>
        <v/>
      </c>
      <c r="N65" s="80">
        <f>N59/Timeline!N$8</f>
        <v/>
      </c>
      <c r="O65" s="80">
        <f>O59/Timeline!O$8</f>
        <v/>
      </c>
      <c r="P65" s="80">
        <f>P59/Timeline!P$8</f>
        <v/>
      </c>
      <c r="Q65" s="80">
        <f>Q59/Timeline!Q$8</f>
        <v/>
      </c>
      <c r="R65" s="80">
        <f>R59/Timeline!R$8</f>
        <v/>
      </c>
      <c r="S65" s="80">
        <f>S59/Timeline!S$8</f>
        <v/>
      </c>
      <c r="T65" s="80">
        <f>T59/Timeline!T$8</f>
        <v/>
      </c>
      <c r="U65" s="80">
        <f>U59/Timeline!U$8</f>
        <v/>
      </c>
      <c r="V65" s="80">
        <f>V59/Timeline!V$8</f>
        <v/>
      </c>
      <c r="W65" s="80">
        <f>W59/Timeline!W$8</f>
        <v/>
      </c>
      <c r="X65" s="80">
        <f>X59/Timeline!X$8</f>
        <v/>
      </c>
      <c r="Y65" s="80">
        <f>Y59/Timeline!Y$8</f>
        <v/>
      </c>
      <c r="Z65" s="80">
        <f>Z59/Timeline!Z$8</f>
        <v/>
      </c>
      <c r="AA65" s="80">
        <f>AA59/Timeline!AA$8</f>
        <v/>
      </c>
      <c r="AB65" s="80">
        <f>AB59/Timeline!AB$8</f>
        <v/>
      </c>
      <c r="AC65" s="80">
        <f>AC59/Timeline!AC$8</f>
        <v/>
      </c>
      <c r="AD65" s="80">
        <f>AD59/Timeline!AD$8</f>
        <v/>
      </c>
      <c r="AE65" s="80">
        <f>AE59/Timeline!AE$8</f>
        <v/>
      </c>
      <c r="AF65" s="80">
        <f>AF59/Timeline!AF$8</f>
        <v/>
      </c>
      <c r="AG65" s="80">
        <f>AG59/Timeline!AG$8</f>
        <v/>
      </c>
      <c r="AH65" s="80">
        <f>AH59/Timeline!AH$8</f>
        <v/>
      </c>
      <c r="AI65" s="80">
        <f>AI59/Timeline!AI$8</f>
        <v/>
      </c>
      <c r="AJ65" s="80">
        <f>AJ59/Timeline!AJ$8</f>
        <v/>
      </c>
      <c r="AK65" s="80">
        <f>AK59/Timeline!AK$8</f>
        <v/>
      </c>
      <c r="AL65" s="80">
        <f>AL59/Timeline!AL$8</f>
        <v/>
      </c>
      <c r="AM65" s="80">
        <f>AM59/Timeline!AM$8</f>
        <v/>
      </c>
      <c r="AN65" s="80">
        <f>AN59/Timeline!AN$8</f>
        <v/>
      </c>
      <c r="AO65" s="80">
        <f>AO59/Timeline!AO$8</f>
        <v/>
      </c>
      <c r="AP65" s="80">
        <f>AP59/Timeline!AP$8</f>
        <v/>
      </c>
      <c r="AQ65" s="80">
        <f>AQ59/Timeline!AQ$8</f>
        <v/>
      </c>
      <c r="AR65" s="80">
        <f>AR59/Timeline!AR$8</f>
        <v/>
      </c>
      <c r="AS65" s="80">
        <f>AS59/Timeline!AS$8</f>
        <v/>
      </c>
      <c r="AT65" s="80">
        <f>AT59/Timeline!AT$8</f>
        <v/>
      </c>
      <c r="AU65" s="80">
        <f>AU59/Timeline!AU$8</f>
        <v/>
      </c>
      <c r="AV65" s="80">
        <f>AV59/Timeline!AV$8</f>
        <v/>
      </c>
      <c r="AW65" s="80">
        <f>AW59/Timeline!AW$8</f>
        <v/>
      </c>
      <c r="AX65" s="80">
        <f>AX59/Timeline!AX$8</f>
        <v/>
      </c>
      <c r="AY65" s="80">
        <f>AY59/Timeline!AY$8</f>
        <v/>
      </c>
      <c r="AZ65" s="80">
        <f>AZ59/Timeline!AZ$8</f>
        <v/>
      </c>
      <c r="BA65" s="80">
        <f>BA59/Timeline!BA$8</f>
        <v/>
      </c>
      <c r="BB65" s="80">
        <f>BB59/Timeline!BB$8</f>
        <v/>
      </c>
      <c r="BC65" s="80">
        <f>BC59/Timeline!BC$8</f>
        <v/>
      </c>
      <c r="BD65" s="80">
        <f>BD59/Timeline!BD$8</f>
        <v/>
      </c>
      <c r="BE65" s="80">
        <f>BE59/Timeline!BE$8</f>
        <v/>
      </c>
      <c r="BF65" s="80">
        <f>BF59/Timeline!BF$8</f>
        <v/>
      </c>
      <c r="BG65" s="80">
        <f>BG59/Timeline!BG$8</f>
        <v/>
      </c>
      <c r="BH65" s="80">
        <f>BH59/Timeline!BH$8</f>
        <v/>
      </c>
      <c r="BI65" s="80">
        <f>BI59/Timeline!BI$8</f>
        <v/>
      </c>
      <c r="BJ65" s="80">
        <f>BJ59/Timeline!BJ$8</f>
        <v/>
      </c>
      <c r="BK65" s="80">
        <f>BK59/Timeline!BK$8</f>
        <v/>
      </c>
      <c r="BL65" s="80">
        <f>BL59/Timeline!BL$8</f>
        <v/>
      </c>
    </row>
    <row r="66">
      <c r="A66" s="100" t="inlineStr">
        <is>
          <t>4. Disbursed under the selected design (USD; equals RBF income in FS at the month's FX)</t>
        </is>
      </c>
      <c r="B66" s="101" t="inlineStr">
        <is>
          <t>USD</t>
        </is>
      </c>
      <c r="C66" s="102">
        <f>SUM(E66:BL66)</f>
        <v/>
      </c>
      <c r="D66" s="103" t="n"/>
      <c r="E66" s="104">
        <f>E58/Timeline!E$8</f>
        <v/>
      </c>
      <c r="F66" s="104">
        <f>F58/Timeline!F$8</f>
        <v/>
      </c>
      <c r="G66" s="104">
        <f>G58/Timeline!G$8</f>
        <v/>
      </c>
      <c r="H66" s="104">
        <f>H58/Timeline!H$8</f>
        <v/>
      </c>
      <c r="I66" s="104">
        <f>I58/Timeline!I$8</f>
        <v/>
      </c>
      <c r="J66" s="104">
        <f>J58/Timeline!J$8</f>
        <v/>
      </c>
      <c r="K66" s="104">
        <f>K58/Timeline!K$8</f>
        <v/>
      </c>
      <c r="L66" s="104">
        <f>L58/Timeline!L$8</f>
        <v/>
      </c>
      <c r="M66" s="104">
        <f>M58/Timeline!M$8</f>
        <v/>
      </c>
      <c r="N66" s="104">
        <f>N58/Timeline!N$8</f>
        <v/>
      </c>
      <c r="O66" s="104">
        <f>O58/Timeline!O$8</f>
        <v/>
      </c>
      <c r="P66" s="104">
        <f>P58/Timeline!P$8</f>
        <v/>
      </c>
      <c r="Q66" s="104">
        <f>Q58/Timeline!Q$8</f>
        <v/>
      </c>
      <c r="R66" s="104">
        <f>R58/Timeline!R$8</f>
        <v/>
      </c>
      <c r="S66" s="104">
        <f>S58/Timeline!S$8</f>
        <v/>
      </c>
      <c r="T66" s="104">
        <f>T58/Timeline!T$8</f>
        <v/>
      </c>
      <c r="U66" s="104">
        <f>U58/Timeline!U$8</f>
        <v/>
      </c>
      <c r="V66" s="104">
        <f>V58/Timeline!V$8</f>
        <v/>
      </c>
      <c r="W66" s="104">
        <f>W58/Timeline!W$8</f>
        <v/>
      </c>
      <c r="X66" s="104">
        <f>X58/Timeline!X$8</f>
        <v/>
      </c>
      <c r="Y66" s="104">
        <f>Y58/Timeline!Y$8</f>
        <v/>
      </c>
      <c r="Z66" s="104">
        <f>Z58/Timeline!Z$8</f>
        <v/>
      </c>
      <c r="AA66" s="104">
        <f>AA58/Timeline!AA$8</f>
        <v/>
      </c>
      <c r="AB66" s="104">
        <f>AB58/Timeline!AB$8</f>
        <v/>
      </c>
      <c r="AC66" s="104">
        <f>AC58/Timeline!AC$8</f>
        <v/>
      </c>
      <c r="AD66" s="104">
        <f>AD58/Timeline!AD$8</f>
        <v/>
      </c>
      <c r="AE66" s="104">
        <f>AE58/Timeline!AE$8</f>
        <v/>
      </c>
      <c r="AF66" s="104">
        <f>AF58/Timeline!AF$8</f>
        <v/>
      </c>
      <c r="AG66" s="104">
        <f>AG58/Timeline!AG$8</f>
        <v/>
      </c>
      <c r="AH66" s="104">
        <f>AH58/Timeline!AH$8</f>
        <v/>
      </c>
      <c r="AI66" s="104">
        <f>AI58/Timeline!AI$8</f>
        <v/>
      </c>
      <c r="AJ66" s="104">
        <f>AJ58/Timeline!AJ$8</f>
        <v/>
      </c>
      <c r="AK66" s="104">
        <f>AK58/Timeline!AK$8</f>
        <v/>
      </c>
      <c r="AL66" s="104">
        <f>AL58/Timeline!AL$8</f>
        <v/>
      </c>
      <c r="AM66" s="104">
        <f>AM58/Timeline!AM$8</f>
        <v/>
      </c>
      <c r="AN66" s="104">
        <f>AN58/Timeline!AN$8</f>
        <v/>
      </c>
      <c r="AO66" s="104">
        <f>AO58/Timeline!AO$8</f>
        <v/>
      </c>
      <c r="AP66" s="104">
        <f>AP58/Timeline!AP$8</f>
        <v/>
      </c>
      <c r="AQ66" s="104">
        <f>AQ58/Timeline!AQ$8</f>
        <v/>
      </c>
      <c r="AR66" s="104">
        <f>AR58/Timeline!AR$8</f>
        <v/>
      </c>
      <c r="AS66" s="104">
        <f>AS58/Timeline!AS$8</f>
        <v/>
      </c>
      <c r="AT66" s="104">
        <f>AT58/Timeline!AT$8</f>
        <v/>
      </c>
      <c r="AU66" s="104">
        <f>AU58/Timeline!AU$8</f>
        <v/>
      </c>
      <c r="AV66" s="104">
        <f>AV58/Timeline!AV$8</f>
        <v/>
      </c>
      <c r="AW66" s="104">
        <f>AW58/Timeline!AW$8</f>
        <v/>
      </c>
      <c r="AX66" s="104">
        <f>AX58/Timeline!AX$8</f>
        <v/>
      </c>
      <c r="AY66" s="104">
        <f>AY58/Timeline!AY$8</f>
        <v/>
      </c>
      <c r="AZ66" s="104">
        <f>AZ58/Timeline!AZ$8</f>
        <v/>
      </c>
      <c r="BA66" s="104">
        <f>BA58/Timeline!BA$8</f>
        <v/>
      </c>
      <c r="BB66" s="104">
        <f>BB58/Timeline!BB$8</f>
        <v/>
      </c>
      <c r="BC66" s="104">
        <f>BC58/Timeline!BC$8</f>
        <v/>
      </c>
      <c r="BD66" s="104">
        <f>BD58/Timeline!BD$8</f>
        <v/>
      </c>
      <c r="BE66" s="104">
        <f>BE58/Timeline!BE$8</f>
        <v/>
      </c>
      <c r="BF66" s="104">
        <f>BF58/Timeline!BF$8</f>
        <v/>
      </c>
      <c r="BG66" s="104">
        <f>BG58/Timeline!BG$8</f>
        <v/>
      </c>
      <c r="BH66" s="104">
        <f>BH58/Timeline!BH$8</f>
        <v/>
      </c>
      <c r="BI66" s="104">
        <f>BI58/Timeline!BI$8</f>
        <v/>
      </c>
      <c r="BJ66" s="104">
        <f>BJ58/Timeline!BJ$8</f>
        <v/>
      </c>
      <c r="BK66" s="104">
        <f>BK58/Timeline!BK$8</f>
        <v/>
      </c>
      <c r="BL66" s="104">
        <f>BL58/Timeline!BL$8</f>
        <v/>
      </c>
    </row>
    <row r="67">
      <c r="A67" s="100" t="inlineStr">
        <is>
          <t>5. Claimed but not yet received, cumulative (USD): RBF working capital gap</t>
        </is>
      </c>
      <c r="B67" s="101" t="inlineStr">
        <is>
          <t>USD</t>
        </is>
      </c>
      <c r="C67" s="102">
        <f>BL67</f>
        <v/>
      </c>
      <c r="D67" s="103" t="n"/>
      <c r="E67" s="104">
        <f>D67+E64-E66</f>
        <v/>
      </c>
      <c r="F67" s="104">
        <f>E67+F64-F66</f>
        <v/>
      </c>
      <c r="G67" s="104">
        <f>F67+G64-G66</f>
        <v/>
      </c>
      <c r="H67" s="104">
        <f>G67+H64-H66</f>
        <v/>
      </c>
      <c r="I67" s="104">
        <f>H67+I64-I66</f>
        <v/>
      </c>
      <c r="J67" s="104">
        <f>I67+J64-J66</f>
        <v/>
      </c>
      <c r="K67" s="104">
        <f>J67+K64-K66</f>
        <v/>
      </c>
      <c r="L67" s="104">
        <f>K67+L64-L66</f>
        <v/>
      </c>
      <c r="M67" s="104">
        <f>L67+M64-M66</f>
        <v/>
      </c>
      <c r="N67" s="104">
        <f>M67+N64-N66</f>
        <v/>
      </c>
      <c r="O67" s="104">
        <f>N67+O64-O66</f>
        <v/>
      </c>
      <c r="P67" s="104">
        <f>O67+P64-P66</f>
        <v/>
      </c>
      <c r="Q67" s="104">
        <f>P67+Q64-Q66</f>
        <v/>
      </c>
      <c r="R67" s="104">
        <f>Q67+R64-R66</f>
        <v/>
      </c>
      <c r="S67" s="104">
        <f>R67+S64-S66</f>
        <v/>
      </c>
      <c r="T67" s="104">
        <f>S67+T64-T66</f>
        <v/>
      </c>
      <c r="U67" s="104">
        <f>T67+U64-U66</f>
        <v/>
      </c>
      <c r="V67" s="104">
        <f>U67+V64-V66</f>
        <v/>
      </c>
      <c r="W67" s="104">
        <f>V67+W64-W66</f>
        <v/>
      </c>
      <c r="X67" s="104">
        <f>W67+X64-X66</f>
        <v/>
      </c>
      <c r="Y67" s="104">
        <f>X67+Y64-Y66</f>
        <v/>
      </c>
      <c r="Z67" s="104">
        <f>Y67+Z64-Z66</f>
        <v/>
      </c>
      <c r="AA67" s="104">
        <f>Z67+AA64-AA66</f>
        <v/>
      </c>
      <c r="AB67" s="104">
        <f>AA67+AB64-AB66</f>
        <v/>
      </c>
      <c r="AC67" s="104">
        <f>AB67+AC64-AC66</f>
        <v/>
      </c>
      <c r="AD67" s="104">
        <f>AC67+AD64-AD66</f>
        <v/>
      </c>
      <c r="AE67" s="104">
        <f>AD67+AE64-AE66</f>
        <v/>
      </c>
      <c r="AF67" s="104">
        <f>AE67+AF64-AF66</f>
        <v/>
      </c>
      <c r="AG67" s="104">
        <f>AF67+AG64-AG66</f>
        <v/>
      </c>
      <c r="AH67" s="104">
        <f>AG67+AH64-AH66</f>
        <v/>
      </c>
      <c r="AI67" s="104">
        <f>AH67+AI64-AI66</f>
        <v/>
      </c>
      <c r="AJ67" s="104">
        <f>AI67+AJ64-AJ66</f>
        <v/>
      </c>
      <c r="AK67" s="104">
        <f>AJ67+AK64-AK66</f>
        <v/>
      </c>
      <c r="AL67" s="104">
        <f>AK67+AL64-AL66</f>
        <v/>
      </c>
      <c r="AM67" s="104">
        <f>AL67+AM64-AM66</f>
        <v/>
      </c>
      <c r="AN67" s="104">
        <f>AM67+AN64-AN66</f>
        <v/>
      </c>
      <c r="AO67" s="104">
        <f>AN67+AO64-AO66</f>
        <v/>
      </c>
      <c r="AP67" s="104">
        <f>AO67+AP64-AP66</f>
        <v/>
      </c>
      <c r="AQ67" s="104">
        <f>AP67+AQ64-AQ66</f>
        <v/>
      </c>
      <c r="AR67" s="104">
        <f>AQ67+AR64-AR66</f>
        <v/>
      </c>
      <c r="AS67" s="104">
        <f>AR67+AS64-AS66</f>
        <v/>
      </c>
      <c r="AT67" s="104">
        <f>AS67+AT64-AT66</f>
        <v/>
      </c>
      <c r="AU67" s="104">
        <f>AT67+AU64-AU66</f>
        <v/>
      </c>
      <c r="AV67" s="104">
        <f>AU67+AV64-AV66</f>
        <v/>
      </c>
      <c r="AW67" s="104">
        <f>AV67+AW64-AW66</f>
        <v/>
      </c>
      <c r="AX67" s="104">
        <f>AW67+AX64-AX66</f>
        <v/>
      </c>
      <c r="AY67" s="104">
        <f>AX67+AY64-AY66</f>
        <v/>
      </c>
      <c r="AZ67" s="104">
        <f>AY67+AZ64-AZ66</f>
        <v/>
      </c>
      <c r="BA67" s="104">
        <f>AZ67+BA64-BA66</f>
        <v/>
      </c>
      <c r="BB67" s="104">
        <f>BA67+BB64-BB66</f>
        <v/>
      </c>
      <c r="BC67" s="104">
        <f>BB67+BC64-BC66</f>
        <v/>
      </c>
      <c r="BD67" s="104">
        <f>BC67+BD64-BD66</f>
        <v/>
      </c>
      <c r="BE67" s="104">
        <f>BD67+BE64-BE66</f>
        <v/>
      </c>
      <c r="BF67" s="104">
        <f>BE67+BF64-BF66</f>
        <v/>
      </c>
      <c r="BG67" s="104">
        <f>BF67+BG64-BG66</f>
        <v/>
      </c>
      <c r="BH67" s="104">
        <f>BG67+BH64-BH66</f>
        <v/>
      </c>
      <c r="BI67" s="104">
        <f>BH67+BI64-BI66</f>
        <v/>
      </c>
      <c r="BJ67" s="104">
        <f>BI67+BJ64-BJ66</f>
        <v/>
      </c>
      <c r="BK67" s="104">
        <f>BJ67+BK64-BK66</f>
        <v/>
      </c>
      <c r="BL67" s="104">
        <f>BK67+BL64-BL66</f>
        <v/>
      </c>
    </row>
    <row r="68">
      <c r="A68" s="98" t="inlineStr">
        <is>
          <t xml:space="preserve">   RBF working capital gap at the month's FX (LCY)</t>
        </is>
      </c>
      <c r="B68" s="65" t="inlineStr">
        <is>
          <t>LCY</t>
        </is>
      </c>
      <c r="C68" s="105">
        <f>BL68</f>
        <v/>
      </c>
      <c r="E68" s="80">
        <f>E67*Timeline!E$8</f>
        <v/>
      </c>
      <c r="F68" s="80">
        <f>F67*Timeline!F$8</f>
        <v/>
      </c>
      <c r="G68" s="80">
        <f>G67*Timeline!G$8</f>
        <v/>
      </c>
      <c r="H68" s="80">
        <f>H67*Timeline!H$8</f>
        <v/>
      </c>
      <c r="I68" s="80">
        <f>I67*Timeline!I$8</f>
        <v/>
      </c>
      <c r="J68" s="80">
        <f>J67*Timeline!J$8</f>
        <v/>
      </c>
      <c r="K68" s="80">
        <f>K67*Timeline!K$8</f>
        <v/>
      </c>
      <c r="L68" s="80">
        <f>L67*Timeline!L$8</f>
        <v/>
      </c>
      <c r="M68" s="80">
        <f>M67*Timeline!M$8</f>
        <v/>
      </c>
      <c r="N68" s="80">
        <f>N67*Timeline!N$8</f>
        <v/>
      </c>
      <c r="O68" s="80">
        <f>O67*Timeline!O$8</f>
        <v/>
      </c>
      <c r="P68" s="80">
        <f>P67*Timeline!P$8</f>
        <v/>
      </c>
      <c r="Q68" s="80">
        <f>Q67*Timeline!Q$8</f>
        <v/>
      </c>
      <c r="R68" s="80">
        <f>R67*Timeline!R$8</f>
        <v/>
      </c>
      <c r="S68" s="80">
        <f>S67*Timeline!S$8</f>
        <v/>
      </c>
      <c r="T68" s="80">
        <f>T67*Timeline!T$8</f>
        <v/>
      </c>
      <c r="U68" s="80">
        <f>U67*Timeline!U$8</f>
        <v/>
      </c>
      <c r="V68" s="80">
        <f>V67*Timeline!V$8</f>
        <v/>
      </c>
      <c r="W68" s="80">
        <f>W67*Timeline!W$8</f>
        <v/>
      </c>
      <c r="X68" s="80">
        <f>X67*Timeline!X$8</f>
        <v/>
      </c>
      <c r="Y68" s="80">
        <f>Y67*Timeline!Y$8</f>
        <v/>
      </c>
      <c r="Z68" s="80">
        <f>Z67*Timeline!Z$8</f>
        <v/>
      </c>
      <c r="AA68" s="80">
        <f>AA67*Timeline!AA$8</f>
        <v/>
      </c>
      <c r="AB68" s="80">
        <f>AB67*Timeline!AB$8</f>
        <v/>
      </c>
      <c r="AC68" s="80">
        <f>AC67*Timeline!AC$8</f>
        <v/>
      </c>
      <c r="AD68" s="80">
        <f>AD67*Timeline!AD$8</f>
        <v/>
      </c>
      <c r="AE68" s="80">
        <f>AE67*Timeline!AE$8</f>
        <v/>
      </c>
      <c r="AF68" s="80">
        <f>AF67*Timeline!AF$8</f>
        <v/>
      </c>
      <c r="AG68" s="80">
        <f>AG67*Timeline!AG$8</f>
        <v/>
      </c>
      <c r="AH68" s="80">
        <f>AH67*Timeline!AH$8</f>
        <v/>
      </c>
      <c r="AI68" s="80">
        <f>AI67*Timeline!AI$8</f>
        <v/>
      </c>
      <c r="AJ68" s="80">
        <f>AJ67*Timeline!AJ$8</f>
        <v/>
      </c>
      <c r="AK68" s="80">
        <f>AK67*Timeline!AK$8</f>
        <v/>
      </c>
      <c r="AL68" s="80">
        <f>AL67*Timeline!AL$8</f>
        <v/>
      </c>
      <c r="AM68" s="80">
        <f>AM67*Timeline!AM$8</f>
        <v/>
      </c>
      <c r="AN68" s="80">
        <f>AN67*Timeline!AN$8</f>
        <v/>
      </c>
      <c r="AO68" s="80">
        <f>AO67*Timeline!AO$8</f>
        <v/>
      </c>
      <c r="AP68" s="80">
        <f>AP67*Timeline!AP$8</f>
        <v/>
      </c>
      <c r="AQ68" s="80">
        <f>AQ67*Timeline!AQ$8</f>
        <v/>
      </c>
      <c r="AR68" s="80">
        <f>AR67*Timeline!AR$8</f>
        <v/>
      </c>
      <c r="AS68" s="80">
        <f>AS67*Timeline!AS$8</f>
        <v/>
      </c>
      <c r="AT68" s="80">
        <f>AT67*Timeline!AT$8</f>
        <v/>
      </c>
      <c r="AU68" s="80">
        <f>AU67*Timeline!AU$8</f>
        <v/>
      </c>
      <c r="AV68" s="80">
        <f>AV67*Timeline!AV$8</f>
        <v/>
      </c>
      <c r="AW68" s="80">
        <f>AW67*Timeline!AW$8</f>
        <v/>
      </c>
      <c r="AX68" s="80">
        <f>AX67*Timeline!AX$8</f>
        <v/>
      </c>
      <c r="AY68" s="80">
        <f>AY67*Timeline!AY$8</f>
        <v/>
      </c>
      <c r="AZ68" s="80">
        <f>AZ67*Timeline!AZ$8</f>
        <v/>
      </c>
      <c r="BA68" s="80">
        <f>BA67*Timeline!BA$8</f>
        <v/>
      </c>
      <c r="BB68" s="80">
        <f>BB67*Timeline!BB$8</f>
        <v/>
      </c>
      <c r="BC68" s="80">
        <f>BC67*Timeline!BC$8</f>
        <v/>
      </c>
      <c r="BD68" s="80">
        <f>BD67*Timeline!BD$8</f>
        <v/>
      </c>
      <c r="BE68" s="80">
        <f>BE67*Timeline!BE$8</f>
        <v/>
      </c>
      <c r="BF68" s="80">
        <f>BF67*Timeline!BF$8</f>
        <v/>
      </c>
      <c r="BG68" s="80">
        <f>BG67*Timeline!BG$8</f>
        <v/>
      </c>
      <c r="BH68" s="80">
        <f>BH67*Timeline!BH$8</f>
        <v/>
      </c>
      <c r="BI68" s="80">
        <f>BI67*Timeline!BI$8</f>
        <v/>
      </c>
      <c r="BJ68" s="80">
        <f>BJ67*Timeline!BJ$8</f>
        <v/>
      </c>
      <c r="BK68" s="80">
        <f>BK67*Timeline!BK$8</f>
        <v/>
      </c>
      <c r="BL68" s="80">
        <f>BL67*Timeline!BL$8</f>
        <v/>
      </c>
    </row>
    <row r="69"/>
    <row r="70">
      <c r="A70" s="18" t="inlineStr">
        <is>
          <t>The gap is subsidy claimed but not yet in the bank. Under the repayment-linked and hybrid designs it includes amounts reduced at verification, which are never received; under the ownership-linked design it includes amounts deferred to twice the tenor. The company finances the gap until disbursement. RBF is cash from the programme, never a customer payment.</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BL286"/>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5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Credit engine: DPD, default, recovery, PD/LGD proxies, indicative ECL, eligibility</t>
        </is>
      </c>
    </row>
    <row r="2">
      <c r="A2" s="18" t="inlineStr">
        <is>
          <t>[FORECAST (Proxy) or ACTUAL (selected block in Actual mode)]  PROXY block = projection from repayment curves (drives the facility). SELECTED block = Proxy or Actual per data mode (reporting).  This is an analytical modelling treatment and does not constitute a determination of the applicable accounting treatment under IFRS.</t>
        </is>
      </c>
    </row>
    <row r="3"/>
    <row r="4">
      <c r="A4" s="94" t="inlineStr">
        <is>
          <t>Month #</t>
        </is>
      </c>
      <c r="B4" s="95" t="n"/>
      <c r="C4" s="95" t="n"/>
      <c r="D4" s="94" t="inlineStr">
        <is>
          <t>Opening</t>
        </is>
      </c>
      <c r="E4" s="96">
        <f>Timeline!E4</f>
        <v/>
      </c>
      <c r="F4" s="96">
        <f>Timeline!F4</f>
        <v/>
      </c>
      <c r="G4" s="96">
        <f>Timeline!G4</f>
        <v/>
      </c>
      <c r="H4" s="96">
        <f>Timeline!H4</f>
        <v/>
      </c>
      <c r="I4" s="96">
        <f>Timeline!I4</f>
        <v/>
      </c>
      <c r="J4" s="96">
        <f>Timeline!J4</f>
        <v/>
      </c>
      <c r="K4" s="96">
        <f>Timeline!K4</f>
        <v/>
      </c>
      <c r="L4" s="96">
        <f>Timeline!L4</f>
        <v/>
      </c>
      <c r="M4" s="96">
        <f>Timeline!M4</f>
        <v/>
      </c>
      <c r="N4" s="96">
        <f>Timeline!N4</f>
        <v/>
      </c>
      <c r="O4" s="96">
        <f>Timeline!O4</f>
        <v/>
      </c>
      <c r="P4" s="96">
        <f>Timeline!P4</f>
        <v/>
      </c>
      <c r="Q4" s="96">
        <f>Timeline!Q4</f>
        <v/>
      </c>
      <c r="R4" s="96">
        <f>Timeline!R4</f>
        <v/>
      </c>
      <c r="S4" s="96">
        <f>Timeline!S4</f>
        <v/>
      </c>
      <c r="T4" s="96">
        <f>Timeline!T4</f>
        <v/>
      </c>
      <c r="U4" s="96">
        <f>Timeline!U4</f>
        <v/>
      </c>
      <c r="V4" s="96">
        <f>Timeline!V4</f>
        <v/>
      </c>
      <c r="W4" s="96">
        <f>Timeline!W4</f>
        <v/>
      </c>
      <c r="X4" s="96">
        <f>Timeline!X4</f>
        <v/>
      </c>
      <c r="Y4" s="96">
        <f>Timeline!Y4</f>
        <v/>
      </c>
      <c r="Z4" s="96">
        <f>Timeline!Z4</f>
        <v/>
      </c>
      <c r="AA4" s="96">
        <f>Timeline!AA4</f>
        <v/>
      </c>
      <c r="AB4" s="96">
        <f>Timeline!AB4</f>
        <v/>
      </c>
      <c r="AC4" s="96">
        <f>Timeline!AC4</f>
        <v/>
      </c>
      <c r="AD4" s="96">
        <f>Timeline!AD4</f>
        <v/>
      </c>
      <c r="AE4" s="96">
        <f>Timeline!AE4</f>
        <v/>
      </c>
      <c r="AF4" s="96">
        <f>Timeline!AF4</f>
        <v/>
      </c>
      <c r="AG4" s="96">
        <f>Timeline!AG4</f>
        <v/>
      </c>
      <c r="AH4" s="96">
        <f>Timeline!AH4</f>
        <v/>
      </c>
      <c r="AI4" s="96">
        <f>Timeline!AI4</f>
        <v/>
      </c>
      <c r="AJ4" s="96">
        <f>Timeline!AJ4</f>
        <v/>
      </c>
      <c r="AK4" s="96">
        <f>Timeline!AK4</f>
        <v/>
      </c>
      <c r="AL4" s="96">
        <f>Timeline!AL4</f>
        <v/>
      </c>
      <c r="AM4" s="96">
        <f>Timeline!AM4</f>
        <v/>
      </c>
      <c r="AN4" s="96">
        <f>Timeline!AN4</f>
        <v/>
      </c>
      <c r="AO4" s="96">
        <f>Timeline!AO4</f>
        <v/>
      </c>
      <c r="AP4" s="96">
        <f>Timeline!AP4</f>
        <v/>
      </c>
      <c r="AQ4" s="96">
        <f>Timeline!AQ4</f>
        <v/>
      </c>
      <c r="AR4" s="96">
        <f>Timeline!AR4</f>
        <v/>
      </c>
      <c r="AS4" s="96">
        <f>Timeline!AS4</f>
        <v/>
      </c>
      <c r="AT4" s="96">
        <f>Timeline!AT4</f>
        <v/>
      </c>
      <c r="AU4" s="96">
        <f>Timeline!AU4</f>
        <v/>
      </c>
      <c r="AV4" s="96">
        <f>Timeline!AV4</f>
        <v/>
      </c>
      <c r="AW4" s="96">
        <f>Timeline!AW4</f>
        <v/>
      </c>
      <c r="AX4" s="96">
        <f>Timeline!AX4</f>
        <v/>
      </c>
      <c r="AY4" s="96">
        <f>Timeline!AY4</f>
        <v/>
      </c>
      <c r="AZ4" s="96">
        <f>Timeline!AZ4</f>
        <v/>
      </c>
      <c r="BA4" s="96">
        <f>Timeline!BA4</f>
        <v/>
      </c>
      <c r="BB4" s="96">
        <f>Timeline!BB4</f>
        <v/>
      </c>
      <c r="BC4" s="96">
        <f>Timeline!BC4</f>
        <v/>
      </c>
      <c r="BD4" s="96">
        <f>Timeline!BD4</f>
        <v/>
      </c>
      <c r="BE4" s="96">
        <f>Timeline!BE4</f>
        <v/>
      </c>
      <c r="BF4" s="96">
        <f>Timeline!BF4</f>
        <v/>
      </c>
      <c r="BG4" s="96">
        <f>Timeline!BG4</f>
        <v/>
      </c>
      <c r="BH4" s="96">
        <f>Timeline!BH4</f>
        <v/>
      </c>
      <c r="BI4" s="96">
        <f>Timeline!BI4</f>
        <v/>
      </c>
      <c r="BJ4" s="96">
        <f>Timeline!BJ4</f>
        <v/>
      </c>
      <c r="BK4" s="96">
        <f>Timeline!BK4</f>
        <v/>
      </c>
      <c r="BL4" s="96">
        <f>Timeline!BL4</f>
        <v/>
      </c>
    </row>
    <row r="5">
      <c r="A5" s="94" t="inlineStr">
        <is>
          <t>Period end</t>
        </is>
      </c>
      <c r="B5" s="95" t="n"/>
      <c r="C5" s="95" t="n"/>
      <c r="D5" s="94" t="n"/>
      <c r="E5" s="97">
        <f>Timeline!E5</f>
        <v/>
      </c>
      <c r="F5" s="97">
        <f>Timeline!F5</f>
        <v/>
      </c>
      <c r="G5" s="97">
        <f>Timeline!G5</f>
        <v/>
      </c>
      <c r="H5" s="97">
        <f>Timeline!H5</f>
        <v/>
      </c>
      <c r="I5" s="97">
        <f>Timeline!I5</f>
        <v/>
      </c>
      <c r="J5" s="97">
        <f>Timeline!J5</f>
        <v/>
      </c>
      <c r="K5" s="97">
        <f>Timeline!K5</f>
        <v/>
      </c>
      <c r="L5" s="97">
        <f>Timeline!L5</f>
        <v/>
      </c>
      <c r="M5" s="97">
        <f>Timeline!M5</f>
        <v/>
      </c>
      <c r="N5" s="97">
        <f>Timeline!N5</f>
        <v/>
      </c>
      <c r="O5" s="97">
        <f>Timeline!O5</f>
        <v/>
      </c>
      <c r="P5" s="97">
        <f>Timeline!P5</f>
        <v/>
      </c>
      <c r="Q5" s="97">
        <f>Timeline!Q5</f>
        <v/>
      </c>
      <c r="R5" s="97">
        <f>Timeline!R5</f>
        <v/>
      </c>
      <c r="S5" s="97">
        <f>Timeline!S5</f>
        <v/>
      </c>
      <c r="T5" s="97">
        <f>Timeline!T5</f>
        <v/>
      </c>
      <c r="U5" s="97">
        <f>Timeline!U5</f>
        <v/>
      </c>
      <c r="V5" s="97">
        <f>Timeline!V5</f>
        <v/>
      </c>
      <c r="W5" s="97">
        <f>Timeline!W5</f>
        <v/>
      </c>
      <c r="X5" s="97">
        <f>Timeline!X5</f>
        <v/>
      </c>
      <c r="Y5" s="97">
        <f>Timeline!Y5</f>
        <v/>
      </c>
      <c r="Z5" s="97">
        <f>Timeline!Z5</f>
        <v/>
      </c>
      <c r="AA5" s="97">
        <f>Timeline!AA5</f>
        <v/>
      </c>
      <c r="AB5" s="97">
        <f>Timeline!AB5</f>
        <v/>
      </c>
      <c r="AC5" s="97">
        <f>Timeline!AC5</f>
        <v/>
      </c>
      <c r="AD5" s="97">
        <f>Timeline!AD5</f>
        <v/>
      </c>
      <c r="AE5" s="97">
        <f>Timeline!AE5</f>
        <v/>
      </c>
      <c r="AF5" s="97">
        <f>Timeline!AF5</f>
        <v/>
      </c>
      <c r="AG5" s="97">
        <f>Timeline!AG5</f>
        <v/>
      </c>
      <c r="AH5" s="97">
        <f>Timeline!AH5</f>
        <v/>
      </c>
      <c r="AI5" s="97">
        <f>Timeline!AI5</f>
        <v/>
      </c>
      <c r="AJ5" s="97">
        <f>Timeline!AJ5</f>
        <v/>
      </c>
      <c r="AK5" s="97">
        <f>Timeline!AK5</f>
        <v/>
      </c>
      <c r="AL5" s="97">
        <f>Timeline!AL5</f>
        <v/>
      </c>
      <c r="AM5" s="97">
        <f>Timeline!AM5</f>
        <v/>
      </c>
      <c r="AN5" s="97">
        <f>Timeline!AN5</f>
        <v/>
      </c>
      <c r="AO5" s="97">
        <f>Timeline!AO5</f>
        <v/>
      </c>
      <c r="AP5" s="97">
        <f>Timeline!AP5</f>
        <v/>
      </c>
      <c r="AQ5" s="97">
        <f>Timeline!AQ5</f>
        <v/>
      </c>
      <c r="AR5" s="97">
        <f>Timeline!AR5</f>
        <v/>
      </c>
      <c r="AS5" s="97">
        <f>Timeline!AS5</f>
        <v/>
      </c>
      <c r="AT5" s="97">
        <f>Timeline!AT5</f>
        <v/>
      </c>
      <c r="AU5" s="97">
        <f>Timeline!AU5</f>
        <v/>
      </c>
      <c r="AV5" s="97">
        <f>Timeline!AV5</f>
        <v/>
      </c>
      <c r="AW5" s="97">
        <f>Timeline!AW5</f>
        <v/>
      </c>
      <c r="AX5" s="97">
        <f>Timeline!AX5</f>
        <v/>
      </c>
      <c r="AY5" s="97">
        <f>Timeline!AY5</f>
        <v/>
      </c>
      <c r="AZ5" s="97">
        <f>Timeline!AZ5</f>
        <v/>
      </c>
      <c r="BA5" s="97">
        <f>Timeline!BA5</f>
        <v/>
      </c>
      <c r="BB5" s="97">
        <f>Timeline!BB5</f>
        <v/>
      </c>
      <c r="BC5" s="97">
        <f>Timeline!BC5</f>
        <v/>
      </c>
      <c r="BD5" s="97">
        <f>Timeline!BD5</f>
        <v/>
      </c>
      <c r="BE5" s="97">
        <f>Timeline!BE5</f>
        <v/>
      </c>
      <c r="BF5" s="97">
        <f>Timeline!BF5</f>
        <v/>
      </c>
      <c r="BG5" s="97">
        <f>Timeline!BG5</f>
        <v/>
      </c>
      <c r="BH5" s="97">
        <f>Timeline!BH5</f>
        <v/>
      </c>
      <c r="BI5" s="97">
        <f>Timeline!BI5</f>
        <v/>
      </c>
      <c r="BJ5" s="97">
        <f>Timeline!BJ5</f>
        <v/>
      </c>
      <c r="BK5" s="97">
        <f>Timeline!BK5</f>
        <v/>
      </c>
      <c r="BL5" s="97">
        <f>Timeline!BL5</f>
        <v/>
      </c>
    </row>
    <row r="6">
      <c r="A6" s="94" t="inlineStr">
        <is>
          <t>Year #</t>
        </is>
      </c>
      <c r="B6" s="95" t="n"/>
      <c r="C6" s="95" t="n"/>
      <c r="D6" s="94" t="n"/>
      <c r="E6" s="96">
        <f>Timeline!E6</f>
        <v/>
      </c>
      <c r="F6" s="96">
        <f>Timeline!F6</f>
        <v/>
      </c>
      <c r="G6" s="96">
        <f>Timeline!G6</f>
        <v/>
      </c>
      <c r="H6" s="96">
        <f>Timeline!H6</f>
        <v/>
      </c>
      <c r="I6" s="96">
        <f>Timeline!I6</f>
        <v/>
      </c>
      <c r="J6" s="96">
        <f>Timeline!J6</f>
        <v/>
      </c>
      <c r="K6" s="96">
        <f>Timeline!K6</f>
        <v/>
      </c>
      <c r="L6" s="96">
        <f>Timeline!L6</f>
        <v/>
      </c>
      <c r="M6" s="96">
        <f>Timeline!M6</f>
        <v/>
      </c>
      <c r="N6" s="96">
        <f>Timeline!N6</f>
        <v/>
      </c>
      <c r="O6" s="96">
        <f>Timeline!O6</f>
        <v/>
      </c>
      <c r="P6" s="96">
        <f>Timeline!P6</f>
        <v/>
      </c>
      <c r="Q6" s="96">
        <f>Timeline!Q6</f>
        <v/>
      </c>
      <c r="R6" s="96">
        <f>Timeline!R6</f>
        <v/>
      </c>
      <c r="S6" s="96">
        <f>Timeline!S6</f>
        <v/>
      </c>
      <c r="T6" s="96">
        <f>Timeline!T6</f>
        <v/>
      </c>
      <c r="U6" s="96">
        <f>Timeline!U6</f>
        <v/>
      </c>
      <c r="V6" s="96">
        <f>Timeline!V6</f>
        <v/>
      </c>
      <c r="W6" s="96">
        <f>Timeline!W6</f>
        <v/>
      </c>
      <c r="X6" s="96">
        <f>Timeline!X6</f>
        <v/>
      </c>
      <c r="Y6" s="96">
        <f>Timeline!Y6</f>
        <v/>
      </c>
      <c r="Z6" s="96">
        <f>Timeline!Z6</f>
        <v/>
      </c>
      <c r="AA6" s="96">
        <f>Timeline!AA6</f>
        <v/>
      </c>
      <c r="AB6" s="96">
        <f>Timeline!AB6</f>
        <v/>
      </c>
      <c r="AC6" s="96">
        <f>Timeline!AC6</f>
        <v/>
      </c>
      <c r="AD6" s="96">
        <f>Timeline!AD6</f>
        <v/>
      </c>
      <c r="AE6" s="96">
        <f>Timeline!AE6</f>
        <v/>
      </c>
      <c r="AF6" s="96">
        <f>Timeline!AF6</f>
        <v/>
      </c>
      <c r="AG6" s="96">
        <f>Timeline!AG6</f>
        <v/>
      </c>
      <c r="AH6" s="96">
        <f>Timeline!AH6</f>
        <v/>
      </c>
      <c r="AI6" s="96">
        <f>Timeline!AI6</f>
        <v/>
      </c>
      <c r="AJ6" s="96">
        <f>Timeline!AJ6</f>
        <v/>
      </c>
      <c r="AK6" s="96">
        <f>Timeline!AK6</f>
        <v/>
      </c>
      <c r="AL6" s="96">
        <f>Timeline!AL6</f>
        <v/>
      </c>
      <c r="AM6" s="96">
        <f>Timeline!AM6</f>
        <v/>
      </c>
      <c r="AN6" s="96">
        <f>Timeline!AN6</f>
        <v/>
      </c>
      <c r="AO6" s="96">
        <f>Timeline!AO6</f>
        <v/>
      </c>
      <c r="AP6" s="96">
        <f>Timeline!AP6</f>
        <v/>
      </c>
      <c r="AQ6" s="96">
        <f>Timeline!AQ6</f>
        <v/>
      </c>
      <c r="AR6" s="96">
        <f>Timeline!AR6</f>
        <v/>
      </c>
      <c r="AS6" s="96">
        <f>Timeline!AS6</f>
        <v/>
      </c>
      <c r="AT6" s="96">
        <f>Timeline!AT6</f>
        <v/>
      </c>
      <c r="AU6" s="96">
        <f>Timeline!AU6</f>
        <v/>
      </c>
      <c r="AV6" s="96">
        <f>Timeline!AV6</f>
        <v/>
      </c>
      <c r="AW6" s="96">
        <f>Timeline!AW6</f>
        <v/>
      </c>
      <c r="AX6" s="96">
        <f>Timeline!AX6</f>
        <v/>
      </c>
      <c r="AY6" s="96">
        <f>Timeline!AY6</f>
        <v/>
      </c>
      <c r="AZ6" s="96">
        <f>Timeline!AZ6</f>
        <v/>
      </c>
      <c r="BA6" s="96">
        <f>Timeline!BA6</f>
        <v/>
      </c>
      <c r="BB6" s="96">
        <f>Timeline!BB6</f>
        <v/>
      </c>
      <c r="BC6" s="96">
        <f>Timeline!BC6</f>
        <v/>
      </c>
      <c r="BD6" s="96">
        <f>Timeline!BD6</f>
        <v/>
      </c>
      <c r="BE6" s="96">
        <f>Timeline!BE6</f>
        <v/>
      </c>
      <c r="BF6" s="96">
        <f>Timeline!BF6</f>
        <v/>
      </c>
      <c r="BG6" s="96">
        <f>Timeline!BG6</f>
        <v/>
      </c>
      <c r="BH6" s="96">
        <f>Timeline!BH6</f>
        <v/>
      </c>
      <c r="BI6" s="96">
        <f>Timeline!BI6</f>
        <v/>
      </c>
      <c r="BJ6" s="96">
        <f>Timeline!BJ6</f>
        <v/>
      </c>
      <c r="BK6" s="96">
        <f>Timeline!BK6</f>
        <v/>
      </c>
      <c r="BL6" s="96">
        <f>Timeline!BL6</f>
        <v/>
      </c>
    </row>
    <row r="7"/>
    <row r="8">
      <c r="A8" s="21" t="inlineStr">
        <is>
          <t>Tier 1: Pico solar kit: PROXY (projection)</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98" t="inlineStr">
        <is>
          <t>Gross receivables</t>
        </is>
      </c>
      <c r="B9" s="65" t="inlineStr">
        <is>
          <t>LCY</t>
        </is>
      </c>
      <c r="C9" s="105">
        <f>BL9</f>
        <v/>
      </c>
      <c r="E9" s="41">
        <f>Ops!E$24</f>
        <v/>
      </c>
      <c r="F9" s="41">
        <f>Ops!F$24</f>
        <v/>
      </c>
      <c r="G9" s="41">
        <f>Ops!G$24</f>
        <v/>
      </c>
      <c r="H9" s="41">
        <f>Ops!H$24</f>
        <v/>
      </c>
      <c r="I9" s="41">
        <f>Ops!I$24</f>
        <v/>
      </c>
      <c r="J9" s="41">
        <f>Ops!J$24</f>
        <v/>
      </c>
      <c r="K9" s="41">
        <f>Ops!K$24</f>
        <v/>
      </c>
      <c r="L9" s="41">
        <f>Ops!L$24</f>
        <v/>
      </c>
      <c r="M9" s="41">
        <f>Ops!M$24</f>
        <v/>
      </c>
      <c r="N9" s="41">
        <f>Ops!N$24</f>
        <v/>
      </c>
      <c r="O9" s="41">
        <f>Ops!O$24</f>
        <v/>
      </c>
      <c r="P9" s="41">
        <f>Ops!P$24</f>
        <v/>
      </c>
      <c r="Q9" s="41">
        <f>Ops!Q$24</f>
        <v/>
      </c>
      <c r="R9" s="41">
        <f>Ops!R$24</f>
        <v/>
      </c>
      <c r="S9" s="41">
        <f>Ops!S$24</f>
        <v/>
      </c>
      <c r="T9" s="41">
        <f>Ops!T$24</f>
        <v/>
      </c>
      <c r="U9" s="41">
        <f>Ops!U$24</f>
        <v/>
      </c>
      <c r="V9" s="41">
        <f>Ops!V$24</f>
        <v/>
      </c>
      <c r="W9" s="41">
        <f>Ops!W$24</f>
        <v/>
      </c>
      <c r="X9" s="41">
        <f>Ops!X$24</f>
        <v/>
      </c>
      <c r="Y9" s="41">
        <f>Ops!Y$24</f>
        <v/>
      </c>
      <c r="Z9" s="41">
        <f>Ops!Z$24</f>
        <v/>
      </c>
      <c r="AA9" s="41">
        <f>Ops!AA$24</f>
        <v/>
      </c>
      <c r="AB9" s="41">
        <f>Ops!AB$24</f>
        <v/>
      </c>
      <c r="AC9" s="41">
        <f>Ops!AC$24</f>
        <v/>
      </c>
      <c r="AD9" s="41">
        <f>Ops!AD$24</f>
        <v/>
      </c>
      <c r="AE9" s="41">
        <f>Ops!AE$24</f>
        <v/>
      </c>
      <c r="AF9" s="41">
        <f>Ops!AF$24</f>
        <v/>
      </c>
      <c r="AG9" s="41">
        <f>Ops!AG$24</f>
        <v/>
      </c>
      <c r="AH9" s="41">
        <f>Ops!AH$24</f>
        <v/>
      </c>
      <c r="AI9" s="41">
        <f>Ops!AI$24</f>
        <v/>
      </c>
      <c r="AJ9" s="41">
        <f>Ops!AJ$24</f>
        <v/>
      </c>
      <c r="AK9" s="41">
        <f>Ops!AK$24</f>
        <v/>
      </c>
      <c r="AL9" s="41">
        <f>Ops!AL$24</f>
        <v/>
      </c>
      <c r="AM9" s="41">
        <f>Ops!AM$24</f>
        <v/>
      </c>
      <c r="AN9" s="41">
        <f>Ops!AN$24</f>
        <v/>
      </c>
      <c r="AO9" s="41">
        <f>Ops!AO$24</f>
        <v/>
      </c>
      <c r="AP9" s="41">
        <f>Ops!AP$24</f>
        <v/>
      </c>
      <c r="AQ9" s="41">
        <f>Ops!AQ$24</f>
        <v/>
      </c>
      <c r="AR9" s="41">
        <f>Ops!AR$24</f>
        <v/>
      </c>
      <c r="AS9" s="41">
        <f>Ops!AS$24</f>
        <v/>
      </c>
      <c r="AT9" s="41">
        <f>Ops!AT$24</f>
        <v/>
      </c>
      <c r="AU9" s="41">
        <f>Ops!AU$24</f>
        <v/>
      </c>
      <c r="AV9" s="41">
        <f>Ops!AV$24</f>
        <v/>
      </c>
      <c r="AW9" s="41">
        <f>Ops!AW$24</f>
        <v/>
      </c>
      <c r="AX9" s="41">
        <f>Ops!AX$24</f>
        <v/>
      </c>
      <c r="AY9" s="41">
        <f>Ops!AY$24</f>
        <v/>
      </c>
      <c r="AZ9" s="41">
        <f>Ops!AZ$24</f>
        <v/>
      </c>
      <c r="BA9" s="41">
        <f>Ops!BA$24</f>
        <v/>
      </c>
      <c r="BB9" s="41">
        <f>Ops!BB$24</f>
        <v/>
      </c>
      <c r="BC9" s="41">
        <f>Ops!BC$24</f>
        <v/>
      </c>
      <c r="BD9" s="41">
        <f>Ops!BD$24</f>
        <v/>
      </c>
      <c r="BE9" s="41">
        <f>Ops!BE$24</f>
        <v/>
      </c>
      <c r="BF9" s="41">
        <f>Ops!BF$24</f>
        <v/>
      </c>
      <c r="BG9" s="41">
        <f>Ops!BG$24</f>
        <v/>
      </c>
      <c r="BH9" s="41">
        <f>Ops!BH$24</f>
        <v/>
      </c>
      <c r="BI9" s="41">
        <f>Ops!BI$24</f>
        <v/>
      </c>
      <c r="BJ9" s="41">
        <f>Ops!BJ$24</f>
        <v/>
      </c>
      <c r="BK9" s="41">
        <f>Ops!BK$24</f>
        <v/>
      </c>
      <c r="BL9" s="41">
        <f>Ops!BL$24</f>
        <v/>
      </c>
    </row>
    <row r="10">
      <c r="A10" s="98" t="inlineStr">
        <is>
          <t>Receivables at risk (stopped paying)</t>
        </is>
      </c>
      <c r="B10" s="65" t="inlineStr">
        <is>
          <t>LCY</t>
        </is>
      </c>
      <c r="C10" s="105">
        <f>BL10</f>
        <v/>
      </c>
      <c r="E10" s="41">
        <f>Ops!E$23</f>
        <v/>
      </c>
      <c r="F10" s="41">
        <f>Ops!F$23</f>
        <v/>
      </c>
      <c r="G10" s="41">
        <f>Ops!G$23</f>
        <v/>
      </c>
      <c r="H10" s="41">
        <f>Ops!H$23</f>
        <v/>
      </c>
      <c r="I10" s="41">
        <f>Ops!I$23</f>
        <v/>
      </c>
      <c r="J10" s="41">
        <f>Ops!J$23</f>
        <v/>
      </c>
      <c r="K10" s="41">
        <f>Ops!K$23</f>
        <v/>
      </c>
      <c r="L10" s="41">
        <f>Ops!L$23</f>
        <v/>
      </c>
      <c r="M10" s="41">
        <f>Ops!M$23</f>
        <v/>
      </c>
      <c r="N10" s="41">
        <f>Ops!N$23</f>
        <v/>
      </c>
      <c r="O10" s="41">
        <f>Ops!O$23</f>
        <v/>
      </c>
      <c r="P10" s="41">
        <f>Ops!P$23</f>
        <v/>
      </c>
      <c r="Q10" s="41">
        <f>Ops!Q$23</f>
        <v/>
      </c>
      <c r="R10" s="41">
        <f>Ops!R$23</f>
        <v/>
      </c>
      <c r="S10" s="41">
        <f>Ops!S$23</f>
        <v/>
      </c>
      <c r="T10" s="41">
        <f>Ops!T$23</f>
        <v/>
      </c>
      <c r="U10" s="41">
        <f>Ops!U$23</f>
        <v/>
      </c>
      <c r="V10" s="41">
        <f>Ops!V$23</f>
        <v/>
      </c>
      <c r="W10" s="41">
        <f>Ops!W$23</f>
        <v/>
      </c>
      <c r="X10" s="41">
        <f>Ops!X$23</f>
        <v/>
      </c>
      <c r="Y10" s="41">
        <f>Ops!Y$23</f>
        <v/>
      </c>
      <c r="Z10" s="41">
        <f>Ops!Z$23</f>
        <v/>
      </c>
      <c r="AA10" s="41">
        <f>Ops!AA$23</f>
        <v/>
      </c>
      <c r="AB10" s="41">
        <f>Ops!AB$23</f>
        <v/>
      </c>
      <c r="AC10" s="41">
        <f>Ops!AC$23</f>
        <v/>
      </c>
      <c r="AD10" s="41">
        <f>Ops!AD$23</f>
        <v/>
      </c>
      <c r="AE10" s="41">
        <f>Ops!AE$23</f>
        <v/>
      </c>
      <c r="AF10" s="41">
        <f>Ops!AF$23</f>
        <v/>
      </c>
      <c r="AG10" s="41">
        <f>Ops!AG$23</f>
        <v/>
      </c>
      <c r="AH10" s="41">
        <f>Ops!AH$23</f>
        <v/>
      </c>
      <c r="AI10" s="41">
        <f>Ops!AI$23</f>
        <v/>
      </c>
      <c r="AJ10" s="41">
        <f>Ops!AJ$23</f>
        <v/>
      </c>
      <c r="AK10" s="41">
        <f>Ops!AK$23</f>
        <v/>
      </c>
      <c r="AL10" s="41">
        <f>Ops!AL$23</f>
        <v/>
      </c>
      <c r="AM10" s="41">
        <f>Ops!AM$23</f>
        <v/>
      </c>
      <c r="AN10" s="41">
        <f>Ops!AN$23</f>
        <v/>
      </c>
      <c r="AO10" s="41">
        <f>Ops!AO$23</f>
        <v/>
      </c>
      <c r="AP10" s="41">
        <f>Ops!AP$23</f>
        <v/>
      </c>
      <c r="AQ10" s="41">
        <f>Ops!AQ$23</f>
        <v/>
      </c>
      <c r="AR10" s="41">
        <f>Ops!AR$23</f>
        <v/>
      </c>
      <c r="AS10" s="41">
        <f>Ops!AS$23</f>
        <v/>
      </c>
      <c r="AT10" s="41">
        <f>Ops!AT$23</f>
        <v/>
      </c>
      <c r="AU10" s="41">
        <f>Ops!AU$23</f>
        <v/>
      </c>
      <c r="AV10" s="41">
        <f>Ops!AV$23</f>
        <v/>
      </c>
      <c r="AW10" s="41">
        <f>Ops!AW$23</f>
        <v/>
      </c>
      <c r="AX10" s="41">
        <f>Ops!AX$23</f>
        <v/>
      </c>
      <c r="AY10" s="41">
        <f>Ops!AY$23</f>
        <v/>
      </c>
      <c r="AZ10" s="41">
        <f>Ops!AZ$23</f>
        <v/>
      </c>
      <c r="BA10" s="41">
        <f>Ops!BA$23</f>
        <v/>
      </c>
      <c r="BB10" s="41">
        <f>Ops!BB$23</f>
        <v/>
      </c>
      <c r="BC10" s="41">
        <f>Ops!BC$23</f>
        <v/>
      </c>
      <c r="BD10" s="41">
        <f>Ops!BD$23</f>
        <v/>
      </c>
      <c r="BE10" s="41">
        <f>Ops!BE$23</f>
        <v/>
      </c>
      <c r="BF10" s="41">
        <f>Ops!BF$23</f>
        <v/>
      </c>
      <c r="BG10" s="41">
        <f>Ops!BG$23</f>
        <v/>
      </c>
      <c r="BH10" s="41">
        <f>Ops!BH$23</f>
        <v/>
      </c>
      <c r="BI10" s="41">
        <f>Ops!BI$23</f>
        <v/>
      </c>
      <c r="BJ10" s="41">
        <f>Ops!BJ$23</f>
        <v/>
      </c>
      <c r="BK10" s="41">
        <f>Ops!BK$23</f>
        <v/>
      </c>
      <c r="BL10" s="41">
        <f>Ops!BL$23</f>
        <v/>
      </c>
    </row>
    <row r="11">
      <c r="A11" s="98" t="inlineStr">
        <is>
          <t>Receivables of paying accounts</t>
        </is>
      </c>
      <c r="B11" s="65" t="inlineStr">
        <is>
          <t>LCY</t>
        </is>
      </c>
      <c r="C11" s="105">
        <f>BL11</f>
        <v/>
      </c>
      <c r="E11" s="80">
        <f>E9-E10</f>
        <v/>
      </c>
      <c r="F11" s="80">
        <f>F9-F10</f>
        <v/>
      </c>
      <c r="G11" s="80">
        <f>G9-G10</f>
        <v/>
      </c>
      <c r="H11" s="80">
        <f>H9-H10</f>
        <v/>
      </c>
      <c r="I11" s="80">
        <f>I9-I10</f>
        <v/>
      </c>
      <c r="J11" s="80">
        <f>J9-J10</f>
        <v/>
      </c>
      <c r="K11" s="80">
        <f>K9-K10</f>
        <v/>
      </c>
      <c r="L11" s="80">
        <f>L9-L10</f>
        <v/>
      </c>
      <c r="M11" s="80">
        <f>M9-M10</f>
        <v/>
      </c>
      <c r="N11" s="80">
        <f>N9-N10</f>
        <v/>
      </c>
      <c r="O11" s="80">
        <f>O9-O10</f>
        <v/>
      </c>
      <c r="P11" s="80">
        <f>P9-P10</f>
        <v/>
      </c>
      <c r="Q11" s="80">
        <f>Q9-Q10</f>
        <v/>
      </c>
      <c r="R11" s="80">
        <f>R9-R10</f>
        <v/>
      </c>
      <c r="S11" s="80">
        <f>S9-S10</f>
        <v/>
      </c>
      <c r="T11" s="80">
        <f>T9-T10</f>
        <v/>
      </c>
      <c r="U11" s="80">
        <f>U9-U10</f>
        <v/>
      </c>
      <c r="V11" s="80">
        <f>V9-V10</f>
        <v/>
      </c>
      <c r="W11" s="80">
        <f>W9-W10</f>
        <v/>
      </c>
      <c r="X11" s="80">
        <f>X9-X10</f>
        <v/>
      </c>
      <c r="Y11" s="80">
        <f>Y9-Y10</f>
        <v/>
      </c>
      <c r="Z11" s="80">
        <f>Z9-Z10</f>
        <v/>
      </c>
      <c r="AA11" s="80">
        <f>AA9-AA10</f>
        <v/>
      </c>
      <c r="AB11" s="80">
        <f>AB9-AB10</f>
        <v/>
      </c>
      <c r="AC11" s="80">
        <f>AC9-AC10</f>
        <v/>
      </c>
      <c r="AD11" s="80">
        <f>AD9-AD10</f>
        <v/>
      </c>
      <c r="AE11" s="80">
        <f>AE9-AE10</f>
        <v/>
      </c>
      <c r="AF11" s="80">
        <f>AF9-AF10</f>
        <v/>
      </c>
      <c r="AG11" s="80">
        <f>AG9-AG10</f>
        <v/>
      </c>
      <c r="AH11" s="80">
        <f>AH9-AH10</f>
        <v/>
      </c>
      <c r="AI11" s="80">
        <f>AI9-AI10</f>
        <v/>
      </c>
      <c r="AJ11" s="80">
        <f>AJ9-AJ10</f>
        <v/>
      </c>
      <c r="AK11" s="80">
        <f>AK9-AK10</f>
        <v/>
      </c>
      <c r="AL11" s="80">
        <f>AL9-AL10</f>
        <v/>
      </c>
      <c r="AM11" s="80">
        <f>AM9-AM10</f>
        <v/>
      </c>
      <c r="AN11" s="80">
        <f>AN9-AN10</f>
        <v/>
      </c>
      <c r="AO11" s="80">
        <f>AO9-AO10</f>
        <v/>
      </c>
      <c r="AP11" s="80">
        <f>AP9-AP10</f>
        <v/>
      </c>
      <c r="AQ11" s="80">
        <f>AQ9-AQ10</f>
        <v/>
      </c>
      <c r="AR11" s="80">
        <f>AR9-AR10</f>
        <v/>
      </c>
      <c r="AS11" s="80">
        <f>AS9-AS10</f>
        <v/>
      </c>
      <c r="AT11" s="80">
        <f>AT9-AT10</f>
        <v/>
      </c>
      <c r="AU11" s="80">
        <f>AU9-AU10</f>
        <v/>
      </c>
      <c r="AV11" s="80">
        <f>AV9-AV10</f>
        <v/>
      </c>
      <c r="AW11" s="80">
        <f>AW9-AW10</f>
        <v/>
      </c>
      <c r="AX11" s="80">
        <f>AX9-AX10</f>
        <v/>
      </c>
      <c r="AY11" s="80">
        <f>AY9-AY10</f>
        <v/>
      </c>
      <c r="AZ11" s="80">
        <f>AZ9-AZ10</f>
        <v/>
      </c>
      <c r="BA11" s="80">
        <f>BA9-BA10</f>
        <v/>
      </c>
      <c r="BB11" s="80">
        <f>BB9-BB10</f>
        <v/>
      </c>
      <c r="BC11" s="80">
        <f>BC9-BC10</f>
        <v/>
      </c>
      <c r="BD11" s="80">
        <f>BD9-BD10</f>
        <v/>
      </c>
      <c r="BE11" s="80">
        <f>BE9-BE10</f>
        <v/>
      </c>
      <c r="BF11" s="80">
        <f>BF9-BF10</f>
        <v/>
      </c>
      <c r="BG11" s="80">
        <f>BG9-BG10</f>
        <v/>
      </c>
      <c r="BH11" s="80">
        <f>BH9-BH10</f>
        <v/>
      </c>
      <c r="BI11" s="80">
        <f>BI9-BI10</f>
        <v/>
      </c>
      <c r="BJ11" s="80">
        <f>BJ9-BJ10</f>
        <v/>
      </c>
      <c r="BK11" s="80">
        <f>BK9-BK10</f>
        <v/>
      </c>
      <c r="BL11" s="80">
        <f>BL9-BL10</f>
        <v/>
      </c>
    </row>
    <row r="12">
      <c r="A12" s="98" t="inlineStr">
        <is>
          <t>Current</t>
        </is>
      </c>
      <c r="B12" s="65" t="inlineStr">
        <is>
          <t>LCY</t>
        </is>
      </c>
      <c r="C12" s="105">
        <f>BL12</f>
        <v/>
      </c>
      <c r="E12" s="80">
        <f>E11*Credit_Assumptions!$I$28</f>
        <v/>
      </c>
      <c r="F12" s="80">
        <f>F11*Credit_Assumptions!$I$28</f>
        <v/>
      </c>
      <c r="G12" s="80">
        <f>G11*Credit_Assumptions!$I$28</f>
        <v/>
      </c>
      <c r="H12" s="80">
        <f>H11*Credit_Assumptions!$I$28</f>
        <v/>
      </c>
      <c r="I12" s="80">
        <f>I11*Credit_Assumptions!$I$28</f>
        <v/>
      </c>
      <c r="J12" s="80">
        <f>J11*Credit_Assumptions!$I$28</f>
        <v/>
      </c>
      <c r="K12" s="80">
        <f>K11*Credit_Assumptions!$I$28</f>
        <v/>
      </c>
      <c r="L12" s="80">
        <f>L11*Credit_Assumptions!$I$28</f>
        <v/>
      </c>
      <c r="M12" s="80">
        <f>M11*Credit_Assumptions!$I$28</f>
        <v/>
      </c>
      <c r="N12" s="80">
        <f>N11*Credit_Assumptions!$I$28</f>
        <v/>
      </c>
      <c r="O12" s="80">
        <f>O11*Credit_Assumptions!$I$28</f>
        <v/>
      </c>
      <c r="P12" s="80">
        <f>P11*Credit_Assumptions!$I$28</f>
        <v/>
      </c>
      <c r="Q12" s="80">
        <f>Q11*Credit_Assumptions!$I$28</f>
        <v/>
      </c>
      <c r="R12" s="80">
        <f>R11*Credit_Assumptions!$I$28</f>
        <v/>
      </c>
      <c r="S12" s="80">
        <f>S11*Credit_Assumptions!$I$28</f>
        <v/>
      </c>
      <c r="T12" s="80">
        <f>T11*Credit_Assumptions!$I$28</f>
        <v/>
      </c>
      <c r="U12" s="80">
        <f>U11*Credit_Assumptions!$I$28</f>
        <v/>
      </c>
      <c r="V12" s="80">
        <f>V11*Credit_Assumptions!$I$28</f>
        <v/>
      </c>
      <c r="W12" s="80">
        <f>W11*Credit_Assumptions!$I$28</f>
        <v/>
      </c>
      <c r="X12" s="80">
        <f>X11*Credit_Assumptions!$I$28</f>
        <v/>
      </c>
      <c r="Y12" s="80">
        <f>Y11*Credit_Assumptions!$I$28</f>
        <v/>
      </c>
      <c r="Z12" s="80">
        <f>Z11*Credit_Assumptions!$I$28</f>
        <v/>
      </c>
      <c r="AA12" s="80">
        <f>AA11*Credit_Assumptions!$I$28</f>
        <v/>
      </c>
      <c r="AB12" s="80">
        <f>AB11*Credit_Assumptions!$I$28</f>
        <v/>
      </c>
      <c r="AC12" s="80">
        <f>AC11*Credit_Assumptions!$I$28</f>
        <v/>
      </c>
      <c r="AD12" s="80">
        <f>AD11*Credit_Assumptions!$I$28</f>
        <v/>
      </c>
      <c r="AE12" s="80">
        <f>AE11*Credit_Assumptions!$I$28</f>
        <v/>
      </c>
      <c r="AF12" s="80">
        <f>AF11*Credit_Assumptions!$I$28</f>
        <v/>
      </c>
      <c r="AG12" s="80">
        <f>AG11*Credit_Assumptions!$I$28</f>
        <v/>
      </c>
      <c r="AH12" s="80">
        <f>AH11*Credit_Assumptions!$I$28</f>
        <v/>
      </c>
      <c r="AI12" s="80">
        <f>AI11*Credit_Assumptions!$I$28</f>
        <v/>
      </c>
      <c r="AJ12" s="80">
        <f>AJ11*Credit_Assumptions!$I$28</f>
        <v/>
      </c>
      <c r="AK12" s="80">
        <f>AK11*Credit_Assumptions!$I$28</f>
        <v/>
      </c>
      <c r="AL12" s="80">
        <f>AL11*Credit_Assumptions!$I$28</f>
        <v/>
      </c>
      <c r="AM12" s="80">
        <f>AM11*Credit_Assumptions!$I$28</f>
        <v/>
      </c>
      <c r="AN12" s="80">
        <f>AN11*Credit_Assumptions!$I$28</f>
        <v/>
      </c>
      <c r="AO12" s="80">
        <f>AO11*Credit_Assumptions!$I$28</f>
        <v/>
      </c>
      <c r="AP12" s="80">
        <f>AP11*Credit_Assumptions!$I$28</f>
        <v/>
      </c>
      <c r="AQ12" s="80">
        <f>AQ11*Credit_Assumptions!$I$28</f>
        <v/>
      </c>
      <c r="AR12" s="80">
        <f>AR11*Credit_Assumptions!$I$28</f>
        <v/>
      </c>
      <c r="AS12" s="80">
        <f>AS11*Credit_Assumptions!$I$28</f>
        <v/>
      </c>
      <c r="AT12" s="80">
        <f>AT11*Credit_Assumptions!$I$28</f>
        <v/>
      </c>
      <c r="AU12" s="80">
        <f>AU11*Credit_Assumptions!$I$28</f>
        <v/>
      </c>
      <c r="AV12" s="80">
        <f>AV11*Credit_Assumptions!$I$28</f>
        <v/>
      </c>
      <c r="AW12" s="80">
        <f>AW11*Credit_Assumptions!$I$28</f>
        <v/>
      </c>
      <c r="AX12" s="80">
        <f>AX11*Credit_Assumptions!$I$28</f>
        <v/>
      </c>
      <c r="AY12" s="80">
        <f>AY11*Credit_Assumptions!$I$28</f>
        <v/>
      </c>
      <c r="AZ12" s="80">
        <f>AZ11*Credit_Assumptions!$I$28</f>
        <v/>
      </c>
      <c r="BA12" s="80">
        <f>BA11*Credit_Assumptions!$I$28</f>
        <v/>
      </c>
      <c r="BB12" s="80">
        <f>BB11*Credit_Assumptions!$I$28</f>
        <v/>
      </c>
      <c r="BC12" s="80">
        <f>BC11*Credit_Assumptions!$I$28</f>
        <v/>
      </c>
      <c r="BD12" s="80">
        <f>BD11*Credit_Assumptions!$I$28</f>
        <v/>
      </c>
      <c r="BE12" s="80">
        <f>BE11*Credit_Assumptions!$I$28</f>
        <v/>
      </c>
      <c r="BF12" s="80">
        <f>BF11*Credit_Assumptions!$I$28</f>
        <v/>
      </c>
      <c r="BG12" s="80">
        <f>BG11*Credit_Assumptions!$I$28</f>
        <v/>
      </c>
      <c r="BH12" s="80">
        <f>BH11*Credit_Assumptions!$I$28</f>
        <v/>
      </c>
      <c r="BI12" s="80">
        <f>BI11*Credit_Assumptions!$I$28</f>
        <v/>
      </c>
      <c r="BJ12" s="80">
        <f>BJ11*Credit_Assumptions!$I$28</f>
        <v/>
      </c>
      <c r="BK12" s="80">
        <f>BK11*Credit_Assumptions!$I$28</f>
        <v/>
      </c>
      <c r="BL12" s="80">
        <f>BL11*Credit_Assumptions!$I$28</f>
        <v/>
      </c>
    </row>
    <row r="13">
      <c r="A13" s="98" t="inlineStr">
        <is>
          <t>1-30 DPD</t>
        </is>
      </c>
      <c r="B13" s="65" t="inlineStr">
        <is>
          <t>LCY</t>
        </is>
      </c>
      <c r="C13" s="105">
        <f>BL13</f>
        <v/>
      </c>
      <c r="E13" s="80">
        <f>E11*Credit_Assumptions!$I$29</f>
        <v/>
      </c>
      <c r="F13" s="80">
        <f>F11*Credit_Assumptions!$I$29</f>
        <v/>
      </c>
      <c r="G13" s="80">
        <f>G11*Credit_Assumptions!$I$29</f>
        <v/>
      </c>
      <c r="H13" s="80">
        <f>H11*Credit_Assumptions!$I$29</f>
        <v/>
      </c>
      <c r="I13" s="80">
        <f>I11*Credit_Assumptions!$I$29</f>
        <v/>
      </c>
      <c r="J13" s="80">
        <f>J11*Credit_Assumptions!$I$29</f>
        <v/>
      </c>
      <c r="K13" s="80">
        <f>K11*Credit_Assumptions!$I$29</f>
        <v/>
      </c>
      <c r="L13" s="80">
        <f>L11*Credit_Assumptions!$I$29</f>
        <v/>
      </c>
      <c r="M13" s="80">
        <f>M11*Credit_Assumptions!$I$29</f>
        <v/>
      </c>
      <c r="N13" s="80">
        <f>N11*Credit_Assumptions!$I$29</f>
        <v/>
      </c>
      <c r="O13" s="80">
        <f>O11*Credit_Assumptions!$I$29</f>
        <v/>
      </c>
      <c r="P13" s="80">
        <f>P11*Credit_Assumptions!$I$29</f>
        <v/>
      </c>
      <c r="Q13" s="80">
        <f>Q11*Credit_Assumptions!$I$29</f>
        <v/>
      </c>
      <c r="R13" s="80">
        <f>R11*Credit_Assumptions!$I$29</f>
        <v/>
      </c>
      <c r="S13" s="80">
        <f>S11*Credit_Assumptions!$I$29</f>
        <v/>
      </c>
      <c r="T13" s="80">
        <f>T11*Credit_Assumptions!$I$29</f>
        <v/>
      </c>
      <c r="U13" s="80">
        <f>U11*Credit_Assumptions!$I$29</f>
        <v/>
      </c>
      <c r="V13" s="80">
        <f>V11*Credit_Assumptions!$I$29</f>
        <v/>
      </c>
      <c r="W13" s="80">
        <f>W11*Credit_Assumptions!$I$29</f>
        <v/>
      </c>
      <c r="X13" s="80">
        <f>X11*Credit_Assumptions!$I$29</f>
        <v/>
      </c>
      <c r="Y13" s="80">
        <f>Y11*Credit_Assumptions!$I$29</f>
        <v/>
      </c>
      <c r="Z13" s="80">
        <f>Z11*Credit_Assumptions!$I$29</f>
        <v/>
      </c>
      <c r="AA13" s="80">
        <f>AA11*Credit_Assumptions!$I$29</f>
        <v/>
      </c>
      <c r="AB13" s="80">
        <f>AB11*Credit_Assumptions!$I$29</f>
        <v/>
      </c>
      <c r="AC13" s="80">
        <f>AC11*Credit_Assumptions!$I$29</f>
        <v/>
      </c>
      <c r="AD13" s="80">
        <f>AD11*Credit_Assumptions!$I$29</f>
        <v/>
      </c>
      <c r="AE13" s="80">
        <f>AE11*Credit_Assumptions!$I$29</f>
        <v/>
      </c>
      <c r="AF13" s="80">
        <f>AF11*Credit_Assumptions!$I$29</f>
        <v/>
      </c>
      <c r="AG13" s="80">
        <f>AG11*Credit_Assumptions!$I$29</f>
        <v/>
      </c>
      <c r="AH13" s="80">
        <f>AH11*Credit_Assumptions!$I$29</f>
        <v/>
      </c>
      <c r="AI13" s="80">
        <f>AI11*Credit_Assumptions!$I$29</f>
        <v/>
      </c>
      <c r="AJ13" s="80">
        <f>AJ11*Credit_Assumptions!$I$29</f>
        <v/>
      </c>
      <c r="AK13" s="80">
        <f>AK11*Credit_Assumptions!$I$29</f>
        <v/>
      </c>
      <c r="AL13" s="80">
        <f>AL11*Credit_Assumptions!$I$29</f>
        <v/>
      </c>
      <c r="AM13" s="80">
        <f>AM11*Credit_Assumptions!$I$29</f>
        <v/>
      </c>
      <c r="AN13" s="80">
        <f>AN11*Credit_Assumptions!$I$29</f>
        <v/>
      </c>
      <c r="AO13" s="80">
        <f>AO11*Credit_Assumptions!$I$29</f>
        <v/>
      </c>
      <c r="AP13" s="80">
        <f>AP11*Credit_Assumptions!$I$29</f>
        <v/>
      </c>
      <c r="AQ13" s="80">
        <f>AQ11*Credit_Assumptions!$I$29</f>
        <v/>
      </c>
      <c r="AR13" s="80">
        <f>AR11*Credit_Assumptions!$I$29</f>
        <v/>
      </c>
      <c r="AS13" s="80">
        <f>AS11*Credit_Assumptions!$I$29</f>
        <v/>
      </c>
      <c r="AT13" s="80">
        <f>AT11*Credit_Assumptions!$I$29</f>
        <v/>
      </c>
      <c r="AU13" s="80">
        <f>AU11*Credit_Assumptions!$I$29</f>
        <v/>
      </c>
      <c r="AV13" s="80">
        <f>AV11*Credit_Assumptions!$I$29</f>
        <v/>
      </c>
      <c r="AW13" s="80">
        <f>AW11*Credit_Assumptions!$I$29</f>
        <v/>
      </c>
      <c r="AX13" s="80">
        <f>AX11*Credit_Assumptions!$I$29</f>
        <v/>
      </c>
      <c r="AY13" s="80">
        <f>AY11*Credit_Assumptions!$I$29</f>
        <v/>
      </c>
      <c r="AZ13" s="80">
        <f>AZ11*Credit_Assumptions!$I$29</f>
        <v/>
      </c>
      <c r="BA13" s="80">
        <f>BA11*Credit_Assumptions!$I$29</f>
        <v/>
      </c>
      <c r="BB13" s="80">
        <f>BB11*Credit_Assumptions!$I$29</f>
        <v/>
      </c>
      <c r="BC13" s="80">
        <f>BC11*Credit_Assumptions!$I$29</f>
        <v/>
      </c>
      <c r="BD13" s="80">
        <f>BD11*Credit_Assumptions!$I$29</f>
        <v/>
      </c>
      <c r="BE13" s="80">
        <f>BE11*Credit_Assumptions!$I$29</f>
        <v/>
      </c>
      <c r="BF13" s="80">
        <f>BF11*Credit_Assumptions!$I$29</f>
        <v/>
      </c>
      <c r="BG13" s="80">
        <f>BG11*Credit_Assumptions!$I$29</f>
        <v/>
      </c>
      <c r="BH13" s="80">
        <f>BH11*Credit_Assumptions!$I$29</f>
        <v/>
      </c>
      <c r="BI13" s="80">
        <f>BI11*Credit_Assumptions!$I$29</f>
        <v/>
      </c>
      <c r="BJ13" s="80">
        <f>BJ11*Credit_Assumptions!$I$29</f>
        <v/>
      </c>
      <c r="BK13" s="80">
        <f>BK11*Credit_Assumptions!$I$29</f>
        <v/>
      </c>
      <c r="BL13" s="80">
        <f>BL11*Credit_Assumptions!$I$29</f>
        <v/>
      </c>
    </row>
    <row r="14">
      <c r="A14" s="98" t="inlineStr">
        <is>
          <t>31-60 DPD</t>
        </is>
      </c>
      <c r="B14" s="65" t="inlineStr">
        <is>
          <t>LCY</t>
        </is>
      </c>
      <c r="C14" s="105">
        <f>BL14</f>
        <v/>
      </c>
      <c r="E14" s="80">
        <f>E10*Credit_Assumptions!$I$30</f>
        <v/>
      </c>
      <c r="F14" s="80">
        <f>F10*Credit_Assumptions!$I$30</f>
        <v/>
      </c>
      <c r="G14" s="80">
        <f>G10*Credit_Assumptions!$I$30</f>
        <v/>
      </c>
      <c r="H14" s="80">
        <f>H10*Credit_Assumptions!$I$30</f>
        <v/>
      </c>
      <c r="I14" s="80">
        <f>I10*Credit_Assumptions!$I$30</f>
        <v/>
      </c>
      <c r="J14" s="80">
        <f>J10*Credit_Assumptions!$I$30</f>
        <v/>
      </c>
      <c r="K14" s="80">
        <f>K10*Credit_Assumptions!$I$30</f>
        <v/>
      </c>
      <c r="L14" s="80">
        <f>L10*Credit_Assumptions!$I$30</f>
        <v/>
      </c>
      <c r="M14" s="80">
        <f>M10*Credit_Assumptions!$I$30</f>
        <v/>
      </c>
      <c r="N14" s="80">
        <f>N10*Credit_Assumptions!$I$30</f>
        <v/>
      </c>
      <c r="O14" s="80">
        <f>O10*Credit_Assumptions!$I$30</f>
        <v/>
      </c>
      <c r="P14" s="80">
        <f>P10*Credit_Assumptions!$I$30</f>
        <v/>
      </c>
      <c r="Q14" s="80">
        <f>Q10*Credit_Assumptions!$I$30</f>
        <v/>
      </c>
      <c r="R14" s="80">
        <f>R10*Credit_Assumptions!$I$30</f>
        <v/>
      </c>
      <c r="S14" s="80">
        <f>S10*Credit_Assumptions!$I$30</f>
        <v/>
      </c>
      <c r="T14" s="80">
        <f>T10*Credit_Assumptions!$I$30</f>
        <v/>
      </c>
      <c r="U14" s="80">
        <f>U10*Credit_Assumptions!$I$30</f>
        <v/>
      </c>
      <c r="V14" s="80">
        <f>V10*Credit_Assumptions!$I$30</f>
        <v/>
      </c>
      <c r="W14" s="80">
        <f>W10*Credit_Assumptions!$I$30</f>
        <v/>
      </c>
      <c r="X14" s="80">
        <f>X10*Credit_Assumptions!$I$30</f>
        <v/>
      </c>
      <c r="Y14" s="80">
        <f>Y10*Credit_Assumptions!$I$30</f>
        <v/>
      </c>
      <c r="Z14" s="80">
        <f>Z10*Credit_Assumptions!$I$30</f>
        <v/>
      </c>
      <c r="AA14" s="80">
        <f>AA10*Credit_Assumptions!$I$30</f>
        <v/>
      </c>
      <c r="AB14" s="80">
        <f>AB10*Credit_Assumptions!$I$30</f>
        <v/>
      </c>
      <c r="AC14" s="80">
        <f>AC10*Credit_Assumptions!$I$30</f>
        <v/>
      </c>
      <c r="AD14" s="80">
        <f>AD10*Credit_Assumptions!$I$30</f>
        <v/>
      </c>
      <c r="AE14" s="80">
        <f>AE10*Credit_Assumptions!$I$30</f>
        <v/>
      </c>
      <c r="AF14" s="80">
        <f>AF10*Credit_Assumptions!$I$30</f>
        <v/>
      </c>
      <c r="AG14" s="80">
        <f>AG10*Credit_Assumptions!$I$30</f>
        <v/>
      </c>
      <c r="AH14" s="80">
        <f>AH10*Credit_Assumptions!$I$30</f>
        <v/>
      </c>
      <c r="AI14" s="80">
        <f>AI10*Credit_Assumptions!$I$30</f>
        <v/>
      </c>
      <c r="AJ14" s="80">
        <f>AJ10*Credit_Assumptions!$I$30</f>
        <v/>
      </c>
      <c r="AK14" s="80">
        <f>AK10*Credit_Assumptions!$I$30</f>
        <v/>
      </c>
      <c r="AL14" s="80">
        <f>AL10*Credit_Assumptions!$I$30</f>
        <v/>
      </c>
      <c r="AM14" s="80">
        <f>AM10*Credit_Assumptions!$I$30</f>
        <v/>
      </c>
      <c r="AN14" s="80">
        <f>AN10*Credit_Assumptions!$I$30</f>
        <v/>
      </c>
      <c r="AO14" s="80">
        <f>AO10*Credit_Assumptions!$I$30</f>
        <v/>
      </c>
      <c r="AP14" s="80">
        <f>AP10*Credit_Assumptions!$I$30</f>
        <v/>
      </c>
      <c r="AQ14" s="80">
        <f>AQ10*Credit_Assumptions!$I$30</f>
        <v/>
      </c>
      <c r="AR14" s="80">
        <f>AR10*Credit_Assumptions!$I$30</f>
        <v/>
      </c>
      <c r="AS14" s="80">
        <f>AS10*Credit_Assumptions!$I$30</f>
        <v/>
      </c>
      <c r="AT14" s="80">
        <f>AT10*Credit_Assumptions!$I$30</f>
        <v/>
      </c>
      <c r="AU14" s="80">
        <f>AU10*Credit_Assumptions!$I$30</f>
        <v/>
      </c>
      <c r="AV14" s="80">
        <f>AV10*Credit_Assumptions!$I$30</f>
        <v/>
      </c>
      <c r="AW14" s="80">
        <f>AW10*Credit_Assumptions!$I$30</f>
        <v/>
      </c>
      <c r="AX14" s="80">
        <f>AX10*Credit_Assumptions!$I$30</f>
        <v/>
      </c>
      <c r="AY14" s="80">
        <f>AY10*Credit_Assumptions!$I$30</f>
        <v/>
      </c>
      <c r="AZ14" s="80">
        <f>AZ10*Credit_Assumptions!$I$30</f>
        <v/>
      </c>
      <c r="BA14" s="80">
        <f>BA10*Credit_Assumptions!$I$30</f>
        <v/>
      </c>
      <c r="BB14" s="80">
        <f>BB10*Credit_Assumptions!$I$30</f>
        <v/>
      </c>
      <c r="BC14" s="80">
        <f>BC10*Credit_Assumptions!$I$30</f>
        <v/>
      </c>
      <c r="BD14" s="80">
        <f>BD10*Credit_Assumptions!$I$30</f>
        <v/>
      </c>
      <c r="BE14" s="80">
        <f>BE10*Credit_Assumptions!$I$30</f>
        <v/>
      </c>
      <c r="BF14" s="80">
        <f>BF10*Credit_Assumptions!$I$30</f>
        <v/>
      </c>
      <c r="BG14" s="80">
        <f>BG10*Credit_Assumptions!$I$30</f>
        <v/>
      </c>
      <c r="BH14" s="80">
        <f>BH10*Credit_Assumptions!$I$30</f>
        <v/>
      </c>
      <c r="BI14" s="80">
        <f>BI10*Credit_Assumptions!$I$30</f>
        <v/>
      </c>
      <c r="BJ14" s="80">
        <f>BJ10*Credit_Assumptions!$I$30</f>
        <v/>
      </c>
      <c r="BK14" s="80">
        <f>BK10*Credit_Assumptions!$I$30</f>
        <v/>
      </c>
      <c r="BL14" s="80">
        <f>BL10*Credit_Assumptions!$I$30</f>
        <v/>
      </c>
    </row>
    <row r="15">
      <c r="A15" s="98" t="inlineStr">
        <is>
          <t>61-90 DPD</t>
        </is>
      </c>
      <c r="B15" s="65" t="inlineStr">
        <is>
          <t>LCY</t>
        </is>
      </c>
      <c r="C15" s="105">
        <f>BL15</f>
        <v/>
      </c>
      <c r="E15" s="80">
        <f>E10*Credit_Assumptions!$I$31</f>
        <v/>
      </c>
      <c r="F15" s="80">
        <f>F10*Credit_Assumptions!$I$31</f>
        <v/>
      </c>
      <c r="G15" s="80">
        <f>G10*Credit_Assumptions!$I$31</f>
        <v/>
      </c>
      <c r="H15" s="80">
        <f>H10*Credit_Assumptions!$I$31</f>
        <v/>
      </c>
      <c r="I15" s="80">
        <f>I10*Credit_Assumptions!$I$31</f>
        <v/>
      </c>
      <c r="J15" s="80">
        <f>J10*Credit_Assumptions!$I$31</f>
        <v/>
      </c>
      <c r="K15" s="80">
        <f>K10*Credit_Assumptions!$I$31</f>
        <v/>
      </c>
      <c r="L15" s="80">
        <f>L10*Credit_Assumptions!$I$31</f>
        <v/>
      </c>
      <c r="M15" s="80">
        <f>M10*Credit_Assumptions!$I$31</f>
        <v/>
      </c>
      <c r="N15" s="80">
        <f>N10*Credit_Assumptions!$I$31</f>
        <v/>
      </c>
      <c r="O15" s="80">
        <f>O10*Credit_Assumptions!$I$31</f>
        <v/>
      </c>
      <c r="P15" s="80">
        <f>P10*Credit_Assumptions!$I$31</f>
        <v/>
      </c>
      <c r="Q15" s="80">
        <f>Q10*Credit_Assumptions!$I$31</f>
        <v/>
      </c>
      <c r="R15" s="80">
        <f>R10*Credit_Assumptions!$I$31</f>
        <v/>
      </c>
      <c r="S15" s="80">
        <f>S10*Credit_Assumptions!$I$31</f>
        <v/>
      </c>
      <c r="T15" s="80">
        <f>T10*Credit_Assumptions!$I$31</f>
        <v/>
      </c>
      <c r="U15" s="80">
        <f>U10*Credit_Assumptions!$I$31</f>
        <v/>
      </c>
      <c r="V15" s="80">
        <f>V10*Credit_Assumptions!$I$31</f>
        <v/>
      </c>
      <c r="W15" s="80">
        <f>W10*Credit_Assumptions!$I$31</f>
        <v/>
      </c>
      <c r="X15" s="80">
        <f>X10*Credit_Assumptions!$I$31</f>
        <v/>
      </c>
      <c r="Y15" s="80">
        <f>Y10*Credit_Assumptions!$I$31</f>
        <v/>
      </c>
      <c r="Z15" s="80">
        <f>Z10*Credit_Assumptions!$I$31</f>
        <v/>
      </c>
      <c r="AA15" s="80">
        <f>AA10*Credit_Assumptions!$I$31</f>
        <v/>
      </c>
      <c r="AB15" s="80">
        <f>AB10*Credit_Assumptions!$I$31</f>
        <v/>
      </c>
      <c r="AC15" s="80">
        <f>AC10*Credit_Assumptions!$I$31</f>
        <v/>
      </c>
      <c r="AD15" s="80">
        <f>AD10*Credit_Assumptions!$I$31</f>
        <v/>
      </c>
      <c r="AE15" s="80">
        <f>AE10*Credit_Assumptions!$I$31</f>
        <v/>
      </c>
      <c r="AF15" s="80">
        <f>AF10*Credit_Assumptions!$I$31</f>
        <v/>
      </c>
      <c r="AG15" s="80">
        <f>AG10*Credit_Assumptions!$I$31</f>
        <v/>
      </c>
      <c r="AH15" s="80">
        <f>AH10*Credit_Assumptions!$I$31</f>
        <v/>
      </c>
      <c r="AI15" s="80">
        <f>AI10*Credit_Assumptions!$I$31</f>
        <v/>
      </c>
      <c r="AJ15" s="80">
        <f>AJ10*Credit_Assumptions!$I$31</f>
        <v/>
      </c>
      <c r="AK15" s="80">
        <f>AK10*Credit_Assumptions!$I$31</f>
        <v/>
      </c>
      <c r="AL15" s="80">
        <f>AL10*Credit_Assumptions!$I$31</f>
        <v/>
      </c>
      <c r="AM15" s="80">
        <f>AM10*Credit_Assumptions!$I$31</f>
        <v/>
      </c>
      <c r="AN15" s="80">
        <f>AN10*Credit_Assumptions!$I$31</f>
        <v/>
      </c>
      <c r="AO15" s="80">
        <f>AO10*Credit_Assumptions!$I$31</f>
        <v/>
      </c>
      <c r="AP15" s="80">
        <f>AP10*Credit_Assumptions!$I$31</f>
        <v/>
      </c>
      <c r="AQ15" s="80">
        <f>AQ10*Credit_Assumptions!$I$31</f>
        <v/>
      </c>
      <c r="AR15" s="80">
        <f>AR10*Credit_Assumptions!$I$31</f>
        <v/>
      </c>
      <c r="AS15" s="80">
        <f>AS10*Credit_Assumptions!$I$31</f>
        <v/>
      </c>
      <c r="AT15" s="80">
        <f>AT10*Credit_Assumptions!$I$31</f>
        <v/>
      </c>
      <c r="AU15" s="80">
        <f>AU10*Credit_Assumptions!$I$31</f>
        <v/>
      </c>
      <c r="AV15" s="80">
        <f>AV10*Credit_Assumptions!$I$31</f>
        <v/>
      </c>
      <c r="AW15" s="80">
        <f>AW10*Credit_Assumptions!$I$31</f>
        <v/>
      </c>
      <c r="AX15" s="80">
        <f>AX10*Credit_Assumptions!$I$31</f>
        <v/>
      </c>
      <c r="AY15" s="80">
        <f>AY10*Credit_Assumptions!$I$31</f>
        <v/>
      </c>
      <c r="AZ15" s="80">
        <f>AZ10*Credit_Assumptions!$I$31</f>
        <v/>
      </c>
      <c r="BA15" s="80">
        <f>BA10*Credit_Assumptions!$I$31</f>
        <v/>
      </c>
      <c r="BB15" s="80">
        <f>BB10*Credit_Assumptions!$I$31</f>
        <v/>
      </c>
      <c r="BC15" s="80">
        <f>BC10*Credit_Assumptions!$I$31</f>
        <v/>
      </c>
      <c r="BD15" s="80">
        <f>BD10*Credit_Assumptions!$I$31</f>
        <v/>
      </c>
      <c r="BE15" s="80">
        <f>BE10*Credit_Assumptions!$I$31</f>
        <v/>
      </c>
      <c r="BF15" s="80">
        <f>BF10*Credit_Assumptions!$I$31</f>
        <v/>
      </c>
      <c r="BG15" s="80">
        <f>BG10*Credit_Assumptions!$I$31</f>
        <v/>
      </c>
      <c r="BH15" s="80">
        <f>BH10*Credit_Assumptions!$I$31</f>
        <v/>
      </c>
      <c r="BI15" s="80">
        <f>BI10*Credit_Assumptions!$I$31</f>
        <v/>
      </c>
      <c r="BJ15" s="80">
        <f>BJ10*Credit_Assumptions!$I$31</f>
        <v/>
      </c>
      <c r="BK15" s="80">
        <f>BK10*Credit_Assumptions!$I$31</f>
        <v/>
      </c>
      <c r="BL15" s="80">
        <f>BL10*Credit_Assumptions!$I$31</f>
        <v/>
      </c>
    </row>
    <row r="16">
      <c r="A16" s="98" t="inlineStr">
        <is>
          <t>91-180 DPD</t>
        </is>
      </c>
      <c r="B16" s="65" t="inlineStr">
        <is>
          <t>LCY</t>
        </is>
      </c>
      <c r="C16" s="105">
        <f>BL16</f>
        <v/>
      </c>
      <c r="E16" s="80">
        <f>E10*Credit_Assumptions!$I$32</f>
        <v/>
      </c>
      <c r="F16" s="80">
        <f>F10*Credit_Assumptions!$I$32</f>
        <v/>
      </c>
      <c r="G16" s="80">
        <f>G10*Credit_Assumptions!$I$32</f>
        <v/>
      </c>
      <c r="H16" s="80">
        <f>H10*Credit_Assumptions!$I$32</f>
        <v/>
      </c>
      <c r="I16" s="80">
        <f>I10*Credit_Assumptions!$I$32</f>
        <v/>
      </c>
      <c r="J16" s="80">
        <f>J10*Credit_Assumptions!$I$32</f>
        <v/>
      </c>
      <c r="K16" s="80">
        <f>K10*Credit_Assumptions!$I$32</f>
        <v/>
      </c>
      <c r="L16" s="80">
        <f>L10*Credit_Assumptions!$I$32</f>
        <v/>
      </c>
      <c r="M16" s="80">
        <f>M10*Credit_Assumptions!$I$32</f>
        <v/>
      </c>
      <c r="N16" s="80">
        <f>N10*Credit_Assumptions!$I$32</f>
        <v/>
      </c>
      <c r="O16" s="80">
        <f>O10*Credit_Assumptions!$I$32</f>
        <v/>
      </c>
      <c r="P16" s="80">
        <f>P10*Credit_Assumptions!$I$32</f>
        <v/>
      </c>
      <c r="Q16" s="80">
        <f>Q10*Credit_Assumptions!$I$32</f>
        <v/>
      </c>
      <c r="R16" s="80">
        <f>R10*Credit_Assumptions!$I$32</f>
        <v/>
      </c>
      <c r="S16" s="80">
        <f>S10*Credit_Assumptions!$I$32</f>
        <v/>
      </c>
      <c r="T16" s="80">
        <f>T10*Credit_Assumptions!$I$32</f>
        <v/>
      </c>
      <c r="U16" s="80">
        <f>U10*Credit_Assumptions!$I$32</f>
        <v/>
      </c>
      <c r="V16" s="80">
        <f>V10*Credit_Assumptions!$I$32</f>
        <v/>
      </c>
      <c r="W16" s="80">
        <f>W10*Credit_Assumptions!$I$32</f>
        <v/>
      </c>
      <c r="X16" s="80">
        <f>X10*Credit_Assumptions!$I$32</f>
        <v/>
      </c>
      <c r="Y16" s="80">
        <f>Y10*Credit_Assumptions!$I$32</f>
        <v/>
      </c>
      <c r="Z16" s="80">
        <f>Z10*Credit_Assumptions!$I$32</f>
        <v/>
      </c>
      <c r="AA16" s="80">
        <f>AA10*Credit_Assumptions!$I$32</f>
        <v/>
      </c>
      <c r="AB16" s="80">
        <f>AB10*Credit_Assumptions!$I$32</f>
        <v/>
      </c>
      <c r="AC16" s="80">
        <f>AC10*Credit_Assumptions!$I$32</f>
        <v/>
      </c>
      <c r="AD16" s="80">
        <f>AD10*Credit_Assumptions!$I$32</f>
        <v/>
      </c>
      <c r="AE16" s="80">
        <f>AE10*Credit_Assumptions!$I$32</f>
        <v/>
      </c>
      <c r="AF16" s="80">
        <f>AF10*Credit_Assumptions!$I$32</f>
        <v/>
      </c>
      <c r="AG16" s="80">
        <f>AG10*Credit_Assumptions!$I$32</f>
        <v/>
      </c>
      <c r="AH16" s="80">
        <f>AH10*Credit_Assumptions!$I$32</f>
        <v/>
      </c>
      <c r="AI16" s="80">
        <f>AI10*Credit_Assumptions!$I$32</f>
        <v/>
      </c>
      <c r="AJ16" s="80">
        <f>AJ10*Credit_Assumptions!$I$32</f>
        <v/>
      </c>
      <c r="AK16" s="80">
        <f>AK10*Credit_Assumptions!$I$32</f>
        <v/>
      </c>
      <c r="AL16" s="80">
        <f>AL10*Credit_Assumptions!$I$32</f>
        <v/>
      </c>
      <c r="AM16" s="80">
        <f>AM10*Credit_Assumptions!$I$32</f>
        <v/>
      </c>
      <c r="AN16" s="80">
        <f>AN10*Credit_Assumptions!$I$32</f>
        <v/>
      </c>
      <c r="AO16" s="80">
        <f>AO10*Credit_Assumptions!$I$32</f>
        <v/>
      </c>
      <c r="AP16" s="80">
        <f>AP10*Credit_Assumptions!$I$32</f>
        <v/>
      </c>
      <c r="AQ16" s="80">
        <f>AQ10*Credit_Assumptions!$I$32</f>
        <v/>
      </c>
      <c r="AR16" s="80">
        <f>AR10*Credit_Assumptions!$I$32</f>
        <v/>
      </c>
      <c r="AS16" s="80">
        <f>AS10*Credit_Assumptions!$I$32</f>
        <v/>
      </c>
      <c r="AT16" s="80">
        <f>AT10*Credit_Assumptions!$I$32</f>
        <v/>
      </c>
      <c r="AU16" s="80">
        <f>AU10*Credit_Assumptions!$I$32</f>
        <v/>
      </c>
      <c r="AV16" s="80">
        <f>AV10*Credit_Assumptions!$I$32</f>
        <v/>
      </c>
      <c r="AW16" s="80">
        <f>AW10*Credit_Assumptions!$I$32</f>
        <v/>
      </c>
      <c r="AX16" s="80">
        <f>AX10*Credit_Assumptions!$I$32</f>
        <v/>
      </c>
      <c r="AY16" s="80">
        <f>AY10*Credit_Assumptions!$I$32</f>
        <v/>
      </c>
      <c r="AZ16" s="80">
        <f>AZ10*Credit_Assumptions!$I$32</f>
        <v/>
      </c>
      <c r="BA16" s="80">
        <f>BA10*Credit_Assumptions!$I$32</f>
        <v/>
      </c>
      <c r="BB16" s="80">
        <f>BB10*Credit_Assumptions!$I$32</f>
        <v/>
      </c>
      <c r="BC16" s="80">
        <f>BC10*Credit_Assumptions!$I$32</f>
        <v/>
      </c>
      <c r="BD16" s="80">
        <f>BD10*Credit_Assumptions!$I$32</f>
        <v/>
      </c>
      <c r="BE16" s="80">
        <f>BE10*Credit_Assumptions!$I$32</f>
        <v/>
      </c>
      <c r="BF16" s="80">
        <f>BF10*Credit_Assumptions!$I$32</f>
        <v/>
      </c>
      <c r="BG16" s="80">
        <f>BG10*Credit_Assumptions!$I$32</f>
        <v/>
      </c>
      <c r="BH16" s="80">
        <f>BH10*Credit_Assumptions!$I$32</f>
        <v/>
      </c>
      <c r="BI16" s="80">
        <f>BI10*Credit_Assumptions!$I$32</f>
        <v/>
      </c>
      <c r="BJ16" s="80">
        <f>BJ10*Credit_Assumptions!$I$32</f>
        <v/>
      </c>
      <c r="BK16" s="80">
        <f>BK10*Credit_Assumptions!$I$32</f>
        <v/>
      </c>
      <c r="BL16" s="80">
        <f>BL10*Credit_Assumptions!$I$32</f>
        <v/>
      </c>
    </row>
    <row r="17">
      <c r="A17" s="98" t="inlineStr">
        <is>
          <t>180+ DPD</t>
        </is>
      </c>
      <c r="B17" s="65" t="inlineStr">
        <is>
          <t>LCY</t>
        </is>
      </c>
      <c r="C17" s="105">
        <f>BL17</f>
        <v/>
      </c>
      <c r="E17" s="80">
        <f>E10*Credit_Assumptions!$I$33</f>
        <v/>
      </c>
      <c r="F17" s="80">
        <f>F10*Credit_Assumptions!$I$33</f>
        <v/>
      </c>
      <c r="G17" s="80">
        <f>G10*Credit_Assumptions!$I$33</f>
        <v/>
      </c>
      <c r="H17" s="80">
        <f>H10*Credit_Assumptions!$I$33</f>
        <v/>
      </c>
      <c r="I17" s="80">
        <f>I10*Credit_Assumptions!$I$33</f>
        <v/>
      </c>
      <c r="J17" s="80">
        <f>J10*Credit_Assumptions!$I$33</f>
        <v/>
      </c>
      <c r="K17" s="80">
        <f>K10*Credit_Assumptions!$I$33</f>
        <v/>
      </c>
      <c r="L17" s="80">
        <f>L10*Credit_Assumptions!$I$33</f>
        <v/>
      </c>
      <c r="M17" s="80">
        <f>M10*Credit_Assumptions!$I$33</f>
        <v/>
      </c>
      <c r="N17" s="80">
        <f>N10*Credit_Assumptions!$I$33</f>
        <v/>
      </c>
      <c r="O17" s="80">
        <f>O10*Credit_Assumptions!$I$33</f>
        <v/>
      </c>
      <c r="P17" s="80">
        <f>P10*Credit_Assumptions!$I$33</f>
        <v/>
      </c>
      <c r="Q17" s="80">
        <f>Q10*Credit_Assumptions!$I$33</f>
        <v/>
      </c>
      <c r="R17" s="80">
        <f>R10*Credit_Assumptions!$I$33</f>
        <v/>
      </c>
      <c r="S17" s="80">
        <f>S10*Credit_Assumptions!$I$33</f>
        <v/>
      </c>
      <c r="T17" s="80">
        <f>T10*Credit_Assumptions!$I$33</f>
        <v/>
      </c>
      <c r="U17" s="80">
        <f>U10*Credit_Assumptions!$I$33</f>
        <v/>
      </c>
      <c r="V17" s="80">
        <f>V10*Credit_Assumptions!$I$33</f>
        <v/>
      </c>
      <c r="W17" s="80">
        <f>W10*Credit_Assumptions!$I$33</f>
        <v/>
      </c>
      <c r="X17" s="80">
        <f>X10*Credit_Assumptions!$I$33</f>
        <v/>
      </c>
      <c r="Y17" s="80">
        <f>Y10*Credit_Assumptions!$I$33</f>
        <v/>
      </c>
      <c r="Z17" s="80">
        <f>Z10*Credit_Assumptions!$I$33</f>
        <v/>
      </c>
      <c r="AA17" s="80">
        <f>AA10*Credit_Assumptions!$I$33</f>
        <v/>
      </c>
      <c r="AB17" s="80">
        <f>AB10*Credit_Assumptions!$I$33</f>
        <v/>
      </c>
      <c r="AC17" s="80">
        <f>AC10*Credit_Assumptions!$I$33</f>
        <v/>
      </c>
      <c r="AD17" s="80">
        <f>AD10*Credit_Assumptions!$I$33</f>
        <v/>
      </c>
      <c r="AE17" s="80">
        <f>AE10*Credit_Assumptions!$I$33</f>
        <v/>
      </c>
      <c r="AF17" s="80">
        <f>AF10*Credit_Assumptions!$I$33</f>
        <v/>
      </c>
      <c r="AG17" s="80">
        <f>AG10*Credit_Assumptions!$I$33</f>
        <v/>
      </c>
      <c r="AH17" s="80">
        <f>AH10*Credit_Assumptions!$I$33</f>
        <v/>
      </c>
      <c r="AI17" s="80">
        <f>AI10*Credit_Assumptions!$I$33</f>
        <v/>
      </c>
      <c r="AJ17" s="80">
        <f>AJ10*Credit_Assumptions!$I$33</f>
        <v/>
      </c>
      <c r="AK17" s="80">
        <f>AK10*Credit_Assumptions!$I$33</f>
        <v/>
      </c>
      <c r="AL17" s="80">
        <f>AL10*Credit_Assumptions!$I$33</f>
        <v/>
      </c>
      <c r="AM17" s="80">
        <f>AM10*Credit_Assumptions!$I$33</f>
        <v/>
      </c>
      <c r="AN17" s="80">
        <f>AN10*Credit_Assumptions!$I$33</f>
        <v/>
      </c>
      <c r="AO17" s="80">
        <f>AO10*Credit_Assumptions!$I$33</f>
        <v/>
      </c>
      <c r="AP17" s="80">
        <f>AP10*Credit_Assumptions!$I$33</f>
        <v/>
      </c>
      <c r="AQ17" s="80">
        <f>AQ10*Credit_Assumptions!$I$33</f>
        <v/>
      </c>
      <c r="AR17" s="80">
        <f>AR10*Credit_Assumptions!$I$33</f>
        <v/>
      </c>
      <c r="AS17" s="80">
        <f>AS10*Credit_Assumptions!$I$33</f>
        <v/>
      </c>
      <c r="AT17" s="80">
        <f>AT10*Credit_Assumptions!$I$33</f>
        <v/>
      </c>
      <c r="AU17" s="80">
        <f>AU10*Credit_Assumptions!$I$33</f>
        <v/>
      </c>
      <c r="AV17" s="80">
        <f>AV10*Credit_Assumptions!$I$33</f>
        <v/>
      </c>
      <c r="AW17" s="80">
        <f>AW10*Credit_Assumptions!$I$33</f>
        <v/>
      </c>
      <c r="AX17" s="80">
        <f>AX10*Credit_Assumptions!$I$33</f>
        <v/>
      </c>
      <c r="AY17" s="80">
        <f>AY10*Credit_Assumptions!$I$33</f>
        <v/>
      </c>
      <c r="AZ17" s="80">
        <f>AZ10*Credit_Assumptions!$I$33</f>
        <v/>
      </c>
      <c r="BA17" s="80">
        <f>BA10*Credit_Assumptions!$I$33</f>
        <v/>
      </c>
      <c r="BB17" s="80">
        <f>BB10*Credit_Assumptions!$I$33</f>
        <v/>
      </c>
      <c r="BC17" s="80">
        <f>BC10*Credit_Assumptions!$I$33</f>
        <v/>
      </c>
      <c r="BD17" s="80">
        <f>BD10*Credit_Assumptions!$I$33</f>
        <v/>
      </c>
      <c r="BE17" s="80">
        <f>BE10*Credit_Assumptions!$I$33</f>
        <v/>
      </c>
      <c r="BF17" s="80">
        <f>BF10*Credit_Assumptions!$I$33</f>
        <v/>
      </c>
      <c r="BG17" s="80">
        <f>BG10*Credit_Assumptions!$I$33</f>
        <v/>
      </c>
      <c r="BH17" s="80">
        <f>BH10*Credit_Assumptions!$I$33</f>
        <v/>
      </c>
      <c r="BI17" s="80">
        <f>BI10*Credit_Assumptions!$I$33</f>
        <v/>
      </c>
      <c r="BJ17" s="80">
        <f>BJ10*Credit_Assumptions!$I$33</f>
        <v/>
      </c>
      <c r="BK17" s="80">
        <f>BK10*Credit_Assumptions!$I$33</f>
        <v/>
      </c>
      <c r="BL17" s="80">
        <f>BL10*Credit_Assumptions!$I$33</f>
        <v/>
      </c>
    </row>
    <row r="18">
      <c r="A18" s="98" t="inlineStr">
        <is>
          <t>Default EAD (beyond default definition)</t>
        </is>
      </c>
      <c r="B18" s="65" t="inlineStr">
        <is>
          <t>LCY</t>
        </is>
      </c>
      <c r="C18" s="105">
        <f>BL18</f>
        <v/>
      </c>
      <c r="E18" s="80">
        <f>E12*Credit_Assumptions!$F$28+E13*Credit_Assumptions!$F$29+E14*Credit_Assumptions!$F$30+E15*Credit_Assumptions!$F$31+E16*Credit_Assumptions!$F$32+E17*Credit_Assumptions!$F$33</f>
        <v/>
      </c>
      <c r="F18" s="80">
        <f>F12*Credit_Assumptions!$F$28+F13*Credit_Assumptions!$F$29+F14*Credit_Assumptions!$F$30+F15*Credit_Assumptions!$F$31+F16*Credit_Assumptions!$F$32+F17*Credit_Assumptions!$F$33</f>
        <v/>
      </c>
      <c r="G18" s="80">
        <f>G12*Credit_Assumptions!$F$28+G13*Credit_Assumptions!$F$29+G14*Credit_Assumptions!$F$30+G15*Credit_Assumptions!$F$31+G16*Credit_Assumptions!$F$32+G17*Credit_Assumptions!$F$33</f>
        <v/>
      </c>
      <c r="H18" s="80">
        <f>H12*Credit_Assumptions!$F$28+H13*Credit_Assumptions!$F$29+H14*Credit_Assumptions!$F$30+H15*Credit_Assumptions!$F$31+H16*Credit_Assumptions!$F$32+H17*Credit_Assumptions!$F$33</f>
        <v/>
      </c>
      <c r="I18" s="80">
        <f>I12*Credit_Assumptions!$F$28+I13*Credit_Assumptions!$F$29+I14*Credit_Assumptions!$F$30+I15*Credit_Assumptions!$F$31+I16*Credit_Assumptions!$F$32+I17*Credit_Assumptions!$F$33</f>
        <v/>
      </c>
      <c r="J18" s="80">
        <f>J12*Credit_Assumptions!$F$28+J13*Credit_Assumptions!$F$29+J14*Credit_Assumptions!$F$30+J15*Credit_Assumptions!$F$31+J16*Credit_Assumptions!$F$32+J17*Credit_Assumptions!$F$33</f>
        <v/>
      </c>
      <c r="K18" s="80">
        <f>K12*Credit_Assumptions!$F$28+K13*Credit_Assumptions!$F$29+K14*Credit_Assumptions!$F$30+K15*Credit_Assumptions!$F$31+K16*Credit_Assumptions!$F$32+K17*Credit_Assumptions!$F$33</f>
        <v/>
      </c>
      <c r="L18" s="80">
        <f>L12*Credit_Assumptions!$F$28+L13*Credit_Assumptions!$F$29+L14*Credit_Assumptions!$F$30+L15*Credit_Assumptions!$F$31+L16*Credit_Assumptions!$F$32+L17*Credit_Assumptions!$F$33</f>
        <v/>
      </c>
      <c r="M18" s="80">
        <f>M12*Credit_Assumptions!$F$28+M13*Credit_Assumptions!$F$29+M14*Credit_Assumptions!$F$30+M15*Credit_Assumptions!$F$31+M16*Credit_Assumptions!$F$32+M17*Credit_Assumptions!$F$33</f>
        <v/>
      </c>
      <c r="N18" s="80">
        <f>N12*Credit_Assumptions!$F$28+N13*Credit_Assumptions!$F$29+N14*Credit_Assumptions!$F$30+N15*Credit_Assumptions!$F$31+N16*Credit_Assumptions!$F$32+N17*Credit_Assumptions!$F$33</f>
        <v/>
      </c>
      <c r="O18" s="80">
        <f>O12*Credit_Assumptions!$F$28+O13*Credit_Assumptions!$F$29+O14*Credit_Assumptions!$F$30+O15*Credit_Assumptions!$F$31+O16*Credit_Assumptions!$F$32+O17*Credit_Assumptions!$F$33</f>
        <v/>
      </c>
      <c r="P18" s="80">
        <f>P12*Credit_Assumptions!$F$28+P13*Credit_Assumptions!$F$29+P14*Credit_Assumptions!$F$30+P15*Credit_Assumptions!$F$31+P16*Credit_Assumptions!$F$32+P17*Credit_Assumptions!$F$33</f>
        <v/>
      </c>
      <c r="Q18" s="80">
        <f>Q12*Credit_Assumptions!$F$28+Q13*Credit_Assumptions!$F$29+Q14*Credit_Assumptions!$F$30+Q15*Credit_Assumptions!$F$31+Q16*Credit_Assumptions!$F$32+Q17*Credit_Assumptions!$F$33</f>
        <v/>
      </c>
      <c r="R18" s="80">
        <f>R12*Credit_Assumptions!$F$28+R13*Credit_Assumptions!$F$29+R14*Credit_Assumptions!$F$30+R15*Credit_Assumptions!$F$31+R16*Credit_Assumptions!$F$32+R17*Credit_Assumptions!$F$33</f>
        <v/>
      </c>
      <c r="S18" s="80">
        <f>S12*Credit_Assumptions!$F$28+S13*Credit_Assumptions!$F$29+S14*Credit_Assumptions!$F$30+S15*Credit_Assumptions!$F$31+S16*Credit_Assumptions!$F$32+S17*Credit_Assumptions!$F$33</f>
        <v/>
      </c>
      <c r="T18" s="80">
        <f>T12*Credit_Assumptions!$F$28+T13*Credit_Assumptions!$F$29+T14*Credit_Assumptions!$F$30+T15*Credit_Assumptions!$F$31+T16*Credit_Assumptions!$F$32+T17*Credit_Assumptions!$F$33</f>
        <v/>
      </c>
      <c r="U18" s="80">
        <f>U12*Credit_Assumptions!$F$28+U13*Credit_Assumptions!$F$29+U14*Credit_Assumptions!$F$30+U15*Credit_Assumptions!$F$31+U16*Credit_Assumptions!$F$32+U17*Credit_Assumptions!$F$33</f>
        <v/>
      </c>
      <c r="V18" s="80">
        <f>V12*Credit_Assumptions!$F$28+V13*Credit_Assumptions!$F$29+V14*Credit_Assumptions!$F$30+V15*Credit_Assumptions!$F$31+V16*Credit_Assumptions!$F$32+V17*Credit_Assumptions!$F$33</f>
        <v/>
      </c>
      <c r="W18" s="80">
        <f>W12*Credit_Assumptions!$F$28+W13*Credit_Assumptions!$F$29+W14*Credit_Assumptions!$F$30+W15*Credit_Assumptions!$F$31+W16*Credit_Assumptions!$F$32+W17*Credit_Assumptions!$F$33</f>
        <v/>
      </c>
      <c r="X18" s="80">
        <f>X12*Credit_Assumptions!$F$28+X13*Credit_Assumptions!$F$29+X14*Credit_Assumptions!$F$30+X15*Credit_Assumptions!$F$31+X16*Credit_Assumptions!$F$32+X17*Credit_Assumptions!$F$33</f>
        <v/>
      </c>
      <c r="Y18" s="80">
        <f>Y12*Credit_Assumptions!$F$28+Y13*Credit_Assumptions!$F$29+Y14*Credit_Assumptions!$F$30+Y15*Credit_Assumptions!$F$31+Y16*Credit_Assumptions!$F$32+Y17*Credit_Assumptions!$F$33</f>
        <v/>
      </c>
      <c r="Z18" s="80">
        <f>Z12*Credit_Assumptions!$F$28+Z13*Credit_Assumptions!$F$29+Z14*Credit_Assumptions!$F$30+Z15*Credit_Assumptions!$F$31+Z16*Credit_Assumptions!$F$32+Z17*Credit_Assumptions!$F$33</f>
        <v/>
      </c>
      <c r="AA18" s="80">
        <f>AA12*Credit_Assumptions!$F$28+AA13*Credit_Assumptions!$F$29+AA14*Credit_Assumptions!$F$30+AA15*Credit_Assumptions!$F$31+AA16*Credit_Assumptions!$F$32+AA17*Credit_Assumptions!$F$33</f>
        <v/>
      </c>
      <c r="AB18" s="80">
        <f>AB12*Credit_Assumptions!$F$28+AB13*Credit_Assumptions!$F$29+AB14*Credit_Assumptions!$F$30+AB15*Credit_Assumptions!$F$31+AB16*Credit_Assumptions!$F$32+AB17*Credit_Assumptions!$F$33</f>
        <v/>
      </c>
      <c r="AC18" s="80">
        <f>AC12*Credit_Assumptions!$F$28+AC13*Credit_Assumptions!$F$29+AC14*Credit_Assumptions!$F$30+AC15*Credit_Assumptions!$F$31+AC16*Credit_Assumptions!$F$32+AC17*Credit_Assumptions!$F$33</f>
        <v/>
      </c>
      <c r="AD18" s="80">
        <f>AD12*Credit_Assumptions!$F$28+AD13*Credit_Assumptions!$F$29+AD14*Credit_Assumptions!$F$30+AD15*Credit_Assumptions!$F$31+AD16*Credit_Assumptions!$F$32+AD17*Credit_Assumptions!$F$33</f>
        <v/>
      </c>
      <c r="AE18" s="80">
        <f>AE12*Credit_Assumptions!$F$28+AE13*Credit_Assumptions!$F$29+AE14*Credit_Assumptions!$F$30+AE15*Credit_Assumptions!$F$31+AE16*Credit_Assumptions!$F$32+AE17*Credit_Assumptions!$F$33</f>
        <v/>
      </c>
      <c r="AF18" s="80">
        <f>AF12*Credit_Assumptions!$F$28+AF13*Credit_Assumptions!$F$29+AF14*Credit_Assumptions!$F$30+AF15*Credit_Assumptions!$F$31+AF16*Credit_Assumptions!$F$32+AF17*Credit_Assumptions!$F$33</f>
        <v/>
      </c>
      <c r="AG18" s="80">
        <f>AG12*Credit_Assumptions!$F$28+AG13*Credit_Assumptions!$F$29+AG14*Credit_Assumptions!$F$30+AG15*Credit_Assumptions!$F$31+AG16*Credit_Assumptions!$F$32+AG17*Credit_Assumptions!$F$33</f>
        <v/>
      </c>
      <c r="AH18" s="80">
        <f>AH12*Credit_Assumptions!$F$28+AH13*Credit_Assumptions!$F$29+AH14*Credit_Assumptions!$F$30+AH15*Credit_Assumptions!$F$31+AH16*Credit_Assumptions!$F$32+AH17*Credit_Assumptions!$F$33</f>
        <v/>
      </c>
      <c r="AI18" s="80">
        <f>AI12*Credit_Assumptions!$F$28+AI13*Credit_Assumptions!$F$29+AI14*Credit_Assumptions!$F$30+AI15*Credit_Assumptions!$F$31+AI16*Credit_Assumptions!$F$32+AI17*Credit_Assumptions!$F$33</f>
        <v/>
      </c>
      <c r="AJ18" s="80">
        <f>AJ12*Credit_Assumptions!$F$28+AJ13*Credit_Assumptions!$F$29+AJ14*Credit_Assumptions!$F$30+AJ15*Credit_Assumptions!$F$31+AJ16*Credit_Assumptions!$F$32+AJ17*Credit_Assumptions!$F$33</f>
        <v/>
      </c>
      <c r="AK18" s="80">
        <f>AK12*Credit_Assumptions!$F$28+AK13*Credit_Assumptions!$F$29+AK14*Credit_Assumptions!$F$30+AK15*Credit_Assumptions!$F$31+AK16*Credit_Assumptions!$F$32+AK17*Credit_Assumptions!$F$33</f>
        <v/>
      </c>
      <c r="AL18" s="80">
        <f>AL12*Credit_Assumptions!$F$28+AL13*Credit_Assumptions!$F$29+AL14*Credit_Assumptions!$F$30+AL15*Credit_Assumptions!$F$31+AL16*Credit_Assumptions!$F$32+AL17*Credit_Assumptions!$F$33</f>
        <v/>
      </c>
      <c r="AM18" s="80">
        <f>AM12*Credit_Assumptions!$F$28+AM13*Credit_Assumptions!$F$29+AM14*Credit_Assumptions!$F$30+AM15*Credit_Assumptions!$F$31+AM16*Credit_Assumptions!$F$32+AM17*Credit_Assumptions!$F$33</f>
        <v/>
      </c>
      <c r="AN18" s="80">
        <f>AN12*Credit_Assumptions!$F$28+AN13*Credit_Assumptions!$F$29+AN14*Credit_Assumptions!$F$30+AN15*Credit_Assumptions!$F$31+AN16*Credit_Assumptions!$F$32+AN17*Credit_Assumptions!$F$33</f>
        <v/>
      </c>
      <c r="AO18" s="80">
        <f>AO12*Credit_Assumptions!$F$28+AO13*Credit_Assumptions!$F$29+AO14*Credit_Assumptions!$F$30+AO15*Credit_Assumptions!$F$31+AO16*Credit_Assumptions!$F$32+AO17*Credit_Assumptions!$F$33</f>
        <v/>
      </c>
      <c r="AP18" s="80">
        <f>AP12*Credit_Assumptions!$F$28+AP13*Credit_Assumptions!$F$29+AP14*Credit_Assumptions!$F$30+AP15*Credit_Assumptions!$F$31+AP16*Credit_Assumptions!$F$32+AP17*Credit_Assumptions!$F$33</f>
        <v/>
      </c>
      <c r="AQ18" s="80">
        <f>AQ12*Credit_Assumptions!$F$28+AQ13*Credit_Assumptions!$F$29+AQ14*Credit_Assumptions!$F$30+AQ15*Credit_Assumptions!$F$31+AQ16*Credit_Assumptions!$F$32+AQ17*Credit_Assumptions!$F$33</f>
        <v/>
      </c>
      <c r="AR18" s="80">
        <f>AR12*Credit_Assumptions!$F$28+AR13*Credit_Assumptions!$F$29+AR14*Credit_Assumptions!$F$30+AR15*Credit_Assumptions!$F$31+AR16*Credit_Assumptions!$F$32+AR17*Credit_Assumptions!$F$33</f>
        <v/>
      </c>
      <c r="AS18" s="80">
        <f>AS12*Credit_Assumptions!$F$28+AS13*Credit_Assumptions!$F$29+AS14*Credit_Assumptions!$F$30+AS15*Credit_Assumptions!$F$31+AS16*Credit_Assumptions!$F$32+AS17*Credit_Assumptions!$F$33</f>
        <v/>
      </c>
      <c r="AT18" s="80">
        <f>AT12*Credit_Assumptions!$F$28+AT13*Credit_Assumptions!$F$29+AT14*Credit_Assumptions!$F$30+AT15*Credit_Assumptions!$F$31+AT16*Credit_Assumptions!$F$32+AT17*Credit_Assumptions!$F$33</f>
        <v/>
      </c>
      <c r="AU18" s="80">
        <f>AU12*Credit_Assumptions!$F$28+AU13*Credit_Assumptions!$F$29+AU14*Credit_Assumptions!$F$30+AU15*Credit_Assumptions!$F$31+AU16*Credit_Assumptions!$F$32+AU17*Credit_Assumptions!$F$33</f>
        <v/>
      </c>
      <c r="AV18" s="80">
        <f>AV12*Credit_Assumptions!$F$28+AV13*Credit_Assumptions!$F$29+AV14*Credit_Assumptions!$F$30+AV15*Credit_Assumptions!$F$31+AV16*Credit_Assumptions!$F$32+AV17*Credit_Assumptions!$F$33</f>
        <v/>
      </c>
      <c r="AW18" s="80">
        <f>AW12*Credit_Assumptions!$F$28+AW13*Credit_Assumptions!$F$29+AW14*Credit_Assumptions!$F$30+AW15*Credit_Assumptions!$F$31+AW16*Credit_Assumptions!$F$32+AW17*Credit_Assumptions!$F$33</f>
        <v/>
      </c>
      <c r="AX18" s="80">
        <f>AX12*Credit_Assumptions!$F$28+AX13*Credit_Assumptions!$F$29+AX14*Credit_Assumptions!$F$30+AX15*Credit_Assumptions!$F$31+AX16*Credit_Assumptions!$F$32+AX17*Credit_Assumptions!$F$33</f>
        <v/>
      </c>
      <c r="AY18" s="80">
        <f>AY12*Credit_Assumptions!$F$28+AY13*Credit_Assumptions!$F$29+AY14*Credit_Assumptions!$F$30+AY15*Credit_Assumptions!$F$31+AY16*Credit_Assumptions!$F$32+AY17*Credit_Assumptions!$F$33</f>
        <v/>
      </c>
      <c r="AZ18" s="80">
        <f>AZ12*Credit_Assumptions!$F$28+AZ13*Credit_Assumptions!$F$29+AZ14*Credit_Assumptions!$F$30+AZ15*Credit_Assumptions!$F$31+AZ16*Credit_Assumptions!$F$32+AZ17*Credit_Assumptions!$F$33</f>
        <v/>
      </c>
      <c r="BA18" s="80">
        <f>BA12*Credit_Assumptions!$F$28+BA13*Credit_Assumptions!$F$29+BA14*Credit_Assumptions!$F$30+BA15*Credit_Assumptions!$F$31+BA16*Credit_Assumptions!$F$32+BA17*Credit_Assumptions!$F$33</f>
        <v/>
      </c>
      <c r="BB18" s="80">
        <f>BB12*Credit_Assumptions!$F$28+BB13*Credit_Assumptions!$F$29+BB14*Credit_Assumptions!$F$30+BB15*Credit_Assumptions!$F$31+BB16*Credit_Assumptions!$F$32+BB17*Credit_Assumptions!$F$33</f>
        <v/>
      </c>
      <c r="BC18" s="80">
        <f>BC12*Credit_Assumptions!$F$28+BC13*Credit_Assumptions!$F$29+BC14*Credit_Assumptions!$F$30+BC15*Credit_Assumptions!$F$31+BC16*Credit_Assumptions!$F$32+BC17*Credit_Assumptions!$F$33</f>
        <v/>
      </c>
      <c r="BD18" s="80">
        <f>BD12*Credit_Assumptions!$F$28+BD13*Credit_Assumptions!$F$29+BD14*Credit_Assumptions!$F$30+BD15*Credit_Assumptions!$F$31+BD16*Credit_Assumptions!$F$32+BD17*Credit_Assumptions!$F$33</f>
        <v/>
      </c>
      <c r="BE18" s="80">
        <f>BE12*Credit_Assumptions!$F$28+BE13*Credit_Assumptions!$F$29+BE14*Credit_Assumptions!$F$30+BE15*Credit_Assumptions!$F$31+BE16*Credit_Assumptions!$F$32+BE17*Credit_Assumptions!$F$33</f>
        <v/>
      </c>
      <c r="BF18" s="80">
        <f>BF12*Credit_Assumptions!$F$28+BF13*Credit_Assumptions!$F$29+BF14*Credit_Assumptions!$F$30+BF15*Credit_Assumptions!$F$31+BF16*Credit_Assumptions!$F$32+BF17*Credit_Assumptions!$F$33</f>
        <v/>
      </c>
      <c r="BG18" s="80">
        <f>BG12*Credit_Assumptions!$F$28+BG13*Credit_Assumptions!$F$29+BG14*Credit_Assumptions!$F$30+BG15*Credit_Assumptions!$F$31+BG16*Credit_Assumptions!$F$32+BG17*Credit_Assumptions!$F$33</f>
        <v/>
      </c>
      <c r="BH18" s="80">
        <f>BH12*Credit_Assumptions!$F$28+BH13*Credit_Assumptions!$F$29+BH14*Credit_Assumptions!$F$30+BH15*Credit_Assumptions!$F$31+BH16*Credit_Assumptions!$F$32+BH17*Credit_Assumptions!$F$33</f>
        <v/>
      </c>
      <c r="BI18" s="80">
        <f>BI12*Credit_Assumptions!$F$28+BI13*Credit_Assumptions!$F$29+BI14*Credit_Assumptions!$F$30+BI15*Credit_Assumptions!$F$31+BI16*Credit_Assumptions!$F$32+BI17*Credit_Assumptions!$F$33</f>
        <v/>
      </c>
      <c r="BJ18" s="80">
        <f>BJ12*Credit_Assumptions!$F$28+BJ13*Credit_Assumptions!$F$29+BJ14*Credit_Assumptions!$F$30+BJ15*Credit_Assumptions!$F$31+BJ16*Credit_Assumptions!$F$32+BJ17*Credit_Assumptions!$F$33</f>
        <v/>
      </c>
      <c r="BK18" s="80">
        <f>BK12*Credit_Assumptions!$F$28+BK13*Credit_Assumptions!$F$29+BK14*Credit_Assumptions!$F$30+BK15*Credit_Assumptions!$F$31+BK16*Credit_Assumptions!$F$32+BK17*Credit_Assumptions!$F$33</f>
        <v/>
      </c>
      <c r="BL18" s="80">
        <f>BL12*Credit_Assumptions!$F$28+BL13*Credit_Assumptions!$F$29+BL14*Credit_Assumptions!$F$30+BL15*Credit_Assumptions!$F$31+BL16*Credit_Assumptions!$F$32+BL17*Credit_Assumptions!$F$33</f>
        <v/>
      </c>
    </row>
    <row r="19">
      <c r="A19" s="98" t="inlineStr">
        <is>
          <t>30+ DPD receivables</t>
        </is>
      </c>
      <c r="B19" s="65" t="inlineStr">
        <is>
          <t>LCY</t>
        </is>
      </c>
      <c r="C19" s="105">
        <f>BL19</f>
        <v/>
      </c>
      <c r="E19" s="80">
        <f>E12*Credit_Assumptions!$G$28+E13*Credit_Assumptions!$G$29+E14*Credit_Assumptions!$G$30+E15*Credit_Assumptions!$G$31+E16*Credit_Assumptions!$G$32+E17*Credit_Assumptions!$G$33</f>
        <v/>
      </c>
      <c r="F19" s="80">
        <f>F12*Credit_Assumptions!$G$28+F13*Credit_Assumptions!$G$29+F14*Credit_Assumptions!$G$30+F15*Credit_Assumptions!$G$31+F16*Credit_Assumptions!$G$32+F17*Credit_Assumptions!$G$33</f>
        <v/>
      </c>
      <c r="G19" s="80">
        <f>G12*Credit_Assumptions!$G$28+G13*Credit_Assumptions!$G$29+G14*Credit_Assumptions!$G$30+G15*Credit_Assumptions!$G$31+G16*Credit_Assumptions!$G$32+G17*Credit_Assumptions!$G$33</f>
        <v/>
      </c>
      <c r="H19" s="80">
        <f>H12*Credit_Assumptions!$G$28+H13*Credit_Assumptions!$G$29+H14*Credit_Assumptions!$G$30+H15*Credit_Assumptions!$G$31+H16*Credit_Assumptions!$G$32+H17*Credit_Assumptions!$G$33</f>
        <v/>
      </c>
      <c r="I19" s="80">
        <f>I12*Credit_Assumptions!$G$28+I13*Credit_Assumptions!$G$29+I14*Credit_Assumptions!$G$30+I15*Credit_Assumptions!$G$31+I16*Credit_Assumptions!$G$32+I17*Credit_Assumptions!$G$33</f>
        <v/>
      </c>
      <c r="J19" s="80">
        <f>J12*Credit_Assumptions!$G$28+J13*Credit_Assumptions!$G$29+J14*Credit_Assumptions!$G$30+J15*Credit_Assumptions!$G$31+J16*Credit_Assumptions!$G$32+J17*Credit_Assumptions!$G$33</f>
        <v/>
      </c>
      <c r="K19" s="80">
        <f>K12*Credit_Assumptions!$G$28+K13*Credit_Assumptions!$G$29+K14*Credit_Assumptions!$G$30+K15*Credit_Assumptions!$G$31+K16*Credit_Assumptions!$G$32+K17*Credit_Assumptions!$G$33</f>
        <v/>
      </c>
      <c r="L19" s="80">
        <f>L12*Credit_Assumptions!$G$28+L13*Credit_Assumptions!$G$29+L14*Credit_Assumptions!$G$30+L15*Credit_Assumptions!$G$31+L16*Credit_Assumptions!$G$32+L17*Credit_Assumptions!$G$33</f>
        <v/>
      </c>
      <c r="M19" s="80">
        <f>M12*Credit_Assumptions!$G$28+M13*Credit_Assumptions!$G$29+M14*Credit_Assumptions!$G$30+M15*Credit_Assumptions!$G$31+M16*Credit_Assumptions!$G$32+M17*Credit_Assumptions!$G$33</f>
        <v/>
      </c>
      <c r="N19" s="80">
        <f>N12*Credit_Assumptions!$G$28+N13*Credit_Assumptions!$G$29+N14*Credit_Assumptions!$G$30+N15*Credit_Assumptions!$G$31+N16*Credit_Assumptions!$G$32+N17*Credit_Assumptions!$G$33</f>
        <v/>
      </c>
      <c r="O19" s="80">
        <f>O12*Credit_Assumptions!$G$28+O13*Credit_Assumptions!$G$29+O14*Credit_Assumptions!$G$30+O15*Credit_Assumptions!$G$31+O16*Credit_Assumptions!$G$32+O17*Credit_Assumptions!$G$33</f>
        <v/>
      </c>
      <c r="P19" s="80">
        <f>P12*Credit_Assumptions!$G$28+P13*Credit_Assumptions!$G$29+P14*Credit_Assumptions!$G$30+P15*Credit_Assumptions!$G$31+P16*Credit_Assumptions!$G$32+P17*Credit_Assumptions!$G$33</f>
        <v/>
      </c>
      <c r="Q19" s="80">
        <f>Q12*Credit_Assumptions!$G$28+Q13*Credit_Assumptions!$G$29+Q14*Credit_Assumptions!$G$30+Q15*Credit_Assumptions!$G$31+Q16*Credit_Assumptions!$G$32+Q17*Credit_Assumptions!$G$33</f>
        <v/>
      </c>
      <c r="R19" s="80">
        <f>R12*Credit_Assumptions!$G$28+R13*Credit_Assumptions!$G$29+R14*Credit_Assumptions!$G$30+R15*Credit_Assumptions!$G$31+R16*Credit_Assumptions!$G$32+R17*Credit_Assumptions!$G$33</f>
        <v/>
      </c>
      <c r="S19" s="80">
        <f>S12*Credit_Assumptions!$G$28+S13*Credit_Assumptions!$G$29+S14*Credit_Assumptions!$G$30+S15*Credit_Assumptions!$G$31+S16*Credit_Assumptions!$G$32+S17*Credit_Assumptions!$G$33</f>
        <v/>
      </c>
      <c r="T19" s="80">
        <f>T12*Credit_Assumptions!$G$28+T13*Credit_Assumptions!$G$29+T14*Credit_Assumptions!$G$30+T15*Credit_Assumptions!$G$31+T16*Credit_Assumptions!$G$32+T17*Credit_Assumptions!$G$33</f>
        <v/>
      </c>
      <c r="U19" s="80">
        <f>U12*Credit_Assumptions!$G$28+U13*Credit_Assumptions!$G$29+U14*Credit_Assumptions!$G$30+U15*Credit_Assumptions!$G$31+U16*Credit_Assumptions!$G$32+U17*Credit_Assumptions!$G$33</f>
        <v/>
      </c>
      <c r="V19" s="80">
        <f>V12*Credit_Assumptions!$G$28+V13*Credit_Assumptions!$G$29+V14*Credit_Assumptions!$G$30+V15*Credit_Assumptions!$G$31+V16*Credit_Assumptions!$G$32+V17*Credit_Assumptions!$G$33</f>
        <v/>
      </c>
      <c r="W19" s="80">
        <f>W12*Credit_Assumptions!$G$28+W13*Credit_Assumptions!$G$29+W14*Credit_Assumptions!$G$30+W15*Credit_Assumptions!$G$31+W16*Credit_Assumptions!$G$32+W17*Credit_Assumptions!$G$33</f>
        <v/>
      </c>
      <c r="X19" s="80">
        <f>X12*Credit_Assumptions!$G$28+X13*Credit_Assumptions!$G$29+X14*Credit_Assumptions!$G$30+X15*Credit_Assumptions!$G$31+X16*Credit_Assumptions!$G$32+X17*Credit_Assumptions!$G$33</f>
        <v/>
      </c>
      <c r="Y19" s="80">
        <f>Y12*Credit_Assumptions!$G$28+Y13*Credit_Assumptions!$G$29+Y14*Credit_Assumptions!$G$30+Y15*Credit_Assumptions!$G$31+Y16*Credit_Assumptions!$G$32+Y17*Credit_Assumptions!$G$33</f>
        <v/>
      </c>
      <c r="Z19" s="80">
        <f>Z12*Credit_Assumptions!$G$28+Z13*Credit_Assumptions!$G$29+Z14*Credit_Assumptions!$G$30+Z15*Credit_Assumptions!$G$31+Z16*Credit_Assumptions!$G$32+Z17*Credit_Assumptions!$G$33</f>
        <v/>
      </c>
      <c r="AA19" s="80">
        <f>AA12*Credit_Assumptions!$G$28+AA13*Credit_Assumptions!$G$29+AA14*Credit_Assumptions!$G$30+AA15*Credit_Assumptions!$G$31+AA16*Credit_Assumptions!$G$32+AA17*Credit_Assumptions!$G$33</f>
        <v/>
      </c>
      <c r="AB19" s="80">
        <f>AB12*Credit_Assumptions!$G$28+AB13*Credit_Assumptions!$G$29+AB14*Credit_Assumptions!$G$30+AB15*Credit_Assumptions!$G$31+AB16*Credit_Assumptions!$G$32+AB17*Credit_Assumptions!$G$33</f>
        <v/>
      </c>
      <c r="AC19" s="80">
        <f>AC12*Credit_Assumptions!$G$28+AC13*Credit_Assumptions!$G$29+AC14*Credit_Assumptions!$G$30+AC15*Credit_Assumptions!$G$31+AC16*Credit_Assumptions!$G$32+AC17*Credit_Assumptions!$G$33</f>
        <v/>
      </c>
      <c r="AD19" s="80">
        <f>AD12*Credit_Assumptions!$G$28+AD13*Credit_Assumptions!$G$29+AD14*Credit_Assumptions!$G$30+AD15*Credit_Assumptions!$G$31+AD16*Credit_Assumptions!$G$32+AD17*Credit_Assumptions!$G$33</f>
        <v/>
      </c>
      <c r="AE19" s="80">
        <f>AE12*Credit_Assumptions!$G$28+AE13*Credit_Assumptions!$G$29+AE14*Credit_Assumptions!$G$30+AE15*Credit_Assumptions!$G$31+AE16*Credit_Assumptions!$G$32+AE17*Credit_Assumptions!$G$33</f>
        <v/>
      </c>
      <c r="AF19" s="80">
        <f>AF12*Credit_Assumptions!$G$28+AF13*Credit_Assumptions!$G$29+AF14*Credit_Assumptions!$G$30+AF15*Credit_Assumptions!$G$31+AF16*Credit_Assumptions!$G$32+AF17*Credit_Assumptions!$G$33</f>
        <v/>
      </c>
      <c r="AG19" s="80">
        <f>AG12*Credit_Assumptions!$G$28+AG13*Credit_Assumptions!$G$29+AG14*Credit_Assumptions!$G$30+AG15*Credit_Assumptions!$G$31+AG16*Credit_Assumptions!$G$32+AG17*Credit_Assumptions!$G$33</f>
        <v/>
      </c>
      <c r="AH19" s="80">
        <f>AH12*Credit_Assumptions!$G$28+AH13*Credit_Assumptions!$G$29+AH14*Credit_Assumptions!$G$30+AH15*Credit_Assumptions!$G$31+AH16*Credit_Assumptions!$G$32+AH17*Credit_Assumptions!$G$33</f>
        <v/>
      </c>
      <c r="AI19" s="80">
        <f>AI12*Credit_Assumptions!$G$28+AI13*Credit_Assumptions!$G$29+AI14*Credit_Assumptions!$G$30+AI15*Credit_Assumptions!$G$31+AI16*Credit_Assumptions!$G$32+AI17*Credit_Assumptions!$G$33</f>
        <v/>
      </c>
      <c r="AJ19" s="80">
        <f>AJ12*Credit_Assumptions!$G$28+AJ13*Credit_Assumptions!$G$29+AJ14*Credit_Assumptions!$G$30+AJ15*Credit_Assumptions!$G$31+AJ16*Credit_Assumptions!$G$32+AJ17*Credit_Assumptions!$G$33</f>
        <v/>
      </c>
      <c r="AK19" s="80">
        <f>AK12*Credit_Assumptions!$G$28+AK13*Credit_Assumptions!$G$29+AK14*Credit_Assumptions!$G$30+AK15*Credit_Assumptions!$G$31+AK16*Credit_Assumptions!$G$32+AK17*Credit_Assumptions!$G$33</f>
        <v/>
      </c>
      <c r="AL19" s="80">
        <f>AL12*Credit_Assumptions!$G$28+AL13*Credit_Assumptions!$G$29+AL14*Credit_Assumptions!$G$30+AL15*Credit_Assumptions!$G$31+AL16*Credit_Assumptions!$G$32+AL17*Credit_Assumptions!$G$33</f>
        <v/>
      </c>
      <c r="AM19" s="80">
        <f>AM12*Credit_Assumptions!$G$28+AM13*Credit_Assumptions!$G$29+AM14*Credit_Assumptions!$G$30+AM15*Credit_Assumptions!$G$31+AM16*Credit_Assumptions!$G$32+AM17*Credit_Assumptions!$G$33</f>
        <v/>
      </c>
      <c r="AN19" s="80">
        <f>AN12*Credit_Assumptions!$G$28+AN13*Credit_Assumptions!$G$29+AN14*Credit_Assumptions!$G$30+AN15*Credit_Assumptions!$G$31+AN16*Credit_Assumptions!$G$32+AN17*Credit_Assumptions!$G$33</f>
        <v/>
      </c>
      <c r="AO19" s="80">
        <f>AO12*Credit_Assumptions!$G$28+AO13*Credit_Assumptions!$G$29+AO14*Credit_Assumptions!$G$30+AO15*Credit_Assumptions!$G$31+AO16*Credit_Assumptions!$G$32+AO17*Credit_Assumptions!$G$33</f>
        <v/>
      </c>
      <c r="AP19" s="80">
        <f>AP12*Credit_Assumptions!$G$28+AP13*Credit_Assumptions!$G$29+AP14*Credit_Assumptions!$G$30+AP15*Credit_Assumptions!$G$31+AP16*Credit_Assumptions!$G$32+AP17*Credit_Assumptions!$G$33</f>
        <v/>
      </c>
      <c r="AQ19" s="80">
        <f>AQ12*Credit_Assumptions!$G$28+AQ13*Credit_Assumptions!$G$29+AQ14*Credit_Assumptions!$G$30+AQ15*Credit_Assumptions!$G$31+AQ16*Credit_Assumptions!$G$32+AQ17*Credit_Assumptions!$G$33</f>
        <v/>
      </c>
      <c r="AR19" s="80">
        <f>AR12*Credit_Assumptions!$G$28+AR13*Credit_Assumptions!$G$29+AR14*Credit_Assumptions!$G$30+AR15*Credit_Assumptions!$G$31+AR16*Credit_Assumptions!$G$32+AR17*Credit_Assumptions!$G$33</f>
        <v/>
      </c>
      <c r="AS19" s="80">
        <f>AS12*Credit_Assumptions!$G$28+AS13*Credit_Assumptions!$G$29+AS14*Credit_Assumptions!$G$30+AS15*Credit_Assumptions!$G$31+AS16*Credit_Assumptions!$G$32+AS17*Credit_Assumptions!$G$33</f>
        <v/>
      </c>
      <c r="AT19" s="80">
        <f>AT12*Credit_Assumptions!$G$28+AT13*Credit_Assumptions!$G$29+AT14*Credit_Assumptions!$G$30+AT15*Credit_Assumptions!$G$31+AT16*Credit_Assumptions!$G$32+AT17*Credit_Assumptions!$G$33</f>
        <v/>
      </c>
      <c r="AU19" s="80">
        <f>AU12*Credit_Assumptions!$G$28+AU13*Credit_Assumptions!$G$29+AU14*Credit_Assumptions!$G$30+AU15*Credit_Assumptions!$G$31+AU16*Credit_Assumptions!$G$32+AU17*Credit_Assumptions!$G$33</f>
        <v/>
      </c>
      <c r="AV19" s="80">
        <f>AV12*Credit_Assumptions!$G$28+AV13*Credit_Assumptions!$G$29+AV14*Credit_Assumptions!$G$30+AV15*Credit_Assumptions!$G$31+AV16*Credit_Assumptions!$G$32+AV17*Credit_Assumptions!$G$33</f>
        <v/>
      </c>
      <c r="AW19" s="80">
        <f>AW12*Credit_Assumptions!$G$28+AW13*Credit_Assumptions!$G$29+AW14*Credit_Assumptions!$G$30+AW15*Credit_Assumptions!$G$31+AW16*Credit_Assumptions!$G$32+AW17*Credit_Assumptions!$G$33</f>
        <v/>
      </c>
      <c r="AX19" s="80">
        <f>AX12*Credit_Assumptions!$G$28+AX13*Credit_Assumptions!$G$29+AX14*Credit_Assumptions!$G$30+AX15*Credit_Assumptions!$G$31+AX16*Credit_Assumptions!$G$32+AX17*Credit_Assumptions!$G$33</f>
        <v/>
      </c>
      <c r="AY19" s="80">
        <f>AY12*Credit_Assumptions!$G$28+AY13*Credit_Assumptions!$G$29+AY14*Credit_Assumptions!$G$30+AY15*Credit_Assumptions!$G$31+AY16*Credit_Assumptions!$G$32+AY17*Credit_Assumptions!$G$33</f>
        <v/>
      </c>
      <c r="AZ19" s="80">
        <f>AZ12*Credit_Assumptions!$G$28+AZ13*Credit_Assumptions!$G$29+AZ14*Credit_Assumptions!$G$30+AZ15*Credit_Assumptions!$G$31+AZ16*Credit_Assumptions!$G$32+AZ17*Credit_Assumptions!$G$33</f>
        <v/>
      </c>
      <c r="BA19" s="80">
        <f>BA12*Credit_Assumptions!$G$28+BA13*Credit_Assumptions!$G$29+BA14*Credit_Assumptions!$G$30+BA15*Credit_Assumptions!$G$31+BA16*Credit_Assumptions!$G$32+BA17*Credit_Assumptions!$G$33</f>
        <v/>
      </c>
      <c r="BB19" s="80">
        <f>BB12*Credit_Assumptions!$G$28+BB13*Credit_Assumptions!$G$29+BB14*Credit_Assumptions!$G$30+BB15*Credit_Assumptions!$G$31+BB16*Credit_Assumptions!$G$32+BB17*Credit_Assumptions!$G$33</f>
        <v/>
      </c>
      <c r="BC19" s="80">
        <f>BC12*Credit_Assumptions!$G$28+BC13*Credit_Assumptions!$G$29+BC14*Credit_Assumptions!$G$30+BC15*Credit_Assumptions!$G$31+BC16*Credit_Assumptions!$G$32+BC17*Credit_Assumptions!$G$33</f>
        <v/>
      </c>
      <c r="BD19" s="80">
        <f>BD12*Credit_Assumptions!$G$28+BD13*Credit_Assumptions!$G$29+BD14*Credit_Assumptions!$G$30+BD15*Credit_Assumptions!$G$31+BD16*Credit_Assumptions!$G$32+BD17*Credit_Assumptions!$G$33</f>
        <v/>
      </c>
      <c r="BE19" s="80">
        <f>BE12*Credit_Assumptions!$G$28+BE13*Credit_Assumptions!$G$29+BE14*Credit_Assumptions!$G$30+BE15*Credit_Assumptions!$G$31+BE16*Credit_Assumptions!$G$32+BE17*Credit_Assumptions!$G$33</f>
        <v/>
      </c>
      <c r="BF19" s="80">
        <f>BF12*Credit_Assumptions!$G$28+BF13*Credit_Assumptions!$G$29+BF14*Credit_Assumptions!$G$30+BF15*Credit_Assumptions!$G$31+BF16*Credit_Assumptions!$G$32+BF17*Credit_Assumptions!$G$33</f>
        <v/>
      </c>
      <c r="BG19" s="80">
        <f>BG12*Credit_Assumptions!$G$28+BG13*Credit_Assumptions!$G$29+BG14*Credit_Assumptions!$G$30+BG15*Credit_Assumptions!$G$31+BG16*Credit_Assumptions!$G$32+BG17*Credit_Assumptions!$G$33</f>
        <v/>
      </c>
      <c r="BH19" s="80">
        <f>BH12*Credit_Assumptions!$G$28+BH13*Credit_Assumptions!$G$29+BH14*Credit_Assumptions!$G$30+BH15*Credit_Assumptions!$G$31+BH16*Credit_Assumptions!$G$32+BH17*Credit_Assumptions!$G$33</f>
        <v/>
      </c>
      <c r="BI19" s="80">
        <f>BI12*Credit_Assumptions!$G$28+BI13*Credit_Assumptions!$G$29+BI14*Credit_Assumptions!$G$30+BI15*Credit_Assumptions!$G$31+BI16*Credit_Assumptions!$G$32+BI17*Credit_Assumptions!$G$33</f>
        <v/>
      </c>
      <c r="BJ19" s="80">
        <f>BJ12*Credit_Assumptions!$G$28+BJ13*Credit_Assumptions!$G$29+BJ14*Credit_Assumptions!$G$30+BJ15*Credit_Assumptions!$G$31+BJ16*Credit_Assumptions!$G$32+BJ17*Credit_Assumptions!$G$33</f>
        <v/>
      </c>
      <c r="BK19" s="80">
        <f>BK12*Credit_Assumptions!$G$28+BK13*Credit_Assumptions!$G$29+BK14*Credit_Assumptions!$G$30+BK15*Credit_Assumptions!$G$31+BK16*Credit_Assumptions!$G$32+BK17*Credit_Assumptions!$G$33</f>
        <v/>
      </c>
      <c r="BL19" s="80">
        <f>BL12*Credit_Assumptions!$G$28+BL13*Credit_Assumptions!$G$29+BL14*Credit_Assumptions!$G$30+BL15*Credit_Assumptions!$G$31+BL16*Credit_Assumptions!$G$32+BL17*Credit_Assumptions!$G$33</f>
        <v/>
      </c>
    </row>
    <row r="20">
      <c r="A20" s="98" t="inlineStr">
        <is>
          <t>90+ DPD receivables</t>
        </is>
      </c>
      <c r="B20" s="65" t="inlineStr">
        <is>
          <t>LCY</t>
        </is>
      </c>
      <c r="C20" s="105">
        <f>BL20</f>
        <v/>
      </c>
      <c r="E20" s="80">
        <f>E12*Credit_Assumptions!$H$28+E13*Credit_Assumptions!$H$29+E14*Credit_Assumptions!$H$30+E15*Credit_Assumptions!$H$31+E16*Credit_Assumptions!$H$32+E17*Credit_Assumptions!$H$33</f>
        <v/>
      </c>
      <c r="F20" s="80">
        <f>F12*Credit_Assumptions!$H$28+F13*Credit_Assumptions!$H$29+F14*Credit_Assumptions!$H$30+F15*Credit_Assumptions!$H$31+F16*Credit_Assumptions!$H$32+F17*Credit_Assumptions!$H$33</f>
        <v/>
      </c>
      <c r="G20" s="80">
        <f>G12*Credit_Assumptions!$H$28+G13*Credit_Assumptions!$H$29+G14*Credit_Assumptions!$H$30+G15*Credit_Assumptions!$H$31+G16*Credit_Assumptions!$H$32+G17*Credit_Assumptions!$H$33</f>
        <v/>
      </c>
      <c r="H20" s="80">
        <f>H12*Credit_Assumptions!$H$28+H13*Credit_Assumptions!$H$29+H14*Credit_Assumptions!$H$30+H15*Credit_Assumptions!$H$31+H16*Credit_Assumptions!$H$32+H17*Credit_Assumptions!$H$33</f>
        <v/>
      </c>
      <c r="I20" s="80">
        <f>I12*Credit_Assumptions!$H$28+I13*Credit_Assumptions!$H$29+I14*Credit_Assumptions!$H$30+I15*Credit_Assumptions!$H$31+I16*Credit_Assumptions!$H$32+I17*Credit_Assumptions!$H$33</f>
        <v/>
      </c>
      <c r="J20" s="80">
        <f>J12*Credit_Assumptions!$H$28+J13*Credit_Assumptions!$H$29+J14*Credit_Assumptions!$H$30+J15*Credit_Assumptions!$H$31+J16*Credit_Assumptions!$H$32+J17*Credit_Assumptions!$H$33</f>
        <v/>
      </c>
      <c r="K20" s="80">
        <f>K12*Credit_Assumptions!$H$28+K13*Credit_Assumptions!$H$29+K14*Credit_Assumptions!$H$30+K15*Credit_Assumptions!$H$31+K16*Credit_Assumptions!$H$32+K17*Credit_Assumptions!$H$33</f>
        <v/>
      </c>
      <c r="L20" s="80">
        <f>L12*Credit_Assumptions!$H$28+L13*Credit_Assumptions!$H$29+L14*Credit_Assumptions!$H$30+L15*Credit_Assumptions!$H$31+L16*Credit_Assumptions!$H$32+L17*Credit_Assumptions!$H$33</f>
        <v/>
      </c>
      <c r="M20" s="80">
        <f>M12*Credit_Assumptions!$H$28+M13*Credit_Assumptions!$H$29+M14*Credit_Assumptions!$H$30+M15*Credit_Assumptions!$H$31+M16*Credit_Assumptions!$H$32+M17*Credit_Assumptions!$H$33</f>
        <v/>
      </c>
      <c r="N20" s="80">
        <f>N12*Credit_Assumptions!$H$28+N13*Credit_Assumptions!$H$29+N14*Credit_Assumptions!$H$30+N15*Credit_Assumptions!$H$31+N16*Credit_Assumptions!$H$32+N17*Credit_Assumptions!$H$33</f>
        <v/>
      </c>
      <c r="O20" s="80">
        <f>O12*Credit_Assumptions!$H$28+O13*Credit_Assumptions!$H$29+O14*Credit_Assumptions!$H$30+O15*Credit_Assumptions!$H$31+O16*Credit_Assumptions!$H$32+O17*Credit_Assumptions!$H$33</f>
        <v/>
      </c>
      <c r="P20" s="80">
        <f>P12*Credit_Assumptions!$H$28+P13*Credit_Assumptions!$H$29+P14*Credit_Assumptions!$H$30+P15*Credit_Assumptions!$H$31+P16*Credit_Assumptions!$H$32+P17*Credit_Assumptions!$H$33</f>
        <v/>
      </c>
      <c r="Q20" s="80">
        <f>Q12*Credit_Assumptions!$H$28+Q13*Credit_Assumptions!$H$29+Q14*Credit_Assumptions!$H$30+Q15*Credit_Assumptions!$H$31+Q16*Credit_Assumptions!$H$32+Q17*Credit_Assumptions!$H$33</f>
        <v/>
      </c>
      <c r="R20" s="80">
        <f>R12*Credit_Assumptions!$H$28+R13*Credit_Assumptions!$H$29+R14*Credit_Assumptions!$H$30+R15*Credit_Assumptions!$H$31+R16*Credit_Assumptions!$H$32+R17*Credit_Assumptions!$H$33</f>
        <v/>
      </c>
      <c r="S20" s="80">
        <f>S12*Credit_Assumptions!$H$28+S13*Credit_Assumptions!$H$29+S14*Credit_Assumptions!$H$30+S15*Credit_Assumptions!$H$31+S16*Credit_Assumptions!$H$32+S17*Credit_Assumptions!$H$33</f>
        <v/>
      </c>
      <c r="T20" s="80">
        <f>T12*Credit_Assumptions!$H$28+T13*Credit_Assumptions!$H$29+T14*Credit_Assumptions!$H$30+T15*Credit_Assumptions!$H$31+T16*Credit_Assumptions!$H$32+T17*Credit_Assumptions!$H$33</f>
        <v/>
      </c>
      <c r="U20" s="80">
        <f>U12*Credit_Assumptions!$H$28+U13*Credit_Assumptions!$H$29+U14*Credit_Assumptions!$H$30+U15*Credit_Assumptions!$H$31+U16*Credit_Assumptions!$H$32+U17*Credit_Assumptions!$H$33</f>
        <v/>
      </c>
      <c r="V20" s="80">
        <f>V12*Credit_Assumptions!$H$28+V13*Credit_Assumptions!$H$29+V14*Credit_Assumptions!$H$30+V15*Credit_Assumptions!$H$31+V16*Credit_Assumptions!$H$32+V17*Credit_Assumptions!$H$33</f>
        <v/>
      </c>
      <c r="W20" s="80">
        <f>W12*Credit_Assumptions!$H$28+W13*Credit_Assumptions!$H$29+W14*Credit_Assumptions!$H$30+W15*Credit_Assumptions!$H$31+W16*Credit_Assumptions!$H$32+W17*Credit_Assumptions!$H$33</f>
        <v/>
      </c>
      <c r="X20" s="80">
        <f>X12*Credit_Assumptions!$H$28+X13*Credit_Assumptions!$H$29+X14*Credit_Assumptions!$H$30+X15*Credit_Assumptions!$H$31+X16*Credit_Assumptions!$H$32+X17*Credit_Assumptions!$H$33</f>
        <v/>
      </c>
      <c r="Y20" s="80">
        <f>Y12*Credit_Assumptions!$H$28+Y13*Credit_Assumptions!$H$29+Y14*Credit_Assumptions!$H$30+Y15*Credit_Assumptions!$H$31+Y16*Credit_Assumptions!$H$32+Y17*Credit_Assumptions!$H$33</f>
        <v/>
      </c>
      <c r="Z20" s="80">
        <f>Z12*Credit_Assumptions!$H$28+Z13*Credit_Assumptions!$H$29+Z14*Credit_Assumptions!$H$30+Z15*Credit_Assumptions!$H$31+Z16*Credit_Assumptions!$H$32+Z17*Credit_Assumptions!$H$33</f>
        <v/>
      </c>
      <c r="AA20" s="80">
        <f>AA12*Credit_Assumptions!$H$28+AA13*Credit_Assumptions!$H$29+AA14*Credit_Assumptions!$H$30+AA15*Credit_Assumptions!$H$31+AA16*Credit_Assumptions!$H$32+AA17*Credit_Assumptions!$H$33</f>
        <v/>
      </c>
      <c r="AB20" s="80">
        <f>AB12*Credit_Assumptions!$H$28+AB13*Credit_Assumptions!$H$29+AB14*Credit_Assumptions!$H$30+AB15*Credit_Assumptions!$H$31+AB16*Credit_Assumptions!$H$32+AB17*Credit_Assumptions!$H$33</f>
        <v/>
      </c>
      <c r="AC20" s="80">
        <f>AC12*Credit_Assumptions!$H$28+AC13*Credit_Assumptions!$H$29+AC14*Credit_Assumptions!$H$30+AC15*Credit_Assumptions!$H$31+AC16*Credit_Assumptions!$H$32+AC17*Credit_Assumptions!$H$33</f>
        <v/>
      </c>
      <c r="AD20" s="80">
        <f>AD12*Credit_Assumptions!$H$28+AD13*Credit_Assumptions!$H$29+AD14*Credit_Assumptions!$H$30+AD15*Credit_Assumptions!$H$31+AD16*Credit_Assumptions!$H$32+AD17*Credit_Assumptions!$H$33</f>
        <v/>
      </c>
      <c r="AE20" s="80">
        <f>AE12*Credit_Assumptions!$H$28+AE13*Credit_Assumptions!$H$29+AE14*Credit_Assumptions!$H$30+AE15*Credit_Assumptions!$H$31+AE16*Credit_Assumptions!$H$32+AE17*Credit_Assumptions!$H$33</f>
        <v/>
      </c>
      <c r="AF20" s="80">
        <f>AF12*Credit_Assumptions!$H$28+AF13*Credit_Assumptions!$H$29+AF14*Credit_Assumptions!$H$30+AF15*Credit_Assumptions!$H$31+AF16*Credit_Assumptions!$H$32+AF17*Credit_Assumptions!$H$33</f>
        <v/>
      </c>
      <c r="AG20" s="80">
        <f>AG12*Credit_Assumptions!$H$28+AG13*Credit_Assumptions!$H$29+AG14*Credit_Assumptions!$H$30+AG15*Credit_Assumptions!$H$31+AG16*Credit_Assumptions!$H$32+AG17*Credit_Assumptions!$H$33</f>
        <v/>
      </c>
      <c r="AH20" s="80">
        <f>AH12*Credit_Assumptions!$H$28+AH13*Credit_Assumptions!$H$29+AH14*Credit_Assumptions!$H$30+AH15*Credit_Assumptions!$H$31+AH16*Credit_Assumptions!$H$32+AH17*Credit_Assumptions!$H$33</f>
        <v/>
      </c>
      <c r="AI20" s="80">
        <f>AI12*Credit_Assumptions!$H$28+AI13*Credit_Assumptions!$H$29+AI14*Credit_Assumptions!$H$30+AI15*Credit_Assumptions!$H$31+AI16*Credit_Assumptions!$H$32+AI17*Credit_Assumptions!$H$33</f>
        <v/>
      </c>
      <c r="AJ20" s="80">
        <f>AJ12*Credit_Assumptions!$H$28+AJ13*Credit_Assumptions!$H$29+AJ14*Credit_Assumptions!$H$30+AJ15*Credit_Assumptions!$H$31+AJ16*Credit_Assumptions!$H$32+AJ17*Credit_Assumptions!$H$33</f>
        <v/>
      </c>
      <c r="AK20" s="80">
        <f>AK12*Credit_Assumptions!$H$28+AK13*Credit_Assumptions!$H$29+AK14*Credit_Assumptions!$H$30+AK15*Credit_Assumptions!$H$31+AK16*Credit_Assumptions!$H$32+AK17*Credit_Assumptions!$H$33</f>
        <v/>
      </c>
      <c r="AL20" s="80">
        <f>AL12*Credit_Assumptions!$H$28+AL13*Credit_Assumptions!$H$29+AL14*Credit_Assumptions!$H$30+AL15*Credit_Assumptions!$H$31+AL16*Credit_Assumptions!$H$32+AL17*Credit_Assumptions!$H$33</f>
        <v/>
      </c>
      <c r="AM20" s="80">
        <f>AM12*Credit_Assumptions!$H$28+AM13*Credit_Assumptions!$H$29+AM14*Credit_Assumptions!$H$30+AM15*Credit_Assumptions!$H$31+AM16*Credit_Assumptions!$H$32+AM17*Credit_Assumptions!$H$33</f>
        <v/>
      </c>
      <c r="AN20" s="80">
        <f>AN12*Credit_Assumptions!$H$28+AN13*Credit_Assumptions!$H$29+AN14*Credit_Assumptions!$H$30+AN15*Credit_Assumptions!$H$31+AN16*Credit_Assumptions!$H$32+AN17*Credit_Assumptions!$H$33</f>
        <v/>
      </c>
      <c r="AO20" s="80">
        <f>AO12*Credit_Assumptions!$H$28+AO13*Credit_Assumptions!$H$29+AO14*Credit_Assumptions!$H$30+AO15*Credit_Assumptions!$H$31+AO16*Credit_Assumptions!$H$32+AO17*Credit_Assumptions!$H$33</f>
        <v/>
      </c>
      <c r="AP20" s="80">
        <f>AP12*Credit_Assumptions!$H$28+AP13*Credit_Assumptions!$H$29+AP14*Credit_Assumptions!$H$30+AP15*Credit_Assumptions!$H$31+AP16*Credit_Assumptions!$H$32+AP17*Credit_Assumptions!$H$33</f>
        <v/>
      </c>
      <c r="AQ20" s="80">
        <f>AQ12*Credit_Assumptions!$H$28+AQ13*Credit_Assumptions!$H$29+AQ14*Credit_Assumptions!$H$30+AQ15*Credit_Assumptions!$H$31+AQ16*Credit_Assumptions!$H$32+AQ17*Credit_Assumptions!$H$33</f>
        <v/>
      </c>
      <c r="AR20" s="80">
        <f>AR12*Credit_Assumptions!$H$28+AR13*Credit_Assumptions!$H$29+AR14*Credit_Assumptions!$H$30+AR15*Credit_Assumptions!$H$31+AR16*Credit_Assumptions!$H$32+AR17*Credit_Assumptions!$H$33</f>
        <v/>
      </c>
      <c r="AS20" s="80">
        <f>AS12*Credit_Assumptions!$H$28+AS13*Credit_Assumptions!$H$29+AS14*Credit_Assumptions!$H$30+AS15*Credit_Assumptions!$H$31+AS16*Credit_Assumptions!$H$32+AS17*Credit_Assumptions!$H$33</f>
        <v/>
      </c>
      <c r="AT20" s="80">
        <f>AT12*Credit_Assumptions!$H$28+AT13*Credit_Assumptions!$H$29+AT14*Credit_Assumptions!$H$30+AT15*Credit_Assumptions!$H$31+AT16*Credit_Assumptions!$H$32+AT17*Credit_Assumptions!$H$33</f>
        <v/>
      </c>
      <c r="AU20" s="80">
        <f>AU12*Credit_Assumptions!$H$28+AU13*Credit_Assumptions!$H$29+AU14*Credit_Assumptions!$H$30+AU15*Credit_Assumptions!$H$31+AU16*Credit_Assumptions!$H$32+AU17*Credit_Assumptions!$H$33</f>
        <v/>
      </c>
      <c r="AV20" s="80">
        <f>AV12*Credit_Assumptions!$H$28+AV13*Credit_Assumptions!$H$29+AV14*Credit_Assumptions!$H$30+AV15*Credit_Assumptions!$H$31+AV16*Credit_Assumptions!$H$32+AV17*Credit_Assumptions!$H$33</f>
        <v/>
      </c>
      <c r="AW20" s="80">
        <f>AW12*Credit_Assumptions!$H$28+AW13*Credit_Assumptions!$H$29+AW14*Credit_Assumptions!$H$30+AW15*Credit_Assumptions!$H$31+AW16*Credit_Assumptions!$H$32+AW17*Credit_Assumptions!$H$33</f>
        <v/>
      </c>
      <c r="AX20" s="80">
        <f>AX12*Credit_Assumptions!$H$28+AX13*Credit_Assumptions!$H$29+AX14*Credit_Assumptions!$H$30+AX15*Credit_Assumptions!$H$31+AX16*Credit_Assumptions!$H$32+AX17*Credit_Assumptions!$H$33</f>
        <v/>
      </c>
      <c r="AY20" s="80">
        <f>AY12*Credit_Assumptions!$H$28+AY13*Credit_Assumptions!$H$29+AY14*Credit_Assumptions!$H$30+AY15*Credit_Assumptions!$H$31+AY16*Credit_Assumptions!$H$32+AY17*Credit_Assumptions!$H$33</f>
        <v/>
      </c>
      <c r="AZ20" s="80">
        <f>AZ12*Credit_Assumptions!$H$28+AZ13*Credit_Assumptions!$H$29+AZ14*Credit_Assumptions!$H$30+AZ15*Credit_Assumptions!$H$31+AZ16*Credit_Assumptions!$H$32+AZ17*Credit_Assumptions!$H$33</f>
        <v/>
      </c>
      <c r="BA20" s="80">
        <f>BA12*Credit_Assumptions!$H$28+BA13*Credit_Assumptions!$H$29+BA14*Credit_Assumptions!$H$30+BA15*Credit_Assumptions!$H$31+BA16*Credit_Assumptions!$H$32+BA17*Credit_Assumptions!$H$33</f>
        <v/>
      </c>
      <c r="BB20" s="80">
        <f>BB12*Credit_Assumptions!$H$28+BB13*Credit_Assumptions!$H$29+BB14*Credit_Assumptions!$H$30+BB15*Credit_Assumptions!$H$31+BB16*Credit_Assumptions!$H$32+BB17*Credit_Assumptions!$H$33</f>
        <v/>
      </c>
      <c r="BC20" s="80">
        <f>BC12*Credit_Assumptions!$H$28+BC13*Credit_Assumptions!$H$29+BC14*Credit_Assumptions!$H$30+BC15*Credit_Assumptions!$H$31+BC16*Credit_Assumptions!$H$32+BC17*Credit_Assumptions!$H$33</f>
        <v/>
      </c>
      <c r="BD20" s="80">
        <f>BD12*Credit_Assumptions!$H$28+BD13*Credit_Assumptions!$H$29+BD14*Credit_Assumptions!$H$30+BD15*Credit_Assumptions!$H$31+BD16*Credit_Assumptions!$H$32+BD17*Credit_Assumptions!$H$33</f>
        <v/>
      </c>
      <c r="BE20" s="80">
        <f>BE12*Credit_Assumptions!$H$28+BE13*Credit_Assumptions!$H$29+BE14*Credit_Assumptions!$H$30+BE15*Credit_Assumptions!$H$31+BE16*Credit_Assumptions!$H$32+BE17*Credit_Assumptions!$H$33</f>
        <v/>
      </c>
      <c r="BF20" s="80">
        <f>BF12*Credit_Assumptions!$H$28+BF13*Credit_Assumptions!$H$29+BF14*Credit_Assumptions!$H$30+BF15*Credit_Assumptions!$H$31+BF16*Credit_Assumptions!$H$32+BF17*Credit_Assumptions!$H$33</f>
        <v/>
      </c>
      <c r="BG20" s="80">
        <f>BG12*Credit_Assumptions!$H$28+BG13*Credit_Assumptions!$H$29+BG14*Credit_Assumptions!$H$30+BG15*Credit_Assumptions!$H$31+BG16*Credit_Assumptions!$H$32+BG17*Credit_Assumptions!$H$33</f>
        <v/>
      </c>
      <c r="BH20" s="80">
        <f>BH12*Credit_Assumptions!$H$28+BH13*Credit_Assumptions!$H$29+BH14*Credit_Assumptions!$H$30+BH15*Credit_Assumptions!$H$31+BH16*Credit_Assumptions!$H$32+BH17*Credit_Assumptions!$H$33</f>
        <v/>
      </c>
      <c r="BI20" s="80">
        <f>BI12*Credit_Assumptions!$H$28+BI13*Credit_Assumptions!$H$29+BI14*Credit_Assumptions!$H$30+BI15*Credit_Assumptions!$H$31+BI16*Credit_Assumptions!$H$32+BI17*Credit_Assumptions!$H$33</f>
        <v/>
      </c>
      <c r="BJ20" s="80">
        <f>BJ12*Credit_Assumptions!$H$28+BJ13*Credit_Assumptions!$H$29+BJ14*Credit_Assumptions!$H$30+BJ15*Credit_Assumptions!$H$31+BJ16*Credit_Assumptions!$H$32+BJ17*Credit_Assumptions!$H$33</f>
        <v/>
      </c>
      <c r="BK20" s="80">
        <f>BK12*Credit_Assumptions!$H$28+BK13*Credit_Assumptions!$H$29+BK14*Credit_Assumptions!$H$30+BK15*Credit_Assumptions!$H$31+BK16*Credit_Assumptions!$H$32+BK17*Credit_Assumptions!$H$33</f>
        <v/>
      </c>
      <c r="BL20" s="80">
        <f>BL12*Credit_Assumptions!$H$28+BL13*Credit_Assumptions!$H$29+BL14*Credit_Assumptions!$H$30+BL15*Credit_Assumptions!$H$31+BL16*Credit_Assumptions!$H$32+BL17*Credit_Assumptions!$H$33</f>
        <v/>
      </c>
    </row>
    <row r="21">
      <c r="A21" s="98" t="inlineStr">
        <is>
          <t>Gross resale proceeds</t>
        </is>
      </c>
      <c r="B21" s="65" t="inlineStr">
        <is>
          <t>LCY</t>
        </is>
      </c>
      <c r="C21" s="105">
        <f>SUM(E21:BL21)</f>
        <v/>
      </c>
      <c r="E21" s="80">
        <f>IF(Credit_Assumptions!$C$15&gt;=1,0,Ops!E$19/(1-Credit_Assumptions!$C$15))</f>
        <v/>
      </c>
      <c r="F21" s="80">
        <f>IF(Credit_Assumptions!$C$15&gt;=1,0,Ops!F$19/(1-Credit_Assumptions!$C$15))</f>
        <v/>
      </c>
      <c r="G21" s="80">
        <f>IF(Credit_Assumptions!$C$15&gt;=1,0,Ops!G$19/(1-Credit_Assumptions!$C$15))</f>
        <v/>
      </c>
      <c r="H21" s="80">
        <f>IF(Credit_Assumptions!$C$15&gt;=1,0,Ops!H$19/(1-Credit_Assumptions!$C$15))</f>
        <v/>
      </c>
      <c r="I21" s="80">
        <f>IF(Credit_Assumptions!$C$15&gt;=1,0,Ops!I$19/(1-Credit_Assumptions!$C$15))</f>
        <v/>
      </c>
      <c r="J21" s="80">
        <f>IF(Credit_Assumptions!$C$15&gt;=1,0,Ops!J$19/(1-Credit_Assumptions!$C$15))</f>
        <v/>
      </c>
      <c r="K21" s="80">
        <f>IF(Credit_Assumptions!$C$15&gt;=1,0,Ops!K$19/(1-Credit_Assumptions!$C$15))</f>
        <v/>
      </c>
      <c r="L21" s="80">
        <f>IF(Credit_Assumptions!$C$15&gt;=1,0,Ops!L$19/(1-Credit_Assumptions!$C$15))</f>
        <v/>
      </c>
      <c r="M21" s="80">
        <f>IF(Credit_Assumptions!$C$15&gt;=1,0,Ops!M$19/(1-Credit_Assumptions!$C$15))</f>
        <v/>
      </c>
      <c r="N21" s="80">
        <f>IF(Credit_Assumptions!$C$15&gt;=1,0,Ops!N$19/(1-Credit_Assumptions!$C$15))</f>
        <v/>
      </c>
      <c r="O21" s="80">
        <f>IF(Credit_Assumptions!$C$15&gt;=1,0,Ops!O$19/(1-Credit_Assumptions!$C$15))</f>
        <v/>
      </c>
      <c r="P21" s="80">
        <f>IF(Credit_Assumptions!$C$15&gt;=1,0,Ops!P$19/(1-Credit_Assumptions!$C$15))</f>
        <v/>
      </c>
      <c r="Q21" s="80">
        <f>IF(Credit_Assumptions!$C$15&gt;=1,0,Ops!Q$19/(1-Credit_Assumptions!$C$15))</f>
        <v/>
      </c>
      <c r="R21" s="80">
        <f>IF(Credit_Assumptions!$C$15&gt;=1,0,Ops!R$19/(1-Credit_Assumptions!$C$15))</f>
        <v/>
      </c>
      <c r="S21" s="80">
        <f>IF(Credit_Assumptions!$C$15&gt;=1,0,Ops!S$19/(1-Credit_Assumptions!$C$15))</f>
        <v/>
      </c>
      <c r="T21" s="80">
        <f>IF(Credit_Assumptions!$C$15&gt;=1,0,Ops!T$19/(1-Credit_Assumptions!$C$15))</f>
        <v/>
      </c>
      <c r="U21" s="80">
        <f>IF(Credit_Assumptions!$C$15&gt;=1,0,Ops!U$19/(1-Credit_Assumptions!$C$15))</f>
        <v/>
      </c>
      <c r="V21" s="80">
        <f>IF(Credit_Assumptions!$C$15&gt;=1,0,Ops!V$19/(1-Credit_Assumptions!$C$15))</f>
        <v/>
      </c>
      <c r="W21" s="80">
        <f>IF(Credit_Assumptions!$C$15&gt;=1,0,Ops!W$19/(1-Credit_Assumptions!$C$15))</f>
        <v/>
      </c>
      <c r="X21" s="80">
        <f>IF(Credit_Assumptions!$C$15&gt;=1,0,Ops!X$19/(1-Credit_Assumptions!$C$15))</f>
        <v/>
      </c>
      <c r="Y21" s="80">
        <f>IF(Credit_Assumptions!$C$15&gt;=1,0,Ops!Y$19/(1-Credit_Assumptions!$C$15))</f>
        <v/>
      </c>
      <c r="Z21" s="80">
        <f>IF(Credit_Assumptions!$C$15&gt;=1,0,Ops!Z$19/(1-Credit_Assumptions!$C$15))</f>
        <v/>
      </c>
      <c r="AA21" s="80">
        <f>IF(Credit_Assumptions!$C$15&gt;=1,0,Ops!AA$19/(1-Credit_Assumptions!$C$15))</f>
        <v/>
      </c>
      <c r="AB21" s="80">
        <f>IF(Credit_Assumptions!$C$15&gt;=1,0,Ops!AB$19/(1-Credit_Assumptions!$C$15))</f>
        <v/>
      </c>
      <c r="AC21" s="80">
        <f>IF(Credit_Assumptions!$C$15&gt;=1,0,Ops!AC$19/(1-Credit_Assumptions!$C$15))</f>
        <v/>
      </c>
      <c r="AD21" s="80">
        <f>IF(Credit_Assumptions!$C$15&gt;=1,0,Ops!AD$19/(1-Credit_Assumptions!$C$15))</f>
        <v/>
      </c>
      <c r="AE21" s="80">
        <f>IF(Credit_Assumptions!$C$15&gt;=1,0,Ops!AE$19/(1-Credit_Assumptions!$C$15))</f>
        <v/>
      </c>
      <c r="AF21" s="80">
        <f>IF(Credit_Assumptions!$C$15&gt;=1,0,Ops!AF$19/(1-Credit_Assumptions!$C$15))</f>
        <v/>
      </c>
      <c r="AG21" s="80">
        <f>IF(Credit_Assumptions!$C$15&gt;=1,0,Ops!AG$19/(1-Credit_Assumptions!$C$15))</f>
        <v/>
      </c>
      <c r="AH21" s="80">
        <f>IF(Credit_Assumptions!$C$15&gt;=1,0,Ops!AH$19/(1-Credit_Assumptions!$C$15))</f>
        <v/>
      </c>
      <c r="AI21" s="80">
        <f>IF(Credit_Assumptions!$C$15&gt;=1,0,Ops!AI$19/(1-Credit_Assumptions!$C$15))</f>
        <v/>
      </c>
      <c r="AJ21" s="80">
        <f>IF(Credit_Assumptions!$C$15&gt;=1,0,Ops!AJ$19/(1-Credit_Assumptions!$C$15))</f>
        <v/>
      </c>
      <c r="AK21" s="80">
        <f>IF(Credit_Assumptions!$C$15&gt;=1,0,Ops!AK$19/(1-Credit_Assumptions!$C$15))</f>
        <v/>
      </c>
      <c r="AL21" s="80">
        <f>IF(Credit_Assumptions!$C$15&gt;=1,0,Ops!AL$19/(1-Credit_Assumptions!$C$15))</f>
        <v/>
      </c>
      <c r="AM21" s="80">
        <f>IF(Credit_Assumptions!$C$15&gt;=1,0,Ops!AM$19/(1-Credit_Assumptions!$C$15))</f>
        <v/>
      </c>
      <c r="AN21" s="80">
        <f>IF(Credit_Assumptions!$C$15&gt;=1,0,Ops!AN$19/(1-Credit_Assumptions!$C$15))</f>
        <v/>
      </c>
      <c r="AO21" s="80">
        <f>IF(Credit_Assumptions!$C$15&gt;=1,0,Ops!AO$19/(1-Credit_Assumptions!$C$15))</f>
        <v/>
      </c>
      <c r="AP21" s="80">
        <f>IF(Credit_Assumptions!$C$15&gt;=1,0,Ops!AP$19/(1-Credit_Assumptions!$C$15))</f>
        <v/>
      </c>
      <c r="AQ21" s="80">
        <f>IF(Credit_Assumptions!$C$15&gt;=1,0,Ops!AQ$19/(1-Credit_Assumptions!$C$15))</f>
        <v/>
      </c>
      <c r="AR21" s="80">
        <f>IF(Credit_Assumptions!$C$15&gt;=1,0,Ops!AR$19/(1-Credit_Assumptions!$C$15))</f>
        <v/>
      </c>
      <c r="AS21" s="80">
        <f>IF(Credit_Assumptions!$C$15&gt;=1,0,Ops!AS$19/(1-Credit_Assumptions!$C$15))</f>
        <v/>
      </c>
      <c r="AT21" s="80">
        <f>IF(Credit_Assumptions!$C$15&gt;=1,0,Ops!AT$19/(1-Credit_Assumptions!$C$15))</f>
        <v/>
      </c>
      <c r="AU21" s="80">
        <f>IF(Credit_Assumptions!$C$15&gt;=1,0,Ops!AU$19/(1-Credit_Assumptions!$C$15))</f>
        <v/>
      </c>
      <c r="AV21" s="80">
        <f>IF(Credit_Assumptions!$C$15&gt;=1,0,Ops!AV$19/(1-Credit_Assumptions!$C$15))</f>
        <v/>
      </c>
      <c r="AW21" s="80">
        <f>IF(Credit_Assumptions!$C$15&gt;=1,0,Ops!AW$19/(1-Credit_Assumptions!$C$15))</f>
        <v/>
      </c>
      <c r="AX21" s="80">
        <f>IF(Credit_Assumptions!$C$15&gt;=1,0,Ops!AX$19/(1-Credit_Assumptions!$C$15))</f>
        <v/>
      </c>
      <c r="AY21" s="80">
        <f>IF(Credit_Assumptions!$C$15&gt;=1,0,Ops!AY$19/(1-Credit_Assumptions!$C$15))</f>
        <v/>
      </c>
      <c r="AZ21" s="80">
        <f>IF(Credit_Assumptions!$C$15&gt;=1,0,Ops!AZ$19/(1-Credit_Assumptions!$C$15))</f>
        <v/>
      </c>
      <c r="BA21" s="80">
        <f>IF(Credit_Assumptions!$C$15&gt;=1,0,Ops!BA$19/(1-Credit_Assumptions!$C$15))</f>
        <v/>
      </c>
      <c r="BB21" s="80">
        <f>IF(Credit_Assumptions!$C$15&gt;=1,0,Ops!BB$19/(1-Credit_Assumptions!$C$15))</f>
        <v/>
      </c>
      <c r="BC21" s="80">
        <f>IF(Credit_Assumptions!$C$15&gt;=1,0,Ops!BC$19/(1-Credit_Assumptions!$C$15))</f>
        <v/>
      </c>
      <c r="BD21" s="80">
        <f>IF(Credit_Assumptions!$C$15&gt;=1,0,Ops!BD$19/(1-Credit_Assumptions!$C$15))</f>
        <v/>
      </c>
      <c r="BE21" s="80">
        <f>IF(Credit_Assumptions!$C$15&gt;=1,0,Ops!BE$19/(1-Credit_Assumptions!$C$15))</f>
        <v/>
      </c>
      <c r="BF21" s="80">
        <f>IF(Credit_Assumptions!$C$15&gt;=1,0,Ops!BF$19/(1-Credit_Assumptions!$C$15))</f>
        <v/>
      </c>
      <c r="BG21" s="80">
        <f>IF(Credit_Assumptions!$C$15&gt;=1,0,Ops!BG$19/(1-Credit_Assumptions!$C$15))</f>
        <v/>
      </c>
      <c r="BH21" s="80">
        <f>IF(Credit_Assumptions!$C$15&gt;=1,0,Ops!BH$19/(1-Credit_Assumptions!$C$15))</f>
        <v/>
      </c>
      <c r="BI21" s="80">
        <f>IF(Credit_Assumptions!$C$15&gt;=1,0,Ops!BI$19/(1-Credit_Assumptions!$C$15))</f>
        <v/>
      </c>
      <c r="BJ21" s="80">
        <f>IF(Credit_Assumptions!$C$15&gt;=1,0,Ops!BJ$19/(1-Credit_Assumptions!$C$15))</f>
        <v/>
      </c>
      <c r="BK21" s="80">
        <f>IF(Credit_Assumptions!$C$15&gt;=1,0,Ops!BK$19/(1-Credit_Assumptions!$C$15))</f>
        <v/>
      </c>
      <c r="BL21" s="80">
        <f>IF(Credit_Assumptions!$C$15&gt;=1,0,Ops!BL$19/(1-Credit_Assumptions!$C$15))</f>
        <v/>
      </c>
    </row>
    <row r="22">
      <c r="A22" s="98" t="inlineStr">
        <is>
          <t>Recovery costs</t>
        </is>
      </c>
      <c r="B22" s="65" t="inlineStr">
        <is>
          <t>LCY</t>
        </is>
      </c>
      <c r="C22" s="105">
        <f>SUM(E22:BL22)</f>
        <v/>
      </c>
      <c r="E22" s="80">
        <f>E21-Ops!E$19</f>
        <v/>
      </c>
      <c r="F22" s="80">
        <f>F21-Ops!F$19</f>
        <v/>
      </c>
      <c r="G22" s="80">
        <f>G21-Ops!G$19</f>
        <v/>
      </c>
      <c r="H22" s="80">
        <f>H21-Ops!H$19</f>
        <v/>
      </c>
      <c r="I22" s="80">
        <f>I21-Ops!I$19</f>
        <v/>
      </c>
      <c r="J22" s="80">
        <f>J21-Ops!J$19</f>
        <v/>
      </c>
      <c r="K22" s="80">
        <f>K21-Ops!K$19</f>
        <v/>
      </c>
      <c r="L22" s="80">
        <f>L21-Ops!L$19</f>
        <v/>
      </c>
      <c r="M22" s="80">
        <f>M21-Ops!M$19</f>
        <v/>
      </c>
      <c r="N22" s="80">
        <f>N21-Ops!N$19</f>
        <v/>
      </c>
      <c r="O22" s="80">
        <f>O21-Ops!O$19</f>
        <v/>
      </c>
      <c r="P22" s="80">
        <f>P21-Ops!P$19</f>
        <v/>
      </c>
      <c r="Q22" s="80">
        <f>Q21-Ops!Q$19</f>
        <v/>
      </c>
      <c r="R22" s="80">
        <f>R21-Ops!R$19</f>
        <v/>
      </c>
      <c r="S22" s="80">
        <f>S21-Ops!S$19</f>
        <v/>
      </c>
      <c r="T22" s="80">
        <f>T21-Ops!T$19</f>
        <v/>
      </c>
      <c r="U22" s="80">
        <f>U21-Ops!U$19</f>
        <v/>
      </c>
      <c r="V22" s="80">
        <f>V21-Ops!V$19</f>
        <v/>
      </c>
      <c r="W22" s="80">
        <f>W21-Ops!W$19</f>
        <v/>
      </c>
      <c r="X22" s="80">
        <f>X21-Ops!X$19</f>
        <v/>
      </c>
      <c r="Y22" s="80">
        <f>Y21-Ops!Y$19</f>
        <v/>
      </c>
      <c r="Z22" s="80">
        <f>Z21-Ops!Z$19</f>
        <v/>
      </c>
      <c r="AA22" s="80">
        <f>AA21-Ops!AA$19</f>
        <v/>
      </c>
      <c r="AB22" s="80">
        <f>AB21-Ops!AB$19</f>
        <v/>
      </c>
      <c r="AC22" s="80">
        <f>AC21-Ops!AC$19</f>
        <v/>
      </c>
      <c r="AD22" s="80">
        <f>AD21-Ops!AD$19</f>
        <v/>
      </c>
      <c r="AE22" s="80">
        <f>AE21-Ops!AE$19</f>
        <v/>
      </c>
      <c r="AF22" s="80">
        <f>AF21-Ops!AF$19</f>
        <v/>
      </c>
      <c r="AG22" s="80">
        <f>AG21-Ops!AG$19</f>
        <v/>
      </c>
      <c r="AH22" s="80">
        <f>AH21-Ops!AH$19</f>
        <v/>
      </c>
      <c r="AI22" s="80">
        <f>AI21-Ops!AI$19</f>
        <v/>
      </c>
      <c r="AJ22" s="80">
        <f>AJ21-Ops!AJ$19</f>
        <v/>
      </c>
      <c r="AK22" s="80">
        <f>AK21-Ops!AK$19</f>
        <v/>
      </c>
      <c r="AL22" s="80">
        <f>AL21-Ops!AL$19</f>
        <v/>
      </c>
      <c r="AM22" s="80">
        <f>AM21-Ops!AM$19</f>
        <v/>
      </c>
      <c r="AN22" s="80">
        <f>AN21-Ops!AN$19</f>
        <v/>
      </c>
      <c r="AO22" s="80">
        <f>AO21-Ops!AO$19</f>
        <v/>
      </c>
      <c r="AP22" s="80">
        <f>AP21-Ops!AP$19</f>
        <v/>
      </c>
      <c r="AQ22" s="80">
        <f>AQ21-Ops!AQ$19</f>
        <v/>
      </c>
      <c r="AR22" s="80">
        <f>AR21-Ops!AR$19</f>
        <v/>
      </c>
      <c r="AS22" s="80">
        <f>AS21-Ops!AS$19</f>
        <v/>
      </c>
      <c r="AT22" s="80">
        <f>AT21-Ops!AT$19</f>
        <v/>
      </c>
      <c r="AU22" s="80">
        <f>AU21-Ops!AU$19</f>
        <v/>
      </c>
      <c r="AV22" s="80">
        <f>AV21-Ops!AV$19</f>
        <v/>
      </c>
      <c r="AW22" s="80">
        <f>AW21-Ops!AW$19</f>
        <v/>
      </c>
      <c r="AX22" s="80">
        <f>AX21-Ops!AX$19</f>
        <v/>
      </c>
      <c r="AY22" s="80">
        <f>AY21-Ops!AY$19</f>
        <v/>
      </c>
      <c r="AZ22" s="80">
        <f>AZ21-Ops!AZ$19</f>
        <v/>
      </c>
      <c r="BA22" s="80">
        <f>BA21-Ops!BA$19</f>
        <v/>
      </c>
      <c r="BB22" s="80">
        <f>BB21-Ops!BB$19</f>
        <v/>
      </c>
      <c r="BC22" s="80">
        <f>BC21-Ops!BC$19</f>
        <v/>
      </c>
      <c r="BD22" s="80">
        <f>BD21-Ops!BD$19</f>
        <v/>
      </c>
      <c r="BE22" s="80">
        <f>BE21-Ops!BE$19</f>
        <v/>
      </c>
      <c r="BF22" s="80">
        <f>BF21-Ops!BF$19</f>
        <v/>
      </c>
      <c r="BG22" s="80">
        <f>BG21-Ops!BG$19</f>
        <v/>
      </c>
      <c r="BH22" s="80">
        <f>BH21-Ops!BH$19</f>
        <v/>
      </c>
      <c r="BI22" s="80">
        <f>BI21-Ops!BI$19</f>
        <v/>
      </c>
      <c r="BJ22" s="80">
        <f>BJ21-Ops!BJ$19</f>
        <v/>
      </c>
      <c r="BK22" s="80">
        <f>BK21-Ops!BK$19</f>
        <v/>
      </c>
      <c r="BL22" s="80">
        <f>BL21-Ops!BL$19</f>
        <v/>
      </c>
    </row>
    <row r="23">
      <c r="A23" s="98" t="inlineStr">
        <is>
          <t>Repossessions (units, approx.)</t>
        </is>
      </c>
      <c r="B23" s="65" t="inlineStr">
        <is>
          <t>LCY</t>
        </is>
      </c>
      <c r="C23" s="105">
        <f>SUM(E23:BL23)</f>
        <v/>
      </c>
      <c r="E23" s="80">
        <f>IFERROR(E21/(Products!$C$28*Products!$C$13*Timeline!E$10),0)</f>
        <v/>
      </c>
      <c r="F23" s="80">
        <f>IFERROR(F21/(Products!$C$28*Products!$C$13*Timeline!F$10),0)</f>
        <v/>
      </c>
      <c r="G23" s="80">
        <f>IFERROR(G21/(Products!$C$28*Products!$C$13*Timeline!G$10),0)</f>
        <v/>
      </c>
      <c r="H23" s="80">
        <f>IFERROR(H21/(Products!$C$28*Products!$C$13*Timeline!H$10),0)</f>
        <v/>
      </c>
      <c r="I23" s="80">
        <f>IFERROR(I21/(Products!$C$28*Products!$C$13*Timeline!I$10),0)</f>
        <v/>
      </c>
      <c r="J23" s="80">
        <f>IFERROR(J21/(Products!$C$28*Products!$C$13*Timeline!J$10),0)</f>
        <v/>
      </c>
      <c r="K23" s="80">
        <f>IFERROR(K21/(Products!$C$28*Products!$C$13*Timeline!K$10),0)</f>
        <v/>
      </c>
      <c r="L23" s="80">
        <f>IFERROR(L21/(Products!$C$28*Products!$C$13*Timeline!L$10),0)</f>
        <v/>
      </c>
      <c r="M23" s="80">
        <f>IFERROR(M21/(Products!$C$28*Products!$C$13*Timeline!M$10),0)</f>
        <v/>
      </c>
      <c r="N23" s="80">
        <f>IFERROR(N21/(Products!$C$28*Products!$C$13*Timeline!N$10),0)</f>
        <v/>
      </c>
      <c r="O23" s="80">
        <f>IFERROR(O21/(Products!$C$28*Products!$C$13*Timeline!O$10),0)</f>
        <v/>
      </c>
      <c r="P23" s="80">
        <f>IFERROR(P21/(Products!$C$28*Products!$C$13*Timeline!P$10),0)</f>
        <v/>
      </c>
      <c r="Q23" s="80">
        <f>IFERROR(Q21/(Products!$C$28*Products!$C$13*Timeline!Q$10),0)</f>
        <v/>
      </c>
      <c r="R23" s="80">
        <f>IFERROR(R21/(Products!$C$28*Products!$C$13*Timeline!R$10),0)</f>
        <v/>
      </c>
      <c r="S23" s="80">
        <f>IFERROR(S21/(Products!$C$28*Products!$C$13*Timeline!S$10),0)</f>
        <v/>
      </c>
      <c r="T23" s="80">
        <f>IFERROR(T21/(Products!$C$28*Products!$C$13*Timeline!T$10),0)</f>
        <v/>
      </c>
      <c r="U23" s="80">
        <f>IFERROR(U21/(Products!$C$28*Products!$C$13*Timeline!U$10),0)</f>
        <v/>
      </c>
      <c r="V23" s="80">
        <f>IFERROR(V21/(Products!$C$28*Products!$C$13*Timeline!V$10),0)</f>
        <v/>
      </c>
      <c r="W23" s="80">
        <f>IFERROR(W21/(Products!$C$28*Products!$C$13*Timeline!W$10),0)</f>
        <v/>
      </c>
      <c r="X23" s="80">
        <f>IFERROR(X21/(Products!$C$28*Products!$C$13*Timeline!X$10),0)</f>
        <v/>
      </c>
      <c r="Y23" s="80">
        <f>IFERROR(Y21/(Products!$C$28*Products!$C$13*Timeline!Y$10),0)</f>
        <v/>
      </c>
      <c r="Z23" s="80">
        <f>IFERROR(Z21/(Products!$C$28*Products!$C$13*Timeline!Z$10),0)</f>
        <v/>
      </c>
      <c r="AA23" s="80">
        <f>IFERROR(AA21/(Products!$C$28*Products!$C$13*Timeline!AA$10),0)</f>
        <v/>
      </c>
      <c r="AB23" s="80">
        <f>IFERROR(AB21/(Products!$C$28*Products!$C$13*Timeline!AB$10),0)</f>
        <v/>
      </c>
      <c r="AC23" s="80">
        <f>IFERROR(AC21/(Products!$C$28*Products!$C$13*Timeline!AC$10),0)</f>
        <v/>
      </c>
      <c r="AD23" s="80">
        <f>IFERROR(AD21/(Products!$C$28*Products!$C$13*Timeline!AD$10),0)</f>
        <v/>
      </c>
      <c r="AE23" s="80">
        <f>IFERROR(AE21/(Products!$C$28*Products!$C$13*Timeline!AE$10),0)</f>
        <v/>
      </c>
      <c r="AF23" s="80">
        <f>IFERROR(AF21/(Products!$C$28*Products!$C$13*Timeline!AF$10),0)</f>
        <v/>
      </c>
      <c r="AG23" s="80">
        <f>IFERROR(AG21/(Products!$C$28*Products!$C$13*Timeline!AG$10),0)</f>
        <v/>
      </c>
      <c r="AH23" s="80">
        <f>IFERROR(AH21/(Products!$C$28*Products!$C$13*Timeline!AH$10),0)</f>
        <v/>
      </c>
      <c r="AI23" s="80">
        <f>IFERROR(AI21/(Products!$C$28*Products!$C$13*Timeline!AI$10),0)</f>
        <v/>
      </c>
      <c r="AJ23" s="80">
        <f>IFERROR(AJ21/(Products!$C$28*Products!$C$13*Timeline!AJ$10),0)</f>
        <v/>
      </c>
      <c r="AK23" s="80">
        <f>IFERROR(AK21/(Products!$C$28*Products!$C$13*Timeline!AK$10),0)</f>
        <v/>
      </c>
      <c r="AL23" s="80">
        <f>IFERROR(AL21/(Products!$C$28*Products!$C$13*Timeline!AL$10),0)</f>
        <v/>
      </c>
      <c r="AM23" s="80">
        <f>IFERROR(AM21/(Products!$C$28*Products!$C$13*Timeline!AM$10),0)</f>
        <v/>
      </c>
      <c r="AN23" s="80">
        <f>IFERROR(AN21/(Products!$C$28*Products!$C$13*Timeline!AN$10),0)</f>
        <v/>
      </c>
      <c r="AO23" s="80">
        <f>IFERROR(AO21/(Products!$C$28*Products!$C$13*Timeline!AO$10),0)</f>
        <v/>
      </c>
      <c r="AP23" s="80">
        <f>IFERROR(AP21/(Products!$C$28*Products!$C$13*Timeline!AP$10),0)</f>
        <v/>
      </c>
      <c r="AQ23" s="80">
        <f>IFERROR(AQ21/(Products!$C$28*Products!$C$13*Timeline!AQ$10),0)</f>
        <v/>
      </c>
      <c r="AR23" s="80">
        <f>IFERROR(AR21/(Products!$C$28*Products!$C$13*Timeline!AR$10),0)</f>
        <v/>
      </c>
      <c r="AS23" s="80">
        <f>IFERROR(AS21/(Products!$C$28*Products!$C$13*Timeline!AS$10),0)</f>
        <v/>
      </c>
      <c r="AT23" s="80">
        <f>IFERROR(AT21/(Products!$C$28*Products!$C$13*Timeline!AT$10),0)</f>
        <v/>
      </c>
      <c r="AU23" s="80">
        <f>IFERROR(AU21/(Products!$C$28*Products!$C$13*Timeline!AU$10),0)</f>
        <v/>
      </c>
      <c r="AV23" s="80">
        <f>IFERROR(AV21/(Products!$C$28*Products!$C$13*Timeline!AV$10),0)</f>
        <v/>
      </c>
      <c r="AW23" s="80">
        <f>IFERROR(AW21/(Products!$C$28*Products!$C$13*Timeline!AW$10),0)</f>
        <v/>
      </c>
      <c r="AX23" s="80">
        <f>IFERROR(AX21/(Products!$C$28*Products!$C$13*Timeline!AX$10),0)</f>
        <v/>
      </c>
      <c r="AY23" s="80">
        <f>IFERROR(AY21/(Products!$C$28*Products!$C$13*Timeline!AY$10),0)</f>
        <v/>
      </c>
      <c r="AZ23" s="80">
        <f>IFERROR(AZ21/(Products!$C$28*Products!$C$13*Timeline!AZ$10),0)</f>
        <v/>
      </c>
      <c r="BA23" s="80">
        <f>IFERROR(BA21/(Products!$C$28*Products!$C$13*Timeline!BA$10),0)</f>
        <v/>
      </c>
      <c r="BB23" s="80">
        <f>IFERROR(BB21/(Products!$C$28*Products!$C$13*Timeline!BB$10),0)</f>
        <v/>
      </c>
      <c r="BC23" s="80">
        <f>IFERROR(BC21/(Products!$C$28*Products!$C$13*Timeline!BC$10),0)</f>
        <v/>
      </c>
      <c r="BD23" s="80">
        <f>IFERROR(BD21/(Products!$C$28*Products!$C$13*Timeline!BD$10),0)</f>
        <v/>
      </c>
      <c r="BE23" s="80">
        <f>IFERROR(BE21/(Products!$C$28*Products!$C$13*Timeline!BE$10),0)</f>
        <v/>
      </c>
      <c r="BF23" s="80">
        <f>IFERROR(BF21/(Products!$C$28*Products!$C$13*Timeline!BF$10),0)</f>
        <v/>
      </c>
      <c r="BG23" s="80">
        <f>IFERROR(BG21/(Products!$C$28*Products!$C$13*Timeline!BG$10),0)</f>
        <v/>
      </c>
      <c r="BH23" s="80">
        <f>IFERROR(BH21/(Products!$C$28*Products!$C$13*Timeline!BH$10),0)</f>
        <v/>
      </c>
      <c r="BI23" s="80">
        <f>IFERROR(BI21/(Products!$C$28*Products!$C$13*Timeline!BI$10),0)</f>
        <v/>
      </c>
      <c r="BJ23" s="80">
        <f>IFERROR(BJ21/(Products!$C$28*Products!$C$13*Timeline!BJ$10),0)</f>
        <v/>
      </c>
      <c r="BK23" s="80">
        <f>IFERROR(BK21/(Products!$C$28*Products!$C$13*Timeline!BK$10),0)</f>
        <v/>
      </c>
      <c r="BL23" s="80">
        <f>IFERROR(BL21/(Products!$C$28*Products!$C$13*Timeline!BL$10),0)</f>
        <v/>
      </c>
    </row>
    <row r="24">
      <c r="A24" s="98" t="inlineStr">
        <is>
          <t>Cures (proxy engine: none)</t>
        </is>
      </c>
      <c r="B24" s="65" t="inlineStr">
        <is>
          <t>LCY</t>
        </is>
      </c>
      <c r="C24" s="105">
        <f>SUM(E24:BL24)</f>
        <v/>
      </c>
      <c r="E24" s="80">
        <f>0</f>
        <v/>
      </c>
      <c r="F24" s="80">
        <f>0</f>
        <v/>
      </c>
      <c r="G24" s="80">
        <f>0</f>
        <v/>
      </c>
      <c r="H24" s="80">
        <f>0</f>
        <v/>
      </c>
      <c r="I24" s="80">
        <f>0</f>
        <v/>
      </c>
      <c r="J24" s="80">
        <f>0</f>
        <v/>
      </c>
      <c r="K24" s="80">
        <f>0</f>
        <v/>
      </c>
      <c r="L24" s="80">
        <f>0</f>
        <v/>
      </c>
      <c r="M24" s="80">
        <f>0</f>
        <v/>
      </c>
      <c r="N24" s="80">
        <f>0</f>
        <v/>
      </c>
      <c r="O24" s="80">
        <f>0</f>
        <v/>
      </c>
      <c r="P24" s="80">
        <f>0</f>
        <v/>
      </c>
      <c r="Q24" s="80">
        <f>0</f>
        <v/>
      </c>
      <c r="R24" s="80">
        <f>0</f>
        <v/>
      </c>
      <c r="S24" s="80">
        <f>0</f>
        <v/>
      </c>
      <c r="T24" s="80">
        <f>0</f>
        <v/>
      </c>
      <c r="U24" s="80">
        <f>0</f>
        <v/>
      </c>
      <c r="V24" s="80">
        <f>0</f>
        <v/>
      </c>
      <c r="W24" s="80">
        <f>0</f>
        <v/>
      </c>
      <c r="X24" s="80">
        <f>0</f>
        <v/>
      </c>
      <c r="Y24" s="80">
        <f>0</f>
        <v/>
      </c>
      <c r="Z24" s="80">
        <f>0</f>
        <v/>
      </c>
      <c r="AA24" s="80">
        <f>0</f>
        <v/>
      </c>
      <c r="AB24" s="80">
        <f>0</f>
        <v/>
      </c>
      <c r="AC24" s="80">
        <f>0</f>
        <v/>
      </c>
      <c r="AD24" s="80">
        <f>0</f>
        <v/>
      </c>
      <c r="AE24" s="80">
        <f>0</f>
        <v/>
      </c>
      <c r="AF24" s="80">
        <f>0</f>
        <v/>
      </c>
      <c r="AG24" s="80">
        <f>0</f>
        <v/>
      </c>
      <c r="AH24" s="80">
        <f>0</f>
        <v/>
      </c>
      <c r="AI24" s="80">
        <f>0</f>
        <v/>
      </c>
      <c r="AJ24" s="80">
        <f>0</f>
        <v/>
      </c>
      <c r="AK24" s="80">
        <f>0</f>
        <v/>
      </c>
      <c r="AL24" s="80">
        <f>0</f>
        <v/>
      </c>
      <c r="AM24" s="80">
        <f>0</f>
        <v/>
      </c>
      <c r="AN24" s="80">
        <f>0</f>
        <v/>
      </c>
      <c r="AO24" s="80">
        <f>0</f>
        <v/>
      </c>
      <c r="AP24" s="80">
        <f>0</f>
        <v/>
      </c>
      <c r="AQ24" s="80">
        <f>0</f>
        <v/>
      </c>
      <c r="AR24" s="80">
        <f>0</f>
        <v/>
      </c>
      <c r="AS24" s="80">
        <f>0</f>
        <v/>
      </c>
      <c r="AT24" s="80">
        <f>0</f>
        <v/>
      </c>
      <c r="AU24" s="80">
        <f>0</f>
        <v/>
      </c>
      <c r="AV24" s="80">
        <f>0</f>
        <v/>
      </c>
      <c r="AW24" s="80">
        <f>0</f>
        <v/>
      </c>
      <c r="AX24" s="80">
        <f>0</f>
        <v/>
      </c>
      <c r="AY24" s="80">
        <f>0</f>
        <v/>
      </c>
      <c r="AZ24" s="80">
        <f>0</f>
        <v/>
      </c>
      <c r="BA24" s="80">
        <f>0</f>
        <v/>
      </c>
      <c r="BB24" s="80">
        <f>0</f>
        <v/>
      </c>
      <c r="BC24" s="80">
        <f>0</f>
        <v/>
      </c>
      <c r="BD24" s="80">
        <f>0</f>
        <v/>
      </c>
      <c r="BE24" s="80">
        <f>0</f>
        <v/>
      </c>
      <c r="BF24" s="80">
        <f>0</f>
        <v/>
      </c>
      <c r="BG24" s="80">
        <f>0</f>
        <v/>
      </c>
      <c r="BH24" s="80">
        <f>0</f>
        <v/>
      </c>
      <c r="BI24" s="80">
        <f>0</f>
        <v/>
      </c>
      <c r="BJ24" s="80">
        <f>0</f>
        <v/>
      </c>
      <c r="BK24" s="80">
        <f>0</f>
        <v/>
      </c>
      <c r="BL24" s="80">
        <f>0</f>
        <v/>
      </c>
    </row>
    <row r="25">
      <c r="A25" s="98" t="inlineStr">
        <is>
          <t>Write-offs</t>
        </is>
      </c>
      <c r="B25" s="65" t="inlineStr">
        <is>
          <t>LCY</t>
        </is>
      </c>
      <c r="C25" s="105">
        <f>SUM(E25:BL25)</f>
        <v/>
      </c>
      <c r="E25" s="41">
        <f>Ops!E$16</f>
        <v/>
      </c>
      <c r="F25" s="41">
        <f>Ops!F$16</f>
        <v/>
      </c>
      <c r="G25" s="41">
        <f>Ops!G$16</f>
        <v/>
      </c>
      <c r="H25" s="41">
        <f>Ops!H$16</f>
        <v/>
      </c>
      <c r="I25" s="41">
        <f>Ops!I$16</f>
        <v/>
      </c>
      <c r="J25" s="41">
        <f>Ops!J$16</f>
        <v/>
      </c>
      <c r="K25" s="41">
        <f>Ops!K$16</f>
        <v/>
      </c>
      <c r="L25" s="41">
        <f>Ops!L$16</f>
        <v/>
      </c>
      <c r="M25" s="41">
        <f>Ops!M$16</f>
        <v/>
      </c>
      <c r="N25" s="41">
        <f>Ops!N$16</f>
        <v/>
      </c>
      <c r="O25" s="41">
        <f>Ops!O$16</f>
        <v/>
      </c>
      <c r="P25" s="41">
        <f>Ops!P$16</f>
        <v/>
      </c>
      <c r="Q25" s="41">
        <f>Ops!Q$16</f>
        <v/>
      </c>
      <c r="R25" s="41">
        <f>Ops!R$16</f>
        <v/>
      </c>
      <c r="S25" s="41">
        <f>Ops!S$16</f>
        <v/>
      </c>
      <c r="T25" s="41">
        <f>Ops!T$16</f>
        <v/>
      </c>
      <c r="U25" s="41">
        <f>Ops!U$16</f>
        <v/>
      </c>
      <c r="V25" s="41">
        <f>Ops!V$16</f>
        <v/>
      </c>
      <c r="W25" s="41">
        <f>Ops!W$16</f>
        <v/>
      </c>
      <c r="X25" s="41">
        <f>Ops!X$16</f>
        <v/>
      </c>
      <c r="Y25" s="41">
        <f>Ops!Y$16</f>
        <v/>
      </c>
      <c r="Z25" s="41">
        <f>Ops!Z$16</f>
        <v/>
      </c>
      <c r="AA25" s="41">
        <f>Ops!AA$16</f>
        <v/>
      </c>
      <c r="AB25" s="41">
        <f>Ops!AB$16</f>
        <v/>
      </c>
      <c r="AC25" s="41">
        <f>Ops!AC$16</f>
        <v/>
      </c>
      <c r="AD25" s="41">
        <f>Ops!AD$16</f>
        <v/>
      </c>
      <c r="AE25" s="41">
        <f>Ops!AE$16</f>
        <v/>
      </c>
      <c r="AF25" s="41">
        <f>Ops!AF$16</f>
        <v/>
      </c>
      <c r="AG25" s="41">
        <f>Ops!AG$16</f>
        <v/>
      </c>
      <c r="AH25" s="41">
        <f>Ops!AH$16</f>
        <v/>
      </c>
      <c r="AI25" s="41">
        <f>Ops!AI$16</f>
        <v/>
      </c>
      <c r="AJ25" s="41">
        <f>Ops!AJ$16</f>
        <v/>
      </c>
      <c r="AK25" s="41">
        <f>Ops!AK$16</f>
        <v/>
      </c>
      <c r="AL25" s="41">
        <f>Ops!AL$16</f>
        <v/>
      </c>
      <c r="AM25" s="41">
        <f>Ops!AM$16</f>
        <v/>
      </c>
      <c r="AN25" s="41">
        <f>Ops!AN$16</f>
        <v/>
      </c>
      <c r="AO25" s="41">
        <f>Ops!AO$16</f>
        <v/>
      </c>
      <c r="AP25" s="41">
        <f>Ops!AP$16</f>
        <v/>
      </c>
      <c r="AQ25" s="41">
        <f>Ops!AQ$16</f>
        <v/>
      </c>
      <c r="AR25" s="41">
        <f>Ops!AR$16</f>
        <v/>
      </c>
      <c r="AS25" s="41">
        <f>Ops!AS$16</f>
        <v/>
      </c>
      <c r="AT25" s="41">
        <f>Ops!AT$16</f>
        <v/>
      </c>
      <c r="AU25" s="41">
        <f>Ops!AU$16</f>
        <v/>
      </c>
      <c r="AV25" s="41">
        <f>Ops!AV$16</f>
        <v/>
      </c>
      <c r="AW25" s="41">
        <f>Ops!AW$16</f>
        <v/>
      </c>
      <c r="AX25" s="41">
        <f>Ops!AX$16</f>
        <v/>
      </c>
      <c r="AY25" s="41">
        <f>Ops!AY$16</f>
        <v/>
      </c>
      <c r="AZ25" s="41">
        <f>Ops!AZ$16</f>
        <v/>
      </c>
      <c r="BA25" s="41">
        <f>Ops!BA$16</f>
        <v/>
      </c>
      <c r="BB25" s="41">
        <f>Ops!BB$16</f>
        <v/>
      </c>
      <c r="BC25" s="41">
        <f>Ops!BC$16</f>
        <v/>
      </c>
      <c r="BD25" s="41">
        <f>Ops!BD$16</f>
        <v/>
      </c>
      <c r="BE25" s="41">
        <f>Ops!BE$16</f>
        <v/>
      </c>
      <c r="BF25" s="41">
        <f>Ops!BF$16</f>
        <v/>
      </c>
      <c r="BG25" s="41">
        <f>Ops!BG$16</f>
        <v/>
      </c>
      <c r="BH25" s="41">
        <f>Ops!BH$16</f>
        <v/>
      </c>
      <c r="BI25" s="41">
        <f>Ops!BI$16</f>
        <v/>
      </c>
      <c r="BJ25" s="41">
        <f>Ops!BJ$16</f>
        <v/>
      </c>
      <c r="BK25" s="41">
        <f>Ops!BK$16</f>
        <v/>
      </c>
      <c r="BL25" s="41">
        <f>Ops!BL$16</f>
        <v/>
      </c>
    </row>
    <row r="26">
      <c r="A26" s="98" t="inlineStr">
        <is>
          <t>Collections</t>
        </is>
      </c>
      <c r="B26" s="65" t="inlineStr">
        <is>
          <t>LCY</t>
        </is>
      </c>
      <c r="C26" s="105">
        <f>SUM(E26:BL26)</f>
        <v/>
      </c>
      <c r="E26" s="41">
        <f>Ops!E$15</f>
        <v/>
      </c>
      <c r="F26" s="41">
        <f>Ops!F$15</f>
        <v/>
      </c>
      <c r="G26" s="41">
        <f>Ops!G$15</f>
        <v/>
      </c>
      <c r="H26" s="41">
        <f>Ops!H$15</f>
        <v/>
      </c>
      <c r="I26" s="41">
        <f>Ops!I$15</f>
        <v/>
      </c>
      <c r="J26" s="41">
        <f>Ops!J$15</f>
        <v/>
      </c>
      <c r="K26" s="41">
        <f>Ops!K$15</f>
        <v/>
      </c>
      <c r="L26" s="41">
        <f>Ops!L$15</f>
        <v/>
      </c>
      <c r="M26" s="41">
        <f>Ops!M$15</f>
        <v/>
      </c>
      <c r="N26" s="41">
        <f>Ops!N$15</f>
        <v/>
      </c>
      <c r="O26" s="41">
        <f>Ops!O$15</f>
        <v/>
      </c>
      <c r="P26" s="41">
        <f>Ops!P$15</f>
        <v/>
      </c>
      <c r="Q26" s="41">
        <f>Ops!Q$15</f>
        <v/>
      </c>
      <c r="R26" s="41">
        <f>Ops!R$15</f>
        <v/>
      </c>
      <c r="S26" s="41">
        <f>Ops!S$15</f>
        <v/>
      </c>
      <c r="T26" s="41">
        <f>Ops!T$15</f>
        <v/>
      </c>
      <c r="U26" s="41">
        <f>Ops!U$15</f>
        <v/>
      </c>
      <c r="V26" s="41">
        <f>Ops!V$15</f>
        <v/>
      </c>
      <c r="W26" s="41">
        <f>Ops!W$15</f>
        <v/>
      </c>
      <c r="X26" s="41">
        <f>Ops!X$15</f>
        <v/>
      </c>
      <c r="Y26" s="41">
        <f>Ops!Y$15</f>
        <v/>
      </c>
      <c r="Z26" s="41">
        <f>Ops!Z$15</f>
        <v/>
      </c>
      <c r="AA26" s="41">
        <f>Ops!AA$15</f>
        <v/>
      </c>
      <c r="AB26" s="41">
        <f>Ops!AB$15</f>
        <v/>
      </c>
      <c r="AC26" s="41">
        <f>Ops!AC$15</f>
        <v/>
      </c>
      <c r="AD26" s="41">
        <f>Ops!AD$15</f>
        <v/>
      </c>
      <c r="AE26" s="41">
        <f>Ops!AE$15</f>
        <v/>
      </c>
      <c r="AF26" s="41">
        <f>Ops!AF$15</f>
        <v/>
      </c>
      <c r="AG26" s="41">
        <f>Ops!AG$15</f>
        <v/>
      </c>
      <c r="AH26" s="41">
        <f>Ops!AH$15</f>
        <v/>
      </c>
      <c r="AI26" s="41">
        <f>Ops!AI$15</f>
        <v/>
      </c>
      <c r="AJ26" s="41">
        <f>Ops!AJ$15</f>
        <v/>
      </c>
      <c r="AK26" s="41">
        <f>Ops!AK$15</f>
        <v/>
      </c>
      <c r="AL26" s="41">
        <f>Ops!AL$15</f>
        <v/>
      </c>
      <c r="AM26" s="41">
        <f>Ops!AM$15</f>
        <v/>
      </c>
      <c r="AN26" s="41">
        <f>Ops!AN$15</f>
        <v/>
      </c>
      <c r="AO26" s="41">
        <f>Ops!AO$15</f>
        <v/>
      </c>
      <c r="AP26" s="41">
        <f>Ops!AP$15</f>
        <v/>
      </c>
      <c r="AQ26" s="41">
        <f>Ops!AQ$15</f>
        <v/>
      </c>
      <c r="AR26" s="41">
        <f>Ops!AR$15</f>
        <v/>
      </c>
      <c r="AS26" s="41">
        <f>Ops!AS$15</f>
        <v/>
      </c>
      <c r="AT26" s="41">
        <f>Ops!AT$15</f>
        <v/>
      </c>
      <c r="AU26" s="41">
        <f>Ops!AU$15</f>
        <v/>
      </c>
      <c r="AV26" s="41">
        <f>Ops!AV$15</f>
        <v/>
      </c>
      <c r="AW26" s="41">
        <f>Ops!AW$15</f>
        <v/>
      </c>
      <c r="AX26" s="41">
        <f>Ops!AX$15</f>
        <v/>
      </c>
      <c r="AY26" s="41">
        <f>Ops!AY$15</f>
        <v/>
      </c>
      <c r="AZ26" s="41">
        <f>Ops!AZ$15</f>
        <v/>
      </c>
      <c r="BA26" s="41">
        <f>Ops!BA$15</f>
        <v/>
      </c>
      <c r="BB26" s="41">
        <f>Ops!BB$15</f>
        <v/>
      </c>
      <c r="BC26" s="41">
        <f>Ops!BC$15</f>
        <v/>
      </c>
      <c r="BD26" s="41">
        <f>Ops!BD$15</f>
        <v/>
      </c>
      <c r="BE26" s="41">
        <f>Ops!BE$15</f>
        <v/>
      </c>
      <c r="BF26" s="41">
        <f>Ops!BF$15</f>
        <v/>
      </c>
      <c r="BG26" s="41">
        <f>Ops!BG$15</f>
        <v/>
      </c>
      <c r="BH26" s="41">
        <f>Ops!BH$15</f>
        <v/>
      </c>
      <c r="BI26" s="41">
        <f>Ops!BI$15</f>
        <v/>
      </c>
      <c r="BJ26" s="41">
        <f>Ops!BJ$15</f>
        <v/>
      </c>
      <c r="BK26" s="41">
        <f>Ops!BK$15</f>
        <v/>
      </c>
      <c r="BL26" s="41">
        <f>Ops!BL$15</f>
        <v/>
      </c>
    </row>
    <row r="27">
      <c r="A27" s="98" t="inlineStr">
        <is>
          <t>Instalments due</t>
        </is>
      </c>
      <c r="B27" s="65" t="inlineStr">
        <is>
          <t>LCY</t>
        </is>
      </c>
      <c r="C27" s="105">
        <f>SUM(E27:BL27)</f>
        <v/>
      </c>
      <c r="E27" s="41">
        <f>Ops!E$14</f>
        <v/>
      </c>
      <c r="F27" s="41">
        <f>Ops!F$14</f>
        <v/>
      </c>
      <c r="G27" s="41">
        <f>Ops!G$14</f>
        <v/>
      </c>
      <c r="H27" s="41">
        <f>Ops!H$14</f>
        <v/>
      </c>
      <c r="I27" s="41">
        <f>Ops!I$14</f>
        <v/>
      </c>
      <c r="J27" s="41">
        <f>Ops!J$14</f>
        <v/>
      </c>
      <c r="K27" s="41">
        <f>Ops!K$14</f>
        <v/>
      </c>
      <c r="L27" s="41">
        <f>Ops!L$14</f>
        <v/>
      </c>
      <c r="M27" s="41">
        <f>Ops!M$14</f>
        <v/>
      </c>
      <c r="N27" s="41">
        <f>Ops!N$14</f>
        <v/>
      </c>
      <c r="O27" s="41">
        <f>Ops!O$14</f>
        <v/>
      </c>
      <c r="P27" s="41">
        <f>Ops!P$14</f>
        <v/>
      </c>
      <c r="Q27" s="41">
        <f>Ops!Q$14</f>
        <v/>
      </c>
      <c r="R27" s="41">
        <f>Ops!R$14</f>
        <v/>
      </c>
      <c r="S27" s="41">
        <f>Ops!S$14</f>
        <v/>
      </c>
      <c r="T27" s="41">
        <f>Ops!T$14</f>
        <v/>
      </c>
      <c r="U27" s="41">
        <f>Ops!U$14</f>
        <v/>
      </c>
      <c r="V27" s="41">
        <f>Ops!V$14</f>
        <v/>
      </c>
      <c r="W27" s="41">
        <f>Ops!W$14</f>
        <v/>
      </c>
      <c r="X27" s="41">
        <f>Ops!X$14</f>
        <v/>
      </c>
      <c r="Y27" s="41">
        <f>Ops!Y$14</f>
        <v/>
      </c>
      <c r="Z27" s="41">
        <f>Ops!Z$14</f>
        <v/>
      </c>
      <c r="AA27" s="41">
        <f>Ops!AA$14</f>
        <v/>
      </c>
      <c r="AB27" s="41">
        <f>Ops!AB$14</f>
        <v/>
      </c>
      <c r="AC27" s="41">
        <f>Ops!AC$14</f>
        <v/>
      </c>
      <c r="AD27" s="41">
        <f>Ops!AD$14</f>
        <v/>
      </c>
      <c r="AE27" s="41">
        <f>Ops!AE$14</f>
        <v/>
      </c>
      <c r="AF27" s="41">
        <f>Ops!AF$14</f>
        <v/>
      </c>
      <c r="AG27" s="41">
        <f>Ops!AG$14</f>
        <v/>
      </c>
      <c r="AH27" s="41">
        <f>Ops!AH$14</f>
        <v/>
      </c>
      <c r="AI27" s="41">
        <f>Ops!AI$14</f>
        <v/>
      </c>
      <c r="AJ27" s="41">
        <f>Ops!AJ$14</f>
        <v/>
      </c>
      <c r="AK27" s="41">
        <f>Ops!AK$14</f>
        <v/>
      </c>
      <c r="AL27" s="41">
        <f>Ops!AL$14</f>
        <v/>
      </c>
      <c r="AM27" s="41">
        <f>Ops!AM$14</f>
        <v/>
      </c>
      <c r="AN27" s="41">
        <f>Ops!AN$14</f>
        <v/>
      </c>
      <c r="AO27" s="41">
        <f>Ops!AO$14</f>
        <v/>
      </c>
      <c r="AP27" s="41">
        <f>Ops!AP$14</f>
        <v/>
      </c>
      <c r="AQ27" s="41">
        <f>Ops!AQ$14</f>
        <v/>
      </c>
      <c r="AR27" s="41">
        <f>Ops!AR$14</f>
        <v/>
      </c>
      <c r="AS27" s="41">
        <f>Ops!AS$14</f>
        <v/>
      </c>
      <c r="AT27" s="41">
        <f>Ops!AT$14</f>
        <v/>
      </c>
      <c r="AU27" s="41">
        <f>Ops!AU$14</f>
        <v/>
      </c>
      <c r="AV27" s="41">
        <f>Ops!AV$14</f>
        <v/>
      </c>
      <c r="AW27" s="41">
        <f>Ops!AW$14</f>
        <v/>
      </c>
      <c r="AX27" s="41">
        <f>Ops!AX$14</f>
        <v/>
      </c>
      <c r="AY27" s="41">
        <f>Ops!AY$14</f>
        <v/>
      </c>
      <c r="AZ27" s="41">
        <f>Ops!AZ$14</f>
        <v/>
      </c>
      <c r="BA27" s="41">
        <f>Ops!BA$14</f>
        <v/>
      </c>
      <c r="BB27" s="41">
        <f>Ops!BB$14</f>
        <v/>
      </c>
      <c r="BC27" s="41">
        <f>Ops!BC$14</f>
        <v/>
      </c>
      <c r="BD27" s="41">
        <f>Ops!BD$14</f>
        <v/>
      </c>
      <c r="BE27" s="41">
        <f>Ops!BE$14</f>
        <v/>
      </c>
      <c r="BF27" s="41">
        <f>Ops!BF$14</f>
        <v/>
      </c>
      <c r="BG27" s="41">
        <f>Ops!BG$14</f>
        <v/>
      </c>
      <c r="BH27" s="41">
        <f>Ops!BH$14</f>
        <v/>
      </c>
      <c r="BI27" s="41">
        <f>Ops!BI$14</f>
        <v/>
      </c>
      <c r="BJ27" s="41">
        <f>Ops!BJ$14</f>
        <v/>
      </c>
      <c r="BK27" s="41">
        <f>Ops!BK$14</f>
        <v/>
      </c>
      <c r="BL27" s="41">
        <f>Ops!BL$14</f>
        <v/>
      </c>
    </row>
    <row r="28">
      <c r="A28" s="98" t="inlineStr">
        <is>
          <t>Ownership events (unlocks)</t>
        </is>
      </c>
      <c r="B28" s="65" t="inlineStr">
        <is>
          <t>LCY</t>
        </is>
      </c>
      <c r="C28" s="105">
        <f>SUM(E28:BL28)</f>
        <v/>
      </c>
      <c r="E28" s="41">
        <f>Ops!E$22</f>
        <v/>
      </c>
      <c r="F28" s="41">
        <f>Ops!F$22</f>
        <v/>
      </c>
      <c r="G28" s="41">
        <f>Ops!G$22</f>
        <v/>
      </c>
      <c r="H28" s="41">
        <f>Ops!H$22</f>
        <v/>
      </c>
      <c r="I28" s="41">
        <f>Ops!I$22</f>
        <v/>
      </c>
      <c r="J28" s="41">
        <f>Ops!J$22</f>
        <v/>
      </c>
      <c r="K28" s="41">
        <f>Ops!K$22</f>
        <v/>
      </c>
      <c r="L28" s="41">
        <f>Ops!L$22</f>
        <v/>
      </c>
      <c r="M28" s="41">
        <f>Ops!M$22</f>
        <v/>
      </c>
      <c r="N28" s="41">
        <f>Ops!N$22</f>
        <v/>
      </c>
      <c r="O28" s="41">
        <f>Ops!O$22</f>
        <v/>
      </c>
      <c r="P28" s="41">
        <f>Ops!P$22</f>
        <v/>
      </c>
      <c r="Q28" s="41">
        <f>Ops!Q$22</f>
        <v/>
      </c>
      <c r="R28" s="41">
        <f>Ops!R$22</f>
        <v/>
      </c>
      <c r="S28" s="41">
        <f>Ops!S$22</f>
        <v/>
      </c>
      <c r="T28" s="41">
        <f>Ops!T$22</f>
        <v/>
      </c>
      <c r="U28" s="41">
        <f>Ops!U$22</f>
        <v/>
      </c>
      <c r="V28" s="41">
        <f>Ops!V$22</f>
        <v/>
      </c>
      <c r="W28" s="41">
        <f>Ops!W$22</f>
        <v/>
      </c>
      <c r="X28" s="41">
        <f>Ops!X$22</f>
        <v/>
      </c>
      <c r="Y28" s="41">
        <f>Ops!Y$22</f>
        <v/>
      </c>
      <c r="Z28" s="41">
        <f>Ops!Z$22</f>
        <v/>
      </c>
      <c r="AA28" s="41">
        <f>Ops!AA$22</f>
        <v/>
      </c>
      <c r="AB28" s="41">
        <f>Ops!AB$22</f>
        <v/>
      </c>
      <c r="AC28" s="41">
        <f>Ops!AC$22</f>
        <v/>
      </c>
      <c r="AD28" s="41">
        <f>Ops!AD$22</f>
        <v/>
      </c>
      <c r="AE28" s="41">
        <f>Ops!AE$22</f>
        <v/>
      </c>
      <c r="AF28" s="41">
        <f>Ops!AF$22</f>
        <v/>
      </c>
      <c r="AG28" s="41">
        <f>Ops!AG$22</f>
        <v/>
      </c>
      <c r="AH28" s="41">
        <f>Ops!AH$22</f>
        <v/>
      </c>
      <c r="AI28" s="41">
        <f>Ops!AI$22</f>
        <v/>
      </c>
      <c r="AJ28" s="41">
        <f>Ops!AJ$22</f>
        <v/>
      </c>
      <c r="AK28" s="41">
        <f>Ops!AK$22</f>
        <v/>
      </c>
      <c r="AL28" s="41">
        <f>Ops!AL$22</f>
        <v/>
      </c>
      <c r="AM28" s="41">
        <f>Ops!AM$22</f>
        <v/>
      </c>
      <c r="AN28" s="41">
        <f>Ops!AN$22</f>
        <v/>
      </c>
      <c r="AO28" s="41">
        <f>Ops!AO$22</f>
        <v/>
      </c>
      <c r="AP28" s="41">
        <f>Ops!AP$22</f>
        <v/>
      </c>
      <c r="AQ28" s="41">
        <f>Ops!AQ$22</f>
        <v/>
      </c>
      <c r="AR28" s="41">
        <f>Ops!AR$22</f>
        <v/>
      </c>
      <c r="AS28" s="41">
        <f>Ops!AS$22</f>
        <v/>
      </c>
      <c r="AT28" s="41">
        <f>Ops!AT$22</f>
        <v/>
      </c>
      <c r="AU28" s="41">
        <f>Ops!AU$22</f>
        <v/>
      </c>
      <c r="AV28" s="41">
        <f>Ops!AV$22</f>
        <v/>
      </c>
      <c r="AW28" s="41">
        <f>Ops!AW$22</f>
        <v/>
      </c>
      <c r="AX28" s="41">
        <f>Ops!AX$22</f>
        <v/>
      </c>
      <c r="AY28" s="41">
        <f>Ops!AY$22</f>
        <v/>
      </c>
      <c r="AZ28" s="41">
        <f>Ops!AZ$22</f>
        <v/>
      </c>
      <c r="BA28" s="41">
        <f>Ops!BA$22</f>
        <v/>
      </c>
      <c r="BB28" s="41">
        <f>Ops!BB$22</f>
        <v/>
      </c>
      <c r="BC28" s="41">
        <f>Ops!BC$22</f>
        <v/>
      </c>
      <c r="BD28" s="41">
        <f>Ops!BD$22</f>
        <v/>
      </c>
      <c r="BE28" s="41">
        <f>Ops!BE$22</f>
        <v/>
      </c>
      <c r="BF28" s="41">
        <f>Ops!BF$22</f>
        <v/>
      </c>
      <c r="BG28" s="41">
        <f>Ops!BG$22</f>
        <v/>
      </c>
      <c r="BH28" s="41">
        <f>Ops!BH$22</f>
        <v/>
      </c>
      <c r="BI28" s="41">
        <f>Ops!BI$22</f>
        <v/>
      </c>
      <c r="BJ28" s="41">
        <f>Ops!BJ$22</f>
        <v/>
      </c>
      <c r="BK28" s="41">
        <f>Ops!BK$22</f>
        <v/>
      </c>
      <c r="BL28" s="41">
        <f>Ops!BL$22</f>
        <v/>
      </c>
    </row>
    <row r="29">
      <c r="A29" s="98" t="inlineStr">
        <is>
          <t>Observed repayment rate (collections / due)</t>
        </is>
      </c>
      <c r="B29" s="65" t="inlineStr">
        <is>
          <t>%</t>
        </is>
      </c>
      <c r="E29" s="81">
        <f>IF(E27=0,0,E26/E27)</f>
        <v/>
      </c>
      <c r="F29" s="81">
        <f>IF(F27=0,0,F26/F27)</f>
        <v/>
      </c>
      <c r="G29" s="81">
        <f>IF(G27=0,0,G26/G27)</f>
        <v/>
      </c>
      <c r="H29" s="81">
        <f>IF(H27=0,0,H26/H27)</f>
        <v/>
      </c>
      <c r="I29" s="81">
        <f>IF(I27=0,0,I26/I27)</f>
        <v/>
      </c>
      <c r="J29" s="81">
        <f>IF(J27=0,0,J26/J27)</f>
        <v/>
      </c>
      <c r="K29" s="81">
        <f>IF(K27=0,0,K26/K27)</f>
        <v/>
      </c>
      <c r="L29" s="81">
        <f>IF(L27=0,0,L26/L27)</f>
        <v/>
      </c>
      <c r="M29" s="81">
        <f>IF(M27=0,0,M26/M27)</f>
        <v/>
      </c>
      <c r="N29" s="81">
        <f>IF(N27=0,0,N26/N27)</f>
        <v/>
      </c>
      <c r="O29" s="81">
        <f>IF(O27=0,0,O26/O27)</f>
        <v/>
      </c>
      <c r="P29" s="81">
        <f>IF(P27=0,0,P26/P27)</f>
        <v/>
      </c>
      <c r="Q29" s="81">
        <f>IF(Q27=0,0,Q26/Q27)</f>
        <v/>
      </c>
      <c r="R29" s="81">
        <f>IF(R27=0,0,R26/R27)</f>
        <v/>
      </c>
      <c r="S29" s="81">
        <f>IF(S27=0,0,S26/S27)</f>
        <v/>
      </c>
      <c r="T29" s="81">
        <f>IF(T27=0,0,T26/T27)</f>
        <v/>
      </c>
      <c r="U29" s="81">
        <f>IF(U27=0,0,U26/U27)</f>
        <v/>
      </c>
      <c r="V29" s="81">
        <f>IF(V27=0,0,V26/V27)</f>
        <v/>
      </c>
      <c r="W29" s="81">
        <f>IF(W27=0,0,W26/W27)</f>
        <v/>
      </c>
      <c r="X29" s="81">
        <f>IF(X27=0,0,X26/X27)</f>
        <v/>
      </c>
      <c r="Y29" s="81">
        <f>IF(Y27=0,0,Y26/Y27)</f>
        <v/>
      </c>
      <c r="Z29" s="81">
        <f>IF(Z27=0,0,Z26/Z27)</f>
        <v/>
      </c>
      <c r="AA29" s="81">
        <f>IF(AA27=0,0,AA26/AA27)</f>
        <v/>
      </c>
      <c r="AB29" s="81">
        <f>IF(AB27=0,0,AB26/AB27)</f>
        <v/>
      </c>
      <c r="AC29" s="81">
        <f>IF(AC27=0,0,AC26/AC27)</f>
        <v/>
      </c>
      <c r="AD29" s="81">
        <f>IF(AD27=0,0,AD26/AD27)</f>
        <v/>
      </c>
      <c r="AE29" s="81">
        <f>IF(AE27=0,0,AE26/AE27)</f>
        <v/>
      </c>
      <c r="AF29" s="81">
        <f>IF(AF27=0,0,AF26/AF27)</f>
        <v/>
      </c>
      <c r="AG29" s="81">
        <f>IF(AG27=0,0,AG26/AG27)</f>
        <v/>
      </c>
      <c r="AH29" s="81">
        <f>IF(AH27=0,0,AH26/AH27)</f>
        <v/>
      </c>
      <c r="AI29" s="81">
        <f>IF(AI27=0,0,AI26/AI27)</f>
        <v/>
      </c>
      <c r="AJ29" s="81">
        <f>IF(AJ27=0,0,AJ26/AJ27)</f>
        <v/>
      </c>
      <c r="AK29" s="81">
        <f>IF(AK27=0,0,AK26/AK27)</f>
        <v/>
      </c>
      <c r="AL29" s="81">
        <f>IF(AL27=0,0,AL26/AL27)</f>
        <v/>
      </c>
      <c r="AM29" s="81">
        <f>IF(AM27=0,0,AM26/AM27)</f>
        <v/>
      </c>
      <c r="AN29" s="81">
        <f>IF(AN27=0,0,AN26/AN27)</f>
        <v/>
      </c>
      <c r="AO29" s="81">
        <f>IF(AO27=0,0,AO26/AO27)</f>
        <v/>
      </c>
      <c r="AP29" s="81">
        <f>IF(AP27=0,0,AP26/AP27)</f>
        <v/>
      </c>
      <c r="AQ29" s="81">
        <f>IF(AQ27=0,0,AQ26/AQ27)</f>
        <v/>
      </c>
      <c r="AR29" s="81">
        <f>IF(AR27=0,0,AR26/AR27)</f>
        <v/>
      </c>
      <c r="AS29" s="81">
        <f>IF(AS27=0,0,AS26/AS27)</f>
        <v/>
      </c>
      <c r="AT29" s="81">
        <f>IF(AT27=0,0,AT26/AT27)</f>
        <v/>
      </c>
      <c r="AU29" s="81">
        <f>IF(AU27=0,0,AU26/AU27)</f>
        <v/>
      </c>
      <c r="AV29" s="81">
        <f>IF(AV27=0,0,AV26/AV27)</f>
        <v/>
      </c>
      <c r="AW29" s="81">
        <f>IF(AW27=0,0,AW26/AW27)</f>
        <v/>
      </c>
      <c r="AX29" s="81">
        <f>IF(AX27=0,0,AX26/AX27)</f>
        <v/>
      </c>
      <c r="AY29" s="81">
        <f>IF(AY27=0,0,AY26/AY27)</f>
        <v/>
      </c>
      <c r="AZ29" s="81">
        <f>IF(AZ27=0,0,AZ26/AZ27)</f>
        <v/>
      </c>
      <c r="BA29" s="81">
        <f>IF(BA27=0,0,BA26/BA27)</f>
        <v/>
      </c>
      <c r="BB29" s="81">
        <f>IF(BB27=0,0,BB26/BB27)</f>
        <v/>
      </c>
      <c r="BC29" s="81">
        <f>IF(BC27=0,0,BC26/BC27)</f>
        <v/>
      </c>
      <c r="BD29" s="81">
        <f>IF(BD27=0,0,BD26/BD27)</f>
        <v/>
      </c>
      <c r="BE29" s="81">
        <f>IF(BE27=0,0,BE26/BE27)</f>
        <v/>
      </c>
      <c r="BF29" s="81">
        <f>IF(BF27=0,0,BF26/BF27)</f>
        <v/>
      </c>
      <c r="BG29" s="81">
        <f>IF(BG27=0,0,BG26/BG27)</f>
        <v/>
      </c>
      <c r="BH29" s="81">
        <f>IF(BH27=0,0,BH26/BH27)</f>
        <v/>
      </c>
      <c r="BI29" s="81">
        <f>IF(BI27=0,0,BI26/BI27)</f>
        <v/>
      </c>
      <c r="BJ29" s="81">
        <f>IF(BJ27=0,0,BJ26/BJ27)</f>
        <v/>
      </c>
      <c r="BK29" s="81">
        <f>IF(BK27=0,0,BK26/BK27)</f>
        <v/>
      </c>
      <c r="BL29" s="81">
        <f>IF(BL27=0,0,BL26/BL27)</f>
        <v/>
      </c>
    </row>
    <row r="30">
      <c r="A30" s="98" t="inlineStr">
        <is>
          <t>12-month PD proxy (NOT an audited IFRS 9 PD)</t>
        </is>
      </c>
      <c r="B30" s="65" t="inlineStr">
        <is>
          <t>%</t>
        </is>
      </c>
      <c r="E30" s="81">
        <f>1-(1-Products!$C$41)^12</f>
        <v/>
      </c>
      <c r="F30" s="81">
        <f>1-(1-Products!$C$41)^12</f>
        <v/>
      </c>
      <c r="G30" s="81">
        <f>1-(1-Products!$C$41)^12</f>
        <v/>
      </c>
      <c r="H30" s="81">
        <f>1-(1-Products!$C$41)^12</f>
        <v/>
      </c>
      <c r="I30" s="81">
        <f>1-(1-Products!$C$41)^12</f>
        <v/>
      </c>
      <c r="J30" s="81">
        <f>1-(1-Products!$C$41)^12</f>
        <v/>
      </c>
      <c r="K30" s="81">
        <f>1-(1-Products!$C$41)^12</f>
        <v/>
      </c>
      <c r="L30" s="81">
        <f>1-(1-Products!$C$41)^12</f>
        <v/>
      </c>
      <c r="M30" s="81">
        <f>1-(1-Products!$C$41)^12</f>
        <v/>
      </c>
      <c r="N30" s="81">
        <f>1-(1-Products!$C$41)^12</f>
        <v/>
      </c>
      <c r="O30" s="81">
        <f>1-(1-Products!$C$41)^12</f>
        <v/>
      </c>
      <c r="P30" s="81">
        <f>1-(1-Products!$C$41)^12</f>
        <v/>
      </c>
      <c r="Q30" s="81">
        <f>1-(1-Products!$C$41)^12</f>
        <v/>
      </c>
      <c r="R30" s="81">
        <f>1-(1-Products!$C$41)^12</f>
        <v/>
      </c>
      <c r="S30" s="81">
        <f>1-(1-Products!$C$41)^12</f>
        <v/>
      </c>
      <c r="T30" s="81">
        <f>1-(1-Products!$C$41)^12</f>
        <v/>
      </c>
      <c r="U30" s="81">
        <f>1-(1-Products!$C$41)^12</f>
        <v/>
      </c>
      <c r="V30" s="81">
        <f>1-(1-Products!$C$41)^12</f>
        <v/>
      </c>
      <c r="W30" s="81">
        <f>1-(1-Products!$C$41)^12</f>
        <v/>
      </c>
      <c r="X30" s="81">
        <f>1-(1-Products!$C$41)^12</f>
        <v/>
      </c>
      <c r="Y30" s="81">
        <f>1-(1-Products!$C$41)^12</f>
        <v/>
      </c>
      <c r="Z30" s="81">
        <f>1-(1-Products!$C$41)^12</f>
        <v/>
      </c>
      <c r="AA30" s="81">
        <f>1-(1-Products!$C$41)^12</f>
        <v/>
      </c>
      <c r="AB30" s="81">
        <f>1-(1-Products!$C$41)^12</f>
        <v/>
      </c>
      <c r="AC30" s="81">
        <f>1-(1-Products!$C$41)^12</f>
        <v/>
      </c>
      <c r="AD30" s="81">
        <f>1-(1-Products!$C$41)^12</f>
        <v/>
      </c>
      <c r="AE30" s="81">
        <f>1-(1-Products!$C$41)^12</f>
        <v/>
      </c>
      <c r="AF30" s="81">
        <f>1-(1-Products!$C$41)^12</f>
        <v/>
      </c>
      <c r="AG30" s="81">
        <f>1-(1-Products!$C$41)^12</f>
        <v/>
      </c>
      <c r="AH30" s="81">
        <f>1-(1-Products!$C$41)^12</f>
        <v/>
      </c>
      <c r="AI30" s="81">
        <f>1-(1-Products!$C$41)^12</f>
        <v/>
      </c>
      <c r="AJ30" s="81">
        <f>1-(1-Products!$C$41)^12</f>
        <v/>
      </c>
      <c r="AK30" s="81">
        <f>1-(1-Products!$C$41)^12</f>
        <v/>
      </c>
      <c r="AL30" s="81">
        <f>1-(1-Products!$C$41)^12</f>
        <v/>
      </c>
      <c r="AM30" s="81">
        <f>1-(1-Products!$C$41)^12</f>
        <v/>
      </c>
      <c r="AN30" s="81">
        <f>1-(1-Products!$C$41)^12</f>
        <v/>
      </c>
      <c r="AO30" s="81">
        <f>1-(1-Products!$C$41)^12</f>
        <v/>
      </c>
      <c r="AP30" s="81">
        <f>1-(1-Products!$C$41)^12</f>
        <v/>
      </c>
      <c r="AQ30" s="81">
        <f>1-(1-Products!$C$41)^12</f>
        <v/>
      </c>
      <c r="AR30" s="81">
        <f>1-(1-Products!$C$41)^12</f>
        <v/>
      </c>
      <c r="AS30" s="81">
        <f>1-(1-Products!$C$41)^12</f>
        <v/>
      </c>
      <c r="AT30" s="81">
        <f>1-(1-Products!$C$41)^12</f>
        <v/>
      </c>
      <c r="AU30" s="81">
        <f>1-(1-Products!$C$41)^12</f>
        <v/>
      </c>
      <c r="AV30" s="81">
        <f>1-(1-Products!$C$41)^12</f>
        <v/>
      </c>
      <c r="AW30" s="81">
        <f>1-(1-Products!$C$41)^12</f>
        <v/>
      </c>
      <c r="AX30" s="81">
        <f>1-(1-Products!$C$41)^12</f>
        <v/>
      </c>
      <c r="AY30" s="81">
        <f>1-(1-Products!$C$41)^12</f>
        <v/>
      </c>
      <c r="AZ30" s="81">
        <f>1-(1-Products!$C$41)^12</f>
        <v/>
      </c>
      <c r="BA30" s="81">
        <f>1-(1-Products!$C$41)^12</f>
        <v/>
      </c>
      <c r="BB30" s="81">
        <f>1-(1-Products!$C$41)^12</f>
        <v/>
      </c>
      <c r="BC30" s="81">
        <f>1-(1-Products!$C$41)^12</f>
        <v/>
      </c>
      <c r="BD30" s="81">
        <f>1-(1-Products!$C$41)^12</f>
        <v/>
      </c>
      <c r="BE30" s="81">
        <f>1-(1-Products!$C$41)^12</f>
        <v/>
      </c>
      <c r="BF30" s="81">
        <f>1-(1-Products!$C$41)^12</f>
        <v/>
      </c>
      <c r="BG30" s="81">
        <f>1-(1-Products!$C$41)^12</f>
        <v/>
      </c>
      <c r="BH30" s="81">
        <f>1-(1-Products!$C$41)^12</f>
        <v/>
      </c>
      <c r="BI30" s="81">
        <f>1-(1-Products!$C$41)^12</f>
        <v/>
      </c>
      <c r="BJ30" s="81">
        <f>1-(1-Products!$C$41)^12</f>
        <v/>
      </c>
      <c r="BK30" s="81">
        <f>1-(1-Products!$C$41)^12</f>
        <v/>
      </c>
      <c r="BL30" s="81">
        <f>1-(1-Products!$C$41)^12</f>
        <v/>
      </c>
    </row>
    <row r="31">
      <c r="A31" s="98" t="inlineStr">
        <is>
          <t>LGD proxy</t>
        </is>
      </c>
      <c r="B31" s="65" t="inlineStr">
        <is>
          <t>%</t>
        </is>
      </c>
      <c r="E31" s="81">
        <f>MAX(0,MIN(1,1-Products!$C$27*Products!$C$28*(1-Credit_Assumptions!$C$15)*Products!$C$13/Products!$C$38))</f>
        <v/>
      </c>
      <c r="F31" s="81">
        <f>MAX(0,MIN(1,1-Products!$C$27*Products!$C$28*(1-Credit_Assumptions!$C$15)*Products!$C$13/Products!$C$38))</f>
        <v/>
      </c>
      <c r="G31" s="81">
        <f>MAX(0,MIN(1,1-Products!$C$27*Products!$C$28*(1-Credit_Assumptions!$C$15)*Products!$C$13/Products!$C$38))</f>
        <v/>
      </c>
      <c r="H31" s="81">
        <f>MAX(0,MIN(1,1-Products!$C$27*Products!$C$28*(1-Credit_Assumptions!$C$15)*Products!$C$13/Products!$C$38))</f>
        <v/>
      </c>
      <c r="I31" s="81">
        <f>MAX(0,MIN(1,1-Products!$C$27*Products!$C$28*(1-Credit_Assumptions!$C$15)*Products!$C$13/Products!$C$38))</f>
        <v/>
      </c>
      <c r="J31" s="81">
        <f>MAX(0,MIN(1,1-Products!$C$27*Products!$C$28*(1-Credit_Assumptions!$C$15)*Products!$C$13/Products!$C$38))</f>
        <v/>
      </c>
      <c r="K31" s="81">
        <f>MAX(0,MIN(1,1-Products!$C$27*Products!$C$28*(1-Credit_Assumptions!$C$15)*Products!$C$13/Products!$C$38))</f>
        <v/>
      </c>
      <c r="L31" s="81">
        <f>MAX(0,MIN(1,1-Products!$C$27*Products!$C$28*(1-Credit_Assumptions!$C$15)*Products!$C$13/Products!$C$38))</f>
        <v/>
      </c>
      <c r="M31" s="81">
        <f>MAX(0,MIN(1,1-Products!$C$27*Products!$C$28*(1-Credit_Assumptions!$C$15)*Products!$C$13/Products!$C$38))</f>
        <v/>
      </c>
      <c r="N31" s="81">
        <f>MAX(0,MIN(1,1-Products!$C$27*Products!$C$28*(1-Credit_Assumptions!$C$15)*Products!$C$13/Products!$C$38))</f>
        <v/>
      </c>
      <c r="O31" s="81">
        <f>MAX(0,MIN(1,1-Products!$C$27*Products!$C$28*(1-Credit_Assumptions!$C$15)*Products!$C$13/Products!$C$38))</f>
        <v/>
      </c>
      <c r="P31" s="81">
        <f>MAX(0,MIN(1,1-Products!$C$27*Products!$C$28*(1-Credit_Assumptions!$C$15)*Products!$C$13/Products!$C$38))</f>
        <v/>
      </c>
      <c r="Q31" s="81">
        <f>MAX(0,MIN(1,1-Products!$C$27*Products!$C$28*(1-Credit_Assumptions!$C$15)*Products!$C$13/Products!$C$38))</f>
        <v/>
      </c>
      <c r="R31" s="81">
        <f>MAX(0,MIN(1,1-Products!$C$27*Products!$C$28*(1-Credit_Assumptions!$C$15)*Products!$C$13/Products!$C$38))</f>
        <v/>
      </c>
      <c r="S31" s="81">
        <f>MAX(0,MIN(1,1-Products!$C$27*Products!$C$28*(1-Credit_Assumptions!$C$15)*Products!$C$13/Products!$C$38))</f>
        <v/>
      </c>
      <c r="T31" s="81">
        <f>MAX(0,MIN(1,1-Products!$C$27*Products!$C$28*(1-Credit_Assumptions!$C$15)*Products!$C$13/Products!$C$38))</f>
        <v/>
      </c>
      <c r="U31" s="81">
        <f>MAX(0,MIN(1,1-Products!$C$27*Products!$C$28*(1-Credit_Assumptions!$C$15)*Products!$C$13/Products!$C$38))</f>
        <v/>
      </c>
      <c r="V31" s="81">
        <f>MAX(0,MIN(1,1-Products!$C$27*Products!$C$28*(1-Credit_Assumptions!$C$15)*Products!$C$13/Products!$C$38))</f>
        <v/>
      </c>
      <c r="W31" s="81">
        <f>MAX(0,MIN(1,1-Products!$C$27*Products!$C$28*(1-Credit_Assumptions!$C$15)*Products!$C$13/Products!$C$38))</f>
        <v/>
      </c>
      <c r="X31" s="81">
        <f>MAX(0,MIN(1,1-Products!$C$27*Products!$C$28*(1-Credit_Assumptions!$C$15)*Products!$C$13/Products!$C$38))</f>
        <v/>
      </c>
      <c r="Y31" s="81">
        <f>MAX(0,MIN(1,1-Products!$C$27*Products!$C$28*(1-Credit_Assumptions!$C$15)*Products!$C$13/Products!$C$38))</f>
        <v/>
      </c>
      <c r="Z31" s="81">
        <f>MAX(0,MIN(1,1-Products!$C$27*Products!$C$28*(1-Credit_Assumptions!$C$15)*Products!$C$13/Products!$C$38))</f>
        <v/>
      </c>
      <c r="AA31" s="81">
        <f>MAX(0,MIN(1,1-Products!$C$27*Products!$C$28*(1-Credit_Assumptions!$C$15)*Products!$C$13/Products!$C$38))</f>
        <v/>
      </c>
      <c r="AB31" s="81">
        <f>MAX(0,MIN(1,1-Products!$C$27*Products!$C$28*(1-Credit_Assumptions!$C$15)*Products!$C$13/Products!$C$38))</f>
        <v/>
      </c>
      <c r="AC31" s="81">
        <f>MAX(0,MIN(1,1-Products!$C$27*Products!$C$28*(1-Credit_Assumptions!$C$15)*Products!$C$13/Products!$C$38))</f>
        <v/>
      </c>
      <c r="AD31" s="81">
        <f>MAX(0,MIN(1,1-Products!$C$27*Products!$C$28*(1-Credit_Assumptions!$C$15)*Products!$C$13/Products!$C$38))</f>
        <v/>
      </c>
      <c r="AE31" s="81">
        <f>MAX(0,MIN(1,1-Products!$C$27*Products!$C$28*(1-Credit_Assumptions!$C$15)*Products!$C$13/Products!$C$38))</f>
        <v/>
      </c>
      <c r="AF31" s="81">
        <f>MAX(0,MIN(1,1-Products!$C$27*Products!$C$28*(1-Credit_Assumptions!$C$15)*Products!$C$13/Products!$C$38))</f>
        <v/>
      </c>
      <c r="AG31" s="81">
        <f>MAX(0,MIN(1,1-Products!$C$27*Products!$C$28*(1-Credit_Assumptions!$C$15)*Products!$C$13/Products!$C$38))</f>
        <v/>
      </c>
      <c r="AH31" s="81">
        <f>MAX(0,MIN(1,1-Products!$C$27*Products!$C$28*(1-Credit_Assumptions!$C$15)*Products!$C$13/Products!$C$38))</f>
        <v/>
      </c>
      <c r="AI31" s="81">
        <f>MAX(0,MIN(1,1-Products!$C$27*Products!$C$28*(1-Credit_Assumptions!$C$15)*Products!$C$13/Products!$C$38))</f>
        <v/>
      </c>
      <c r="AJ31" s="81">
        <f>MAX(0,MIN(1,1-Products!$C$27*Products!$C$28*(1-Credit_Assumptions!$C$15)*Products!$C$13/Products!$C$38))</f>
        <v/>
      </c>
      <c r="AK31" s="81">
        <f>MAX(0,MIN(1,1-Products!$C$27*Products!$C$28*(1-Credit_Assumptions!$C$15)*Products!$C$13/Products!$C$38))</f>
        <v/>
      </c>
      <c r="AL31" s="81">
        <f>MAX(0,MIN(1,1-Products!$C$27*Products!$C$28*(1-Credit_Assumptions!$C$15)*Products!$C$13/Products!$C$38))</f>
        <v/>
      </c>
      <c r="AM31" s="81">
        <f>MAX(0,MIN(1,1-Products!$C$27*Products!$C$28*(1-Credit_Assumptions!$C$15)*Products!$C$13/Products!$C$38))</f>
        <v/>
      </c>
      <c r="AN31" s="81">
        <f>MAX(0,MIN(1,1-Products!$C$27*Products!$C$28*(1-Credit_Assumptions!$C$15)*Products!$C$13/Products!$C$38))</f>
        <v/>
      </c>
      <c r="AO31" s="81">
        <f>MAX(0,MIN(1,1-Products!$C$27*Products!$C$28*(1-Credit_Assumptions!$C$15)*Products!$C$13/Products!$C$38))</f>
        <v/>
      </c>
      <c r="AP31" s="81">
        <f>MAX(0,MIN(1,1-Products!$C$27*Products!$C$28*(1-Credit_Assumptions!$C$15)*Products!$C$13/Products!$C$38))</f>
        <v/>
      </c>
      <c r="AQ31" s="81">
        <f>MAX(0,MIN(1,1-Products!$C$27*Products!$C$28*(1-Credit_Assumptions!$C$15)*Products!$C$13/Products!$C$38))</f>
        <v/>
      </c>
      <c r="AR31" s="81">
        <f>MAX(0,MIN(1,1-Products!$C$27*Products!$C$28*(1-Credit_Assumptions!$C$15)*Products!$C$13/Products!$C$38))</f>
        <v/>
      </c>
      <c r="AS31" s="81">
        <f>MAX(0,MIN(1,1-Products!$C$27*Products!$C$28*(1-Credit_Assumptions!$C$15)*Products!$C$13/Products!$C$38))</f>
        <v/>
      </c>
      <c r="AT31" s="81">
        <f>MAX(0,MIN(1,1-Products!$C$27*Products!$C$28*(1-Credit_Assumptions!$C$15)*Products!$C$13/Products!$C$38))</f>
        <v/>
      </c>
      <c r="AU31" s="81">
        <f>MAX(0,MIN(1,1-Products!$C$27*Products!$C$28*(1-Credit_Assumptions!$C$15)*Products!$C$13/Products!$C$38))</f>
        <v/>
      </c>
      <c r="AV31" s="81">
        <f>MAX(0,MIN(1,1-Products!$C$27*Products!$C$28*(1-Credit_Assumptions!$C$15)*Products!$C$13/Products!$C$38))</f>
        <v/>
      </c>
      <c r="AW31" s="81">
        <f>MAX(0,MIN(1,1-Products!$C$27*Products!$C$28*(1-Credit_Assumptions!$C$15)*Products!$C$13/Products!$C$38))</f>
        <v/>
      </c>
      <c r="AX31" s="81">
        <f>MAX(0,MIN(1,1-Products!$C$27*Products!$C$28*(1-Credit_Assumptions!$C$15)*Products!$C$13/Products!$C$38))</f>
        <v/>
      </c>
      <c r="AY31" s="81">
        <f>MAX(0,MIN(1,1-Products!$C$27*Products!$C$28*(1-Credit_Assumptions!$C$15)*Products!$C$13/Products!$C$38))</f>
        <v/>
      </c>
      <c r="AZ31" s="81">
        <f>MAX(0,MIN(1,1-Products!$C$27*Products!$C$28*(1-Credit_Assumptions!$C$15)*Products!$C$13/Products!$C$38))</f>
        <v/>
      </c>
      <c r="BA31" s="81">
        <f>MAX(0,MIN(1,1-Products!$C$27*Products!$C$28*(1-Credit_Assumptions!$C$15)*Products!$C$13/Products!$C$38))</f>
        <v/>
      </c>
      <c r="BB31" s="81">
        <f>MAX(0,MIN(1,1-Products!$C$27*Products!$C$28*(1-Credit_Assumptions!$C$15)*Products!$C$13/Products!$C$38))</f>
        <v/>
      </c>
      <c r="BC31" s="81">
        <f>MAX(0,MIN(1,1-Products!$C$27*Products!$C$28*(1-Credit_Assumptions!$C$15)*Products!$C$13/Products!$C$38))</f>
        <v/>
      </c>
      <c r="BD31" s="81">
        <f>MAX(0,MIN(1,1-Products!$C$27*Products!$C$28*(1-Credit_Assumptions!$C$15)*Products!$C$13/Products!$C$38))</f>
        <v/>
      </c>
      <c r="BE31" s="81">
        <f>MAX(0,MIN(1,1-Products!$C$27*Products!$C$28*(1-Credit_Assumptions!$C$15)*Products!$C$13/Products!$C$38))</f>
        <v/>
      </c>
      <c r="BF31" s="81">
        <f>MAX(0,MIN(1,1-Products!$C$27*Products!$C$28*(1-Credit_Assumptions!$C$15)*Products!$C$13/Products!$C$38))</f>
        <v/>
      </c>
      <c r="BG31" s="81">
        <f>MAX(0,MIN(1,1-Products!$C$27*Products!$C$28*(1-Credit_Assumptions!$C$15)*Products!$C$13/Products!$C$38))</f>
        <v/>
      </c>
      <c r="BH31" s="81">
        <f>MAX(0,MIN(1,1-Products!$C$27*Products!$C$28*(1-Credit_Assumptions!$C$15)*Products!$C$13/Products!$C$38))</f>
        <v/>
      </c>
      <c r="BI31" s="81">
        <f>MAX(0,MIN(1,1-Products!$C$27*Products!$C$28*(1-Credit_Assumptions!$C$15)*Products!$C$13/Products!$C$38))</f>
        <v/>
      </c>
      <c r="BJ31" s="81">
        <f>MAX(0,MIN(1,1-Products!$C$27*Products!$C$28*(1-Credit_Assumptions!$C$15)*Products!$C$13/Products!$C$38))</f>
        <v/>
      </c>
      <c r="BK31" s="81">
        <f>MAX(0,MIN(1,1-Products!$C$27*Products!$C$28*(1-Credit_Assumptions!$C$15)*Products!$C$13/Products!$C$38))</f>
        <v/>
      </c>
      <c r="BL31" s="81">
        <f>MAX(0,MIN(1,1-Products!$C$27*Products!$C$28*(1-Credit_Assumptions!$C$15)*Products!$C$13/Products!$C$38))</f>
        <v/>
      </c>
    </row>
    <row r="32">
      <c r="A32" s="98" t="inlineStr">
        <is>
          <t>Indicative stage-based ECL (diagnostic, not booked)</t>
        </is>
      </c>
      <c r="B32" s="65" t="inlineStr">
        <is>
          <t>LCY</t>
        </is>
      </c>
      <c r="C32" s="105">
        <f>BL32</f>
        <v/>
      </c>
      <c r="E32" s="80">
        <f>E12*CHOOSE(Credit_Assumptions!$D$28,E30*E31*(1+Credit_Assumptions!$C$17)^-0.5,(1-Credit_Assumptions!$C$16)*E31*(1+Credit_Assumptions!$C$17)^-0.5,E31)+E13*CHOOSE(Credit_Assumptions!$D$29,E30*E31*(1+Credit_Assumptions!$C$17)^-0.5,(1-Credit_Assumptions!$C$16)*E31*(1+Credit_Assumptions!$C$17)^-0.5,E31)+E14*CHOOSE(Credit_Assumptions!$D$30,E30*E31*(1+Credit_Assumptions!$C$17)^-0.5,(1-Credit_Assumptions!$C$16)*E31*(1+Credit_Assumptions!$C$17)^-0.5,E31)+E15*CHOOSE(Credit_Assumptions!$D$31,E30*E31*(1+Credit_Assumptions!$C$17)^-0.5,(1-Credit_Assumptions!$C$16)*E31*(1+Credit_Assumptions!$C$17)^-0.5,E31)+E16*CHOOSE(Credit_Assumptions!$D$32,E30*E31*(1+Credit_Assumptions!$C$17)^-0.5,(1-Credit_Assumptions!$C$16)*E31*(1+Credit_Assumptions!$C$17)^-0.5,E31)+E17*CHOOSE(Credit_Assumptions!$D$33,E30*E31*(1+Credit_Assumptions!$C$17)^-0.5,(1-Credit_Assumptions!$C$16)*E31*(1+Credit_Assumptions!$C$17)^-0.5,E31)</f>
        <v/>
      </c>
      <c r="F32" s="80">
        <f>F12*CHOOSE(Credit_Assumptions!$D$28,F30*F31*(1+Credit_Assumptions!$C$17)^-0.5,(1-Credit_Assumptions!$C$16)*F31*(1+Credit_Assumptions!$C$17)^-0.5,F31)+F13*CHOOSE(Credit_Assumptions!$D$29,F30*F31*(1+Credit_Assumptions!$C$17)^-0.5,(1-Credit_Assumptions!$C$16)*F31*(1+Credit_Assumptions!$C$17)^-0.5,F31)+F14*CHOOSE(Credit_Assumptions!$D$30,F30*F31*(1+Credit_Assumptions!$C$17)^-0.5,(1-Credit_Assumptions!$C$16)*F31*(1+Credit_Assumptions!$C$17)^-0.5,F31)+F15*CHOOSE(Credit_Assumptions!$D$31,F30*F31*(1+Credit_Assumptions!$C$17)^-0.5,(1-Credit_Assumptions!$C$16)*F31*(1+Credit_Assumptions!$C$17)^-0.5,F31)+F16*CHOOSE(Credit_Assumptions!$D$32,F30*F31*(1+Credit_Assumptions!$C$17)^-0.5,(1-Credit_Assumptions!$C$16)*F31*(1+Credit_Assumptions!$C$17)^-0.5,F31)+F17*CHOOSE(Credit_Assumptions!$D$33,F30*F31*(1+Credit_Assumptions!$C$17)^-0.5,(1-Credit_Assumptions!$C$16)*F31*(1+Credit_Assumptions!$C$17)^-0.5,F31)</f>
        <v/>
      </c>
      <c r="G32" s="80">
        <f>G12*CHOOSE(Credit_Assumptions!$D$28,G30*G31*(1+Credit_Assumptions!$C$17)^-0.5,(1-Credit_Assumptions!$C$16)*G31*(1+Credit_Assumptions!$C$17)^-0.5,G31)+G13*CHOOSE(Credit_Assumptions!$D$29,G30*G31*(1+Credit_Assumptions!$C$17)^-0.5,(1-Credit_Assumptions!$C$16)*G31*(1+Credit_Assumptions!$C$17)^-0.5,G31)+G14*CHOOSE(Credit_Assumptions!$D$30,G30*G31*(1+Credit_Assumptions!$C$17)^-0.5,(1-Credit_Assumptions!$C$16)*G31*(1+Credit_Assumptions!$C$17)^-0.5,G31)+G15*CHOOSE(Credit_Assumptions!$D$31,G30*G31*(1+Credit_Assumptions!$C$17)^-0.5,(1-Credit_Assumptions!$C$16)*G31*(1+Credit_Assumptions!$C$17)^-0.5,G31)+G16*CHOOSE(Credit_Assumptions!$D$32,G30*G31*(1+Credit_Assumptions!$C$17)^-0.5,(1-Credit_Assumptions!$C$16)*G31*(1+Credit_Assumptions!$C$17)^-0.5,G31)+G17*CHOOSE(Credit_Assumptions!$D$33,G30*G31*(1+Credit_Assumptions!$C$17)^-0.5,(1-Credit_Assumptions!$C$16)*G31*(1+Credit_Assumptions!$C$17)^-0.5,G31)</f>
        <v/>
      </c>
      <c r="H32" s="80">
        <f>H12*CHOOSE(Credit_Assumptions!$D$28,H30*H31*(1+Credit_Assumptions!$C$17)^-0.5,(1-Credit_Assumptions!$C$16)*H31*(1+Credit_Assumptions!$C$17)^-0.5,H31)+H13*CHOOSE(Credit_Assumptions!$D$29,H30*H31*(1+Credit_Assumptions!$C$17)^-0.5,(1-Credit_Assumptions!$C$16)*H31*(1+Credit_Assumptions!$C$17)^-0.5,H31)+H14*CHOOSE(Credit_Assumptions!$D$30,H30*H31*(1+Credit_Assumptions!$C$17)^-0.5,(1-Credit_Assumptions!$C$16)*H31*(1+Credit_Assumptions!$C$17)^-0.5,H31)+H15*CHOOSE(Credit_Assumptions!$D$31,H30*H31*(1+Credit_Assumptions!$C$17)^-0.5,(1-Credit_Assumptions!$C$16)*H31*(1+Credit_Assumptions!$C$17)^-0.5,H31)+H16*CHOOSE(Credit_Assumptions!$D$32,H30*H31*(1+Credit_Assumptions!$C$17)^-0.5,(1-Credit_Assumptions!$C$16)*H31*(1+Credit_Assumptions!$C$17)^-0.5,H31)+H17*CHOOSE(Credit_Assumptions!$D$33,H30*H31*(1+Credit_Assumptions!$C$17)^-0.5,(1-Credit_Assumptions!$C$16)*H31*(1+Credit_Assumptions!$C$17)^-0.5,H31)</f>
        <v/>
      </c>
      <c r="I32" s="80">
        <f>I12*CHOOSE(Credit_Assumptions!$D$28,I30*I31*(1+Credit_Assumptions!$C$17)^-0.5,(1-Credit_Assumptions!$C$16)*I31*(1+Credit_Assumptions!$C$17)^-0.5,I31)+I13*CHOOSE(Credit_Assumptions!$D$29,I30*I31*(1+Credit_Assumptions!$C$17)^-0.5,(1-Credit_Assumptions!$C$16)*I31*(1+Credit_Assumptions!$C$17)^-0.5,I31)+I14*CHOOSE(Credit_Assumptions!$D$30,I30*I31*(1+Credit_Assumptions!$C$17)^-0.5,(1-Credit_Assumptions!$C$16)*I31*(1+Credit_Assumptions!$C$17)^-0.5,I31)+I15*CHOOSE(Credit_Assumptions!$D$31,I30*I31*(1+Credit_Assumptions!$C$17)^-0.5,(1-Credit_Assumptions!$C$16)*I31*(1+Credit_Assumptions!$C$17)^-0.5,I31)+I16*CHOOSE(Credit_Assumptions!$D$32,I30*I31*(1+Credit_Assumptions!$C$17)^-0.5,(1-Credit_Assumptions!$C$16)*I31*(1+Credit_Assumptions!$C$17)^-0.5,I31)+I17*CHOOSE(Credit_Assumptions!$D$33,I30*I31*(1+Credit_Assumptions!$C$17)^-0.5,(1-Credit_Assumptions!$C$16)*I31*(1+Credit_Assumptions!$C$17)^-0.5,I31)</f>
        <v/>
      </c>
      <c r="J32" s="80">
        <f>J12*CHOOSE(Credit_Assumptions!$D$28,J30*J31*(1+Credit_Assumptions!$C$17)^-0.5,(1-Credit_Assumptions!$C$16)*J31*(1+Credit_Assumptions!$C$17)^-0.5,J31)+J13*CHOOSE(Credit_Assumptions!$D$29,J30*J31*(1+Credit_Assumptions!$C$17)^-0.5,(1-Credit_Assumptions!$C$16)*J31*(1+Credit_Assumptions!$C$17)^-0.5,J31)+J14*CHOOSE(Credit_Assumptions!$D$30,J30*J31*(1+Credit_Assumptions!$C$17)^-0.5,(1-Credit_Assumptions!$C$16)*J31*(1+Credit_Assumptions!$C$17)^-0.5,J31)+J15*CHOOSE(Credit_Assumptions!$D$31,J30*J31*(1+Credit_Assumptions!$C$17)^-0.5,(1-Credit_Assumptions!$C$16)*J31*(1+Credit_Assumptions!$C$17)^-0.5,J31)+J16*CHOOSE(Credit_Assumptions!$D$32,J30*J31*(1+Credit_Assumptions!$C$17)^-0.5,(1-Credit_Assumptions!$C$16)*J31*(1+Credit_Assumptions!$C$17)^-0.5,J31)+J17*CHOOSE(Credit_Assumptions!$D$33,J30*J31*(1+Credit_Assumptions!$C$17)^-0.5,(1-Credit_Assumptions!$C$16)*J31*(1+Credit_Assumptions!$C$17)^-0.5,J31)</f>
        <v/>
      </c>
      <c r="K32" s="80">
        <f>K12*CHOOSE(Credit_Assumptions!$D$28,K30*K31*(1+Credit_Assumptions!$C$17)^-0.5,(1-Credit_Assumptions!$C$16)*K31*(1+Credit_Assumptions!$C$17)^-0.5,K31)+K13*CHOOSE(Credit_Assumptions!$D$29,K30*K31*(1+Credit_Assumptions!$C$17)^-0.5,(1-Credit_Assumptions!$C$16)*K31*(1+Credit_Assumptions!$C$17)^-0.5,K31)+K14*CHOOSE(Credit_Assumptions!$D$30,K30*K31*(1+Credit_Assumptions!$C$17)^-0.5,(1-Credit_Assumptions!$C$16)*K31*(1+Credit_Assumptions!$C$17)^-0.5,K31)+K15*CHOOSE(Credit_Assumptions!$D$31,K30*K31*(1+Credit_Assumptions!$C$17)^-0.5,(1-Credit_Assumptions!$C$16)*K31*(1+Credit_Assumptions!$C$17)^-0.5,K31)+K16*CHOOSE(Credit_Assumptions!$D$32,K30*K31*(1+Credit_Assumptions!$C$17)^-0.5,(1-Credit_Assumptions!$C$16)*K31*(1+Credit_Assumptions!$C$17)^-0.5,K31)+K17*CHOOSE(Credit_Assumptions!$D$33,K30*K31*(1+Credit_Assumptions!$C$17)^-0.5,(1-Credit_Assumptions!$C$16)*K31*(1+Credit_Assumptions!$C$17)^-0.5,K31)</f>
        <v/>
      </c>
      <c r="L32" s="80">
        <f>L12*CHOOSE(Credit_Assumptions!$D$28,L30*L31*(1+Credit_Assumptions!$C$17)^-0.5,(1-Credit_Assumptions!$C$16)*L31*(1+Credit_Assumptions!$C$17)^-0.5,L31)+L13*CHOOSE(Credit_Assumptions!$D$29,L30*L31*(1+Credit_Assumptions!$C$17)^-0.5,(1-Credit_Assumptions!$C$16)*L31*(1+Credit_Assumptions!$C$17)^-0.5,L31)+L14*CHOOSE(Credit_Assumptions!$D$30,L30*L31*(1+Credit_Assumptions!$C$17)^-0.5,(1-Credit_Assumptions!$C$16)*L31*(1+Credit_Assumptions!$C$17)^-0.5,L31)+L15*CHOOSE(Credit_Assumptions!$D$31,L30*L31*(1+Credit_Assumptions!$C$17)^-0.5,(1-Credit_Assumptions!$C$16)*L31*(1+Credit_Assumptions!$C$17)^-0.5,L31)+L16*CHOOSE(Credit_Assumptions!$D$32,L30*L31*(1+Credit_Assumptions!$C$17)^-0.5,(1-Credit_Assumptions!$C$16)*L31*(1+Credit_Assumptions!$C$17)^-0.5,L31)+L17*CHOOSE(Credit_Assumptions!$D$33,L30*L31*(1+Credit_Assumptions!$C$17)^-0.5,(1-Credit_Assumptions!$C$16)*L31*(1+Credit_Assumptions!$C$17)^-0.5,L31)</f>
        <v/>
      </c>
      <c r="M32" s="80">
        <f>M12*CHOOSE(Credit_Assumptions!$D$28,M30*M31*(1+Credit_Assumptions!$C$17)^-0.5,(1-Credit_Assumptions!$C$16)*M31*(1+Credit_Assumptions!$C$17)^-0.5,M31)+M13*CHOOSE(Credit_Assumptions!$D$29,M30*M31*(1+Credit_Assumptions!$C$17)^-0.5,(1-Credit_Assumptions!$C$16)*M31*(1+Credit_Assumptions!$C$17)^-0.5,M31)+M14*CHOOSE(Credit_Assumptions!$D$30,M30*M31*(1+Credit_Assumptions!$C$17)^-0.5,(1-Credit_Assumptions!$C$16)*M31*(1+Credit_Assumptions!$C$17)^-0.5,M31)+M15*CHOOSE(Credit_Assumptions!$D$31,M30*M31*(1+Credit_Assumptions!$C$17)^-0.5,(1-Credit_Assumptions!$C$16)*M31*(1+Credit_Assumptions!$C$17)^-0.5,M31)+M16*CHOOSE(Credit_Assumptions!$D$32,M30*M31*(1+Credit_Assumptions!$C$17)^-0.5,(1-Credit_Assumptions!$C$16)*M31*(1+Credit_Assumptions!$C$17)^-0.5,M31)+M17*CHOOSE(Credit_Assumptions!$D$33,M30*M31*(1+Credit_Assumptions!$C$17)^-0.5,(1-Credit_Assumptions!$C$16)*M31*(1+Credit_Assumptions!$C$17)^-0.5,M31)</f>
        <v/>
      </c>
      <c r="N32" s="80">
        <f>N12*CHOOSE(Credit_Assumptions!$D$28,N30*N31*(1+Credit_Assumptions!$C$17)^-0.5,(1-Credit_Assumptions!$C$16)*N31*(1+Credit_Assumptions!$C$17)^-0.5,N31)+N13*CHOOSE(Credit_Assumptions!$D$29,N30*N31*(1+Credit_Assumptions!$C$17)^-0.5,(1-Credit_Assumptions!$C$16)*N31*(1+Credit_Assumptions!$C$17)^-0.5,N31)+N14*CHOOSE(Credit_Assumptions!$D$30,N30*N31*(1+Credit_Assumptions!$C$17)^-0.5,(1-Credit_Assumptions!$C$16)*N31*(1+Credit_Assumptions!$C$17)^-0.5,N31)+N15*CHOOSE(Credit_Assumptions!$D$31,N30*N31*(1+Credit_Assumptions!$C$17)^-0.5,(1-Credit_Assumptions!$C$16)*N31*(1+Credit_Assumptions!$C$17)^-0.5,N31)+N16*CHOOSE(Credit_Assumptions!$D$32,N30*N31*(1+Credit_Assumptions!$C$17)^-0.5,(1-Credit_Assumptions!$C$16)*N31*(1+Credit_Assumptions!$C$17)^-0.5,N31)+N17*CHOOSE(Credit_Assumptions!$D$33,N30*N31*(1+Credit_Assumptions!$C$17)^-0.5,(1-Credit_Assumptions!$C$16)*N31*(1+Credit_Assumptions!$C$17)^-0.5,N31)</f>
        <v/>
      </c>
      <c r="O32" s="80">
        <f>O12*CHOOSE(Credit_Assumptions!$D$28,O30*O31*(1+Credit_Assumptions!$C$17)^-0.5,(1-Credit_Assumptions!$C$16)*O31*(1+Credit_Assumptions!$C$17)^-0.5,O31)+O13*CHOOSE(Credit_Assumptions!$D$29,O30*O31*(1+Credit_Assumptions!$C$17)^-0.5,(1-Credit_Assumptions!$C$16)*O31*(1+Credit_Assumptions!$C$17)^-0.5,O31)+O14*CHOOSE(Credit_Assumptions!$D$30,O30*O31*(1+Credit_Assumptions!$C$17)^-0.5,(1-Credit_Assumptions!$C$16)*O31*(1+Credit_Assumptions!$C$17)^-0.5,O31)+O15*CHOOSE(Credit_Assumptions!$D$31,O30*O31*(1+Credit_Assumptions!$C$17)^-0.5,(1-Credit_Assumptions!$C$16)*O31*(1+Credit_Assumptions!$C$17)^-0.5,O31)+O16*CHOOSE(Credit_Assumptions!$D$32,O30*O31*(1+Credit_Assumptions!$C$17)^-0.5,(1-Credit_Assumptions!$C$16)*O31*(1+Credit_Assumptions!$C$17)^-0.5,O31)+O17*CHOOSE(Credit_Assumptions!$D$33,O30*O31*(1+Credit_Assumptions!$C$17)^-0.5,(1-Credit_Assumptions!$C$16)*O31*(1+Credit_Assumptions!$C$17)^-0.5,O31)</f>
        <v/>
      </c>
      <c r="P32" s="80">
        <f>P12*CHOOSE(Credit_Assumptions!$D$28,P30*P31*(1+Credit_Assumptions!$C$17)^-0.5,(1-Credit_Assumptions!$C$16)*P31*(1+Credit_Assumptions!$C$17)^-0.5,P31)+P13*CHOOSE(Credit_Assumptions!$D$29,P30*P31*(1+Credit_Assumptions!$C$17)^-0.5,(1-Credit_Assumptions!$C$16)*P31*(1+Credit_Assumptions!$C$17)^-0.5,P31)+P14*CHOOSE(Credit_Assumptions!$D$30,P30*P31*(1+Credit_Assumptions!$C$17)^-0.5,(1-Credit_Assumptions!$C$16)*P31*(1+Credit_Assumptions!$C$17)^-0.5,P31)+P15*CHOOSE(Credit_Assumptions!$D$31,P30*P31*(1+Credit_Assumptions!$C$17)^-0.5,(1-Credit_Assumptions!$C$16)*P31*(1+Credit_Assumptions!$C$17)^-0.5,P31)+P16*CHOOSE(Credit_Assumptions!$D$32,P30*P31*(1+Credit_Assumptions!$C$17)^-0.5,(1-Credit_Assumptions!$C$16)*P31*(1+Credit_Assumptions!$C$17)^-0.5,P31)+P17*CHOOSE(Credit_Assumptions!$D$33,P30*P31*(1+Credit_Assumptions!$C$17)^-0.5,(1-Credit_Assumptions!$C$16)*P31*(1+Credit_Assumptions!$C$17)^-0.5,P31)</f>
        <v/>
      </c>
      <c r="Q32" s="80">
        <f>Q12*CHOOSE(Credit_Assumptions!$D$28,Q30*Q31*(1+Credit_Assumptions!$C$17)^-0.5,(1-Credit_Assumptions!$C$16)*Q31*(1+Credit_Assumptions!$C$17)^-0.5,Q31)+Q13*CHOOSE(Credit_Assumptions!$D$29,Q30*Q31*(1+Credit_Assumptions!$C$17)^-0.5,(1-Credit_Assumptions!$C$16)*Q31*(1+Credit_Assumptions!$C$17)^-0.5,Q31)+Q14*CHOOSE(Credit_Assumptions!$D$30,Q30*Q31*(1+Credit_Assumptions!$C$17)^-0.5,(1-Credit_Assumptions!$C$16)*Q31*(1+Credit_Assumptions!$C$17)^-0.5,Q31)+Q15*CHOOSE(Credit_Assumptions!$D$31,Q30*Q31*(1+Credit_Assumptions!$C$17)^-0.5,(1-Credit_Assumptions!$C$16)*Q31*(1+Credit_Assumptions!$C$17)^-0.5,Q31)+Q16*CHOOSE(Credit_Assumptions!$D$32,Q30*Q31*(1+Credit_Assumptions!$C$17)^-0.5,(1-Credit_Assumptions!$C$16)*Q31*(1+Credit_Assumptions!$C$17)^-0.5,Q31)+Q17*CHOOSE(Credit_Assumptions!$D$33,Q30*Q31*(1+Credit_Assumptions!$C$17)^-0.5,(1-Credit_Assumptions!$C$16)*Q31*(1+Credit_Assumptions!$C$17)^-0.5,Q31)</f>
        <v/>
      </c>
      <c r="R32" s="80">
        <f>R12*CHOOSE(Credit_Assumptions!$D$28,R30*R31*(1+Credit_Assumptions!$C$17)^-0.5,(1-Credit_Assumptions!$C$16)*R31*(1+Credit_Assumptions!$C$17)^-0.5,R31)+R13*CHOOSE(Credit_Assumptions!$D$29,R30*R31*(1+Credit_Assumptions!$C$17)^-0.5,(1-Credit_Assumptions!$C$16)*R31*(1+Credit_Assumptions!$C$17)^-0.5,R31)+R14*CHOOSE(Credit_Assumptions!$D$30,R30*R31*(1+Credit_Assumptions!$C$17)^-0.5,(1-Credit_Assumptions!$C$16)*R31*(1+Credit_Assumptions!$C$17)^-0.5,R31)+R15*CHOOSE(Credit_Assumptions!$D$31,R30*R31*(1+Credit_Assumptions!$C$17)^-0.5,(1-Credit_Assumptions!$C$16)*R31*(1+Credit_Assumptions!$C$17)^-0.5,R31)+R16*CHOOSE(Credit_Assumptions!$D$32,R30*R31*(1+Credit_Assumptions!$C$17)^-0.5,(1-Credit_Assumptions!$C$16)*R31*(1+Credit_Assumptions!$C$17)^-0.5,R31)+R17*CHOOSE(Credit_Assumptions!$D$33,R30*R31*(1+Credit_Assumptions!$C$17)^-0.5,(1-Credit_Assumptions!$C$16)*R31*(1+Credit_Assumptions!$C$17)^-0.5,R31)</f>
        <v/>
      </c>
      <c r="S32" s="80">
        <f>S12*CHOOSE(Credit_Assumptions!$D$28,S30*S31*(1+Credit_Assumptions!$C$17)^-0.5,(1-Credit_Assumptions!$C$16)*S31*(1+Credit_Assumptions!$C$17)^-0.5,S31)+S13*CHOOSE(Credit_Assumptions!$D$29,S30*S31*(1+Credit_Assumptions!$C$17)^-0.5,(1-Credit_Assumptions!$C$16)*S31*(1+Credit_Assumptions!$C$17)^-0.5,S31)+S14*CHOOSE(Credit_Assumptions!$D$30,S30*S31*(1+Credit_Assumptions!$C$17)^-0.5,(1-Credit_Assumptions!$C$16)*S31*(1+Credit_Assumptions!$C$17)^-0.5,S31)+S15*CHOOSE(Credit_Assumptions!$D$31,S30*S31*(1+Credit_Assumptions!$C$17)^-0.5,(1-Credit_Assumptions!$C$16)*S31*(1+Credit_Assumptions!$C$17)^-0.5,S31)+S16*CHOOSE(Credit_Assumptions!$D$32,S30*S31*(1+Credit_Assumptions!$C$17)^-0.5,(1-Credit_Assumptions!$C$16)*S31*(1+Credit_Assumptions!$C$17)^-0.5,S31)+S17*CHOOSE(Credit_Assumptions!$D$33,S30*S31*(1+Credit_Assumptions!$C$17)^-0.5,(1-Credit_Assumptions!$C$16)*S31*(1+Credit_Assumptions!$C$17)^-0.5,S31)</f>
        <v/>
      </c>
      <c r="T32" s="80">
        <f>T12*CHOOSE(Credit_Assumptions!$D$28,T30*T31*(1+Credit_Assumptions!$C$17)^-0.5,(1-Credit_Assumptions!$C$16)*T31*(1+Credit_Assumptions!$C$17)^-0.5,T31)+T13*CHOOSE(Credit_Assumptions!$D$29,T30*T31*(1+Credit_Assumptions!$C$17)^-0.5,(1-Credit_Assumptions!$C$16)*T31*(1+Credit_Assumptions!$C$17)^-0.5,T31)+T14*CHOOSE(Credit_Assumptions!$D$30,T30*T31*(1+Credit_Assumptions!$C$17)^-0.5,(1-Credit_Assumptions!$C$16)*T31*(1+Credit_Assumptions!$C$17)^-0.5,T31)+T15*CHOOSE(Credit_Assumptions!$D$31,T30*T31*(1+Credit_Assumptions!$C$17)^-0.5,(1-Credit_Assumptions!$C$16)*T31*(1+Credit_Assumptions!$C$17)^-0.5,T31)+T16*CHOOSE(Credit_Assumptions!$D$32,T30*T31*(1+Credit_Assumptions!$C$17)^-0.5,(1-Credit_Assumptions!$C$16)*T31*(1+Credit_Assumptions!$C$17)^-0.5,T31)+T17*CHOOSE(Credit_Assumptions!$D$33,T30*T31*(1+Credit_Assumptions!$C$17)^-0.5,(1-Credit_Assumptions!$C$16)*T31*(1+Credit_Assumptions!$C$17)^-0.5,T31)</f>
        <v/>
      </c>
      <c r="U32" s="80">
        <f>U12*CHOOSE(Credit_Assumptions!$D$28,U30*U31*(1+Credit_Assumptions!$C$17)^-0.5,(1-Credit_Assumptions!$C$16)*U31*(1+Credit_Assumptions!$C$17)^-0.5,U31)+U13*CHOOSE(Credit_Assumptions!$D$29,U30*U31*(1+Credit_Assumptions!$C$17)^-0.5,(1-Credit_Assumptions!$C$16)*U31*(1+Credit_Assumptions!$C$17)^-0.5,U31)+U14*CHOOSE(Credit_Assumptions!$D$30,U30*U31*(1+Credit_Assumptions!$C$17)^-0.5,(1-Credit_Assumptions!$C$16)*U31*(1+Credit_Assumptions!$C$17)^-0.5,U31)+U15*CHOOSE(Credit_Assumptions!$D$31,U30*U31*(1+Credit_Assumptions!$C$17)^-0.5,(1-Credit_Assumptions!$C$16)*U31*(1+Credit_Assumptions!$C$17)^-0.5,U31)+U16*CHOOSE(Credit_Assumptions!$D$32,U30*U31*(1+Credit_Assumptions!$C$17)^-0.5,(1-Credit_Assumptions!$C$16)*U31*(1+Credit_Assumptions!$C$17)^-0.5,U31)+U17*CHOOSE(Credit_Assumptions!$D$33,U30*U31*(1+Credit_Assumptions!$C$17)^-0.5,(1-Credit_Assumptions!$C$16)*U31*(1+Credit_Assumptions!$C$17)^-0.5,U31)</f>
        <v/>
      </c>
      <c r="V32" s="80">
        <f>V12*CHOOSE(Credit_Assumptions!$D$28,V30*V31*(1+Credit_Assumptions!$C$17)^-0.5,(1-Credit_Assumptions!$C$16)*V31*(1+Credit_Assumptions!$C$17)^-0.5,V31)+V13*CHOOSE(Credit_Assumptions!$D$29,V30*V31*(1+Credit_Assumptions!$C$17)^-0.5,(1-Credit_Assumptions!$C$16)*V31*(1+Credit_Assumptions!$C$17)^-0.5,V31)+V14*CHOOSE(Credit_Assumptions!$D$30,V30*V31*(1+Credit_Assumptions!$C$17)^-0.5,(1-Credit_Assumptions!$C$16)*V31*(1+Credit_Assumptions!$C$17)^-0.5,V31)+V15*CHOOSE(Credit_Assumptions!$D$31,V30*V31*(1+Credit_Assumptions!$C$17)^-0.5,(1-Credit_Assumptions!$C$16)*V31*(1+Credit_Assumptions!$C$17)^-0.5,V31)+V16*CHOOSE(Credit_Assumptions!$D$32,V30*V31*(1+Credit_Assumptions!$C$17)^-0.5,(1-Credit_Assumptions!$C$16)*V31*(1+Credit_Assumptions!$C$17)^-0.5,V31)+V17*CHOOSE(Credit_Assumptions!$D$33,V30*V31*(1+Credit_Assumptions!$C$17)^-0.5,(1-Credit_Assumptions!$C$16)*V31*(1+Credit_Assumptions!$C$17)^-0.5,V31)</f>
        <v/>
      </c>
      <c r="W32" s="80">
        <f>W12*CHOOSE(Credit_Assumptions!$D$28,W30*W31*(1+Credit_Assumptions!$C$17)^-0.5,(1-Credit_Assumptions!$C$16)*W31*(1+Credit_Assumptions!$C$17)^-0.5,W31)+W13*CHOOSE(Credit_Assumptions!$D$29,W30*W31*(1+Credit_Assumptions!$C$17)^-0.5,(1-Credit_Assumptions!$C$16)*W31*(1+Credit_Assumptions!$C$17)^-0.5,W31)+W14*CHOOSE(Credit_Assumptions!$D$30,W30*W31*(1+Credit_Assumptions!$C$17)^-0.5,(1-Credit_Assumptions!$C$16)*W31*(1+Credit_Assumptions!$C$17)^-0.5,W31)+W15*CHOOSE(Credit_Assumptions!$D$31,W30*W31*(1+Credit_Assumptions!$C$17)^-0.5,(1-Credit_Assumptions!$C$16)*W31*(1+Credit_Assumptions!$C$17)^-0.5,W31)+W16*CHOOSE(Credit_Assumptions!$D$32,W30*W31*(1+Credit_Assumptions!$C$17)^-0.5,(1-Credit_Assumptions!$C$16)*W31*(1+Credit_Assumptions!$C$17)^-0.5,W31)+W17*CHOOSE(Credit_Assumptions!$D$33,W30*W31*(1+Credit_Assumptions!$C$17)^-0.5,(1-Credit_Assumptions!$C$16)*W31*(1+Credit_Assumptions!$C$17)^-0.5,W31)</f>
        <v/>
      </c>
      <c r="X32" s="80">
        <f>X12*CHOOSE(Credit_Assumptions!$D$28,X30*X31*(1+Credit_Assumptions!$C$17)^-0.5,(1-Credit_Assumptions!$C$16)*X31*(1+Credit_Assumptions!$C$17)^-0.5,X31)+X13*CHOOSE(Credit_Assumptions!$D$29,X30*X31*(1+Credit_Assumptions!$C$17)^-0.5,(1-Credit_Assumptions!$C$16)*X31*(1+Credit_Assumptions!$C$17)^-0.5,X31)+X14*CHOOSE(Credit_Assumptions!$D$30,X30*X31*(1+Credit_Assumptions!$C$17)^-0.5,(1-Credit_Assumptions!$C$16)*X31*(1+Credit_Assumptions!$C$17)^-0.5,X31)+X15*CHOOSE(Credit_Assumptions!$D$31,X30*X31*(1+Credit_Assumptions!$C$17)^-0.5,(1-Credit_Assumptions!$C$16)*X31*(1+Credit_Assumptions!$C$17)^-0.5,X31)+X16*CHOOSE(Credit_Assumptions!$D$32,X30*X31*(1+Credit_Assumptions!$C$17)^-0.5,(1-Credit_Assumptions!$C$16)*X31*(1+Credit_Assumptions!$C$17)^-0.5,X31)+X17*CHOOSE(Credit_Assumptions!$D$33,X30*X31*(1+Credit_Assumptions!$C$17)^-0.5,(1-Credit_Assumptions!$C$16)*X31*(1+Credit_Assumptions!$C$17)^-0.5,X31)</f>
        <v/>
      </c>
      <c r="Y32" s="80">
        <f>Y12*CHOOSE(Credit_Assumptions!$D$28,Y30*Y31*(1+Credit_Assumptions!$C$17)^-0.5,(1-Credit_Assumptions!$C$16)*Y31*(1+Credit_Assumptions!$C$17)^-0.5,Y31)+Y13*CHOOSE(Credit_Assumptions!$D$29,Y30*Y31*(1+Credit_Assumptions!$C$17)^-0.5,(1-Credit_Assumptions!$C$16)*Y31*(1+Credit_Assumptions!$C$17)^-0.5,Y31)+Y14*CHOOSE(Credit_Assumptions!$D$30,Y30*Y31*(1+Credit_Assumptions!$C$17)^-0.5,(1-Credit_Assumptions!$C$16)*Y31*(1+Credit_Assumptions!$C$17)^-0.5,Y31)+Y15*CHOOSE(Credit_Assumptions!$D$31,Y30*Y31*(1+Credit_Assumptions!$C$17)^-0.5,(1-Credit_Assumptions!$C$16)*Y31*(1+Credit_Assumptions!$C$17)^-0.5,Y31)+Y16*CHOOSE(Credit_Assumptions!$D$32,Y30*Y31*(1+Credit_Assumptions!$C$17)^-0.5,(1-Credit_Assumptions!$C$16)*Y31*(1+Credit_Assumptions!$C$17)^-0.5,Y31)+Y17*CHOOSE(Credit_Assumptions!$D$33,Y30*Y31*(1+Credit_Assumptions!$C$17)^-0.5,(1-Credit_Assumptions!$C$16)*Y31*(1+Credit_Assumptions!$C$17)^-0.5,Y31)</f>
        <v/>
      </c>
      <c r="Z32" s="80">
        <f>Z12*CHOOSE(Credit_Assumptions!$D$28,Z30*Z31*(1+Credit_Assumptions!$C$17)^-0.5,(1-Credit_Assumptions!$C$16)*Z31*(1+Credit_Assumptions!$C$17)^-0.5,Z31)+Z13*CHOOSE(Credit_Assumptions!$D$29,Z30*Z31*(1+Credit_Assumptions!$C$17)^-0.5,(1-Credit_Assumptions!$C$16)*Z31*(1+Credit_Assumptions!$C$17)^-0.5,Z31)+Z14*CHOOSE(Credit_Assumptions!$D$30,Z30*Z31*(1+Credit_Assumptions!$C$17)^-0.5,(1-Credit_Assumptions!$C$16)*Z31*(1+Credit_Assumptions!$C$17)^-0.5,Z31)+Z15*CHOOSE(Credit_Assumptions!$D$31,Z30*Z31*(1+Credit_Assumptions!$C$17)^-0.5,(1-Credit_Assumptions!$C$16)*Z31*(1+Credit_Assumptions!$C$17)^-0.5,Z31)+Z16*CHOOSE(Credit_Assumptions!$D$32,Z30*Z31*(1+Credit_Assumptions!$C$17)^-0.5,(1-Credit_Assumptions!$C$16)*Z31*(1+Credit_Assumptions!$C$17)^-0.5,Z31)+Z17*CHOOSE(Credit_Assumptions!$D$33,Z30*Z31*(1+Credit_Assumptions!$C$17)^-0.5,(1-Credit_Assumptions!$C$16)*Z31*(1+Credit_Assumptions!$C$17)^-0.5,Z31)</f>
        <v/>
      </c>
      <c r="AA32" s="80">
        <f>AA12*CHOOSE(Credit_Assumptions!$D$28,AA30*AA31*(1+Credit_Assumptions!$C$17)^-0.5,(1-Credit_Assumptions!$C$16)*AA31*(1+Credit_Assumptions!$C$17)^-0.5,AA31)+AA13*CHOOSE(Credit_Assumptions!$D$29,AA30*AA31*(1+Credit_Assumptions!$C$17)^-0.5,(1-Credit_Assumptions!$C$16)*AA31*(1+Credit_Assumptions!$C$17)^-0.5,AA31)+AA14*CHOOSE(Credit_Assumptions!$D$30,AA30*AA31*(1+Credit_Assumptions!$C$17)^-0.5,(1-Credit_Assumptions!$C$16)*AA31*(1+Credit_Assumptions!$C$17)^-0.5,AA31)+AA15*CHOOSE(Credit_Assumptions!$D$31,AA30*AA31*(1+Credit_Assumptions!$C$17)^-0.5,(1-Credit_Assumptions!$C$16)*AA31*(1+Credit_Assumptions!$C$17)^-0.5,AA31)+AA16*CHOOSE(Credit_Assumptions!$D$32,AA30*AA31*(1+Credit_Assumptions!$C$17)^-0.5,(1-Credit_Assumptions!$C$16)*AA31*(1+Credit_Assumptions!$C$17)^-0.5,AA31)+AA17*CHOOSE(Credit_Assumptions!$D$33,AA30*AA31*(1+Credit_Assumptions!$C$17)^-0.5,(1-Credit_Assumptions!$C$16)*AA31*(1+Credit_Assumptions!$C$17)^-0.5,AA31)</f>
        <v/>
      </c>
      <c r="AB32" s="80">
        <f>AB12*CHOOSE(Credit_Assumptions!$D$28,AB30*AB31*(1+Credit_Assumptions!$C$17)^-0.5,(1-Credit_Assumptions!$C$16)*AB31*(1+Credit_Assumptions!$C$17)^-0.5,AB31)+AB13*CHOOSE(Credit_Assumptions!$D$29,AB30*AB31*(1+Credit_Assumptions!$C$17)^-0.5,(1-Credit_Assumptions!$C$16)*AB31*(1+Credit_Assumptions!$C$17)^-0.5,AB31)+AB14*CHOOSE(Credit_Assumptions!$D$30,AB30*AB31*(1+Credit_Assumptions!$C$17)^-0.5,(1-Credit_Assumptions!$C$16)*AB31*(1+Credit_Assumptions!$C$17)^-0.5,AB31)+AB15*CHOOSE(Credit_Assumptions!$D$31,AB30*AB31*(1+Credit_Assumptions!$C$17)^-0.5,(1-Credit_Assumptions!$C$16)*AB31*(1+Credit_Assumptions!$C$17)^-0.5,AB31)+AB16*CHOOSE(Credit_Assumptions!$D$32,AB30*AB31*(1+Credit_Assumptions!$C$17)^-0.5,(1-Credit_Assumptions!$C$16)*AB31*(1+Credit_Assumptions!$C$17)^-0.5,AB31)+AB17*CHOOSE(Credit_Assumptions!$D$33,AB30*AB31*(1+Credit_Assumptions!$C$17)^-0.5,(1-Credit_Assumptions!$C$16)*AB31*(1+Credit_Assumptions!$C$17)^-0.5,AB31)</f>
        <v/>
      </c>
      <c r="AC32" s="80">
        <f>AC12*CHOOSE(Credit_Assumptions!$D$28,AC30*AC31*(1+Credit_Assumptions!$C$17)^-0.5,(1-Credit_Assumptions!$C$16)*AC31*(1+Credit_Assumptions!$C$17)^-0.5,AC31)+AC13*CHOOSE(Credit_Assumptions!$D$29,AC30*AC31*(1+Credit_Assumptions!$C$17)^-0.5,(1-Credit_Assumptions!$C$16)*AC31*(1+Credit_Assumptions!$C$17)^-0.5,AC31)+AC14*CHOOSE(Credit_Assumptions!$D$30,AC30*AC31*(1+Credit_Assumptions!$C$17)^-0.5,(1-Credit_Assumptions!$C$16)*AC31*(1+Credit_Assumptions!$C$17)^-0.5,AC31)+AC15*CHOOSE(Credit_Assumptions!$D$31,AC30*AC31*(1+Credit_Assumptions!$C$17)^-0.5,(1-Credit_Assumptions!$C$16)*AC31*(1+Credit_Assumptions!$C$17)^-0.5,AC31)+AC16*CHOOSE(Credit_Assumptions!$D$32,AC30*AC31*(1+Credit_Assumptions!$C$17)^-0.5,(1-Credit_Assumptions!$C$16)*AC31*(1+Credit_Assumptions!$C$17)^-0.5,AC31)+AC17*CHOOSE(Credit_Assumptions!$D$33,AC30*AC31*(1+Credit_Assumptions!$C$17)^-0.5,(1-Credit_Assumptions!$C$16)*AC31*(1+Credit_Assumptions!$C$17)^-0.5,AC31)</f>
        <v/>
      </c>
      <c r="AD32" s="80">
        <f>AD12*CHOOSE(Credit_Assumptions!$D$28,AD30*AD31*(1+Credit_Assumptions!$C$17)^-0.5,(1-Credit_Assumptions!$C$16)*AD31*(1+Credit_Assumptions!$C$17)^-0.5,AD31)+AD13*CHOOSE(Credit_Assumptions!$D$29,AD30*AD31*(1+Credit_Assumptions!$C$17)^-0.5,(1-Credit_Assumptions!$C$16)*AD31*(1+Credit_Assumptions!$C$17)^-0.5,AD31)+AD14*CHOOSE(Credit_Assumptions!$D$30,AD30*AD31*(1+Credit_Assumptions!$C$17)^-0.5,(1-Credit_Assumptions!$C$16)*AD31*(1+Credit_Assumptions!$C$17)^-0.5,AD31)+AD15*CHOOSE(Credit_Assumptions!$D$31,AD30*AD31*(1+Credit_Assumptions!$C$17)^-0.5,(1-Credit_Assumptions!$C$16)*AD31*(1+Credit_Assumptions!$C$17)^-0.5,AD31)+AD16*CHOOSE(Credit_Assumptions!$D$32,AD30*AD31*(1+Credit_Assumptions!$C$17)^-0.5,(1-Credit_Assumptions!$C$16)*AD31*(1+Credit_Assumptions!$C$17)^-0.5,AD31)+AD17*CHOOSE(Credit_Assumptions!$D$33,AD30*AD31*(1+Credit_Assumptions!$C$17)^-0.5,(1-Credit_Assumptions!$C$16)*AD31*(1+Credit_Assumptions!$C$17)^-0.5,AD31)</f>
        <v/>
      </c>
      <c r="AE32" s="80">
        <f>AE12*CHOOSE(Credit_Assumptions!$D$28,AE30*AE31*(1+Credit_Assumptions!$C$17)^-0.5,(1-Credit_Assumptions!$C$16)*AE31*(1+Credit_Assumptions!$C$17)^-0.5,AE31)+AE13*CHOOSE(Credit_Assumptions!$D$29,AE30*AE31*(1+Credit_Assumptions!$C$17)^-0.5,(1-Credit_Assumptions!$C$16)*AE31*(1+Credit_Assumptions!$C$17)^-0.5,AE31)+AE14*CHOOSE(Credit_Assumptions!$D$30,AE30*AE31*(1+Credit_Assumptions!$C$17)^-0.5,(1-Credit_Assumptions!$C$16)*AE31*(1+Credit_Assumptions!$C$17)^-0.5,AE31)+AE15*CHOOSE(Credit_Assumptions!$D$31,AE30*AE31*(1+Credit_Assumptions!$C$17)^-0.5,(1-Credit_Assumptions!$C$16)*AE31*(1+Credit_Assumptions!$C$17)^-0.5,AE31)+AE16*CHOOSE(Credit_Assumptions!$D$32,AE30*AE31*(1+Credit_Assumptions!$C$17)^-0.5,(1-Credit_Assumptions!$C$16)*AE31*(1+Credit_Assumptions!$C$17)^-0.5,AE31)+AE17*CHOOSE(Credit_Assumptions!$D$33,AE30*AE31*(1+Credit_Assumptions!$C$17)^-0.5,(1-Credit_Assumptions!$C$16)*AE31*(1+Credit_Assumptions!$C$17)^-0.5,AE31)</f>
        <v/>
      </c>
      <c r="AF32" s="80">
        <f>AF12*CHOOSE(Credit_Assumptions!$D$28,AF30*AF31*(1+Credit_Assumptions!$C$17)^-0.5,(1-Credit_Assumptions!$C$16)*AF31*(1+Credit_Assumptions!$C$17)^-0.5,AF31)+AF13*CHOOSE(Credit_Assumptions!$D$29,AF30*AF31*(1+Credit_Assumptions!$C$17)^-0.5,(1-Credit_Assumptions!$C$16)*AF31*(1+Credit_Assumptions!$C$17)^-0.5,AF31)+AF14*CHOOSE(Credit_Assumptions!$D$30,AF30*AF31*(1+Credit_Assumptions!$C$17)^-0.5,(1-Credit_Assumptions!$C$16)*AF31*(1+Credit_Assumptions!$C$17)^-0.5,AF31)+AF15*CHOOSE(Credit_Assumptions!$D$31,AF30*AF31*(1+Credit_Assumptions!$C$17)^-0.5,(1-Credit_Assumptions!$C$16)*AF31*(1+Credit_Assumptions!$C$17)^-0.5,AF31)+AF16*CHOOSE(Credit_Assumptions!$D$32,AF30*AF31*(1+Credit_Assumptions!$C$17)^-0.5,(1-Credit_Assumptions!$C$16)*AF31*(1+Credit_Assumptions!$C$17)^-0.5,AF31)+AF17*CHOOSE(Credit_Assumptions!$D$33,AF30*AF31*(1+Credit_Assumptions!$C$17)^-0.5,(1-Credit_Assumptions!$C$16)*AF31*(1+Credit_Assumptions!$C$17)^-0.5,AF31)</f>
        <v/>
      </c>
      <c r="AG32" s="80">
        <f>AG12*CHOOSE(Credit_Assumptions!$D$28,AG30*AG31*(1+Credit_Assumptions!$C$17)^-0.5,(1-Credit_Assumptions!$C$16)*AG31*(1+Credit_Assumptions!$C$17)^-0.5,AG31)+AG13*CHOOSE(Credit_Assumptions!$D$29,AG30*AG31*(1+Credit_Assumptions!$C$17)^-0.5,(1-Credit_Assumptions!$C$16)*AG31*(1+Credit_Assumptions!$C$17)^-0.5,AG31)+AG14*CHOOSE(Credit_Assumptions!$D$30,AG30*AG31*(1+Credit_Assumptions!$C$17)^-0.5,(1-Credit_Assumptions!$C$16)*AG31*(1+Credit_Assumptions!$C$17)^-0.5,AG31)+AG15*CHOOSE(Credit_Assumptions!$D$31,AG30*AG31*(1+Credit_Assumptions!$C$17)^-0.5,(1-Credit_Assumptions!$C$16)*AG31*(1+Credit_Assumptions!$C$17)^-0.5,AG31)+AG16*CHOOSE(Credit_Assumptions!$D$32,AG30*AG31*(1+Credit_Assumptions!$C$17)^-0.5,(1-Credit_Assumptions!$C$16)*AG31*(1+Credit_Assumptions!$C$17)^-0.5,AG31)+AG17*CHOOSE(Credit_Assumptions!$D$33,AG30*AG31*(1+Credit_Assumptions!$C$17)^-0.5,(1-Credit_Assumptions!$C$16)*AG31*(1+Credit_Assumptions!$C$17)^-0.5,AG31)</f>
        <v/>
      </c>
      <c r="AH32" s="80">
        <f>AH12*CHOOSE(Credit_Assumptions!$D$28,AH30*AH31*(1+Credit_Assumptions!$C$17)^-0.5,(1-Credit_Assumptions!$C$16)*AH31*(1+Credit_Assumptions!$C$17)^-0.5,AH31)+AH13*CHOOSE(Credit_Assumptions!$D$29,AH30*AH31*(1+Credit_Assumptions!$C$17)^-0.5,(1-Credit_Assumptions!$C$16)*AH31*(1+Credit_Assumptions!$C$17)^-0.5,AH31)+AH14*CHOOSE(Credit_Assumptions!$D$30,AH30*AH31*(1+Credit_Assumptions!$C$17)^-0.5,(1-Credit_Assumptions!$C$16)*AH31*(1+Credit_Assumptions!$C$17)^-0.5,AH31)+AH15*CHOOSE(Credit_Assumptions!$D$31,AH30*AH31*(1+Credit_Assumptions!$C$17)^-0.5,(1-Credit_Assumptions!$C$16)*AH31*(1+Credit_Assumptions!$C$17)^-0.5,AH31)+AH16*CHOOSE(Credit_Assumptions!$D$32,AH30*AH31*(1+Credit_Assumptions!$C$17)^-0.5,(1-Credit_Assumptions!$C$16)*AH31*(1+Credit_Assumptions!$C$17)^-0.5,AH31)+AH17*CHOOSE(Credit_Assumptions!$D$33,AH30*AH31*(1+Credit_Assumptions!$C$17)^-0.5,(1-Credit_Assumptions!$C$16)*AH31*(1+Credit_Assumptions!$C$17)^-0.5,AH31)</f>
        <v/>
      </c>
      <c r="AI32" s="80">
        <f>AI12*CHOOSE(Credit_Assumptions!$D$28,AI30*AI31*(1+Credit_Assumptions!$C$17)^-0.5,(1-Credit_Assumptions!$C$16)*AI31*(1+Credit_Assumptions!$C$17)^-0.5,AI31)+AI13*CHOOSE(Credit_Assumptions!$D$29,AI30*AI31*(1+Credit_Assumptions!$C$17)^-0.5,(1-Credit_Assumptions!$C$16)*AI31*(1+Credit_Assumptions!$C$17)^-0.5,AI31)+AI14*CHOOSE(Credit_Assumptions!$D$30,AI30*AI31*(1+Credit_Assumptions!$C$17)^-0.5,(1-Credit_Assumptions!$C$16)*AI31*(1+Credit_Assumptions!$C$17)^-0.5,AI31)+AI15*CHOOSE(Credit_Assumptions!$D$31,AI30*AI31*(1+Credit_Assumptions!$C$17)^-0.5,(1-Credit_Assumptions!$C$16)*AI31*(1+Credit_Assumptions!$C$17)^-0.5,AI31)+AI16*CHOOSE(Credit_Assumptions!$D$32,AI30*AI31*(1+Credit_Assumptions!$C$17)^-0.5,(1-Credit_Assumptions!$C$16)*AI31*(1+Credit_Assumptions!$C$17)^-0.5,AI31)+AI17*CHOOSE(Credit_Assumptions!$D$33,AI30*AI31*(1+Credit_Assumptions!$C$17)^-0.5,(1-Credit_Assumptions!$C$16)*AI31*(1+Credit_Assumptions!$C$17)^-0.5,AI31)</f>
        <v/>
      </c>
      <c r="AJ32" s="80">
        <f>AJ12*CHOOSE(Credit_Assumptions!$D$28,AJ30*AJ31*(1+Credit_Assumptions!$C$17)^-0.5,(1-Credit_Assumptions!$C$16)*AJ31*(1+Credit_Assumptions!$C$17)^-0.5,AJ31)+AJ13*CHOOSE(Credit_Assumptions!$D$29,AJ30*AJ31*(1+Credit_Assumptions!$C$17)^-0.5,(1-Credit_Assumptions!$C$16)*AJ31*(1+Credit_Assumptions!$C$17)^-0.5,AJ31)+AJ14*CHOOSE(Credit_Assumptions!$D$30,AJ30*AJ31*(1+Credit_Assumptions!$C$17)^-0.5,(1-Credit_Assumptions!$C$16)*AJ31*(1+Credit_Assumptions!$C$17)^-0.5,AJ31)+AJ15*CHOOSE(Credit_Assumptions!$D$31,AJ30*AJ31*(1+Credit_Assumptions!$C$17)^-0.5,(1-Credit_Assumptions!$C$16)*AJ31*(1+Credit_Assumptions!$C$17)^-0.5,AJ31)+AJ16*CHOOSE(Credit_Assumptions!$D$32,AJ30*AJ31*(1+Credit_Assumptions!$C$17)^-0.5,(1-Credit_Assumptions!$C$16)*AJ31*(1+Credit_Assumptions!$C$17)^-0.5,AJ31)+AJ17*CHOOSE(Credit_Assumptions!$D$33,AJ30*AJ31*(1+Credit_Assumptions!$C$17)^-0.5,(1-Credit_Assumptions!$C$16)*AJ31*(1+Credit_Assumptions!$C$17)^-0.5,AJ31)</f>
        <v/>
      </c>
      <c r="AK32" s="80">
        <f>AK12*CHOOSE(Credit_Assumptions!$D$28,AK30*AK31*(1+Credit_Assumptions!$C$17)^-0.5,(1-Credit_Assumptions!$C$16)*AK31*(1+Credit_Assumptions!$C$17)^-0.5,AK31)+AK13*CHOOSE(Credit_Assumptions!$D$29,AK30*AK31*(1+Credit_Assumptions!$C$17)^-0.5,(1-Credit_Assumptions!$C$16)*AK31*(1+Credit_Assumptions!$C$17)^-0.5,AK31)+AK14*CHOOSE(Credit_Assumptions!$D$30,AK30*AK31*(1+Credit_Assumptions!$C$17)^-0.5,(1-Credit_Assumptions!$C$16)*AK31*(1+Credit_Assumptions!$C$17)^-0.5,AK31)+AK15*CHOOSE(Credit_Assumptions!$D$31,AK30*AK31*(1+Credit_Assumptions!$C$17)^-0.5,(1-Credit_Assumptions!$C$16)*AK31*(1+Credit_Assumptions!$C$17)^-0.5,AK31)+AK16*CHOOSE(Credit_Assumptions!$D$32,AK30*AK31*(1+Credit_Assumptions!$C$17)^-0.5,(1-Credit_Assumptions!$C$16)*AK31*(1+Credit_Assumptions!$C$17)^-0.5,AK31)+AK17*CHOOSE(Credit_Assumptions!$D$33,AK30*AK31*(1+Credit_Assumptions!$C$17)^-0.5,(1-Credit_Assumptions!$C$16)*AK31*(1+Credit_Assumptions!$C$17)^-0.5,AK31)</f>
        <v/>
      </c>
      <c r="AL32" s="80">
        <f>AL12*CHOOSE(Credit_Assumptions!$D$28,AL30*AL31*(1+Credit_Assumptions!$C$17)^-0.5,(1-Credit_Assumptions!$C$16)*AL31*(1+Credit_Assumptions!$C$17)^-0.5,AL31)+AL13*CHOOSE(Credit_Assumptions!$D$29,AL30*AL31*(1+Credit_Assumptions!$C$17)^-0.5,(1-Credit_Assumptions!$C$16)*AL31*(1+Credit_Assumptions!$C$17)^-0.5,AL31)+AL14*CHOOSE(Credit_Assumptions!$D$30,AL30*AL31*(1+Credit_Assumptions!$C$17)^-0.5,(1-Credit_Assumptions!$C$16)*AL31*(1+Credit_Assumptions!$C$17)^-0.5,AL31)+AL15*CHOOSE(Credit_Assumptions!$D$31,AL30*AL31*(1+Credit_Assumptions!$C$17)^-0.5,(1-Credit_Assumptions!$C$16)*AL31*(1+Credit_Assumptions!$C$17)^-0.5,AL31)+AL16*CHOOSE(Credit_Assumptions!$D$32,AL30*AL31*(1+Credit_Assumptions!$C$17)^-0.5,(1-Credit_Assumptions!$C$16)*AL31*(1+Credit_Assumptions!$C$17)^-0.5,AL31)+AL17*CHOOSE(Credit_Assumptions!$D$33,AL30*AL31*(1+Credit_Assumptions!$C$17)^-0.5,(1-Credit_Assumptions!$C$16)*AL31*(1+Credit_Assumptions!$C$17)^-0.5,AL31)</f>
        <v/>
      </c>
      <c r="AM32" s="80">
        <f>AM12*CHOOSE(Credit_Assumptions!$D$28,AM30*AM31*(1+Credit_Assumptions!$C$17)^-0.5,(1-Credit_Assumptions!$C$16)*AM31*(1+Credit_Assumptions!$C$17)^-0.5,AM31)+AM13*CHOOSE(Credit_Assumptions!$D$29,AM30*AM31*(1+Credit_Assumptions!$C$17)^-0.5,(1-Credit_Assumptions!$C$16)*AM31*(1+Credit_Assumptions!$C$17)^-0.5,AM31)+AM14*CHOOSE(Credit_Assumptions!$D$30,AM30*AM31*(1+Credit_Assumptions!$C$17)^-0.5,(1-Credit_Assumptions!$C$16)*AM31*(1+Credit_Assumptions!$C$17)^-0.5,AM31)+AM15*CHOOSE(Credit_Assumptions!$D$31,AM30*AM31*(1+Credit_Assumptions!$C$17)^-0.5,(1-Credit_Assumptions!$C$16)*AM31*(1+Credit_Assumptions!$C$17)^-0.5,AM31)+AM16*CHOOSE(Credit_Assumptions!$D$32,AM30*AM31*(1+Credit_Assumptions!$C$17)^-0.5,(1-Credit_Assumptions!$C$16)*AM31*(1+Credit_Assumptions!$C$17)^-0.5,AM31)+AM17*CHOOSE(Credit_Assumptions!$D$33,AM30*AM31*(1+Credit_Assumptions!$C$17)^-0.5,(1-Credit_Assumptions!$C$16)*AM31*(1+Credit_Assumptions!$C$17)^-0.5,AM31)</f>
        <v/>
      </c>
      <c r="AN32" s="80">
        <f>AN12*CHOOSE(Credit_Assumptions!$D$28,AN30*AN31*(1+Credit_Assumptions!$C$17)^-0.5,(1-Credit_Assumptions!$C$16)*AN31*(1+Credit_Assumptions!$C$17)^-0.5,AN31)+AN13*CHOOSE(Credit_Assumptions!$D$29,AN30*AN31*(1+Credit_Assumptions!$C$17)^-0.5,(1-Credit_Assumptions!$C$16)*AN31*(1+Credit_Assumptions!$C$17)^-0.5,AN31)+AN14*CHOOSE(Credit_Assumptions!$D$30,AN30*AN31*(1+Credit_Assumptions!$C$17)^-0.5,(1-Credit_Assumptions!$C$16)*AN31*(1+Credit_Assumptions!$C$17)^-0.5,AN31)+AN15*CHOOSE(Credit_Assumptions!$D$31,AN30*AN31*(1+Credit_Assumptions!$C$17)^-0.5,(1-Credit_Assumptions!$C$16)*AN31*(1+Credit_Assumptions!$C$17)^-0.5,AN31)+AN16*CHOOSE(Credit_Assumptions!$D$32,AN30*AN31*(1+Credit_Assumptions!$C$17)^-0.5,(1-Credit_Assumptions!$C$16)*AN31*(1+Credit_Assumptions!$C$17)^-0.5,AN31)+AN17*CHOOSE(Credit_Assumptions!$D$33,AN30*AN31*(1+Credit_Assumptions!$C$17)^-0.5,(1-Credit_Assumptions!$C$16)*AN31*(1+Credit_Assumptions!$C$17)^-0.5,AN31)</f>
        <v/>
      </c>
      <c r="AO32" s="80">
        <f>AO12*CHOOSE(Credit_Assumptions!$D$28,AO30*AO31*(1+Credit_Assumptions!$C$17)^-0.5,(1-Credit_Assumptions!$C$16)*AO31*(1+Credit_Assumptions!$C$17)^-0.5,AO31)+AO13*CHOOSE(Credit_Assumptions!$D$29,AO30*AO31*(1+Credit_Assumptions!$C$17)^-0.5,(1-Credit_Assumptions!$C$16)*AO31*(1+Credit_Assumptions!$C$17)^-0.5,AO31)+AO14*CHOOSE(Credit_Assumptions!$D$30,AO30*AO31*(1+Credit_Assumptions!$C$17)^-0.5,(1-Credit_Assumptions!$C$16)*AO31*(1+Credit_Assumptions!$C$17)^-0.5,AO31)+AO15*CHOOSE(Credit_Assumptions!$D$31,AO30*AO31*(1+Credit_Assumptions!$C$17)^-0.5,(1-Credit_Assumptions!$C$16)*AO31*(1+Credit_Assumptions!$C$17)^-0.5,AO31)+AO16*CHOOSE(Credit_Assumptions!$D$32,AO30*AO31*(1+Credit_Assumptions!$C$17)^-0.5,(1-Credit_Assumptions!$C$16)*AO31*(1+Credit_Assumptions!$C$17)^-0.5,AO31)+AO17*CHOOSE(Credit_Assumptions!$D$33,AO30*AO31*(1+Credit_Assumptions!$C$17)^-0.5,(1-Credit_Assumptions!$C$16)*AO31*(1+Credit_Assumptions!$C$17)^-0.5,AO31)</f>
        <v/>
      </c>
      <c r="AP32" s="80">
        <f>AP12*CHOOSE(Credit_Assumptions!$D$28,AP30*AP31*(1+Credit_Assumptions!$C$17)^-0.5,(1-Credit_Assumptions!$C$16)*AP31*(1+Credit_Assumptions!$C$17)^-0.5,AP31)+AP13*CHOOSE(Credit_Assumptions!$D$29,AP30*AP31*(1+Credit_Assumptions!$C$17)^-0.5,(1-Credit_Assumptions!$C$16)*AP31*(1+Credit_Assumptions!$C$17)^-0.5,AP31)+AP14*CHOOSE(Credit_Assumptions!$D$30,AP30*AP31*(1+Credit_Assumptions!$C$17)^-0.5,(1-Credit_Assumptions!$C$16)*AP31*(1+Credit_Assumptions!$C$17)^-0.5,AP31)+AP15*CHOOSE(Credit_Assumptions!$D$31,AP30*AP31*(1+Credit_Assumptions!$C$17)^-0.5,(1-Credit_Assumptions!$C$16)*AP31*(1+Credit_Assumptions!$C$17)^-0.5,AP31)+AP16*CHOOSE(Credit_Assumptions!$D$32,AP30*AP31*(1+Credit_Assumptions!$C$17)^-0.5,(1-Credit_Assumptions!$C$16)*AP31*(1+Credit_Assumptions!$C$17)^-0.5,AP31)+AP17*CHOOSE(Credit_Assumptions!$D$33,AP30*AP31*(1+Credit_Assumptions!$C$17)^-0.5,(1-Credit_Assumptions!$C$16)*AP31*(1+Credit_Assumptions!$C$17)^-0.5,AP31)</f>
        <v/>
      </c>
      <c r="AQ32" s="80">
        <f>AQ12*CHOOSE(Credit_Assumptions!$D$28,AQ30*AQ31*(1+Credit_Assumptions!$C$17)^-0.5,(1-Credit_Assumptions!$C$16)*AQ31*(1+Credit_Assumptions!$C$17)^-0.5,AQ31)+AQ13*CHOOSE(Credit_Assumptions!$D$29,AQ30*AQ31*(1+Credit_Assumptions!$C$17)^-0.5,(1-Credit_Assumptions!$C$16)*AQ31*(1+Credit_Assumptions!$C$17)^-0.5,AQ31)+AQ14*CHOOSE(Credit_Assumptions!$D$30,AQ30*AQ31*(1+Credit_Assumptions!$C$17)^-0.5,(1-Credit_Assumptions!$C$16)*AQ31*(1+Credit_Assumptions!$C$17)^-0.5,AQ31)+AQ15*CHOOSE(Credit_Assumptions!$D$31,AQ30*AQ31*(1+Credit_Assumptions!$C$17)^-0.5,(1-Credit_Assumptions!$C$16)*AQ31*(1+Credit_Assumptions!$C$17)^-0.5,AQ31)+AQ16*CHOOSE(Credit_Assumptions!$D$32,AQ30*AQ31*(1+Credit_Assumptions!$C$17)^-0.5,(1-Credit_Assumptions!$C$16)*AQ31*(1+Credit_Assumptions!$C$17)^-0.5,AQ31)+AQ17*CHOOSE(Credit_Assumptions!$D$33,AQ30*AQ31*(1+Credit_Assumptions!$C$17)^-0.5,(1-Credit_Assumptions!$C$16)*AQ31*(1+Credit_Assumptions!$C$17)^-0.5,AQ31)</f>
        <v/>
      </c>
      <c r="AR32" s="80">
        <f>AR12*CHOOSE(Credit_Assumptions!$D$28,AR30*AR31*(1+Credit_Assumptions!$C$17)^-0.5,(1-Credit_Assumptions!$C$16)*AR31*(1+Credit_Assumptions!$C$17)^-0.5,AR31)+AR13*CHOOSE(Credit_Assumptions!$D$29,AR30*AR31*(1+Credit_Assumptions!$C$17)^-0.5,(1-Credit_Assumptions!$C$16)*AR31*(1+Credit_Assumptions!$C$17)^-0.5,AR31)+AR14*CHOOSE(Credit_Assumptions!$D$30,AR30*AR31*(1+Credit_Assumptions!$C$17)^-0.5,(1-Credit_Assumptions!$C$16)*AR31*(1+Credit_Assumptions!$C$17)^-0.5,AR31)+AR15*CHOOSE(Credit_Assumptions!$D$31,AR30*AR31*(1+Credit_Assumptions!$C$17)^-0.5,(1-Credit_Assumptions!$C$16)*AR31*(1+Credit_Assumptions!$C$17)^-0.5,AR31)+AR16*CHOOSE(Credit_Assumptions!$D$32,AR30*AR31*(1+Credit_Assumptions!$C$17)^-0.5,(1-Credit_Assumptions!$C$16)*AR31*(1+Credit_Assumptions!$C$17)^-0.5,AR31)+AR17*CHOOSE(Credit_Assumptions!$D$33,AR30*AR31*(1+Credit_Assumptions!$C$17)^-0.5,(1-Credit_Assumptions!$C$16)*AR31*(1+Credit_Assumptions!$C$17)^-0.5,AR31)</f>
        <v/>
      </c>
      <c r="AS32" s="80">
        <f>AS12*CHOOSE(Credit_Assumptions!$D$28,AS30*AS31*(1+Credit_Assumptions!$C$17)^-0.5,(1-Credit_Assumptions!$C$16)*AS31*(1+Credit_Assumptions!$C$17)^-0.5,AS31)+AS13*CHOOSE(Credit_Assumptions!$D$29,AS30*AS31*(1+Credit_Assumptions!$C$17)^-0.5,(1-Credit_Assumptions!$C$16)*AS31*(1+Credit_Assumptions!$C$17)^-0.5,AS31)+AS14*CHOOSE(Credit_Assumptions!$D$30,AS30*AS31*(1+Credit_Assumptions!$C$17)^-0.5,(1-Credit_Assumptions!$C$16)*AS31*(1+Credit_Assumptions!$C$17)^-0.5,AS31)+AS15*CHOOSE(Credit_Assumptions!$D$31,AS30*AS31*(1+Credit_Assumptions!$C$17)^-0.5,(1-Credit_Assumptions!$C$16)*AS31*(1+Credit_Assumptions!$C$17)^-0.5,AS31)+AS16*CHOOSE(Credit_Assumptions!$D$32,AS30*AS31*(1+Credit_Assumptions!$C$17)^-0.5,(1-Credit_Assumptions!$C$16)*AS31*(1+Credit_Assumptions!$C$17)^-0.5,AS31)+AS17*CHOOSE(Credit_Assumptions!$D$33,AS30*AS31*(1+Credit_Assumptions!$C$17)^-0.5,(1-Credit_Assumptions!$C$16)*AS31*(1+Credit_Assumptions!$C$17)^-0.5,AS31)</f>
        <v/>
      </c>
      <c r="AT32" s="80">
        <f>AT12*CHOOSE(Credit_Assumptions!$D$28,AT30*AT31*(1+Credit_Assumptions!$C$17)^-0.5,(1-Credit_Assumptions!$C$16)*AT31*(1+Credit_Assumptions!$C$17)^-0.5,AT31)+AT13*CHOOSE(Credit_Assumptions!$D$29,AT30*AT31*(1+Credit_Assumptions!$C$17)^-0.5,(1-Credit_Assumptions!$C$16)*AT31*(1+Credit_Assumptions!$C$17)^-0.5,AT31)+AT14*CHOOSE(Credit_Assumptions!$D$30,AT30*AT31*(1+Credit_Assumptions!$C$17)^-0.5,(1-Credit_Assumptions!$C$16)*AT31*(1+Credit_Assumptions!$C$17)^-0.5,AT31)+AT15*CHOOSE(Credit_Assumptions!$D$31,AT30*AT31*(1+Credit_Assumptions!$C$17)^-0.5,(1-Credit_Assumptions!$C$16)*AT31*(1+Credit_Assumptions!$C$17)^-0.5,AT31)+AT16*CHOOSE(Credit_Assumptions!$D$32,AT30*AT31*(1+Credit_Assumptions!$C$17)^-0.5,(1-Credit_Assumptions!$C$16)*AT31*(1+Credit_Assumptions!$C$17)^-0.5,AT31)+AT17*CHOOSE(Credit_Assumptions!$D$33,AT30*AT31*(1+Credit_Assumptions!$C$17)^-0.5,(1-Credit_Assumptions!$C$16)*AT31*(1+Credit_Assumptions!$C$17)^-0.5,AT31)</f>
        <v/>
      </c>
      <c r="AU32" s="80">
        <f>AU12*CHOOSE(Credit_Assumptions!$D$28,AU30*AU31*(1+Credit_Assumptions!$C$17)^-0.5,(1-Credit_Assumptions!$C$16)*AU31*(1+Credit_Assumptions!$C$17)^-0.5,AU31)+AU13*CHOOSE(Credit_Assumptions!$D$29,AU30*AU31*(1+Credit_Assumptions!$C$17)^-0.5,(1-Credit_Assumptions!$C$16)*AU31*(1+Credit_Assumptions!$C$17)^-0.5,AU31)+AU14*CHOOSE(Credit_Assumptions!$D$30,AU30*AU31*(1+Credit_Assumptions!$C$17)^-0.5,(1-Credit_Assumptions!$C$16)*AU31*(1+Credit_Assumptions!$C$17)^-0.5,AU31)+AU15*CHOOSE(Credit_Assumptions!$D$31,AU30*AU31*(1+Credit_Assumptions!$C$17)^-0.5,(1-Credit_Assumptions!$C$16)*AU31*(1+Credit_Assumptions!$C$17)^-0.5,AU31)+AU16*CHOOSE(Credit_Assumptions!$D$32,AU30*AU31*(1+Credit_Assumptions!$C$17)^-0.5,(1-Credit_Assumptions!$C$16)*AU31*(1+Credit_Assumptions!$C$17)^-0.5,AU31)+AU17*CHOOSE(Credit_Assumptions!$D$33,AU30*AU31*(1+Credit_Assumptions!$C$17)^-0.5,(1-Credit_Assumptions!$C$16)*AU31*(1+Credit_Assumptions!$C$17)^-0.5,AU31)</f>
        <v/>
      </c>
      <c r="AV32" s="80">
        <f>AV12*CHOOSE(Credit_Assumptions!$D$28,AV30*AV31*(1+Credit_Assumptions!$C$17)^-0.5,(1-Credit_Assumptions!$C$16)*AV31*(1+Credit_Assumptions!$C$17)^-0.5,AV31)+AV13*CHOOSE(Credit_Assumptions!$D$29,AV30*AV31*(1+Credit_Assumptions!$C$17)^-0.5,(1-Credit_Assumptions!$C$16)*AV31*(1+Credit_Assumptions!$C$17)^-0.5,AV31)+AV14*CHOOSE(Credit_Assumptions!$D$30,AV30*AV31*(1+Credit_Assumptions!$C$17)^-0.5,(1-Credit_Assumptions!$C$16)*AV31*(1+Credit_Assumptions!$C$17)^-0.5,AV31)+AV15*CHOOSE(Credit_Assumptions!$D$31,AV30*AV31*(1+Credit_Assumptions!$C$17)^-0.5,(1-Credit_Assumptions!$C$16)*AV31*(1+Credit_Assumptions!$C$17)^-0.5,AV31)+AV16*CHOOSE(Credit_Assumptions!$D$32,AV30*AV31*(1+Credit_Assumptions!$C$17)^-0.5,(1-Credit_Assumptions!$C$16)*AV31*(1+Credit_Assumptions!$C$17)^-0.5,AV31)+AV17*CHOOSE(Credit_Assumptions!$D$33,AV30*AV31*(1+Credit_Assumptions!$C$17)^-0.5,(1-Credit_Assumptions!$C$16)*AV31*(1+Credit_Assumptions!$C$17)^-0.5,AV31)</f>
        <v/>
      </c>
      <c r="AW32" s="80">
        <f>AW12*CHOOSE(Credit_Assumptions!$D$28,AW30*AW31*(1+Credit_Assumptions!$C$17)^-0.5,(1-Credit_Assumptions!$C$16)*AW31*(1+Credit_Assumptions!$C$17)^-0.5,AW31)+AW13*CHOOSE(Credit_Assumptions!$D$29,AW30*AW31*(1+Credit_Assumptions!$C$17)^-0.5,(1-Credit_Assumptions!$C$16)*AW31*(1+Credit_Assumptions!$C$17)^-0.5,AW31)+AW14*CHOOSE(Credit_Assumptions!$D$30,AW30*AW31*(1+Credit_Assumptions!$C$17)^-0.5,(1-Credit_Assumptions!$C$16)*AW31*(1+Credit_Assumptions!$C$17)^-0.5,AW31)+AW15*CHOOSE(Credit_Assumptions!$D$31,AW30*AW31*(1+Credit_Assumptions!$C$17)^-0.5,(1-Credit_Assumptions!$C$16)*AW31*(1+Credit_Assumptions!$C$17)^-0.5,AW31)+AW16*CHOOSE(Credit_Assumptions!$D$32,AW30*AW31*(1+Credit_Assumptions!$C$17)^-0.5,(1-Credit_Assumptions!$C$16)*AW31*(1+Credit_Assumptions!$C$17)^-0.5,AW31)+AW17*CHOOSE(Credit_Assumptions!$D$33,AW30*AW31*(1+Credit_Assumptions!$C$17)^-0.5,(1-Credit_Assumptions!$C$16)*AW31*(1+Credit_Assumptions!$C$17)^-0.5,AW31)</f>
        <v/>
      </c>
      <c r="AX32" s="80">
        <f>AX12*CHOOSE(Credit_Assumptions!$D$28,AX30*AX31*(1+Credit_Assumptions!$C$17)^-0.5,(1-Credit_Assumptions!$C$16)*AX31*(1+Credit_Assumptions!$C$17)^-0.5,AX31)+AX13*CHOOSE(Credit_Assumptions!$D$29,AX30*AX31*(1+Credit_Assumptions!$C$17)^-0.5,(1-Credit_Assumptions!$C$16)*AX31*(1+Credit_Assumptions!$C$17)^-0.5,AX31)+AX14*CHOOSE(Credit_Assumptions!$D$30,AX30*AX31*(1+Credit_Assumptions!$C$17)^-0.5,(1-Credit_Assumptions!$C$16)*AX31*(1+Credit_Assumptions!$C$17)^-0.5,AX31)+AX15*CHOOSE(Credit_Assumptions!$D$31,AX30*AX31*(1+Credit_Assumptions!$C$17)^-0.5,(1-Credit_Assumptions!$C$16)*AX31*(1+Credit_Assumptions!$C$17)^-0.5,AX31)+AX16*CHOOSE(Credit_Assumptions!$D$32,AX30*AX31*(1+Credit_Assumptions!$C$17)^-0.5,(1-Credit_Assumptions!$C$16)*AX31*(1+Credit_Assumptions!$C$17)^-0.5,AX31)+AX17*CHOOSE(Credit_Assumptions!$D$33,AX30*AX31*(1+Credit_Assumptions!$C$17)^-0.5,(1-Credit_Assumptions!$C$16)*AX31*(1+Credit_Assumptions!$C$17)^-0.5,AX31)</f>
        <v/>
      </c>
      <c r="AY32" s="80">
        <f>AY12*CHOOSE(Credit_Assumptions!$D$28,AY30*AY31*(1+Credit_Assumptions!$C$17)^-0.5,(1-Credit_Assumptions!$C$16)*AY31*(1+Credit_Assumptions!$C$17)^-0.5,AY31)+AY13*CHOOSE(Credit_Assumptions!$D$29,AY30*AY31*(1+Credit_Assumptions!$C$17)^-0.5,(1-Credit_Assumptions!$C$16)*AY31*(1+Credit_Assumptions!$C$17)^-0.5,AY31)+AY14*CHOOSE(Credit_Assumptions!$D$30,AY30*AY31*(1+Credit_Assumptions!$C$17)^-0.5,(1-Credit_Assumptions!$C$16)*AY31*(1+Credit_Assumptions!$C$17)^-0.5,AY31)+AY15*CHOOSE(Credit_Assumptions!$D$31,AY30*AY31*(1+Credit_Assumptions!$C$17)^-0.5,(1-Credit_Assumptions!$C$16)*AY31*(1+Credit_Assumptions!$C$17)^-0.5,AY31)+AY16*CHOOSE(Credit_Assumptions!$D$32,AY30*AY31*(1+Credit_Assumptions!$C$17)^-0.5,(1-Credit_Assumptions!$C$16)*AY31*(1+Credit_Assumptions!$C$17)^-0.5,AY31)+AY17*CHOOSE(Credit_Assumptions!$D$33,AY30*AY31*(1+Credit_Assumptions!$C$17)^-0.5,(1-Credit_Assumptions!$C$16)*AY31*(1+Credit_Assumptions!$C$17)^-0.5,AY31)</f>
        <v/>
      </c>
      <c r="AZ32" s="80">
        <f>AZ12*CHOOSE(Credit_Assumptions!$D$28,AZ30*AZ31*(1+Credit_Assumptions!$C$17)^-0.5,(1-Credit_Assumptions!$C$16)*AZ31*(1+Credit_Assumptions!$C$17)^-0.5,AZ31)+AZ13*CHOOSE(Credit_Assumptions!$D$29,AZ30*AZ31*(1+Credit_Assumptions!$C$17)^-0.5,(1-Credit_Assumptions!$C$16)*AZ31*(1+Credit_Assumptions!$C$17)^-0.5,AZ31)+AZ14*CHOOSE(Credit_Assumptions!$D$30,AZ30*AZ31*(1+Credit_Assumptions!$C$17)^-0.5,(1-Credit_Assumptions!$C$16)*AZ31*(1+Credit_Assumptions!$C$17)^-0.5,AZ31)+AZ15*CHOOSE(Credit_Assumptions!$D$31,AZ30*AZ31*(1+Credit_Assumptions!$C$17)^-0.5,(1-Credit_Assumptions!$C$16)*AZ31*(1+Credit_Assumptions!$C$17)^-0.5,AZ31)+AZ16*CHOOSE(Credit_Assumptions!$D$32,AZ30*AZ31*(1+Credit_Assumptions!$C$17)^-0.5,(1-Credit_Assumptions!$C$16)*AZ31*(1+Credit_Assumptions!$C$17)^-0.5,AZ31)+AZ17*CHOOSE(Credit_Assumptions!$D$33,AZ30*AZ31*(1+Credit_Assumptions!$C$17)^-0.5,(1-Credit_Assumptions!$C$16)*AZ31*(1+Credit_Assumptions!$C$17)^-0.5,AZ31)</f>
        <v/>
      </c>
      <c r="BA32" s="80">
        <f>BA12*CHOOSE(Credit_Assumptions!$D$28,BA30*BA31*(1+Credit_Assumptions!$C$17)^-0.5,(1-Credit_Assumptions!$C$16)*BA31*(1+Credit_Assumptions!$C$17)^-0.5,BA31)+BA13*CHOOSE(Credit_Assumptions!$D$29,BA30*BA31*(1+Credit_Assumptions!$C$17)^-0.5,(1-Credit_Assumptions!$C$16)*BA31*(1+Credit_Assumptions!$C$17)^-0.5,BA31)+BA14*CHOOSE(Credit_Assumptions!$D$30,BA30*BA31*(1+Credit_Assumptions!$C$17)^-0.5,(1-Credit_Assumptions!$C$16)*BA31*(1+Credit_Assumptions!$C$17)^-0.5,BA31)+BA15*CHOOSE(Credit_Assumptions!$D$31,BA30*BA31*(1+Credit_Assumptions!$C$17)^-0.5,(1-Credit_Assumptions!$C$16)*BA31*(1+Credit_Assumptions!$C$17)^-0.5,BA31)+BA16*CHOOSE(Credit_Assumptions!$D$32,BA30*BA31*(1+Credit_Assumptions!$C$17)^-0.5,(1-Credit_Assumptions!$C$16)*BA31*(1+Credit_Assumptions!$C$17)^-0.5,BA31)+BA17*CHOOSE(Credit_Assumptions!$D$33,BA30*BA31*(1+Credit_Assumptions!$C$17)^-0.5,(1-Credit_Assumptions!$C$16)*BA31*(1+Credit_Assumptions!$C$17)^-0.5,BA31)</f>
        <v/>
      </c>
      <c r="BB32" s="80">
        <f>BB12*CHOOSE(Credit_Assumptions!$D$28,BB30*BB31*(1+Credit_Assumptions!$C$17)^-0.5,(1-Credit_Assumptions!$C$16)*BB31*(1+Credit_Assumptions!$C$17)^-0.5,BB31)+BB13*CHOOSE(Credit_Assumptions!$D$29,BB30*BB31*(1+Credit_Assumptions!$C$17)^-0.5,(1-Credit_Assumptions!$C$16)*BB31*(1+Credit_Assumptions!$C$17)^-0.5,BB31)+BB14*CHOOSE(Credit_Assumptions!$D$30,BB30*BB31*(1+Credit_Assumptions!$C$17)^-0.5,(1-Credit_Assumptions!$C$16)*BB31*(1+Credit_Assumptions!$C$17)^-0.5,BB31)+BB15*CHOOSE(Credit_Assumptions!$D$31,BB30*BB31*(1+Credit_Assumptions!$C$17)^-0.5,(1-Credit_Assumptions!$C$16)*BB31*(1+Credit_Assumptions!$C$17)^-0.5,BB31)+BB16*CHOOSE(Credit_Assumptions!$D$32,BB30*BB31*(1+Credit_Assumptions!$C$17)^-0.5,(1-Credit_Assumptions!$C$16)*BB31*(1+Credit_Assumptions!$C$17)^-0.5,BB31)+BB17*CHOOSE(Credit_Assumptions!$D$33,BB30*BB31*(1+Credit_Assumptions!$C$17)^-0.5,(1-Credit_Assumptions!$C$16)*BB31*(1+Credit_Assumptions!$C$17)^-0.5,BB31)</f>
        <v/>
      </c>
      <c r="BC32" s="80">
        <f>BC12*CHOOSE(Credit_Assumptions!$D$28,BC30*BC31*(1+Credit_Assumptions!$C$17)^-0.5,(1-Credit_Assumptions!$C$16)*BC31*(1+Credit_Assumptions!$C$17)^-0.5,BC31)+BC13*CHOOSE(Credit_Assumptions!$D$29,BC30*BC31*(1+Credit_Assumptions!$C$17)^-0.5,(1-Credit_Assumptions!$C$16)*BC31*(1+Credit_Assumptions!$C$17)^-0.5,BC31)+BC14*CHOOSE(Credit_Assumptions!$D$30,BC30*BC31*(1+Credit_Assumptions!$C$17)^-0.5,(1-Credit_Assumptions!$C$16)*BC31*(1+Credit_Assumptions!$C$17)^-0.5,BC31)+BC15*CHOOSE(Credit_Assumptions!$D$31,BC30*BC31*(1+Credit_Assumptions!$C$17)^-0.5,(1-Credit_Assumptions!$C$16)*BC31*(1+Credit_Assumptions!$C$17)^-0.5,BC31)+BC16*CHOOSE(Credit_Assumptions!$D$32,BC30*BC31*(1+Credit_Assumptions!$C$17)^-0.5,(1-Credit_Assumptions!$C$16)*BC31*(1+Credit_Assumptions!$C$17)^-0.5,BC31)+BC17*CHOOSE(Credit_Assumptions!$D$33,BC30*BC31*(1+Credit_Assumptions!$C$17)^-0.5,(1-Credit_Assumptions!$C$16)*BC31*(1+Credit_Assumptions!$C$17)^-0.5,BC31)</f>
        <v/>
      </c>
      <c r="BD32" s="80">
        <f>BD12*CHOOSE(Credit_Assumptions!$D$28,BD30*BD31*(1+Credit_Assumptions!$C$17)^-0.5,(1-Credit_Assumptions!$C$16)*BD31*(1+Credit_Assumptions!$C$17)^-0.5,BD31)+BD13*CHOOSE(Credit_Assumptions!$D$29,BD30*BD31*(1+Credit_Assumptions!$C$17)^-0.5,(1-Credit_Assumptions!$C$16)*BD31*(1+Credit_Assumptions!$C$17)^-0.5,BD31)+BD14*CHOOSE(Credit_Assumptions!$D$30,BD30*BD31*(1+Credit_Assumptions!$C$17)^-0.5,(1-Credit_Assumptions!$C$16)*BD31*(1+Credit_Assumptions!$C$17)^-0.5,BD31)+BD15*CHOOSE(Credit_Assumptions!$D$31,BD30*BD31*(1+Credit_Assumptions!$C$17)^-0.5,(1-Credit_Assumptions!$C$16)*BD31*(1+Credit_Assumptions!$C$17)^-0.5,BD31)+BD16*CHOOSE(Credit_Assumptions!$D$32,BD30*BD31*(1+Credit_Assumptions!$C$17)^-0.5,(1-Credit_Assumptions!$C$16)*BD31*(1+Credit_Assumptions!$C$17)^-0.5,BD31)+BD17*CHOOSE(Credit_Assumptions!$D$33,BD30*BD31*(1+Credit_Assumptions!$C$17)^-0.5,(1-Credit_Assumptions!$C$16)*BD31*(1+Credit_Assumptions!$C$17)^-0.5,BD31)</f>
        <v/>
      </c>
      <c r="BE32" s="80">
        <f>BE12*CHOOSE(Credit_Assumptions!$D$28,BE30*BE31*(1+Credit_Assumptions!$C$17)^-0.5,(1-Credit_Assumptions!$C$16)*BE31*(1+Credit_Assumptions!$C$17)^-0.5,BE31)+BE13*CHOOSE(Credit_Assumptions!$D$29,BE30*BE31*(1+Credit_Assumptions!$C$17)^-0.5,(1-Credit_Assumptions!$C$16)*BE31*(1+Credit_Assumptions!$C$17)^-0.5,BE31)+BE14*CHOOSE(Credit_Assumptions!$D$30,BE30*BE31*(1+Credit_Assumptions!$C$17)^-0.5,(1-Credit_Assumptions!$C$16)*BE31*(1+Credit_Assumptions!$C$17)^-0.5,BE31)+BE15*CHOOSE(Credit_Assumptions!$D$31,BE30*BE31*(1+Credit_Assumptions!$C$17)^-0.5,(1-Credit_Assumptions!$C$16)*BE31*(1+Credit_Assumptions!$C$17)^-0.5,BE31)+BE16*CHOOSE(Credit_Assumptions!$D$32,BE30*BE31*(1+Credit_Assumptions!$C$17)^-0.5,(1-Credit_Assumptions!$C$16)*BE31*(1+Credit_Assumptions!$C$17)^-0.5,BE31)+BE17*CHOOSE(Credit_Assumptions!$D$33,BE30*BE31*(1+Credit_Assumptions!$C$17)^-0.5,(1-Credit_Assumptions!$C$16)*BE31*(1+Credit_Assumptions!$C$17)^-0.5,BE31)</f>
        <v/>
      </c>
      <c r="BF32" s="80">
        <f>BF12*CHOOSE(Credit_Assumptions!$D$28,BF30*BF31*(1+Credit_Assumptions!$C$17)^-0.5,(1-Credit_Assumptions!$C$16)*BF31*(1+Credit_Assumptions!$C$17)^-0.5,BF31)+BF13*CHOOSE(Credit_Assumptions!$D$29,BF30*BF31*(1+Credit_Assumptions!$C$17)^-0.5,(1-Credit_Assumptions!$C$16)*BF31*(1+Credit_Assumptions!$C$17)^-0.5,BF31)+BF14*CHOOSE(Credit_Assumptions!$D$30,BF30*BF31*(1+Credit_Assumptions!$C$17)^-0.5,(1-Credit_Assumptions!$C$16)*BF31*(1+Credit_Assumptions!$C$17)^-0.5,BF31)+BF15*CHOOSE(Credit_Assumptions!$D$31,BF30*BF31*(1+Credit_Assumptions!$C$17)^-0.5,(1-Credit_Assumptions!$C$16)*BF31*(1+Credit_Assumptions!$C$17)^-0.5,BF31)+BF16*CHOOSE(Credit_Assumptions!$D$32,BF30*BF31*(1+Credit_Assumptions!$C$17)^-0.5,(1-Credit_Assumptions!$C$16)*BF31*(1+Credit_Assumptions!$C$17)^-0.5,BF31)+BF17*CHOOSE(Credit_Assumptions!$D$33,BF30*BF31*(1+Credit_Assumptions!$C$17)^-0.5,(1-Credit_Assumptions!$C$16)*BF31*(1+Credit_Assumptions!$C$17)^-0.5,BF31)</f>
        <v/>
      </c>
      <c r="BG32" s="80">
        <f>BG12*CHOOSE(Credit_Assumptions!$D$28,BG30*BG31*(1+Credit_Assumptions!$C$17)^-0.5,(1-Credit_Assumptions!$C$16)*BG31*(1+Credit_Assumptions!$C$17)^-0.5,BG31)+BG13*CHOOSE(Credit_Assumptions!$D$29,BG30*BG31*(1+Credit_Assumptions!$C$17)^-0.5,(1-Credit_Assumptions!$C$16)*BG31*(1+Credit_Assumptions!$C$17)^-0.5,BG31)+BG14*CHOOSE(Credit_Assumptions!$D$30,BG30*BG31*(1+Credit_Assumptions!$C$17)^-0.5,(1-Credit_Assumptions!$C$16)*BG31*(1+Credit_Assumptions!$C$17)^-0.5,BG31)+BG15*CHOOSE(Credit_Assumptions!$D$31,BG30*BG31*(1+Credit_Assumptions!$C$17)^-0.5,(1-Credit_Assumptions!$C$16)*BG31*(1+Credit_Assumptions!$C$17)^-0.5,BG31)+BG16*CHOOSE(Credit_Assumptions!$D$32,BG30*BG31*(1+Credit_Assumptions!$C$17)^-0.5,(1-Credit_Assumptions!$C$16)*BG31*(1+Credit_Assumptions!$C$17)^-0.5,BG31)+BG17*CHOOSE(Credit_Assumptions!$D$33,BG30*BG31*(1+Credit_Assumptions!$C$17)^-0.5,(1-Credit_Assumptions!$C$16)*BG31*(1+Credit_Assumptions!$C$17)^-0.5,BG31)</f>
        <v/>
      </c>
      <c r="BH32" s="80">
        <f>BH12*CHOOSE(Credit_Assumptions!$D$28,BH30*BH31*(1+Credit_Assumptions!$C$17)^-0.5,(1-Credit_Assumptions!$C$16)*BH31*(1+Credit_Assumptions!$C$17)^-0.5,BH31)+BH13*CHOOSE(Credit_Assumptions!$D$29,BH30*BH31*(1+Credit_Assumptions!$C$17)^-0.5,(1-Credit_Assumptions!$C$16)*BH31*(1+Credit_Assumptions!$C$17)^-0.5,BH31)+BH14*CHOOSE(Credit_Assumptions!$D$30,BH30*BH31*(1+Credit_Assumptions!$C$17)^-0.5,(1-Credit_Assumptions!$C$16)*BH31*(1+Credit_Assumptions!$C$17)^-0.5,BH31)+BH15*CHOOSE(Credit_Assumptions!$D$31,BH30*BH31*(1+Credit_Assumptions!$C$17)^-0.5,(1-Credit_Assumptions!$C$16)*BH31*(1+Credit_Assumptions!$C$17)^-0.5,BH31)+BH16*CHOOSE(Credit_Assumptions!$D$32,BH30*BH31*(1+Credit_Assumptions!$C$17)^-0.5,(1-Credit_Assumptions!$C$16)*BH31*(1+Credit_Assumptions!$C$17)^-0.5,BH31)+BH17*CHOOSE(Credit_Assumptions!$D$33,BH30*BH31*(1+Credit_Assumptions!$C$17)^-0.5,(1-Credit_Assumptions!$C$16)*BH31*(1+Credit_Assumptions!$C$17)^-0.5,BH31)</f>
        <v/>
      </c>
      <c r="BI32" s="80">
        <f>BI12*CHOOSE(Credit_Assumptions!$D$28,BI30*BI31*(1+Credit_Assumptions!$C$17)^-0.5,(1-Credit_Assumptions!$C$16)*BI31*(1+Credit_Assumptions!$C$17)^-0.5,BI31)+BI13*CHOOSE(Credit_Assumptions!$D$29,BI30*BI31*(1+Credit_Assumptions!$C$17)^-0.5,(1-Credit_Assumptions!$C$16)*BI31*(1+Credit_Assumptions!$C$17)^-0.5,BI31)+BI14*CHOOSE(Credit_Assumptions!$D$30,BI30*BI31*(1+Credit_Assumptions!$C$17)^-0.5,(1-Credit_Assumptions!$C$16)*BI31*(1+Credit_Assumptions!$C$17)^-0.5,BI31)+BI15*CHOOSE(Credit_Assumptions!$D$31,BI30*BI31*(1+Credit_Assumptions!$C$17)^-0.5,(1-Credit_Assumptions!$C$16)*BI31*(1+Credit_Assumptions!$C$17)^-0.5,BI31)+BI16*CHOOSE(Credit_Assumptions!$D$32,BI30*BI31*(1+Credit_Assumptions!$C$17)^-0.5,(1-Credit_Assumptions!$C$16)*BI31*(1+Credit_Assumptions!$C$17)^-0.5,BI31)+BI17*CHOOSE(Credit_Assumptions!$D$33,BI30*BI31*(1+Credit_Assumptions!$C$17)^-0.5,(1-Credit_Assumptions!$C$16)*BI31*(1+Credit_Assumptions!$C$17)^-0.5,BI31)</f>
        <v/>
      </c>
      <c r="BJ32" s="80">
        <f>BJ12*CHOOSE(Credit_Assumptions!$D$28,BJ30*BJ31*(1+Credit_Assumptions!$C$17)^-0.5,(1-Credit_Assumptions!$C$16)*BJ31*(1+Credit_Assumptions!$C$17)^-0.5,BJ31)+BJ13*CHOOSE(Credit_Assumptions!$D$29,BJ30*BJ31*(1+Credit_Assumptions!$C$17)^-0.5,(1-Credit_Assumptions!$C$16)*BJ31*(1+Credit_Assumptions!$C$17)^-0.5,BJ31)+BJ14*CHOOSE(Credit_Assumptions!$D$30,BJ30*BJ31*(1+Credit_Assumptions!$C$17)^-0.5,(1-Credit_Assumptions!$C$16)*BJ31*(1+Credit_Assumptions!$C$17)^-0.5,BJ31)+BJ15*CHOOSE(Credit_Assumptions!$D$31,BJ30*BJ31*(1+Credit_Assumptions!$C$17)^-0.5,(1-Credit_Assumptions!$C$16)*BJ31*(1+Credit_Assumptions!$C$17)^-0.5,BJ31)+BJ16*CHOOSE(Credit_Assumptions!$D$32,BJ30*BJ31*(1+Credit_Assumptions!$C$17)^-0.5,(1-Credit_Assumptions!$C$16)*BJ31*(1+Credit_Assumptions!$C$17)^-0.5,BJ31)+BJ17*CHOOSE(Credit_Assumptions!$D$33,BJ30*BJ31*(1+Credit_Assumptions!$C$17)^-0.5,(1-Credit_Assumptions!$C$16)*BJ31*(1+Credit_Assumptions!$C$17)^-0.5,BJ31)</f>
        <v/>
      </c>
      <c r="BK32" s="80">
        <f>BK12*CHOOSE(Credit_Assumptions!$D$28,BK30*BK31*(1+Credit_Assumptions!$C$17)^-0.5,(1-Credit_Assumptions!$C$16)*BK31*(1+Credit_Assumptions!$C$17)^-0.5,BK31)+BK13*CHOOSE(Credit_Assumptions!$D$29,BK30*BK31*(1+Credit_Assumptions!$C$17)^-0.5,(1-Credit_Assumptions!$C$16)*BK31*(1+Credit_Assumptions!$C$17)^-0.5,BK31)+BK14*CHOOSE(Credit_Assumptions!$D$30,BK30*BK31*(1+Credit_Assumptions!$C$17)^-0.5,(1-Credit_Assumptions!$C$16)*BK31*(1+Credit_Assumptions!$C$17)^-0.5,BK31)+BK15*CHOOSE(Credit_Assumptions!$D$31,BK30*BK31*(1+Credit_Assumptions!$C$17)^-0.5,(1-Credit_Assumptions!$C$16)*BK31*(1+Credit_Assumptions!$C$17)^-0.5,BK31)+BK16*CHOOSE(Credit_Assumptions!$D$32,BK30*BK31*(1+Credit_Assumptions!$C$17)^-0.5,(1-Credit_Assumptions!$C$16)*BK31*(1+Credit_Assumptions!$C$17)^-0.5,BK31)+BK17*CHOOSE(Credit_Assumptions!$D$33,BK30*BK31*(1+Credit_Assumptions!$C$17)^-0.5,(1-Credit_Assumptions!$C$16)*BK31*(1+Credit_Assumptions!$C$17)^-0.5,BK31)</f>
        <v/>
      </c>
      <c r="BL32" s="80">
        <f>BL12*CHOOSE(Credit_Assumptions!$D$28,BL30*BL31*(1+Credit_Assumptions!$C$17)^-0.5,(1-Credit_Assumptions!$C$16)*BL31*(1+Credit_Assumptions!$C$17)^-0.5,BL31)+BL13*CHOOSE(Credit_Assumptions!$D$29,BL30*BL31*(1+Credit_Assumptions!$C$17)^-0.5,(1-Credit_Assumptions!$C$16)*BL31*(1+Credit_Assumptions!$C$17)^-0.5,BL31)+BL14*CHOOSE(Credit_Assumptions!$D$30,BL30*BL31*(1+Credit_Assumptions!$C$17)^-0.5,(1-Credit_Assumptions!$C$16)*BL31*(1+Credit_Assumptions!$C$17)^-0.5,BL31)+BL15*CHOOSE(Credit_Assumptions!$D$31,BL30*BL31*(1+Credit_Assumptions!$C$17)^-0.5,(1-Credit_Assumptions!$C$16)*BL31*(1+Credit_Assumptions!$C$17)^-0.5,BL31)+BL16*CHOOSE(Credit_Assumptions!$D$32,BL30*BL31*(1+Credit_Assumptions!$C$17)^-0.5,(1-Credit_Assumptions!$C$16)*BL31*(1+Credit_Assumptions!$C$17)^-0.5,BL31)+BL17*CHOOSE(Credit_Assumptions!$D$33,BL30*BL31*(1+Credit_Assumptions!$C$17)^-0.5,(1-Credit_Assumptions!$C$16)*BL31*(1+Credit_Assumptions!$C$17)^-0.5,BL31)</f>
        <v/>
      </c>
    </row>
    <row r="33">
      <c r="A33" s="98" t="inlineStr">
        <is>
          <t>Eligible receivables (borrowing base)</t>
        </is>
      </c>
      <c r="B33" s="65" t="inlineStr">
        <is>
          <t>LCY</t>
        </is>
      </c>
      <c r="C33" s="105">
        <f>BL33</f>
        <v/>
      </c>
      <c r="E33" s="80">
        <f>E12*Credit_Assumptions!$E$28+E13*Credit_Assumptions!$E$29+E14*Credit_Assumptions!$E$30+E15*Credit_Assumptions!$E$31+E16*Credit_Assumptions!$E$32+E17*Credit_Assumptions!$E$33</f>
        <v/>
      </c>
      <c r="F33" s="80">
        <f>F12*Credit_Assumptions!$E$28+F13*Credit_Assumptions!$E$29+F14*Credit_Assumptions!$E$30+F15*Credit_Assumptions!$E$31+F16*Credit_Assumptions!$E$32+F17*Credit_Assumptions!$E$33</f>
        <v/>
      </c>
      <c r="G33" s="80">
        <f>G12*Credit_Assumptions!$E$28+G13*Credit_Assumptions!$E$29+G14*Credit_Assumptions!$E$30+G15*Credit_Assumptions!$E$31+G16*Credit_Assumptions!$E$32+G17*Credit_Assumptions!$E$33</f>
        <v/>
      </c>
      <c r="H33" s="80">
        <f>H12*Credit_Assumptions!$E$28+H13*Credit_Assumptions!$E$29+H14*Credit_Assumptions!$E$30+H15*Credit_Assumptions!$E$31+H16*Credit_Assumptions!$E$32+H17*Credit_Assumptions!$E$33</f>
        <v/>
      </c>
      <c r="I33" s="80">
        <f>I12*Credit_Assumptions!$E$28+I13*Credit_Assumptions!$E$29+I14*Credit_Assumptions!$E$30+I15*Credit_Assumptions!$E$31+I16*Credit_Assumptions!$E$32+I17*Credit_Assumptions!$E$33</f>
        <v/>
      </c>
      <c r="J33" s="80">
        <f>J12*Credit_Assumptions!$E$28+J13*Credit_Assumptions!$E$29+J14*Credit_Assumptions!$E$30+J15*Credit_Assumptions!$E$31+J16*Credit_Assumptions!$E$32+J17*Credit_Assumptions!$E$33</f>
        <v/>
      </c>
      <c r="K33" s="80">
        <f>K12*Credit_Assumptions!$E$28+K13*Credit_Assumptions!$E$29+K14*Credit_Assumptions!$E$30+K15*Credit_Assumptions!$E$31+K16*Credit_Assumptions!$E$32+K17*Credit_Assumptions!$E$33</f>
        <v/>
      </c>
      <c r="L33" s="80">
        <f>L12*Credit_Assumptions!$E$28+L13*Credit_Assumptions!$E$29+L14*Credit_Assumptions!$E$30+L15*Credit_Assumptions!$E$31+L16*Credit_Assumptions!$E$32+L17*Credit_Assumptions!$E$33</f>
        <v/>
      </c>
      <c r="M33" s="80">
        <f>M12*Credit_Assumptions!$E$28+M13*Credit_Assumptions!$E$29+M14*Credit_Assumptions!$E$30+M15*Credit_Assumptions!$E$31+M16*Credit_Assumptions!$E$32+M17*Credit_Assumptions!$E$33</f>
        <v/>
      </c>
      <c r="N33" s="80">
        <f>N12*Credit_Assumptions!$E$28+N13*Credit_Assumptions!$E$29+N14*Credit_Assumptions!$E$30+N15*Credit_Assumptions!$E$31+N16*Credit_Assumptions!$E$32+N17*Credit_Assumptions!$E$33</f>
        <v/>
      </c>
      <c r="O33" s="80">
        <f>O12*Credit_Assumptions!$E$28+O13*Credit_Assumptions!$E$29+O14*Credit_Assumptions!$E$30+O15*Credit_Assumptions!$E$31+O16*Credit_Assumptions!$E$32+O17*Credit_Assumptions!$E$33</f>
        <v/>
      </c>
      <c r="P33" s="80">
        <f>P12*Credit_Assumptions!$E$28+P13*Credit_Assumptions!$E$29+P14*Credit_Assumptions!$E$30+P15*Credit_Assumptions!$E$31+P16*Credit_Assumptions!$E$32+P17*Credit_Assumptions!$E$33</f>
        <v/>
      </c>
      <c r="Q33" s="80">
        <f>Q12*Credit_Assumptions!$E$28+Q13*Credit_Assumptions!$E$29+Q14*Credit_Assumptions!$E$30+Q15*Credit_Assumptions!$E$31+Q16*Credit_Assumptions!$E$32+Q17*Credit_Assumptions!$E$33</f>
        <v/>
      </c>
      <c r="R33" s="80">
        <f>R12*Credit_Assumptions!$E$28+R13*Credit_Assumptions!$E$29+R14*Credit_Assumptions!$E$30+R15*Credit_Assumptions!$E$31+R16*Credit_Assumptions!$E$32+R17*Credit_Assumptions!$E$33</f>
        <v/>
      </c>
      <c r="S33" s="80">
        <f>S12*Credit_Assumptions!$E$28+S13*Credit_Assumptions!$E$29+S14*Credit_Assumptions!$E$30+S15*Credit_Assumptions!$E$31+S16*Credit_Assumptions!$E$32+S17*Credit_Assumptions!$E$33</f>
        <v/>
      </c>
      <c r="T33" s="80">
        <f>T12*Credit_Assumptions!$E$28+T13*Credit_Assumptions!$E$29+T14*Credit_Assumptions!$E$30+T15*Credit_Assumptions!$E$31+T16*Credit_Assumptions!$E$32+T17*Credit_Assumptions!$E$33</f>
        <v/>
      </c>
      <c r="U33" s="80">
        <f>U12*Credit_Assumptions!$E$28+U13*Credit_Assumptions!$E$29+U14*Credit_Assumptions!$E$30+U15*Credit_Assumptions!$E$31+U16*Credit_Assumptions!$E$32+U17*Credit_Assumptions!$E$33</f>
        <v/>
      </c>
      <c r="V33" s="80">
        <f>V12*Credit_Assumptions!$E$28+V13*Credit_Assumptions!$E$29+V14*Credit_Assumptions!$E$30+V15*Credit_Assumptions!$E$31+V16*Credit_Assumptions!$E$32+V17*Credit_Assumptions!$E$33</f>
        <v/>
      </c>
      <c r="W33" s="80">
        <f>W12*Credit_Assumptions!$E$28+W13*Credit_Assumptions!$E$29+W14*Credit_Assumptions!$E$30+W15*Credit_Assumptions!$E$31+W16*Credit_Assumptions!$E$32+W17*Credit_Assumptions!$E$33</f>
        <v/>
      </c>
      <c r="X33" s="80">
        <f>X12*Credit_Assumptions!$E$28+X13*Credit_Assumptions!$E$29+X14*Credit_Assumptions!$E$30+X15*Credit_Assumptions!$E$31+X16*Credit_Assumptions!$E$32+X17*Credit_Assumptions!$E$33</f>
        <v/>
      </c>
      <c r="Y33" s="80">
        <f>Y12*Credit_Assumptions!$E$28+Y13*Credit_Assumptions!$E$29+Y14*Credit_Assumptions!$E$30+Y15*Credit_Assumptions!$E$31+Y16*Credit_Assumptions!$E$32+Y17*Credit_Assumptions!$E$33</f>
        <v/>
      </c>
      <c r="Z33" s="80">
        <f>Z12*Credit_Assumptions!$E$28+Z13*Credit_Assumptions!$E$29+Z14*Credit_Assumptions!$E$30+Z15*Credit_Assumptions!$E$31+Z16*Credit_Assumptions!$E$32+Z17*Credit_Assumptions!$E$33</f>
        <v/>
      </c>
      <c r="AA33" s="80">
        <f>AA12*Credit_Assumptions!$E$28+AA13*Credit_Assumptions!$E$29+AA14*Credit_Assumptions!$E$30+AA15*Credit_Assumptions!$E$31+AA16*Credit_Assumptions!$E$32+AA17*Credit_Assumptions!$E$33</f>
        <v/>
      </c>
      <c r="AB33" s="80">
        <f>AB12*Credit_Assumptions!$E$28+AB13*Credit_Assumptions!$E$29+AB14*Credit_Assumptions!$E$30+AB15*Credit_Assumptions!$E$31+AB16*Credit_Assumptions!$E$32+AB17*Credit_Assumptions!$E$33</f>
        <v/>
      </c>
      <c r="AC33" s="80">
        <f>AC12*Credit_Assumptions!$E$28+AC13*Credit_Assumptions!$E$29+AC14*Credit_Assumptions!$E$30+AC15*Credit_Assumptions!$E$31+AC16*Credit_Assumptions!$E$32+AC17*Credit_Assumptions!$E$33</f>
        <v/>
      </c>
      <c r="AD33" s="80">
        <f>AD12*Credit_Assumptions!$E$28+AD13*Credit_Assumptions!$E$29+AD14*Credit_Assumptions!$E$30+AD15*Credit_Assumptions!$E$31+AD16*Credit_Assumptions!$E$32+AD17*Credit_Assumptions!$E$33</f>
        <v/>
      </c>
      <c r="AE33" s="80">
        <f>AE12*Credit_Assumptions!$E$28+AE13*Credit_Assumptions!$E$29+AE14*Credit_Assumptions!$E$30+AE15*Credit_Assumptions!$E$31+AE16*Credit_Assumptions!$E$32+AE17*Credit_Assumptions!$E$33</f>
        <v/>
      </c>
      <c r="AF33" s="80">
        <f>AF12*Credit_Assumptions!$E$28+AF13*Credit_Assumptions!$E$29+AF14*Credit_Assumptions!$E$30+AF15*Credit_Assumptions!$E$31+AF16*Credit_Assumptions!$E$32+AF17*Credit_Assumptions!$E$33</f>
        <v/>
      </c>
      <c r="AG33" s="80">
        <f>AG12*Credit_Assumptions!$E$28+AG13*Credit_Assumptions!$E$29+AG14*Credit_Assumptions!$E$30+AG15*Credit_Assumptions!$E$31+AG16*Credit_Assumptions!$E$32+AG17*Credit_Assumptions!$E$33</f>
        <v/>
      </c>
      <c r="AH33" s="80">
        <f>AH12*Credit_Assumptions!$E$28+AH13*Credit_Assumptions!$E$29+AH14*Credit_Assumptions!$E$30+AH15*Credit_Assumptions!$E$31+AH16*Credit_Assumptions!$E$32+AH17*Credit_Assumptions!$E$33</f>
        <v/>
      </c>
      <c r="AI33" s="80">
        <f>AI12*Credit_Assumptions!$E$28+AI13*Credit_Assumptions!$E$29+AI14*Credit_Assumptions!$E$30+AI15*Credit_Assumptions!$E$31+AI16*Credit_Assumptions!$E$32+AI17*Credit_Assumptions!$E$33</f>
        <v/>
      </c>
      <c r="AJ33" s="80">
        <f>AJ12*Credit_Assumptions!$E$28+AJ13*Credit_Assumptions!$E$29+AJ14*Credit_Assumptions!$E$30+AJ15*Credit_Assumptions!$E$31+AJ16*Credit_Assumptions!$E$32+AJ17*Credit_Assumptions!$E$33</f>
        <v/>
      </c>
      <c r="AK33" s="80">
        <f>AK12*Credit_Assumptions!$E$28+AK13*Credit_Assumptions!$E$29+AK14*Credit_Assumptions!$E$30+AK15*Credit_Assumptions!$E$31+AK16*Credit_Assumptions!$E$32+AK17*Credit_Assumptions!$E$33</f>
        <v/>
      </c>
      <c r="AL33" s="80">
        <f>AL12*Credit_Assumptions!$E$28+AL13*Credit_Assumptions!$E$29+AL14*Credit_Assumptions!$E$30+AL15*Credit_Assumptions!$E$31+AL16*Credit_Assumptions!$E$32+AL17*Credit_Assumptions!$E$33</f>
        <v/>
      </c>
      <c r="AM33" s="80">
        <f>AM12*Credit_Assumptions!$E$28+AM13*Credit_Assumptions!$E$29+AM14*Credit_Assumptions!$E$30+AM15*Credit_Assumptions!$E$31+AM16*Credit_Assumptions!$E$32+AM17*Credit_Assumptions!$E$33</f>
        <v/>
      </c>
      <c r="AN33" s="80">
        <f>AN12*Credit_Assumptions!$E$28+AN13*Credit_Assumptions!$E$29+AN14*Credit_Assumptions!$E$30+AN15*Credit_Assumptions!$E$31+AN16*Credit_Assumptions!$E$32+AN17*Credit_Assumptions!$E$33</f>
        <v/>
      </c>
      <c r="AO33" s="80">
        <f>AO12*Credit_Assumptions!$E$28+AO13*Credit_Assumptions!$E$29+AO14*Credit_Assumptions!$E$30+AO15*Credit_Assumptions!$E$31+AO16*Credit_Assumptions!$E$32+AO17*Credit_Assumptions!$E$33</f>
        <v/>
      </c>
      <c r="AP33" s="80">
        <f>AP12*Credit_Assumptions!$E$28+AP13*Credit_Assumptions!$E$29+AP14*Credit_Assumptions!$E$30+AP15*Credit_Assumptions!$E$31+AP16*Credit_Assumptions!$E$32+AP17*Credit_Assumptions!$E$33</f>
        <v/>
      </c>
      <c r="AQ33" s="80">
        <f>AQ12*Credit_Assumptions!$E$28+AQ13*Credit_Assumptions!$E$29+AQ14*Credit_Assumptions!$E$30+AQ15*Credit_Assumptions!$E$31+AQ16*Credit_Assumptions!$E$32+AQ17*Credit_Assumptions!$E$33</f>
        <v/>
      </c>
      <c r="AR33" s="80">
        <f>AR12*Credit_Assumptions!$E$28+AR13*Credit_Assumptions!$E$29+AR14*Credit_Assumptions!$E$30+AR15*Credit_Assumptions!$E$31+AR16*Credit_Assumptions!$E$32+AR17*Credit_Assumptions!$E$33</f>
        <v/>
      </c>
      <c r="AS33" s="80">
        <f>AS12*Credit_Assumptions!$E$28+AS13*Credit_Assumptions!$E$29+AS14*Credit_Assumptions!$E$30+AS15*Credit_Assumptions!$E$31+AS16*Credit_Assumptions!$E$32+AS17*Credit_Assumptions!$E$33</f>
        <v/>
      </c>
      <c r="AT33" s="80">
        <f>AT12*Credit_Assumptions!$E$28+AT13*Credit_Assumptions!$E$29+AT14*Credit_Assumptions!$E$30+AT15*Credit_Assumptions!$E$31+AT16*Credit_Assumptions!$E$32+AT17*Credit_Assumptions!$E$33</f>
        <v/>
      </c>
      <c r="AU33" s="80">
        <f>AU12*Credit_Assumptions!$E$28+AU13*Credit_Assumptions!$E$29+AU14*Credit_Assumptions!$E$30+AU15*Credit_Assumptions!$E$31+AU16*Credit_Assumptions!$E$32+AU17*Credit_Assumptions!$E$33</f>
        <v/>
      </c>
      <c r="AV33" s="80">
        <f>AV12*Credit_Assumptions!$E$28+AV13*Credit_Assumptions!$E$29+AV14*Credit_Assumptions!$E$30+AV15*Credit_Assumptions!$E$31+AV16*Credit_Assumptions!$E$32+AV17*Credit_Assumptions!$E$33</f>
        <v/>
      </c>
      <c r="AW33" s="80">
        <f>AW12*Credit_Assumptions!$E$28+AW13*Credit_Assumptions!$E$29+AW14*Credit_Assumptions!$E$30+AW15*Credit_Assumptions!$E$31+AW16*Credit_Assumptions!$E$32+AW17*Credit_Assumptions!$E$33</f>
        <v/>
      </c>
      <c r="AX33" s="80">
        <f>AX12*Credit_Assumptions!$E$28+AX13*Credit_Assumptions!$E$29+AX14*Credit_Assumptions!$E$30+AX15*Credit_Assumptions!$E$31+AX16*Credit_Assumptions!$E$32+AX17*Credit_Assumptions!$E$33</f>
        <v/>
      </c>
      <c r="AY33" s="80">
        <f>AY12*Credit_Assumptions!$E$28+AY13*Credit_Assumptions!$E$29+AY14*Credit_Assumptions!$E$30+AY15*Credit_Assumptions!$E$31+AY16*Credit_Assumptions!$E$32+AY17*Credit_Assumptions!$E$33</f>
        <v/>
      </c>
      <c r="AZ33" s="80">
        <f>AZ12*Credit_Assumptions!$E$28+AZ13*Credit_Assumptions!$E$29+AZ14*Credit_Assumptions!$E$30+AZ15*Credit_Assumptions!$E$31+AZ16*Credit_Assumptions!$E$32+AZ17*Credit_Assumptions!$E$33</f>
        <v/>
      </c>
      <c r="BA33" s="80">
        <f>BA12*Credit_Assumptions!$E$28+BA13*Credit_Assumptions!$E$29+BA14*Credit_Assumptions!$E$30+BA15*Credit_Assumptions!$E$31+BA16*Credit_Assumptions!$E$32+BA17*Credit_Assumptions!$E$33</f>
        <v/>
      </c>
      <c r="BB33" s="80">
        <f>BB12*Credit_Assumptions!$E$28+BB13*Credit_Assumptions!$E$29+BB14*Credit_Assumptions!$E$30+BB15*Credit_Assumptions!$E$31+BB16*Credit_Assumptions!$E$32+BB17*Credit_Assumptions!$E$33</f>
        <v/>
      </c>
      <c r="BC33" s="80">
        <f>BC12*Credit_Assumptions!$E$28+BC13*Credit_Assumptions!$E$29+BC14*Credit_Assumptions!$E$30+BC15*Credit_Assumptions!$E$31+BC16*Credit_Assumptions!$E$32+BC17*Credit_Assumptions!$E$33</f>
        <v/>
      </c>
      <c r="BD33" s="80">
        <f>BD12*Credit_Assumptions!$E$28+BD13*Credit_Assumptions!$E$29+BD14*Credit_Assumptions!$E$30+BD15*Credit_Assumptions!$E$31+BD16*Credit_Assumptions!$E$32+BD17*Credit_Assumptions!$E$33</f>
        <v/>
      </c>
      <c r="BE33" s="80">
        <f>BE12*Credit_Assumptions!$E$28+BE13*Credit_Assumptions!$E$29+BE14*Credit_Assumptions!$E$30+BE15*Credit_Assumptions!$E$31+BE16*Credit_Assumptions!$E$32+BE17*Credit_Assumptions!$E$33</f>
        <v/>
      </c>
      <c r="BF33" s="80">
        <f>BF12*Credit_Assumptions!$E$28+BF13*Credit_Assumptions!$E$29+BF14*Credit_Assumptions!$E$30+BF15*Credit_Assumptions!$E$31+BF16*Credit_Assumptions!$E$32+BF17*Credit_Assumptions!$E$33</f>
        <v/>
      </c>
      <c r="BG33" s="80">
        <f>BG12*Credit_Assumptions!$E$28+BG13*Credit_Assumptions!$E$29+BG14*Credit_Assumptions!$E$30+BG15*Credit_Assumptions!$E$31+BG16*Credit_Assumptions!$E$32+BG17*Credit_Assumptions!$E$33</f>
        <v/>
      </c>
      <c r="BH33" s="80">
        <f>BH12*Credit_Assumptions!$E$28+BH13*Credit_Assumptions!$E$29+BH14*Credit_Assumptions!$E$30+BH15*Credit_Assumptions!$E$31+BH16*Credit_Assumptions!$E$32+BH17*Credit_Assumptions!$E$33</f>
        <v/>
      </c>
      <c r="BI33" s="80">
        <f>BI12*Credit_Assumptions!$E$28+BI13*Credit_Assumptions!$E$29+BI14*Credit_Assumptions!$E$30+BI15*Credit_Assumptions!$E$31+BI16*Credit_Assumptions!$E$32+BI17*Credit_Assumptions!$E$33</f>
        <v/>
      </c>
      <c r="BJ33" s="80">
        <f>BJ12*Credit_Assumptions!$E$28+BJ13*Credit_Assumptions!$E$29+BJ14*Credit_Assumptions!$E$30+BJ15*Credit_Assumptions!$E$31+BJ16*Credit_Assumptions!$E$32+BJ17*Credit_Assumptions!$E$33</f>
        <v/>
      </c>
      <c r="BK33" s="80">
        <f>BK12*Credit_Assumptions!$E$28+BK13*Credit_Assumptions!$E$29+BK14*Credit_Assumptions!$E$30+BK15*Credit_Assumptions!$E$31+BK16*Credit_Assumptions!$E$32+BK17*Credit_Assumptions!$E$33</f>
        <v/>
      </c>
      <c r="BL33" s="80">
        <f>BL12*Credit_Assumptions!$E$28+BL13*Credit_Assumptions!$E$29+BL14*Credit_Assumptions!$E$30+BL15*Credit_Assumptions!$E$31+BL16*Credit_Assumptions!$E$32+BL17*Credit_Assumptions!$E$33</f>
        <v/>
      </c>
    </row>
    <row r="34">
      <c r="A34" s="98" t="inlineStr">
        <is>
          <t>Borrowing-base contribution (advance rate x eligible)</t>
        </is>
      </c>
      <c r="B34" s="65" t="inlineStr">
        <is>
          <t>LCY</t>
        </is>
      </c>
      <c r="C34" s="105">
        <f>BL34</f>
        <v/>
      </c>
      <c r="E34" s="80">
        <f>E33*Products!$C$31</f>
        <v/>
      </c>
      <c r="F34" s="80">
        <f>F33*Products!$C$31</f>
        <v/>
      </c>
      <c r="G34" s="80">
        <f>G33*Products!$C$31</f>
        <v/>
      </c>
      <c r="H34" s="80">
        <f>H33*Products!$C$31</f>
        <v/>
      </c>
      <c r="I34" s="80">
        <f>I33*Products!$C$31</f>
        <v/>
      </c>
      <c r="J34" s="80">
        <f>J33*Products!$C$31</f>
        <v/>
      </c>
      <c r="K34" s="80">
        <f>K33*Products!$C$31</f>
        <v/>
      </c>
      <c r="L34" s="80">
        <f>L33*Products!$C$31</f>
        <v/>
      </c>
      <c r="M34" s="80">
        <f>M33*Products!$C$31</f>
        <v/>
      </c>
      <c r="N34" s="80">
        <f>N33*Products!$C$31</f>
        <v/>
      </c>
      <c r="O34" s="80">
        <f>O33*Products!$C$31</f>
        <v/>
      </c>
      <c r="P34" s="80">
        <f>P33*Products!$C$31</f>
        <v/>
      </c>
      <c r="Q34" s="80">
        <f>Q33*Products!$C$31</f>
        <v/>
      </c>
      <c r="R34" s="80">
        <f>R33*Products!$C$31</f>
        <v/>
      </c>
      <c r="S34" s="80">
        <f>S33*Products!$C$31</f>
        <v/>
      </c>
      <c r="T34" s="80">
        <f>T33*Products!$C$31</f>
        <v/>
      </c>
      <c r="U34" s="80">
        <f>U33*Products!$C$31</f>
        <v/>
      </c>
      <c r="V34" s="80">
        <f>V33*Products!$C$31</f>
        <v/>
      </c>
      <c r="W34" s="80">
        <f>W33*Products!$C$31</f>
        <v/>
      </c>
      <c r="X34" s="80">
        <f>X33*Products!$C$31</f>
        <v/>
      </c>
      <c r="Y34" s="80">
        <f>Y33*Products!$C$31</f>
        <v/>
      </c>
      <c r="Z34" s="80">
        <f>Z33*Products!$C$31</f>
        <v/>
      </c>
      <c r="AA34" s="80">
        <f>AA33*Products!$C$31</f>
        <v/>
      </c>
      <c r="AB34" s="80">
        <f>AB33*Products!$C$31</f>
        <v/>
      </c>
      <c r="AC34" s="80">
        <f>AC33*Products!$C$31</f>
        <v/>
      </c>
      <c r="AD34" s="80">
        <f>AD33*Products!$C$31</f>
        <v/>
      </c>
      <c r="AE34" s="80">
        <f>AE33*Products!$C$31</f>
        <v/>
      </c>
      <c r="AF34" s="80">
        <f>AF33*Products!$C$31</f>
        <v/>
      </c>
      <c r="AG34" s="80">
        <f>AG33*Products!$C$31</f>
        <v/>
      </c>
      <c r="AH34" s="80">
        <f>AH33*Products!$C$31</f>
        <v/>
      </c>
      <c r="AI34" s="80">
        <f>AI33*Products!$C$31</f>
        <v/>
      </c>
      <c r="AJ34" s="80">
        <f>AJ33*Products!$C$31</f>
        <v/>
      </c>
      <c r="AK34" s="80">
        <f>AK33*Products!$C$31</f>
        <v/>
      </c>
      <c r="AL34" s="80">
        <f>AL33*Products!$C$31</f>
        <v/>
      </c>
      <c r="AM34" s="80">
        <f>AM33*Products!$C$31</f>
        <v/>
      </c>
      <c r="AN34" s="80">
        <f>AN33*Products!$C$31</f>
        <v/>
      </c>
      <c r="AO34" s="80">
        <f>AO33*Products!$C$31</f>
        <v/>
      </c>
      <c r="AP34" s="80">
        <f>AP33*Products!$C$31</f>
        <v/>
      </c>
      <c r="AQ34" s="80">
        <f>AQ33*Products!$C$31</f>
        <v/>
      </c>
      <c r="AR34" s="80">
        <f>AR33*Products!$C$31</f>
        <v/>
      </c>
      <c r="AS34" s="80">
        <f>AS33*Products!$C$31</f>
        <v/>
      </c>
      <c r="AT34" s="80">
        <f>AT33*Products!$C$31</f>
        <v/>
      </c>
      <c r="AU34" s="80">
        <f>AU33*Products!$C$31</f>
        <v/>
      </c>
      <c r="AV34" s="80">
        <f>AV33*Products!$C$31</f>
        <v/>
      </c>
      <c r="AW34" s="80">
        <f>AW33*Products!$C$31</f>
        <v/>
      </c>
      <c r="AX34" s="80">
        <f>AX33*Products!$C$31</f>
        <v/>
      </c>
      <c r="AY34" s="80">
        <f>AY33*Products!$C$31</f>
        <v/>
      </c>
      <c r="AZ34" s="80">
        <f>AZ33*Products!$C$31</f>
        <v/>
      </c>
      <c r="BA34" s="80">
        <f>BA33*Products!$C$31</f>
        <v/>
      </c>
      <c r="BB34" s="80">
        <f>BB33*Products!$C$31</f>
        <v/>
      </c>
      <c r="BC34" s="80">
        <f>BC33*Products!$C$31</f>
        <v/>
      </c>
      <c r="BD34" s="80">
        <f>BD33*Products!$C$31</f>
        <v/>
      </c>
      <c r="BE34" s="80">
        <f>BE33*Products!$C$31</f>
        <v/>
      </c>
      <c r="BF34" s="80">
        <f>BF33*Products!$C$31</f>
        <v/>
      </c>
      <c r="BG34" s="80">
        <f>BG33*Products!$C$31</f>
        <v/>
      </c>
      <c r="BH34" s="80">
        <f>BH33*Products!$C$31</f>
        <v/>
      </c>
      <c r="BI34" s="80">
        <f>BI33*Products!$C$31</f>
        <v/>
      </c>
      <c r="BJ34" s="80">
        <f>BJ33*Products!$C$31</f>
        <v/>
      </c>
      <c r="BK34" s="80">
        <f>BK33*Products!$C$31</f>
        <v/>
      </c>
      <c r="BL34" s="80">
        <f>BL33*Products!$C$31</f>
        <v/>
      </c>
    </row>
    <row r="35">
      <c r="A35" s="98" t="inlineStr">
        <is>
          <t>Reconciliation: buckets: gross (should be 0)</t>
        </is>
      </c>
      <c r="B35" s="65" t="inlineStr">
        <is>
          <t>LCY</t>
        </is>
      </c>
      <c r="C35" s="105">
        <f>BL35</f>
        <v/>
      </c>
      <c r="E35" s="80">
        <f>ROUND(SUM(E12:E17)-E9,0)</f>
        <v/>
      </c>
      <c r="F35" s="80">
        <f>ROUND(SUM(F12:F17)-F9,0)</f>
        <v/>
      </c>
      <c r="G35" s="80">
        <f>ROUND(SUM(G12:G17)-G9,0)</f>
        <v/>
      </c>
      <c r="H35" s="80">
        <f>ROUND(SUM(H12:H17)-H9,0)</f>
        <v/>
      </c>
      <c r="I35" s="80">
        <f>ROUND(SUM(I12:I17)-I9,0)</f>
        <v/>
      </c>
      <c r="J35" s="80">
        <f>ROUND(SUM(J12:J17)-J9,0)</f>
        <v/>
      </c>
      <c r="K35" s="80">
        <f>ROUND(SUM(K12:K17)-K9,0)</f>
        <v/>
      </c>
      <c r="L35" s="80">
        <f>ROUND(SUM(L12:L17)-L9,0)</f>
        <v/>
      </c>
      <c r="M35" s="80">
        <f>ROUND(SUM(M12:M17)-M9,0)</f>
        <v/>
      </c>
      <c r="N35" s="80">
        <f>ROUND(SUM(N12:N17)-N9,0)</f>
        <v/>
      </c>
      <c r="O35" s="80">
        <f>ROUND(SUM(O12:O17)-O9,0)</f>
        <v/>
      </c>
      <c r="P35" s="80">
        <f>ROUND(SUM(P12:P17)-P9,0)</f>
        <v/>
      </c>
      <c r="Q35" s="80">
        <f>ROUND(SUM(Q12:Q17)-Q9,0)</f>
        <v/>
      </c>
      <c r="R35" s="80">
        <f>ROUND(SUM(R12:R17)-R9,0)</f>
        <v/>
      </c>
      <c r="S35" s="80">
        <f>ROUND(SUM(S12:S17)-S9,0)</f>
        <v/>
      </c>
      <c r="T35" s="80">
        <f>ROUND(SUM(T12:T17)-T9,0)</f>
        <v/>
      </c>
      <c r="U35" s="80">
        <f>ROUND(SUM(U12:U17)-U9,0)</f>
        <v/>
      </c>
      <c r="V35" s="80">
        <f>ROUND(SUM(V12:V17)-V9,0)</f>
        <v/>
      </c>
      <c r="W35" s="80">
        <f>ROUND(SUM(W12:W17)-W9,0)</f>
        <v/>
      </c>
      <c r="X35" s="80">
        <f>ROUND(SUM(X12:X17)-X9,0)</f>
        <v/>
      </c>
      <c r="Y35" s="80">
        <f>ROUND(SUM(Y12:Y17)-Y9,0)</f>
        <v/>
      </c>
      <c r="Z35" s="80">
        <f>ROUND(SUM(Z12:Z17)-Z9,0)</f>
        <v/>
      </c>
      <c r="AA35" s="80">
        <f>ROUND(SUM(AA12:AA17)-AA9,0)</f>
        <v/>
      </c>
      <c r="AB35" s="80">
        <f>ROUND(SUM(AB12:AB17)-AB9,0)</f>
        <v/>
      </c>
      <c r="AC35" s="80">
        <f>ROUND(SUM(AC12:AC17)-AC9,0)</f>
        <v/>
      </c>
      <c r="AD35" s="80">
        <f>ROUND(SUM(AD12:AD17)-AD9,0)</f>
        <v/>
      </c>
      <c r="AE35" s="80">
        <f>ROUND(SUM(AE12:AE17)-AE9,0)</f>
        <v/>
      </c>
      <c r="AF35" s="80">
        <f>ROUND(SUM(AF12:AF17)-AF9,0)</f>
        <v/>
      </c>
      <c r="AG35" s="80">
        <f>ROUND(SUM(AG12:AG17)-AG9,0)</f>
        <v/>
      </c>
      <c r="AH35" s="80">
        <f>ROUND(SUM(AH12:AH17)-AH9,0)</f>
        <v/>
      </c>
      <c r="AI35" s="80">
        <f>ROUND(SUM(AI12:AI17)-AI9,0)</f>
        <v/>
      </c>
      <c r="AJ35" s="80">
        <f>ROUND(SUM(AJ12:AJ17)-AJ9,0)</f>
        <v/>
      </c>
      <c r="AK35" s="80">
        <f>ROUND(SUM(AK12:AK17)-AK9,0)</f>
        <v/>
      </c>
      <c r="AL35" s="80">
        <f>ROUND(SUM(AL12:AL17)-AL9,0)</f>
        <v/>
      </c>
      <c r="AM35" s="80">
        <f>ROUND(SUM(AM12:AM17)-AM9,0)</f>
        <v/>
      </c>
      <c r="AN35" s="80">
        <f>ROUND(SUM(AN12:AN17)-AN9,0)</f>
        <v/>
      </c>
      <c r="AO35" s="80">
        <f>ROUND(SUM(AO12:AO17)-AO9,0)</f>
        <v/>
      </c>
      <c r="AP35" s="80">
        <f>ROUND(SUM(AP12:AP17)-AP9,0)</f>
        <v/>
      </c>
      <c r="AQ35" s="80">
        <f>ROUND(SUM(AQ12:AQ17)-AQ9,0)</f>
        <v/>
      </c>
      <c r="AR35" s="80">
        <f>ROUND(SUM(AR12:AR17)-AR9,0)</f>
        <v/>
      </c>
      <c r="AS35" s="80">
        <f>ROUND(SUM(AS12:AS17)-AS9,0)</f>
        <v/>
      </c>
      <c r="AT35" s="80">
        <f>ROUND(SUM(AT12:AT17)-AT9,0)</f>
        <v/>
      </c>
      <c r="AU35" s="80">
        <f>ROUND(SUM(AU12:AU17)-AU9,0)</f>
        <v/>
      </c>
      <c r="AV35" s="80">
        <f>ROUND(SUM(AV12:AV17)-AV9,0)</f>
        <v/>
      </c>
      <c r="AW35" s="80">
        <f>ROUND(SUM(AW12:AW17)-AW9,0)</f>
        <v/>
      </c>
      <c r="AX35" s="80">
        <f>ROUND(SUM(AX12:AX17)-AX9,0)</f>
        <v/>
      </c>
      <c r="AY35" s="80">
        <f>ROUND(SUM(AY12:AY17)-AY9,0)</f>
        <v/>
      </c>
      <c r="AZ35" s="80">
        <f>ROUND(SUM(AZ12:AZ17)-AZ9,0)</f>
        <v/>
      </c>
      <c r="BA35" s="80">
        <f>ROUND(SUM(BA12:BA17)-BA9,0)</f>
        <v/>
      </c>
      <c r="BB35" s="80">
        <f>ROUND(SUM(BB12:BB17)-BB9,0)</f>
        <v/>
      </c>
      <c r="BC35" s="80">
        <f>ROUND(SUM(BC12:BC17)-BC9,0)</f>
        <v/>
      </c>
      <c r="BD35" s="80">
        <f>ROUND(SUM(BD12:BD17)-BD9,0)</f>
        <v/>
      </c>
      <c r="BE35" s="80">
        <f>ROUND(SUM(BE12:BE17)-BE9,0)</f>
        <v/>
      </c>
      <c r="BF35" s="80">
        <f>ROUND(SUM(BF12:BF17)-BF9,0)</f>
        <v/>
      </c>
      <c r="BG35" s="80">
        <f>ROUND(SUM(BG12:BG17)-BG9,0)</f>
        <v/>
      </c>
      <c r="BH35" s="80">
        <f>ROUND(SUM(BH12:BH17)-BH9,0)</f>
        <v/>
      </c>
      <c r="BI35" s="80">
        <f>ROUND(SUM(BI12:BI17)-BI9,0)</f>
        <v/>
      </c>
      <c r="BJ35" s="80">
        <f>ROUND(SUM(BJ12:BJ17)-BJ9,0)</f>
        <v/>
      </c>
      <c r="BK35" s="80">
        <f>ROUND(SUM(BK12:BK17)-BK9,0)</f>
        <v/>
      </c>
      <c r="BL35" s="80">
        <f>ROUND(SUM(BL12:BL17)-BL9,0)</f>
        <v/>
      </c>
    </row>
    <row r="36"/>
    <row r="37">
      <c r="A37" s="21" t="inlineStr">
        <is>
          <t>Tier 1: Pico solar kit: SELECTED (data mode)</t>
        </is>
      </c>
      <c r="B37" s="22" t="n"/>
      <c r="C37" s="22" t="n"/>
      <c r="D37" s="22" t="n"/>
      <c r="E37" s="22" t="n"/>
      <c r="F37" s="22"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c r="AA37" s="22" t="n"/>
      <c r="AB37" s="22" t="n"/>
      <c r="AC37" s="22" t="n"/>
      <c r="AD37" s="22" t="n"/>
      <c r="AE37" s="22" t="n"/>
      <c r="AF37" s="22" t="n"/>
      <c r="AG37" s="22" t="n"/>
      <c r="AH37" s="22" t="n"/>
      <c r="AI37" s="22" t="n"/>
      <c r="AJ37" s="22" t="n"/>
      <c r="AK37" s="22" t="n"/>
      <c r="AL37" s="22" t="n"/>
      <c r="AM37" s="22" t="n"/>
      <c r="AN37" s="22" t="n"/>
      <c r="AO37" s="22" t="n"/>
      <c r="AP37" s="22" t="n"/>
      <c r="AQ37" s="22" t="n"/>
      <c r="AR37" s="22" t="n"/>
      <c r="AS37" s="22" t="n"/>
      <c r="AT37" s="22" t="n"/>
      <c r="AU37" s="22" t="n"/>
      <c r="AV37" s="22" t="n"/>
      <c r="AW37" s="22" t="n"/>
      <c r="AX37" s="22" t="n"/>
      <c r="AY37" s="22" t="n"/>
      <c r="AZ37" s="22" t="n"/>
      <c r="BA37" s="22" t="n"/>
      <c r="BB37" s="22" t="n"/>
      <c r="BC37" s="22" t="n"/>
      <c r="BD37" s="22" t="n"/>
      <c r="BE37" s="22" t="n"/>
      <c r="BF37" s="22" t="n"/>
      <c r="BG37" s="22" t="n"/>
      <c r="BH37" s="22" t="n"/>
      <c r="BI37" s="22" t="n"/>
      <c r="BJ37" s="22" t="n"/>
      <c r="BK37" s="22" t="n"/>
      <c r="BL37" s="22" t="n"/>
    </row>
    <row r="38">
      <c r="A38" s="98" t="inlineStr">
        <is>
          <t>Gross receivables</t>
        </is>
      </c>
      <c r="B38" s="65" t="inlineStr">
        <is>
          <t>LCY</t>
        </is>
      </c>
      <c r="C38" s="105">
        <f>BL38</f>
        <v/>
      </c>
      <c r="E38" s="80">
        <f>IF(Credit_Assumptions!$C$5=1,E9,INDEX(Credit_Input!$D$8:$D$67,E$4))</f>
        <v/>
      </c>
      <c r="F38" s="80">
        <f>IF(Credit_Assumptions!$C$5=1,F9,INDEX(Credit_Input!$D$8:$D$67,F$4))</f>
        <v/>
      </c>
      <c r="G38" s="80">
        <f>IF(Credit_Assumptions!$C$5=1,G9,INDEX(Credit_Input!$D$8:$D$67,G$4))</f>
        <v/>
      </c>
      <c r="H38" s="80">
        <f>IF(Credit_Assumptions!$C$5=1,H9,INDEX(Credit_Input!$D$8:$D$67,H$4))</f>
        <v/>
      </c>
      <c r="I38" s="80">
        <f>IF(Credit_Assumptions!$C$5=1,I9,INDEX(Credit_Input!$D$8:$D$67,I$4))</f>
        <v/>
      </c>
      <c r="J38" s="80">
        <f>IF(Credit_Assumptions!$C$5=1,J9,INDEX(Credit_Input!$D$8:$D$67,J$4))</f>
        <v/>
      </c>
      <c r="K38" s="80">
        <f>IF(Credit_Assumptions!$C$5=1,K9,INDEX(Credit_Input!$D$8:$D$67,K$4))</f>
        <v/>
      </c>
      <c r="L38" s="80">
        <f>IF(Credit_Assumptions!$C$5=1,L9,INDEX(Credit_Input!$D$8:$D$67,L$4))</f>
        <v/>
      </c>
      <c r="M38" s="80">
        <f>IF(Credit_Assumptions!$C$5=1,M9,INDEX(Credit_Input!$D$8:$D$67,M$4))</f>
        <v/>
      </c>
      <c r="N38" s="80">
        <f>IF(Credit_Assumptions!$C$5=1,N9,INDEX(Credit_Input!$D$8:$D$67,N$4))</f>
        <v/>
      </c>
      <c r="O38" s="80">
        <f>IF(Credit_Assumptions!$C$5=1,O9,INDEX(Credit_Input!$D$8:$D$67,O$4))</f>
        <v/>
      </c>
      <c r="P38" s="80">
        <f>IF(Credit_Assumptions!$C$5=1,P9,INDEX(Credit_Input!$D$8:$D$67,P$4))</f>
        <v/>
      </c>
      <c r="Q38" s="80">
        <f>IF(Credit_Assumptions!$C$5=1,Q9,INDEX(Credit_Input!$D$8:$D$67,Q$4))</f>
        <v/>
      </c>
      <c r="R38" s="80">
        <f>IF(Credit_Assumptions!$C$5=1,R9,INDEX(Credit_Input!$D$8:$D$67,R$4))</f>
        <v/>
      </c>
      <c r="S38" s="80">
        <f>IF(Credit_Assumptions!$C$5=1,S9,INDEX(Credit_Input!$D$8:$D$67,S$4))</f>
        <v/>
      </c>
      <c r="T38" s="80">
        <f>IF(Credit_Assumptions!$C$5=1,T9,INDEX(Credit_Input!$D$8:$D$67,T$4))</f>
        <v/>
      </c>
      <c r="U38" s="80">
        <f>IF(Credit_Assumptions!$C$5=1,U9,INDEX(Credit_Input!$D$8:$D$67,U$4))</f>
        <v/>
      </c>
      <c r="V38" s="80">
        <f>IF(Credit_Assumptions!$C$5=1,V9,INDEX(Credit_Input!$D$8:$D$67,V$4))</f>
        <v/>
      </c>
      <c r="W38" s="80">
        <f>IF(Credit_Assumptions!$C$5=1,W9,INDEX(Credit_Input!$D$8:$D$67,W$4))</f>
        <v/>
      </c>
      <c r="X38" s="80">
        <f>IF(Credit_Assumptions!$C$5=1,X9,INDEX(Credit_Input!$D$8:$D$67,X$4))</f>
        <v/>
      </c>
      <c r="Y38" s="80">
        <f>IF(Credit_Assumptions!$C$5=1,Y9,INDEX(Credit_Input!$D$8:$D$67,Y$4))</f>
        <v/>
      </c>
      <c r="Z38" s="80">
        <f>IF(Credit_Assumptions!$C$5=1,Z9,INDEX(Credit_Input!$D$8:$D$67,Z$4))</f>
        <v/>
      </c>
      <c r="AA38" s="80">
        <f>IF(Credit_Assumptions!$C$5=1,AA9,INDEX(Credit_Input!$D$8:$D$67,AA$4))</f>
        <v/>
      </c>
      <c r="AB38" s="80">
        <f>IF(Credit_Assumptions!$C$5=1,AB9,INDEX(Credit_Input!$D$8:$D$67,AB$4))</f>
        <v/>
      </c>
      <c r="AC38" s="80">
        <f>IF(Credit_Assumptions!$C$5=1,AC9,INDEX(Credit_Input!$D$8:$D$67,AC$4))</f>
        <v/>
      </c>
      <c r="AD38" s="80">
        <f>IF(Credit_Assumptions!$C$5=1,AD9,INDEX(Credit_Input!$D$8:$D$67,AD$4))</f>
        <v/>
      </c>
      <c r="AE38" s="80">
        <f>IF(Credit_Assumptions!$C$5=1,AE9,INDEX(Credit_Input!$D$8:$D$67,AE$4))</f>
        <v/>
      </c>
      <c r="AF38" s="80">
        <f>IF(Credit_Assumptions!$C$5=1,AF9,INDEX(Credit_Input!$D$8:$D$67,AF$4))</f>
        <v/>
      </c>
      <c r="AG38" s="80">
        <f>IF(Credit_Assumptions!$C$5=1,AG9,INDEX(Credit_Input!$D$8:$D$67,AG$4))</f>
        <v/>
      </c>
      <c r="AH38" s="80">
        <f>IF(Credit_Assumptions!$C$5=1,AH9,INDEX(Credit_Input!$D$8:$D$67,AH$4))</f>
        <v/>
      </c>
      <c r="AI38" s="80">
        <f>IF(Credit_Assumptions!$C$5=1,AI9,INDEX(Credit_Input!$D$8:$D$67,AI$4))</f>
        <v/>
      </c>
      <c r="AJ38" s="80">
        <f>IF(Credit_Assumptions!$C$5=1,AJ9,INDEX(Credit_Input!$D$8:$D$67,AJ$4))</f>
        <v/>
      </c>
      <c r="AK38" s="80">
        <f>IF(Credit_Assumptions!$C$5=1,AK9,INDEX(Credit_Input!$D$8:$D$67,AK$4))</f>
        <v/>
      </c>
      <c r="AL38" s="80">
        <f>IF(Credit_Assumptions!$C$5=1,AL9,INDEX(Credit_Input!$D$8:$D$67,AL$4))</f>
        <v/>
      </c>
      <c r="AM38" s="80">
        <f>IF(Credit_Assumptions!$C$5=1,AM9,INDEX(Credit_Input!$D$8:$D$67,AM$4))</f>
        <v/>
      </c>
      <c r="AN38" s="80">
        <f>IF(Credit_Assumptions!$C$5=1,AN9,INDEX(Credit_Input!$D$8:$D$67,AN$4))</f>
        <v/>
      </c>
      <c r="AO38" s="80">
        <f>IF(Credit_Assumptions!$C$5=1,AO9,INDEX(Credit_Input!$D$8:$D$67,AO$4))</f>
        <v/>
      </c>
      <c r="AP38" s="80">
        <f>IF(Credit_Assumptions!$C$5=1,AP9,INDEX(Credit_Input!$D$8:$D$67,AP$4))</f>
        <v/>
      </c>
      <c r="AQ38" s="80">
        <f>IF(Credit_Assumptions!$C$5=1,AQ9,INDEX(Credit_Input!$D$8:$D$67,AQ$4))</f>
        <v/>
      </c>
      <c r="AR38" s="80">
        <f>IF(Credit_Assumptions!$C$5=1,AR9,INDEX(Credit_Input!$D$8:$D$67,AR$4))</f>
        <v/>
      </c>
      <c r="AS38" s="80">
        <f>IF(Credit_Assumptions!$C$5=1,AS9,INDEX(Credit_Input!$D$8:$D$67,AS$4))</f>
        <v/>
      </c>
      <c r="AT38" s="80">
        <f>IF(Credit_Assumptions!$C$5=1,AT9,INDEX(Credit_Input!$D$8:$D$67,AT$4))</f>
        <v/>
      </c>
      <c r="AU38" s="80">
        <f>IF(Credit_Assumptions!$C$5=1,AU9,INDEX(Credit_Input!$D$8:$D$67,AU$4))</f>
        <v/>
      </c>
      <c r="AV38" s="80">
        <f>IF(Credit_Assumptions!$C$5=1,AV9,INDEX(Credit_Input!$D$8:$D$67,AV$4))</f>
        <v/>
      </c>
      <c r="AW38" s="80">
        <f>IF(Credit_Assumptions!$C$5=1,AW9,INDEX(Credit_Input!$D$8:$D$67,AW$4))</f>
        <v/>
      </c>
      <c r="AX38" s="80">
        <f>IF(Credit_Assumptions!$C$5=1,AX9,INDEX(Credit_Input!$D$8:$D$67,AX$4))</f>
        <v/>
      </c>
      <c r="AY38" s="80">
        <f>IF(Credit_Assumptions!$C$5=1,AY9,INDEX(Credit_Input!$D$8:$D$67,AY$4))</f>
        <v/>
      </c>
      <c r="AZ38" s="80">
        <f>IF(Credit_Assumptions!$C$5=1,AZ9,INDEX(Credit_Input!$D$8:$D$67,AZ$4))</f>
        <v/>
      </c>
      <c r="BA38" s="80">
        <f>IF(Credit_Assumptions!$C$5=1,BA9,INDEX(Credit_Input!$D$8:$D$67,BA$4))</f>
        <v/>
      </c>
      <c r="BB38" s="80">
        <f>IF(Credit_Assumptions!$C$5=1,BB9,INDEX(Credit_Input!$D$8:$D$67,BB$4))</f>
        <v/>
      </c>
      <c r="BC38" s="80">
        <f>IF(Credit_Assumptions!$C$5=1,BC9,INDEX(Credit_Input!$D$8:$D$67,BC$4))</f>
        <v/>
      </c>
      <c r="BD38" s="80">
        <f>IF(Credit_Assumptions!$C$5=1,BD9,INDEX(Credit_Input!$D$8:$D$67,BD$4))</f>
        <v/>
      </c>
      <c r="BE38" s="80">
        <f>IF(Credit_Assumptions!$C$5=1,BE9,INDEX(Credit_Input!$D$8:$D$67,BE$4))</f>
        <v/>
      </c>
      <c r="BF38" s="80">
        <f>IF(Credit_Assumptions!$C$5=1,BF9,INDEX(Credit_Input!$D$8:$D$67,BF$4))</f>
        <v/>
      </c>
      <c r="BG38" s="80">
        <f>IF(Credit_Assumptions!$C$5=1,BG9,INDEX(Credit_Input!$D$8:$D$67,BG$4))</f>
        <v/>
      </c>
      <c r="BH38" s="80">
        <f>IF(Credit_Assumptions!$C$5=1,BH9,INDEX(Credit_Input!$D$8:$D$67,BH$4))</f>
        <v/>
      </c>
      <c r="BI38" s="80">
        <f>IF(Credit_Assumptions!$C$5=1,BI9,INDEX(Credit_Input!$D$8:$D$67,BI$4))</f>
        <v/>
      </c>
      <c r="BJ38" s="80">
        <f>IF(Credit_Assumptions!$C$5=1,BJ9,INDEX(Credit_Input!$D$8:$D$67,BJ$4))</f>
        <v/>
      </c>
      <c r="BK38" s="80">
        <f>IF(Credit_Assumptions!$C$5=1,BK9,INDEX(Credit_Input!$D$8:$D$67,BK$4))</f>
        <v/>
      </c>
      <c r="BL38" s="80">
        <f>IF(Credit_Assumptions!$C$5=1,BL9,INDEX(Credit_Input!$D$8:$D$67,BL$4))</f>
        <v/>
      </c>
    </row>
    <row r="39">
      <c r="A39" s="98" t="inlineStr">
        <is>
          <t>Current</t>
        </is>
      </c>
      <c r="B39" s="65" t="inlineStr">
        <is>
          <t>LCY</t>
        </is>
      </c>
      <c r="C39" s="105">
        <f>BL39</f>
        <v/>
      </c>
      <c r="E39" s="80">
        <f>IF(Credit_Assumptions!$C$5=1,E12,INDEX(Credit_Input!$E$8:$E$67,E$4))</f>
        <v/>
      </c>
      <c r="F39" s="80">
        <f>IF(Credit_Assumptions!$C$5=1,F12,INDEX(Credit_Input!$E$8:$E$67,F$4))</f>
        <v/>
      </c>
      <c r="G39" s="80">
        <f>IF(Credit_Assumptions!$C$5=1,G12,INDEX(Credit_Input!$E$8:$E$67,G$4))</f>
        <v/>
      </c>
      <c r="H39" s="80">
        <f>IF(Credit_Assumptions!$C$5=1,H12,INDEX(Credit_Input!$E$8:$E$67,H$4))</f>
        <v/>
      </c>
      <c r="I39" s="80">
        <f>IF(Credit_Assumptions!$C$5=1,I12,INDEX(Credit_Input!$E$8:$E$67,I$4))</f>
        <v/>
      </c>
      <c r="J39" s="80">
        <f>IF(Credit_Assumptions!$C$5=1,J12,INDEX(Credit_Input!$E$8:$E$67,J$4))</f>
        <v/>
      </c>
      <c r="K39" s="80">
        <f>IF(Credit_Assumptions!$C$5=1,K12,INDEX(Credit_Input!$E$8:$E$67,K$4))</f>
        <v/>
      </c>
      <c r="L39" s="80">
        <f>IF(Credit_Assumptions!$C$5=1,L12,INDEX(Credit_Input!$E$8:$E$67,L$4))</f>
        <v/>
      </c>
      <c r="M39" s="80">
        <f>IF(Credit_Assumptions!$C$5=1,M12,INDEX(Credit_Input!$E$8:$E$67,M$4))</f>
        <v/>
      </c>
      <c r="N39" s="80">
        <f>IF(Credit_Assumptions!$C$5=1,N12,INDEX(Credit_Input!$E$8:$E$67,N$4))</f>
        <v/>
      </c>
      <c r="O39" s="80">
        <f>IF(Credit_Assumptions!$C$5=1,O12,INDEX(Credit_Input!$E$8:$E$67,O$4))</f>
        <v/>
      </c>
      <c r="P39" s="80">
        <f>IF(Credit_Assumptions!$C$5=1,P12,INDEX(Credit_Input!$E$8:$E$67,P$4))</f>
        <v/>
      </c>
      <c r="Q39" s="80">
        <f>IF(Credit_Assumptions!$C$5=1,Q12,INDEX(Credit_Input!$E$8:$E$67,Q$4))</f>
        <v/>
      </c>
      <c r="R39" s="80">
        <f>IF(Credit_Assumptions!$C$5=1,R12,INDEX(Credit_Input!$E$8:$E$67,R$4))</f>
        <v/>
      </c>
      <c r="S39" s="80">
        <f>IF(Credit_Assumptions!$C$5=1,S12,INDEX(Credit_Input!$E$8:$E$67,S$4))</f>
        <v/>
      </c>
      <c r="T39" s="80">
        <f>IF(Credit_Assumptions!$C$5=1,T12,INDEX(Credit_Input!$E$8:$E$67,T$4))</f>
        <v/>
      </c>
      <c r="U39" s="80">
        <f>IF(Credit_Assumptions!$C$5=1,U12,INDEX(Credit_Input!$E$8:$E$67,U$4))</f>
        <v/>
      </c>
      <c r="V39" s="80">
        <f>IF(Credit_Assumptions!$C$5=1,V12,INDEX(Credit_Input!$E$8:$E$67,V$4))</f>
        <v/>
      </c>
      <c r="W39" s="80">
        <f>IF(Credit_Assumptions!$C$5=1,W12,INDEX(Credit_Input!$E$8:$E$67,W$4))</f>
        <v/>
      </c>
      <c r="X39" s="80">
        <f>IF(Credit_Assumptions!$C$5=1,X12,INDEX(Credit_Input!$E$8:$E$67,X$4))</f>
        <v/>
      </c>
      <c r="Y39" s="80">
        <f>IF(Credit_Assumptions!$C$5=1,Y12,INDEX(Credit_Input!$E$8:$E$67,Y$4))</f>
        <v/>
      </c>
      <c r="Z39" s="80">
        <f>IF(Credit_Assumptions!$C$5=1,Z12,INDEX(Credit_Input!$E$8:$E$67,Z$4))</f>
        <v/>
      </c>
      <c r="AA39" s="80">
        <f>IF(Credit_Assumptions!$C$5=1,AA12,INDEX(Credit_Input!$E$8:$E$67,AA$4))</f>
        <v/>
      </c>
      <c r="AB39" s="80">
        <f>IF(Credit_Assumptions!$C$5=1,AB12,INDEX(Credit_Input!$E$8:$E$67,AB$4))</f>
        <v/>
      </c>
      <c r="AC39" s="80">
        <f>IF(Credit_Assumptions!$C$5=1,AC12,INDEX(Credit_Input!$E$8:$E$67,AC$4))</f>
        <v/>
      </c>
      <c r="AD39" s="80">
        <f>IF(Credit_Assumptions!$C$5=1,AD12,INDEX(Credit_Input!$E$8:$E$67,AD$4))</f>
        <v/>
      </c>
      <c r="AE39" s="80">
        <f>IF(Credit_Assumptions!$C$5=1,AE12,INDEX(Credit_Input!$E$8:$E$67,AE$4))</f>
        <v/>
      </c>
      <c r="AF39" s="80">
        <f>IF(Credit_Assumptions!$C$5=1,AF12,INDEX(Credit_Input!$E$8:$E$67,AF$4))</f>
        <v/>
      </c>
      <c r="AG39" s="80">
        <f>IF(Credit_Assumptions!$C$5=1,AG12,INDEX(Credit_Input!$E$8:$E$67,AG$4))</f>
        <v/>
      </c>
      <c r="AH39" s="80">
        <f>IF(Credit_Assumptions!$C$5=1,AH12,INDEX(Credit_Input!$E$8:$E$67,AH$4))</f>
        <v/>
      </c>
      <c r="AI39" s="80">
        <f>IF(Credit_Assumptions!$C$5=1,AI12,INDEX(Credit_Input!$E$8:$E$67,AI$4))</f>
        <v/>
      </c>
      <c r="AJ39" s="80">
        <f>IF(Credit_Assumptions!$C$5=1,AJ12,INDEX(Credit_Input!$E$8:$E$67,AJ$4))</f>
        <v/>
      </c>
      <c r="AK39" s="80">
        <f>IF(Credit_Assumptions!$C$5=1,AK12,INDEX(Credit_Input!$E$8:$E$67,AK$4))</f>
        <v/>
      </c>
      <c r="AL39" s="80">
        <f>IF(Credit_Assumptions!$C$5=1,AL12,INDEX(Credit_Input!$E$8:$E$67,AL$4))</f>
        <v/>
      </c>
      <c r="AM39" s="80">
        <f>IF(Credit_Assumptions!$C$5=1,AM12,INDEX(Credit_Input!$E$8:$E$67,AM$4))</f>
        <v/>
      </c>
      <c r="AN39" s="80">
        <f>IF(Credit_Assumptions!$C$5=1,AN12,INDEX(Credit_Input!$E$8:$E$67,AN$4))</f>
        <v/>
      </c>
      <c r="AO39" s="80">
        <f>IF(Credit_Assumptions!$C$5=1,AO12,INDEX(Credit_Input!$E$8:$E$67,AO$4))</f>
        <v/>
      </c>
      <c r="AP39" s="80">
        <f>IF(Credit_Assumptions!$C$5=1,AP12,INDEX(Credit_Input!$E$8:$E$67,AP$4))</f>
        <v/>
      </c>
      <c r="AQ39" s="80">
        <f>IF(Credit_Assumptions!$C$5=1,AQ12,INDEX(Credit_Input!$E$8:$E$67,AQ$4))</f>
        <v/>
      </c>
      <c r="AR39" s="80">
        <f>IF(Credit_Assumptions!$C$5=1,AR12,INDEX(Credit_Input!$E$8:$E$67,AR$4))</f>
        <v/>
      </c>
      <c r="AS39" s="80">
        <f>IF(Credit_Assumptions!$C$5=1,AS12,INDEX(Credit_Input!$E$8:$E$67,AS$4))</f>
        <v/>
      </c>
      <c r="AT39" s="80">
        <f>IF(Credit_Assumptions!$C$5=1,AT12,INDEX(Credit_Input!$E$8:$E$67,AT$4))</f>
        <v/>
      </c>
      <c r="AU39" s="80">
        <f>IF(Credit_Assumptions!$C$5=1,AU12,INDEX(Credit_Input!$E$8:$E$67,AU$4))</f>
        <v/>
      </c>
      <c r="AV39" s="80">
        <f>IF(Credit_Assumptions!$C$5=1,AV12,INDEX(Credit_Input!$E$8:$E$67,AV$4))</f>
        <v/>
      </c>
      <c r="AW39" s="80">
        <f>IF(Credit_Assumptions!$C$5=1,AW12,INDEX(Credit_Input!$E$8:$E$67,AW$4))</f>
        <v/>
      </c>
      <c r="AX39" s="80">
        <f>IF(Credit_Assumptions!$C$5=1,AX12,INDEX(Credit_Input!$E$8:$E$67,AX$4))</f>
        <v/>
      </c>
      <c r="AY39" s="80">
        <f>IF(Credit_Assumptions!$C$5=1,AY12,INDEX(Credit_Input!$E$8:$E$67,AY$4))</f>
        <v/>
      </c>
      <c r="AZ39" s="80">
        <f>IF(Credit_Assumptions!$C$5=1,AZ12,INDEX(Credit_Input!$E$8:$E$67,AZ$4))</f>
        <v/>
      </c>
      <c r="BA39" s="80">
        <f>IF(Credit_Assumptions!$C$5=1,BA12,INDEX(Credit_Input!$E$8:$E$67,BA$4))</f>
        <v/>
      </c>
      <c r="BB39" s="80">
        <f>IF(Credit_Assumptions!$C$5=1,BB12,INDEX(Credit_Input!$E$8:$E$67,BB$4))</f>
        <v/>
      </c>
      <c r="BC39" s="80">
        <f>IF(Credit_Assumptions!$C$5=1,BC12,INDEX(Credit_Input!$E$8:$E$67,BC$4))</f>
        <v/>
      </c>
      <c r="BD39" s="80">
        <f>IF(Credit_Assumptions!$C$5=1,BD12,INDEX(Credit_Input!$E$8:$E$67,BD$4))</f>
        <v/>
      </c>
      <c r="BE39" s="80">
        <f>IF(Credit_Assumptions!$C$5=1,BE12,INDEX(Credit_Input!$E$8:$E$67,BE$4))</f>
        <v/>
      </c>
      <c r="BF39" s="80">
        <f>IF(Credit_Assumptions!$C$5=1,BF12,INDEX(Credit_Input!$E$8:$E$67,BF$4))</f>
        <v/>
      </c>
      <c r="BG39" s="80">
        <f>IF(Credit_Assumptions!$C$5=1,BG12,INDEX(Credit_Input!$E$8:$E$67,BG$4))</f>
        <v/>
      </c>
      <c r="BH39" s="80">
        <f>IF(Credit_Assumptions!$C$5=1,BH12,INDEX(Credit_Input!$E$8:$E$67,BH$4))</f>
        <v/>
      </c>
      <c r="BI39" s="80">
        <f>IF(Credit_Assumptions!$C$5=1,BI12,INDEX(Credit_Input!$E$8:$E$67,BI$4))</f>
        <v/>
      </c>
      <c r="BJ39" s="80">
        <f>IF(Credit_Assumptions!$C$5=1,BJ12,INDEX(Credit_Input!$E$8:$E$67,BJ$4))</f>
        <v/>
      </c>
      <c r="BK39" s="80">
        <f>IF(Credit_Assumptions!$C$5=1,BK12,INDEX(Credit_Input!$E$8:$E$67,BK$4))</f>
        <v/>
      </c>
      <c r="BL39" s="80">
        <f>IF(Credit_Assumptions!$C$5=1,BL12,INDEX(Credit_Input!$E$8:$E$67,BL$4))</f>
        <v/>
      </c>
    </row>
    <row r="40">
      <c r="A40" s="98" t="inlineStr">
        <is>
          <t>1-30 DPD</t>
        </is>
      </c>
      <c r="B40" s="65" t="inlineStr">
        <is>
          <t>LCY</t>
        </is>
      </c>
      <c r="C40" s="105">
        <f>BL40</f>
        <v/>
      </c>
      <c r="E40" s="80">
        <f>IF(Credit_Assumptions!$C$5=1,E13,INDEX(Credit_Input!$F$8:$F$67,E$4))</f>
        <v/>
      </c>
      <c r="F40" s="80">
        <f>IF(Credit_Assumptions!$C$5=1,F13,INDEX(Credit_Input!$F$8:$F$67,F$4))</f>
        <v/>
      </c>
      <c r="G40" s="80">
        <f>IF(Credit_Assumptions!$C$5=1,G13,INDEX(Credit_Input!$F$8:$F$67,G$4))</f>
        <v/>
      </c>
      <c r="H40" s="80">
        <f>IF(Credit_Assumptions!$C$5=1,H13,INDEX(Credit_Input!$F$8:$F$67,H$4))</f>
        <v/>
      </c>
      <c r="I40" s="80">
        <f>IF(Credit_Assumptions!$C$5=1,I13,INDEX(Credit_Input!$F$8:$F$67,I$4))</f>
        <v/>
      </c>
      <c r="J40" s="80">
        <f>IF(Credit_Assumptions!$C$5=1,J13,INDEX(Credit_Input!$F$8:$F$67,J$4))</f>
        <v/>
      </c>
      <c r="K40" s="80">
        <f>IF(Credit_Assumptions!$C$5=1,K13,INDEX(Credit_Input!$F$8:$F$67,K$4))</f>
        <v/>
      </c>
      <c r="L40" s="80">
        <f>IF(Credit_Assumptions!$C$5=1,L13,INDEX(Credit_Input!$F$8:$F$67,L$4))</f>
        <v/>
      </c>
      <c r="M40" s="80">
        <f>IF(Credit_Assumptions!$C$5=1,M13,INDEX(Credit_Input!$F$8:$F$67,M$4))</f>
        <v/>
      </c>
      <c r="N40" s="80">
        <f>IF(Credit_Assumptions!$C$5=1,N13,INDEX(Credit_Input!$F$8:$F$67,N$4))</f>
        <v/>
      </c>
      <c r="O40" s="80">
        <f>IF(Credit_Assumptions!$C$5=1,O13,INDEX(Credit_Input!$F$8:$F$67,O$4))</f>
        <v/>
      </c>
      <c r="P40" s="80">
        <f>IF(Credit_Assumptions!$C$5=1,P13,INDEX(Credit_Input!$F$8:$F$67,P$4))</f>
        <v/>
      </c>
      <c r="Q40" s="80">
        <f>IF(Credit_Assumptions!$C$5=1,Q13,INDEX(Credit_Input!$F$8:$F$67,Q$4))</f>
        <v/>
      </c>
      <c r="R40" s="80">
        <f>IF(Credit_Assumptions!$C$5=1,R13,INDEX(Credit_Input!$F$8:$F$67,R$4))</f>
        <v/>
      </c>
      <c r="S40" s="80">
        <f>IF(Credit_Assumptions!$C$5=1,S13,INDEX(Credit_Input!$F$8:$F$67,S$4))</f>
        <v/>
      </c>
      <c r="T40" s="80">
        <f>IF(Credit_Assumptions!$C$5=1,T13,INDEX(Credit_Input!$F$8:$F$67,T$4))</f>
        <v/>
      </c>
      <c r="U40" s="80">
        <f>IF(Credit_Assumptions!$C$5=1,U13,INDEX(Credit_Input!$F$8:$F$67,U$4))</f>
        <v/>
      </c>
      <c r="V40" s="80">
        <f>IF(Credit_Assumptions!$C$5=1,V13,INDEX(Credit_Input!$F$8:$F$67,V$4))</f>
        <v/>
      </c>
      <c r="W40" s="80">
        <f>IF(Credit_Assumptions!$C$5=1,W13,INDEX(Credit_Input!$F$8:$F$67,W$4))</f>
        <v/>
      </c>
      <c r="X40" s="80">
        <f>IF(Credit_Assumptions!$C$5=1,X13,INDEX(Credit_Input!$F$8:$F$67,X$4))</f>
        <v/>
      </c>
      <c r="Y40" s="80">
        <f>IF(Credit_Assumptions!$C$5=1,Y13,INDEX(Credit_Input!$F$8:$F$67,Y$4))</f>
        <v/>
      </c>
      <c r="Z40" s="80">
        <f>IF(Credit_Assumptions!$C$5=1,Z13,INDEX(Credit_Input!$F$8:$F$67,Z$4))</f>
        <v/>
      </c>
      <c r="AA40" s="80">
        <f>IF(Credit_Assumptions!$C$5=1,AA13,INDEX(Credit_Input!$F$8:$F$67,AA$4))</f>
        <v/>
      </c>
      <c r="AB40" s="80">
        <f>IF(Credit_Assumptions!$C$5=1,AB13,INDEX(Credit_Input!$F$8:$F$67,AB$4))</f>
        <v/>
      </c>
      <c r="AC40" s="80">
        <f>IF(Credit_Assumptions!$C$5=1,AC13,INDEX(Credit_Input!$F$8:$F$67,AC$4))</f>
        <v/>
      </c>
      <c r="AD40" s="80">
        <f>IF(Credit_Assumptions!$C$5=1,AD13,INDEX(Credit_Input!$F$8:$F$67,AD$4))</f>
        <v/>
      </c>
      <c r="AE40" s="80">
        <f>IF(Credit_Assumptions!$C$5=1,AE13,INDEX(Credit_Input!$F$8:$F$67,AE$4))</f>
        <v/>
      </c>
      <c r="AF40" s="80">
        <f>IF(Credit_Assumptions!$C$5=1,AF13,INDEX(Credit_Input!$F$8:$F$67,AF$4))</f>
        <v/>
      </c>
      <c r="AG40" s="80">
        <f>IF(Credit_Assumptions!$C$5=1,AG13,INDEX(Credit_Input!$F$8:$F$67,AG$4))</f>
        <v/>
      </c>
      <c r="AH40" s="80">
        <f>IF(Credit_Assumptions!$C$5=1,AH13,INDEX(Credit_Input!$F$8:$F$67,AH$4))</f>
        <v/>
      </c>
      <c r="AI40" s="80">
        <f>IF(Credit_Assumptions!$C$5=1,AI13,INDEX(Credit_Input!$F$8:$F$67,AI$4))</f>
        <v/>
      </c>
      <c r="AJ40" s="80">
        <f>IF(Credit_Assumptions!$C$5=1,AJ13,INDEX(Credit_Input!$F$8:$F$67,AJ$4))</f>
        <v/>
      </c>
      <c r="AK40" s="80">
        <f>IF(Credit_Assumptions!$C$5=1,AK13,INDEX(Credit_Input!$F$8:$F$67,AK$4))</f>
        <v/>
      </c>
      <c r="AL40" s="80">
        <f>IF(Credit_Assumptions!$C$5=1,AL13,INDEX(Credit_Input!$F$8:$F$67,AL$4))</f>
        <v/>
      </c>
      <c r="AM40" s="80">
        <f>IF(Credit_Assumptions!$C$5=1,AM13,INDEX(Credit_Input!$F$8:$F$67,AM$4))</f>
        <v/>
      </c>
      <c r="AN40" s="80">
        <f>IF(Credit_Assumptions!$C$5=1,AN13,INDEX(Credit_Input!$F$8:$F$67,AN$4))</f>
        <v/>
      </c>
      <c r="AO40" s="80">
        <f>IF(Credit_Assumptions!$C$5=1,AO13,INDEX(Credit_Input!$F$8:$F$67,AO$4))</f>
        <v/>
      </c>
      <c r="AP40" s="80">
        <f>IF(Credit_Assumptions!$C$5=1,AP13,INDEX(Credit_Input!$F$8:$F$67,AP$4))</f>
        <v/>
      </c>
      <c r="AQ40" s="80">
        <f>IF(Credit_Assumptions!$C$5=1,AQ13,INDEX(Credit_Input!$F$8:$F$67,AQ$4))</f>
        <v/>
      </c>
      <c r="AR40" s="80">
        <f>IF(Credit_Assumptions!$C$5=1,AR13,INDEX(Credit_Input!$F$8:$F$67,AR$4))</f>
        <v/>
      </c>
      <c r="AS40" s="80">
        <f>IF(Credit_Assumptions!$C$5=1,AS13,INDEX(Credit_Input!$F$8:$F$67,AS$4))</f>
        <v/>
      </c>
      <c r="AT40" s="80">
        <f>IF(Credit_Assumptions!$C$5=1,AT13,INDEX(Credit_Input!$F$8:$F$67,AT$4))</f>
        <v/>
      </c>
      <c r="AU40" s="80">
        <f>IF(Credit_Assumptions!$C$5=1,AU13,INDEX(Credit_Input!$F$8:$F$67,AU$4))</f>
        <v/>
      </c>
      <c r="AV40" s="80">
        <f>IF(Credit_Assumptions!$C$5=1,AV13,INDEX(Credit_Input!$F$8:$F$67,AV$4))</f>
        <v/>
      </c>
      <c r="AW40" s="80">
        <f>IF(Credit_Assumptions!$C$5=1,AW13,INDEX(Credit_Input!$F$8:$F$67,AW$4))</f>
        <v/>
      </c>
      <c r="AX40" s="80">
        <f>IF(Credit_Assumptions!$C$5=1,AX13,INDEX(Credit_Input!$F$8:$F$67,AX$4))</f>
        <v/>
      </c>
      <c r="AY40" s="80">
        <f>IF(Credit_Assumptions!$C$5=1,AY13,INDEX(Credit_Input!$F$8:$F$67,AY$4))</f>
        <v/>
      </c>
      <c r="AZ40" s="80">
        <f>IF(Credit_Assumptions!$C$5=1,AZ13,INDEX(Credit_Input!$F$8:$F$67,AZ$4))</f>
        <v/>
      </c>
      <c r="BA40" s="80">
        <f>IF(Credit_Assumptions!$C$5=1,BA13,INDEX(Credit_Input!$F$8:$F$67,BA$4))</f>
        <v/>
      </c>
      <c r="BB40" s="80">
        <f>IF(Credit_Assumptions!$C$5=1,BB13,INDEX(Credit_Input!$F$8:$F$67,BB$4))</f>
        <v/>
      </c>
      <c r="BC40" s="80">
        <f>IF(Credit_Assumptions!$C$5=1,BC13,INDEX(Credit_Input!$F$8:$F$67,BC$4))</f>
        <v/>
      </c>
      <c r="BD40" s="80">
        <f>IF(Credit_Assumptions!$C$5=1,BD13,INDEX(Credit_Input!$F$8:$F$67,BD$4))</f>
        <v/>
      </c>
      <c r="BE40" s="80">
        <f>IF(Credit_Assumptions!$C$5=1,BE13,INDEX(Credit_Input!$F$8:$F$67,BE$4))</f>
        <v/>
      </c>
      <c r="BF40" s="80">
        <f>IF(Credit_Assumptions!$C$5=1,BF13,INDEX(Credit_Input!$F$8:$F$67,BF$4))</f>
        <v/>
      </c>
      <c r="BG40" s="80">
        <f>IF(Credit_Assumptions!$C$5=1,BG13,INDEX(Credit_Input!$F$8:$F$67,BG$4))</f>
        <v/>
      </c>
      <c r="BH40" s="80">
        <f>IF(Credit_Assumptions!$C$5=1,BH13,INDEX(Credit_Input!$F$8:$F$67,BH$4))</f>
        <v/>
      </c>
      <c r="BI40" s="80">
        <f>IF(Credit_Assumptions!$C$5=1,BI13,INDEX(Credit_Input!$F$8:$F$67,BI$4))</f>
        <v/>
      </c>
      <c r="BJ40" s="80">
        <f>IF(Credit_Assumptions!$C$5=1,BJ13,INDEX(Credit_Input!$F$8:$F$67,BJ$4))</f>
        <v/>
      </c>
      <c r="BK40" s="80">
        <f>IF(Credit_Assumptions!$C$5=1,BK13,INDEX(Credit_Input!$F$8:$F$67,BK$4))</f>
        <v/>
      </c>
      <c r="BL40" s="80">
        <f>IF(Credit_Assumptions!$C$5=1,BL13,INDEX(Credit_Input!$F$8:$F$67,BL$4))</f>
        <v/>
      </c>
    </row>
    <row r="41">
      <c r="A41" s="98" t="inlineStr">
        <is>
          <t>31-60 DPD</t>
        </is>
      </c>
      <c r="B41" s="65" t="inlineStr">
        <is>
          <t>LCY</t>
        </is>
      </c>
      <c r="C41" s="105">
        <f>BL41</f>
        <v/>
      </c>
      <c r="E41" s="80">
        <f>IF(Credit_Assumptions!$C$5=1,E14,INDEX(Credit_Input!$G$8:$G$67,E$4))</f>
        <v/>
      </c>
      <c r="F41" s="80">
        <f>IF(Credit_Assumptions!$C$5=1,F14,INDEX(Credit_Input!$G$8:$G$67,F$4))</f>
        <v/>
      </c>
      <c r="G41" s="80">
        <f>IF(Credit_Assumptions!$C$5=1,G14,INDEX(Credit_Input!$G$8:$G$67,G$4))</f>
        <v/>
      </c>
      <c r="H41" s="80">
        <f>IF(Credit_Assumptions!$C$5=1,H14,INDEX(Credit_Input!$G$8:$G$67,H$4))</f>
        <v/>
      </c>
      <c r="I41" s="80">
        <f>IF(Credit_Assumptions!$C$5=1,I14,INDEX(Credit_Input!$G$8:$G$67,I$4))</f>
        <v/>
      </c>
      <c r="J41" s="80">
        <f>IF(Credit_Assumptions!$C$5=1,J14,INDEX(Credit_Input!$G$8:$G$67,J$4))</f>
        <v/>
      </c>
      <c r="K41" s="80">
        <f>IF(Credit_Assumptions!$C$5=1,K14,INDEX(Credit_Input!$G$8:$G$67,K$4))</f>
        <v/>
      </c>
      <c r="L41" s="80">
        <f>IF(Credit_Assumptions!$C$5=1,L14,INDEX(Credit_Input!$G$8:$G$67,L$4))</f>
        <v/>
      </c>
      <c r="M41" s="80">
        <f>IF(Credit_Assumptions!$C$5=1,M14,INDEX(Credit_Input!$G$8:$G$67,M$4))</f>
        <v/>
      </c>
      <c r="N41" s="80">
        <f>IF(Credit_Assumptions!$C$5=1,N14,INDEX(Credit_Input!$G$8:$G$67,N$4))</f>
        <v/>
      </c>
      <c r="O41" s="80">
        <f>IF(Credit_Assumptions!$C$5=1,O14,INDEX(Credit_Input!$G$8:$G$67,O$4))</f>
        <v/>
      </c>
      <c r="P41" s="80">
        <f>IF(Credit_Assumptions!$C$5=1,P14,INDEX(Credit_Input!$G$8:$G$67,P$4))</f>
        <v/>
      </c>
      <c r="Q41" s="80">
        <f>IF(Credit_Assumptions!$C$5=1,Q14,INDEX(Credit_Input!$G$8:$G$67,Q$4))</f>
        <v/>
      </c>
      <c r="R41" s="80">
        <f>IF(Credit_Assumptions!$C$5=1,R14,INDEX(Credit_Input!$G$8:$G$67,R$4))</f>
        <v/>
      </c>
      <c r="S41" s="80">
        <f>IF(Credit_Assumptions!$C$5=1,S14,INDEX(Credit_Input!$G$8:$G$67,S$4))</f>
        <v/>
      </c>
      <c r="T41" s="80">
        <f>IF(Credit_Assumptions!$C$5=1,T14,INDEX(Credit_Input!$G$8:$G$67,T$4))</f>
        <v/>
      </c>
      <c r="U41" s="80">
        <f>IF(Credit_Assumptions!$C$5=1,U14,INDEX(Credit_Input!$G$8:$G$67,U$4))</f>
        <v/>
      </c>
      <c r="V41" s="80">
        <f>IF(Credit_Assumptions!$C$5=1,V14,INDEX(Credit_Input!$G$8:$G$67,V$4))</f>
        <v/>
      </c>
      <c r="W41" s="80">
        <f>IF(Credit_Assumptions!$C$5=1,W14,INDEX(Credit_Input!$G$8:$G$67,W$4))</f>
        <v/>
      </c>
      <c r="X41" s="80">
        <f>IF(Credit_Assumptions!$C$5=1,X14,INDEX(Credit_Input!$G$8:$G$67,X$4))</f>
        <v/>
      </c>
      <c r="Y41" s="80">
        <f>IF(Credit_Assumptions!$C$5=1,Y14,INDEX(Credit_Input!$G$8:$G$67,Y$4))</f>
        <v/>
      </c>
      <c r="Z41" s="80">
        <f>IF(Credit_Assumptions!$C$5=1,Z14,INDEX(Credit_Input!$G$8:$G$67,Z$4))</f>
        <v/>
      </c>
      <c r="AA41" s="80">
        <f>IF(Credit_Assumptions!$C$5=1,AA14,INDEX(Credit_Input!$G$8:$G$67,AA$4))</f>
        <v/>
      </c>
      <c r="AB41" s="80">
        <f>IF(Credit_Assumptions!$C$5=1,AB14,INDEX(Credit_Input!$G$8:$G$67,AB$4))</f>
        <v/>
      </c>
      <c r="AC41" s="80">
        <f>IF(Credit_Assumptions!$C$5=1,AC14,INDEX(Credit_Input!$G$8:$G$67,AC$4))</f>
        <v/>
      </c>
      <c r="AD41" s="80">
        <f>IF(Credit_Assumptions!$C$5=1,AD14,INDEX(Credit_Input!$G$8:$G$67,AD$4))</f>
        <v/>
      </c>
      <c r="AE41" s="80">
        <f>IF(Credit_Assumptions!$C$5=1,AE14,INDEX(Credit_Input!$G$8:$G$67,AE$4))</f>
        <v/>
      </c>
      <c r="AF41" s="80">
        <f>IF(Credit_Assumptions!$C$5=1,AF14,INDEX(Credit_Input!$G$8:$G$67,AF$4))</f>
        <v/>
      </c>
      <c r="AG41" s="80">
        <f>IF(Credit_Assumptions!$C$5=1,AG14,INDEX(Credit_Input!$G$8:$G$67,AG$4))</f>
        <v/>
      </c>
      <c r="AH41" s="80">
        <f>IF(Credit_Assumptions!$C$5=1,AH14,INDEX(Credit_Input!$G$8:$G$67,AH$4))</f>
        <v/>
      </c>
      <c r="AI41" s="80">
        <f>IF(Credit_Assumptions!$C$5=1,AI14,INDEX(Credit_Input!$G$8:$G$67,AI$4))</f>
        <v/>
      </c>
      <c r="AJ41" s="80">
        <f>IF(Credit_Assumptions!$C$5=1,AJ14,INDEX(Credit_Input!$G$8:$G$67,AJ$4))</f>
        <v/>
      </c>
      <c r="AK41" s="80">
        <f>IF(Credit_Assumptions!$C$5=1,AK14,INDEX(Credit_Input!$G$8:$G$67,AK$4))</f>
        <v/>
      </c>
      <c r="AL41" s="80">
        <f>IF(Credit_Assumptions!$C$5=1,AL14,INDEX(Credit_Input!$G$8:$G$67,AL$4))</f>
        <v/>
      </c>
      <c r="AM41" s="80">
        <f>IF(Credit_Assumptions!$C$5=1,AM14,INDEX(Credit_Input!$G$8:$G$67,AM$4))</f>
        <v/>
      </c>
      <c r="AN41" s="80">
        <f>IF(Credit_Assumptions!$C$5=1,AN14,INDEX(Credit_Input!$G$8:$G$67,AN$4))</f>
        <v/>
      </c>
      <c r="AO41" s="80">
        <f>IF(Credit_Assumptions!$C$5=1,AO14,INDEX(Credit_Input!$G$8:$G$67,AO$4))</f>
        <v/>
      </c>
      <c r="AP41" s="80">
        <f>IF(Credit_Assumptions!$C$5=1,AP14,INDEX(Credit_Input!$G$8:$G$67,AP$4))</f>
        <v/>
      </c>
      <c r="AQ41" s="80">
        <f>IF(Credit_Assumptions!$C$5=1,AQ14,INDEX(Credit_Input!$G$8:$G$67,AQ$4))</f>
        <v/>
      </c>
      <c r="AR41" s="80">
        <f>IF(Credit_Assumptions!$C$5=1,AR14,INDEX(Credit_Input!$G$8:$G$67,AR$4))</f>
        <v/>
      </c>
      <c r="AS41" s="80">
        <f>IF(Credit_Assumptions!$C$5=1,AS14,INDEX(Credit_Input!$G$8:$G$67,AS$4))</f>
        <v/>
      </c>
      <c r="AT41" s="80">
        <f>IF(Credit_Assumptions!$C$5=1,AT14,INDEX(Credit_Input!$G$8:$G$67,AT$4))</f>
        <v/>
      </c>
      <c r="AU41" s="80">
        <f>IF(Credit_Assumptions!$C$5=1,AU14,INDEX(Credit_Input!$G$8:$G$67,AU$4))</f>
        <v/>
      </c>
      <c r="AV41" s="80">
        <f>IF(Credit_Assumptions!$C$5=1,AV14,INDEX(Credit_Input!$G$8:$G$67,AV$4))</f>
        <v/>
      </c>
      <c r="AW41" s="80">
        <f>IF(Credit_Assumptions!$C$5=1,AW14,INDEX(Credit_Input!$G$8:$G$67,AW$4))</f>
        <v/>
      </c>
      <c r="AX41" s="80">
        <f>IF(Credit_Assumptions!$C$5=1,AX14,INDEX(Credit_Input!$G$8:$G$67,AX$4))</f>
        <v/>
      </c>
      <c r="AY41" s="80">
        <f>IF(Credit_Assumptions!$C$5=1,AY14,INDEX(Credit_Input!$G$8:$G$67,AY$4))</f>
        <v/>
      </c>
      <c r="AZ41" s="80">
        <f>IF(Credit_Assumptions!$C$5=1,AZ14,INDEX(Credit_Input!$G$8:$G$67,AZ$4))</f>
        <v/>
      </c>
      <c r="BA41" s="80">
        <f>IF(Credit_Assumptions!$C$5=1,BA14,INDEX(Credit_Input!$G$8:$G$67,BA$4))</f>
        <v/>
      </c>
      <c r="BB41" s="80">
        <f>IF(Credit_Assumptions!$C$5=1,BB14,INDEX(Credit_Input!$G$8:$G$67,BB$4))</f>
        <v/>
      </c>
      <c r="BC41" s="80">
        <f>IF(Credit_Assumptions!$C$5=1,BC14,INDEX(Credit_Input!$G$8:$G$67,BC$4))</f>
        <v/>
      </c>
      <c r="BD41" s="80">
        <f>IF(Credit_Assumptions!$C$5=1,BD14,INDEX(Credit_Input!$G$8:$G$67,BD$4))</f>
        <v/>
      </c>
      <c r="BE41" s="80">
        <f>IF(Credit_Assumptions!$C$5=1,BE14,INDEX(Credit_Input!$G$8:$G$67,BE$4))</f>
        <v/>
      </c>
      <c r="BF41" s="80">
        <f>IF(Credit_Assumptions!$C$5=1,BF14,INDEX(Credit_Input!$G$8:$G$67,BF$4))</f>
        <v/>
      </c>
      <c r="BG41" s="80">
        <f>IF(Credit_Assumptions!$C$5=1,BG14,INDEX(Credit_Input!$G$8:$G$67,BG$4))</f>
        <v/>
      </c>
      <c r="BH41" s="80">
        <f>IF(Credit_Assumptions!$C$5=1,BH14,INDEX(Credit_Input!$G$8:$G$67,BH$4))</f>
        <v/>
      </c>
      <c r="BI41" s="80">
        <f>IF(Credit_Assumptions!$C$5=1,BI14,INDEX(Credit_Input!$G$8:$G$67,BI$4))</f>
        <v/>
      </c>
      <c r="BJ41" s="80">
        <f>IF(Credit_Assumptions!$C$5=1,BJ14,INDEX(Credit_Input!$G$8:$G$67,BJ$4))</f>
        <v/>
      </c>
      <c r="BK41" s="80">
        <f>IF(Credit_Assumptions!$C$5=1,BK14,INDEX(Credit_Input!$G$8:$G$67,BK$4))</f>
        <v/>
      </c>
      <c r="BL41" s="80">
        <f>IF(Credit_Assumptions!$C$5=1,BL14,INDEX(Credit_Input!$G$8:$G$67,BL$4))</f>
        <v/>
      </c>
    </row>
    <row r="42">
      <c r="A42" s="98" t="inlineStr">
        <is>
          <t>61-90 DPD</t>
        </is>
      </c>
      <c r="B42" s="65" t="inlineStr">
        <is>
          <t>LCY</t>
        </is>
      </c>
      <c r="C42" s="105">
        <f>BL42</f>
        <v/>
      </c>
      <c r="E42" s="80">
        <f>IF(Credit_Assumptions!$C$5=1,E15,INDEX(Credit_Input!$H$8:$H$67,E$4))</f>
        <v/>
      </c>
      <c r="F42" s="80">
        <f>IF(Credit_Assumptions!$C$5=1,F15,INDEX(Credit_Input!$H$8:$H$67,F$4))</f>
        <v/>
      </c>
      <c r="G42" s="80">
        <f>IF(Credit_Assumptions!$C$5=1,G15,INDEX(Credit_Input!$H$8:$H$67,G$4))</f>
        <v/>
      </c>
      <c r="H42" s="80">
        <f>IF(Credit_Assumptions!$C$5=1,H15,INDEX(Credit_Input!$H$8:$H$67,H$4))</f>
        <v/>
      </c>
      <c r="I42" s="80">
        <f>IF(Credit_Assumptions!$C$5=1,I15,INDEX(Credit_Input!$H$8:$H$67,I$4))</f>
        <v/>
      </c>
      <c r="J42" s="80">
        <f>IF(Credit_Assumptions!$C$5=1,J15,INDEX(Credit_Input!$H$8:$H$67,J$4))</f>
        <v/>
      </c>
      <c r="K42" s="80">
        <f>IF(Credit_Assumptions!$C$5=1,K15,INDEX(Credit_Input!$H$8:$H$67,K$4))</f>
        <v/>
      </c>
      <c r="L42" s="80">
        <f>IF(Credit_Assumptions!$C$5=1,L15,INDEX(Credit_Input!$H$8:$H$67,L$4))</f>
        <v/>
      </c>
      <c r="M42" s="80">
        <f>IF(Credit_Assumptions!$C$5=1,M15,INDEX(Credit_Input!$H$8:$H$67,M$4))</f>
        <v/>
      </c>
      <c r="N42" s="80">
        <f>IF(Credit_Assumptions!$C$5=1,N15,INDEX(Credit_Input!$H$8:$H$67,N$4))</f>
        <v/>
      </c>
      <c r="O42" s="80">
        <f>IF(Credit_Assumptions!$C$5=1,O15,INDEX(Credit_Input!$H$8:$H$67,O$4))</f>
        <v/>
      </c>
      <c r="P42" s="80">
        <f>IF(Credit_Assumptions!$C$5=1,P15,INDEX(Credit_Input!$H$8:$H$67,P$4))</f>
        <v/>
      </c>
      <c r="Q42" s="80">
        <f>IF(Credit_Assumptions!$C$5=1,Q15,INDEX(Credit_Input!$H$8:$H$67,Q$4))</f>
        <v/>
      </c>
      <c r="R42" s="80">
        <f>IF(Credit_Assumptions!$C$5=1,R15,INDEX(Credit_Input!$H$8:$H$67,R$4))</f>
        <v/>
      </c>
      <c r="S42" s="80">
        <f>IF(Credit_Assumptions!$C$5=1,S15,INDEX(Credit_Input!$H$8:$H$67,S$4))</f>
        <v/>
      </c>
      <c r="T42" s="80">
        <f>IF(Credit_Assumptions!$C$5=1,T15,INDEX(Credit_Input!$H$8:$H$67,T$4))</f>
        <v/>
      </c>
      <c r="U42" s="80">
        <f>IF(Credit_Assumptions!$C$5=1,U15,INDEX(Credit_Input!$H$8:$H$67,U$4))</f>
        <v/>
      </c>
      <c r="V42" s="80">
        <f>IF(Credit_Assumptions!$C$5=1,V15,INDEX(Credit_Input!$H$8:$H$67,V$4))</f>
        <v/>
      </c>
      <c r="W42" s="80">
        <f>IF(Credit_Assumptions!$C$5=1,W15,INDEX(Credit_Input!$H$8:$H$67,W$4))</f>
        <v/>
      </c>
      <c r="X42" s="80">
        <f>IF(Credit_Assumptions!$C$5=1,X15,INDEX(Credit_Input!$H$8:$H$67,X$4))</f>
        <v/>
      </c>
      <c r="Y42" s="80">
        <f>IF(Credit_Assumptions!$C$5=1,Y15,INDEX(Credit_Input!$H$8:$H$67,Y$4))</f>
        <v/>
      </c>
      <c r="Z42" s="80">
        <f>IF(Credit_Assumptions!$C$5=1,Z15,INDEX(Credit_Input!$H$8:$H$67,Z$4))</f>
        <v/>
      </c>
      <c r="AA42" s="80">
        <f>IF(Credit_Assumptions!$C$5=1,AA15,INDEX(Credit_Input!$H$8:$H$67,AA$4))</f>
        <v/>
      </c>
      <c r="AB42" s="80">
        <f>IF(Credit_Assumptions!$C$5=1,AB15,INDEX(Credit_Input!$H$8:$H$67,AB$4))</f>
        <v/>
      </c>
      <c r="AC42" s="80">
        <f>IF(Credit_Assumptions!$C$5=1,AC15,INDEX(Credit_Input!$H$8:$H$67,AC$4))</f>
        <v/>
      </c>
      <c r="AD42" s="80">
        <f>IF(Credit_Assumptions!$C$5=1,AD15,INDEX(Credit_Input!$H$8:$H$67,AD$4))</f>
        <v/>
      </c>
      <c r="AE42" s="80">
        <f>IF(Credit_Assumptions!$C$5=1,AE15,INDEX(Credit_Input!$H$8:$H$67,AE$4))</f>
        <v/>
      </c>
      <c r="AF42" s="80">
        <f>IF(Credit_Assumptions!$C$5=1,AF15,INDEX(Credit_Input!$H$8:$H$67,AF$4))</f>
        <v/>
      </c>
      <c r="AG42" s="80">
        <f>IF(Credit_Assumptions!$C$5=1,AG15,INDEX(Credit_Input!$H$8:$H$67,AG$4))</f>
        <v/>
      </c>
      <c r="AH42" s="80">
        <f>IF(Credit_Assumptions!$C$5=1,AH15,INDEX(Credit_Input!$H$8:$H$67,AH$4))</f>
        <v/>
      </c>
      <c r="AI42" s="80">
        <f>IF(Credit_Assumptions!$C$5=1,AI15,INDEX(Credit_Input!$H$8:$H$67,AI$4))</f>
        <v/>
      </c>
      <c r="AJ42" s="80">
        <f>IF(Credit_Assumptions!$C$5=1,AJ15,INDEX(Credit_Input!$H$8:$H$67,AJ$4))</f>
        <v/>
      </c>
      <c r="AK42" s="80">
        <f>IF(Credit_Assumptions!$C$5=1,AK15,INDEX(Credit_Input!$H$8:$H$67,AK$4))</f>
        <v/>
      </c>
      <c r="AL42" s="80">
        <f>IF(Credit_Assumptions!$C$5=1,AL15,INDEX(Credit_Input!$H$8:$H$67,AL$4))</f>
        <v/>
      </c>
      <c r="AM42" s="80">
        <f>IF(Credit_Assumptions!$C$5=1,AM15,INDEX(Credit_Input!$H$8:$H$67,AM$4))</f>
        <v/>
      </c>
      <c r="AN42" s="80">
        <f>IF(Credit_Assumptions!$C$5=1,AN15,INDEX(Credit_Input!$H$8:$H$67,AN$4))</f>
        <v/>
      </c>
      <c r="AO42" s="80">
        <f>IF(Credit_Assumptions!$C$5=1,AO15,INDEX(Credit_Input!$H$8:$H$67,AO$4))</f>
        <v/>
      </c>
      <c r="AP42" s="80">
        <f>IF(Credit_Assumptions!$C$5=1,AP15,INDEX(Credit_Input!$H$8:$H$67,AP$4))</f>
        <v/>
      </c>
      <c r="AQ42" s="80">
        <f>IF(Credit_Assumptions!$C$5=1,AQ15,INDEX(Credit_Input!$H$8:$H$67,AQ$4))</f>
        <v/>
      </c>
      <c r="AR42" s="80">
        <f>IF(Credit_Assumptions!$C$5=1,AR15,INDEX(Credit_Input!$H$8:$H$67,AR$4))</f>
        <v/>
      </c>
      <c r="AS42" s="80">
        <f>IF(Credit_Assumptions!$C$5=1,AS15,INDEX(Credit_Input!$H$8:$H$67,AS$4))</f>
        <v/>
      </c>
      <c r="AT42" s="80">
        <f>IF(Credit_Assumptions!$C$5=1,AT15,INDEX(Credit_Input!$H$8:$H$67,AT$4))</f>
        <v/>
      </c>
      <c r="AU42" s="80">
        <f>IF(Credit_Assumptions!$C$5=1,AU15,INDEX(Credit_Input!$H$8:$H$67,AU$4))</f>
        <v/>
      </c>
      <c r="AV42" s="80">
        <f>IF(Credit_Assumptions!$C$5=1,AV15,INDEX(Credit_Input!$H$8:$H$67,AV$4))</f>
        <v/>
      </c>
      <c r="AW42" s="80">
        <f>IF(Credit_Assumptions!$C$5=1,AW15,INDEX(Credit_Input!$H$8:$H$67,AW$4))</f>
        <v/>
      </c>
      <c r="AX42" s="80">
        <f>IF(Credit_Assumptions!$C$5=1,AX15,INDEX(Credit_Input!$H$8:$H$67,AX$4))</f>
        <v/>
      </c>
      <c r="AY42" s="80">
        <f>IF(Credit_Assumptions!$C$5=1,AY15,INDEX(Credit_Input!$H$8:$H$67,AY$4))</f>
        <v/>
      </c>
      <c r="AZ42" s="80">
        <f>IF(Credit_Assumptions!$C$5=1,AZ15,INDEX(Credit_Input!$H$8:$H$67,AZ$4))</f>
        <v/>
      </c>
      <c r="BA42" s="80">
        <f>IF(Credit_Assumptions!$C$5=1,BA15,INDEX(Credit_Input!$H$8:$H$67,BA$4))</f>
        <v/>
      </c>
      <c r="BB42" s="80">
        <f>IF(Credit_Assumptions!$C$5=1,BB15,INDEX(Credit_Input!$H$8:$H$67,BB$4))</f>
        <v/>
      </c>
      <c r="BC42" s="80">
        <f>IF(Credit_Assumptions!$C$5=1,BC15,INDEX(Credit_Input!$H$8:$H$67,BC$4))</f>
        <v/>
      </c>
      <c r="BD42" s="80">
        <f>IF(Credit_Assumptions!$C$5=1,BD15,INDEX(Credit_Input!$H$8:$H$67,BD$4))</f>
        <v/>
      </c>
      <c r="BE42" s="80">
        <f>IF(Credit_Assumptions!$C$5=1,BE15,INDEX(Credit_Input!$H$8:$H$67,BE$4))</f>
        <v/>
      </c>
      <c r="BF42" s="80">
        <f>IF(Credit_Assumptions!$C$5=1,BF15,INDEX(Credit_Input!$H$8:$H$67,BF$4))</f>
        <v/>
      </c>
      <c r="BG42" s="80">
        <f>IF(Credit_Assumptions!$C$5=1,BG15,INDEX(Credit_Input!$H$8:$H$67,BG$4))</f>
        <v/>
      </c>
      <c r="BH42" s="80">
        <f>IF(Credit_Assumptions!$C$5=1,BH15,INDEX(Credit_Input!$H$8:$H$67,BH$4))</f>
        <v/>
      </c>
      <c r="BI42" s="80">
        <f>IF(Credit_Assumptions!$C$5=1,BI15,INDEX(Credit_Input!$H$8:$H$67,BI$4))</f>
        <v/>
      </c>
      <c r="BJ42" s="80">
        <f>IF(Credit_Assumptions!$C$5=1,BJ15,INDEX(Credit_Input!$H$8:$H$67,BJ$4))</f>
        <v/>
      </c>
      <c r="BK42" s="80">
        <f>IF(Credit_Assumptions!$C$5=1,BK15,INDEX(Credit_Input!$H$8:$H$67,BK$4))</f>
        <v/>
      </c>
      <c r="BL42" s="80">
        <f>IF(Credit_Assumptions!$C$5=1,BL15,INDEX(Credit_Input!$H$8:$H$67,BL$4))</f>
        <v/>
      </c>
    </row>
    <row r="43">
      <c r="A43" s="98" t="inlineStr">
        <is>
          <t>91-180 DPD</t>
        </is>
      </c>
      <c r="B43" s="65" t="inlineStr">
        <is>
          <t>LCY</t>
        </is>
      </c>
      <c r="C43" s="105">
        <f>BL43</f>
        <v/>
      </c>
      <c r="E43" s="80">
        <f>IF(Credit_Assumptions!$C$5=1,E16,INDEX(Credit_Input!$I$8:$I$67,E$4))</f>
        <v/>
      </c>
      <c r="F43" s="80">
        <f>IF(Credit_Assumptions!$C$5=1,F16,INDEX(Credit_Input!$I$8:$I$67,F$4))</f>
        <v/>
      </c>
      <c r="G43" s="80">
        <f>IF(Credit_Assumptions!$C$5=1,G16,INDEX(Credit_Input!$I$8:$I$67,G$4))</f>
        <v/>
      </c>
      <c r="H43" s="80">
        <f>IF(Credit_Assumptions!$C$5=1,H16,INDEX(Credit_Input!$I$8:$I$67,H$4))</f>
        <v/>
      </c>
      <c r="I43" s="80">
        <f>IF(Credit_Assumptions!$C$5=1,I16,INDEX(Credit_Input!$I$8:$I$67,I$4))</f>
        <v/>
      </c>
      <c r="J43" s="80">
        <f>IF(Credit_Assumptions!$C$5=1,J16,INDEX(Credit_Input!$I$8:$I$67,J$4))</f>
        <v/>
      </c>
      <c r="K43" s="80">
        <f>IF(Credit_Assumptions!$C$5=1,K16,INDEX(Credit_Input!$I$8:$I$67,K$4))</f>
        <v/>
      </c>
      <c r="L43" s="80">
        <f>IF(Credit_Assumptions!$C$5=1,L16,INDEX(Credit_Input!$I$8:$I$67,L$4))</f>
        <v/>
      </c>
      <c r="M43" s="80">
        <f>IF(Credit_Assumptions!$C$5=1,M16,INDEX(Credit_Input!$I$8:$I$67,M$4))</f>
        <v/>
      </c>
      <c r="N43" s="80">
        <f>IF(Credit_Assumptions!$C$5=1,N16,INDEX(Credit_Input!$I$8:$I$67,N$4))</f>
        <v/>
      </c>
      <c r="O43" s="80">
        <f>IF(Credit_Assumptions!$C$5=1,O16,INDEX(Credit_Input!$I$8:$I$67,O$4))</f>
        <v/>
      </c>
      <c r="P43" s="80">
        <f>IF(Credit_Assumptions!$C$5=1,P16,INDEX(Credit_Input!$I$8:$I$67,P$4))</f>
        <v/>
      </c>
      <c r="Q43" s="80">
        <f>IF(Credit_Assumptions!$C$5=1,Q16,INDEX(Credit_Input!$I$8:$I$67,Q$4))</f>
        <v/>
      </c>
      <c r="R43" s="80">
        <f>IF(Credit_Assumptions!$C$5=1,R16,INDEX(Credit_Input!$I$8:$I$67,R$4))</f>
        <v/>
      </c>
      <c r="S43" s="80">
        <f>IF(Credit_Assumptions!$C$5=1,S16,INDEX(Credit_Input!$I$8:$I$67,S$4))</f>
        <v/>
      </c>
      <c r="T43" s="80">
        <f>IF(Credit_Assumptions!$C$5=1,T16,INDEX(Credit_Input!$I$8:$I$67,T$4))</f>
        <v/>
      </c>
      <c r="U43" s="80">
        <f>IF(Credit_Assumptions!$C$5=1,U16,INDEX(Credit_Input!$I$8:$I$67,U$4))</f>
        <v/>
      </c>
      <c r="V43" s="80">
        <f>IF(Credit_Assumptions!$C$5=1,V16,INDEX(Credit_Input!$I$8:$I$67,V$4))</f>
        <v/>
      </c>
      <c r="W43" s="80">
        <f>IF(Credit_Assumptions!$C$5=1,W16,INDEX(Credit_Input!$I$8:$I$67,W$4))</f>
        <v/>
      </c>
      <c r="X43" s="80">
        <f>IF(Credit_Assumptions!$C$5=1,X16,INDEX(Credit_Input!$I$8:$I$67,X$4))</f>
        <v/>
      </c>
      <c r="Y43" s="80">
        <f>IF(Credit_Assumptions!$C$5=1,Y16,INDEX(Credit_Input!$I$8:$I$67,Y$4))</f>
        <v/>
      </c>
      <c r="Z43" s="80">
        <f>IF(Credit_Assumptions!$C$5=1,Z16,INDEX(Credit_Input!$I$8:$I$67,Z$4))</f>
        <v/>
      </c>
      <c r="AA43" s="80">
        <f>IF(Credit_Assumptions!$C$5=1,AA16,INDEX(Credit_Input!$I$8:$I$67,AA$4))</f>
        <v/>
      </c>
      <c r="AB43" s="80">
        <f>IF(Credit_Assumptions!$C$5=1,AB16,INDEX(Credit_Input!$I$8:$I$67,AB$4))</f>
        <v/>
      </c>
      <c r="AC43" s="80">
        <f>IF(Credit_Assumptions!$C$5=1,AC16,INDEX(Credit_Input!$I$8:$I$67,AC$4))</f>
        <v/>
      </c>
      <c r="AD43" s="80">
        <f>IF(Credit_Assumptions!$C$5=1,AD16,INDEX(Credit_Input!$I$8:$I$67,AD$4))</f>
        <v/>
      </c>
      <c r="AE43" s="80">
        <f>IF(Credit_Assumptions!$C$5=1,AE16,INDEX(Credit_Input!$I$8:$I$67,AE$4))</f>
        <v/>
      </c>
      <c r="AF43" s="80">
        <f>IF(Credit_Assumptions!$C$5=1,AF16,INDEX(Credit_Input!$I$8:$I$67,AF$4))</f>
        <v/>
      </c>
      <c r="AG43" s="80">
        <f>IF(Credit_Assumptions!$C$5=1,AG16,INDEX(Credit_Input!$I$8:$I$67,AG$4))</f>
        <v/>
      </c>
      <c r="AH43" s="80">
        <f>IF(Credit_Assumptions!$C$5=1,AH16,INDEX(Credit_Input!$I$8:$I$67,AH$4))</f>
        <v/>
      </c>
      <c r="AI43" s="80">
        <f>IF(Credit_Assumptions!$C$5=1,AI16,INDEX(Credit_Input!$I$8:$I$67,AI$4))</f>
        <v/>
      </c>
      <c r="AJ43" s="80">
        <f>IF(Credit_Assumptions!$C$5=1,AJ16,INDEX(Credit_Input!$I$8:$I$67,AJ$4))</f>
        <v/>
      </c>
      <c r="AK43" s="80">
        <f>IF(Credit_Assumptions!$C$5=1,AK16,INDEX(Credit_Input!$I$8:$I$67,AK$4))</f>
        <v/>
      </c>
      <c r="AL43" s="80">
        <f>IF(Credit_Assumptions!$C$5=1,AL16,INDEX(Credit_Input!$I$8:$I$67,AL$4))</f>
        <v/>
      </c>
      <c r="AM43" s="80">
        <f>IF(Credit_Assumptions!$C$5=1,AM16,INDEX(Credit_Input!$I$8:$I$67,AM$4))</f>
        <v/>
      </c>
      <c r="AN43" s="80">
        <f>IF(Credit_Assumptions!$C$5=1,AN16,INDEX(Credit_Input!$I$8:$I$67,AN$4))</f>
        <v/>
      </c>
      <c r="AO43" s="80">
        <f>IF(Credit_Assumptions!$C$5=1,AO16,INDEX(Credit_Input!$I$8:$I$67,AO$4))</f>
        <v/>
      </c>
      <c r="AP43" s="80">
        <f>IF(Credit_Assumptions!$C$5=1,AP16,INDEX(Credit_Input!$I$8:$I$67,AP$4))</f>
        <v/>
      </c>
      <c r="AQ43" s="80">
        <f>IF(Credit_Assumptions!$C$5=1,AQ16,INDEX(Credit_Input!$I$8:$I$67,AQ$4))</f>
        <v/>
      </c>
      <c r="AR43" s="80">
        <f>IF(Credit_Assumptions!$C$5=1,AR16,INDEX(Credit_Input!$I$8:$I$67,AR$4))</f>
        <v/>
      </c>
      <c r="AS43" s="80">
        <f>IF(Credit_Assumptions!$C$5=1,AS16,INDEX(Credit_Input!$I$8:$I$67,AS$4))</f>
        <v/>
      </c>
      <c r="AT43" s="80">
        <f>IF(Credit_Assumptions!$C$5=1,AT16,INDEX(Credit_Input!$I$8:$I$67,AT$4))</f>
        <v/>
      </c>
      <c r="AU43" s="80">
        <f>IF(Credit_Assumptions!$C$5=1,AU16,INDEX(Credit_Input!$I$8:$I$67,AU$4))</f>
        <v/>
      </c>
      <c r="AV43" s="80">
        <f>IF(Credit_Assumptions!$C$5=1,AV16,INDEX(Credit_Input!$I$8:$I$67,AV$4))</f>
        <v/>
      </c>
      <c r="AW43" s="80">
        <f>IF(Credit_Assumptions!$C$5=1,AW16,INDEX(Credit_Input!$I$8:$I$67,AW$4))</f>
        <v/>
      </c>
      <c r="AX43" s="80">
        <f>IF(Credit_Assumptions!$C$5=1,AX16,INDEX(Credit_Input!$I$8:$I$67,AX$4))</f>
        <v/>
      </c>
      <c r="AY43" s="80">
        <f>IF(Credit_Assumptions!$C$5=1,AY16,INDEX(Credit_Input!$I$8:$I$67,AY$4))</f>
        <v/>
      </c>
      <c r="AZ43" s="80">
        <f>IF(Credit_Assumptions!$C$5=1,AZ16,INDEX(Credit_Input!$I$8:$I$67,AZ$4))</f>
        <v/>
      </c>
      <c r="BA43" s="80">
        <f>IF(Credit_Assumptions!$C$5=1,BA16,INDEX(Credit_Input!$I$8:$I$67,BA$4))</f>
        <v/>
      </c>
      <c r="BB43" s="80">
        <f>IF(Credit_Assumptions!$C$5=1,BB16,INDEX(Credit_Input!$I$8:$I$67,BB$4))</f>
        <v/>
      </c>
      <c r="BC43" s="80">
        <f>IF(Credit_Assumptions!$C$5=1,BC16,INDEX(Credit_Input!$I$8:$I$67,BC$4))</f>
        <v/>
      </c>
      <c r="BD43" s="80">
        <f>IF(Credit_Assumptions!$C$5=1,BD16,INDEX(Credit_Input!$I$8:$I$67,BD$4))</f>
        <v/>
      </c>
      <c r="BE43" s="80">
        <f>IF(Credit_Assumptions!$C$5=1,BE16,INDEX(Credit_Input!$I$8:$I$67,BE$4))</f>
        <v/>
      </c>
      <c r="BF43" s="80">
        <f>IF(Credit_Assumptions!$C$5=1,BF16,INDEX(Credit_Input!$I$8:$I$67,BF$4))</f>
        <v/>
      </c>
      <c r="BG43" s="80">
        <f>IF(Credit_Assumptions!$C$5=1,BG16,INDEX(Credit_Input!$I$8:$I$67,BG$4))</f>
        <v/>
      </c>
      <c r="BH43" s="80">
        <f>IF(Credit_Assumptions!$C$5=1,BH16,INDEX(Credit_Input!$I$8:$I$67,BH$4))</f>
        <v/>
      </c>
      <c r="BI43" s="80">
        <f>IF(Credit_Assumptions!$C$5=1,BI16,INDEX(Credit_Input!$I$8:$I$67,BI$4))</f>
        <v/>
      </c>
      <c r="BJ43" s="80">
        <f>IF(Credit_Assumptions!$C$5=1,BJ16,INDEX(Credit_Input!$I$8:$I$67,BJ$4))</f>
        <v/>
      </c>
      <c r="BK43" s="80">
        <f>IF(Credit_Assumptions!$C$5=1,BK16,INDEX(Credit_Input!$I$8:$I$67,BK$4))</f>
        <v/>
      </c>
      <c r="BL43" s="80">
        <f>IF(Credit_Assumptions!$C$5=1,BL16,INDEX(Credit_Input!$I$8:$I$67,BL$4))</f>
        <v/>
      </c>
    </row>
    <row r="44">
      <c r="A44" s="98" t="inlineStr">
        <is>
          <t>180+ DPD</t>
        </is>
      </c>
      <c r="B44" s="65" t="inlineStr">
        <is>
          <t>LCY</t>
        </is>
      </c>
      <c r="C44" s="105">
        <f>BL44</f>
        <v/>
      </c>
      <c r="E44" s="80">
        <f>IF(Credit_Assumptions!$C$5=1,E17,INDEX(Credit_Input!$J$8:$J$67,E$4))</f>
        <v/>
      </c>
      <c r="F44" s="80">
        <f>IF(Credit_Assumptions!$C$5=1,F17,INDEX(Credit_Input!$J$8:$J$67,F$4))</f>
        <v/>
      </c>
      <c r="G44" s="80">
        <f>IF(Credit_Assumptions!$C$5=1,G17,INDEX(Credit_Input!$J$8:$J$67,G$4))</f>
        <v/>
      </c>
      <c r="H44" s="80">
        <f>IF(Credit_Assumptions!$C$5=1,H17,INDEX(Credit_Input!$J$8:$J$67,H$4))</f>
        <v/>
      </c>
      <c r="I44" s="80">
        <f>IF(Credit_Assumptions!$C$5=1,I17,INDEX(Credit_Input!$J$8:$J$67,I$4))</f>
        <v/>
      </c>
      <c r="J44" s="80">
        <f>IF(Credit_Assumptions!$C$5=1,J17,INDEX(Credit_Input!$J$8:$J$67,J$4))</f>
        <v/>
      </c>
      <c r="K44" s="80">
        <f>IF(Credit_Assumptions!$C$5=1,K17,INDEX(Credit_Input!$J$8:$J$67,K$4))</f>
        <v/>
      </c>
      <c r="L44" s="80">
        <f>IF(Credit_Assumptions!$C$5=1,L17,INDEX(Credit_Input!$J$8:$J$67,L$4))</f>
        <v/>
      </c>
      <c r="M44" s="80">
        <f>IF(Credit_Assumptions!$C$5=1,M17,INDEX(Credit_Input!$J$8:$J$67,M$4))</f>
        <v/>
      </c>
      <c r="N44" s="80">
        <f>IF(Credit_Assumptions!$C$5=1,N17,INDEX(Credit_Input!$J$8:$J$67,N$4))</f>
        <v/>
      </c>
      <c r="O44" s="80">
        <f>IF(Credit_Assumptions!$C$5=1,O17,INDEX(Credit_Input!$J$8:$J$67,O$4))</f>
        <v/>
      </c>
      <c r="P44" s="80">
        <f>IF(Credit_Assumptions!$C$5=1,P17,INDEX(Credit_Input!$J$8:$J$67,P$4))</f>
        <v/>
      </c>
      <c r="Q44" s="80">
        <f>IF(Credit_Assumptions!$C$5=1,Q17,INDEX(Credit_Input!$J$8:$J$67,Q$4))</f>
        <v/>
      </c>
      <c r="R44" s="80">
        <f>IF(Credit_Assumptions!$C$5=1,R17,INDEX(Credit_Input!$J$8:$J$67,R$4))</f>
        <v/>
      </c>
      <c r="S44" s="80">
        <f>IF(Credit_Assumptions!$C$5=1,S17,INDEX(Credit_Input!$J$8:$J$67,S$4))</f>
        <v/>
      </c>
      <c r="T44" s="80">
        <f>IF(Credit_Assumptions!$C$5=1,T17,INDEX(Credit_Input!$J$8:$J$67,T$4))</f>
        <v/>
      </c>
      <c r="U44" s="80">
        <f>IF(Credit_Assumptions!$C$5=1,U17,INDEX(Credit_Input!$J$8:$J$67,U$4))</f>
        <v/>
      </c>
      <c r="V44" s="80">
        <f>IF(Credit_Assumptions!$C$5=1,V17,INDEX(Credit_Input!$J$8:$J$67,V$4))</f>
        <v/>
      </c>
      <c r="W44" s="80">
        <f>IF(Credit_Assumptions!$C$5=1,W17,INDEX(Credit_Input!$J$8:$J$67,W$4))</f>
        <v/>
      </c>
      <c r="X44" s="80">
        <f>IF(Credit_Assumptions!$C$5=1,X17,INDEX(Credit_Input!$J$8:$J$67,X$4))</f>
        <v/>
      </c>
      <c r="Y44" s="80">
        <f>IF(Credit_Assumptions!$C$5=1,Y17,INDEX(Credit_Input!$J$8:$J$67,Y$4))</f>
        <v/>
      </c>
      <c r="Z44" s="80">
        <f>IF(Credit_Assumptions!$C$5=1,Z17,INDEX(Credit_Input!$J$8:$J$67,Z$4))</f>
        <v/>
      </c>
      <c r="AA44" s="80">
        <f>IF(Credit_Assumptions!$C$5=1,AA17,INDEX(Credit_Input!$J$8:$J$67,AA$4))</f>
        <v/>
      </c>
      <c r="AB44" s="80">
        <f>IF(Credit_Assumptions!$C$5=1,AB17,INDEX(Credit_Input!$J$8:$J$67,AB$4))</f>
        <v/>
      </c>
      <c r="AC44" s="80">
        <f>IF(Credit_Assumptions!$C$5=1,AC17,INDEX(Credit_Input!$J$8:$J$67,AC$4))</f>
        <v/>
      </c>
      <c r="AD44" s="80">
        <f>IF(Credit_Assumptions!$C$5=1,AD17,INDEX(Credit_Input!$J$8:$J$67,AD$4))</f>
        <v/>
      </c>
      <c r="AE44" s="80">
        <f>IF(Credit_Assumptions!$C$5=1,AE17,INDEX(Credit_Input!$J$8:$J$67,AE$4))</f>
        <v/>
      </c>
      <c r="AF44" s="80">
        <f>IF(Credit_Assumptions!$C$5=1,AF17,INDEX(Credit_Input!$J$8:$J$67,AF$4))</f>
        <v/>
      </c>
      <c r="AG44" s="80">
        <f>IF(Credit_Assumptions!$C$5=1,AG17,INDEX(Credit_Input!$J$8:$J$67,AG$4))</f>
        <v/>
      </c>
      <c r="AH44" s="80">
        <f>IF(Credit_Assumptions!$C$5=1,AH17,INDEX(Credit_Input!$J$8:$J$67,AH$4))</f>
        <v/>
      </c>
      <c r="AI44" s="80">
        <f>IF(Credit_Assumptions!$C$5=1,AI17,INDEX(Credit_Input!$J$8:$J$67,AI$4))</f>
        <v/>
      </c>
      <c r="AJ44" s="80">
        <f>IF(Credit_Assumptions!$C$5=1,AJ17,INDEX(Credit_Input!$J$8:$J$67,AJ$4))</f>
        <v/>
      </c>
      <c r="AK44" s="80">
        <f>IF(Credit_Assumptions!$C$5=1,AK17,INDEX(Credit_Input!$J$8:$J$67,AK$4))</f>
        <v/>
      </c>
      <c r="AL44" s="80">
        <f>IF(Credit_Assumptions!$C$5=1,AL17,INDEX(Credit_Input!$J$8:$J$67,AL$4))</f>
        <v/>
      </c>
      <c r="AM44" s="80">
        <f>IF(Credit_Assumptions!$C$5=1,AM17,INDEX(Credit_Input!$J$8:$J$67,AM$4))</f>
        <v/>
      </c>
      <c r="AN44" s="80">
        <f>IF(Credit_Assumptions!$C$5=1,AN17,INDEX(Credit_Input!$J$8:$J$67,AN$4))</f>
        <v/>
      </c>
      <c r="AO44" s="80">
        <f>IF(Credit_Assumptions!$C$5=1,AO17,INDEX(Credit_Input!$J$8:$J$67,AO$4))</f>
        <v/>
      </c>
      <c r="AP44" s="80">
        <f>IF(Credit_Assumptions!$C$5=1,AP17,INDEX(Credit_Input!$J$8:$J$67,AP$4))</f>
        <v/>
      </c>
      <c r="AQ44" s="80">
        <f>IF(Credit_Assumptions!$C$5=1,AQ17,INDEX(Credit_Input!$J$8:$J$67,AQ$4))</f>
        <v/>
      </c>
      <c r="AR44" s="80">
        <f>IF(Credit_Assumptions!$C$5=1,AR17,INDEX(Credit_Input!$J$8:$J$67,AR$4))</f>
        <v/>
      </c>
      <c r="AS44" s="80">
        <f>IF(Credit_Assumptions!$C$5=1,AS17,INDEX(Credit_Input!$J$8:$J$67,AS$4))</f>
        <v/>
      </c>
      <c r="AT44" s="80">
        <f>IF(Credit_Assumptions!$C$5=1,AT17,INDEX(Credit_Input!$J$8:$J$67,AT$4))</f>
        <v/>
      </c>
      <c r="AU44" s="80">
        <f>IF(Credit_Assumptions!$C$5=1,AU17,INDEX(Credit_Input!$J$8:$J$67,AU$4))</f>
        <v/>
      </c>
      <c r="AV44" s="80">
        <f>IF(Credit_Assumptions!$C$5=1,AV17,INDEX(Credit_Input!$J$8:$J$67,AV$4))</f>
        <v/>
      </c>
      <c r="AW44" s="80">
        <f>IF(Credit_Assumptions!$C$5=1,AW17,INDEX(Credit_Input!$J$8:$J$67,AW$4))</f>
        <v/>
      </c>
      <c r="AX44" s="80">
        <f>IF(Credit_Assumptions!$C$5=1,AX17,INDEX(Credit_Input!$J$8:$J$67,AX$4))</f>
        <v/>
      </c>
      <c r="AY44" s="80">
        <f>IF(Credit_Assumptions!$C$5=1,AY17,INDEX(Credit_Input!$J$8:$J$67,AY$4))</f>
        <v/>
      </c>
      <c r="AZ44" s="80">
        <f>IF(Credit_Assumptions!$C$5=1,AZ17,INDEX(Credit_Input!$J$8:$J$67,AZ$4))</f>
        <v/>
      </c>
      <c r="BA44" s="80">
        <f>IF(Credit_Assumptions!$C$5=1,BA17,INDEX(Credit_Input!$J$8:$J$67,BA$4))</f>
        <v/>
      </c>
      <c r="BB44" s="80">
        <f>IF(Credit_Assumptions!$C$5=1,BB17,INDEX(Credit_Input!$J$8:$J$67,BB$4))</f>
        <v/>
      </c>
      <c r="BC44" s="80">
        <f>IF(Credit_Assumptions!$C$5=1,BC17,INDEX(Credit_Input!$J$8:$J$67,BC$4))</f>
        <v/>
      </c>
      <c r="BD44" s="80">
        <f>IF(Credit_Assumptions!$C$5=1,BD17,INDEX(Credit_Input!$J$8:$J$67,BD$4))</f>
        <v/>
      </c>
      <c r="BE44" s="80">
        <f>IF(Credit_Assumptions!$C$5=1,BE17,INDEX(Credit_Input!$J$8:$J$67,BE$4))</f>
        <v/>
      </c>
      <c r="BF44" s="80">
        <f>IF(Credit_Assumptions!$C$5=1,BF17,INDEX(Credit_Input!$J$8:$J$67,BF$4))</f>
        <v/>
      </c>
      <c r="BG44" s="80">
        <f>IF(Credit_Assumptions!$C$5=1,BG17,INDEX(Credit_Input!$J$8:$J$67,BG$4))</f>
        <v/>
      </c>
      <c r="BH44" s="80">
        <f>IF(Credit_Assumptions!$C$5=1,BH17,INDEX(Credit_Input!$J$8:$J$67,BH$4))</f>
        <v/>
      </c>
      <c r="BI44" s="80">
        <f>IF(Credit_Assumptions!$C$5=1,BI17,INDEX(Credit_Input!$J$8:$J$67,BI$4))</f>
        <v/>
      </c>
      <c r="BJ44" s="80">
        <f>IF(Credit_Assumptions!$C$5=1,BJ17,INDEX(Credit_Input!$J$8:$J$67,BJ$4))</f>
        <v/>
      </c>
      <c r="BK44" s="80">
        <f>IF(Credit_Assumptions!$C$5=1,BK17,INDEX(Credit_Input!$J$8:$J$67,BK$4))</f>
        <v/>
      </c>
      <c r="BL44" s="80">
        <f>IF(Credit_Assumptions!$C$5=1,BL17,INDEX(Credit_Input!$J$8:$J$67,BL$4))</f>
        <v/>
      </c>
    </row>
    <row r="45">
      <c r="A45" s="98" t="inlineStr">
        <is>
          <t>Default EAD (beyond default definition)</t>
        </is>
      </c>
      <c r="B45" s="65" t="inlineStr">
        <is>
          <t>LCY</t>
        </is>
      </c>
      <c r="C45" s="105">
        <f>BL45</f>
        <v/>
      </c>
      <c r="E45" s="80">
        <f>IF(Credit_Assumptions!$C$5=1,E18,INDEX(Credit_Input!$K$8:$K$67,E$4))</f>
        <v/>
      </c>
      <c r="F45" s="80">
        <f>IF(Credit_Assumptions!$C$5=1,F18,INDEX(Credit_Input!$K$8:$K$67,F$4))</f>
        <v/>
      </c>
      <c r="G45" s="80">
        <f>IF(Credit_Assumptions!$C$5=1,G18,INDEX(Credit_Input!$K$8:$K$67,G$4))</f>
        <v/>
      </c>
      <c r="H45" s="80">
        <f>IF(Credit_Assumptions!$C$5=1,H18,INDEX(Credit_Input!$K$8:$K$67,H$4))</f>
        <v/>
      </c>
      <c r="I45" s="80">
        <f>IF(Credit_Assumptions!$C$5=1,I18,INDEX(Credit_Input!$K$8:$K$67,I$4))</f>
        <v/>
      </c>
      <c r="J45" s="80">
        <f>IF(Credit_Assumptions!$C$5=1,J18,INDEX(Credit_Input!$K$8:$K$67,J$4))</f>
        <v/>
      </c>
      <c r="K45" s="80">
        <f>IF(Credit_Assumptions!$C$5=1,K18,INDEX(Credit_Input!$K$8:$K$67,K$4))</f>
        <v/>
      </c>
      <c r="L45" s="80">
        <f>IF(Credit_Assumptions!$C$5=1,L18,INDEX(Credit_Input!$K$8:$K$67,L$4))</f>
        <v/>
      </c>
      <c r="M45" s="80">
        <f>IF(Credit_Assumptions!$C$5=1,M18,INDEX(Credit_Input!$K$8:$K$67,M$4))</f>
        <v/>
      </c>
      <c r="N45" s="80">
        <f>IF(Credit_Assumptions!$C$5=1,N18,INDEX(Credit_Input!$K$8:$K$67,N$4))</f>
        <v/>
      </c>
      <c r="O45" s="80">
        <f>IF(Credit_Assumptions!$C$5=1,O18,INDEX(Credit_Input!$K$8:$K$67,O$4))</f>
        <v/>
      </c>
      <c r="P45" s="80">
        <f>IF(Credit_Assumptions!$C$5=1,P18,INDEX(Credit_Input!$K$8:$K$67,P$4))</f>
        <v/>
      </c>
      <c r="Q45" s="80">
        <f>IF(Credit_Assumptions!$C$5=1,Q18,INDEX(Credit_Input!$K$8:$K$67,Q$4))</f>
        <v/>
      </c>
      <c r="R45" s="80">
        <f>IF(Credit_Assumptions!$C$5=1,R18,INDEX(Credit_Input!$K$8:$K$67,R$4))</f>
        <v/>
      </c>
      <c r="S45" s="80">
        <f>IF(Credit_Assumptions!$C$5=1,S18,INDEX(Credit_Input!$K$8:$K$67,S$4))</f>
        <v/>
      </c>
      <c r="T45" s="80">
        <f>IF(Credit_Assumptions!$C$5=1,T18,INDEX(Credit_Input!$K$8:$K$67,T$4))</f>
        <v/>
      </c>
      <c r="U45" s="80">
        <f>IF(Credit_Assumptions!$C$5=1,U18,INDEX(Credit_Input!$K$8:$K$67,U$4))</f>
        <v/>
      </c>
      <c r="V45" s="80">
        <f>IF(Credit_Assumptions!$C$5=1,V18,INDEX(Credit_Input!$K$8:$K$67,V$4))</f>
        <v/>
      </c>
      <c r="W45" s="80">
        <f>IF(Credit_Assumptions!$C$5=1,W18,INDEX(Credit_Input!$K$8:$K$67,W$4))</f>
        <v/>
      </c>
      <c r="X45" s="80">
        <f>IF(Credit_Assumptions!$C$5=1,X18,INDEX(Credit_Input!$K$8:$K$67,X$4))</f>
        <v/>
      </c>
      <c r="Y45" s="80">
        <f>IF(Credit_Assumptions!$C$5=1,Y18,INDEX(Credit_Input!$K$8:$K$67,Y$4))</f>
        <v/>
      </c>
      <c r="Z45" s="80">
        <f>IF(Credit_Assumptions!$C$5=1,Z18,INDEX(Credit_Input!$K$8:$K$67,Z$4))</f>
        <v/>
      </c>
      <c r="AA45" s="80">
        <f>IF(Credit_Assumptions!$C$5=1,AA18,INDEX(Credit_Input!$K$8:$K$67,AA$4))</f>
        <v/>
      </c>
      <c r="AB45" s="80">
        <f>IF(Credit_Assumptions!$C$5=1,AB18,INDEX(Credit_Input!$K$8:$K$67,AB$4))</f>
        <v/>
      </c>
      <c r="AC45" s="80">
        <f>IF(Credit_Assumptions!$C$5=1,AC18,INDEX(Credit_Input!$K$8:$K$67,AC$4))</f>
        <v/>
      </c>
      <c r="AD45" s="80">
        <f>IF(Credit_Assumptions!$C$5=1,AD18,INDEX(Credit_Input!$K$8:$K$67,AD$4))</f>
        <v/>
      </c>
      <c r="AE45" s="80">
        <f>IF(Credit_Assumptions!$C$5=1,AE18,INDEX(Credit_Input!$K$8:$K$67,AE$4))</f>
        <v/>
      </c>
      <c r="AF45" s="80">
        <f>IF(Credit_Assumptions!$C$5=1,AF18,INDEX(Credit_Input!$K$8:$K$67,AF$4))</f>
        <v/>
      </c>
      <c r="AG45" s="80">
        <f>IF(Credit_Assumptions!$C$5=1,AG18,INDEX(Credit_Input!$K$8:$K$67,AG$4))</f>
        <v/>
      </c>
      <c r="AH45" s="80">
        <f>IF(Credit_Assumptions!$C$5=1,AH18,INDEX(Credit_Input!$K$8:$K$67,AH$4))</f>
        <v/>
      </c>
      <c r="AI45" s="80">
        <f>IF(Credit_Assumptions!$C$5=1,AI18,INDEX(Credit_Input!$K$8:$K$67,AI$4))</f>
        <v/>
      </c>
      <c r="AJ45" s="80">
        <f>IF(Credit_Assumptions!$C$5=1,AJ18,INDEX(Credit_Input!$K$8:$K$67,AJ$4))</f>
        <v/>
      </c>
      <c r="AK45" s="80">
        <f>IF(Credit_Assumptions!$C$5=1,AK18,INDEX(Credit_Input!$K$8:$K$67,AK$4))</f>
        <v/>
      </c>
      <c r="AL45" s="80">
        <f>IF(Credit_Assumptions!$C$5=1,AL18,INDEX(Credit_Input!$K$8:$K$67,AL$4))</f>
        <v/>
      </c>
      <c r="AM45" s="80">
        <f>IF(Credit_Assumptions!$C$5=1,AM18,INDEX(Credit_Input!$K$8:$K$67,AM$4))</f>
        <v/>
      </c>
      <c r="AN45" s="80">
        <f>IF(Credit_Assumptions!$C$5=1,AN18,INDEX(Credit_Input!$K$8:$K$67,AN$4))</f>
        <v/>
      </c>
      <c r="AO45" s="80">
        <f>IF(Credit_Assumptions!$C$5=1,AO18,INDEX(Credit_Input!$K$8:$K$67,AO$4))</f>
        <v/>
      </c>
      <c r="AP45" s="80">
        <f>IF(Credit_Assumptions!$C$5=1,AP18,INDEX(Credit_Input!$K$8:$K$67,AP$4))</f>
        <v/>
      </c>
      <c r="AQ45" s="80">
        <f>IF(Credit_Assumptions!$C$5=1,AQ18,INDEX(Credit_Input!$K$8:$K$67,AQ$4))</f>
        <v/>
      </c>
      <c r="AR45" s="80">
        <f>IF(Credit_Assumptions!$C$5=1,AR18,INDEX(Credit_Input!$K$8:$K$67,AR$4))</f>
        <v/>
      </c>
      <c r="AS45" s="80">
        <f>IF(Credit_Assumptions!$C$5=1,AS18,INDEX(Credit_Input!$K$8:$K$67,AS$4))</f>
        <v/>
      </c>
      <c r="AT45" s="80">
        <f>IF(Credit_Assumptions!$C$5=1,AT18,INDEX(Credit_Input!$K$8:$K$67,AT$4))</f>
        <v/>
      </c>
      <c r="AU45" s="80">
        <f>IF(Credit_Assumptions!$C$5=1,AU18,INDEX(Credit_Input!$K$8:$K$67,AU$4))</f>
        <v/>
      </c>
      <c r="AV45" s="80">
        <f>IF(Credit_Assumptions!$C$5=1,AV18,INDEX(Credit_Input!$K$8:$K$67,AV$4))</f>
        <v/>
      </c>
      <c r="AW45" s="80">
        <f>IF(Credit_Assumptions!$C$5=1,AW18,INDEX(Credit_Input!$K$8:$K$67,AW$4))</f>
        <v/>
      </c>
      <c r="AX45" s="80">
        <f>IF(Credit_Assumptions!$C$5=1,AX18,INDEX(Credit_Input!$K$8:$K$67,AX$4))</f>
        <v/>
      </c>
      <c r="AY45" s="80">
        <f>IF(Credit_Assumptions!$C$5=1,AY18,INDEX(Credit_Input!$K$8:$K$67,AY$4))</f>
        <v/>
      </c>
      <c r="AZ45" s="80">
        <f>IF(Credit_Assumptions!$C$5=1,AZ18,INDEX(Credit_Input!$K$8:$K$67,AZ$4))</f>
        <v/>
      </c>
      <c r="BA45" s="80">
        <f>IF(Credit_Assumptions!$C$5=1,BA18,INDEX(Credit_Input!$K$8:$K$67,BA$4))</f>
        <v/>
      </c>
      <c r="BB45" s="80">
        <f>IF(Credit_Assumptions!$C$5=1,BB18,INDEX(Credit_Input!$K$8:$K$67,BB$4))</f>
        <v/>
      </c>
      <c r="BC45" s="80">
        <f>IF(Credit_Assumptions!$C$5=1,BC18,INDEX(Credit_Input!$K$8:$K$67,BC$4))</f>
        <v/>
      </c>
      <c r="BD45" s="80">
        <f>IF(Credit_Assumptions!$C$5=1,BD18,INDEX(Credit_Input!$K$8:$K$67,BD$4))</f>
        <v/>
      </c>
      <c r="BE45" s="80">
        <f>IF(Credit_Assumptions!$C$5=1,BE18,INDEX(Credit_Input!$K$8:$K$67,BE$4))</f>
        <v/>
      </c>
      <c r="BF45" s="80">
        <f>IF(Credit_Assumptions!$C$5=1,BF18,INDEX(Credit_Input!$K$8:$K$67,BF$4))</f>
        <v/>
      </c>
      <c r="BG45" s="80">
        <f>IF(Credit_Assumptions!$C$5=1,BG18,INDEX(Credit_Input!$K$8:$K$67,BG$4))</f>
        <v/>
      </c>
      <c r="BH45" s="80">
        <f>IF(Credit_Assumptions!$C$5=1,BH18,INDEX(Credit_Input!$K$8:$K$67,BH$4))</f>
        <v/>
      </c>
      <c r="BI45" s="80">
        <f>IF(Credit_Assumptions!$C$5=1,BI18,INDEX(Credit_Input!$K$8:$K$67,BI$4))</f>
        <v/>
      </c>
      <c r="BJ45" s="80">
        <f>IF(Credit_Assumptions!$C$5=1,BJ18,INDEX(Credit_Input!$K$8:$K$67,BJ$4))</f>
        <v/>
      </c>
      <c r="BK45" s="80">
        <f>IF(Credit_Assumptions!$C$5=1,BK18,INDEX(Credit_Input!$K$8:$K$67,BK$4))</f>
        <v/>
      </c>
      <c r="BL45" s="80">
        <f>IF(Credit_Assumptions!$C$5=1,BL18,INDEX(Credit_Input!$K$8:$K$67,BL$4))</f>
        <v/>
      </c>
    </row>
    <row r="46">
      <c r="A46" s="98" t="inlineStr">
        <is>
          <t>30+ DPD receivables</t>
        </is>
      </c>
      <c r="B46" s="65" t="inlineStr">
        <is>
          <t>LCY</t>
        </is>
      </c>
      <c r="C46" s="105">
        <f>BL46</f>
        <v/>
      </c>
      <c r="E46" s="80">
        <f>E39*Credit_Assumptions!$G$28+E40*Credit_Assumptions!$G$29+E41*Credit_Assumptions!$G$30+E42*Credit_Assumptions!$G$31+E43*Credit_Assumptions!$G$32+E44*Credit_Assumptions!$G$33</f>
        <v/>
      </c>
      <c r="F46" s="80">
        <f>F39*Credit_Assumptions!$G$28+F40*Credit_Assumptions!$G$29+F41*Credit_Assumptions!$G$30+F42*Credit_Assumptions!$G$31+F43*Credit_Assumptions!$G$32+F44*Credit_Assumptions!$G$33</f>
        <v/>
      </c>
      <c r="G46" s="80">
        <f>G39*Credit_Assumptions!$G$28+G40*Credit_Assumptions!$G$29+G41*Credit_Assumptions!$G$30+G42*Credit_Assumptions!$G$31+G43*Credit_Assumptions!$G$32+G44*Credit_Assumptions!$G$33</f>
        <v/>
      </c>
      <c r="H46" s="80">
        <f>H39*Credit_Assumptions!$G$28+H40*Credit_Assumptions!$G$29+H41*Credit_Assumptions!$G$30+H42*Credit_Assumptions!$G$31+H43*Credit_Assumptions!$G$32+H44*Credit_Assumptions!$G$33</f>
        <v/>
      </c>
      <c r="I46" s="80">
        <f>I39*Credit_Assumptions!$G$28+I40*Credit_Assumptions!$G$29+I41*Credit_Assumptions!$G$30+I42*Credit_Assumptions!$G$31+I43*Credit_Assumptions!$G$32+I44*Credit_Assumptions!$G$33</f>
        <v/>
      </c>
      <c r="J46" s="80">
        <f>J39*Credit_Assumptions!$G$28+J40*Credit_Assumptions!$G$29+J41*Credit_Assumptions!$G$30+J42*Credit_Assumptions!$G$31+J43*Credit_Assumptions!$G$32+J44*Credit_Assumptions!$G$33</f>
        <v/>
      </c>
      <c r="K46" s="80">
        <f>K39*Credit_Assumptions!$G$28+K40*Credit_Assumptions!$G$29+K41*Credit_Assumptions!$G$30+K42*Credit_Assumptions!$G$31+K43*Credit_Assumptions!$G$32+K44*Credit_Assumptions!$G$33</f>
        <v/>
      </c>
      <c r="L46" s="80">
        <f>L39*Credit_Assumptions!$G$28+L40*Credit_Assumptions!$G$29+L41*Credit_Assumptions!$G$30+L42*Credit_Assumptions!$G$31+L43*Credit_Assumptions!$G$32+L44*Credit_Assumptions!$G$33</f>
        <v/>
      </c>
      <c r="M46" s="80">
        <f>M39*Credit_Assumptions!$G$28+M40*Credit_Assumptions!$G$29+M41*Credit_Assumptions!$G$30+M42*Credit_Assumptions!$G$31+M43*Credit_Assumptions!$G$32+M44*Credit_Assumptions!$G$33</f>
        <v/>
      </c>
      <c r="N46" s="80">
        <f>N39*Credit_Assumptions!$G$28+N40*Credit_Assumptions!$G$29+N41*Credit_Assumptions!$G$30+N42*Credit_Assumptions!$G$31+N43*Credit_Assumptions!$G$32+N44*Credit_Assumptions!$G$33</f>
        <v/>
      </c>
      <c r="O46" s="80">
        <f>O39*Credit_Assumptions!$G$28+O40*Credit_Assumptions!$G$29+O41*Credit_Assumptions!$G$30+O42*Credit_Assumptions!$G$31+O43*Credit_Assumptions!$G$32+O44*Credit_Assumptions!$G$33</f>
        <v/>
      </c>
      <c r="P46" s="80">
        <f>P39*Credit_Assumptions!$G$28+P40*Credit_Assumptions!$G$29+P41*Credit_Assumptions!$G$30+P42*Credit_Assumptions!$G$31+P43*Credit_Assumptions!$G$32+P44*Credit_Assumptions!$G$33</f>
        <v/>
      </c>
      <c r="Q46" s="80">
        <f>Q39*Credit_Assumptions!$G$28+Q40*Credit_Assumptions!$G$29+Q41*Credit_Assumptions!$G$30+Q42*Credit_Assumptions!$G$31+Q43*Credit_Assumptions!$G$32+Q44*Credit_Assumptions!$G$33</f>
        <v/>
      </c>
      <c r="R46" s="80">
        <f>R39*Credit_Assumptions!$G$28+R40*Credit_Assumptions!$G$29+R41*Credit_Assumptions!$G$30+R42*Credit_Assumptions!$G$31+R43*Credit_Assumptions!$G$32+R44*Credit_Assumptions!$G$33</f>
        <v/>
      </c>
      <c r="S46" s="80">
        <f>S39*Credit_Assumptions!$G$28+S40*Credit_Assumptions!$G$29+S41*Credit_Assumptions!$G$30+S42*Credit_Assumptions!$G$31+S43*Credit_Assumptions!$G$32+S44*Credit_Assumptions!$G$33</f>
        <v/>
      </c>
      <c r="T46" s="80">
        <f>T39*Credit_Assumptions!$G$28+T40*Credit_Assumptions!$G$29+T41*Credit_Assumptions!$G$30+T42*Credit_Assumptions!$G$31+T43*Credit_Assumptions!$G$32+T44*Credit_Assumptions!$G$33</f>
        <v/>
      </c>
      <c r="U46" s="80">
        <f>U39*Credit_Assumptions!$G$28+U40*Credit_Assumptions!$G$29+U41*Credit_Assumptions!$G$30+U42*Credit_Assumptions!$G$31+U43*Credit_Assumptions!$G$32+U44*Credit_Assumptions!$G$33</f>
        <v/>
      </c>
      <c r="V46" s="80">
        <f>V39*Credit_Assumptions!$G$28+V40*Credit_Assumptions!$G$29+V41*Credit_Assumptions!$G$30+V42*Credit_Assumptions!$G$31+V43*Credit_Assumptions!$G$32+V44*Credit_Assumptions!$G$33</f>
        <v/>
      </c>
      <c r="W46" s="80">
        <f>W39*Credit_Assumptions!$G$28+W40*Credit_Assumptions!$G$29+W41*Credit_Assumptions!$G$30+W42*Credit_Assumptions!$G$31+W43*Credit_Assumptions!$G$32+W44*Credit_Assumptions!$G$33</f>
        <v/>
      </c>
      <c r="X46" s="80">
        <f>X39*Credit_Assumptions!$G$28+X40*Credit_Assumptions!$G$29+X41*Credit_Assumptions!$G$30+X42*Credit_Assumptions!$G$31+X43*Credit_Assumptions!$G$32+X44*Credit_Assumptions!$G$33</f>
        <v/>
      </c>
      <c r="Y46" s="80">
        <f>Y39*Credit_Assumptions!$G$28+Y40*Credit_Assumptions!$G$29+Y41*Credit_Assumptions!$G$30+Y42*Credit_Assumptions!$G$31+Y43*Credit_Assumptions!$G$32+Y44*Credit_Assumptions!$G$33</f>
        <v/>
      </c>
      <c r="Z46" s="80">
        <f>Z39*Credit_Assumptions!$G$28+Z40*Credit_Assumptions!$G$29+Z41*Credit_Assumptions!$G$30+Z42*Credit_Assumptions!$G$31+Z43*Credit_Assumptions!$G$32+Z44*Credit_Assumptions!$G$33</f>
        <v/>
      </c>
      <c r="AA46" s="80">
        <f>AA39*Credit_Assumptions!$G$28+AA40*Credit_Assumptions!$G$29+AA41*Credit_Assumptions!$G$30+AA42*Credit_Assumptions!$G$31+AA43*Credit_Assumptions!$G$32+AA44*Credit_Assumptions!$G$33</f>
        <v/>
      </c>
      <c r="AB46" s="80">
        <f>AB39*Credit_Assumptions!$G$28+AB40*Credit_Assumptions!$G$29+AB41*Credit_Assumptions!$G$30+AB42*Credit_Assumptions!$G$31+AB43*Credit_Assumptions!$G$32+AB44*Credit_Assumptions!$G$33</f>
        <v/>
      </c>
      <c r="AC46" s="80">
        <f>AC39*Credit_Assumptions!$G$28+AC40*Credit_Assumptions!$G$29+AC41*Credit_Assumptions!$G$30+AC42*Credit_Assumptions!$G$31+AC43*Credit_Assumptions!$G$32+AC44*Credit_Assumptions!$G$33</f>
        <v/>
      </c>
      <c r="AD46" s="80">
        <f>AD39*Credit_Assumptions!$G$28+AD40*Credit_Assumptions!$G$29+AD41*Credit_Assumptions!$G$30+AD42*Credit_Assumptions!$G$31+AD43*Credit_Assumptions!$G$32+AD44*Credit_Assumptions!$G$33</f>
        <v/>
      </c>
      <c r="AE46" s="80">
        <f>AE39*Credit_Assumptions!$G$28+AE40*Credit_Assumptions!$G$29+AE41*Credit_Assumptions!$G$30+AE42*Credit_Assumptions!$G$31+AE43*Credit_Assumptions!$G$32+AE44*Credit_Assumptions!$G$33</f>
        <v/>
      </c>
      <c r="AF46" s="80">
        <f>AF39*Credit_Assumptions!$G$28+AF40*Credit_Assumptions!$G$29+AF41*Credit_Assumptions!$G$30+AF42*Credit_Assumptions!$G$31+AF43*Credit_Assumptions!$G$32+AF44*Credit_Assumptions!$G$33</f>
        <v/>
      </c>
      <c r="AG46" s="80">
        <f>AG39*Credit_Assumptions!$G$28+AG40*Credit_Assumptions!$G$29+AG41*Credit_Assumptions!$G$30+AG42*Credit_Assumptions!$G$31+AG43*Credit_Assumptions!$G$32+AG44*Credit_Assumptions!$G$33</f>
        <v/>
      </c>
      <c r="AH46" s="80">
        <f>AH39*Credit_Assumptions!$G$28+AH40*Credit_Assumptions!$G$29+AH41*Credit_Assumptions!$G$30+AH42*Credit_Assumptions!$G$31+AH43*Credit_Assumptions!$G$32+AH44*Credit_Assumptions!$G$33</f>
        <v/>
      </c>
      <c r="AI46" s="80">
        <f>AI39*Credit_Assumptions!$G$28+AI40*Credit_Assumptions!$G$29+AI41*Credit_Assumptions!$G$30+AI42*Credit_Assumptions!$G$31+AI43*Credit_Assumptions!$G$32+AI44*Credit_Assumptions!$G$33</f>
        <v/>
      </c>
      <c r="AJ46" s="80">
        <f>AJ39*Credit_Assumptions!$G$28+AJ40*Credit_Assumptions!$G$29+AJ41*Credit_Assumptions!$G$30+AJ42*Credit_Assumptions!$G$31+AJ43*Credit_Assumptions!$G$32+AJ44*Credit_Assumptions!$G$33</f>
        <v/>
      </c>
      <c r="AK46" s="80">
        <f>AK39*Credit_Assumptions!$G$28+AK40*Credit_Assumptions!$G$29+AK41*Credit_Assumptions!$G$30+AK42*Credit_Assumptions!$G$31+AK43*Credit_Assumptions!$G$32+AK44*Credit_Assumptions!$G$33</f>
        <v/>
      </c>
      <c r="AL46" s="80">
        <f>AL39*Credit_Assumptions!$G$28+AL40*Credit_Assumptions!$G$29+AL41*Credit_Assumptions!$G$30+AL42*Credit_Assumptions!$G$31+AL43*Credit_Assumptions!$G$32+AL44*Credit_Assumptions!$G$33</f>
        <v/>
      </c>
      <c r="AM46" s="80">
        <f>AM39*Credit_Assumptions!$G$28+AM40*Credit_Assumptions!$G$29+AM41*Credit_Assumptions!$G$30+AM42*Credit_Assumptions!$G$31+AM43*Credit_Assumptions!$G$32+AM44*Credit_Assumptions!$G$33</f>
        <v/>
      </c>
      <c r="AN46" s="80">
        <f>AN39*Credit_Assumptions!$G$28+AN40*Credit_Assumptions!$G$29+AN41*Credit_Assumptions!$G$30+AN42*Credit_Assumptions!$G$31+AN43*Credit_Assumptions!$G$32+AN44*Credit_Assumptions!$G$33</f>
        <v/>
      </c>
      <c r="AO46" s="80">
        <f>AO39*Credit_Assumptions!$G$28+AO40*Credit_Assumptions!$G$29+AO41*Credit_Assumptions!$G$30+AO42*Credit_Assumptions!$G$31+AO43*Credit_Assumptions!$G$32+AO44*Credit_Assumptions!$G$33</f>
        <v/>
      </c>
      <c r="AP46" s="80">
        <f>AP39*Credit_Assumptions!$G$28+AP40*Credit_Assumptions!$G$29+AP41*Credit_Assumptions!$G$30+AP42*Credit_Assumptions!$G$31+AP43*Credit_Assumptions!$G$32+AP44*Credit_Assumptions!$G$33</f>
        <v/>
      </c>
      <c r="AQ46" s="80">
        <f>AQ39*Credit_Assumptions!$G$28+AQ40*Credit_Assumptions!$G$29+AQ41*Credit_Assumptions!$G$30+AQ42*Credit_Assumptions!$G$31+AQ43*Credit_Assumptions!$G$32+AQ44*Credit_Assumptions!$G$33</f>
        <v/>
      </c>
      <c r="AR46" s="80">
        <f>AR39*Credit_Assumptions!$G$28+AR40*Credit_Assumptions!$G$29+AR41*Credit_Assumptions!$G$30+AR42*Credit_Assumptions!$G$31+AR43*Credit_Assumptions!$G$32+AR44*Credit_Assumptions!$G$33</f>
        <v/>
      </c>
      <c r="AS46" s="80">
        <f>AS39*Credit_Assumptions!$G$28+AS40*Credit_Assumptions!$G$29+AS41*Credit_Assumptions!$G$30+AS42*Credit_Assumptions!$G$31+AS43*Credit_Assumptions!$G$32+AS44*Credit_Assumptions!$G$33</f>
        <v/>
      </c>
      <c r="AT46" s="80">
        <f>AT39*Credit_Assumptions!$G$28+AT40*Credit_Assumptions!$G$29+AT41*Credit_Assumptions!$G$30+AT42*Credit_Assumptions!$G$31+AT43*Credit_Assumptions!$G$32+AT44*Credit_Assumptions!$G$33</f>
        <v/>
      </c>
      <c r="AU46" s="80">
        <f>AU39*Credit_Assumptions!$G$28+AU40*Credit_Assumptions!$G$29+AU41*Credit_Assumptions!$G$30+AU42*Credit_Assumptions!$G$31+AU43*Credit_Assumptions!$G$32+AU44*Credit_Assumptions!$G$33</f>
        <v/>
      </c>
      <c r="AV46" s="80">
        <f>AV39*Credit_Assumptions!$G$28+AV40*Credit_Assumptions!$G$29+AV41*Credit_Assumptions!$G$30+AV42*Credit_Assumptions!$G$31+AV43*Credit_Assumptions!$G$32+AV44*Credit_Assumptions!$G$33</f>
        <v/>
      </c>
      <c r="AW46" s="80">
        <f>AW39*Credit_Assumptions!$G$28+AW40*Credit_Assumptions!$G$29+AW41*Credit_Assumptions!$G$30+AW42*Credit_Assumptions!$G$31+AW43*Credit_Assumptions!$G$32+AW44*Credit_Assumptions!$G$33</f>
        <v/>
      </c>
      <c r="AX46" s="80">
        <f>AX39*Credit_Assumptions!$G$28+AX40*Credit_Assumptions!$G$29+AX41*Credit_Assumptions!$G$30+AX42*Credit_Assumptions!$G$31+AX43*Credit_Assumptions!$G$32+AX44*Credit_Assumptions!$G$33</f>
        <v/>
      </c>
      <c r="AY46" s="80">
        <f>AY39*Credit_Assumptions!$G$28+AY40*Credit_Assumptions!$G$29+AY41*Credit_Assumptions!$G$30+AY42*Credit_Assumptions!$G$31+AY43*Credit_Assumptions!$G$32+AY44*Credit_Assumptions!$G$33</f>
        <v/>
      </c>
      <c r="AZ46" s="80">
        <f>AZ39*Credit_Assumptions!$G$28+AZ40*Credit_Assumptions!$G$29+AZ41*Credit_Assumptions!$G$30+AZ42*Credit_Assumptions!$G$31+AZ43*Credit_Assumptions!$G$32+AZ44*Credit_Assumptions!$G$33</f>
        <v/>
      </c>
      <c r="BA46" s="80">
        <f>BA39*Credit_Assumptions!$G$28+BA40*Credit_Assumptions!$G$29+BA41*Credit_Assumptions!$G$30+BA42*Credit_Assumptions!$G$31+BA43*Credit_Assumptions!$G$32+BA44*Credit_Assumptions!$G$33</f>
        <v/>
      </c>
      <c r="BB46" s="80">
        <f>BB39*Credit_Assumptions!$G$28+BB40*Credit_Assumptions!$G$29+BB41*Credit_Assumptions!$G$30+BB42*Credit_Assumptions!$G$31+BB43*Credit_Assumptions!$G$32+BB44*Credit_Assumptions!$G$33</f>
        <v/>
      </c>
      <c r="BC46" s="80">
        <f>BC39*Credit_Assumptions!$G$28+BC40*Credit_Assumptions!$G$29+BC41*Credit_Assumptions!$G$30+BC42*Credit_Assumptions!$G$31+BC43*Credit_Assumptions!$G$32+BC44*Credit_Assumptions!$G$33</f>
        <v/>
      </c>
      <c r="BD46" s="80">
        <f>BD39*Credit_Assumptions!$G$28+BD40*Credit_Assumptions!$G$29+BD41*Credit_Assumptions!$G$30+BD42*Credit_Assumptions!$G$31+BD43*Credit_Assumptions!$G$32+BD44*Credit_Assumptions!$G$33</f>
        <v/>
      </c>
      <c r="BE46" s="80">
        <f>BE39*Credit_Assumptions!$G$28+BE40*Credit_Assumptions!$G$29+BE41*Credit_Assumptions!$G$30+BE42*Credit_Assumptions!$G$31+BE43*Credit_Assumptions!$G$32+BE44*Credit_Assumptions!$G$33</f>
        <v/>
      </c>
      <c r="BF46" s="80">
        <f>BF39*Credit_Assumptions!$G$28+BF40*Credit_Assumptions!$G$29+BF41*Credit_Assumptions!$G$30+BF42*Credit_Assumptions!$G$31+BF43*Credit_Assumptions!$G$32+BF44*Credit_Assumptions!$G$33</f>
        <v/>
      </c>
      <c r="BG46" s="80">
        <f>BG39*Credit_Assumptions!$G$28+BG40*Credit_Assumptions!$G$29+BG41*Credit_Assumptions!$G$30+BG42*Credit_Assumptions!$G$31+BG43*Credit_Assumptions!$G$32+BG44*Credit_Assumptions!$G$33</f>
        <v/>
      </c>
      <c r="BH46" s="80">
        <f>BH39*Credit_Assumptions!$G$28+BH40*Credit_Assumptions!$G$29+BH41*Credit_Assumptions!$G$30+BH42*Credit_Assumptions!$G$31+BH43*Credit_Assumptions!$G$32+BH44*Credit_Assumptions!$G$33</f>
        <v/>
      </c>
      <c r="BI46" s="80">
        <f>BI39*Credit_Assumptions!$G$28+BI40*Credit_Assumptions!$G$29+BI41*Credit_Assumptions!$G$30+BI42*Credit_Assumptions!$G$31+BI43*Credit_Assumptions!$G$32+BI44*Credit_Assumptions!$G$33</f>
        <v/>
      </c>
      <c r="BJ46" s="80">
        <f>BJ39*Credit_Assumptions!$G$28+BJ40*Credit_Assumptions!$G$29+BJ41*Credit_Assumptions!$G$30+BJ42*Credit_Assumptions!$G$31+BJ43*Credit_Assumptions!$G$32+BJ44*Credit_Assumptions!$G$33</f>
        <v/>
      </c>
      <c r="BK46" s="80">
        <f>BK39*Credit_Assumptions!$G$28+BK40*Credit_Assumptions!$G$29+BK41*Credit_Assumptions!$G$30+BK42*Credit_Assumptions!$G$31+BK43*Credit_Assumptions!$G$32+BK44*Credit_Assumptions!$G$33</f>
        <v/>
      </c>
      <c r="BL46" s="80">
        <f>BL39*Credit_Assumptions!$G$28+BL40*Credit_Assumptions!$G$29+BL41*Credit_Assumptions!$G$30+BL42*Credit_Assumptions!$G$31+BL43*Credit_Assumptions!$G$32+BL44*Credit_Assumptions!$G$33</f>
        <v/>
      </c>
    </row>
    <row r="47">
      <c r="A47" s="98" t="inlineStr">
        <is>
          <t>90+ DPD receivables</t>
        </is>
      </c>
      <c r="B47" s="65" t="inlineStr">
        <is>
          <t>LCY</t>
        </is>
      </c>
      <c r="C47" s="105">
        <f>BL47</f>
        <v/>
      </c>
      <c r="E47" s="80">
        <f>E39*Credit_Assumptions!$H$28+E40*Credit_Assumptions!$H$29+E41*Credit_Assumptions!$H$30+E42*Credit_Assumptions!$H$31+E43*Credit_Assumptions!$H$32+E44*Credit_Assumptions!$H$33</f>
        <v/>
      </c>
      <c r="F47" s="80">
        <f>F39*Credit_Assumptions!$H$28+F40*Credit_Assumptions!$H$29+F41*Credit_Assumptions!$H$30+F42*Credit_Assumptions!$H$31+F43*Credit_Assumptions!$H$32+F44*Credit_Assumptions!$H$33</f>
        <v/>
      </c>
      <c r="G47" s="80">
        <f>G39*Credit_Assumptions!$H$28+G40*Credit_Assumptions!$H$29+G41*Credit_Assumptions!$H$30+G42*Credit_Assumptions!$H$31+G43*Credit_Assumptions!$H$32+G44*Credit_Assumptions!$H$33</f>
        <v/>
      </c>
      <c r="H47" s="80">
        <f>H39*Credit_Assumptions!$H$28+H40*Credit_Assumptions!$H$29+H41*Credit_Assumptions!$H$30+H42*Credit_Assumptions!$H$31+H43*Credit_Assumptions!$H$32+H44*Credit_Assumptions!$H$33</f>
        <v/>
      </c>
      <c r="I47" s="80">
        <f>I39*Credit_Assumptions!$H$28+I40*Credit_Assumptions!$H$29+I41*Credit_Assumptions!$H$30+I42*Credit_Assumptions!$H$31+I43*Credit_Assumptions!$H$32+I44*Credit_Assumptions!$H$33</f>
        <v/>
      </c>
      <c r="J47" s="80">
        <f>J39*Credit_Assumptions!$H$28+J40*Credit_Assumptions!$H$29+J41*Credit_Assumptions!$H$30+J42*Credit_Assumptions!$H$31+J43*Credit_Assumptions!$H$32+J44*Credit_Assumptions!$H$33</f>
        <v/>
      </c>
      <c r="K47" s="80">
        <f>K39*Credit_Assumptions!$H$28+K40*Credit_Assumptions!$H$29+K41*Credit_Assumptions!$H$30+K42*Credit_Assumptions!$H$31+K43*Credit_Assumptions!$H$32+K44*Credit_Assumptions!$H$33</f>
        <v/>
      </c>
      <c r="L47" s="80">
        <f>L39*Credit_Assumptions!$H$28+L40*Credit_Assumptions!$H$29+L41*Credit_Assumptions!$H$30+L42*Credit_Assumptions!$H$31+L43*Credit_Assumptions!$H$32+L44*Credit_Assumptions!$H$33</f>
        <v/>
      </c>
      <c r="M47" s="80">
        <f>M39*Credit_Assumptions!$H$28+M40*Credit_Assumptions!$H$29+M41*Credit_Assumptions!$H$30+M42*Credit_Assumptions!$H$31+M43*Credit_Assumptions!$H$32+M44*Credit_Assumptions!$H$33</f>
        <v/>
      </c>
      <c r="N47" s="80">
        <f>N39*Credit_Assumptions!$H$28+N40*Credit_Assumptions!$H$29+N41*Credit_Assumptions!$H$30+N42*Credit_Assumptions!$H$31+N43*Credit_Assumptions!$H$32+N44*Credit_Assumptions!$H$33</f>
        <v/>
      </c>
      <c r="O47" s="80">
        <f>O39*Credit_Assumptions!$H$28+O40*Credit_Assumptions!$H$29+O41*Credit_Assumptions!$H$30+O42*Credit_Assumptions!$H$31+O43*Credit_Assumptions!$H$32+O44*Credit_Assumptions!$H$33</f>
        <v/>
      </c>
      <c r="P47" s="80">
        <f>P39*Credit_Assumptions!$H$28+P40*Credit_Assumptions!$H$29+P41*Credit_Assumptions!$H$30+P42*Credit_Assumptions!$H$31+P43*Credit_Assumptions!$H$32+P44*Credit_Assumptions!$H$33</f>
        <v/>
      </c>
      <c r="Q47" s="80">
        <f>Q39*Credit_Assumptions!$H$28+Q40*Credit_Assumptions!$H$29+Q41*Credit_Assumptions!$H$30+Q42*Credit_Assumptions!$H$31+Q43*Credit_Assumptions!$H$32+Q44*Credit_Assumptions!$H$33</f>
        <v/>
      </c>
      <c r="R47" s="80">
        <f>R39*Credit_Assumptions!$H$28+R40*Credit_Assumptions!$H$29+R41*Credit_Assumptions!$H$30+R42*Credit_Assumptions!$H$31+R43*Credit_Assumptions!$H$32+R44*Credit_Assumptions!$H$33</f>
        <v/>
      </c>
      <c r="S47" s="80">
        <f>S39*Credit_Assumptions!$H$28+S40*Credit_Assumptions!$H$29+S41*Credit_Assumptions!$H$30+S42*Credit_Assumptions!$H$31+S43*Credit_Assumptions!$H$32+S44*Credit_Assumptions!$H$33</f>
        <v/>
      </c>
      <c r="T47" s="80">
        <f>T39*Credit_Assumptions!$H$28+T40*Credit_Assumptions!$H$29+T41*Credit_Assumptions!$H$30+T42*Credit_Assumptions!$H$31+T43*Credit_Assumptions!$H$32+T44*Credit_Assumptions!$H$33</f>
        <v/>
      </c>
      <c r="U47" s="80">
        <f>U39*Credit_Assumptions!$H$28+U40*Credit_Assumptions!$H$29+U41*Credit_Assumptions!$H$30+U42*Credit_Assumptions!$H$31+U43*Credit_Assumptions!$H$32+U44*Credit_Assumptions!$H$33</f>
        <v/>
      </c>
      <c r="V47" s="80">
        <f>V39*Credit_Assumptions!$H$28+V40*Credit_Assumptions!$H$29+V41*Credit_Assumptions!$H$30+V42*Credit_Assumptions!$H$31+V43*Credit_Assumptions!$H$32+V44*Credit_Assumptions!$H$33</f>
        <v/>
      </c>
      <c r="W47" s="80">
        <f>W39*Credit_Assumptions!$H$28+W40*Credit_Assumptions!$H$29+W41*Credit_Assumptions!$H$30+W42*Credit_Assumptions!$H$31+W43*Credit_Assumptions!$H$32+W44*Credit_Assumptions!$H$33</f>
        <v/>
      </c>
      <c r="X47" s="80">
        <f>X39*Credit_Assumptions!$H$28+X40*Credit_Assumptions!$H$29+X41*Credit_Assumptions!$H$30+X42*Credit_Assumptions!$H$31+X43*Credit_Assumptions!$H$32+X44*Credit_Assumptions!$H$33</f>
        <v/>
      </c>
      <c r="Y47" s="80">
        <f>Y39*Credit_Assumptions!$H$28+Y40*Credit_Assumptions!$H$29+Y41*Credit_Assumptions!$H$30+Y42*Credit_Assumptions!$H$31+Y43*Credit_Assumptions!$H$32+Y44*Credit_Assumptions!$H$33</f>
        <v/>
      </c>
      <c r="Z47" s="80">
        <f>Z39*Credit_Assumptions!$H$28+Z40*Credit_Assumptions!$H$29+Z41*Credit_Assumptions!$H$30+Z42*Credit_Assumptions!$H$31+Z43*Credit_Assumptions!$H$32+Z44*Credit_Assumptions!$H$33</f>
        <v/>
      </c>
      <c r="AA47" s="80">
        <f>AA39*Credit_Assumptions!$H$28+AA40*Credit_Assumptions!$H$29+AA41*Credit_Assumptions!$H$30+AA42*Credit_Assumptions!$H$31+AA43*Credit_Assumptions!$H$32+AA44*Credit_Assumptions!$H$33</f>
        <v/>
      </c>
      <c r="AB47" s="80">
        <f>AB39*Credit_Assumptions!$H$28+AB40*Credit_Assumptions!$H$29+AB41*Credit_Assumptions!$H$30+AB42*Credit_Assumptions!$H$31+AB43*Credit_Assumptions!$H$32+AB44*Credit_Assumptions!$H$33</f>
        <v/>
      </c>
      <c r="AC47" s="80">
        <f>AC39*Credit_Assumptions!$H$28+AC40*Credit_Assumptions!$H$29+AC41*Credit_Assumptions!$H$30+AC42*Credit_Assumptions!$H$31+AC43*Credit_Assumptions!$H$32+AC44*Credit_Assumptions!$H$33</f>
        <v/>
      </c>
      <c r="AD47" s="80">
        <f>AD39*Credit_Assumptions!$H$28+AD40*Credit_Assumptions!$H$29+AD41*Credit_Assumptions!$H$30+AD42*Credit_Assumptions!$H$31+AD43*Credit_Assumptions!$H$32+AD44*Credit_Assumptions!$H$33</f>
        <v/>
      </c>
      <c r="AE47" s="80">
        <f>AE39*Credit_Assumptions!$H$28+AE40*Credit_Assumptions!$H$29+AE41*Credit_Assumptions!$H$30+AE42*Credit_Assumptions!$H$31+AE43*Credit_Assumptions!$H$32+AE44*Credit_Assumptions!$H$33</f>
        <v/>
      </c>
      <c r="AF47" s="80">
        <f>AF39*Credit_Assumptions!$H$28+AF40*Credit_Assumptions!$H$29+AF41*Credit_Assumptions!$H$30+AF42*Credit_Assumptions!$H$31+AF43*Credit_Assumptions!$H$32+AF44*Credit_Assumptions!$H$33</f>
        <v/>
      </c>
      <c r="AG47" s="80">
        <f>AG39*Credit_Assumptions!$H$28+AG40*Credit_Assumptions!$H$29+AG41*Credit_Assumptions!$H$30+AG42*Credit_Assumptions!$H$31+AG43*Credit_Assumptions!$H$32+AG44*Credit_Assumptions!$H$33</f>
        <v/>
      </c>
      <c r="AH47" s="80">
        <f>AH39*Credit_Assumptions!$H$28+AH40*Credit_Assumptions!$H$29+AH41*Credit_Assumptions!$H$30+AH42*Credit_Assumptions!$H$31+AH43*Credit_Assumptions!$H$32+AH44*Credit_Assumptions!$H$33</f>
        <v/>
      </c>
      <c r="AI47" s="80">
        <f>AI39*Credit_Assumptions!$H$28+AI40*Credit_Assumptions!$H$29+AI41*Credit_Assumptions!$H$30+AI42*Credit_Assumptions!$H$31+AI43*Credit_Assumptions!$H$32+AI44*Credit_Assumptions!$H$33</f>
        <v/>
      </c>
      <c r="AJ47" s="80">
        <f>AJ39*Credit_Assumptions!$H$28+AJ40*Credit_Assumptions!$H$29+AJ41*Credit_Assumptions!$H$30+AJ42*Credit_Assumptions!$H$31+AJ43*Credit_Assumptions!$H$32+AJ44*Credit_Assumptions!$H$33</f>
        <v/>
      </c>
      <c r="AK47" s="80">
        <f>AK39*Credit_Assumptions!$H$28+AK40*Credit_Assumptions!$H$29+AK41*Credit_Assumptions!$H$30+AK42*Credit_Assumptions!$H$31+AK43*Credit_Assumptions!$H$32+AK44*Credit_Assumptions!$H$33</f>
        <v/>
      </c>
      <c r="AL47" s="80">
        <f>AL39*Credit_Assumptions!$H$28+AL40*Credit_Assumptions!$H$29+AL41*Credit_Assumptions!$H$30+AL42*Credit_Assumptions!$H$31+AL43*Credit_Assumptions!$H$32+AL44*Credit_Assumptions!$H$33</f>
        <v/>
      </c>
      <c r="AM47" s="80">
        <f>AM39*Credit_Assumptions!$H$28+AM40*Credit_Assumptions!$H$29+AM41*Credit_Assumptions!$H$30+AM42*Credit_Assumptions!$H$31+AM43*Credit_Assumptions!$H$32+AM44*Credit_Assumptions!$H$33</f>
        <v/>
      </c>
      <c r="AN47" s="80">
        <f>AN39*Credit_Assumptions!$H$28+AN40*Credit_Assumptions!$H$29+AN41*Credit_Assumptions!$H$30+AN42*Credit_Assumptions!$H$31+AN43*Credit_Assumptions!$H$32+AN44*Credit_Assumptions!$H$33</f>
        <v/>
      </c>
      <c r="AO47" s="80">
        <f>AO39*Credit_Assumptions!$H$28+AO40*Credit_Assumptions!$H$29+AO41*Credit_Assumptions!$H$30+AO42*Credit_Assumptions!$H$31+AO43*Credit_Assumptions!$H$32+AO44*Credit_Assumptions!$H$33</f>
        <v/>
      </c>
      <c r="AP47" s="80">
        <f>AP39*Credit_Assumptions!$H$28+AP40*Credit_Assumptions!$H$29+AP41*Credit_Assumptions!$H$30+AP42*Credit_Assumptions!$H$31+AP43*Credit_Assumptions!$H$32+AP44*Credit_Assumptions!$H$33</f>
        <v/>
      </c>
      <c r="AQ47" s="80">
        <f>AQ39*Credit_Assumptions!$H$28+AQ40*Credit_Assumptions!$H$29+AQ41*Credit_Assumptions!$H$30+AQ42*Credit_Assumptions!$H$31+AQ43*Credit_Assumptions!$H$32+AQ44*Credit_Assumptions!$H$33</f>
        <v/>
      </c>
      <c r="AR47" s="80">
        <f>AR39*Credit_Assumptions!$H$28+AR40*Credit_Assumptions!$H$29+AR41*Credit_Assumptions!$H$30+AR42*Credit_Assumptions!$H$31+AR43*Credit_Assumptions!$H$32+AR44*Credit_Assumptions!$H$33</f>
        <v/>
      </c>
      <c r="AS47" s="80">
        <f>AS39*Credit_Assumptions!$H$28+AS40*Credit_Assumptions!$H$29+AS41*Credit_Assumptions!$H$30+AS42*Credit_Assumptions!$H$31+AS43*Credit_Assumptions!$H$32+AS44*Credit_Assumptions!$H$33</f>
        <v/>
      </c>
      <c r="AT47" s="80">
        <f>AT39*Credit_Assumptions!$H$28+AT40*Credit_Assumptions!$H$29+AT41*Credit_Assumptions!$H$30+AT42*Credit_Assumptions!$H$31+AT43*Credit_Assumptions!$H$32+AT44*Credit_Assumptions!$H$33</f>
        <v/>
      </c>
      <c r="AU47" s="80">
        <f>AU39*Credit_Assumptions!$H$28+AU40*Credit_Assumptions!$H$29+AU41*Credit_Assumptions!$H$30+AU42*Credit_Assumptions!$H$31+AU43*Credit_Assumptions!$H$32+AU44*Credit_Assumptions!$H$33</f>
        <v/>
      </c>
      <c r="AV47" s="80">
        <f>AV39*Credit_Assumptions!$H$28+AV40*Credit_Assumptions!$H$29+AV41*Credit_Assumptions!$H$30+AV42*Credit_Assumptions!$H$31+AV43*Credit_Assumptions!$H$32+AV44*Credit_Assumptions!$H$33</f>
        <v/>
      </c>
      <c r="AW47" s="80">
        <f>AW39*Credit_Assumptions!$H$28+AW40*Credit_Assumptions!$H$29+AW41*Credit_Assumptions!$H$30+AW42*Credit_Assumptions!$H$31+AW43*Credit_Assumptions!$H$32+AW44*Credit_Assumptions!$H$33</f>
        <v/>
      </c>
      <c r="AX47" s="80">
        <f>AX39*Credit_Assumptions!$H$28+AX40*Credit_Assumptions!$H$29+AX41*Credit_Assumptions!$H$30+AX42*Credit_Assumptions!$H$31+AX43*Credit_Assumptions!$H$32+AX44*Credit_Assumptions!$H$33</f>
        <v/>
      </c>
      <c r="AY47" s="80">
        <f>AY39*Credit_Assumptions!$H$28+AY40*Credit_Assumptions!$H$29+AY41*Credit_Assumptions!$H$30+AY42*Credit_Assumptions!$H$31+AY43*Credit_Assumptions!$H$32+AY44*Credit_Assumptions!$H$33</f>
        <v/>
      </c>
      <c r="AZ47" s="80">
        <f>AZ39*Credit_Assumptions!$H$28+AZ40*Credit_Assumptions!$H$29+AZ41*Credit_Assumptions!$H$30+AZ42*Credit_Assumptions!$H$31+AZ43*Credit_Assumptions!$H$32+AZ44*Credit_Assumptions!$H$33</f>
        <v/>
      </c>
      <c r="BA47" s="80">
        <f>BA39*Credit_Assumptions!$H$28+BA40*Credit_Assumptions!$H$29+BA41*Credit_Assumptions!$H$30+BA42*Credit_Assumptions!$H$31+BA43*Credit_Assumptions!$H$32+BA44*Credit_Assumptions!$H$33</f>
        <v/>
      </c>
      <c r="BB47" s="80">
        <f>BB39*Credit_Assumptions!$H$28+BB40*Credit_Assumptions!$H$29+BB41*Credit_Assumptions!$H$30+BB42*Credit_Assumptions!$H$31+BB43*Credit_Assumptions!$H$32+BB44*Credit_Assumptions!$H$33</f>
        <v/>
      </c>
      <c r="BC47" s="80">
        <f>BC39*Credit_Assumptions!$H$28+BC40*Credit_Assumptions!$H$29+BC41*Credit_Assumptions!$H$30+BC42*Credit_Assumptions!$H$31+BC43*Credit_Assumptions!$H$32+BC44*Credit_Assumptions!$H$33</f>
        <v/>
      </c>
      <c r="BD47" s="80">
        <f>BD39*Credit_Assumptions!$H$28+BD40*Credit_Assumptions!$H$29+BD41*Credit_Assumptions!$H$30+BD42*Credit_Assumptions!$H$31+BD43*Credit_Assumptions!$H$32+BD44*Credit_Assumptions!$H$33</f>
        <v/>
      </c>
      <c r="BE47" s="80">
        <f>BE39*Credit_Assumptions!$H$28+BE40*Credit_Assumptions!$H$29+BE41*Credit_Assumptions!$H$30+BE42*Credit_Assumptions!$H$31+BE43*Credit_Assumptions!$H$32+BE44*Credit_Assumptions!$H$33</f>
        <v/>
      </c>
      <c r="BF47" s="80">
        <f>BF39*Credit_Assumptions!$H$28+BF40*Credit_Assumptions!$H$29+BF41*Credit_Assumptions!$H$30+BF42*Credit_Assumptions!$H$31+BF43*Credit_Assumptions!$H$32+BF44*Credit_Assumptions!$H$33</f>
        <v/>
      </c>
      <c r="BG47" s="80">
        <f>BG39*Credit_Assumptions!$H$28+BG40*Credit_Assumptions!$H$29+BG41*Credit_Assumptions!$H$30+BG42*Credit_Assumptions!$H$31+BG43*Credit_Assumptions!$H$32+BG44*Credit_Assumptions!$H$33</f>
        <v/>
      </c>
      <c r="BH47" s="80">
        <f>BH39*Credit_Assumptions!$H$28+BH40*Credit_Assumptions!$H$29+BH41*Credit_Assumptions!$H$30+BH42*Credit_Assumptions!$H$31+BH43*Credit_Assumptions!$H$32+BH44*Credit_Assumptions!$H$33</f>
        <v/>
      </c>
      <c r="BI47" s="80">
        <f>BI39*Credit_Assumptions!$H$28+BI40*Credit_Assumptions!$H$29+BI41*Credit_Assumptions!$H$30+BI42*Credit_Assumptions!$H$31+BI43*Credit_Assumptions!$H$32+BI44*Credit_Assumptions!$H$33</f>
        <v/>
      </c>
      <c r="BJ47" s="80">
        <f>BJ39*Credit_Assumptions!$H$28+BJ40*Credit_Assumptions!$H$29+BJ41*Credit_Assumptions!$H$30+BJ42*Credit_Assumptions!$H$31+BJ43*Credit_Assumptions!$H$32+BJ44*Credit_Assumptions!$H$33</f>
        <v/>
      </c>
      <c r="BK47" s="80">
        <f>BK39*Credit_Assumptions!$H$28+BK40*Credit_Assumptions!$H$29+BK41*Credit_Assumptions!$H$30+BK42*Credit_Assumptions!$H$31+BK43*Credit_Assumptions!$H$32+BK44*Credit_Assumptions!$H$33</f>
        <v/>
      </c>
      <c r="BL47" s="80">
        <f>BL39*Credit_Assumptions!$H$28+BL40*Credit_Assumptions!$H$29+BL41*Credit_Assumptions!$H$30+BL42*Credit_Assumptions!$H$31+BL43*Credit_Assumptions!$H$32+BL44*Credit_Assumptions!$H$33</f>
        <v/>
      </c>
    </row>
    <row r="48">
      <c r="A48" s="98" t="inlineStr">
        <is>
          <t>Gross resale proceeds</t>
        </is>
      </c>
      <c r="B48" s="65" t="inlineStr">
        <is>
          <t>LCY</t>
        </is>
      </c>
      <c r="C48" s="105">
        <f>SUM(E48:BL48)</f>
        <v/>
      </c>
      <c r="E48" s="80">
        <f>IF(Credit_Assumptions!$C$5=1,E21,INDEX(Credit_Input!$M$8:$M$67,E$4))</f>
        <v/>
      </c>
      <c r="F48" s="80">
        <f>IF(Credit_Assumptions!$C$5=1,F21,INDEX(Credit_Input!$M$8:$M$67,F$4))</f>
        <v/>
      </c>
      <c r="G48" s="80">
        <f>IF(Credit_Assumptions!$C$5=1,G21,INDEX(Credit_Input!$M$8:$M$67,G$4))</f>
        <v/>
      </c>
      <c r="H48" s="80">
        <f>IF(Credit_Assumptions!$C$5=1,H21,INDEX(Credit_Input!$M$8:$M$67,H$4))</f>
        <v/>
      </c>
      <c r="I48" s="80">
        <f>IF(Credit_Assumptions!$C$5=1,I21,INDEX(Credit_Input!$M$8:$M$67,I$4))</f>
        <v/>
      </c>
      <c r="J48" s="80">
        <f>IF(Credit_Assumptions!$C$5=1,J21,INDEX(Credit_Input!$M$8:$M$67,J$4))</f>
        <v/>
      </c>
      <c r="K48" s="80">
        <f>IF(Credit_Assumptions!$C$5=1,K21,INDEX(Credit_Input!$M$8:$M$67,K$4))</f>
        <v/>
      </c>
      <c r="L48" s="80">
        <f>IF(Credit_Assumptions!$C$5=1,L21,INDEX(Credit_Input!$M$8:$M$67,L$4))</f>
        <v/>
      </c>
      <c r="M48" s="80">
        <f>IF(Credit_Assumptions!$C$5=1,M21,INDEX(Credit_Input!$M$8:$M$67,M$4))</f>
        <v/>
      </c>
      <c r="N48" s="80">
        <f>IF(Credit_Assumptions!$C$5=1,N21,INDEX(Credit_Input!$M$8:$M$67,N$4))</f>
        <v/>
      </c>
      <c r="O48" s="80">
        <f>IF(Credit_Assumptions!$C$5=1,O21,INDEX(Credit_Input!$M$8:$M$67,O$4))</f>
        <v/>
      </c>
      <c r="P48" s="80">
        <f>IF(Credit_Assumptions!$C$5=1,P21,INDEX(Credit_Input!$M$8:$M$67,P$4))</f>
        <v/>
      </c>
      <c r="Q48" s="80">
        <f>IF(Credit_Assumptions!$C$5=1,Q21,INDEX(Credit_Input!$M$8:$M$67,Q$4))</f>
        <v/>
      </c>
      <c r="R48" s="80">
        <f>IF(Credit_Assumptions!$C$5=1,R21,INDEX(Credit_Input!$M$8:$M$67,R$4))</f>
        <v/>
      </c>
      <c r="S48" s="80">
        <f>IF(Credit_Assumptions!$C$5=1,S21,INDEX(Credit_Input!$M$8:$M$67,S$4))</f>
        <v/>
      </c>
      <c r="T48" s="80">
        <f>IF(Credit_Assumptions!$C$5=1,T21,INDEX(Credit_Input!$M$8:$M$67,T$4))</f>
        <v/>
      </c>
      <c r="U48" s="80">
        <f>IF(Credit_Assumptions!$C$5=1,U21,INDEX(Credit_Input!$M$8:$M$67,U$4))</f>
        <v/>
      </c>
      <c r="V48" s="80">
        <f>IF(Credit_Assumptions!$C$5=1,V21,INDEX(Credit_Input!$M$8:$M$67,V$4))</f>
        <v/>
      </c>
      <c r="W48" s="80">
        <f>IF(Credit_Assumptions!$C$5=1,W21,INDEX(Credit_Input!$M$8:$M$67,W$4))</f>
        <v/>
      </c>
      <c r="X48" s="80">
        <f>IF(Credit_Assumptions!$C$5=1,X21,INDEX(Credit_Input!$M$8:$M$67,X$4))</f>
        <v/>
      </c>
      <c r="Y48" s="80">
        <f>IF(Credit_Assumptions!$C$5=1,Y21,INDEX(Credit_Input!$M$8:$M$67,Y$4))</f>
        <v/>
      </c>
      <c r="Z48" s="80">
        <f>IF(Credit_Assumptions!$C$5=1,Z21,INDEX(Credit_Input!$M$8:$M$67,Z$4))</f>
        <v/>
      </c>
      <c r="AA48" s="80">
        <f>IF(Credit_Assumptions!$C$5=1,AA21,INDEX(Credit_Input!$M$8:$M$67,AA$4))</f>
        <v/>
      </c>
      <c r="AB48" s="80">
        <f>IF(Credit_Assumptions!$C$5=1,AB21,INDEX(Credit_Input!$M$8:$M$67,AB$4))</f>
        <v/>
      </c>
      <c r="AC48" s="80">
        <f>IF(Credit_Assumptions!$C$5=1,AC21,INDEX(Credit_Input!$M$8:$M$67,AC$4))</f>
        <v/>
      </c>
      <c r="AD48" s="80">
        <f>IF(Credit_Assumptions!$C$5=1,AD21,INDEX(Credit_Input!$M$8:$M$67,AD$4))</f>
        <v/>
      </c>
      <c r="AE48" s="80">
        <f>IF(Credit_Assumptions!$C$5=1,AE21,INDEX(Credit_Input!$M$8:$M$67,AE$4))</f>
        <v/>
      </c>
      <c r="AF48" s="80">
        <f>IF(Credit_Assumptions!$C$5=1,AF21,INDEX(Credit_Input!$M$8:$M$67,AF$4))</f>
        <v/>
      </c>
      <c r="AG48" s="80">
        <f>IF(Credit_Assumptions!$C$5=1,AG21,INDEX(Credit_Input!$M$8:$M$67,AG$4))</f>
        <v/>
      </c>
      <c r="AH48" s="80">
        <f>IF(Credit_Assumptions!$C$5=1,AH21,INDEX(Credit_Input!$M$8:$M$67,AH$4))</f>
        <v/>
      </c>
      <c r="AI48" s="80">
        <f>IF(Credit_Assumptions!$C$5=1,AI21,INDEX(Credit_Input!$M$8:$M$67,AI$4))</f>
        <v/>
      </c>
      <c r="AJ48" s="80">
        <f>IF(Credit_Assumptions!$C$5=1,AJ21,INDEX(Credit_Input!$M$8:$M$67,AJ$4))</f>
        <v/>
      </c>
      <c r="AK48" s="80">
        <f>IF(Credit_Assumptions!$C$5=1,AK21,INDEX(Credit_Input!$M$8:$M$67,AK$4))</f>
        <v/>
      </c>
      <c r="AL48" s="80">
        <f>IF(Credit_Assumptions!$C$5=1,AL21,INDEX(Credit_Input!$M$8:$M$67,AL$4))</f>
        <v/>
      </c>
      <c r="AM48" s="80">
        <f>IF(Credit_Assumptions!$C$5=1,AM21,INDEX(Credit_Input!$M$8:$M$67,AM$4))</f>
        <v/>
      </c>
      <c r="AN48" s="80">
        <f>IF(Credit_Assumptions!$C$5=1,AN21,INDEX(Credit_Input!$M$8:$M$67,AN$4))</f>
        <v/>
      </c>
      <c r="AO48" s="80">
        <f>IF(Credit_Assumptions!$C$5=1,AO21,INDEX(Credit_Input!$M$8:$M$67,AO$4))</f>
        <v/>
      </c>
      <c r="AP48" s="80">
        <f>IF(Credit_Assumptions!$C$5=1,AP21,INDEX(Credit_Input!$M$8:$M$67,AP$4))</f>
        <v/>
      </c>
      <c r="AQ48" s="80">
        <f>IF(Credit_Assumptions!$C$5=1,AQ21,INDEX(Credit_Input!$M$8:$M$67,AQ$4))</f>
        <v/>
      </c>
      <c r="AR48" s="80">
        <f>IF(Credit_Assumptions!$C$5=1,AR21,INDEX(Credit_Input!$M$8:$M$67,AR$4))</f>
        <v/>
      </c>
      <c r="AS48" s="80">
        <f>IF(Credit_Assumptions!$C$5=1,AS21,INDEX(Credit_Input!$M$8:$M$67,AS$4))</f>
        <v/>
      </c>
      <c r="AT48" s="80">
        <f>IF(Credit_Assumptions!$C$5=1,AT21,INDEX(Credit_Input!$M$8:$M$67,AT$4))</f>
        <v/>
      </c>
      <c r="AU48" s="80">
        <f>IF(Credit_Assumptions!$C$5=1,AU21,INDEX(Credit_Input!$M$8:$M$67,AU$4))</f>
        <v/>
      </c>
      <c r="AV48" s="80">
        <f>IF(Credit_Assumptions!$C$5=1,AV21,INDEX(Credit_Input!$M$8:$M$67,AV$4))</f>
        <v/>
      </c>
      <c r="AW48" s="80">
        <f>IF(Credit_Assumptions!$C$5=1,AW21,INDEX(Credit_Input!$M$8:$M$67,AW$4))</f>
        <v/>
      </c>
      <c r="AX48" s="80">
        <f>IF(Credit_Assumptions!$C$5=1,AX21,INDEX(Credit_Input!$M$8:$M$67,AX$4))</f>
        <v/>
      </c>
      <c r="AY48" s="80">
        <f>IF(Credit_Assumptions!$C$5=1,AY21,INDEX(Credit_Input!$M$8:$M$67,AY$4))</f>
        <v/>
      </c>
      <c r="AZ48" s="80">
        <f>IF(Credit_Assumptions!$C$5=1,AZ21,INDEX(Credit_Input!$M$8:$M$67,AZ$4))</f>
        <v/>
      </c>
      <c r="BA48" s="80">
        <f>IF(Credit_Assumptions!$C$5=1,BA21,INDEX(Credit_Input!$M$8:$M$67,BA$4))</f>
        <v/>
      </c>
      <c r="BB48" s="80">
        <f>IF(Credit_Assumptions!$C$5=1,BB21,INDEX(Credit_Input!$M$8:$M$67,BB$4))</f>
        <v/>
      </c>
      <c r="BC48" s="80">
        <f>IF(Credit_Assumptions!$C$5=1,BC21,INDEX(Credit_Input!$M$8:$M$67,BC$4))</f>
        <v/>
      </c>
      <c r="BD48" s="80">
        <f>IF(Credit_Assumptions!$C$5=1,BD21,INDEX(Credit_Input!$M$8:$M$67,BD$4))</f>
        <v/>
      </c>
      <c r="BE48" s="80">
        <f>IF(Credit_Assumptions!$C$5=1,BE21,INDEX(Credit_Input!$M$8:$M$67,BE$4))</f>
        <v/>
      </c>
      <c r="BF48" s="80">
        <f>IF(Credit_Assumptions!$C$5=1,BF21,INDEX(Credit_Input!$M$8:$M$67,BF$4))</f>
        <v/>
      </c>
      <c r="BG48" s="80">
        <f>IF(Credit_Assumptions!$C$5=1,BG21,INDEX(Credit_Input!$M$8:$M$67,BG$4))</f>
        <v/>
      </c>
      <c r="BH48" s="80">
        <f>IF(Credit_Assumptions!$C$5=1,BH21,INDEX(Credit_Input!$M$8:$M$67,BH$4))</f>
        <v/>
      </c>
      <c r="BI48" s="80">
        <f>IF(Credit_Assumptions!$C$5=1,BI21,INDEX(Credit_Input!$M$8:$M$67,BI$4))</f>
        <v/>
      </c>
      <c r="BJ48" s="80">
        <f>IF(Credit_Assumptions!$C$5=1,BJ21,INDEX(Credit_Input!$M$8:$M$67,BJ$4))</f>
        <v/>
      </c>
      <c r="BK48" s="80">
        <f>IF(Credit_Assumptions!$C$5=1,BK21,INDEX(Credit_Input!$M$8:$M$67,BK$4))</f>
        <v/>
      </c>
      <c r="BL48" s="80">
        <f>IF(Credit_Assumptions!$C$5=1,BL21,INDEX(Credit_Input!$M$8:$M$67,BL$4))</f>
        <v/>
      </c>
    </row>
    <row r="49">
      <c r="A49" s="98" t="inlineStr">
        <is>
          <t>Recovery costs</t>
        </is>
      </c>
      <c r="B49" s="65" t="inlineStr">
        <is>
          <t>LCY</t>
        </is>
      </c>
      <c r="C49" s="105">
        <f>SUM(E49:BL49)</f>
        <v/>
      </c>
      <c r="E49" s="80">
        <f>IF(Credit_Assumptions!$C$5=1,E22,INDEX(Credit_Input!$N$8:$N$67,E$4))</f>
        <v/>
      </c>
      <c r="F49" s="80">
        <f>IF(Credit_Assumptions!$C$5=1,F22,INDEX(Credit_Input!$N$8:$N$67,F$4))</f>
        <v/>
      </c>
      <c r="G49" s="80">
        <f>IF(Credit_Assumptions!$C$5=1,G22,INDEX(Credit_Input!$N$8:$N$67,G$4))</f>
        <v/>
      </c>
      <c r="H49" s="80">
        <f>IF(Credit_Assumptions!$C$5=1,H22,INDEX(Credit_Input!$N$8:$N$67,H$4))</f>
        <v/>
      </c>
      <c r="I49" s="80">
        <f>IF(Credit_Assumptions!$C$5=1,I22,INDEX(Credit_Input!$N$8:$N$67,I$4))</f>
        <v/>
      </c>
      <c r="J49" s="80">
        <f>IF(Credit_Assumptions!$C$5=1,J22,INDEX(Credit_Input!$N$8:$N$67,J$4))</f>
        <v/>
      </c>
      <c r="K49" s="80">
        <f>IF(Credit_Assumptions!$C$5=1,K22,INDEX(Credit_Input!$N$8:$N$67,K$4))</f>
        <v/>
      </c>
      <c r="L49" s="80">
        <f>IF(Credit_Assumptions!$C$5=1,L22,INDEX(Credit_Input!$N$8:$N$67,L$4))</f>
        <v/>
      </c>
      <c r="M49" s="80">
        <f>IF(Credit_Assumptions!$C$5=1,M22,INDEX(Credit_Input!$N$8:$N$67,M$4))</f>
        <v/>
      </c>
      <c r="N49" s="80">
        <f>IF(Credit_Assumptions!$C$5=1,N22,INDEX(Credit_Input!$N$8:$N$67,N$4))</f>
        <v/>
      </c>
      <c r="O49" s="80">
        <f>IF(Credit_Assumptions!$C$5=1,O22,INDEX(Credit_Input!$N$8:$N$67,O$4))</f>
        <v/>
      </c>
      <c r="P49" s="80">
        <f>IF(Credit_Assumptions!$C$5=1,P22,INDEX(Credit_Input!$N$8:$N$67,P$4))</f>
        <v/>
      </c>
      <c r="Q49" s="80">
        <f>IF(Credit_Assumptions!$C$5=1,Q22,INDEX(Credit_Input!$N$8:$N$67,Q$4))</f>
        <v/>
      </c>
      <c r="R49" s="80">
        <f>IF(Credit_Assumptions!$C$5=1,R22,INDEX(Credit_Input!$N$8:$N$67,R$4))</f>
        <v/>
      </c>
      <c r="S49" s="80">
        <f>IF(Credit_Assumptions!$C$5=1,S22,INDEX(Credit_Input!$N$8:$N$67,S$4))</f>
        <v/>
      </c>
      <c r="T49" s="80">
        <f>IF(Credit_Assumptions!$C$5=1,T22,INDEX(Credit_Input!$N$8:$N$67,T$4))</f>
        <v/>
      </c>
      <c r="U49" s="80">
        <f>IF(Credit_Assumptions!$C$5=1,U22,INDEX(Credit_Input!$N$8:$N$67,U$4))</f>
        <v/>
      </c>
      <c r="V49" s="80">
        <f>IF(Credit_Assumptions!$C$5=1,V22,INDEX(Credit_Input!$N$8:$N$67,V$4))</f>
        <v/>
      </c>
      <c r="W49" s="80">
        <f>IF(Credit_Assumptions!$C$5=1,W22,INDEX(Credit_Input!$N$8:$N$67,W$4))</f>
        <v/>
      </c>
      <c r="X49" s="80">
        <f>IF(Credit_Assumptions!$C$5=1,X22,INDEX(Credit_Input!$N$8:$N$67,X$4))</f>
        <v/>
      </c>
      <c r="Y49" s="80">
        <f>IF(Credit_Assumptions!$C$5=1,Y22,INDEX(Credit_Input!$N$8:$N$67,Y$4))</f>
        <v/>
      </c>
      <c r="Z49" s="80">
        <f>IF(Credit_Assumptions!$C$5=1,Z22,INDEX(Credit_Input!$N$8:$N$67,Z$4))</f>
        <v/>
      </c>
      <c r="AA49" s="80">
        <f>IF(Credit_Assumptions!$C$5=1,AA22,INDEX(Credit_Input!$N$8:$N$67,AA$4))</f>
        <v/>
      </c>
      <c r="AB49" s="80">
        <f>IF(Credit_Assumptions!$C$5=1,AB22,INDEX(Credit_Input!$N$8:$N$67,AB$4))</f>
        <v/>
      </c>
      <c r="AC49" s="80">
        <f>IF(Credit_Assumptions!$C$5=1,AC22,INDEX(Credit_Input!$N$8:$N$67,AC$4))</f>
        <v/>
      </c>
      <c r="AD49" s="80">
        <f>IF(Credit_Assumptions!$C$5=1,AD22,INDEX(Credit_Input!$N$8:$N$67,AD$4))</f>
        <v/>
      </c>
      <c r="AE49" s="80">
        <f>IF(Credit_Assumptions!$C$5=1,AE22,INDEX(Credit_Input!$N$8:$N$67,AE$4))</f>
        <v/>
      </c>
      <c r="AF49" s="80">
        <f>IF(Credit_Assumptions!$C$5=1,AF22,INDEX(Credit_Input!$N$8:$N$67,AF$4))</f>
        <v/>
      </c>
      <c r="AG49" s="80">
        <f>IF(Credit_Assumptions!$C$5=1,AG22,INDEX(Credit_Input!$N$8:$N$67,AG$4))</f>
        <v/>
      </c>
      <c r="AH49" s="80">
        <f>IF(Credit_Assumptions!$C$5=1,AH22,INDEX(Credit_Input!$N$8:$N$67,AH$4))</f>
        <v/>
      </c>
      <c r="AI49" s="80">
        <f>IF(Credit_Assumptions!$C$5=1,AI22,INDEX(Credit_Input!$N$8:$N$67,AI$4))</f>
        <v/>
      </c>
      <c r="AJ49" s="80">
        <f>IF(Credit_Assumptions!$C$5=1,AJ22,INDEX(Credit_Input!$N$8:$N$67,AJ$4))</f>
        <v/>
      </c>
      <c r="AK49" s="80">
        <f>IF(Credit_Assumptions!$C$5=1,AK22,INDEX(Credit_Input!$N$8:$N$67,AK$4))</f>
        <v/>
      </c>
      <c r="AL49" s="80">
        <f>IF(Credit_Assumptions!$C$5=1,AL22,INDEX(Credit_Input!$N$8:$N$67,AL$4))</f>
        <v/>
      </c>
      <c r="AM49" s="80">
        <f>IF(Credit_Assumptions!$C$5=1,AM22,INDEX(Credit_Input!$N$8:$N$67,AM$4))</f>
        <v/>
      </c>
      <c r="AN49" s="80">
        <f>IF(Credit_Assumptions!$C$5=1,AN22,INDEX(Credit_Input!$N$8:$N$67,AN$4))</f>
        <v/>
      </c>
      <c r="AO49" s="80">
        <f>IF(Credit_Assumptions!$C$5=1,AO22,INDEX(Credit_Input!$N$8:$N$67,AO$4))</f>
        <v/>
      </c>
      <c r="AP49" s="80">
        <f>IF(Credit_Assumptions!$C$5=1,AP22,INDEX(Credit_Input!$N$8:$N$67,AP$4))</f>
        <v/>
      </c>
      <c r="AQ49" s="80">
        <f>IF(Credit_Assumptions!$C$5=1,AQ22,INDEX(Credit_Input!$N$8:$N$67,AQ$4))</f>
        <v/>
      </c>
      <c r="AR49" s="80">
        <f>IF(Credit_Assumptions!$C$5=1,AR22,INDEX(Credit_Input!$N$8:$N$67,AR$4))</f>
        <v/>
      </c>
      <c r="AS49" s="80">
        <f>IF(Credit_Assumptions!$C$5=1,AS22,INDEX(Credit_Input!$N$8:$N$67,AS$4))</f>
        <v/>
      </c>
      <c r="AT49" s="80">
        <f>IF(Credit_Assumptions!$C$5=1,AT22,INDEX(Credit_Input!$N$8:$N$67,AT$4))</f>
        <v/>
      </c>
      <c r="AU49" s="80">
        <f>IF(Credit_Assumptions!$C$5=1,AU22,INDEX(Credit_Input!$N$8:$N$67,AU$4))</f>
        <v/>
      </c>
      <c r="AV49" s="80">
        <f>IF(Credit_Assumptions!$C$5=1,AV22,INDEX(Credit_Input!$N$8:$N$67,AV$4))</f>
        <v/>
      </c>
      <c r="AW49" s="80">
        <f>IF(Credit_Assumptions!$C$5=1,AW22,INDEX(Credit_Input!$N$8:$N$67,AW$4))</f>
        <v/>
      </c>
      <c r="AX49" s="80">
        <f>IF(Credit_Assumptions!$C$5=1,AX22,INDEX(Credit_Input!$N$8:$N$67,AX$4))</f>
        <v/>
      </c>
      <c r="AY49" s="80">
        <f>IF(Credit_Assumptions!$C$5=1,AY22,INDEX(Credit_Input!$N$8:$N$67,AY$4))</f>
        <v/>
      </c>
      <c r="AZ49" s="80">
        <f>IF(Credit_Assumptions!$C$5=1,AZ22,INDEX(Credit_Input!$N$8:$N$67,AZ$4))</f>
        <v/>
      </c>
      <c r="BA49" s="80">
        <f>IF(Credit_Assumptions!$C$5=1,BA22,INDEX(Credit_Input!$N$8:$N$67,BA$4))</f>
        <v/>
      </c>
      <c r="BB49" s="80">
        <f>IF(Credit_Assumptions!$C$5=1,BB22,INDEX(Credit_Input!$N$8:$N$67,BB$4))</f>
        <v/>
      </c>
      <c r="BC49" s="80">
        <f>IF(Credit_Assumptions!$C$5=1,BC22,INDEX(Credit_Input!$N$8:$N$67,BC$4))</f>
        <v/>
      </c>
      <c r="BD49" s="80">
        <f>IF(Credit_Assumptions!$C$5=1,BD22,INDEX(Credit_Input!$N$8:$N$67,BD$4))</f>
        <v/>
      </c>
      <c r="BE49" s="80">
        <f>IF(Credit_Assumptions!$C$5=1,BE22,INDEX(Credit_Input!$N$8:$N$67,BE$4))</f>
        <v/>
      </c>
      <c r="BF49" s="80">
        <f>IF(Credit_Assumptions!$C$5=1,BF22,INDEX(Credit_Input!$N$8:$N$67,BF$4))</f>
        <v/>
      </c>
      <c r="BG49" s="80">
        <f>IF(Credit_Assumptions!$C$5=1,BG22,INDEX(Credit_Input!$N$8:$N$67,BG$4))</f>
        <v/>
      </c>
      <c r="BH49" s="80">
        <f>IF(Credit_Assumptions!$C$5=1,BH22,INDEX(Credit_Input!$N$8:$N$67,BH$4))</f>
        <v/>
      </c>
      <c r="BI49" s="80">
        <f>IF(Credit_Assumptions!$C$5=1,BI22,INDEX(Credit_Input!$N$8:$N$67,BI$4))</f>
        <v/>
      </c>
      <c r="BJ49" s="80">
        <f>IF(Credit_Assumptions!$C$5=1,BJ22,INDEX(Credit_Input!$N$8:$N$67,BJ$4))</f>
        <v/>
      </c>
      <c r="BK49" s="80">
        <f>IF(Credit_Assumptions!$C$5=1,BK22,INDEX(Credit_Input!$N$8:$N$67,BK$4))</f>
        <v/>
      </c>
      <c r="BL49" s="80">
        <f>IF(Credit_Assumptions!$C$5=1,BL22,INDEX(Credit_Input!$N$8:$N$67,BL$4))</f>
        <v/>
      </c>
    </row>
    <row r="50">
      <c r="A50" s="98" t="inlineStr">
        <is>
          <t>Repossessions (units, approx.)</t>
        </is>
      </c>
      <c r="B50" s="65" t="inlineStr">
        <is>
          <t>LCY</t>
        </is>
      </c>
      <c r="C50" s="105">
        <f>SUM(E50:BL50)</f>
        <v/>
      </c>
      <c r="E50" s="80">
        <f>IF(Credit_Assumptions!$C$5=1,E23,INDEX(Credit_Input!$L$8:$L$67,E$4))</f>
        <v/>
      </c>
      <c r="F50" s="80">
        <f>IF(Credit_Assumptions!$C$5=1,F23,INDEX(Credit_Input!$L$8:$L$67,F$4))</f>
        <v/>
      </c>
      <c r="G50" s="80">
        <f>IF(Credit_Assumptions!$C$5=1,G23,INDEX(Credit_Input!$L$8:$L$67,G$4))</f>
        <v/>
      </c>
      <c r="H50" s="80">
        <f>IF(Credit_Assumptions!$C$5=1,H23,INDEX(Credit_Input!$L$8:$L$67,H$4))</f>
        <v/>
      </c>
      <c r="I50" s="80">
        <f>IF(Credit_Assumptions!$C$5=1,I23,INDEX(Credit_Input!$L$8:$L$67,I$4))</f>
        <v/>
      </c>
      <c r="J50" s="80">
        <f>IF(Credit_Assumptions!$C$5=1,J23,INDEX(Credit_Input!$L$8:$L$67,J$4))</f>
        <v/>
      </c>
      <c r="K50" s="80">
        <f>IF(Credit_Assumptions!$C$5=1,K23,INDEX(Credit_Input!$L$8:$L$67,K$4))</f>
        <v/>
      </c>
      <c r="L50" s="80">
        <f>IF(Credit_Assumptions!$C$5=1,L23,INDEX(Credit_Input!$L$8:$L$67,L$4))</f>
        <v/>
      </c>
      <c r="M50" s="80">
        <f>IF(Credit_Assumptions!$C$5=1,M23,INDEX(Credit_Input!$L$8:$L$67,M$4))</f>
        <v/>
      </c>
      <c r="N50" s="80">
        <f>IF(Credit_Assumptions!$C$5=1,N23,INDEX(Credit_Input!$L$8:$L$67,N$4))</f>
        <v/>
      </c>
      <c r="O50" s="80">
        <f>IF(Credit_Assumptions!$C$5=1,O23,INDEX(Credit_Input!$L$8:$L$67,O$4))</f>
        <v/>
      </c>
      <c r="P50" s="80">
        <f>IF(Credit_Assumptions!$C$5=1,P23,INDEX(Credit_Input!$L$8:$L$67,P$4))</f>
        <v/>
      </c>
      <c r="Q50" s="80">
        <f>IF(Credit_Assumptions!$C$5=1,Q23,INDEX(Credit_Input!$L$8:$L$67,Q$4))</f>
        <v/>
      </c>
      <c r="R50" s="80">
        <f>IF(Credit_Assumptions!$C$5=1,R23,INDEX(Credit_Input!$L$8:$L$67,R$4))</f>
        <v/>
      </c>
      <c r="S50" s="80">
        <f>IF(Credit_Assumptions!$C$5=1,S23,INDEX(Credit_Input!$L$8:$L$67,S$4))</f>
        <v/>
      </c>
      <c r="T50" s="80">
        <f>IF(Credit_Assumptions!$C$5=1,T23,INDEX(Credit_Input!$L$8:$L$67,T$4))</f>
        <v/>
      </c>
      <c r="U50" s="80">
        <f>IF(Credit_Assumptions!$C$5=1,U23,INDEX(Credit_Input!$L$8:$L$67,U$4))</f>
        <v/>
      </c>
      <c r="V50" s="80">
        <f>IF(Credit_Assumptions!$C$5=1,V23,INDEX(Credit_Input!$L$8:$L$67,V$4))</f>
        <v/>
      </c>
      <c r="W50" s="80">
        <f>IF(Credit_Assumptions!$C$5=1,W23,INDEX(Credit_Input!$L$8:$L$67,W$4))</f>
        <v/>
      </c>
      <c r="X50" s="80">
        <f>IF(Credit_Assumptions!$C$5=1,X23,INDEX(Credit_Input!$L$8:$L$67,X$4))</f>
        <v/>
      </c>
      <c r="Y50" s="80">
        <f>IF(Credit_Assumptions!$C$5=1,Y23,INDEX(Credit_Input!$L$8:$L$67,Y$4))</f>
        <v/>
      </c>
      <c r="Z50" s="80">
        <f>IF(Credit_Assumptions!$C$5=1,Z23,INDEX(Credit_Input!$L$8:$L$67,Z$4))</f>
        <v/>
      </c>
      <c r="AA50" s="80">
        <f>IF(Credit_Assumptions!$C$5=1,AA23,INDEX(Credit_Input!$L$8:$L$67,AA$4))</f>
        <v/>
      </c>
      <c r="AB50" s="80">
        <f>IF(Credit_Assumptions!$C$5=1,AB23,INDEX(Credit_Input!$L$8:$L$67,AB$4))</f>
        <v/>
      </c>
      <c r="AC50" s="80">
        <f>IF(Credit_Assumptions!$C$5=1,AC23,INDEX(Credit_Input!$L$8:$L$67,AC$4))</f>
        <v/>
      </c>
      <c r="AD50" s="80">
        <f>IF(Credit_Assumptions!$C$5=1,AD23,INDEX(Credit_Input!$L$8:$L$67,AD$4))</f>
        <v/>
      </c>
      <c r="AE50" s="80">
        <f>IF(Credit_Assumptions!$C$5=1,AE23,INDEX(Credit_Input!$L$8:$L$67,AE$4))</f>
        <v/>
      </c>
      <c r="AF50" s="80">
        <f>IF(Credit_Assumptions!$C$5=1,AF23,INDEX(Credit_Input!$L$8:$L$67,AF$4))</f>
        <v/>
      </c>
      <c r="AG50" s="80">
        <f>IF(Credit_Assumptions!$C$5=1,AG23,INDEX(Credit_Input!$L$8:$L$67,AG$4))</f>
        <v/>
      </c>
      <c r="AH50" s="80">
        <f>IF(Credit_Assumptions!$C$5=1,AH23,INDEX(Credit_Input!$L$8:$L$67,AH$4))</f>
        <v/>
      </c>
      <c r="AI50" s="80">
        <f>IF(Credit_Assumptions!$C$5=1,AI23,INDEX(Credit_Input!$L$8:$L$67,AI$4))</f>
        <v/>
      </c>
      <c r="AJ50" s="80">
        <f>IF(Credit_Assumptions!$C$5=1,AJ23,INDEX(Credit_Input!$L$8:$L$67,AJ$4))</f>
        <v/>
      </c>
      <c r="AK50" s="80">
        <f>IF(Credit_Assumptions!$C$5=1,AK23,INDEX(Credit_Input!$L$8:$L$67,AK$4))</f>
        <v/>
      </c>
      <c r="AL50" s="80">
        <f>IF(Credit_Assumptions!$C$5=1,AL23,INDEX(Credit_Input!$L$8:$L$67,AL$4))</f>
        <v/>
      </c>
      <c r="AM50" s="80">
        <f>IF(Credit_Assumptions!$C$5=1,AM23,INDEX(Credit_Input!$L$8:$L$67,AM$4))</f>
        <v/>
      </c>
      <c r="AN50" s="80">
        <f>IF(Credit_Assumptions!$C$5=1,AN23,INDEX(Credit_Input!$L$8:$L$67,AN$4))</f>
        <v/>
      </c>
      <c r="AO50" s="80">
        <f>IF(Credit_Assumptions!$C$5=1,AO23,INDEX(Credit_Input!$L$8:$L$67,AO$4))</f>
        <v/>
      </c>
      <c r="AP50" s="80">
        <f>IF(Credit_Assumptions!$C$5=1,AP23,INDEX(Credit_Input!$L$8:$L$67,AP$4))</f>
        <v/>
      </c>
      <c r="AQ50" s="80">
        <f>IF(Credit_Assumptions!$C$5=1,AQ23,INDEX(Credit_Input!$L$8:$L$67,AQ$4))</f>
        <v/>
      </c>
      <c r="AR50" s="80">
        <f>IF(Credit_Assumptions!$C$5=1,AR23,INDEX(Credit_Input!$L$8:$L$67,AR$4))</f>
        <v/>
      </c>
      <c r="AS50" s="80">
        <f>IF(Credit_Assumptions!$C$5=1,AS23,INDEX(Credit_Input!$L$8:$L$67,AS$4))</f>
        <v/>
      </c>
      <c r="AT50" s="80">
        <f>IF(Credit_Assumptions!$C$5=1,AT23,INDEX(Credit_Input!$L$8:$L$67,AT$4))</f>
        <v/>
      </c>
      <c r="AU50" s="80">
        <f>IF(Credit_Assumptions!$C$5=1,AU23,INDEX(Credit_Input!$L$8:$L$67,AU$4))</f>
        <v/>
      </c>
      <c r="AV50" s="80">
        <f>IF(Credit_Assumptions!$C$5=1,AV23,INDEX(Credit_Input!$L$8:$L$67,AV$4))</f>
        <v/>
      </c>
      <c r="AW50" s="80">
        <f>IF(Credit_Assumptions!$C$5=1,AW23,INDEX(Credit_Input!$L$8:$L$67,AW$4))</f>
        <v/>
      </c>
      <c r="AX50" s="80">
        <f>IF(Credit_Assumptions!$C$5=1,AX23,INDEX(Credit_Input!$L$8:$L$67,AX$4))</f>
        <v/>
      </c>
      <c r="AY50" s="80">
        <f>IF(Credit_Assumptions!$C$5=1,AY23,INDEX(Credit_Input!$L$8:$L$67,AY$4))</f>
        <v/>
      </c>
      <c r="AZ50" s="80">
        <f>IF(Credit_Assumptions!$C$5=1,AZ23,INDEX(Credit_Input!$L$8:$L$67,AZ$4))</f>
        <v/>
      </c>
      <c r="BA50" s="80">
        <f>IF(Credit_Assumptions!$C$5=1,BA23,INDEX(Credit_Input!$L$8:$L$67,BA$4))</f>
        <v/>
      </c>
      <c r="BB50" s="80">
        <f>IF(Credit_Assumptions!$C$5=1,BB23,INDEX(Credit_Input!$L$8:$L$67,BB$4))</f>
        <v/>
      </c>
      <c r="BC50" s="80">
        <f>IF(Credit_Assumptions!$C$5=1,BC23,INDEX(Credit_Input!$L$8:$L$67,BC$4))</f>
        <v/>
      </c>
      <c r="BD50" s="80">
        <f>IF(Credit_Assumptions!$C$5=1,BD23,INDEX(Credit_Input!$L$8:$L$67,BD$4))</f>
        <v/>
      </c>
      <c r="BE50" s="80">
        <f>IF(Credit_Assumptions!$C$5=1,BE23,INDEX(Credit_Input!$L$8:$L$67,BE$4))</f>
        <v/>
      </c>
      <c r="BF50" s="80">
        <f>IF(Credit_Assumptions!$C$5=1,BF23,INDEX(Credit_Input!$L$8:$L$67,BF$4))</f>
        <v/>
      </c>
      <c r="BG50" s="80">
        <f>IF(Credit_Assumptions!$C$5=1,BG23,INDEX(Credit_Input!$L$8:$L$67,BG$4))</f>
        <v/>
      </c>
      <c r="BH50" s="80">
        <f>IF(Credit_Assumptions!$C$5=1,BH23,INDEX(Credit_Input!$L$8:$L$67,BH$4))</f>
        <v/>
      </c>
      <c r="BI50" s="80">
        <f>IF(Credit_Assumptions!$C$5=1,BI23,INDEX(Credit_Input!$L$8:$L$67,BI$4))</f>
        <v/>
      </c>
      <c r="BJ50" s="80">
        <f>IF(Credit_Assumptions!$C$5=1,BJ23,INDEX(Credit_Input!$L$8:$L$67,BJ$4))</f>
        <v/>
      </c>
      <c r="BK50" s="80">
        <f>IF(Credit_Assumptions!$C$5=1,BK23,INDEX(Credit_Input!$L$8:$L$67,BK$4))</f>
        <v/>
      </c>
      <c r="BL50" s="80">
        <f>IF(Credit_Assumptions!$C$5=1,BL23,INDEX(Credit_Input!$L$8:$L$67,BL$4))</f>
        <v/>
      </c>
    </row>
    <row r="51">
      <c r="A51" s="98" t="inlineStr">
        <is>
          <t>Cures (proxy engine: none)</t>
        </is>
      </c>
      <c r="B51" s="65" t="inlineStr">
        <is>
          <t>LCY</t>
        </is>
      </c>
      <c r="C51" s="105">
        <f>SUM(E51:BL51)</f>
        <v/>
      </c>
      <c r="E51" s="80">
        <f>IF(Credit_Assumptions!$C$5=1,E24,INDEX(Credit_Input!$O$8:$O$67,E$4))</f>
        <v/>
      </c>
      <c r="F51" s="80">
        <f>IF(Credit_Assumptions!$C$5=1,F24,INDEX(Credit_Input!$O$8:$O$67,F$4))</f>
        <v/>
      </c>
      <c r="G51" s="80">
        <f>IF(Credit_Assumptions!$C$5=1,G24,INDEX(Credit_Input!$O$8:$O$67,G$4))</f>
        <v/>
      </c>
      <c r="H51" s="80">
        <f>IF(Credit_Assumptions!$C$5=1,H24,INDEX(Credit_Input!$O$8:$O$67,H$4))</f>
        <v/>
      </c>
      <c r="I51" s="80">
        <f>IF(Credit_Assumptions!$C$5=1,I24,INDEX(Credit_Input!$O$8:$O$67,I$4))</f>
        <v/>
      </c>
      <c r="J51" s="80">
        <f>IF(Credit_Assumptions!$C$5=1,J24,INDEX(Credit_Input!$O$8:$O$67,J$4))</f>
        <v/>
      </c>
      <c r="K51" s="80">
        <f>IF(Credit_Assumptions!$C$5=1,K24,INDEX(Credit_Input!$O$8:$O$67,K$4))</f>
        <v/>
      </c>
      <c r="L51" s="80">
        <f>IF(Credit_Assumptions!$C$5=1,L24,INDEX(Credit_Input!$O$8:$O$67,L$4))</f>
        <v/>
      </c>
      <c r="M51" s="80">
        <f>IF(Credit_Assumptions!$C$5=1,M24,INDEX(Credit_Input!$O$8:$O$67,M$4))</f>
        <v/>
      </c>
      <c r="N51" s="80">
        <f>IF(Credit_Assumptions!$C$5=1,N24,INDEX(Credit_Input!$O$8:$O$67,N$4))</f>
        <v/>
      </c>
      <c r="O51" s="80">
        <f>IF(Credit_Assumptions!$C$5=1,O24,INDEX(Credit_Input!$O$8:$O$67,O$4))</f>
        <v/>
      </c>
      <c r="P51" s="80">
        <f>IF(Credit_Assumptions!$C$5=1,P24,INDEX(Credit_Input!$O$8:$O$67,P$4))</f>
        <v/>
      </c>
      <c r="Q51" s="80">
        <f>IF(Credit_Assumptions!$C$5=1,Q24,INDEX(Credit_Input!$O$8:$O$67,Q$4))</f>
        <v/>
      </c>
      <c r="R51" s="80">
        <f>IF(Credit_Assumptions!$C$5=1,R24,INDEX(Credit_Input!$O$8:$O$67,R$4))</f>
        <v/>
      </c>
      <c r="S51" s="80">
        <f>IF(Credit_Assumptions!$C$5=1,S24,INDEX(Credit_Input!$O$8:$O$67,S$4))</f>
        <v/>
      </c>
      <c r="T51" s="80">
        <f>IF(Credit_Assumptions!$C$5=1,T24,INDEX(Credit_Input!$O$8:$O$67,T$4))</f>
        <v/>
      </c>
      <c r="U51" s="80">
        <f>IF(Credit_Assumptions!$C$5=1,U24,INDEX(Credit_Input!$O$8:$O$67,U$4))</f>
        <v/>
      </c>
      <c r="V51" s="80">
        <f>IF(Credit_Assumptions!$C$5=1,V24,INDEX(Credit_Input!$O$8:$O$67,V$4))</f>
        <v/>
      </c>
      <c r="W51" s="80">
        <f>IF(Credit_Assumptions!$C$5=1,W24,INDEX(Credit_Input!$O$8:$O$67,W$4))</f>
        <v/>
      </c>
      <c r="X51" s="80">
        <f>IF(Credit_Assumptions!$C$5=1,X24,INDEX(Credit_Input!$O$8:$O$67,X$4))</f>
        <v/>
      </c>
      <c r="Y51" s="80">
        <f>IF(Credit_Assumptions!$C$5=1,Y24,INDEX(Credit_Input!$O$8:$O$67,Y$4))</f>
        <v/>
      </c>
      <c r="Z51" s="80">
        <f>IF(Credit_Assumptions!$C$5=1,Z24,INDEX(Credit_Input!$O$8:$O$67,Z$4))</f>
        <v/>
      </c>
      <c r="AA51" s="80">
        <f>IF(Credit_Assumptions!$C$5=1,AA24,INDEX(Credit_Input!$O$8:$O$67,AA$4))</f>
        <v/>
      </c>
      <c r="AB51" s="80">
        <f>IF(Credit_Assumptions!$C$5=1,AB24,INDEX(Credit_Input!$O$8:$O$67,AB$4))</f>
        <v/>
      </c>
      <c r="AC51" s="80">
        <f>IF(Credit_Assumptions!$C$5=1,AC24,INDEX(Credit_Input!$O$8:$O$67,AC$4))</f>
        <v/>
      </c>
      <c r="AD51" s="80">
        <f>IF(Credit_Assumptions!$C$5=1,AD24,INDEX(Credit_Input!$O$8:$O$67,AD$4))</f>
        <v/>
      </c>
      <c r="AE51" s="80">
        <f>IF(Credit_Assumptions!$C$5=1,AE24,INDEX(Credit_Input!$O$8:$O$67,AE$4))</f>
        <v/>
      </c>
      <c r="AF51" s="80">
        <f>IF(Credit_Assumptions!$C$5=1,AF24,INDEX(Credit_Input!$O$8:$O$67,AF$4))</f>
        <v/>
      </c>
      <c r="AG51" s="80">
        <f>IF(Credit_Assumptions!$C$5=1,AG24,INDEX(Credit_Input!$O$8:$O$67,AG$4))</f>
        <v/>
      </c>
      <c r="AH51" s="80">
        <f>IF(Credit_Assumptions!$C$5=1,AH24,INDEX(Credit_Input!$O$8:$O$67,AH$4))</f>
        <v/>
      </c>
      <c r="AI51" s="80">
        <f>IF(Credit_Assumptions!$C$5=1,AI24,INDEX(Credit_Input!$O$8:$O$67,AI$4))</f>
        <v/>
      </c>
      <c r="AJ51" s="80">
        <f>IF(Credit_Assumptions!$C$5=1,AJ24,INDEX(Credit_Input!$O$8:$O$67,AJ$4))</f>
        <v/>
      </c>
      <c r="AK51" s="80">
        <f>IF(Credit_Assumptions!$C$5=1,AK24,INDEX(Credit_Input!$O$8:$O$67,AK$4))</f>
        <v/>
      </c>
      <c r="AL51" s="80">
        <f>IF(Credit_Assumptions!$C$5=1,AL24,INDEX(Credit_Input!$O$8:$O$67,AL$4))</f>
        <v/>
      </c>
      <c r="AM51" s="80">
        <f>IF(Credit_Assumptions!$C$5=1,AM24,INDEX(Credit_Input!$O$8:$O$67,AM$4))</f>
        <v/>
      </c>
      <c r="AN51" s="80">
        <f>IF(Credit_Assumptions!$C$5=1,AN24,INDEX(Credit_Input!$O$8:$O$67,AN$4))</f>
        <v/>
      </c>
      <c r="AO51" s="80">
        <f>IF(Credit_Assumptions!$C$5=1,AO24,INDEX(Credit_Input!$O$8:$O$67,AO$4))</f>
        <v/>
      </c>
      <c r="AP51" s="80">
        <f>IF(Credit_Assumptions!$C$5=1,AP24,INDEX(Credit_Input!$O$8:$O$67,AP$4))</f>
        <v/>
      </c>
      <c r="AQ51" s="80">
        <f>IF(Credit_Assumptions!$C$5=1,AQ24,INDEX(Credit_Input!$O$8:$O$67,AQ$4))</f>
        <v/>
      </c>
      <c r="AR51" s="80">
        <f>IF(Credit_Assumptions!$C$5=1,AR24,INDEX(Credit_Input!$O$8:$O$67,AR$4))</f>
        <v/>
      </c>
      <c r="AS51" s="80">
        <f>IF(Credit_Assumptions!$C$5=1,AS24,INDEX(Credit_Input!$O$8:$O$67,AS$4))</f>
        <v/>
      </c>
      <c r="AT51" s="80">
        <f>IF(Credit_Assumptions!$C$5=1,AT24,INDEX(Credit_Input!$O$8:$O$67,AT$4))</f>
        <v/>
      </c>
      <c r="AU51" s="80">
        <f>IF(Credit_Assumptions!$C$5=1,AU24,INDEX(Credit_Input!$O$8:$O$67,AU$4))</f>
        <v/>
      </c>
      <c r="AV51" s="80">
        <f>IF(Credit_Assumptions!$C$5=1,AV24,INDEX(Credit_Input!$O$8:$O$67,AV$4))</f>
        <v/>
      </c>
      <c r="AW51" s="80">
        <f>IF(Credit_Assumptions!$C$5=1,AW24,INDEX(Credit_Input!$O$8:$O$67,AW$4))</f>
        <v/>
      </c>
      <c r="AX51" s="80">
        <f>IF(Credit_Assumptions!$C$5=1,AX24,INDEX(Credit_Input!$O$8:$O$67,AX$4))</f>
        <v/>
      </c>
      <c r="AY51" s="80">
        <f>IF(Credit_Assumptions!$C$5=1,AY24,INDEX(Credit_Input!$O$8:$O$67,AY$4))</f>
        <v/>
      </c>
      <c r="AZ51" s="80">
        <f>IF(Credit_Assumptions!$C$5=1,AZ24,INDEX(Credit_Input!$O$8:$O$67,AZ$4))</f>
        <v/>
      </c>
      <c r="BA51" s="80">
        <f>IF(Credit_Assumptions!$C$5=1,BA24,INDEX(Credit_Input!$O$8:$O$67,BA$4))</f>
        <v/>
      </c>
      <c r="BB51" s="80">
        <f>IF(Credit_Assumptions!$C$5=1,BB24,INDEX(Credit_Input!$O$8:$O$67,BB$4))</f>
        <v/>
      </c>
      <c r="BC51" s="80">
        <f>IF(Credit_Assumptions!$C$5=1,BC24,INDEX(Credit_Input!$O$8:$O$67,BC$4))</f>
        <v/>
      </c>
      <c r="BD51" s="80">
        <f>IF(Credit_Assumptions!$C$5=1,BD24,INDEX(Credit_Input!$O$8:$O$67,BD$4))</f>
        <v/>
      </c>
      <c r="BE51" s="80">
        <f>IF(Credit_Assumptions!$C$5=1,BE24,INDEX(Credit_Input!$O$8:$O$67,BE$4))</f>
        <v/>
      </c>
      <c r="BF51" s="80">
        <f>IF(Credit_Assumptions!$C$5=1,BF24,INDEX(Credit_Input!$O$8:$O$67,BF$4))</f>
        <v/>
      </c>
      <c r="BG51" s="80">
        <f>IF(Credit_Assumptions!$C$5=1,BG24,INDEX(Credit_Input!$O$8:$O$67,BG$4))</f>
        <v/>
      </c>
      <c r="BH51" s="80">
        <f>IF(Credit_Assumptions!$C$5=1,BH24,INDEX(Credit_Input!$O$8:$O$67,BH$4))</f>
        <v/>
      </c>
      <c r="BI51" s="80">
        <f>IF(Credit_Assumptions!$C$5=1,BI24,INDEX(Credit_Input!$O$8:$O$67,BI$4))</f>
        <v/>
      </c>
      <c r="BJ51" s="80">
        <f>IF(Credit_Assumptions!$C$5=1,BJ24,INDEX(Credit_Input!$O$8:$O$67,BJ$4))</f>
        <v/>
      </c>
      <c r="BK51" s="80">
        <f>IF(Credit_Assumptions!$C$5=1,BK24,INDEX(Credit_Input!$O$8:$O$67,BK$4))</f>
        <v/>
      </c>
      <c r="BL51" s="80">
        <f>IF(Credit_Assumptions!$C$5=1,BL24,INDEX(Credit_Input!$O$8:$O$67,BL$4))</f>
        <v/>
      </c>
    </row>
    <row r="52">
      <c r="A52" s="98" t="inlineStr">
        <is>
          <t>Write-offs</t>
        </is>
      </c>
      <c r="B52" s="65" t="inlineStr">
        <is>
          <t>LCY</t>
        </is>
      </c>
      <c r="C52" s="105">
        <f>SUM(E52:BL52)</f>
        <v/>
      </c>
      <c r="E52" s="80">
        <f>IF(Credit_Assumptions!$C$5=1,E25,INDEX(Credit_Input!$P$8:$P$67,E$4))</f>
        <v/>
      </c>
      <c r="F52" s="80">
        <f>IF(Credit_Assumptions!$C$5=1,F25,INDEX(Credit_Input!$P$8:$P$67,F$4))</f>
        <v/>
      </c>
      <c r="G52" s="80">
        <f>IF(Credit_Assumptions!$C$5=1,G25,INDEX(Credit_Input!$P$8:$P$67,G$4))</f>
        <v/>
      </c>
      <c r="H52" s="80">
        <f>IF(Credit_Assumptions!$C$5=1,H25,INDEX(Credit_Input!$P$8:$P$67,H$4))</f>
        <v/>
      </c>
      <c r="I52" s="80">
        <f>IF(Credit_Assumptions!$C$5=1,I25,INDEX(Credit_Input!$P$8:$P$67,I$4))</f>
        <v/>
      </c>
      <c r="J52" s="80">
        <f>IF(Credit_Assumptions!$C$5=1,J25,INDEX(Credit_Input!$P$8:$P$67,J$4))</f>
        <v/>
      </c>
      <c r="K52" s="80">
        <f>IF(Credit_Assumptions!$C$5=1,K25,INDEX(Credit_Input!$P$8:$P$67,K$4))</f>
        <v/>
      </c>
      <c r="L52" s="80">
        <f>IF(Credit_Assumptions!$C$5=1,L25,INDEX(Credit_Input!$P$8:$P$67,L$4))</f>
        <v/>
      </c>
      <c r="M52" s="80">
        <f>IF(Credit_Assumptions!$C$5=1,M25,INDEX(Credit_Input!$P$8:$P$67,M$4))</f>
        <v/>
      </c>
      <c r="N52" s="80">
        <f>IF(Credit_Assumptions!$C$5=1,N25,INDEX(Credit_Input!$P$8:$P$67,N$4))</f>
        <v/>
      </c>
      <c r="O52" s="80">
        <f>IF(Credit_Assumptions!$C$5=1,O25,INDEX(Credit_Input!$P$8:$P$67,O$4))</f>
        <v/>
      </c>
      <c r="P52" s="80">
        <f>IF(Credit_Assumptions!$C$5=1,P25,INDEX(Credit_Input!$P$8:$P$67,P$4))</f>
        <v/>
      </c>
      <c r="Q52" s="80">
        <f>IF(Credit_Assumptions!$C$5=1,Q25,INDEX(Credit_Input!$P$8:$P$67,Q$4))</f>
        <v/>
      </c>
      <c r="R52" s="80">
        <f>IF(Credit_Assumptions!$C$5=1,R25,INDEX(Credit_Input!$P$8:$P$67,R$4))</f>
        <v/>
      </c>
      <c r="S52" s="80">
        <f>IF(Credit_Assumptions!$C$5=1,S25,INDEX(Credit_Input!$P$8:$P$67,S$4))</f>
        <v/>
      </c>
      <c r="T52" s="80">
        <f>IF(Credit_Assumptions!$C$5=1,T25,INDEX(Credit_Input!$P$8:$P$67,T$4))</f>
        <v/>
      </c>
      <c r="U52" s="80">
        <f>IF(Credit_Assumptions!$C$5=1,U25,INDEX(Credit_Input!$P$8:$P$67,U$4))</f>
        <v/>
      </c>
      <c r="V52" s="80">
        <f>IF(Credit_Assumptions!$C$5=1,V25,INDEX(Credit_Input!$P$8:$P$67,V$4))</f>
        <v/>
      </c>
      <c r="W52" s="80">
        <f>IF(Credit_Assumptions!$C$5=1,W25,INDEX(Credit_Input!$P$8:$P$67,W$4))</f>
        <v/>
      </c>
      <c r="X52" s="80">
        <f>IF(Credit_Assumptions!$C$5=1,X25,INDEX(Credit_Input!$P$8:$P$67,X$4))</f>
        <v/>
      </c>
      <c r="Y52" s="80">
        <f>IF(Credit_Assumptions!$C$5=1,Y25,INDEX(Credit_Input!$P$8:$P$67,Y$4))</f>
        <v/>
      </c>
      <c r="Z52" s="80">
        <f>IF(Credit_Assumptions!$C$5=1,Z25,INDEX(Credit_Input!$P$8:$P$67,Z$4))</f>
        <v/>
      </c>
      <c r="AA52" s="80">
        <f>IF(Credit_Assumptions!$C$5=1,AA25,INDEX(Credit_Input!$P$8:$P$67,AA$4))</f>
        <v/>
      </c>
      <c r="AB52" s="80">
        <f>IF(Credit_Assumptions!$C$5=1,AB25,INDEX(Credit_Input!$P$8:$P$67,AB$4))</f>
        <v/>
      </c>
      <c r="AC52" s="80">
        <f>IF(Credit_Assumptions!$C$5=1,AC25,INDEX(Credit_Input!$P$8:$P$67,AC$4))</f>
        <v/>
      </c>
      <c r="AD52" s="80">
        <f>IF(Credit_Assumptions!$C$5=1,AD25,INDEX(Credit_Input!$P$8:$P$67,AD$4))</f>
        <v/>
      </c>
      <c r="AE52" s="80">
        <f>IF(Credit_Assumptions!$C$5=1,AE25,INDEX(Credit_Input!$P$8:$P$67,AE$4))</f>
        <v/>
      </c>
      <c r="AF52" s="80">
        <f>IF(Credit_Assumptions!$C$5=1,AF25,INDEX(Credit_Input!$P$8:$P$67,AF$4))</f>
        <v/>
      </c>
      <c r="AG52" s="80">
        <f>IF(Credit_Assumptions!$C$5=1,AG25,INDEX(Credit_Input!$P$8:$P$67,AG$4))</f>
        <v/>
      </c>
      <c r="AH52" s="80">
        <f>IF(Credit_Assumptions!$C$5=1,AH25,INDEX(Credit_Input!$P$8:$P$67,AH$4))</f>
        <v/>
      </c>
      <c r="AI52" s="80">
        <f>IF(Credit_Assumptions!$C$5=1,AI25,INDEX(Credit_Input!$P$8:$P$67,AI$4))</f>
        <v/>
      </c>
      <c r="AJ52" s="80">
        <f>IF(Credit_Assumptions!$C$5=1,AJ25,INDEX(Credit_Input!$P$8:$P$67,AJ$4))</f>
        <v/>
      </c>
      <c r="AK52" s="80">
        <f>IF(Credit_Assumptions!$C$5=1,AK25,INDEX(Credit_Input!$P$8:$P$67,AK$4))</f>
        <v/>
      </c>
      <c r="AL52" s="80">
        <f>IF(Credit_Assumptions!$C$5=1,AL25,INDEX(Credit_Input!$P$8:$P$67,AL$4))</f>
        <v/>
      </c>
      <c r="AM52" s="80">
        <f>IF(Credit_Assumptions!$C$5=1,AM25,INDEX(Credit_Input!$P$8:$P$67,AM$4))</f>
        <v/>
      </c>
      <c r="AN52" s="80">
        <f>IF(Credit_Assumptions!$C$5=1,AN25,INDEX(Credit_Input!$P$8:$P$67,AN$4))</f>
        <v/>
      </c>
      <c r="AO52" s="80">
        <f>IF(Credit_Assumptions!$C$5=1,AO25,INDEX(Credit_Input!$P$8:$P$67,AO$4))</f>
        <v/>
      </c>
      <c r="AP52" s="80">
        <f>IF(Credit_Assumptions!$C$5=1,AP25,INDEX(Credit_Input!$P$8:$P$67,AP$4))</f>
        <v/>
      </c>
      <c r="AQ52" s="80">
        <f>IF(Credit_Assumptions!$C$5=1,AQ25,INDEX(Credit_Input!$P$8:$P$67,AQ$4))</f>
        <v/>
      </c>
      <c r="AR52" s="80">
        <f>IF(Credit_Assumptions!$C$5=1,AR25,INDEX(Credit_Input!$P$8:$P$67,AR$4))</f>
        <v/>
      </c>
      <c r="AS52" s="80">
        <f>IF(Credit_Assumptions!$C$5=1,AS25,INDEX(Credit_Input!$P$8:$P$67,AS$4))</f>
        <v/>
      </c>
      <c r="AT52" s="80">
        <f>IF(Credit_Assumptions!$C$5=1,AT25,INDEX(Credit_Input!$P$8:$P$67,AT$4))</f>
        <v/>
      </c>
      <c r="AU52" s="80">
        <f>IF(Credit_Assumptions!$C$5=1,AU25,INDEX(Credit_Input!$P$8:$P$67,AU$4))</f>
        <v/>
      </c>
      <c r="AV52" s="80">
        <f>IF(Credit_Assumptions!$C$5=1,AV25,INDEX(Credit_Input!$P$8:$P$67,AV$4))</f>
        <v/>
      </c>
      <c r="AW52" s="80">
        <f>IF(Credit_Assumptions!$C$5=1,AW25,INDEX(Credit_Input!$P$8:$P$67,AW$4))</f>
        <v/>
      </c>
      <c r="AX52" s="80">
        <f>IF(Credit_Assumptions!$C$5=1,AX25,INDEX(Credit_Input!$P$8:$P$67,AX$4))</f>
        <v/>
      </c>
      <c r="AY52" s="80">
        <f>IF(Credit_Assumptions!$C$5=1,AY25,INDEX(Credit_Input!$P$8:$P$67,AY$4))</f>
        <v/>
      </c>
      <c r="AZ52" s="80">
        <f>IF(Credit_Assumptions!$C$5=1,AZ25,INDEX(Credit_Input!$P$8:$P$67,AZ$4))</f>
        <v/>
      </c>
      <c r="BA52" s="80">
        <f>IF(Credit_Assumptions!$C$5=1,BA25,INDEX(Credit_Input!$P$8:$P$67,BA$4))</f>
        <v/>
      </c>
      <c r="BB52" s="80">
        <f>IF(Credit_Assumptions!$C$5=1,BB25,INDEX(Credit_Input!$P$8:$P$67,BB$4))</f>
        <v/>
      </c>
      <c r="BC52" s="80">
        <f>IF(Credit_Assumptions!$C$5=1,BC25,INDEX(Credit_Input!$P$8:$P$67,BC$4))</f>
        <v/>
      </c>
      <c r="BD52" s="80">
        <f>IF(Credit_Assumptions!$C$5=1,BD25,INDEX(Credit_Input!$P$8:$P$67,BD$4))</f>
        <v/>
      </c>
      <c r="BE52" s="80">
        <f>IF(Credit_Assumptions!$C$5=1,BE25,INDEX(Credit_Input!$P$8:$P$67,BE$4))</f>
        <v/>
      </c>
      <c r="BF52" s="80">
        <f>IF(Credit_Assumptions!$C$5=1,BF25,INDEX(Credit_Input!$P$8:$P$67,BF$4))</f>
        <v/>
      </c>
      <c r="BG52" s="80">
        <f>IF(Credit_Assumptions!$C$5=1,BG25,INDEX(Credit_Input!$P$8:$P$67,BG$4))</f>
        <v/>
      </c>
      <c r="BH52" s="80">
        <f>IF(Credit_Assumptions!$C$5=1,BH25,INDEX(Credit_Input!$P$8:$P$67,BH$4))</f>
        <v/>
      </c>
      <c r="BI52" s="80">
        <f>IF(Credit_Assumptions!$C$5=1,BI25,INDEX(Credit_Input!$P$8:$P$67,BI$4))</f>
        <v/>
      </c>
      <c r="BJ52" s="80">
        <f>IF(Credit_Assumptions!$C$5=1,BJ25,INDEX(Credit_Input!$P$8:$P$67,BJ$4))</f>
        <v/>
      </c>
      <c r="BK52" s="80">
        <f>IF(Credit_Assumptions!$C$5=1,BK25,INDEX(Credit_Input!$P$8:$P$67,BK$4))</f>
        <v/>
      </c>
      <c r="BL52" s="80">
        <f>IF(Credit_Assumptions!$C$5=1,BL25,INDEX(Credit_Input!$P$8:$P$67,BL$4))</f>
        <v/>
      </c>
    </row>
    <row r="53">
      <c r="A53" s="98" t="inlineStr">
        <is>
          <t>Collections</t>
        </is>
      </c>
      <c r="B53" s="65" t="inlineStr">
        <is>
          <t>LCY</t>
        </is>
      </c>
      <c r="C53" s="105">
        <f>SUM(E53:BL53)</f>
        <v/>
      </c>
      <c r="E53" s="80">
        <f>IF(Credit_Assumptions!$C$5=1,E26,INDEX(Credit_Input!$Q$8:$Q$67,E$4))</f>
        <v/>
      </c>
      <c r="F53" s="80">
        <f>IF(Credit_Assumptions!$C$5=1,F26,INDEX(Credit_Input!$Q$8:$Q$67,F$4))</f>
        <v/>
      </c>
      <c r="G53" s="80">
        <f>IF(Credit_Assumptions!$C$5=1,G26,INDEX(Credit_Input!$Q$8:$Q$67,G$4))</f>
        <v/>
      </c>
      <c r="H53" s="80">
        <f>IF(Credit_Assumptions!$C$5=1,H26,INDEX(Credit_Input!$Q$8:$Q$67,H$4))</f>
        <v/>
      </c>
      <c r="I53" s="80">
        <f>IF(Credit_Assumptions!$C$5=1,I26,INDEX(Credit_Input!$Q$8:$Q$67,I$4))</f>
        <v/>
      </c>
      <c r="J53" s="80">
        <f>IF(Credit_Assumptions!$C$5=1,J26,INDEX(Credit_Input!$Q$8:$Q$67,J$4))</f>
        <v/>
      </c>
      <c r="K53" s="80">
        <f>IF(Credit_Assumptions!$C$5=1,K26,INDEX(Credit_Input!$Q$8:$Q$67,K$4))</f>
        <v/>
      </c>
      <c r="L53" s="80">
        <f>IF(Credit_Assumptions!$C$5=1,L26,INDEX(Credit_Input!$Q$8:$Q$67,L$4))</f>
        <v/>
      </c>
      <c r="M53" s="80">
        <f>IF(Credit_Assumptions!$C$5=1,M26,INDEX(Credit_Input!$Q$8:$Q$67,M$4))</f>
        <v/>
      </c>
      <c r="N53" s="80">
        <f>IF(Credit_Assumptions!$C$5=1,N26,INDEX(Credit_Input!$Q$8:$Q$67,N$4))</f>
        <v/>
      </c>
      <c r="O53" s="80">
        <f>IF(Credit_Assumptions!$C$5=1,O26,INDEX(Credit_Input!$Q$8:$Q$67,O$4))</f>
        <v/>
      </c>
      <c r="P53" s="80">
        <f>IF(Credit_Assumptions!$C$5=1,P26,INDEX(Credit_Input!$Q$8:$Q$67,P$4))</f>
        <v/>
      </c>
      <c r="Q53" s="80">
        <f>IF(Credit_Assumptions!$C$5=1,Q26,INDEX(Credit_Input!$Q$8:$Q$67,Q$4))</f>
        <v/>
      </c>
      <c r="R53" s="80">
        <f>IF(Credit_Assumptions!$C$5=1,R26,INDEX(Credit_Input!$Q$8:$Q$67,R$4))</f>
        <v/>
      </c>
      <c r="S53" s="80">
        <f>IF(Credit_Assumptions!$C$5=1,S26,INDEX(Credit_Input!$Q$8:$Q$67,S$4))</f>
        <v/>
      </c>
      <c r="T53" s="80">
        <f>IF(Credit_Assumptions!$C$5=1,T26,INDEX(Credit_Input!$Q$8:$Q$67,T$4))</f>
        <v/>
      </c>
      <c r="U53" s="80">
        <f>IF(Credit_Assumptions!$C$5=1,U26,INDEX(Credit_Input!$Q$8:$Q$67,U$4))</f>
        <v/>
      </c>
      <c r="V53" s="80">
        <f>IF(Credit_Assumptions!$C$5=1,V26,INDEX(Credit_Input!$Q$8:$Q$67,V$4))</f>
        <v/>
      </c>
      <c r="W53" s="80">
        <f>IF(Credit_Assumptions!$C$5=1,W26,INDEX(Credit_Input!$Q$8:$Q$67,W$4))</f>
        <v/>
      </c>
      <c r="X53" s="80">
        <f>IF(Credit_Assumptions!$C$5=1,X26,INDEX(Credit_Input!$Q$8:$Q$67,X$4))</f>
        <v/>
      </c>
      <c r="Y53" s="80">
        <f>IF(Credit_Assumptions!$C$5=1,Y26,INDEX(Credit_Input!$Q$8:$Q$67,Y$4))</f>
        <v/>
      </c>
      <c r="Z53" s="80">
        <f>IF(Credit_Assumptions!$C$5=1,Z26,INDEX(Credit_Input!$Q$8:$Q$67,Z$4))</f>
        <v/>
      </c>
      <c r="AA53" s="80">
        <f>IF(Credit_Assumptions!$C$5=1,AA26,INDEX(Credit_Input!$Q$8:$Q$67,AA$4))</f>
        <v/>
      </c>
      <c r="AB53" s="80">
        <f>IF(Credit_Assumptions!$C$5=1,AB26,INDEX(Credit_Input!$Q$8:$Q$67,AB$4))</f>
        <v/>
      </c>
      <c r="AC53" s="80">
        <f>IF(Credit_Assumptions!$C$5=1,AC26,INDEX(Credit_Input!$Q$8:$Q$67,AC$4))</f>
        <v/>
      </c>
      <c r="AD53" s="80">
        <f>IF(Credit_Assumptions!$C$5=1,AD26,INDEX(Credit_Input!$Q$8:$Q$67,AD$4))</f>
        <v/>
      </c>
      <c r="AE53" s="80">
        <f>IF(Credit_Assumptions!$C$5=1,AE26,INDEX(Credit_Input!$Q$8:$Q$67,AE$4))</f>
        <v/>
      </c>
      <c r="AF53" s="80">
        <f>IF(Credit_Assumptions!$C$5=1,AF26,INDEX(Credit_Input!$Q$8:$Q$67,AF$4))</f>
        <v/>
      </c>
      <c r="AG53" s="80">
        <f>IF(Credit_Assumptions!$C$5=1,AG26,INDEX(Credit_Input!$Q$8:$Q$67,AG$4))</f>
        <v/>
      </c>
      <c r="AH53" s="80">
        <f>IF(Credit_Assumptions!$C$5=1,AH26,INDEX(Credit_Input!$Q$8:$Q$67,AH$4))</f>
        <v/>
      </c>
      <c r="AI53" s="80">
        <f>IF(Credit_Assumptions!$C$5=1,AI26,INDEX(Credit_Input!$Q$8:$Q$67,AI$4))</f>
        <v/>
      </c>
      <c r="AJ53" s="80">
        <f>IF(Credit_Assumptions!$C$5=1,AJ26,INDEX(Credit_Input!$Q$8:$Q$67,AJ$4))</f>
        <v/>
      </c>
      <c r="AK53" s="80">
        <f>IF(Credit_Assumptions!$C$5=1,AK26,INDEX(Credit_Input!$Q$8:$Q$67,AK$4))</f>
        <v/>
      </c>
      <c r="AL53" s="80">
        <f>IF(Credit_Assumptions!$C$5=1,AL26,INDEX(Credit_Input!$Q$8:$Q$67,AL$4))</f>
        <v/>
      </c>
      <c r="AM53" s="80">
        <f>IF(Credit_Assumptions!$C$5=1,AM26,INDEX(Credit_Input!$Q$8:$Q$67,AM$4))</f>
        <v/>
      </c>
      <c r="AN53" s="80">
        <f>IF(Credit_Assumptions!$C$5=1,AN26,INDEX(Credit_Input!$Q$8:$Q$67,AN$4))</f>
        <v/>
      </c>
      <c r="AO53" s="80">
        <f>IF(Credit_Assumptions!$C$5=1,AO26,INDEX(Credit_Input!$Q$8:$Q$67,AO$4))</f>
        <v/>
      </c>
      <c r="AP53" s="80">
        <f>IF(Credit_Assumptions!$C$5=1,AP26,INDEX(Credit_Input!$Q$8:$Q$67,AP$4))</f>
        <v/>
      </c>
      <c r="AQ53" s="80">
        <f>IF(Credit_Assumptions!$C$5=1,AQ26,INDEX(Credit_Input!$Q$8:$Q$67,AQ$4))</f>
        <v/>
      </c>
      <c r="AR53" s="80">
        <f>IF(Credit_Assumptions!$C$5=1,AR26,INDEX(Credit_Input!$Q$8:$Q$67,AR$4))</f>
        <v/>
      </c>
      <c r="AS53" s="80">
        <f>IF(Credit_Assumptions!$C$5=1,AS26,INDEX(Credit_Input!$Q$8:$Q$67,AS$4))</f>
        <v/>
      </c>
      <c r="AT53" s="80">
        <f>IF(Credit_Assumptions!$C$5=1,AT26,INDEX(Credit_Input!$Q$8:$Q$67,AT$4))</f>
        <v/>
      </c>
      <c r="AU53" s="80">
        <f>IF(Credit_Assumptions!$C$5=1,AU26,INDEX(Credit_Input!$Q$8:$Q$67,AU$4))</f>
        <v/>
      </c>
      <c r="AV53" s="80">
        <f>IF(Credit_Assumptions!$C$5=1,AV26,INDEX(Credit_Input!$Q$8:$Q$67,AV$4))</f>
        <v/>
      </c>
      <c r="AW53" s="80">
        <f>IF(Credit_Assumptions!$C$5=1,AW26,INDEX(Credit_Input!$Q$8:$Q$67,AW$4))</f>
        <v/>
      </c>
      <c r="AX53" s="80">
        <f>IF(Credit_Assumptions!$C$5=1,AX26,INDEX(Credit_Input!$Q$8:$Q$67,AX$4))</f>
        <v/>
      </c>
      <c r="AY53" s="80">
        <f>IF(Credit_Assumptions!$C$5=1,AY26,INDEX(Credit_Input!$Q$8:$Q$67,AY$4))</f>
        <v/>
      </c>
      <c r="AZ53" s="80">
        <f>IF(Credit_Assumptions!$C$5=1,AZ26,INDEX(Credit_Input!$Q$8:$Q$67,AZ$4))</f>
        <v/>
      </c>
      <c r="BA53" s="80">
        <f>IF(Credit_Assumptions!$C$5=1,BA26,INDEX(Credit_Input!$Q$8:$Q$67,BA$4))</f>
        <v/>
      </c>
      <c r="BB53" s="80">
        <f>IF(Credit_Assumptions!$C$5=1,BB26,INDEX(Credit_Input!$Q$8:$Q$67,BB$4))</f>
        <v/>
      </c>
      <c r="BC53" s="80">
        <f>IF(Credit_Assumptions!$C$5=1,BC26,INDEX(Credit_Input!$Q$8:$Q$67,BC$4))</f>
        <v/>
      </c>
      <c r="BD53" s="80">
        <f>IF(Credit_Assumptions!$C$5=1,BD26,INDEX(Credit_Input!$Q$8:$Q$67,BD$4))</f>
        <v/>
      </c>
      <c r="BE53" s="80">
        <f>IF(Credit_Assumptions!$C$5=1,BE26,INDEX(Credit_Input!$Q$8:$Q$67,BE$4))</f>
        <v/>
      </c>
      <c r="BF53" s="80">
        <f>IF(Credit_Assumptions!$C$5=1,BF26,INDEX(Credit_Input!$Q$8:$Q$67,BF$4))</f>
        <v/>
      </c>
      <c r="BG53" s="80">
        <f>IF(Credit_Assumptions!$C$5=1,BG26,INDEX(Credit_Input!$Q$8:$Q$67,BG$4))</f>
        <v/>
      </c>
      <c r="BH53" s="80">
        <f>IF(Credit_Assumptions!$C$5=1,BH26,INDEX(Credit_Input!$Q$8:$Q$67,BH$4))</f>
        <v/>
      </c>
      <c r="BI53" s="80">
        <f>IF(Credit_Assumptions!$C$5=1,BI26,INDEX(Credit_Input!$Q$8:$Q$67,BI$4))</f>
        <v/>
      </c>
      <c r="BJ53" s="80">
        <f>IF(Credit_Assumptions!$C$5=1,BJ26,INDEX(Credit_Input!$Q$8:$Q$67,BJ$4))</f>
        <v/>
      </c>
      <c r="BK53" s="80">
        <f>IF(Credit_Assumptions!$C$5=1,BK26,INDEX(Credit_Input!$Q$8:$Q$67,BK$4))</f>
        <v/>
      </c>
      <c r="BL53" s="80">
        <f>IF(Credit_Assumptions!$C$5=1,BL26,INDEX(Credit_Input!$Q$8:$Q$67,BL$4))</f>
        <v/>
      </c>
    </row>
    <row r="54">
      <c r="A54" s="98" t="inlineStr">
        <is>
          <t>Instalments due</t>
        </is>
      </c>
      <c r="B54" s="65" t="inlineStr">
        <is>
          <t>LCY</t>
        </is>
      </c>
      <c r="C54" s="105">
        <f>SUM(E54:BL54)</f>
        <v/>
      </c>
      <c r="E54" s="80">
        <f>IF(Credit_Assumptions!$C$5=1,E27,INDEX(Credit_Input!$R$8:$R$67,E$4))</f>
        <v/>
      </c>
      <c r="F54" s="80">
        <f>IF(Credit_Assumptions!$C$5=1,F27,INDEX(Credit_Input!$R$8:$R$67,F$4))</f>
        <v/>
      </c>
      <c r="G54" s="80">
        <f>IF(Credit_Assumptions!$C$5=1,G27,INDEX(Credit_Input!$R$8:$R$67,G$4))</f>
        <v/>
      </c>
      <c r="H54" s="80">
        <f>IF(Credit_Assumptions!$C$5=1,H27,INDEX(Credit_Input!$R$8:$R$67,H$4))</f>
        <v/>
      </c>
      <c r="I54" s="80">
        <f>IF(Credit_Assumptions!$C$5=1,I27,INDEX(Credit_Input!$R$8:$R$67,I$4))</f>
        <v/>
      </c>
      <c r="J54" s="80">
        <f>IF(Credit_Assumptions!$C$5=1,J27,INDEX(Credit_Input!$R$8:$R$67,J$4))</f>
        <v/>
      </c>
      <c r="K54" s="80">
        <f>IF(Credit_Assumptions!$C$5=1,K27,INDEX(Credit_Input!$R$8:$R$67,K$4))</f>
        <v/>
      </c>
      <c r="L54" s="80">
        <f>IF(Credit_Assumptions!$C$5=1,L27,INDEX(Credit_Input!$R$8:$R$67,L$4))</f>
        <v/>
      </c>
      <c r="M54" s="80">
        <f>IF(Credit_Assumptions!$C$5=1,M27,INDEX(Credit_Input!$R$8:$R$67,M$4))</f>
        <v/>
      </c>
      <c r="N54" s="80">
        <f>IF(Credit_Assumptions!$C$5=1,N27,INDEX(Credit_Input!$R$8:$R$67,N$4))</f>
        <v/>
      </c>
      <c r="O54" s="80">
        <f>IF(Credit_Assumptions!$C$5=1,O27,INDEX(Credit_Input!$R$8:$R$67,O$4))</f>
        <v/>
      </c>
      <c r="P54" s="80">
        <f>IF(Credit_Assumptions!$C$5=1,P27,INDEX(Credit_Input!$R$8:$R$67,P$4))</f>
        <v/>
      </c>
      <c r="Q54" s="80">
        <f>IF(Credit_Assumptions!$C$5=1,Q27,INDEX(Credit_Input!$R$8:$R$67,Q$4))</f>
        <v/>
      </c>
      <c r="R54" s="80">
        <f>IF(Credit_Assumptions!$C$5=1,R27,INDEX(Credit_Input!$R$8:$R$67,R$4))</f>
        <v/>
      </c>
      <c r="S54" s="80">
        <f>IF(Credit_Assumptions!$C$5=1,S27,INDEX(Credit_Input!$R$8:$R$67,S$4))</f>
        <v/>
      </c>
      <c r="T54" s="80">
        <f>IF(Credit_Assumptions!$C$5=1,T27,INDEX(Credit_Input!$R$8:$R$67,T$4))</f>
        <v/>
      </c>
      <c r="U54" s="80">
        <f>IF(Credit_Assumptions!$C$5=1,U27,INDEX(Credit_Input!$R$8:$R$67,U$4))</f>
        <v/>
      </c>
      <c r="V54" s="80">
        <f>IF(Credit_Assumptions!$C$5=1,V27,INDEX(Credit_Input!$R$8:$R$67,V$4))</f>
        <v/>
      </c>
      <c r="W54" s="80">
        <f>IF(Credit_Assumptions!$C$5=1,W27,INDEX(Credit_Input!$R$8:$R$67,W$4))</f>
        <v/>
      </c>
      <c r="X54" s="80">
        <f>IF(Credit_Assumptions!$C$5=1,X27,INDEX(Credit_Input!$R$8:$R$67,X$4))</f>
        <v/>
      </c>
      <c r="Y54" s="80">
        <f>IF(Credit_Assumptions!$C$5=1,Y27,INDEX(Credit_Input!$R$8:$R$67,Y$4))</f>
        <v/>
      </c>
      <c r="Z54" s="80">
        <f>IF(Credit_Assumptions!$C$5=1,Z27,INDEX(Credit_Input!$R$8:$R$67,Z$4))</f>
        <v/>
      </c>
      <c r="AA54" s="80">
        <f>IF(Credit_Assumptions!$C$5=1,AA27,INDEX(Credit_Input!$R$8:$R$67,AA$4))</f>
        <v/>
      </c>
      <c r="AB54" s="80">
        <f>IF(Credit_Assumptions!$C$5=1,AB27,INDEX(Credit_Input!$R$8:$R$67,AB$4))</f>
        <v/>
      </c>
      <c r="AC54" s="80">
        <f>IF(Credit_Assumptions!$C$5=1,AC27,INDEX(Credit_Input!$R$8:$R$67,AC$4))</f>
        <v/>
      </c>
      <c r="AD54" s="80">
        <f>IF(Credit_Assumptions!$C$5=1,AD27,INDEX(Credit_Input!$R$8:$R$67,AD$4))</f>
        <v/>
      </c>
      <c r="AE54" s="80">
        <f>IF(Credit_Assumptions!$C$5=1,AE27,INDEX(Credit_Input!$R$8:$R$67,AE$4))</f>
        <v/>
      </c>
      <c r="AF54" s="80">
        <f>IF(Credit_Assumptions!$C$5=1,AF27,INDEX(Credit_Input!$R$8:$R$67,AF$4))</f>
        <v/>
      </c>
      <c r="AG54" s="80">
        <f>IF(Credit_Assumptions!$C$5=1,AG27,INDEX(Credit_Input!$R$8:$R$67,AG$4))</f>
        <v/>
      </c>
      <c r="AH54" s="80">
        <f>IF(Credit_Assumptions!$C$5=1,AH27,INDEX(Credit_Input!$R$8:$R$67,AH$4))</f>
        <v/>
      </c>
      <c r="AI54" s="80">
        <f>IF(Credit_Assumptions!$C$5=1,AI27,INDEX(Credit_Input!$R$8:$R$67,AI$4))</f>
        <v/>
      </c>
      <c r="AJ54" s="80">
        <f>IF(Credit_Assumptions!$C$5=1,AJ27,INDEX(Credit_Input!$R$8:$R$67,AJ$4))</f>
        <v/>
      </c>
      <c r="AK54" s="80">
        <f>IF(Credit_Assumptions!$C$5=1,AK27,INDEX(Credit_Input!$R$8:$R$67,AK$4))</f>
        <v/>
      </c>
      <c r="AL54" s="80">
        <f>IF(Credit_Assumptions!$C$5=1,AL27,INDEX(Credit_Input!$R$8:$R$67,AL$4))</f>
        <v/>
      </c>
      <c r="AM54" s="80">
        <f>IF(Credit_Assumptions!$C$5=1,AM27,INDEX(Credit_Input!$R$8:$R$67,AM$4))</f>
        <v/>
      </c>
      <c r="AN54" s="80">
        <f>IF(Credit_Assumptions!$C$5=1,AN27,INDEX(Credit_Input!$R$8:$R$67,AN$4))</f>
        <v/>
      </c>
      <c r="AO54" s="80">
        <f>IF(Credit_Assumptions!$C$5=1,AO27,INDEX(Credit_Input!$R$8:$R$67,AO$4))</f>
        <v/>
      </c>
      <c r="AP54" s="80">
        <f>IF(Credit_Assumptions!$C$5=1,AP27,INDEX(Credit_Input!$R$8:$R$67,AP$4))</f>
        <v/>
      </c>
      <c r="AQ54" s="80">
        <f>IF(Credit_Assumptions!$C$5=1,AQ27,INDEX(Credit_Input!$R$8:$R$67,AQ$4))</f>
        <v/>
      </c>
      <c r="AR54" s="80">
        <f>IF(Credit_Assumptions!$C$5=1,AR27,INDEX(Credit_Input!$R$8:$R$67,AR$4))</f>
        <v/>
      </c>
      <c r="AS54" s="80">
        <f>IF(Credit_Assumptions!$C$5=1,AS27,INDEX(Credit_Input!$R$8:$R$67,AS$4))</f>
        <v/>
      </c>
      <c r="AT54" s="80">
        <f>IF(Credit_Assumptions!$C$5=1,AT27,INDEX(Credit_Input!$R$8:$R$67,AT$4))</f>
        <v/>
      </c>
      <c r="AU54" s="80">
        <f>IF(Credit_Assumptions!$C$5=1,AU27,INDEX(Credit_Input!$R$8:$R$67,AU$4))</f>
        <v/>
      </c>
      <c r="AV54" s="80">
        <f>IF(Credit_Assumptions!$C$5=1,AV27,INDEX(Credit_Input!$R$8:$R$67,AV$4))</f>
        <v/>
      </c>
      <c r="AW54" s="80">
        <f>IF(Credit_Assumptions!$C$5=1,AW27,INDEX(Credit_Input!$R$8:$R$67,AW$4))</f>
        <v/>
      </c>
      <c r="AX54" s="80">
        <f>IF(Credit_Assumptions!$C$5=1,AX27,INDEX(Credit_Input!$R$8:$R$67,AX$4))</f>
        <v/>
      </c>
      <c r="AY54" s="80">
        <f>IF(Credit_Assumptions!$C$5=1,AY27,INDEX(Credit_Input!$R$8:$R$67,AY$4))</f>
        <v/>
      </c>
      <c r="AZ54" s="80">
        <f>IF(Credit_Assumptions!$C$5=1,AZ27,INDEX(Credit_Input!$R$8:$R$67,AZ$4))</f>
        <v/>
      </c>
      <c r="BA54" s="80">
        <f>IF(Credit_Assumptions!$C$5=1,BA27,INDEX(Credit_Input!$R$8:$R$67,BA$4))</f>
        <v/>
      </c>
      <c r="BB54" s="80">
        <f>IF(Credit_Assumptions!$C$5=1,BB27,INDEX(Credit_Input!$R$8:$R$67,BB$4))</f>
        <v/>
      </c>
      <c r="BC54" s="80">
        <f>IF(Credit_Assumptions!$C$5=1,BC27,INDEX(Credit_Input!$R$8:$R$67,BC$4))</f>
        <v/>
      </c>
      <c r="BD54" s="80">
        <f>IF(Credit_Assumptions!$C$5=1,BD27,INDEX(Credit_Input!$R$8:$R$67,BD$4))</f>
        <v/>
      </c>
      <c r="BE54" s="80">
        <f>IF(Credit_Assumptions!$C$5=1,BE27,INDEX(Credit_Input!$R$8:$R$67,BE$4))</f>
        <v/>
      </c>
      <c r="BF54" s="80">
        <f>IF(Credit_Assumptions!$C$5=1,BF27,INDEX(Credit_Input!$R$8:$R$67,BF$4))</f>
        <v/>
      </c>
      <c r="BG54" s="80">
        <f>IF(Credit_Assumptions!$C$5=1,BG27,INDEX(Credit_Input!$R$8:$R$67,BG$4))</f>
        <v/>
      </c>
      <c r="BH54" s="80">
        <f>IF(Credit_Assumptions!$C$5=1,BH27,INDEX(Credit_Input!$R$8:$R$67,BH$4))</f>
        <v/>
      </c>
      <c r="BI54" s="80">
        <f>IF(Credit_Assumptions!$C$5=1,BI27,INDEX(Credit_Input!$R$8:$R$67,BI$4))</f>
        <v/>
      </c>
      <c r="BJ54" s="80">
        <f>IF(Credit_Assumptions!$C$5=1,BJ27,INDEX(Credit_Input!$R$8:$R$67,BJ$4))</f>
        <v/>
      </c>
      <c r="BK54" s="80">
        <f>IF(Credit_Assumptions!$C$5=1,BK27,INDEX(Credit_Input!$R$8:$R$67,BK$4))</f>
        <v/>
      </c>
      <c r="BL54" s="80">
        <f>IF(Credit_Assumptions!$C$5=1,BL27,INDEX(Credit_Input!$R$8:$R$67,BL$4))</f>
        <v/>
      </c>
    </row>
    <row r="55">
      <c r="A55" s="98" t="inlineStr">
        <is>
          <t>Ownership events (unlocks)</t>
        </is>
      </c>
      <c r="B55" s="65" t="inlineStr">
        <is>
          <t>LCY</t>
        </is>
      </c>
      <c r="C55" s="105">
        <f>SUM(E55:BL55)</f>
        <v/>
      </c>
      <c r="E55" s="80">
        <f>IF(Credit_Assumptions!$C$5=1,E28,INDEX(Credit_Input!$S$8:$S$67,E$4))</f>
        <v/>
      </c>
      <c r="F55" s="80">
        <f>IF(Credit_Assumptions!$C$5=1,F28,INDEX(Credit_Input!$S$8:$S$67,F$4))</f>
        <v/>
      </c>
      <c r="G55" s="80">
        <f>IF(Credit_Assumptions!$C$5=1,G28,INDEX(Credit_Input!$S$8:$S$67,G$4))</f>
        <v/>
      </c>
      <c r="H55" s="80">
        <f>IF(Credit_Assumptions!$C$5=1,H28,INDEX(Credit_Input!$S$8:$S$67,H$4))</f>
        <v/>
      </c>
      <c r="I55" s="80">
        <f>IF(Credit_Assumptions!$C$5=1,I28,INDEX(Credit_Input!$S$8:$S$67,I$4))</f>
        <v/>
      </c>
      <c r="J55" s="80">
        <f>IF(Credit_Assumptions!$C$5=1,J28,INDEX(Credit_Input!$S$8:$S$67,J$4))</f>
        <v/>
      </c>
      <c r="K55" s="80">
        <f>IF(Credit_Assumptions!$C$5=1,K28,INDEX(Credit_Input!$S$8:$S$67,K$4))</f>
        <v/>
      </c>
      <c r="L55" s="80">
        <f>IF(Credit_Assumptions!$C$5=1,L28,INDEX(Credit_Input!$S$8:$S$67,L$4))</f>
        <v/>
      </c>
      <c r="M55" s="80">
        <f>IF(Credit_Assumptions!$C$5=1,M28,INDEX(Credit_Input!$S$8:$S$67,M$4))</f>
        <v/>
      </c>
      <c r="N55" s="80">
        <f>IF(Credit_Assumptions!$C$5=1,N28,INDEX(Credit_Input!$S$8:$S$67,N$4))</f>
        <v/>
      </c>
      <c r="O55" s="80">
        <f>IF(Credit_Assumptions!$C$5=1,O28,INDEX(Credit_Input!$S$8:$S$67,O$4))</f>
        <v/>
      </c>
      <c r="P55" s="80">
        <f>IF(Credit_Assumptions!$C$5=1,P28,INDEX(Credit_Input!$S$8:$S$67,P$4))</f>
        <v/>
      </c>
      <c r="Q55" s="80">
        <f>IF(Credit_Assumptions!$C$5=1,Q28,INDEX(Credit_Input!$S$8:$S$67,Q$4))</f>
        <v/>
      </c>
      <c r="R55" s="80">
        <f>IF(Credit_Assumptions!$C$5=1,R28,INDEX(Credit_Input!$S$8:$S$67,R$4))</f>
        <v/>
      </c>
      <c r="S55" s="80">
        <f>IF(Credit_Assumptions!$C$5=1,S28,INDEX(Credit_Input!$S$8:$S$67,S$4))</f>
        <v/>
      </c>
      <c r="T55" s="80">
        <f>IF(Credit_Assumptions!$C$5=1,T28,INDEX(Credit_Input!$S$8:$S$67,T$4))</f>
        <v/>
      </c>
      <c r="U55" s="80">
        <f>IF(Credit_Assumptions!$C$5=1,U28,INDEX(Credit_Input!$S$8:$S$67,U$4))</f>
        <v/>
      </c>
      <c r="V55" s="80">
        <f>IF(Credit_Assumptions!$C$5=1,V28,INDEX(Credit_Input!$S$8:$S$67,V$4))</f>
        <v/>
      </c>
      <c r="W55" s="80">
        <f>IF(Credit_Assumptions!$C$5=1,W28,INDEX(Credit_Input!$S$8:$S$67,W$4))</f>
        <v/>
      </c>
      <c r="X55" s="80">
        <f>IF(Credit_Assumptions!$C$5=1,X28,INDEX(Credit_Input!$S$8:$S$67,X$4))</f>
        <v/>
      </c>
      <c r="Y55" s="80">
        <f>IF(Credit_Assumptions!$C$5=1,Y28,INDEX(Credit_Input!$S$8:$S$67,Y$4))</f>
        <v/>
      </c>
      <c r="Z55" s="80">
        <f>IF(Credit_Assumptions!$C$5=1,Z28,INDEX(Credit_Input!$S$8:$S$67,Z$4))</f>
        <v/>
      </c>
      <c r="AA55" s="80">
        <f>IF(Credit_Assumptions!$C$5=1,AA28,INDEX(Credit_Input!$S$8:$S$67,AA$4))</f>
        <v/>
      </c>
      <c r="AB55" s="80">
        <f>IF(Credit_Assumptions!$C$5=1,AB28,INDEX(Credit_Input!$S$8:$S$67,AB$4))</f>
        <v/>
      </c>
      <c r="AC55" s="80">
        <f>IF(Credit_Assumptions!$C$5=1,AC28,INDEX(Credit_Input!$S$8:$S$67,AC$4))</f>
        <v/>
      </c>
      <c r="AD55" s="80">
        <f>IF(Credit_Assumptions!$C$5=1,AD28,INDEX(Credit_Input!$S$8:$S$67,AD$4))</f>
        <v/>
      </c>
      <c r="AE55" s="80">
        <f>IF(Credit_Assumptions!$C$5=1,AE28,INDEX(Credit_Input!$S$8:$S$67,AE$4))</f>
        <v/>
      </c>
      <c r="AF55" s="80">
        <f>IF(Credit_Assumptions!$C$5=1,AF28,INDEX(Credit_Input!$S$8:$S$67,AF$4))</f>
        <v/>
      </c>
      <c r="AG55" s="80">
        <f>IF(Credit_Assumptions!$C$5=1,AG28,INDEX(Credit_Input!$S$8:$S$67,AG$4))</f>
        <v/>
      </c>
      <c r="AH55" s="80">
        <f>IF(Credit_Assumptions!$C$5=1,AH28,INDEX(Credit_Input!$S$8:$S$67,AH$4))</f>
        <v/>
      </c>
      <c r="AI55" s="80">
        <f>IF(Credit_Assumptions!$C$5=1,AI28,INDEX(Credit_Input!$S$8:$S$67,AI$4))</f>
        <v/>
      </c>
      <c r="AJ55" s="80">
        <f>IF(Credit_Assumptions!$C$5=1,AJ28,INDEX(Credit_Input!$S$8:$S$67,AJ$4))</f>
        <v/>
      </c>
      <c r="AK55" s="80">
        <f>IF(Credit_Assumptions!$C$5=1,AK28,INDEX(Credit_Input!$S$8:$S$67,AK$4))</f>
        <v/>
      </c>
      <c r="AL55" s="80">
        <f>IF(Credit_Assumptions!$C$5=1,AL28,INDEX(Credit_Input!$S$8:$S$67,AL$4))</f>
        <v/>
      </c>
      <c r="AM55" s="80">
        <f>IF(Credit_Assumptions!$C$5=1,AM28,INDEX(Credit_Input!$S$8:$S$67,AM$4))</f>
        <v/>
      </c>
      <c r="AN55" s="80">
        <f>IF(Credit_Assumptions!$C$5=1,AN28,INDEX(Credit_Input!$S$8:$S$67,AN$4))</f>
        <v/>
      </c>
      <c r="AO55" s="80">
        <f>IF(Credit_Assumptions!$C$5=1,AO28,INDEX(Credit_Input!$S$8:$S$67,AO$4))</f>
        <v/>
      </c>
      <c r="AP55" s="80">
        <f>IF(Credit_Assumptions!$C$5=1,AP28,INDEX(Credit_Input!$S$8:$S$67,AP$4))</f>
        <v/>
      </c>
      <c r="AQ55" s="80">
        <f>IF(Credit_Assumptions!$C$5=1,AQ28,INDEX(Credit_Input!$S$8:$S$67,AQ$4))</f>
        <v/>
      </c>
      <c r="AR55" s="80">
        <f>IF(Credit_Assumptions!$C$5=1,AR28,INDEX(Credit_Input!$S$8:$S$67,AR$4))</f>
        <v/>
      </c>
      <c r="AS55" s="80">
        <f>IF(Credit_Assumptions!$C$5=1,AS28,INDEX(Credit_Input!$S$8:$S$67,AS$4))</f>
        <v/>
      </c>
      <c r="AT55" s="80">
        <f>IF(Credit_Assumptions!$C$5=1,AT28,INDEX(Credit_Input!$S$8:$S$67,AT$4))</f>
        <v/>
      </c>
      <c r="AU55" s="80">
        <f>IF(Credit_Assumptions!$C$5=1,AU28,INDEX(Credit_Input!$S$8:$S$67,AU$4))</f>
        <v/>
      </c>
      <c r="AV55" s="80">
        <f>IF(Credit_Assumptions!$C$5=1,AV28,INDEX(Credit_Input!$S$8:$S$67,AV$4))</f>
        <v/>
      </c>
      <c r="AW55" s="80">
        <f>IF(Credit_Assumptions!$C$5=1,AW28,INDEX(Credit_Input!$S$8:$S$67,AW$4))</f>
        <v/>
      </c>
      <c r="AX55" s="80">
        <f>IF(Credit_Assumptions!$C$5=1,AX28,INDEX(Credit_Input!$S$8:$S$67,AX$4))</f>
        <v/>
      </c>
      <c r="AY55" s="80">
        <f>IF(Credit_Assumptions!$C$5=1,AY28,INDEX(Credit_Input!$S$8:$S$67,AY$4))</f>
        <v/>
      </c>
      <c r="AZ55" s="80">
        <f>IF(Credit_Assumptions!$C$5=1,AZ28,INDEX(Credit_Input!$S$8:$S$67,AZ$4))</f>
        <v/>
      </c>
      <c r="BA55" s="80">
        <f>IF(Credit_Assumptions!$C$5=1,BA28,INDEX(Credit_Input!$S$8:$S$67,BA$4))</f>
        <v/>
      </c>
      <c r="BB55" s="80">
        <f>IF(Credit_Assumptions!$C$5=1,BB28,INDEX(Credit_Input!$S$8:$S$67,BB$4))</f>
        <v/>
      </c>
      <c r="BC55" s="80">
        <f>IF(Credit_Assumptions!$C$5=1,BC28,INDEX(Credit_Input!$S$8:$S$67,BC$4))</f>
        <v/>
      </c>
      <c r="BD55" s="80">
        <f>IF(Credit_Assumptions!$C$5=1,BD28,INDEX(Credit_Input!$S$8:$S$67,BD$4))</f>
        <v/>
      </c>
      <c r="BE55" s="80">
        <f>IF(Credit_Assumptions!$C$5=1,BE28,INDEX(Credit_Input!$S$8:$S$67,BE$4))</f>
        <v/>
      </c>
      <c r="BF55" s="80">
        <f>IF(Credit_Assumptions!$C$5=1,BF28,INDEX(Credit_Input!$S$8:$S$67,BF$4))</f>
        <v/>
      </c>
      <c r="BG55" s="80">
        <f>IF(Credit_Assumptions!$C$5=1,BG28,INDEX(Credit_Input!$S$8:$S$67,BG$4))</f>
        <v/>
      </c>
      <c r="BH55" s="80">
        <f>IF(Credit_Assumptions!$C$5=1,BH28,INDEX(Credit_Input!$S$8:$S$67,BH$4))</f>
        <v/>
      </c>
      <c r="BI55" s="80">
        <f>IF(Credit_Assumptions!$C$5=1,BI28,INDEX(Credit_Input!$S$8:$S$67,BI$4))</f>
        <v/>
      </c>
      <c r="BJ55" s="80">
        <f>IF(Credit_Assumptions!$C$5=1,BJ28,INDEX(Credit_Input!$S$8:$S$67,BJ$4))</f>
        <v/>
      </c>
      <c r="BK55" s="80">
        <f>IF(Credit_Assumptions!$C$5=1,BK28,INDEX(Credit_Input!$S$8:$S$67,BK$4))</f>
        <v/>
      </c>
      <c r="BL55" s="80">
        <f>IF(Credit_Assumptions!$C$5=1,BL28,INDEX(Credit_Input!$S$8:$S$67,BL$4))</f>
        <v/>
      </c>
    </row>
    <row r="56">
      <c r="A56" s="98" t="inlineStr">
        <is>
          <t>Observed repayment rate (collections / due)</t>
        </is>
      </c>
      <c r="B56" s="65" t="inlineStr">
        <is>
          <t>%</t>
        </is>
      </c>
      <c r="E56" s="81">
        <f>IF(E54=0,0,E53/E54)</f>
        <v/>
      </c>
      <c r="F56" s="81">
        <f>IF(F54=0,0,F53/F54)</f>
        <v/>
      </c>
      <c r="G56" s="81">
        <f>IF(G54=0,0,G53/G54)</f>
        <v/>
      </c>
      <c r="H56" s="81">
        <f>IF(H54=0,0,H53/H54)</f>
        <v/>
      </c>
      <c r="I56" s="81">
        <f>IF(I54=0,0,I53/I54)</f>
        <v/>
      </c>
      <c r="J56" s="81">
        <f>IF(J54=0,0,J53/J54)</f>
        <v/>
      </c>
      <c r="K56" s="81">
        <f>IF(K54=0,0,K53/K54)</f>
        <v/>
      </c>
      <c r="L56" s="81">
        <f>IF(L54=0,0,L53/L54)</f>
        <v/>
      </c>
      <c r="M56" s="81">
        <f>IF(M54=0,0,M53/M54)</f>
        <v/>
      </c>
      <c r="N56" s="81">
        <f>IF(N54=0,0,N53/N54)</f>
        <v/>
      </c>
      <c r="O56" s="81">
        <f>IF(O54=0,0,O53/O54)</f>
        <v/>
      </c>
      <c r="P56" s="81">
        <f>IF(P54=0,0,P53/P54)</f>
        <v/>
      </c>
      <c r="Q56" s="81">
        <f>IF(Q54=0,0,Q53/Q54)</f>
        <v/>
      </c>
      <c r="R56" s="81">
        <f>IF(R54=0,0,R53/R54)</f>
        <v/>
      </c>
      <c r="S56" s="81">
        <f>IF(S54=0,0,S53/S54)</f>
        <v/>
      </c>
      <c r="T56" s="81">
        <f>IF(T54=0,0,T53/T54)</f>
        <v/>
      </c>
      <c r="U56" s="81">
        <f>IF(U54=0,0,U53/U54)</f>
        <v/>
      </c>
      <c r="V56" s="81">
        <f>IF(V54=0,0,V53/V54)</f>
        <v/>
      </c>
      <c r="W56" s="81">
        <f>IF(W54=0,0,W53/W54)</f>
        <v/>
      </c>
      <c r="X56" s="81">
        <f>IF(X54=0,0,X53/X54)</f>
        <v/>
      </c>
      <c r="Y56" s="81">
        <f>IF(Y54=0,0,Y53/Y54)</f>
        <v/>
      </c>
      <c r="Z56" s="81">
        <f>IF(Z54=0,0,Z53/Z54)</f>
        <v/>
      </c>
      <c r="AA56" s="81">
        <f>IF(AA54=0,0,AA53/AA54)</f>
        <v/>
      </c>
      <c r="AB56" s="81">
        <f>IF(AB54=0,0,AB53/AB54)</f>
        <v/>
      </c>
      <c r="AC56" s="81">
        <f>IF(AC54=0,0,AC53/AC54)</f>
        <v/>
      </c>
      <c r="AD56" s="81">
        <f>IF(AD54=0,0,AD53/AD54)</f>
        <v/>
      </c>
      <c r="AE56" s="81">
        <f>IF(AE54=0,0,AE53/AE54)</f>
        <v/>
      </c>
      <c r="AF56" s="81">
        <f>IF(AF54=0,0,AF53/AF54)</f>
        <v/>
      </c>
      <c r="AG56" s="81">
        <f>IF(AG54=0,0,AG53/AG54)</f>
        <v/>
      </c>
      <c r="AH56" s="81">
        <f>IF(AH54=0,0,AH53/AH54)</f>
        <v/>
      </c>
      <c r="AI56" s="81">
        <f>IF(AI54=0,0,AI53/AI54)</f>
        <v/>
      </c>
      <c r="AJ56" s="81">
        <f>IF(AJ54=0,0,AJ53/AJ54)</f>
        <v/>
      </c>
      <c r="AK56" s="81">
        <f>IF(AK54=0,0,AK53/AK54)</f>
        <v/>
      </c>
      <c r="AL56" s="81">
        <f>IF(AL54=0,0,AL53/AL54)</f>
        <v/>
      </c>
      <c r="AM56" s="81">
        <f>IF(AM54=0,0,AM53/AM54)</f>
        <v/>
      </c>
      <c r="AN56" s="81">
        <f>IF(AN54=0,0,AN53/AN54)</f>
        <v/>
      </c>
      <c r="AO56" s="81">
        <f>IF(AO54=0,0,AO53/AO54)</f>
        <v/>
      </c>
      <c r="AP56" s="81">
        <f>IF(AP54=0,0,AP53/AP54)</f>
        <v/>
      </c>
      <c r="AQ56" s="81">
        <f>IF(AQ54=0,0,AQ53/AQ54)</f>
        <v/>
      </c>
      <c r="AR56" s="81">
        <f>IF(AR54=0,0,AR53/AR54)</f>
        <v/>
      </c>
      <c r="AS56" s="81">
        <f>IF(AS54=0,0,AS53/AS54)</f>
        <v/>
      </c>
      <c r="AT56" s="81">
        <f>IF(AT54=0,0,AT53/AT54)</f>
        <v/>
      </c>
      <c r="AU56" s="81">
        <f>IF(AU54=0,0,AU53/AU54)</f>
        <v/>
      </c>
      <c r="AV56" s="81">
        <f>IF(AV54=0,0,AV53/AV54)</f>
        <v/>
      </c>
      <c r="AW56" s="81">
        <f>IF(AW54=0,0,AW53/AW54)</f>
        <v/>
      </c>
      <c r="AX56" s="81">
        <f>IF(AX54=0,0,AX53/AX54)</f>
        <v/>
      </c>
      <c r="AY56" s="81">
        <f>IF(AY54=0,0,AY53/AY54)</f>
        <v/>
      </c>
      <c r="AZ56" s="81">
        <f>IF(AZ54=0,0,AZ53/AZ54)</f>
        <v/>
      </c>
      <c r="BA56" s="81">
        <f>IF(BA54=0,0,BA53/BA54)</f>
        <v/>
      </c>
      <c r="BB56" s="81">
        <f>IF(BB54=0,0,BB53/BB54)</f>
        <v/>
      </c>
      <c r="BC56" s="81">
        <f>IF(BC54=0,0,BC53/BC54)</f>
        <v/>
      </c>
      <c r="BD56" s="81">
        <f>IF(BD54=0,0,BD53/BD54)</f>
        <v/>
      </c>
      <c r="BE56" s="81">
        <f>IF(BE54=0,0,BE53/BE54)</f>
        <v/>
      </c>
      <c r="BF56" s="81">
        <f>IF(BF54=0,0,BF53/BF54)</f>
        <v/>
      </c>
      <c r="BG56" s="81">
        <f>IF(BG54=0,0,BG53/BG54)</f>
        <v/>
      </c>
      <c r="BH56" s="81">
        <f>IF(BH54=0,0,BH53/BH54)</f>
        <v/>
      </c>
      <c r="BI56" s="81">
        <f>IF(BI54=0,0,BI53/BI54)</f>
        <v/>
      </c>
      <c r="BJ56" s="81">
        <f>IF(BJ54=0,0,BJ53/BJ54)</f>
        <v/>
      </c>
      <c r="BK56" s="81">
        <f>IF(BK54=0,0,BK53/BK54)</f>
        <v/>
      </c>
      <c r="BL56" s="81">
        <f>IF(BL54=0,0,BL53/BL54)</f>
        <v/>
      </c>
    </row>
    <row r="57">
      <c r="A57" s="98" t="inlineStr">
        <is>
          <t>12-month PD proxy (NOT an audited IFRS 9 PD)</t>
        </is>
      </c>
      <c r="B57" s="65" t="inlineStr">
        <is>
          <t>%</t>
        </is>
      </c>
      <c r="E57" s="81">
        <f>IF(Credit_Assumptions!$C$5=1,E30,IFERROR(SUM(E52:E52)/AVERAGE(E38:E38),0))</f>
        <v/>
      </c>
      <c r="F57" s="81">
        <f>IF(Credit_Assumptions!$C$5=1,F30,IFERROR(SUM(E52:F52)/AVERAGE(E38:F38),0))</f>
        <v/>
      </c>
      <c r="G57" s="81">
        <f>IF(Credit_Assumptions!$C$5=1,G30,IFERROR(SUM(E52:G52)/AVERAGE(E38:G38),0))</f>
        <v/>
      </c>
      <c r="H57" s="81">
        <f>IF(Credit_Assumptions!$C$5=1,H30,IFERROR(SUM(E52:H52)/AVERAGE(E38:H38),0))</f>
        <v/>
      </c>
      <c r="I57" s="81">
        <f>IF(Credit_Assumptions!$C$5=1,I30,IFERROR(SUM(E52:I52)/AVERAGE(E38:I38),0))</f>
        <v/>
      </c>
      <c r="J57" s="81">
        <f>IF(Credit_Assumptions!$C$5=1,J30,IFERROR(SUM(E52:J52)/AVERAGE(E38:J38),0))</f>
        <v/>
      </c>
      <c r="K57" s="81">
        <f>IF(Credit_Assumptions!$C$5=1,K30,IFERROR(SUM(E52:K52)/AVERAGE(E38:K38),0))</f>
        <v/>
      </c>
      <c r="L57" s="81">
        <f>IF(Credit_Assumptions!$C$5=1,L30,IFERROR(SUM(E52:L52)/AVERAGE(E38:L38),0))</f>
        <v/>
      </c>
      <c r="M57" s="81">
        <f>IF(Credit_Assumptions!$C$5=1,M30,IFERROR(SUM(E52:M52)/AVERAGE(E38:M38),0))</f>
        <v/>
      </c>
      <c r="N57" s="81">
        <f>IF(Credit_Assumptions!$C$5=1,N30,IFERROR(SUM(E52:N52)/AVERAGE(E38:N38),0))</f>
        <v/>
      </c>
      <c r="O57" s="81">
        <f>IF(Credit_Assumptions!$C$5=1,O30,IFERROR(SUM(E52:O52)/AVERAGE(E38:O38),0))</f>
        <v/>
      </c>
      <c r="P57" s="81">
        <f>IF(Credit_Assumptions!$C$5=1,P30,IFERROR(SUM(E52:P52)/AVERAGE(E38:P38),0))</f>
        <v/>
      </c>
      <c r="Q57" s="81">
        <f>IF(Credit_Assumptions!$C$5=1,Q30,IFERROR(SUM(F52:Q52)/AVERAGE(F38:Q38),0))</f>
        <v/>
      </c>
      <c r="R57" s="81">
        <f>IF(Credit_Assumptions!$C$5=1,R30,IFERROR(SUM(G52:R52)/AVERAGE(G38:R38),0))</f>
        <v/>
      </c>
      <c r="S57" s="81">
        <f>IF(Credit_Assumptions!$C$5=1,S30,IFERROR(SUM(H52:S52)/AVERAGE(H38:S38),0))</f>
        <v/>
      </c>
      <c r="T57" s="81">
        <f>IF(Credit_Assumptions!$C$5=1,T30,IFERROR(SUM(I52:T52)/AVERAGE(I38:T38),0))</f>
        <v/>
      </c>
      <c r="U57" s="81">
        <f>IF(Credit_Assumptions!$C$5=1,U30,IFERROR(SUM(J52:U52)/AVERAGE(J38:U38),0))</f>
        <v/>
      </c>
      <c r="V57" s="81">
        <f>IF(Credit_Assumptions!$C$5=1,V30,IFERROR(SUM(K52:V52)/AVERAGE(K38:V38),0))</f>
        <v/>
      </c>
      <c r="W57" s="81">
        <f>IF(Credit_Assumptions!$C$5=1,W30,IFERROR(SUM(L52:W52)/AVERAGE(L38:W38),0))</f>
        <v/>
      </c>
      <c r="X57" s="81">
        <f>IF(Credit_Assumptions!$C$5=1,X30,IFERROR(SUM(M52:X52)/AVERAGE(M38:X38),0))</f>
        <v/>
      </c>
      <c r="Y57" s="81">
        <f>IF(Credit_Assumptions!$C$5=1,Y30,IFERROR(SUM(N52:Y52)/AVERAGE(N38:Y38),0))</f>
        <v/>
      </c>
      <c r="Z57" s="81">
        <f>IF(Credit_Assumptions!$C$5=1,Z30,IFERROR(SUM(O52:Z52)/AVERAGE(O38:Z38),0))</f>
        <v/>
      </c>
      <c r="AA57" s="81">
        <f>IF(Credit_Assumptions!$C$5=1,AA30,IFERROR(SUM(P52:AA52)/AVERAGE(P38:AA38),0))</f>
        <v/>
      </c>
      <c r="AB57" s="81">
        <f>IF(Credit_Assumptions!$C$5=1,AB30,IFERROR(SUM(Q52:AB52)/AVERAGE(Q38:AB38),0))</f>
        <v/>
      </c>
      <c r="AC57" s="81">
        <f>IF(Credit_Assumptions!$C$5=1,AC30,IFERROR(SUM(R52:AC52)/AVERAGE(R38:AC38),0))</f>
        <v/>
      </c>
      <c r="AD57" s="81">
        <f>IF(Credit_Assumptions!$C$5=1,AD30,IFERROR(SUM(S52:AD52)/AVERAGE(S38:AD38),0))</f>
        <v/>
      </c>
      <c r="AE57" s="81">
        <f>IF(Credit_Assumptions!$C$5=1,AE30,IFERROR(SUM(T52:AE52)/AVERAGE(T38:AE38),0))</f>
        <v/>
      </c>
      <c r="AF57" s="81">
        <f>IF(Credit_Assumptions!$C$5=1,AF30,IFERROR(SUM(U52:AF52)/AVERAGE(U38:AF38),0))</f>
        <v/>
      </c>
      <c r="AG57" s="81">
        <f>IF(Credit_Assumptions!$C$5=1,AG30,IFERROR(SUM(V52:AG52)/AVERAGE(V38:AG38),0))</f>
        <v/>
      </c>
      <c r="AH57" s="81">
        <f>IF(Credit_Assumptions!$C$5=1,AH30,IFERROR(SUM(W52:AH52)/AVERAGE(W38:AH38),0))</f>
        <v/>
      </c>
      <c r="AI57" s="81">
        <f>IF(Credit_Assumptions!$C$5=1,AI30,IFERROR(SUM(X52:AI52)/AVERAGE(X38:AI38),0))</f>
        <v/>
      </c>
      <c r="AJ57" s="81">
        <f>IF(Credit_Assumptions!$C$5=1,AJ30,IFERROR(SUM(Y52:AJ52)/AVERAGE(Y38:AJ38),0))</f>
        <v/>
      </c>
      <c r="AK57" s="81">
        <f>IF(Credit_Assumptions!$C$5=1,AK30,IFERROR(SUM(Z52:AK52)/AVERAGE(Z38:AK38),0))</f>
        <v/>
      </c>
      <c r="AL57" s="81">
        <f>IF(Credit_Assumptions!$C$5=1,AL30,IFERROR(SUM(AA52:AL52)/AVERAGE(AA38:AL38),0))</f>
        <v/>
      </c>
      <c r="AM57" s="81">
        <f>IF(Credit_Assumptions!$C$5=1,AM30,IFERROR(SUM(AB52:AM52)/AVERAGE(AB38:AM38),0))</f>
        <v/>
      </c>
      <c r="AN57" s="81">
        <f>IF(Credit_Assumptions!$C$5=1,AN30,IFERROR(SUM(AC52:AN52)/AVERAGE(AC38:AN38),0))</f>
        <v/>
      </c>
      <c r="AO57" s="81">
        <f>IF(Credit_Assumptions!$C$5=1,AO30,IFERROR(SUM(AD52:AO52)/AVERAGE(AD38:AO38),0))</f>
        <v/>
      </c>
      <c r="AP57" s="81">
        <f>IF(Credit_Assumptions!$C$5=1,AP30,IFERROR(SUM(AE52:AP52)/AVERAGE(AE38:AP38),0))</f>
        <v/>
      </c>
      <c r="AQ57" s="81">
        <f>IF(Credit_Assumptions!$C$5=1,AQ30,IFERROR(SUM(AF52:AQ52)/AVERAGE(AF38:AQ38),0))</f>
        <v/>
      </c>
      <c r="AR57" s="81">
        <f>IF(Credit_Assumptions!$C$5=1,AR30,IFERROR(SUM(AG52:AR52)/AVERAGE(AG38:AR38),0))</f>
        <v/>
      </c>
      <c r="AS57" s="81">
        <f>IF(Credit_Assumptions!$C$5=1,AS30,IFERROR(SUM(AH52:AS52)/AVERAGE(AH38:AS38),0))</f>
        <v/>
      </c>
      <c r="AT57" s="81">
        <f>IF(Credit_Assumptions!$C$5=1,AT30,IFERROR(SUM(AI52:AT52)/AVERAGE(AI38:AT38),0))</f>
        <v/>
      </c>
      <c r="AU57" s="81">
        <f>IF(Credit_Assumptions!$C$5=1,AU30,IFERROR(SUM(AJ52:AU52)/AVERAGE(AJ38:AU38),0))</f>
        <v/>
      </c>
      <c r="AV57" s="81">
        <f>IF(Credit_Assumptions!$C$5=1,AV30,IFERROR(SUM(AK52:AV52)/AVERAGE(AK38:AV38),0))</f>
        <v/>
      </c>
      <c r="AW57" s="81">
        <f>IF(Credit_Assumptions!$C$5=1,AW30,IFERROR(SUM(AL52:AW52)/AVERAGE(AL38:AW38),0))</f>
        <v/>
      </c>
      <c r="AX57" s="81">
        <f>IF(Credit_Assumptions!$C$5=1,AX30,IFERROR(SUM(AM52:AX52)/AVERAGE(AM38:AX38),0))</f>
        <v/>
      </c>
      <c r="AY57" s="81">
        <f>IF(Credit_Assumptions!$C$5=1,AY30,IFERROR(SUM(AN52:AY52)/AVERAGE(AN38:AY38),0))</f>
        <v/>
      </c>
      <c r="AZ57" s="81">
        <f>IF(Credit_Assumptions!$C$5=1,AZ30,IFERROR(SUM(AO52:AZ52)/AVERAGE(AO38:AZ38),0))</f>
        <v/>
      </c>
      <c r="BA57" s="81">
        <f>IF(Credit_Assumptions!$C$5=1,BA30,IFERROR(SUM(AP52:BA52)/AVERAGE(AP38:BA38),0))</f>
        <v/>
      </c>
      <c r="BB57" s="81">
        <f>IF(Credit_Assumptions!$C$5=1,BB30,IFERROR(SUM(AQ52:BB52)/AVERAGE(AQ38:BB38),0))</f>
        <v/>
      </c>
      <c r="BC57" s="81">
        <f>IF(Credit_Assumptions!$C$5=1,BC30,IFERROR(SUM(AR52:BC52)/AVERAGE(AR38:BC38),0))</f>
        <v/>
      </c>
      <c r="BD57" s="81">
        <f>IF(Credit_Assumptions!$C$5=1,BD30,IFERROR(SUM(AS52:BD52)/AVERAGE(AS38:BD38),0))</f>
        <v/>
      </c>
      <c r="BE57" s="81">
        <f>IF(Credit_Assumptions!$C$5=1,BE30,IFERROR(SUM(AT52:BE52)/AVERAGE(AT38:BE38),0))</f>
        <v/>
      </c>
      <c r="BF57" s="81">
        <f>IF(Credit_Assumptions!$C$5=1,BF30,IFERROR(SUM(AU52:BF52)/AVERAGE(AU38:BF38),0))</f>
        <v/>
      </c>
      <c r="BG57" s="81">
        <f>IF(Credit_Assumptions!$C$5=1,BG30,IFERROR(SUM(AV52:BG52)/AVERAGE(AV38:BG38),0))</f>
        <v/>
      </c>
      <c r="BH57" s="81">
        <f>IF(Credit_Assumptions!$C$5=1,BH30,IFERROR(SUM(AW52:BH52)/AVERAGE(AW38:BH38),0))</f>
        <v/>
      </c>
      <c r="BI57" s="81">
        <f>IF(Credit_Assumptions!$C$5=1,BI30,IFERROR(SUM(AX52:BI52)/AVERAGE(AX38:BI38),0))</f>
        <v/>
      </c>
      <c r="BJ57" s="81">
        <f>IF(Credit_Assumptions!$C$5=1,BJ30,IFERROR(SUM(AY52:BJ52)/AVERAGE(AY38:BJ38),0))</f>
        <v/>
      </c>
      <c r="BK57" s="81">
        <f>IF(Credit_Assumptions!$C$5=1,BK30,IFERROR(SUM(AZ52:BK52)/AVERAGE(AZ38:BK38),0))</f>
        <v/>
      </c>
      <c r="BL57" s="81">
        <f>IF(Credit_Assumptions!$C$5=1,BL30,IFERROR(SUM(BA52:BL52)/AVERAGE(BA38:BL38),0))</f>
        <v/>
      </c>
    </row>
    <row r="58">
      <c r="A58" s="98" t="inlineStr">
        <is>
          <t>LGD proxy</t>
        </is>
      </c>
      <c r="B58" s="65" t="inlineStr">
        <is>
          <t>%</t>
        </is>
      </c>
      <c r="E58" s="81">
        <f>IF(Credit_Assumptions!$C$5=1,E31,IFERROR(MAX(0,MIN(1,1-(SUM(E48:E48)-SUM(E49:E49))/SUM(E52:E52))),E31))</f>
        <v/>
      </c>
      <c r="F58" s="81">
        <f>IF(Credit_Assumptions!$C$5=1,F31,IFERROR(MAX(0,MIN(1,1-(SUM(E48:F48)-SUM(E49:F49))/SUM(E52:F52))),F31))</f>
        <v/>
      </c>
      <c r="G58" s="81">
        <f>IF(Credit_Assumptions!$C$5=1,G31,IFERROR(MAX(0,MIN(1,1-(SUM(E48:G48)-SUM(E49:G49))/SUM(E52:G52))),G31))</f>
        <v/>
      </c>
      <c r="H58" s="81">
        <f>IF(Credit_Assumptions!$C$5=1,H31,IFERROR(MAX(0,MIN(1,1-(SUM(E48:H48)-SUM(E49:H49))/SUM(E52:H52))),H31))</f>
        <v/>
      </c>
      <c r="I58" s="81">
        <f>IF(Credit_Assumptions!$C$5=1,I31,IFERROR(MAX(0,MIN(1,1-(SUM(E48:I48)-SUM(E49:I49))/SUM(E52:I52))),I31))</f>
        <v/>
      </c>
      <c r="J58" s="81">
        <f>IF(Credit_Assumptions!$C$5=1,J31,IFERROR(MAX(0,MIN(1,1-(SUM(E48:J48)-SUM(E49:J49))/SUM(E52:J52))),J31))</f>
        <v/>
      </c>
      <c r="K58" s="81">
        <f>IF(Credit_Assumptions!$C$5=1,K31,IFERROR(MAX(0,MIN(1,1-(SUM(E48:K48)-SUM(E49:K49))/SUM(E52:K52))),K31))</f>
        <v/>
      </c>
      <c r="L58" s="81">
        <f>IF(Credit_Assumptions!$C$5=1,L31,IFERROR(MAX(0,MIN(1,1-(SUM(E48:L48)-SUM(E49:L49))/SUM(E52:L52))),L31))</f>
        <v/>
      </c>
      <c r="M58" s="81">
        <f>IF(Credit_Assumptions!$C$5=1,M31,IFERROR(MAX(0,MIN(1,1-(SUM(E48:M48)-SUM(E49:M49))/SUM(E52:M52))),M31))</f>
        <v/>
      </c>
      <c r="N58" s="81">
        <f>IF(Credit_Assumptions!$C$5=1,N31,IFERROR(MAX(0,MIN(1,1-(SUM(E48:N48)-SUM(E49:N49))/SUM(E52:N52))),N31))</f>
        <v/>
      </c>
      <c r="O58" s="81">
        <f>IF(Credit_Assumptions!$C$5=1,O31,IFERROR(MAX(0,MIN(1,1-(SUM(E48:O48)-SUM(E49:O49))/SUM(E52:O52))),O31))</f>
        <v/>
      </c>
      <c r="P58" s="81">
        <f>IF(Credit_Assumptions!$C$5=1,P31,IFERROR(MAX(0,MIN(1,1-(SUM(E48:P48)-SUM(E49:P49))/SUM(E52:P52))),P31))</f>
        <v/>
      </c>
      <c r="Q58" s="81">
        <f>IF(Credit_Assumptions!$C$5=1,Q31,IFERROR(MAX(0,MIN(1,1-(SUM(F48:Q48)-SUM(F49:Q49))/SUM(F52:Q52))),Q31))</f>
        <v/>
      </c>
      <c r="R58" s="81">
        <f>IF(Credit_Assumptions!$C$5=1,R31,IFERROR(MAX(0,MIN(1,1-(SUM(G48:R48)-SUM(G49:R49))/SUM(G52:R52))),R31))</f>
        <v/>
      </c>
      <c r="S58" s="81">
        <f>IF(Credit_Assumptions!$C$5=1,S31,IFERROR(MAX(0,MIN(1,1-(SUM(H48:S48)-SUM(H49:S49))/SUM(H52:S52))),S31))</f>
        <v/>
      </c>
      <c r="T58" s="81">
        <f>IF(Credit_Assumptions!$C$5=1,T31,IFERROR(MAX(0,MIN(1,1-(SUM(I48:T48)-SUM(I49:T49))/SUM(I52:T52))),T31))</f>
        <v/>
      </c>
      <c r="U58" s="81">
        <f>IF(Credit_Assumptions!$C$5=1,U31,IFERROR(MAX(0,MIN(1,1-(SUM(J48:U48)-SUM(J49:U49))/SUM(J52:U52))),U31))</f>
        <v/>
      </c>
      <c r="V58" s="81">
        <f>IF(Credit_Assumptions!$C$5=1,V31,IFERROR(MAX(0,MIN(1,1-(SUM(K48:V48)-SUM(K49:V49))/SUM(K52:V52))),V31))</f>
        <v/>
      </c>
      <c r="W58" s="81">
        <f>IF(Credit_Assumptions!$C$5=1,W31,IFERROR(MAX(0,MIN(1,1-(SUM(L48:W48)-SUM(L49:W49))/SUM(L52:W52))),W31))</f>
        <v/>
      </c>
      <c r="X58" s="81">
        <f>IF(Credit_Assumptions!$C$5=1,X31,IFERROR(MAX(0,MIN(1,1-(SUM(M48:X48)-SUM(M49:X49))/SUM(M52:X52))),X31))</f>
        <v/>
      </c>
      <c r="Y58" s="81">
        <f>IF(Credit_Assumptions!$C$5=1,Y31,IFERROR(MAX(0,MIN(1,1-(SUM(N48:Y48)-SUM(N49:Y49))/SUM(N52:Y52))),Y31))</f>
        <v/>
      </c>
      <c r="Z58" s="81">
        <f>IF(Credit_Assumptions!$C$5=1,Z31,IFERROR(MAX(0,MIN(1,1-(SUM(O48:Z48)-SUM(O49:Z49))/SUM(O52:Z52))),Z31))</f>
        <v/>
      </c>
      <c r="AA58" s="81">
        <f>IF(Credit_Assumptions!$C$5=1,AA31,IFERROR(MAX(0,MIN(1,1-(SUM(P48:AA48)-SUM(P49:AA49))/SUM(P52:AA52))),AA31))</f>
        <v/>
      </c>
      <c r="AB58" s="81">
        <f>IF(Credit_Assumptions!$C$5=1,AB31,IFERROR(MAX(0,MIN(1,1-(SUM(Q48:AB48)-SUM(Q49:AB49))/SUM(Q52:AB52))),AB31))</f>
        <v/>
      </c>
      <c r="AC58" s="81">
        <f>IF(Credit_Assumptions!$C$5=1,AC31,IFERROR(MAX(0,MIN(1,1-(SUM(R48:AC48)-SUM(R49:AC49))/SUM(R52:AC52))),AC31))</f>
        <v/>
      </c>
      <c r="AD58" s="81">
        <f>IF(Credit_Assumptions!$C$5=1,AD31,IFERROR(MAX(0,MIN(1,1-(SUM(S48:AD48)-SUM(S49:AD49))/SUM(S52:AD52))),AD31))</f>
        <v/>
      </c>
      <c r="AE58" s="81">
        <f>IF(Credit_Assumptions!$C$5=1,AE31,IFERROR(MAX(0,MIN(1,1-(SUM(T48:AE48)-SUM(T49:AE49))/SUM(T52:AE52))),AE31))</f>
        <v/>
      </c>
      <c r="AF58" s="81">
        <f>IF(Credit_Assumptions!$C$5=1,AF31,IFERROR(MAX(0,MIN(1,1-(SUM(U48:AF48)-SUM(U49:AF49))/SUM(U52:AF52))),AF31))</f>
        <v/>
      </c>
      <c r="AG58" s="81">
        <f>IF(Credit_Assumptions!$C$5=1,AG31,IFERROR(MAX(0,MIN(1,1-(SUM(V48:AG48)-SUM(V49:AG49))/SUM(V52:AG52))),AG31))</f>
        <v/>
      </c>
      <c r="AH58" s="81">
        <f>IF(Credit_Assumptions!$C$5=1,AH31,IFERROR(MAX(0,MIN(1,1-(SUM(W48:AH48)-SUM(W49:AH49))/SUM(W52:AH52))),AH31))</f>
        <v/>
      </c>
      <c r="AI58" s="81">
        <f>IF(Credit_Assumptions!$C$5=1,AI31,IFERROR(MAX(0,MIN(1,1-(SUM(X48:AI48)-SUM(X49:AI49))/SUM(X52:AI52))),AI31))</f>
        <v/>
      </c>
      <c r="AJ58" s="81">
        <f>IF(Credit_Assumptions!$C$5=1,AJ31,IFERROR(MAX(0,MIN(1,1-(SUM(Y48:AJ48)-SUM(Y49:AJ49))/SUM(Y52:AJ52))),AJ31))</f>
        <v/>
      </c>
      <c r="AK58" s="81">
        <f>IF(Credit_Assumptions!$C$5=1,AK31,IFERROR(MAX(0,MIN(1,1-(SUM(Z48:AK48)-SUM(Z49:AK49))/SUM(Z52:AK52))),AK31))</f>
        <v/>
      </c>
      <c r="AL58" s="81">
        <f>IF(Credit_Assumptions!$C$5=1,AL31,IFERROR(MAX(0,MIN(1,1-(SUM(AA48:AL48)-SUM(AA49:AL49))/SUM(AA52:AL52))),AL31))</f>
        <v/>
      </c>
      <c r="AM58" s="81">
        <f>IF(Credit_Assumptions!$C$5=1,AM31,IFERROR(MAX(0,MIN(1,1-(SUM(AB48:AM48)-SUM(AB49:AM49))/SUM(AB52:AM52))),AM31))</f>
        <v/>
      </c>
      <c r="AN58" s="81">
        <f>IF(Credit_Assumptions!$C$5=1,AN31,IFERROR(MAX(0,MIN(1,1-(SUM(AC48:AN48)-SUM(AC49:AN49))/SUM(AC52:AN52))),AN31))</f>
        <v/>
      </c>
      <c r="AO58" s="81">
        <f>IF(Credit_Assumptions!$C$5=1,AO31,IFERROR(MAX(0,MIN(1,1-(SUM(AD48:AO48)-SUM(AD49:AO49))/SUM(AD52:AO52))),AO31))</f>
        <v/>
      </c>
      <c r="AP58" s="81">
        <f>IF(Credit_Assumptions!$C$5=1,AP31,IFERROR(MAX(0,MIN(1,1-(SUM(AE48:AP48)-SUM(AE49:AP49))/SUM(AE52:AP52))),AP31))</f>
        <v/>
      </c>
      <c r="AQ58" s="81">
        <f>IF(Credit_Assumptions!$C$5=1,AQ31,IFERROR(MAX(0,MIN(1,1-(SUM(AF48:AQ48)-SUM(AF49:AQ49))/SUM(AF52:AQ52))),AQ31))</f>
        <v/>
      </c>
      <c r="AR58" s="81">
        <f>IF(Credit_Assumptions!$C$5=1,AR31,IFERROR(MAX(0,MIN(1,1-(SUM(AG48:AR48)-SUM(AG49:AR49))/SUM(AG52:AR52))),AR31))</f>
        <v/>
      </c>
      <c r="AS58" s="81">
        <f>IF(Credit_Assumptions!$C$5=1,AS31,IFERROR(MAX(0,MIN(1,1-(SUM(AH48:AS48)-SUM(AH49:AS49))/SUM(AH52:AS52))),AS31))</f>
        <v/>
      </c>
      <c r="AT58" s="81">
        <f>IF(Credit_Assumptions!$C$5=1,AT31,IFERROR(MAX(0,MIN(1,1-(SUM(AI48:AT48)-SUM(AI49:AT49))/SUM(AI52:AT52))),AT31))</f>
        <v/>
      </c>
      <c r="AU58" s="81">
        <f>IF(Credit_Assumptions!$C$5=1,AU31,IFERROR(MAX(0,MIN(1,1-(SUM(AJ48:AU48)-SUM(AJ49:AU49))/SUM(AJ52:AU52))),AU31))</f>
        <v/>
      </c>
      <c r="AV58" s="81">
        <f>IF(Credit_Assumptions!$C$5=1,AV31,IFERROR(MAX(0,MIN(1,1-(SUM(AK48:AV48)-SUM(AK49:AV49))/SUM(AK52:AV52))),AV31))</f>
        <v/>
      </c>
      <c r="AW58" s="81">
        <f>IF(Credit_Assumptions!$C$5=1,AW31,IFERROR(MAX(0,MIN(1,1-(SUM(AL48:AW48)-SUM(AL49:AW49))/SUM(AL52:AW52))),AW31))</f>
        <v/>
      </c>
      <c r="AX58" s="81">
        <f>IF(Credit_Assumptions!$C$5=1,AX31,IFERROR(MAX(0,MIN(1,1-(SUM(AM48:AX48)-SUM(AM49:AX49))/SUM(AM52:AX52))),AX31))</f>
        <v/>
      </c>
      <c r="AY58" s="81">
        <f>IF(Credit_Assumptions!$C$5=1,AY31,IFERROR(MAX(0,MIN(1,1-(SUM(AN48:AY48)-SUM(AN49:AY49))/SUM(AN52:AY52))),AY31))</f>
        <v/>
      </c>
      <c r="AZ58" s="81">
        <f>IF(Credit_Assumptions!$C$5=1,AZ31,IFERROR(MAX(0,MIN(1,1-(SUM(AO48:AZ48)-SUM(AO49:AZ49))/SUM(AO52:AZ52))),AZ31))</f>
        <v/>
      </c>
      <c r="BA58" s="81">
        <f>IF(Credit_Assumptions!$C$5=1,BA31,IFERROR(MAX(0,MIN(1,1-(SUM(AP48:BA48)-SUM(AP49:BA49))/SUM(AP52:BA52))),BA31))</f>
        <v/>
      </c>
      <c r="BB58" s="81">
        <f>IF(Credit_Assumptions!$C$5=1,BB31,IFERROR(MAX(0,MIN(1,1-(SUM(AQ48:BB48)-SUM(AQ49:BB49))/SUM(AQ52:BB52))),BB31))</f>
        <v/>
      </c>
      <c r="BC58" s="81">
        <f>IF(Credit_Assumptions!$C$5=1,BC31,IFERROR(MAX(0,MIN(1,1-(SUM(AR48:BC48)-SUM(AR49:BC49))/SUM(AR52:BC52))),BC31))</f>
        <v/>
      </c>
      <c r="BD58" s="81">
        <f>IF(Credit_Assumptions!$C$5=1,BD31,IFERROR(MAX(0,MIN(1,1-(SUM(AS48:BD48)-SUM(AS49:BD49))/SUM(AS52:BD52))),BD31))</f>
        <v/>
      </c>
      <c r="BE58" s="81">
        <f>IF(Credit_Assumptions!$C$5=1,BE31,IFERROR(MAX(0,MIN(1,1-(SUM(AT48:BE48)-SUM(AT49:BE49))/SUM(AT52:BE52))),BE31))</f>
        <v/>
      </c>
      <c r="BF58" s="81">
        <f>IF(Credit_Assumptions!$C$5=1,BF31,IFERROR(MAX(0,MIN(1,1-(SUM(AU48:BF48)-SUM(AU49:BF49))/SUM(AU52:BF52))),BF31))</f>
        <v/>
      </c>
      <c r="BG58" s="81">
        <f>IF(Credit_Assumptions!$C$5=1,BG31,IFERROR(MAX(0,MIN(1,1-(SUM(AV48:BG48)-SUM(AV49:BG49))/SUM(AV52:BG52))),BG31))</f>
        <v/>
      </c>
      <c r="BH58" s="81">
        <f>IF(Credit_Assumptions!$C$5=1,BH31,IFERROR(MAX(0,MIN(1,1-(SUM(AW48:BH48)-SUM(AW49:BH49))/SUM(AW52:BH52))),BH31))</f>
        <v/>
      </c>
      <c r="BI58" s="81">
        <f>IF(Credit_Assumptions!$C$5=1,BI31,IFERROR(MAX(0,MIN(1,1-(SUM(AX48:BI48)-SUM(AX49:BI49))/SUM(AX52:BI52))),BI31))</f>
        <v/>
      </c>
      <c r="BJ58" s="81">
        <f>IF(Credit_Assumptions!$C$5=1,BJ31,IFERROR(MAX(0,MIN(1,1-(SUM(AY48:BJ48)-SUM(AY49:BJ49))/SUM(AY52:BJ52))),BJ31))</f>
        <v/>
      </c>
      <c r="BK58" s="81">
        <f>IF(Credit_Assumptions!$C$5=1,BK31,IFERROR(MAX(0,MIN(1,1-(SUM(AZ48:BK48)-SUM(AZ49:BK49))/SUM(AZ52:BK52))),BK31))</f>
        <v/>
      </c>
      <c r="BL58" s="81">
        <f>IF(Credit_Assumptions!$C$5=1,BL31,IFERROR(MAX(0,MIN(1,1-(SUM(BA48:BL48)-SUM(BA49:BL49))/SUM(BA52:BL52))),BL31))</f>
        <v/>
      </c>
    </row>
    <row r="59">
      <c r="A59" s="98" t="inlineStr">
        <is>
          <t>Indicative stage-based ECL (diagnostic, not booked)</t>
        </is>
      </c>
      <c r="B59" s="65" t="inlineStr">
        <is>
          <t>LCY</t>
        </is>
      </c>
      <c r="C59" s="105">
        <f>BL59</f>
        <v/>
      </c>
      <c r="E59" s="80">
        <f>E39*CHOOSE(Credit_Assumptions!$D$28,E57*E58*(1+Credit_Assumptions!$C$17)^-0.5,(1-Credit_Assumptions!$C$16)*E58*(1+Credit_Assumptions!$C$17)^-0.5,E58)+E40*CHOOSE(Credit_Assumptions!$D$29,E57*E58*(1+Credit_Assumptions!$C$17)^-0.5,(1-Credit_Assumptions!$C$16)*E58*(1+Credit_Assumptions!$C$17)^-0.5,E58)+E41*CHOOSE(Credit_Assumptions!$D$30,E57*E58*(1+Credit_Assumptions!$C$17)^-0.5,(1-Credit_Assumptions!$C$16)*E58*(1+Credit_Assumptions!$C$17)^-0.5,E58)+E42*CHOOSE(Credit_Assumptions!$D$31,E57*E58*(1+Credit_Assumptions!$C$17)^-0.5,(1-Credit_Assumptions!$C$16)*E58*(1+Credit_Assumptions!$C$17)^-0.5,E58)+E43*CHOOSE(Credit_Assumptions!$D$32,E57*E58*(1+Credit_Assumptions!$C$17)^-0.5,(1-Credit_Assumptions!$C$16)*E58*(1+Credit_Assumptions!$C$17)^-0.5,E58)+E44*CHOOSE(Credit_Assumptions!$D$33,E57*E58*(1+Credit_Assumptions!$C$17)^-0.5,(1-Credit_Assumptions!$C$16)*E58*(1+Credit_Assumptions!$C$17)^-0.5,E58)</f>
        <v/>
      </c>
      <c r="F59" s="80">
        <f>F39*CHOOSE(Credit_Assumptions!$D$28,F57*F58*(1+Credit_Assumptions!$C$17)^-0.5,(1-Credit_Assumptions!$C$16)*F58*(1+Credit_Assumptions!$C$17)^-0.5,F58)+F40*CHOOSE(Credit_Assumptions!$D$29,F57*F58*(1+Credit_Assumptions!$C$17)^-0.5,(1-Credit_Assumptions!$C$16)*F58*(1+Credit_Assumptions!$C$17)^-0.5,F58)+F41*CHOOSE(Credit_Assumptions!$D$30,F57*F58*(1+Credit_Assumptions!$C$17)^-0.5,(1-Credit_Assumptions!$C$16)*F58*(1+Credit_Assumptions!$C$17)^-0.5,F58)+F42*CHOOSE(Credit_Assumptions!$D$31,F57*F58*(1+Credit_Assumptions!$C$17)^-0.5,(1-Credit_Assumptions!$C$16)*F58*(1+Credit_Assumptions!$C$17)^-0.5,F58)+F43*CHOOSE(Credit_Assumptions!$D$32,F57*F58*(1+Credit_Assumptions!$C$17)^-0.5,(1-Credit_Assumptions!$C$16)*F58*(1+Credit_Assumptions!$C$17)^-0.5,F58)+F44*CHOOSE(Credit_Assumptions!$D$33,F57*F58*(1+Credit_Assumptions!$C$17)^-0.5,(1-Credit_Assumptions!$C$16)*F58*(1+Credit_Assumptions!$C$17)^-0.5,F58)</f>
        <v/>
      </c>
      <c r="G59" s="80">
        <f>G39*CHOOSE(Credit_Assumptions!$D$28,G57*G58*(1+Credit_Assumptions!$C$17)^-0.5,(1-Credit_Assumptions!$C$16)*G58*(1+Credit_Assumptions!$C$17)^-0.5,G58)+G40*CHOOSE(Credit_Assumptions!$D$29,G57*G58*(1+Credit_Assumptions!$C$17)^-0.5,(1-Credit_Assumptions!$C$16)*G58*(1+Credit_Assumptions!$C$17)^-0.5,G58)+G41*CHOOSE(Credit_Assumptions!$D$30,G57*G58*(1+Credit_Assumptions!$C$17)^-0.5,(1-Credit_Assumptions!$C$16)*G58*(1+Credit_Assumptions!$C$17)^-0.5,G58)+G42*CHOOSE(Credit_Assumptions!$D$31,G57*G58*(1+Credit_Assumptions!$C$17)^-0.5,(1-Credit_Assumptions!$C$16)*G58*(1+Credit_Assumptions!$C$17)^-0.5,G58)+G43*CHOOSE(Credit_Assumptions!$D$32,G57*G58*(1+Credit_Assumptions!$C$17)^-0.5,(1-Credit_Assumptions!$C$16)*G58*(1+Credit_Assumptions!$C$17)^-0.5,G58)+G44*CHOOSE(Credit_Assumptions!$D$33,G57*G58*(1+Credit_Assumptions!$C$17)^-0.5,(1-Credit_Assumptions!$C$16)*G58*(1+Credit_Assumptions!$C$17)^-0.5,G58)</f>
        <v/>
      </c>
      <c r="H59" s="80">
        <f>H39*CHOOSE(Credit_Assumptions!$D$28,H57*H58*(1+Credit_Assumptions!$C$17)^-0.5,(1-Credit_Assumptions!$C$16)*H58*(1+Credit_Assumptions!$C$17)^-0.5,H58)+H40*CHOOSE(Credit_Assumptions!$D$29,H57*H58*(1+Credit_Assumptions!$C$17)^-0.5,(1-Credit_Assumptions!$C$16)*H58*(1+Credit_Assumptions!$C$17)^-0.5,H58)+H41*CHOOSE(Credit_Assumptions!$D$30,H57*H58*(1+Credit_Assumptions!$C$17)^-0.5,(1-Credit_Assumptions!$C$16)*H58*(1+Credit_Assumptions!$C$17)^-0.5,H58)+H42*CHOOSE(Credit_Assumptions!$D$31,H57*H58*(1+Credit_Assumptions!$C$17)^-0.5,(1-Credit_Assumptions!$C$16)*H58*(1+Credit_Assumptions!$C$17)^-0.5,H58)+H43*CHOOSE(Credit_Assumptions!$D$32,H57*H58*(1+Credit_Assumptions!$C$17)^-0.5,(1-Credit_Assumptions!$C$16)*H58*(1+Credit_Assumptions!$C$17)^-0.5,H58)+H44*CHOOSE(Credit_Assumptions!$D$33,H57*H58*(1+Credit_Assumptions!$C$17)^-0.5,(1-Credit_Assumptions!$C$16)*H58*(1+Credit_Assumptions!$C$17)^-0.5,H58)</f>
        <v/>
      </c>
      <c r="I59" s="80">
        <f>I39*CHOOSE(Credit_Assumptions!$D$28,I57*I58*(1+Credit_Assumptions!$C$17)^-0.5,(1-Credit_Assumptions!$C$16)*I58*(1+Credit_Assumptions!$C$17)^-0.5,I58)+I40*CHOOSE(Credit_Assumptions!$D$29,I57*I58*(1+Credit_Assumptions!$C$17)^-0.5,(1-Credit_Assumptions!$C$16)*I58*(1+Credit_Assumptions!$C$17)^-0.5,I58)+I41*CHOOSE(Credit_Assumptions!$D$30,I57*I58*(1+Credit_Assumptions!$C$17)^-0.5,(1-Credit_Assumptions!$C$16)*I58*(1+Credit_Assumptions!$C$17)^-0.5,I58)+I42*CHOOSE(Credit_Assumptions!$D$31,I57*I58*(1+Credit_Assumptions!$C$17)^-0.5,(1-Credit_Assumptions!$C$16)*I58*(1+Credit_Assumptions!$C$17)^-0.5,I58)+I43*CHOOSE(Credit_Assumptions!$D$32,I57*I58*(1+Credit_Assumptions!$C$17)^-0.5,(1-Credit_Assumptions!$C$16)*I58*(1+Credit_Assumptions!$C$17)^-0.5,I58)+I44*CHOOSE(Credit_Assumptions!$D$33,I57*I58*(1+Credit_Assumptions!$C$17)^-0.5,(1-Credit_Assumptions!$C$16)*I58*(1+Credit_Assumptions!$C$17)^-0.5,I58)</f>
        <v/>
      </c>
      <c r="J59" s="80">
        <f>J39*CHOOSE(Credit_Assumptions!$D$28,J57*J58*(1+Credit_Assumptions!$C$17)^-0.5,(1-Credit_Assumptions!$C$16)*J58*(1+Credit_Assumptions!$C$17)^-0.5,J58)+J40*CHOOSE(Credit_Assumptions!$D$29,J57*J58*(1+Credit_Assumptions!$C$17)^-0.5,(1-Credit_Assumptions!$C$16)*J58*(1+Credit_Assumptions!$C$17)^-0.5,J58)+J41*CHOOSE(Credit_Assumptions!$D$30,J57*J58*(1+Credit_Assumptions!$C$17)^-0.5,(1-Credit_Assumptions!$C$16)*J58*(1+Credit_Assumptions!$C$17)^-0.5,J58)+J42*CHOOSE(Credit_Assumptions!$D$31,J57*J58*(1+Credit_Assumptions!$C$17)^-0.5,(1-Credit_Assumptions!$C$16)*J58*(1+Credit_Assumptions!$C$17)^-0.5,J58)+J43*CHOOSE(Credit_Assumptions!$D$32,J57*J58*(1+Credit_Assumptions!$C$17)^-0.5,(1-Credit_Assumptions!$C$16)*J58*(1+Credit_Assumptions!$C$17)^-0.5,J58)+J44*CHOOSE(Credit_Assumptions!$D$33,J57*J58*(1+Credit_Assumptions!$C$17)^-0.5,(1-Credit_Assumptions!$C$16)*J58*(1+Credit_Assumptions!$C$17)^-0.5,J58)</f>
        <v/>
      </c>
      <c r="K59" s="80">
        <f>K39*CHOOSE(Credit_Assumptions!$D$28,K57*K58*(1+Credit_Assumptions!$C$17)^-0.5,(1-Credit_Assumptions!$C$16)*K58*(1+Credit_Assumptions!$C$17)^-0.5,K58)+K40*CHOOSE(Credit_Assumptions!$D$29,K57*K58*(1+Credit_Assumptions!$C$17)^-0.5,(1-Credit_Assumptions!$C$16)*K58*(1+Credit_Assumptions!$C$17)^-0.5,K58)+K41*CHOOSE(Credit_Assumptions!$D$30,K57*K58*(1+Credit_Assumptions!$C$17)^-0.5,(1-Credit_Assumptions!$C$16)*K58*(1+Credit_Assumptions!$C$17)^-0.5,K58)+K42*CHOOSE(Credit_Assumptions!$D$31,K57*K58*(1+Credit_Assumptions!$C$17)^-0.5,(1-Credit_Assumptions!$C$16)*K58*(1+Credit_Assumptions!$C$17)^-0.5,K58)+K43*CHOOSE(Credit_Assumptions!$D$32,K57*K58*(1+Credit_Assumptions!$C$17)^-0.5,(1-Credit_Assumptions!$C$16)*K58*(1+Credit_Assumptions!$C$17)^-0.5,K58)+K44*CHOOSE(Credit_Assumptions!$D$33,K57*K58*(1+Credit_Assumptions!$C$17)^-0.5,(1-Credit_Assumptions!$C$16)*K58*(1+Credit_Assumptions!$C$17)^-0.5,K58)</f>
        <v/>
      </c>
      <c r="L59" s="80">
        <f>L39*CHOOSE(Credit_Assumptions!$D$28,L57*L58*(1+Credit_Assumptions!$C$17)^-0.5,(1-Credit_Assumptions!$C$16)*L58*(1+Credit_Assumptions!$C$17)^-0.5,L58)+L40*CHOOSE(Credit_Assumptions!$D$29,L57*L58*(1+Credit_Assumptions!$C$17)^-0.5,(1-Credit_Assumptions!$C$16)*L58*(1+Credit_Assumptions!$C$17)^-0.5,L58)+L41*CHOOSE(Credit_Assumptions!$D$30,L57*L58*(1+Credit_Assumptions!$C$17)^-0.5,(1-Credit_Assumptions!$C$16)*L58*(1+Credit_Assumptions!$C$17)^-0.5,L58)+L42*CHOOSE(Credit_Assumptions!$D$31,L57*L58*(1+Credit_Assumptions!$C$17)^-0.5,(1-Credit_Assumptions!$C$16)*L58*(1+Credit_Assumptions!$C$17)^-0.5,L58)+L43*CHOOSE(Credit_Assumptions!$D$32,L57*L58*(1+Credit_Assumptions!$C$17)^-0.5,(1-Credit_Assumptions!$C$16)*L58*(1+Credit_Assumptions!$C$17)^-0.5,L58)+L44*CHOOSE(Credit_Assumptions!$D$33,L57*L58*(1+Credit_Assumptions!$C$17)^-0.5,(1-Credit_Assumptions!$C$16)*L58*(1+Credit_Assumptions!$C$17)^-0.5,L58)</f>
        <v/>
      </c>
      <c r="M59" s="80">
        <f>M39*CHOOSE(Credit_Assumptions!$D$28,M57*M58*(1+Credit_Assumptions!$C$17)^-0.5,(1-Credit_Assumptions!$C$16)*M58*(1+Credit_Assumptions!$C$17)^-0.5,M58)+M40*CHOOSE(Credit_Assumptions!$D$29,M57*M58*(1+Credit_Assumptions!$C$17)^-0.5,(1-Credit_Assumptions!$C$16)*M58*(1+Credit_Assumptions!$C$17)^-0.5,M58)+M41*CHOOSE(Credit_Assumptions!$D$30,M57*M58*(1+Credit_Assumptions!$C$17)^-0.5,(1-Credit_Assumptions!$C$16)*M58*(1+Credit_Assumptions!$C$17)^-0.5,M58)+M42*CHOOSE(Credit_Assumptions!$D$31,M57*M58*(1+Credit_Assumptions!$C$17)^-0.5,(1-Credit_Assumptions!$C$16)*M58*(1+Credit_Assumptions!$C$17)^-0.5,M58)+M43*CHOOSE(Credit_Assumptions!$D$32,M57*M58*(1+Credit_Assumptions!$C$17)^-0.5,(1-Credit_Assumptions!$C$16)*M58*(1+Credit_Assumptions!$C$17)^-0.5,M58)+M44*CHOOSE(Credit_Assumptions!$D$33,M57*M58*(1+Credit_Assumptions!$C$17)^-0.5,(1-Credit_Assumptions!$C$16)*M58*(1+Credit_Assumptions!$C$17)^-0.5,M58)</f>
        <v/>
      </c>
      <c r="N59" s="80">
        <f>N39*CHOOSE(Credit_Assumptions!$D$28,N57*N58*(1+Credit_Assumptions!$C$17)^-0.5,(1-Credit_Assumptions!$C$16)*N58*(1+Credit_Assumptions!$C$17)^-0.5,N58)+N40*CHOOSE(Credit_Assumptions!$D$29,N57*N58*(1+Credit_Assumptions!$C$17)^-0.5,(1-Credit_Assumptions!$C$16)*N58*(1+Credit_Assumptions!$C$17)^-0.5,N58)+N41*CHOOSE(Credit_Assumptions!$D$30,N57*N58*(1+Credit_Assumptions!$C$17)^-0.5,(1-Credit_Assumptions!$C$16)*N58*(1+Credit_Assumptions!$C$17)^-0.5,N58)+N42*CHOOSE(Credit_Assumptions!$D$31,N57*N58*(1+Credit_Assumptions!$C$17)^-0.5,(1-Credit_Assumptions!$C$16)*N58*(1+Credit_Assumptions!$C$17)^-0.5,N58)+N43*CHOOSE(Credit_Assumptions!$D$32,N57*N58*(1+Credit_Assumptions!$C$17)^-0.5,(1-Credit_Assumptions!$C$16)*N58*(1+Credit_Assumptions!$C$17)^-0.5,N58)+N44*CHOOSE(Credit_Assumptions!$D$33,N57*N58*(1+Credit_Assumptions!$C$17)^-0.5,(1-Credit_Assumptions!$C$16)*N58*(1+Credit_Assumptions!$C$17)^-0.5,N58)</f>
        <v/>
      </c>
      <c r="O59" s="80">
        <f>O39*CHOOSE(Credit_Assumptions!$D$28,O57*O58*(1+Credit_Assumptions!$C$17)^-0.5,(1-Credit_Assumptions!$C$16)*O58*(1+Credit_Assumptions!$C$17)^-0.5,O58)+O40*CHOOSE(Credit_Assumptions!$D$29,O57*O58*(1+Credit_Assumptions!$C$17)^-0.5,(1-Credit_Assumptions!$C$16)*O58*(1+Credit_Assumptions!$C$17)^-0.5,O58)+O41*CHOOSE(Credit_Assumptions!$D$30,O57*O58*(1+Credit_Assumptions!$C$17)^-0.5,(1-Credit_Assumptions!$C$16)*O58*(1+Credit_Assumptions!$C$17)^-0.5,O58)+O42*CHOOSE(Credit_Assumptions!$D$31,O57*O58*(1+Credit_Assumptions!$C$17)^-0.5,(1-Credit_Assumptions!$C$16)*O58*(1+Credit_Assumptions!$C$17)^-0.5,O58)+O43*CHOOSE(Credit_Assumptions!$D$32,O57*O58*(1+Credit_Assumptions!$C$17)^-0.5,(1-Credit_Assumptions!$C$16)*O58*(1+Credit_Assumptions!$C$17)^-0.5,O58)+O44*CHOOSE(Credit_Assumptions!$D$33,O57*O58*(1+Credit_Assumptions!$C$17)^-0.5,(1-Credit_Assumptions!$C$16)*O58*(1+Credit_Assumptions!$C$17)^-0.5,O58)</f>
        <v/>
      </c>
      <c r="P59" s="80">
        <f>P39*CHOOSE(Credit_Assumptions!$D$28,P57*P58*(1+Credit_Assumptions!$C$17)^-0.5,(1-Credit_Assumptions!$C$16)*P58*(1+Credit_Assumptions!$C$17)^-0.5,P58)+P40*CHOOSE(Credit_Assumptions!$D$29,P57*P58*(1+Credit_Assumptions!$C$17)^-0.5,(1-Credit_Assumptions!$C$16)*P58*(1+Credit_Assumptions!$C$17)^-0.5,P58)+P41*CHOOSE(Credit_Assumptions!$D$30,P57*P58*(1+Credit_Assumptions!$C$17)^-0.5,(1-Credit_Assumptions!$C$16)*P58*(1+Credit_Assumptions!$C$17)^-0.5,P58)+P42*CHOOSE(Credit_Assumptions!$D$31,P57*P58*(1+Credit_Assumptions!$C$17)^-0.5,(1-Credit_Assumptions!$C$16)*P58*(1+Credit_Assumptions!$C$17)^-0.5,P58)+P43*CHOOSE(Credit_Assumptions!$D$32,P57*P58*(1+Credit_Assumptions!$C$17)^-0.5,(1-Credit_Assumptions!$C$16)*P58*(1+Credit_Assumptions!$C$17)^-0.5,P58)+P44*CHOOSE(Credit_Assumptions!$D$33,P57*P58*(1+Credit_Assumptions!$C$17)^-0.5,(1-Credit_Assumptions!$C$16)*P58*(1+Credit_Assumptions!$C$17)^-0.5,P58)</f>
        <v/>
      </c>
      <c r="Q59" s="80">
        <f>Q39*CHOOSE(Credit_Assumptions!$D$28,Q57*Q58*(1+Credit_Assumptions!$C$17)^-0.5,(1-Credit_Assumptions!$C$16)*Q58*(1+Credit_Assumptions!$C$17)^-0.5,Q58)+Q40*CHOOSE(Credit_Assumptions!$D$29,Q57*Q58*(1+Credit_Assumptions!$C$17)^-0.5,(1-Credit_Assumptions!$C$16)*Q58*(1+Credit_Assumptions!$C$17)^-0.5,Q58)+Q41*CHOOSE(Credit_Assumptions!$D$30,Q57*Q58*(1+Credit_Assumptions!$C$17)^-0.5,(1-Credit_Assumptions!$C$16)*Q58*(1+Credit_Assumptions!$C$17)^-0.5,Q58)+Q42*CHOOSE(Credit_Assumptions!$D$31,Q57*Q58*(1+Credit_Assumptions!$C$17)^-0.5,(1-Credit_Assumptions!$C$16)*Q58*(1+Credit_Assumptions!$C$17)^-0.5,Q58)+Q43*CHOOSE(Credit_Assumptions!$D$32,Q57*Q58*(1+Credit_Assumptions!$C$17)^-0.5,(1-Credit_Assumptions!$C$16)*Q58*(1+Credit_Assumptions!$C$17)^-0.5,Q58)+Q44*CHOOSE(Credit_Assumptions!$D$33,Q57*Q58*(1+Credit_Assumptions!$C$17)^-0.5,(1-Credit_Assumptions!$C$16)*Q58*(1+Credit_Assumptions!$C$17)^-0.5,Q58)</f>
        <v/>
      </c>
      <c r="R59" s="80">
        <f>R39*CHOOSE(Credit_Assumptions!$D$28,R57*R58*(1+Credit_Assumptions!$C$17)^-0.5,(1-Credit_Assumptions!$C$16)*R58*(1+Credit_Assumptions!$C$17)^-0.5,R58)+R40*CHOOSE(Credit_Assumptions!$D$29,R57*R58*(1+Credit_Assumptions!$C$17)^-0.5,(1-Credit_Assumptions!$C$16)*R58*(1+Credit_Assumptions!$C$17)^-0.5,R58)+R41*CHOOSE(Credit_Assumptions!$D$30,R57*R58*(1+Credit_Assumptions!$C$17)^-0.5,(1-Credit_Assumptions!$C$16)*R58*(1+Credit_Assumptions!$C$17)^-0.5,R58)+R42*CHOOSE(Credit_Assumptions!$D$31,R57*R58*(1+Credit_Assumptions!$C$17)^-0.5,(1-Credit_Assumptions!$C$16)*R58*(1+Credit_Assumptions!$C$17)^-0.5,R58)+R43*CHOOSE(Credit_Assumptions!$D$32,R57*R58*(1+Credit_Assumptions!$C$17)^-0.5,(1-Credit_Assumptions!$C$16)*R58*(1+Credit_Assumptions!$C$17)^-0.5,R58)+R44*CHOOSE(Credit_Assumptions!$D$33,R57*R58*(1+Credit_Assumptions!$C$17)^-0.5,(1-Credit_Assumptions!$C$16)*R58*(1+Credit_Assumptions!$C$17)^-0.5,R58)</f>
        <v/>
      </c>
      <c r="S59" s="80">
        <f>S39*CHOOSE(Credit_Assumptions!$D$28,S57*S58*(1+Credit_Assumptions!$C$17)^-0.5,(1-Credit_Assumptions!$C$16)*S58*(1+Credit_Assumptions!$C$17)^-0.5,S58)+S40*CHOOSE(Credit_Assumptions!$D$29,S57*S58*(1+Credit_Assumptions!$C$17)^-0.5,(1-Credit_Assumptions!$C$16)*S58*(1+Credit_Assumptions!$C$17)^-0.5,S58)+S41*CHOOSE(Credit_Assumptions!$D$30,S57*S58*(1+Credit_Assumptions!$C$17)^-0.5,(1-Credit_Assumptions!$C$16)*S58*(1+Credit_Assumptions!$C$17)^-0.5,S58)+S42*CHOOSE(Credit_Assumptions!$D$31,S57*S58*(1+Credit_Assumptions!$C$17)^-0.5,(1-Credit_Assumptions!$C$16)*S58*(1+Credit_Assumptions!$C$17)^-0.5,S58)+S43*CHOOSE(Credit_Assumptions!$D$32,S57*S58*(1+Credit_Assumptions!$C$17)^-0.5,(1-Credit_Assumptions!$C$16)*S58*(1+Credit_Assumptions!$C$17)^-0.5,S58)+S44*CHOOSE(Credit_Assumptions!$D$33,S57*S58*(1+Credit_Assumptions!$C$17)^-0.5,(1-Credit_Assumptions!$C$16)*S58*(1+Credit_Assumptions!$C$17)^-0.5,S58)</f>
        <v/>
      </c>
      <c r="T59" s="80">
        <f>T39*CHOOSE(Credit_Assumptions!$D$28,T57*T58*(1+Credit_Assumptions!$C$17)^-0.5,(1-Credit_Assumptions!$C$16)*T58*(1+Credit_Assumptions!$C$17)^-0.5,T58)+T40*CHOOSE(Credit_Assumptions!$D$29,T57*T58*(1+Credit_Assumptions!$C$17)^-0.5,(1-Credit_Assumptions!$C$16)*T58*(1+Credit_Assumptions!$C$17)^-0.5,T58)+T41*CHOOSE(Credit_Assumptions!$D$30,T57*T58*(1+Credit_Assumptions!$C$17)^-0.5,(1-Credit_Assumptions!$C$16)*T58*(1+Credit_Assumptions!$C$17)^-0.5,T58)+T42*CHOOSE(Credit_Assumptions!$D$31,T57*T58*(1+Credit_Assumptions!$C$17)^-0.5,(1-Credit_Assumptions!$C$16)*T58*(1+Credit_Assumptions!$C$17)^-0.5,T58)+T43*CHOOSE(Credit_Assumptions!$D$32,T57*T58*(1+Credit_Assumptions!$C$17)^-0.5,(1-Credit_Assumptions!$C$16)*T58*(1+Credit_Assumptions!$C$17)^-0.5,T58)+T44*CHOOSE(Credit_Assumptions!$D$33,T57*T58*(1+Credit_Assumptions!$C$17)^-0.5,(1-Credit_Assumptions!$C$16)*T58*(1+Credit_Assumptions!$C$17)^-0.5,T58)</f>
        <v/>
      </c>
      <c r="U59" s="80">
        <f>U39*CHOOSE(Credit_Assumptions!$D$28,U57*U58*(1+Credit_Assumptions!$C$17)^-0.5,(1-Credit_Assumptions!$C$16)*U58*(1+Credit_Assumptions!$C$17)^-0.5,U58)+U40*CHOOSE(Credit_Assumptions!$D$29,U57*U58*(1+Credit_Assumptions!$C$17)^-0.5,(1-Credit_Assumptions!$C$16)*U58*(1+Credit_Assumptions!$C$17)^-0.5,U58)+U41*CHOOSE(Credit_Assumptions!$D$30,U57*U58*(1+Credit_Assumptions!$C$17)^-0.5,(1-Credit_Assumptions!$C$16)*U58*(1+Credit_Assumptions!$C$17)^-0.5,U58)+U42*CHOOSE(Credit_Assumptions!$D$31,U57*U58*(1+Credit_Assumptions!$C$17)^-0.5,(1-Credit_Assumptions!$C$16)*U58*(1+Credit_Assumptions!$C$17)^-0.5,U58)+U43*CHOOSE(Credit_Assumptions!$D$32,U57*U58*(1+Credit_Assumptions!$C$17)^-0.5,(1-Credit_Assumptions!$C$16)*U58*(1+Credit_Assumptions!$C$17)^-0.5,U58)+U44*CHOOSE(Credit_Assumptions!$D$33,U57*U58*(1+Credit_Assumptions!$C$17)^-0.5,(1-Credit_Assumptions!$C$16)*U58*(1+Credit_Assumptions!$C$17)^-0.5,U58)</f>
        <v/>
      </c>
      <c r="V59" s="80">
        <f>V39*CHOOSE(Credit_Assumptions!$D$28,V57*V58*(1+Credit_Assumptions!$C$17)^-0.5,(1-Credit_Assumptions!$C$16)*V58*(1+Credit_Assumptions!$C$17)^-0.5,V58)+V40*CHOOSE(Credit_Assumptions!$D$29,V57*V58*(1+Credit_Assumptions!$C$17)^-0.5,(1-Credit_Assumptions!$C$16)*V58*(1+Credit_Assumptions!$C$17)^-0.5,V58)+V41*CHOOSE(Credit_Assumptions!$D$30,V57*V58*(1+Credit_Assumptions!$C$17)^-0.5,(1-Credit_Assumptions!$C$16)*V58*(1+Credit_Assumptions!$C$17)^-0.5,V58)+V42*CHOOSE(Credit_Assumptions!$D$31,V57*V58*(1+Credit_Assumptions!$C$17)^-0.5,(1-Credit_Assumptions!$C$16)*V58*(1+Credit_Assumptions!$C$17)^-0.5,V58)+V43*CHOOSE(Credit_Assumptions!$D$32,V57*V58*(1+Credit_Assumptions!$C$17)^-0.5,(1-Credit_Assumptions!$C$16)*V58*(1+Credit_Assumptions!$C$17)^-0.5,V58)+V44*CHOOSE(Credit_Assumptions!$D$33,V57*V58*(1+Credit_Assumptions!$C$17)^-0.5,(1-Credit_Assumptions!$C$16)*V58*(1+Credit_Assumptions!$C$17)^-0.5,V58)</f>
        <v/>
      </c>
      <c r="W59" s="80">
        <f>W39*CHOOSE(Credit_Assumptions!$D$28,W57*W58*(1+Credit_Assumptions!$C$17)^-0.5,(1-Credit_Assumptions!$C$16)*W58*(1+Credit_Assumptions!$C$17)^-0.5,W58)+W40*CHOOSE(Credit_Assumptions!$D$29,W57*W58*(1+Credit_Assumptions!$C$17)^-0.5,(1-Credit_Assumptions!$C$16)*W58*(1+Credit_Assumptions!$C$17)^-0.5,W58)+W41*CHOOSE(Credit_Assumptions!$D$30,W57*W58*(1+Credit_Assumptions!$C$17)^-0.5,(1-Credit_Assumptions!$C$16)*W58*(1+Credit_Assumptions!$C$17)^-0.5,W58)+W42*CHOOSE(Credit_Assumptions!$D$31,W57*W58*(1+Credit_Assumptions!$C$17)^-0.5,(1-Credit_Assumptions!$C$16)*W58*(1+Credit_Assumptions!$C$17)^-0.5,W58)+W43*CHOOSE(Credit_Assumptions!$D$32,W57*W58*(1+Credit_Assumptions!$C$17)^-0.5,(1-Credit_Assumptions!$C$16)*W58*(1+Credit_Assumptions!$C$17)^-0.5,W58)+W44*CHOOSE(Credit_Assumptions!$D$33,W57*W58*(1+Credit_Assumptions!$C$17)^-0.5,(1-Credit_Assumptions!$C$16)*W58*(1+Credit_Assumptions!$C$17)^-0.5,W58)</f>
        <v/>
      </c>
      <c r="X59" s="80">
        <f>X39*CHOOSE(Credit_Assumptions!$D$28,X57*X58*(1+Credit_Assumptions!$C$17)^-0.5,(1-Credit_Assumptions!$C$16)*X58*(1+Credit_Assumptions!$C$17)^-0.5,X58)+X40*CHOOSE(Credit_Assumptions!$D$29,X57*X58*(1+Credit_Assumptions!$C$17)^-0.5,(1-Credit_Assumptions!$C$16)*X58*(1+Credit_Assumptions!$C$17)^-0.5,X58)+X41*CHOOSE(Credit_Assumptions!$D$30,X57*X58*(1+Credit_Assumptions!$C$17)^-0.5,(1-Credit_Assumptions!$C$16)*X58*(1+Credit_Assumptions!$C$17)^-0.5,X58)+X42*CHOOSE(Credit_Assumptions!$D$31,X57*X58*(1+Credit_Assumptions!$C$17)^-0.5,(1-Credit_Assumptions!$C$16)*X58*(1+Credit_Assumptions!$C$17)^-0.5,X58)+X43*CHOOSE(Credit_Assumptions!$D$32,X57*X58*(1+Credit_Assumptions!$C$17)^-0.5,(1-Credit_Assumptions!$C$16)*X58*(1+Credit_Assumptions!$C$17)^-0.5,X58)+X44*CHOOSE(Credit_Assumptions!$D$33,X57*X58*(1+Credit_Assumptions!$C$17)^-0.5,(1-Credit_Assumptions!$C$16)*X58*(1+Credit_Assumptions!$C$17)^-0.5,X58)</f>
        <v/>
      </c>
      <c r="Y59" s="80">
        <f>Y39*CHOOSE(Credit_Assumptions!$D$28,Y57*Y58*(1+Credit_Assumptions!$C$17)^-0.5,(1-Credit_Assumptions!$C$16)*Y58*(1+Credit_Assumptions!$C$17)^-0.5,Y58)+Y40*CHOOSE(Credit_Assumptions!$D$29,Y57*Y58*(1+Credit_Assumptions!$C$17)^-0.5,(1-Credit_Assumptions!$C$16)*Y58*(1+Credit_Assumptions!$C$17)^-0.5,Y58)+Y41*CHOOSE(Credit_Assumptions!$D$30,Y57*Y58*(1+Credit_Assumptions!$C$17)^-0.5,(1-Credit_Assumptions!$C$16)*Y58*(1+Credit_Assumptions!$C$17)^-0.5,Y58)+Y42*CHOOSE(Credit_Assumptions!$D$31,Y57*Y58*(1+Credit_Assumptions!$C$17)^-0.5,(1-Credit_Assumptions!$C$16)*Y58*(1+Credit_Assumptions!$C$17)^-0.5,Y58)+Y43*CHOOSE(Credit_Assumptions!$D$32,Y57*Y58*(1+Credit_Assumptions!$C$17)^-0.5,(1-Credit_Assumptions!$C$16)*Y58*(1+Credit_Assumptions!$C$17)^-0.5,Y58)+Y44*CHOOSE(Credit_Assumptions!$D$33,Y57*Y58*(1+Credit_Assumptions!$C$17)^-0.5,(1-Credit_Assumptions!$C$16)*Y58*(1+Credit_Assumptions!$C$17)^-0.5,Y58)</f>
        <v/>
      </c>
      <c r="Z59" s="80">
        <f>Z39*CHOOSE(Credit_Assumptions!$D$28,Z57*Z58*(1+Credit_Assumptions!$C$17)^-0.5,(1-Credit_Assumptions!$C$16)*Z58*(1+Credit_Assumptions!$C$17)^-0.5,Z58)+Z40*CHOOSE(Credit_Assumptions!$D$29,Z57*Z58*(1+Credit_Assumptions!$C$17)^-0.5,(1-Credit_Assumptions!$C$16)*Z58*(1+Credit_Assumptions!$C$17)^-0.5,Z58)+Z41*CHOOSE(Credit_Assumptions!$D$30,Z57*Z58*(1+Credit_Assumptions!$C$17)^-0.5,(1-Credit_Assumptions!$C$16)*Z58*(1+Credit_Assumptions!$C$17)^-0.5,Z58)+Z42*CHOOSE(Credit_Assumptions!$D$31,Z57*Z58*(1+Credit_Assumptions!$C$17)^-0.5,(1-Credit_Assumptions!$C$16)*Z58*(1+Credit_Assumptions!$C$17)^-0.5,Z58)+Z43*CHOOSE(Credit_Assumptions!$D$32,Z57*Z58*(1+Credit_Assumptions!$C$17)^-0.5,(1-Credit_Assumptions!$C$16)*Z58*(1+Credit_Assumptions!$C$17)^-0.5,Z58)+Z44*CHOOSE(Credit_Assumptions!$D$33,Z57*Z58*(1+Credit_Assumptions!$C$17)^-0.5,(1-Credit_Assumptions!$C$16)*Z58*(1+Credit_Assumptions!$C$17)^-0.5,Z58)</f>
        <v/>
      </c>
      <c r="AA59" s="80">
        <f>AA39*CHOOSE(Credit_Assumptions!$D$28,AA57*AA58*(1+Credit_Assumptions!$C$17)^-0.5,(1-Credit_Assumptions!$C$16)*AA58*(1+Credit_Assumptions!$C$17)^-0.5,AA58)+AA40*CHOOSE(Credit_Assumptions!$D$29,AA57*AA58*(1+Credit_Assumptions!$C$17)^-0.5,(1-Credit_Assumptions!$C$16)*AA58*(1+Credit_Assumptions!$C$17)^-0.5,AA58)+AA41*CHOOSE(Credit_Assumptions!$D$30,AA57*AA58*(1+Credit_Assumptions!$C$17)^-0.5,(1-Credit_Assumptions!$C$16)*AA58*(1+Credit_Assumptions!$C$17)^-0.5,AA58)+AA42*CHOOSE(Credit_Assumptions!$D$31,AA57*AA58*(1+Credit_Assumptions!$C$17)^-0.5,(1-Credit_Assumptions!$C$16)*AA58*(1+Credit_Assumptions!$C$17)^-0.5,AA58)+AA43*CHOOSE(Credit_Assumptions!$D$32,AA57*AA58*(1+Credit_Assumptions!$C$17)^-0.5,(1-Credit_Assumptions!$C$16)*AA58*(1+Credit_Assumptions!$C$17)^-0.5,AA58)+AA44*CHOOSE(Credit_Assumptions!$D$33,AA57*AA58*(1+Credit_Assumptions!$C$17)^-0.5,(1-Credit_Assumptions!$C$16)*AA58*(1+Credit_Assumptions!$C$17)^-0.5,AA58)</f>
        <v/>
      </c>
      <c r="AB59" s="80">
        <f>AB39*CHOOSE(Credit_Assumptions!$D$28,AB57*AB58*(1+Credit_Assumptions!$C$17)^-0.5,(1-Credit_Assumptions!$C$16)*AB58*(1+Credit_Assumptions!$C$17)^-0.5,AB58)+AB40*CHOOSE(Credit_Assumptions!$D$29,AB57*AB58*(1+Credit_Assumptions!$C$17)^-0.5,(1-Credit_Assumptions!$C$16)*AB58*(1+Credit_Assumptions!$C$17)^-0.5,AB58)+AB41*CHOOSE(Credit_Assumptions!$D$30,AB57*AB58*(1+Credit_Assumptions!$C$17)^-0.5,(1-Credit_Assumptions!$C$16)*AB58*(1+Credit_Assumptions!$C$17)^-0.5,AB58)+AB42*CHOOSE(Credit_Assumptions!$D$31,AB57*AB58*(1+Credit_Assumptions!$C$17)^-0.5,(1-Credit_Assumptions!$C$16)*AB58*(1+Credit_Assumptions!$C$17)^-0.5,AB58)+AB43*CHOOSE(Credit_Assumptions!$D$32,AB57*AB58*(1+Credit_Assumptions!$C$17)^-0.5,(1-Credit_Assumptions!$C$16)*AB58*(1+Credit_Assumptions!$C$17)^-0.5,AB58)+AB44*CHOOSE(Credit_Assumptions!$D$33,AB57*AB58*(1+Credit_Assumptions!$C$17)^-0.5,(1-Credit_Assumptions!$C$16)*AB58*(1+Credit_Assumptions!$C$17)^-0.5,AB58)</f>
        <v/>
      </c>
      <c r="AC59" s="80">
        <f>AC39*CHOOSE(Credit_Assumptions!$D$28,AC57*AC58*(1+Credit_Assumptions!$C$17)^-0.5,(1-Credit_Assumptions!$C$16)*AC58*(1+Credit_Assumptions!$C$17)^-0.5,AC58)+AC40*CHOOSE(Credit_Assumptions!$D$29,AC57*AC58*(1+Credit_Assumptions!$C$17)^-0.5,(1-Credit_Assumptions!$C$16)*AC58*(1+Credit_Assumptions!$C$17)^-0.5,AC58)+AC41*CHOOSE(Credit_Assumptions!$D$30,AC57*AC58*(1+Credit_Assumptions!$C$17)^-0.5,(1-Credit_Assumptions!$C$16)*AC58*(1+Credit_Assumptions!$C$17)^-0.5,AC58)+AC42*CHOOSE(Credit_Assumptions!$D$31,AC57*AC58*(1+Credit_Assumptions!$C$17)^-0.5,(1-Credit_Assumptions!$C$16)*AC58*(1+Credit_Assumptions!$C$17)^-0.5,AC58)+AC43*CHOOSE(Credit_Assumptions!$D$32,AC57*AC58*(1+Credit_Assumptions!$C$17)^-0.5,(1-Credit_Assumptions!$C$16)*AC58*(1+Credit_Assumptions!$C$17)^-0.5,AC58)+AC44*CHOOSE(Credit_Assumptions!$D$33,AC57*AC58*(1+Credit_Assumptions!$C$17)^-0.5,(1-Credit_Assumptions!$C$16)*AC58*(1+Credit_Assumptions!$C$17)^-0.5,AC58)</f>
        <v/>
      </c>
      <c r="AD59" s="80">
        <f>AD39*CHOOSE(Credit_Assumptions!$D$28,AD57*AD58*(1+Credit_Assumptions!$C$17)^-0.5,(1-Credit_Assumptions!$C$16)*AD58*(1+Credit_Assumptions!$C$17)^-0.5,AD58)+AD40*CHOOSE(Credit_Assumptions!$D$29,AD57*AD58*(1+Credit_Assumptions!$C$17)^-0.5,(1-Credit_Assumptions!$C$16)*AD58*(1+Credit_Assumptions!$C$17)^-0.5,AD58)+AD41*CHOOSE(Credit_Assumptions!$D$30,AD57*AD58*(1+Credit_Assumptions!$C$17)^-0.5,(1-Credit_Assumptions!$C$16)*AD58*(1+Credit_Assumptions!$C$17)^-0.5,AD58)+AD42*CHOOSE(Credit_Assumptions!$D$31,AD57*AD58*(1+Credit_Assumptions!$C$17)^-0.5,(1-Credit_Assumptions!$C$16)*AD58*(1+Credit_Assumptions!$C$17)^-0.5,AD58)+AD43*CHOOSE(Credit_Assumptions!$D$32,AD57*AD58*(1+Credit_Assumptions!$C$17)^-0.5,(1-Credit_Assumptions!$C$16)*AD58*(1+Credit_Assumptions!$C$17)^-0.5,AD58)+AD44*CHOOSE(Credit_Assumptions!$D$33,AD57*AD58*(1+Credit_Assumptions!$C$17)^-0.5,(1-Credit_Assumptions!$C$16)*AD58*(1+Credit_Assumptions!$C$17)^-0.5,AD58)</f>
        <v/>
      </c>
      <c r="AE59" s="80">
        <f>AE39*CHOOSE(Credit_Assumptions!$D$28,AE57*AE58*(1+Credit_Assumptions!$C$17)^-0.5,(1-Credit_Assumptions!$C$16)*AE58*(1+Credit_Assumptions!$C$17)^-0.5,AE58)+AE40*CHOOSE(Credit_Assumptions!$D$29,AE57*AE58*(1+Credit_Assumptions!$C$17)^-0.5,(1-Credit_Assumptions!$C$16)*AE58*(1+Credit_Assumptions!$C$17)^-0.5,AE58)+AE41*CHOOSE(Credit_Assumptions!$D$30,AE57*AE58*(1+Credit_Assumptions!$C$17)^-0.5,(1-Credit_Assumptions!$C$16)*AE58*(1+Credit_Assumptions!$C$17)^-0.5,AE58)+AE42*CHOOSE(Credit_Assumptions!$D$31,AE57*AE58*(1+Credit_Assumptions!$C$17)^-0.5,(1-Credit_Assumptions!$C$16)*AE58*(1+Credit_Assumptions!$C$17)^-0.5,AE58)+AE43*CHOOSE(Credit_Assumptions!$D$32,AE57*AE58*(1+Credit_Assumptions!$C$17)^-0.5,(1-Credit_Assumptions!$C$16)*AE58*(1+Credit_Assumptions!$C$17)^-0.5,AE58)+AE44*CHOOSE(Credit_Assumptions!$D$33,AE57*AE58*(1+Credit_Assumptions!$C$17)^-0.5,(1-Credit_Assumptions!$C$16)*AE58*(1+Credit_Assumptions!$C$17)^-0.5,AE58)</f>
        <v/>
      </c>
      <c r="AF59" s="80">
        <f>AF39*CHOOSE(Credit_Assumptions!$D$28,AF57*AF58*(1+Credit_Assumptions!$C$17)^-0.5,(1-Credit_Assumptions!$C$16)*AF58*(1+Credit_Assumptions!$C$17)^-0.5,AF58)+AF40*CHOOSE(Credit_Assumptions!$D$29,AF57*AF58*(1+Credit_Assumptions!$C$17)^-0.5,(1-Credit_Assumptions!$C$16)*AF58*(1+Credit_Assumptions!$C$17)^-0.5,AF58)+AF41*CHOOSE(Credit_Assumptions!$D$30,AF57*AF58*(1+Credit_Assumptions!$C$17)^-0.5,(1-Credit_Assumptions!$C$16)*AF58*(1+Credit_Assumptions!$C$17)^-0.5,AF58)+AF42*CHOOSE(Credit_Assumptions!$D$31,AF57*AF58*(1+Credit_Assumptions!$C$17)^-0.5,(1-Credit_Assumptions!$C$16)*AF58*(1+Credit_Assumptions!$C$17)^-0.5,AF58)+AF43*CHOOSE(Credit_Assumptions!$D$32,AF57*AF58*(1+Credit_Assumptions!$C$17)^-0.5,(1-Credit_Assumptions!$C$16)*AF58*(1+Credit_Assumptions!$C$17)^-0.5,AF58)+AF44*CHOOSE(Credit_Assumptions!$D$33,AF57*AF58*(1+Credit_Assumptions!$C$17)^-0.5,(1-Credit_Assumptions!$C$16)*AF58*(1+Credit_Assumptions!$C$17)^-0.5,AF58)</f>
        <v/>
      </c>
      <c r="AG59" s="80">
        <f>AG39*CHOOSE(Credit_Assumptions!$D$28,AG57*AG58*(1+Credit_Assumptions!$C$17)^-0.5,(1-Credit_Assumptions!$C$16)*AG58*(1+Credit_Assumptions!$C$17)^-0.5,AG58)+AG40*CHOOSE(Credit_Assumptions!$D$29,AG57*AG58*(1+Credit_Assumptions!$C$17)^-0.5,(1-Credit_Assumptions!$C$16)*AG58*(1+Credit_Assumptions!$C$17)^-0.5,AG58)+AG41*CHOOSE(Credit_Assumptions!$D$30,AG57*AG58*(1+Credit_Assumptions!$C$17)^-0.5,(1-Credit_Assumptions!$C$16)*AG58*(1+Credit_Assumptions!$C$17)^-0.5,AG58)+AG42*CHOOSE(Credit_Assumptions!$D$31,AG57*AG58*(1+Credit_Assumptions!$C$17)^-0.5,(1-Credit_Assumptions!$C$16)*AG58*(1+Credit_Assumptions!$C$17)^-0.5,AG58)+AG43*CHOOSE(Credit_Assumptions!$D$32,AG57*AG58*(1+Credit_Assumptions!$C$17)^-0.5,(1-Credit_Assumptions!$C$16)*AG58*(1+Credit_Assumptions!$C$17)^-0.5,AG58)+AG44*CHOOSE(Credit_Assumptions!$D$33,AG57*AG58*(1+Credit_Assumptions!$C$17)^-0.5,(1-Credit_Assumptions!$C$16)*AG58*(1+Credit_Assumptions!$C$17)^-0.5,AG58)</f>
        <v/>
      </c>
      <c r="AH59" s="80">
        <f>AH39*CHOOSE(Credit_Assumptions!$D$28,AH57*AH58*(1+Credit_Assumptions!$C$17)^-0.5,(1-Credit_Assumptions!$C$16)*AH58*(1+Credit_Assumptions!$C$17)^-0.5,AH58)+AH40*CHOOSE(Credit_Assumptions!$D$29,AH57*AH58*(1+Credit_Assumptions!$C$17)^-0.5,(1-Credit_Assumptions!$C$16)*AH58*(1+Credit_Assumptions!$C$17)^-0.5,AH58)+AH41*CHOOSE(Credit_Assumptions!$D$30,AH57*AH58*(1+Credit_Assumptions!$C$17)^-0.5,(1-Credit_Assumptions!$C$16)*AH58*(1+Credit_Assumptions!$C$17)^-0.5,AH58)+AH42*CHOOSE(Credit_Assumptions!$D$31,AH57*AH58*(1+Credit_Assumptions!$C$17)^-0.5,(1-Credit_Assumptions!$C$16)*AH58*(1+Credit_Assumptions!$C$17)^-0.5,AH58)+AH43*CHOOSE(Credit_Assumptions!$D$32,AH57*AH58*(1+Credit_Assumptions!$C$17)^-0.5,(1-Credit_Assumptions!$C$16)*AH58*(1+Credit_Assumptions!$C$17)^-0.5,AH58)+AH44*CHOOSE(Credit_Assumptions!$D$33,AH57*AH58*(1+Credit_Assumptions!$C$17)^-0.5,(1-Credit_Assumptions!$C$16)*AH58*(1+Credit_Assumptions!$C$17)^-0.5,AH58)</f>
        <v/>
      </c>
      <c r="AI59" s="80">
        <f>AI39*CHOOSE(Credit_Assumptions!$D$28,AI57*AI58*(1+Credit_Assumptions!$C$17)^-0.5,(1-Credit_Assumptions!$C$16)*AI58*(1+Credit_Assumptions!$C$17)^-0.5,AI58)+AI40*CHOOSE(Credit_Assumptions!$D$29,AI57*AI58*(1+Credit_Assumptions!$C$17)^-0.5,(1-Credit_Assumptions!$C$16)*AI58*(1+Credit_Assumptions!$C$17)^-0.5,AI58)+AI41*CHOOSE(Credit_Assumptions!$D$30,AI57*AI58*(1+Credit_Assumptions!$C$17)^-0.5,(1-Credit_Assumptions!$C$16)*AI58*(1+Credit_Assumptions!$C$17)^-0.5,AI58)+AI42*CHOOSE(Credit_Assumptions!$D$31,AI57*AI58*(1+Credit_Assumptions!$C$17)^-0.5,(1-Credit_Assumptions!$C$16)*AI58*(1+Credit_Assumptions!$C$17)^-0.5,AI58)+AI43*CHOOSE(Credit_Assumptions!$D$32,AI57*AI58*(1+Credit_Assumptions!$C$17)^-0.5,(1-Credit_Assumptions!$C$16)*AI58*(1+Credit_Assumptions!$C$17)^-0.5,AI58)+AI44*CHOOSE(Credit_Assumptions!$D$33,AI57*AI58*(1+Credit_Assumptions!$C$17)^-0.5,(1-Credit_Assumptions!$C$16)*AI58*(1+Credit_Assumptions!$C$17)^-0.5,AI58)</f>
        <v/>
      </c>
      <c r="AJ59" s="80">
        <f>AJ39*CHOOSE(Credit_Assumptions!$D$28,AJ57*AJ58*(1+Credit_Assumptions!$C$17)^-0.5,(1-Credit_Assumptions!$C$16)*AJ58*(1+Credit_Assumptions!$C$17)^-0.5,AJ58)+AJ40*CHOOSE(Credit_Assumptions!$D$29,AJ57*AJ58*(1+Credit_Assumptions!$C$17)^-0.5,(1-Credit_Assumptions!$C$16)*AJ58*(1+Credit_Assumptions!$C$17)^-0.5,AJ58)+AJ41*CHOOSE(Credit_Assumptions!$D$30,AJ57*AJ58*(1+Credit_Assumptions!$C$17)^-0.5,(1-Credit_Assumptions!$C$16)*AJ58*(1+Credit_Assumptions!$C$17)^-0.5,AJ58)+AJ42*CHOOSE(Credit_Assumptions!$D$31,AJ57*AJ58*(1+Credit_Assumptions!$C$17)^-0.5,(1-Credit_Assumptions!$C$16)*AJ58*(1+Credit_Assumptions!$C$17)^-0.5,AJ58)+AJ43*CHOOSE(Credit_Assumptions!$D$32,AJ57*AJ58*(1+Credit_Assumptions!$C$17)^-0.5,(1-Credit_Assumptions!$C$16)*AJ58*(1+Credit_Assumptions!$C$17)^-0.5,AJ58)+AJ44*CHOOSE(Credit_Assumptions!$D$33,AJ57*AJ58*(1+Credit_Assumptions!$C$17)^-0.5,(1-Credit_Assumptions!$C$16)*AJ58*(1+Credit_Assumptions!$C$17)^-0.5,AJ58)</f>
        <v/>
      </c>
      <c r="AK59" s="80">
        <f>AK39*CHOOSE(Credit_Assumptions!$D$28,AK57*AK58*(1+Credit_Assumptions!$C$17)^-0.5,(1-Credit_Assumptions!$C$16)*AK58*(1+Credit_Assumptions!$C$17)^-0.5,AK58)+AK40*CHOOSE(Credit_Assumptions!$D$29,AK57*AK58*(1+Credit_Assumptions!$C$17)^-0.5,(1-Credit_Assumptions!$C$16)*AK58*(1+Credit_Assumptions!$C$17)^-0.5,AK58)+AK41*CHOOSE(Credit_Assumptions!$D$30,AK57*AK58*(1+Credit_Assumptions!$C$17)^-0.5,(1-Credit_Assumptions!$C$16)*AK58*(1+Credit_Assumptions!$C$17)^-0.5,AK58)+AK42*CHOOSE(Credit_Assumptions!$D$31,AK57*AK58*(1+Credit_Assumptions!$C$17)^-0.5,(1-Credit_Assumptions!$C$16)*AK58*(1+Credit_Assumptions!$C$17)^-0.5,AK58)+AK43*CHOOSE(Credit_Assumptions!$D$32,AK57*AK58*(1+Credit_Assumptions!$C$17)^-0.5,(1-Credit_Assumptions!$C$16)*AK58*(1+Credit_Assumptions!$C$17)^-0.5,AK58)+AK44*CHOOSE(Credit_Assumptions!$D$33,AK57*AK58*(1+Credit_Assumptions!$C$17)^-0.5,(1-Credit_Assumptions!$C$16)*AK58*(1+Credit_Assumptions!$C$17)^-0.5,AK58)</f>
        <v/>
      </c>
      <c r="AL59" s="80">
        <f>AL39*CHOOSE(Credit_Assumptions!$D$28,AL57*AL58*(1+Credit_Assumptions!$C$17)^-0.5,(1-Credit_Assumptions!$C$16)*AL58*(1+Credit_Assumptions!$C$17)^-0.5,AL58)+AL40*CHOOSE(Credit_Assumptions!$D$29,AL57*AL58*(1+Credit_Assumptions!$C$17)^-0.5,(1-Credit_Assumptions!$C$16)*AL58*(1+Credit_Assumptions!$C$17)^-0.5,AL58)+AL41*CHOOSE(Credit_Assumptions!$D$30,AL57*AL58*(1+Credit_Assumptions!$C$17)^-0.5,(1-Credit_Assumptions!$C$16)*AL58*(1+Credit_Assumptions!$C$17)^-0.5,AL58)+AL42*CHOOSE(Credit_Assumptions!$D$31,AL57*AL58*(1+Credit_Assumptions!$C$17)^-0.5,(1-Credit_Assumptions!$C$16)*AL58*(1+Credit_Assumptions!$C$17)^-0.5,AL58)+AL43*CHOOSE(Credit_Assumptions!$D$32,AL57*AL58*(1+Credit_Assumptions!$C$17)^-0.5,(1-Credit_Assumptions!$C$16)*AL58*(1+Credit_Assumptions!$C$17)^-0.5,AL58)+AL44*CHOOSE(Credit_Assumptions!$D$33,AL57*AL58*(1+Credit_Assumptions!$C$17)^-0.5,(1-Credit_Assumptions!$C$16)*AL58*(1+Credit_Assumptions!$C$17)^-0.5,AL58)</f>
        <v/>
      </c>
      <c r="AM59" s="80">
        <f>AM39*CHOOSE(Credit_Assumptions!$D$28,AM57*AM58*(1+Credit_Assumptions!$C$17)^-0.5,(1-Credit_Assumptions!$C$16)*AM58*(1+Credit_Assumptions!$C$17)^-0.5,AM58)+AM40*CHOOSE(Credit_Assumptions!$D$29,AM57*AM58*(1+Credit_Assumptions!$C$17)^-0.5,(1-Credit_Assumptions!$C$16)*AM58*(1+Credit_Assumptions!$C$17)^-0.5,AM58)+AM41*CHOOSE(Credit_Assumptions!$D$30,AM57*AM58*(1+Credit_Assumptions!$C$17)^-0.5,(1-Credit_Assumptions!$C$16)*AM58*(1+Credit_Assumptions!$C$17)^-0.5,AM58)+AM42*CHOOSE(Credit_Assumptions!$D$31,AM57*AM58*(1+Credit_Assumptions!$C$17)^-0.5,(1-Credit_Assumptions!$C$16)*AM58*(1+Credit_Assumptions!$C$17)^-0.5,AM58)+AM43*CHOOSE(Credit_Assumptions!$D$32,AM57*AM58*(1+Credit_Assumptions!$C$17)^-0.5,(1-Credit_Assumptions!$C$16)*AM58*(1+Credit_Assumptions!$C$17)^-0.5,AM58)+AM44*CHOOSE(Credit_Assumptions!$D$33,AM57*AM58*(1+Credit_Assumptions!$C$17)^-0.5,(1-Credit_Assumptions!$C$16)*AM58*(1+Credit_Assumptions!$C$17)^-0.5,AM58)</f>
        <v/>
      </c>
      <c r="AN59" s="80">
        <f>AN39*CHOOSE(Credit_Assumptions!$D$28,AN57*AN58*(1+Credit_Assumptions!$C$17)^-0.5,(1-Credit_Assumptions!$C$16)*AN58*(1+Credit_Assumptions!$C$17)^-0.5,AN58)+AN40*CHOOSE(Credit_Assumptions!$D$29,AN57*AN58*(1+Credit_Assumptions!$C$17)^-0.5,(1-Credit_Assumptions!$C$16)*AN58*(1+Credit_Assumptions!$C$17)^-0.5,AN58)+AN41*CHOOSE(Credit_Assumptions!$D$30,AN57*AN58*(1+Credit_Assumptions!$C$17)^-0.5,(1-Credit_Assumptions!$C$16)*AN58*(1+Credit_Assumptions!$C$17)^-0.5,AN58)+AN42*CHOOSE(Credit_Assumptions!$D$31,AN57*AN58*(1+Credit_Assumptions!$C$17)^-0.5,(1-Credit_Assumptions!$C$16)*AN58*(1+Credit_Assumptions!$C$17)^-0.5,AN58)+AN43*CHOOSE(Credit_Assumptions!$D$32,AN57*AN58*(1+Credit_Assumptions!$C$17)^-0.5,(1-Credit_Assumptions!$C$16)*AN58*(1+Credit_Assumptions!$C$17)^-0.5,AN58)+AN44*CHOOSE(Credit_Assumptions!$D$33,AN57*AN58*(1+Credit_Assumptions!$C$17)^-0.5,(1-Credit_Assumptions!$C$16)*AN58*(1+Credit_Assumptions!$C$17)^-0.5,AN58)</f>
        <v/>
      </c>
      <c r="AO59" s="80">
        <f>AO39*CHOOSE(Credit_Assumptions!$D$28,AO57*AO58*(1+Credit_Assumptions!$C$17)^-0.5,(1-Credit_Assumptions!$C$16)*AO58*(1+Credit_Assumptions!$C$17)^-0.5,AO58)+AO40*CHOOSE(Credit_Assumptions!$D$29,AO57*AO58*(1+Credit_Assumptions!$C$17)^-0.5,(1-Credit_Assumptions!$C$16)*AO58*(1+Credit_Assumptions!$C$17)^-0.5,AO58)+AO41*CHOOSE(Credit_Assumptions!$D$30,AO57*AO58*(1+Credit_Assumptions!$C$17)^-0.5,(1-Credit_Assumptions!$C$16)*AO58*(1+Credit_Assumptions!$C$17)^-0.5,AO58)+AO42*CHOOSE(Credit_Assumptions!$D$31,AO57*AO58*(1+Credit_Assumptions!$C$17)^-0.5,(1-Credit_Assumptions!$C$16)*AO58*(1+Credit_Assumptions!$C$17)^-0.5,AO58)+AO43*CHOOSE(Credit_Assumptions!$D$32,AO57*AO58*(1+Credit_Assumptions!$C$17)^-0.5,(1-Credit_Assumptions!$C$16)*AO58*(1+Credit_Assumptions!$C$17)^-0.5,AO58)+AO44*CHOOSE(Credit_Assumptions!$D$33,AO57*AO58*(1+Credit_Assumptions!$C$17)^-0.5,(1-Credit_Assumptions!$C$16)*AO58*(1+Credit_Assumptions!$C$17)^-0.5,AO58)</f>
        <v/>
      </c>
      <c r="AP59" s="80">
        <f>AP39*CHOOSE(Credit_Assumptions!$D$28,AP57*AP58*(1+Credit_Assumptions!$C$17)^-0.5,(1-Credit_Assumptions!$C$16)*AP58*(1+Credit_Assumptions!$C$17)^-0.5,AP58)+AP40*CHOOSE(Credit_Assumptions!$D$29,AP57*AP58*(1+Credit_Assumptions!$C$17)^-0.5,(1-Credit_Assumptions!$C$16)*AP58*(1+Credit_Assumptions!$C$17)^-0.5,AP58)+AP41*CHOOSE(Credit_Assumptions!$D$30,AP57*AP58*(1+Credit_Assumptions!$C$17)^-0.5,(1-Credit_Assumptions!$C$16)*AP58*(1+Credit_Assumptions!$C$17)^-0.5,AP58)+AP42*CHOOSE(Credit_Assumptions!$D$31,AP57*AP58*(1+Credit_Assumptions!$C$17)^-0.5,(1-Credit_Assumptions!$C$16)*AP58*(1+Credit_Assumptions!$C$17)^-0.5,AP58)+AP43*CHOOSE(Credit_Assumptions!$D$32,AP57*AP58*(1+Credit_Assumptions!$C$17)^-0.5,(1-Credit_Assumptions!$C$16)*AP58*(1+Credit_Assumptions!$C$17)^-0.5,AP58)+AP44*CHOOSE(Credit_Assumptions!$D$33,AP57*AP58*(1+Credit_Assumptions!$C$17)^-0.5,(1-Credit_Assumptions!$C$16)*AP58*(1+Credit_Assumptions!$C$17)^-0.5,AP58)</f>
        <v/>
      </c>
      <c r="AQ59" s="80">
        <f>AQ39*CHOOSE(Credit_Assumptions!$D$28,AQ57*AQ58*(1+Credit_Assumptions!$C$17)^-0.5,(1-Credit_Assumptions!$C$16)*AQ58*(1+Credit_Assumptions!$C$17)^-0.5,AQ58)+AQ40*CHOOSE(Credit_Assumptions!$D$29,AQ57*AQ58*(1+Credit_Assumptions!$C$17)^-0.5,(1-Credit_Assumptions!$C$16)*AQ58*(1+Credit_Assumptions!$C$17)^-0.5,AQ58)+AQ41*CHOOSE(Credit_Assumptions!$D$30,AQ57*AQ58*(1+Credit_Assumptions!$C$17)^-0.5,(1-Credit_Assumptions!$C$16)*AQ58*(1+Credit_Assumptions!$C$17)^-0.5,AQ58)+AQ42*CHOOSE(Credit_Assumptions!$D$31,AQ57*AQ58*(1+Credit_Assumptions!$C$17)^-0.5,(1-Credit_Assumptions!$C$16)*AQ58*(1+Credit_Assumptions!$C$17)^-0.5,AQ58)+AQ43*CHOOSE(Credit_Assumptions!$D$32,AQ57*AQ58*(1+Credit_Assumptions!$C$17)^-0.5,(1-Credit_Assumptions!$C$16)*AQ58*(1+Credit_Assumptions!$C$17)^-0.5,AQ58)+AQ44*CHOOSE(Credit_Assumptions!$D$33,AQ57*AQ58*(1+Credit_Assumptions!$C$17)^-0.5,(1-Credit_Assumptions!$C$16)*AQ58*(1+Credit_Assumptions!$C$17)^-0.5,AQ58)</f>
        <v/>
      </c>
      <c r="AR59" s="80">
        <f>AR39*CHOOSE(Credit_Assumptions!$D$28,AR57*AR58*(1+Credit_Assumptions!$C$17)^-0.5,(1-Credit_Assumptions!$C$16)*AR58*(1+Credit_Assumptions!$C$17)^-0.5,AR58)+AR40*CHOOSE(Credit_Assumptions!$D$29,AR57*AR58*(1+Credit_Assumptions!$C$17)^-0.5,(1-Credit_Assumptions!$C$16)*AR58*(1+Credit_Assumptions!$C$17)^-0.5,AR58)+AR41*CHOOSE(Credit_Assumptions!$D$30,AR57*AR58*(1+Credit_Assumptions!$C$17)^-0.5,(1-Credit_Assumptions!$C$16)*AR58*(1+Credit_Assumptions!$C$17)^-0.5,AR58)+AR42*CHOOSE(Credit_Assumptions!$D$31,AR57*AR58*(1+Credit_Assumptions!$C$17)^-0.5,(1-Credit_Assumptions!$C$16)*AR58*(1+Credit_Assumptions!$C$17)^-0.5,AR58)+AR43*CHOOSE(Credit_Assumptions!$D$32,AR57*AR58*(1+Credit_Assumptions!$C$17)^-0.5,(1-Credit_Assumptions!$C$16)*AR58*(1+Credit_Assumptions!$C$17)^-0.5,AR58)+AR44*CHOOSE(Credit_Assumptions!$D$33,AR57*AR58*(1+Credit_Assumptions!$C$17)^-0.5,(1-Credit_Assumptions!$C$16)*AR58*(1+Credit_Assumptions!$C$17)^-0.5,AR58)</f>
        <v/>
      </c>
      <c r="AS59" s="80">
        <f>AS39*CHOOSE(Credit_Assumptions!$D$28,AS57*AS58*(1+Credit_Assumptions!$C$17)^-0.5,(1-Credit_Assumptions!$C$16)*AS58*(1+Credit_Assumptions!$C$17)^-0.5,AS58)+AS40*CHOOSE(Credit_Assumptions!$D$29,AS57*AS58*(1+Credit_Assumptions!$C$17)^-0.5,(1-Credit_Assumptions!$C$16)*AS58*(1+Credit_Assumptions!$C$17)^-0.5,AS58)+AS41*CHOOSE(Credit_Assumptions!$D$30,AS57*AS58*(1+Credit_Assumptions!$C$17)^-0.5,(1-Credit_Assumptions!$C$16)*AS58*(1+Credit_Assumptions!$C$17)^-0.5,AS58)+AS42*CHOOSE(Credit_Assumptions!$D$31,AS57*AS58*(1+Credit_Assumptions!$C$17)^-0.5,(1-Credit_Assumptions!$C$16)*AS58*(1+Credit_Assumptions!$C$17)^-0.5,AS58)+AS43*CHOOSE(Credit_Assumptions!$D$32,AS57*AS58*(1+Credit_Assumptions!$C$17)^-0.5,(1-Credit_Assumptions!$C$16)*AS58*(1+Credit_Assumptions!$C$17)^-0.5,AS58)+AS44*CHOOSE(Credit_Assumptions!$D$33,AS57*AS58*(1+Credit_Assumptions!$C$17)^-0.5,(1-Credit_Assumptions!$C$16)*AS58*(1+Credit_Assumptions!$C$17)^-0.5,AS58)</f>
        <v/>
      </c>
      <c r="AT59" s="80">
        <f>AT39*CHOOSE(Credit_Assumptions!$D$28,AT57*AT58*(1+Credit_Assumptions!$C$17)^-0.5,(1-Credit_Assumptions!$C$16)*AT58*(1+Credit_Assumptions!$C$17)^-0.5,AT58)+AT40*CHOOSE(Credit_Assumptions!$D$29,AT57*AT58*(1+Credit_Assumptions!$C$17)^-0.5,(1-Credit_Assumptions!$C$16)*AT58*(1+Credit_Assumptions!$C$17)^-0.5,AT58)+AT41*CHOOSE(Credit_Assumptions!$D$30,AT57*AT58*(1+Credit_Assumptions!$C$17)^-0.5,(1-Credit_Assumptions!$C$16)*AT58*(1+Credit_Assumptions!$C$17)^-0.5,AT58)+AT42*CHOOSE(Credit_Assumptions!$D$31,AT57*AT58*(1+Credit_Assumptions!$C$17)^-0.5,(1-Credit_Assumptions!$C$16)*AT58*(1+Credit_Assumptions!$C$17)^-0.5,AT58)+AT43*CHOOSE(Credit_Assumptions!$D$32,AT57*AT58*(1+Credit_Assumptions!$C$17)^-0.5,(1-Credit_Assumptions!$C$16)*AT58*(1+Credit_Assumptions!$C$17)^-0.5,AT58)+AT44*CHOOSE(Credit_Assumptions!$D$33,AT57*AT58*(1+Credit_Assumptions!$C$17)^-0.5,(1-Credit_Assumptions!$C$16)*AT58*(1+Credit_Assumptions!$C$17)^-0.5,AT58)</f>
        <v/>
      </c>
      <c r="AU59" s="80">
        <f>AU39*CHOOSE(Credit_Assumptions!$D$28,AU57*AU58*(1+Credit_Assumptions!$C$17)^-0.5,(1-Credit_Assumptions!$C$16)*AU58*(1+Credit_Assumptions!$C$17)^-0.5,AU58)+AU40*CHOOSE(Credit_Assumptions!$D$29,AU57*AU58*(1+Credit_Assumptions!$C$17)^-0.5,(1-Credit_Assumptions!$C$16)*AU58*(1+Credit_Assumptions!$C$17)^-0.5,AU58)+AU41*CHOOSE(Credit_Assumptions!$D$30,AU57*AU58*(1+Credit_Assumptions!$C$17)^-0.5,(1-Credit_Assumptions!$C$16)*AU58*(1+Credit_Assumptions!$C$17)^-0.5,AU58)+AU42*CHOOSE(Credit_Assumptions!$D$31,AU57*AU58*(1+Credit_Assumptions!$C$17)^-0.5,(1-Credit_Assumptions!$C$16)*AU58*(1+Credit_Assumptions!$C$17)^-0.5,AU58)+AU43*CHOOSE(Credit_Assumptions!$D$32,AU57*AU58*(1+Credit_Assumptions!$C$17)^-0.5,(1-Credit_Assumptions!$C$16)*AU58*(1+Credit_Assumptions!$C$17)^-0.5,AU58)+AU44*CHOOSE(Credit_Assumptions!$D$33,AU57*AU58*(1+Credit_Assumptions!$C$17)^-0.5,(1-Credit_Assumptions!$C$16)*AU58*(1+Credit_Assumptions!$C$17)^-0.5,AU58)</f>
        <v/>
      </c>
      <c r="AV59" s="80">
        <f>AV39*CHOOSE(Credit_Assumptions!$D$28,AV57*AV58*(1+Credit_Assumptions!$C$17)^-0.5,(1-Credit_Assumptions!$C$16)*AV58*(1+Credit_Assumptions!$C$17)^-0.5,AV58)+AV40*CHOOSE(Credit_Assumptions!$D$29,AV57*AV58*(1+Credit_Assumptions!$C$17)^-0.5,(1-Credit_Assumptions!$C$16)*AV58*(1+Credit_Assumptions!$C$17)^-0.5,AV58)+AV41*CHOOSE(Credit_Assumptions!$D$30,AV57*AV58*(1+Credit_Assumptions!$C$17)^-0.5,(1-Credit_Assumptions!$C$16)*AV58*(1+Credit_Assumptions!$C$17)^-0.5,AV58)+AV42*CHOOSE(Credit_Assumptions!$D$31,AV57*AV58*(1+Credit_Assumptions!$C$17)^-0.5,(1-Credit_Assumptions!$C$16)*AV58*(1+Credit_Assumptions!$C$17)^-0.5,AV58)+AV43*CHOOSE(Credit_Assumptions!$D$32,AV57*AV58*(1+Credit_Assumptions!$C$17)^-0.5,(1-Credit_Assumptions!$C$16)*AV58*(1+Credit_Assumptions!$C$17)^-0.5,AV58)+AV44*CHOOSE(Credit_Assumptions!$D$33,AV57*AV58*(1+Credit_Assumptions!$C$17)^-0.5,(1-Credit_Assumptions!$C$16)*AV58*(1+Credit_Assumptions!$C$17)^-0.5,AV58)</f>
        <v/>
      </c>
      <c r="AW59" s="80">
        <f>AW39*CHOOSE(Credit_Assumptions!$D$28,AW57*AW58*(1+Credit_Assumptions!$C$17)^-0.5,(1-Credit_Assumptions!$C$16)*AW58*(1+Credit_Assumptions!$C$17)^-0.5,AW58)+AW40*CHOOSE(Credit_Assumptions!$D$29,AW57*AW58*(1+Credit_Assumptions!$C$17)^-0.5,(1-Credit_Assumptions!$C$16)*AW58*(1+Credit_Assumptions!$C$17)^-0.5,AW58)+AW41*CHOOSE(Credit_Assumptions!$D$30,AW57*AW58*(1+Credit_Assumptions!$C$17)^-0.5,(1-Credit_Assumptions!$C$16)*AW58*(1+Credit_Assumptions!$C$17)^-0.5,AW58)+AW42*CHOOSE(Credit_Assumptions!$D$31,AW57*AW58*(1+Credit_Assumptions!$C$17)^-0.5,(1-Credit_Assumptions!$C$16)*AW58*(1+Credit_Assumptions!$C$17)^-0.5,AW58)+AW43*CHOOSE(Credit_Assumptions!$D$32,AW57*AW58*(1+Credit_Assumptions!$C$17)^-0.5,(1-Credit_Assumptions!$C$16)*AW58*(1+Credit_Assumptions!$C$17)^-0.5,AW58)+AW44*CHOOSE(Credit_Assumptions!$D$33,AW57*AW58*(1+Credit_Assumptions!$C$17)^-0.5,(1-Credit_Assumptions!$C$16)*AW58*(1+Credit_Assumptions!$C$17)^-0.5,AW58)</f>
        <v/>
      </c>
      <c r="AX59" s="80">
        <f>AX39*CHOOSE(Credit_Assumptions!$D$28,AX57*AX58*(1+Credit_Assumptions!$C$17)^-0.5,(1-Credit_Assumptions!$C$16)*AX58*(1+Credit_Assumptions!$C$17)^-0.5,AX58)+AX40*CHOOSE(Credit_Assumptions!$D$29,AX57*AX58*(1+Credit_Assumptions!$C$17)^-0.5,(1-Credit_Assumptions!$C$16)*AX58*(1+Credit_Assumptions!$C$17)^-0.5,AX58)+AX41*CHOOSE(Credit_Assumptions!$D$30,AX57*AX58*(1+Credit_Assumptions!$C$17)^-0.5,(1-Credit_Assumptions!$C$16)*AX58*(1+Credit_Assumptions!$C$17)^-0.5,AX58)+AX42*CHOOSE(Credit_Assumptions!$D$31,AX57*AX58*(1+Credit_Assumptions!$C$17)^-0.5,(1-Credit_Assumptions!$C$16)*AX58*(1+Credit_Assumptions!$C$17)^-0.5,AX58)+AX43*CHOOSE(Credit_Assumptions!$D$32,AX57*AX58*(1+Credit_Assumptions!$C$17)^-0.5,(1-Credit_Assumptions!$C$16)*AX58*(1+Credit_Assumptions!$C$17)^-0.5,AX58)+AX44*CHOOSE(Credit_Assumptions!$D$33,AX57*AX58*(1+Credit_Assumptions!$C$17)^-0.5,(1-Credit_Assumptions!$C$16)*AX58*(1+Credit_Assumptions!$C$17)^-0.5,AX58)</f>
        <v/>
      </c>
      <c r="AY59" s="80">
        <f>AY39*CHOOSE(Credit_Assumptions!$D$28,AY57*AY58*(1+Credit_Assumptions!$C$17)^-0.5,(1-Credit_Assumptions!$C$16)*AY58*(1+Credit_Assumptions!$C$17)^-0.5,AY58)+AY40*CHOOSE(Credit_Assumptions!$D$29,AY57*AY58*(1+Credit_Assumptions!$C$17)^-0.5,(1-Credit_Assumptions!$C$16)*AY58*(1+Credit_Assumptions!$C$17)^-0.5,AY58)+AY41*CHOOSE(Credit_Assumptions!$D$30,AY57*AY58*(1+Credit_Assumptions!$C$17)^-0.5,(1-Credit_Assumptions!$C$16)*AY58*(1+Credit_Assumptions!$C$17)^-0.5,AY58)+AY42*CHOOSE(Credit_Assumptions!$D$31,AY57*AY58*(1+Credit_Assumptions!$C$17)^-0.5,(1-Credit_Assumptions!$C$16)*AY58*(1+Credit_Assumptions!$C$17)^-0.5,AY58)+AY43*CHOOSE(Credit_Assumptions!$D$32,AY57*AY58*(1+Credit_Assumptions!$C$17)^-0.5,(1-Credit_Assumptions!$C$16)*AY58*(1+Credit_Assumptions!$C$17)^-0.5,AY58)+AY44*CHOOSE(Credit_Assumptions!$D$33,AY57*AY58*(1+Credit_Assumptions!$C$17)^-0.5,(1-Credit_Assumptions!$C$16)*AY58*(1+Credit_Assumptions!$C$17)^-0.5,AY58)</f>
        <v/>
      </c>
      <c r="AZ59" s="80">
        <f>AZ39*CHOOSE(Credit_Assumptions!$D$28,AZ57*AZ58*(1+Credit_Assumptions!$C$17)^-0.5,(1-Credit_Assumptions!$C$16)*AZ58*(1+Credit_Assumptions!$C$17)^-0.5,AZ58)+AZ40*CHOOSE(Credit_Assumptions!$D$29,AZ57*AZ58*(1+Credit_Assumptions!$C$17)^-0.5,(1-Credit_Assumptions!$C$16)*AZ58*(1+Credit_Assumptions!$C$17)^-0.5,AZ58)+AZ41*CHOOSE(Credit_Assumptions!$D$30,AZ57*AZ58*(1+Credit_Assumptions!$C$17)^-0.5,(1-Credit_Assumptions!$C$16)*AZ58*(1+Credit_Assumptions!$C$17)^-0.5,AZ58)+AZ42*CHOOSE(Credit_Assumptions!$D$31,AZ57*AZ58*(1+Credit_Assumptions!$C$17)^-0.5,(1-Credit_Assumptions!$C$16)*AZ58*(1+Credit_Assumptions!$C$17)^-0.5,AZ58)+AZ43*CHOOSE(Credit_Assumptions!$D$32,AZ57*AZ58*(1+Credit_Assumptions!$C$17)^-0.5,(1-Credit_Assumptions!$C$16)*AZ58*(1+Credit_Assumptions!$C$17)^-0.5,AZ58)+AZ44*CHOOSE(Credit_Assumptions!$D$33,AZ57*AZ58*(1+Credit_Assumptions!$C$17)^-0.5,(1-Credit_Assumptions!$C$16)*AZ58*(1+Credit_Assumptions!$C$17)^-0.5,AZ58)</f>
        <v/>
      </c>
      <c r="BA59" s="80">
        <f>BA39*CHOOSE(Credit_Assumptions!$D$28,BA57*BA58*(1+Credit_Assumptions!$C$17)^-0.5,(1-Credit_Assumptions!$C$16)*BA58*(1+Credit_Assumptions!$C$17)^-0.5,BA58)+BA40*CHOOSE(Credit_Assumptions!$D$29,BA57*BA58*(1+Credit_Assumptions!$C$17)^-0.5,(1-Credit_Assumptions!$C$16)*BA58*(1+Credit_Assumptions!$C$17)^-0.5,BA58)+BA41*CHOOSE(Credit_Assumptions!$D$30,BA57*BA58*(1+Credit_Assumptions!$C$17)^-0.5,(1-Credit_Assumptions!$C$16)*BA58*(1+Credit_Assumptions!$C$17)^-0.5,BA58)+BA42*CHOOSE(Credit_Assumptions!$D$31,BA57*BA58*(1+Credit_Assumptions!$C$17)^-0.5,(1-Credit_Assumptions!$C$16)*BA58*(1+Credit_Assumptions!$C$17)^-0.5,BA58)+BA43*CHOOSE(Credit_Assumptions!$D$32,BA57*BA58*(1+Credit_Assumptions!$C$17)^-0.5,(1-Credit_Assumptions!$C$16)*BA58*(1+Credit_Assumptions!$C$17)^-0.5,BA58)+BA44*CHOOSE(Credit_Assumptions!$D$33,BA57*BA58*(1+Credit_Assumptions!$C$17)^-0.5,(1-Credit_Assumptions!$C$16)*BA58*(1+Credit_Assumptions!$C$17)^-0.5,BA58)</f>
        <v/>
      </c>
      <c r="BB59" s="80">
        <f>BB39*CHOOSE(Credit_Assumptions!$D$28,BB57*BB58*(1+Credit_Assumptions!$C$17)^-0.5,(1-Credit_Assumptions!$C$16)*BB58*(1+Credit_Assumptions!$C$17)^-0.5,BB58)+BB40*CHOOSE(Credit_Assumptions!$D$29,BB57*BB58*(1+Credit_Assumptions!$C$17)^-0.5,(1-Credit_Assumptions!$C$16)*BB58*(1+Credit_Assumptions!$C$17)^-0.5,BB58)+BB41*CHOOSE(Credit_Assumptions!$D$30,BB57*BB58*(1+Credit_Assumptions!$C$17)^-0.5,(1-Credit_Assumptions!$C$16)*BB58*(1+Credit_Assumptions!$C$17)^-0.5,BB58)+BB42*CHOOSE(Credit_Assumptions!$D$31,BB57*BB58*(1+Credit_Assumptions!$C$17)^-0.5,(1-Credit_Assumptions!$C$16)*BB58*(1+Credit_Assumptions!$C$17)^-0.5,BB58)+BB43*CHOOSE(Credit_Assumptions!$D$32,BB57*BB58*(1+Credit_Assumptions!$C$17)^-0.5,(1-Credit_Assumptions!$C$16)*BB58*(1+Credit_Assumptions!$C$17)^-0.5,BB58)+BB44*CHOOSE(Credit_Assumptions!$D$33,BB57*BB58*(1+Credit_Assumptions!$C$17)^-0.5,(1-Credit_Assumptions!$C$16)*BB58*(1+Credit_Assumptions!$C$17)^-0.5,BB58)</f>
        <v/>
      </c>
      <c r="BC59" s="80">
        <f>BC39*CHOOSE(Credit_Assumptions!$D$28,BC57*BC58*(1+Credit_Assumptions!$C$17)^-0.5,(1-Credit_Assumptions!$C$16)*BC58*(1+Credit_Assumptions!$C$17)^-0.5,BC58)+BC40*CHOOSE(Credit_Assumptions!$D$29,BC57*BC58*(1+Credit_Assumptions!$C$17)^-0.5,(1-Credit_Assumptions!$C$16)*BC58*(1+Credit_Assumptions!$C$17)^-0.5,BC58)+BC41*CHOOSE(Credit_Assumptions!$D$30,BC57*BC58*(1+Credit_Assumptions!$C$17)^-0.5,(1-Credit_Assumptions!$C$16)*BC58*(1+Credit_Assumptions!$C$17)^-0.5,BC58)+BC42*CHOOSE(Credit_Assumptions!$D$31,BC57*BC58*(1+Credit_Assumptions!$C$17)^-0.5,(1-Credit_Assumptions!$C$16)*BC58*(1+Credit_Assumptions!$C$17)^-0.5,BC58)+BC43*CHOOSE(Credit_Assumptions!$D$32,BC57*BC58*(1+Credit_Assumptions!$C$17)^-0.5,(1-Credit_Assumptions!$C$16)*BC58*(1+Credit_Assumptions!$C$17)^-0.5,BC58)+BC44*CHOOSE(Credit_Assumptions!$D$33,BC57*BC58*(1+Credit_Assumptions!$C$17)^-0.5,(1-Credit_Assumptions!$C$16)*BC58*(1+Credit_Assumptions!$C$17)^-0.5,BC58)</f>
        <v/>
      </c>
      <c r="BD59" s="80">
        <f>BD39*CHOOSE(Credit_Assumptions!$D$28,BD57*BD58*(1+Credit_Assumptions!$C$17)^-0.5,(1-Credit_Assumptions!$C$16)*BD58*(1+Credit_Assumptions!$C$17)^-0.5,BD58)+BD40*CHOOSE(Credit_Assumptions!$D$29,BD57*BD58*(1+Credit_Assumptions!$C$17)^-0.5,(1-Credit_Assumptions!$C$16)*BD58*(1+Credit_Assumptions!$C$17)^-0.5,BD58)+BD41*CHOOSE(Credit_Assumptions!$D$30,BD57*BD58*(1+Credit_Assumptions!$C$17)^-0.5,(1-Credit_Assumptions!$C$16)*BD58*(1+Credit_Assumptions!$C$17)^-0.5,BD58)+BD42*CHOOSE(Credit_Assumptions!$D$31,BD57*BD58*(1+Credit_Assumptions!$C$17)^-0.5,(1-Credit_Assumptions!$C$16)*BD58*(1+Credit_Assumptions!$C$17)^-0.5,BD58)+BD43*CHOOSE(Credit_Assumptions!$D$32,BD57*BD58*(1+Credit_Assumptions!$C$17)^-0.5,(1-Credit_Assumptions!$C$16)*BD58*(1+Credit_Assumptions!$C$17)^-0.5,BD58)+BD44*CHOOSE(Credit_Assumptions!$D$33,BD57*BD58*(1+Credit_Assumptions!$C$17)^-0.5,(1-Credit_Assumptions!$C$16)*BD58*(1+Credit_Assumptions!$C$17)^-0.5,BD58)</f>
        <v/>
      </c>
      <c r="BE59" s="80">
        <f>BE39*CHOOSE(Credit_Assumptions!$D$28,BE57*BE58*(1+Credit_Assumptions!$C$17)^-0.5,(1-Credit_Assumptions!$C$16)*BE58*(1+Credit_Assumptions!$C$17)^-0.5,BE58)+BE40*CHOOSE(Credit_Assumptions!$D$29,BE57*BE58*(1+Credit_Assumptions!$C$17)^-0.5,(1-Credit_Assumptions!$C$16)*BE58*(1+Credit_Assumptions!$C$17)^-0.5,BE58)+BE41*CHOOSE(Credit_Assumptions!$D$30,BE57*BE58*(1+Credit_Assumptions!$C$17)^-0.5,(1-Credit_Assumptions!$C$16)*BE58*(1+Credit_Assumptions!$C$17)^-0.5,BE58)+BE42*CHOOSE(Credit_Assumptions!$D$31,BE57*BE58*(1+Credit_Assumptions!$C$17)^-0.5,(1-Credit_Assumptions!$C$16)*BE58*(1+Credit_Assumptions!$C$17)^-0.5,BE58)+BE43*CHOOSE(Credit_Assumptions!$D$32,BE57*BE58*(1+Credit_Assumptions!$C$17)^-0.5,(1-Credit_Assumptions!$C$16)*BE58*(1+Credit_Assumptions!$C$17)^-0.5,BE58)+BE44*CHOOSE(Credit_Assumptions!$D$33,BE57*BE58*(1+Credit_Assumptions!$C$17)^-0.5,(1-Credit_Assumptions!$C$16)*BE58*(1+Credit_Assumptions!$C$17)^-0.5,BE58)</f>
        <v/>
      </c>
      <c r="BF59" s="80">
        <f>BF39*CHOOSE(Credit_Assumptions!$D$28,BF57*BF58*(1+Credit_Assumptions!$C$17)^-0.5,(1-Credit_Assumptions!$C$16)*BF58*(1+Credit_Assumptions!$C$17)^-0.5,BF58)+BF40*CHOOSE(Credit_Assumptions!$D$29,BF57*BF58*(1+Credit_Assumptions!$C$17)^-0.5,(1-Credit_Assumptions!$C$16)*BF58*(1+Credit_Assumptions!$C$17)^-0.5,BF58)+BF41*CHOOSE(Credit_Assumptions!$D$30,BF57*BF58*(1+Credit_Assumptions!$C$17)^-0.5,(1-Credit_Assumptions!$C$16)*BF58*(1+Credit_Assumptions!$C$17)^-0.5,BF58)+BF42*CHOOSE(Credit_Assumptions!$D$31,BF57*BF58*(1+Credit_Assumptions!$C$17)^-0.5,(1-Credit_Assumptions!$C$16)*BF58*(1+Credit_Assumptions!$C$17)^-0.5,BF58)+BF43*CHOOSE(Credit_Assumptions!$D$32,BF57*BF58*(1+Credit_Assumptions!$C$17)^-0.5,(1-Credit_Assumptions!$C$16)*BF58*(1+Credit_Assumptions!$C$17)^-0.5,BF58)+BF44*CHOOSE(Credit_Assumptions!$D$33,BF57*BF58*(1+Credit_Assumptions!$C$17)^-0.5,(1-Credit_Assumptions!$C$16)*BF58*(1+Credit_Assumptions!$C$17)^-0.5,BF58)</f>
        <v/>
      </c>
      <c r="BG59" s="80">
        <f>BG39*CHOOSE(Credit_Assumptions!$D$28,BG57*BG58*(1+Credit_Assumptions!$C$17)^-0.5,(1-Credit_Assumptions!$C$16)*BG58*(1+Credit_Assumptions!$C$17)^-0.5,BG58)+BG40*CHOOSE(Credit_Assumptions!$D$29,BG57*BG58*(1+Credit_Assumptions!$C$17)^-0.5,(1-Credit_Assumptions!$C$16)*BG58*(1+Credit_Assumptions!$C$17)^-0.5,BG58)+BG41*CHOOSE(Credit_Assumptions!$D$30,BG57*BG58*(1+Credit_Assumptions!$C$17)^-0.5,(1-Credit_Assumptions!$C$16)*BG58*(1+Credit_Assumptions!$C$17)^-0.5,BG58)+BG42*CHOOSE(Credit_Assumptions!$D$31,BG57*BG58*(1+Credit_Assumptions!$C$17)^-0.5,(1-Credit_Assumptions!$C$16)*BG58*(1+Credit_Assumptions!$C$17)^-0.5,BG58)+BG43*CHOOSE(Credit_Assumptions!$D$32,BG57*BG58*(1+Credit_Assumptions!$C$17)^-0.5,(1-Credit_Assumptions!$C$16)*BG58*(1+Credit_Assumptions!$C$17)^-0.5,BG58)+BG44*CHOOSE(Credit_Assumptions!$D$33,BG57*BG58*(1+Credit_Assumptions!$C$17)^-0.5,(1-Credit_Assumptions!$C$16)*BG58*(1+Credit_Assumptions!$C$17)^-0.5,BG58)</f>
        <v/>
      </c>
      <c r="BH59" s="80">
        <f>BH39*CHOOSE(Credit_Assumptions!$D$28,BH57*BH58*(1+Credit_Assumptions!$C$17)^-0.5,(1-Credit_Assumptions!$C$16)*BH58*(1+Credit_Assumptions!$C$17)^-0.5,BH58)+BH40*CHOOSE(Credit_Assumptions!$D$29,BH57*BH58*(1+Credit_Assumptions!$C$17)^-0.5,(1-Credit_Assumptions!$C$16)*BH58*(1+Credit_Assumptions!$C$17)^-0.5,BH58)+BH41*CHOOSE(Credit_Assumptions!$D$30,BH57*BH58*(1+Credit_Assumptions!$C$17)^-0.5,(1-Credit_Assumptions!$C$16)*BH58*(1+Credit_Assumptions!$C$17)^-0.5,BH58)+BH42*CHOOSE(Credit_Assumptions!$D$31,BH57*BH58*(1+Credit_Assumptions!$C$17)^-0.5,(1-Credit_Assumptions!$C$16)*BH58*(1+Credit_Assumptions!$C$17)^-0.5,BH58)+BH43*CHOOSE(Credit_Assumptions!$D$32,BH57*BH58*(1+Credit_Assumptions!$C$17)^-0.5,(1-Credit_Assumptions!$C$16)*BH58*(1+Credit_Assumptions!$C$17)^-0.5,BH58)+BH44*CHOOSE(Credit_Assumptions!$D$33,BH57*BH58*(1+Credit_Assumptions!$C$17)^-0.5,(1-Credit_Assumptions!$C$16)*BH58*(1+Credit_Assumptions!$C$17)^-0.5,BH58)</f>
        <v/>
      </c>
      <c r="BI59" s="80">
        <f>BI39*CHOOSE(Credit_Assumptions!$D$28,BI57*BI58*(1+Credit_Assumptions!$C$17)^-0.5,(1-Credit_Assumptions!$C$16)*BI58*(1+Credit_Assumptions!$C$17)^-0.5,BI58)+BI40*CHOOSE(Credit_Assumptions!$D$29,BI57*BI58*(1+Credit_Assumptions!$C$17)^-0.5,(1-Credit_Assumptions!$C$16)*BI58*(1+Credit_Assumptions!$C$17)^-0.5,BI58)+BI41*CHOOSE(Credit_Assumptions!$D$30,BI57*BI58*(1+Credit_Assumptions!$C$17)^-0.5,(1-Credit_Assumptions!$C$16)*BI58*(1+Credit_Assumptions!$C$17)^-0.5,BI58)+BI42*CHOOSE(Credit_Assumptions!$D$31,BI57*BI58*(1+Credit_Assumptions!$C$17)^-0.5,(1-Credit_Assumptions!$C$16)*BI58*(1+Credit_Assumptions!$C$17)^-0.5,BI58)+BI43*CHOOSE(Credit_Assumptions!$D$32,BI57*BI58*(1+Credit_Assumptions!$C$17)^-0.5,(1-Credit_Assumptions!$C$16)*BI58*(1+Credit_Assumptions!$C$17)^-0.5,BI58)+BI44*CHOOSE(Credit_Assumptions!$D$33,BI57*BI58*(1+Credit_Assumptions!$C$17)^-0.5,(1-Credit_Assumptions!$C$16)*BI58*(1+Credit_Assumptions!$C$17)^-0.5,BI58)</f>
        <v/>
      </c>
      <c r="BJ59" s="80">
        <f>BJ39*CHOOSE(Credit_Assumptions!$D$28,BJ57*BJ58*(1+Credit_Assumptions!$C$17)^-0.5,(1-Credit_Assumptions!$C$16)*BJ58*(1+Credit_Assumptions!$C$17)^-0.5,BJ58)+BJ40*CHOOSE(Credit_Assumptions!$D$29,BJ57*BJ58*(1+Credit_Assumptions!$C$17)^-0.5,(1-Credit_Assumptions!$C$16)*BJ58*(1+Credit_Assumptions!$C$17)^-0.5,BJ58)+BJ41*CHOOSE(Credit_Assumptions!$D$30,BJ57*BJ58*(1+Credit_Assumptions!$C$17)^-0.5,(1-Credit_Assumptions!$C$16)*BJ58*(1+Credit_Assumptions!$C$17)^-0.5,BJ58)+BJ42*CHOOSE(Credit_Assumptions!$D$31,BJ57*BJ58*(1+Credit_Assumptions!$C$17)^-0.5,(1-Credit_Assumptions!$C$16)*BJ58*(1+Credit_Assumptions!$C$17)^-0.5,BJ58)+BJ43*CHOOSE(Credit_Assumptions!$D$32,BJ57*BJ58*(1+Credit_Assumptions!$C$17)^-0.5,(1-Credit_Assumptions!$C$16)*BJ58*(1+Credit_Assumptions!$C$17)^-0.5,BJ58)+BJ44*CHOOSE(Credit_Assumptions!$D$33,BJ57*BJ58*(1+Credit_Assumptions!$C$17)^-0.5,(1-Credit_Assumptions!$C$16)*BJ58*(1+Credit_Assumptions!$C$17)^-0.5,BJ58)</f>
        <v/>
      </c>
      <c r="BK59" s="80">
        <f>BK39*CHOOSE(Credit_Assumptions!$D$28,BK57*BK58*(1+Credit_Assumptions!$C$17)^-0.5,(1-Credit_Assumptions!$C$16)*BK58*(1+Credit_Assumptions!$C$17)^-0.5,BK58)+BK40*CHOOSE(Credit_Assumptions!$D$29,BK57*BK58*(1+Credit_Assumptions!$C$17)^-0.5,(1-Credit_Assumptions!$C$16)*BK58*(1+Credit_Assumptions!$C$17)^-0.5,BK58)+BK41*CHOOSE(Credit_Assumptions!$D$30,BK57*BK58*(1+Credit_Assumptions!$C$17)^-0.5,(1-Credit_Assumptions!$C$16)*BK58*(1+Credit_Assumptions!$C$17)^-0.5,BK58)+BK42*CHOOSE(Credit_Assumptions!$D$31,BK57*BK58*(1+Credit_Assumptions!$C$17)^-0.5,(1-Credit_Assumptions!$C$16)*BK58*(1+Credit_Assumptions!$C$17)^-0.5,BK58)+BK43*CHOOSE(Credit_Assumptions!$D$32,BK57*BK58*(1+Credit_Assumptions!$C$17)^-0.5,(1-Credit_Assumptions!$C$16)*BK58*(1+Credit_Assumptions!$C$17)^-0.5,BK58)+BK44*CHOOSE(Credit_Assumptions!$D$33,BK57*BK58*(1+Credit_Assumptions!$C$17)^-0.5,(1-Credit_Assumptions!$C$16)*BK58*(1+Credit_Assumptions!$C$17)^-0.5,BK58)</f>
        <v/>
      </c>
      <c r="BL59" s="80">
        <f>BL39*CHOOSE(Credit_Assumptions!$D$28,BL57*BL58*(1+Credit_Assumptions!$C$17)^-0.5,(1-Credit_Assumptions!$C$16)*BL58*(1+Credit_Assumptions!$C$17)^-0.5,BL58)+BL40*CHOOSE(Credit_Assumptions!$D$29,BL57*BL58*(1+Credit_Assumptions!$C$17)^-0.5,(1-Credit_Assumptions!$C$16)*BL58*(1+Credit_Assumptions!$C$17)^-0.5,BL58)+BL41*CHOOSE(Credit_Assumptions!$D$30,BL57*BL58*(1+Credit_Assumptions!$C$17)^-0.5,(1-Credit_Assumptions!$C$16)*BL58*(1+Credit_Assumptions!$C$17)^-0.5,BL58)+BL42*CHOOSE(Credit_Assumptions!$D$31,BL57*BL58*(1+Credit_Assumptions!$C$17)^-0.5,(1-Credit_Assumptions!$C$16)*BL58*(1+Credit_Assumptions!$C$17)^-0.5,BL58)+BL43*CHOOSE(Credit_Assumptions!$D$32,BL57*BL58*(1+Credit_Assumptions!$C$17)^-0.5,(1-Credit_Assumptions!$C$16)*BL58*(1+Credit_Assumptions!$C$17)^-0.5,BL58)+BL44*CHOOSE(Credit_Assumptions!$D$33,BL57*BL58*(1+Credit_Assumptions!$C$17)^-0.5,(1-Credit_Assumptions!$C$16)*BL58*(1+Credit_Assumptions!$C$17)^-0.5,BL58)</f>
        <v/>
      </c>
    </row>
    <row r="60">
      <c r="A60" s="98" t="inlineStr">
        <is>
          <t>Eligible receivables (borrowing base)</t>
        </is>
      </c>
      <c r="B60" s="65" t="inlineStr">
        <is>
          <t>LCY</t>
        </is>
      </c>
      <c r="C60" s="105">
        <f>BL60</f>
        <v/>
      </c>
      <c r="E60" s="80">
        <f>E39*Credit_Assumptions!$E$28+E40*Credit_Assumptions!$E$29+E41*Credit_Assumptions!$E$30+E42*Credit_Assumptions!$E$31+E43*Credit_Assumptions!$E$32+E44*Credit_Assumptions!$E$33</f>
        <v/>
      </c>
      <c r="F60" s="80">
        <f>F39*Credit_Assumptions!$E$28+F40*Credit_Assumptions!$E$29+F41*Credit_Assumptions!$E$30+F42*Credit_Assumptions!$E$31+F43*Credit_Assumptions!$E$32+F44*Credit_Assumptions!$E$33</f>
        <v/>
      </c>
      <c r="G60" s="80">
        <f>G39*Credit_Assumptions!$E$28+G40*Credit_Assumptions!$E$29+G41*Credit_Assumptions!$E$30+G42*Credit_Assumptions!$E$31+G43*Credit_Assumptions!$E$32+G44*Credit_Assumptions!$E$33</f>
        <v/>
      </c>
      <c r="H60" s="80">
        <f>H39*Credit_Assumptions!$E$28+H40*Credit_Assumptions!$E$29+H41*Credit_Assumptions!$E$30+H42*Credit_Assumptions!$E$31+H43*Credit_Assumptions!$E$32+H44*Credit_Assumptions!$E$33</f>
        <v/>
      </c>
      <c r="I60" s="80">
        <f>I39*Credit_Assumptions!$E$28+I40*Credit_Assumptions!$E$29+I41*Credit_Assumptions!$E$30+I42*Credit_Assumptions!$E$31+I43*Credit_Assumptions!$E$32+I44*Credit_Assumptions!$E$33</f>
        <v/>
      </c>
      <c r="J60" s="80">
        <f>J39*Credit_Assumptions!$E$28+J40*Credit_Assumptions!$E$29+J41*Credit_Assumptions!$E$30+J42*Credit_Assumptions!$E$31+J43*Credit_Assumptions!$E$32+J44*Credit_Assumptions!$E$33</f>
        <v/>
      </c>
      <c r="K60" s="80">
        <f>K39*Credit_Assumptions!$E$28+K40*Credit_Assumptions!$E$29+K41*Credit_Assumptions!$E$30+K42*Credit_Assumptions!$E$31+K43*Credit_Assumptions!$E$32+K44*Credit_Assumptions!$E$33</f>
        <v/>
      </c>
      <c r="L60" s="80">
        <f>L39*Credit_Assumptions!$E$28+L40*Credit_Assumptions!$E$29+L41*Credit_Assumptions!$E$30+L42*Credit_Assumptions!$E$31+L43*Credit_Assumptions!$E$32+L44*Credit_Assumptions!$E$33</f>
        <v/>
      </c>
      <c r="M60" s="80">
        <f>M39*Credit_Assumptions!$E$28+M40*Credit_Assumptions!$E$29+M41*Credit_Assumptions!$E$30+M42*Credit_Assumptions!$E$31+M43*Credit_Assumptions!$E$32+M44*Credit_Assumptions!$E$33</f>
        <v/>
      </c>
      <c r="N60" s="80">
        <f>N39*Credit_Assumptions!$E$28+N40*Credit_Assumptions!$E$29+N41*Credit_Assumptions!$E$30+N42*Credit_Assumptions!$E$31+N43*Credit_Assumptions!$E$32+N44*Credit_Assumptions!$E$33</f>
        <v/>
      </c>
      <c r="O60" s="80">
        <f>O39*Credit_Assumptions!$E$28+O40*Credit_Assumptions!$E$29+O41*Credit_Assumptions!$E$30+O42*Credit_Assumptions!$E$31+O43*Credit_Assumptions!$E$32+O44*Credit_Assumptions!$E$33</f>
        <v/>
      </c>
      <c r="P60" s="80">
        <f>P39*Credit_Assumptions!$E$28+P40*Credit_Assumptions!$E$29+P41*Credit_Assumptions!$E$30+P42*Credit_Assumptions!$E$31+P43*Credit_Assumptions!$E$32+P44*Credit_Assumptions!$E$33</f>
        <v/>
      </c>
      <c r="Q60" s="80">
        <f>Q39*Credit_Assumptions!$E$28+Q40*Credit_Assumptions!$E$29+Q41*Credit_Assumptions!$E$30+Q42*Credit_Assumptions!$E$31+Q43*Credit_Assumptions!$E$32+Q44*Credit_Assumptions!$E$33</f>
        <v/>
      </c>
      <c r="R60" s="80">
        <f>R39*Credit_Assumptions!$E$28+R40*Credit_Assumptions!$E$29+R41*Credit_Assumptions!$E$30+R42*Credit_Assumptions!$E$31+R43*Credit_Assumptions!$E$32+R44*Credit_Assumptions!$E$33</f>
        <v/>
      </c>
      <c r="S60" s="80">
        <f>S39*Credit_Assumptions!$E$28+S40*Credit_Assumptions!$E$29+S41*Credit_Assumptions!$E$30+S42*Credit_Assumptions!$E$31+S43*Credit_Assumptions!$E$32+S44*Credit_Assumptions!$E$33</f>
        <v/>
      </c>
      <c r="T60" s="80">
        <f>T39*Credit_Assumptions!$E$28+T40*Credit_Assumptions!$E$29+T41*Credit_Assumptions!$E$30+T42*Credit_Assumptions!$E$31+T43*Credit_Assumptions!$E$32+T44*Credit_Assumptions!$E$33</f>
        <v/>
      </c>
      <c r="U60" s="80">
        <f>U39*Credit_Assumptions!$E$28+U40*Credit_Assumptions!$E$29+U41*Credit_Assumptions!$E$30+U42*Credit_Assumptions!$E$31+U43*Credit_Assumptions!$E$32+U44*Credit_Assumptions!$E$33</f>
        <v/>
      </c>
      <c r="V60" s="80">
        <f>V39*Credit_Assumptions!$E$28+V40*Credit_Assumptions!$E$29+V41*Credit_Assumptions!$E$30+V42*Credit_Assumptions!$E$31+V43*Credit_Assumptions!$E$32+V44*Credit_Assumptions!$E$33</f>
        <v/>
      </c>
      <c r="W60" s="80">
        <f>W39*Credit_Assumptions!$E$28+W40*Credit_Assumptions!$E$29+W41*Credit_Assumptions!$E$30+W42*Credit_Assumptions!$E$31+W43*Credit_Assumptions!$E$32+W44*Credit_Assumptions!$E$33</f>
        <v/>
      </c>
      <c r="X60" s="80">
        <f>X39*Credit_Assumptions!$E$28+X40*Credit_Assumptions!$E$29+X41*Credit_Assumptions!$E$30+X42*Credit_Assumptions!$E$31+X43*Credit_Assumptions!$E$32+X44*Credit_Assumptions!$E$33</f>
        <v/>
      </c>
      <c r="Y60" s="80">
        <f>Y39*Credit_Assumptions!$E$28+Y40*Credit_Assumptions!$E$29+Y41*Credit_Assumptions!$E$30+Y42*Credit_Assumptions!$E$31+Y43*Credit_Assumptions!$E$32+Y44*Credit_Assumptions!$E$33</f>
        <v/>
      </c>
      <c r="Z60" s="80">
        <f>Z39*Credit_Assumptions!$E$28+Z40*Credit_Assumptions!$E$29+Z41*Credit_Assumptions!$E$30+Z42*Credit_Assumptions!$E$31+Z43*Credit_Assumptions!$E$32+Z44*Credit_Assumptions!$E$33</f>
        <v/>
      </c>
      <c r="AA60" s="80">
        <f>AA39*Credit_Assumptions!$E$28+AA40*Credit_Assumptions!$E$29+AA41*Credit_Assumptions!$E$30+AA42*Credit_Assumptions!$E$31+AA43*Credit_Assumptions!$E$32+AA44*Credit_Assumptions!$E$33</f>
        <v/>
      </c>
      <c r="AB60" s="80">
        <f>AB39*Credit_Assumptions!$E$28+AB40*Credit_Assumptions!$E$29+AB41*Credit_Assumptions!$E$30+AB42*Credit_Assumptions!$E$31+AB43*Credit_Assumptions!$E$32+AB44*Credit_Assumptions!$E$33</f>
        <v/>
      </c>
      <c r="AC60" s="80">
        <f>AC39*Credit_Assumptions!$E$28+AC40*Credit_Assumptions!$E$29+AC41*Credit_Assumptions!$E$30+AC42*Credit_Assumptions!$E$31+AC43*Credit_Assumptions!$E$32+AC44*Credit_Assumptions!$E$33</f>
        <v/>
      </c>
      <c r="AD60" s="80">
        <f>AD39*Credit_Assumptions!$E$28+AD40*Credit_Assumptions!$E$29+AD41*Credit_Assumptions!$E$30+AD42*Credit_Assumptions!$E$31+AD43*Credit_Assumptions!$E$32+AD44*Credit_Assumptions!$E$33</f>
        <v/>
      </c>
      <c r="AE60" s="80">
        <f>AE39*Credit_Assumptions!$E$28+AE40*Credit_Assumptions!$E$29+AE41*Credit_Assumptions!$E$30+AE42*Credit_Assumptions!$E$31+AE43*Credit_Assumptions!$E$32+AE44*Credit_Assumptions!$E$33</f>
        <v/>
      </c>
      <c r="AF60" s="80">
        <f>AF39*Credit_Assumptions!$E$28+AF40*Credit_Assumptions!$E$29+AF41*Credit_Assumptions!$E$30+AF42*Credit_Assumptions!$E$31+AF43*Credit_Assumptions!$E$32+AF44*Credit_Assumptions!$E$33</f>
        <v/>
      </c>
      <c r="AG60" s="80">
        <f>AG39*Credit_Assumptions!$E$28+AG40*Credit_Assumptions!$E$29+AG41*Credit_Assumptions!$E$30+AG42*Credit_Assumptions!$E$31+AG43*Credit_Assumptions!$E$32+AG44*Credit_Assumptions!$E$33</f>
        <v/>
      </c>
      <c r="AH60" s="80">
        <f>AH39*Credit_Assumptions!$E$28+AH40*Credit_Assumptions!$E$29+AH41*Credit_Assumptions!$E$30+AH42*Credit_Assumptions!$E$31+AH43*Credit_Assumptions!$E$32+AH44*Credit_Assumptions!$E$33</f>
        <v/>
      </c>
      <c r="AI60" s="80">
        <f>AI39*Credit_Assumptions!$E$28+AI40*Credit_Assumptions!$E$29+AI41*Credit_Assumptions!$E$30+AI42*Credit_Assumptions!$E$31+AI43*Credit_Assumptions!$E$32+AI44*Credit_Assumptions!$E$33</f>
        <v/>
      </c>
      <c r="AJ60" s="80">
        <f>AJ39*Credit_Assumptions!$E$28+AJ40*Credit_Assumptions!$E$29+AJ41*Credit_Assumptions!$E$30+AJ42*Credit_Assumptions!$E$31+AJ43*Credit_Assumptions!$E$32+AJ44*Credit_Assumptions!$E$33</f>
        <v/>
      </c>
      <c r="AK60" s="80">
        <f>AK39*Credit_Assumptions!$E$28+AK40*Credit_Assumptions!$E$29+AK41*Credit_Assumptions!$E$30+AK42*Credit_Assumptions!$E$31+AK43*Credit_Assumptions!$E$32+AK44*Credit_Assumptions!$E$33</f>
        <v/>
      </c>
      <c r="AL60" s="80">
        <f>AL39*Credit_Assumptions!$E$28+AL40*Credit_Assumptions!$E$29+AL41*Credit_Assumptions!$E$30+AL42*Credit_Assumptions!$E$31+AL43*Credit_Assumptions!$E$32+AL44*Credit_Assumptions!$E$33</f>
        <v/>
      </c>
      <c r="AM60" s="80">
        <f>AM39*Credit_Assumptions!$E$28+AM40*Credit_Assumptions!$E$29+AM41*Credit_Assumptions!$E$30+AM42*Credit_Assumptions!$E$31+AM43*Credit_Assumptions!$E$32+AM44*Credit_Assumptions!$E$33</f>
        <v/>
      </c>
      <c r="AN60" s="80">
        <f>AN39*Credit_Assumptions!$E$28+AN40*Credit_Assumptions!$E$29+AN41*Credit_Assumptions!$E$30+AN42*Credit_Assumptions!$E$31+AN43*Credit_Assumptions!$E$32+AN44*Credit_Assumptions!$E$33</f>
        <v/>
      </c>
      <c r="AO60" s="80">
        <f>AO39*Credit_Assumptions!$E$28+AO40*Credit_Assumptions!$E$29+AO41*Credit_Assumptions!$E$30+AO42*Credit_Assumptions!$E$31+AO43*Credit_Assumptions!$E$32+AO44*Credit_Assumptions!$E$33</f>
        <v/>
      </c>
      <c r="AP60" s="80">
        <f>AP39*Credit_Assumptions!$E$28+AP40*Credit_Assumptions!$E$29+AP41*Credit_Assumptions!$E$30+AP42*Credit_Assumptions!$E$31+AP43*Credit_Assumptions!$E$32+AP44*Credit_Assumptions!$E$33</f>
        <v/>
      </c>
      <c r="AQ60" s="80">
        <f>AQ39*Credit_Assumptions!$E$28+AQ40*Credit_Assumptions!$E$29+AQ41*Credit_Assumptions!$E$30+AQ42*Credit_Assumptions!$E$31+AQ43*Credit_Assumptions!$E$32+AQ44*Credit_Assumptions!$E$33</f>
        <v/>
      </c>
      <c r="AR60" s="80">
        <f>AR39*Credit_Assumptions!$E$28+AR40*Credit_Assumptions!$E$29+AR41*Credit_Assumptions!$E$30+AR42*Credit_Assumptions!$E$31+AR43*Credit_Assumptions!$E$32+AR44*Credit_Assumptions!$E$33</f>
        <v/>
      </c>
      <c r="AS60" s="80">
        <f>AS39*Credit_Assumptions!$E$28+AS40*Credit_Assumptions!$E$29+AS41*Credit_Assumptions!$E$30+AS42*Credit_Assumptions!$E$31+AS43*Credit_Assumptions!$E$32+AS44*Credit_Assumptions!$E$33</f>
        <v/>
      </c>
      <c r="AT60" s="80">
        <f>AT39*Credit_Assumptions!$E$28+AT40*Credit_Assumptions!$E$29+AT41*Credit_Assumptions!$E$30+AT42*Credit_Assumptions!$E$31+AT43*Credit_Assumptions!$E$32+AT44*Credit_Assumptions!$E$33</f>
        <v/>
      </c>
      <c r="AU60" s="80">
        <f>AU39*Credit_Assumptions!$E$28+AU40*Credit_Assumptions!$E$29+AU41*Credit_Assumptions!$E$30+AU42*Credit_Assumptions!$E$31+AU43*Credit_Assumptions!$E$32+AU44*Credit_Assumptions!$E$33</f>
        <v/>
      </c>
      <c r="AV60" s="80">
        <f>AV39*Credit_Assumptions!$E$28+AV40*Credit_Assumptions!$E$29+AV41*Credit_Assumptions!$E$30+AV42*Credit_Assumptions!$E$31+AV43*Credit_Assumptions!$E$32+AV44*Credit_Assumptions!$E$33</f>
        <v/>
      </c>
      <c r="AW60" s="80">
        <f>AW39*Credit_Assumptions!$E$28+AW40*Credit_Assumptions!$E$29+AW41*Credit_Assumptions!$E$30+AW42*Credit_Assumptions!$E$31+AW43*Credit_Assumptions!$E$32+AW44*Credit_Assumptions!$E$33</f>
        <v/>
      </c>
      <c r="AX60" s="80">
        <f>AX39*Credit_Assumptions!$E$28+AX40*Credit_Assumptions!$E$29+AX41*Credit_Assumptions!$E$30+AX42*Credit_Assumptions!$E$31+AX43*Credit_Assumptions!$E$32+AX44*Credit_Assumptions!$E$33</f>
        <v/>
      </c>
      <c r="AY60" s="80">
        <f>AY39*Credit_Assumptions!$E$28+AY40*Credit_Assumptions!$E$29+AY41*Credit_Assumptions!$E$30+AY42*Credit_Assumptions!$E$31+AY43*Credit_Assumptions!$E$32+AY44*Credit_Assumptions!$E$33</f>
        <v/>
      </c>
      <c r="AZ60" s="80">
        <f>AZ39*Credit_Assumptions!$E$28+AZ40*Credit_Assumptions!$E$29+AZ41*Credit_Assumptions!$E$30+AZ42*Credit_Assumptions!$E$31+AZ43*Credit_Assumptions!$E$32+AZ44*Credit_Assumptions!$E$33</f>
        <v/>
      </c>
      <c r="BA60" s="80">
        <f>BA39*Credit_Assumptions!$E$28+BA40*Credit_Assumptions!$E$29+BA41*Credit_Assumptions!$E$30+BA42*Credit_Assumptions!$E$31+BA43*Credit_Assumptions!$E$32+BA44*Credit_Assumptions!$E$33</f>
        <v/>
      </c>
      <c r="BB60" s="80">
        <f>BB39*Credit_Assumptions!$E$28+BB40*Credit_Assumptions!$E$29+BB41*Credit_Assumptions!$E$30+BB42*Credit_Assumptions!$E$31+BB43*Credit_Assumptions!$E$32+BB44*Credit_Assumptions!$E$33</f>
        <v/>
      </c>
      <c r="BC60" s="80">
        <f>BC39*Credit_Assumptions!$E$28+BC40*Credit_Assumptions!$E$29+BC41*Credit_Assumptions!$E$30+BC42*Credit_Assumptions!$E$31+BC43*Credit_Assumptions!$E$32+BC44*Credit_Assumptions!$E$33</f>
        <v/>
      </c>
      <c r="BD60" s="80">
        <f>BD39*Credit_Assumptions!$E$28+BD40*Credit_Assumptions!$E$29+BD41*Credit_Assumptions!$E$30+BD42*Credit_Assumptions!$E$31+BD43*Credit_Assumptions!$E$32+BD44*Credit_Assumptions!$E$33</f>
        <v/>
      </c>
      <c r="BE60" s="80">
        <f>BE39*Credit_Assumptions!$E$28+BE40*Credit_Assumptions!$E$29+BE41*Credit_Assumptions!$E$30+BE42*Credit_Assumptions!$E$31+BE43*Credit_Assumptions!$E$32+BE44*Credit_Assumptions!$E$33</f>
        <v/>
      </c>
      <c r="BF60" s="80">
        <f>BF39*Credit_Assumptions!$E$28+BF40*Credit_Assumptions!$E$29+BF41*Credit_Assumptions!$E$30+BF42*Credit_Assumptions!$E$31+BF43*Credit_Assumptions!$E$32+BF44*Credit_Assumptions!$E$33</f>
        <v/>
      </c>
      <c r="BG60" s="80">
        <f>BG39*Credit_Assumptions!$E$28+BG40*Credit_Assumptions!$E$29+BG41*Credit_Assumptions!$E$30+BG42*Credit_Assumptions!$E$31+BG43*Credit_Assumptions!$E$32+BG44*Credit_Assumptions!$E$33</f>
        <v/>
      </c>
      <c r="BH60" s="80">
        <f>BH39*Credit_Assumptions!$E$28+BH40*Credit_Assumptions!$E$29+BH41*Credit_Assumptions!$E$30+BH42*Credit_Assumptions!$E$31+BH43*Credit_Assumptions!$E$32+BH44*Credit_Assumptions!$E$33</f>
        <v/>
      </c>
      <c r="BI60" s="80">
        <f>BI39*Credit_Assumptions!$E$28+BI40*Credit_Assumptions!$E$29+BI41*Credit_Assumptions!$E$30+BI42*Credit_Assumptions!$E$31+BI43*Credit_Assumptions!$E$32+BI44*Credit_Assumptions!$E$33</f>
        <v/>
      </c>
      <c r="BJ60" s="80">
        <f>BJ39*Credit_Assumptions!$E$28+BJ40*Credit_Assumptions!$E$29+BJ41*Credit_Assumptions!$E$30+BJ42*Credit_Assumptions!$E$31+BJ43*Credit_Assumptions!$E$32+BJ44*Credit_Assumptions!$E$33</f>
        <v/>
      </c>
      <c r="BK60" s="80">
        <f>BK39*Credit_Assumptions!$E$28+BK40*Credit_Assumptions!$E$29+BK41*Credit_Assumptions!$E$30+BK42*Credit_Assumptions!$E$31+BK43*Credit_Assumptions!$E$32+BK44*Credit_Assumptions!$E$33</f>
        <v/>
      </c>
      <c r="BL60" s="80">
        <f>BL39*Credit_Assumptions!$E$28+BL40*Credit_Assumptions!$E$29+BL41*Credit_Assumptions!$E$30+BL42*Credit_Assumptions!$E$31+BL43*Credit_Assumptions!$E$32+BL44*Credit_Assumptions!$E$33</f>
        <v/>
      </c>
    </row>
    <row r="61">
      <c r="A61" s="98" t="inlineStr">
        <is>
          <t>Borrowing-base contribution (advance rate x eligible)</t>
        </is>
      </c>
      <c r="B61" s="65" t="inlineStr">
        <is>
          <t>LCY</t>
        </is>
      </c>
      <c r="C61" s="105">
        <f>BL61</f>
        <v/>
      </c>
      <c r="E61" s="80">
        <f>E60*Products!$C$31</f>
        <v/>
      </c>
      <c r="F61" s="80">
        <f>F60*Products!$C$31</f>
        <v/>
      </c>
      <c r="G61" s="80">
        <f>G60*Products!$C$31</f>
        <v/>
      </c>
      <c r="H61" s="80">
        <f>H60*Products!$C$31</f>
        <v/>
      </c>
      <c r="I61" s="80">
        <f>I60*Products!$C$31</f>
        <v/>
      </c>
      <c r="J61" s="80">
        <f>J60*Products!$C$31</f>
        <v/>
      </c>
      <c r="K61" s="80">
        <f>K60*Products!$C$31</f>
        <v/>
      </c>
      <c r="L61" s="80">
        <f>L60*Products!$C$31</f>
        <v/>
      </c>
      <c r="M61" s="80">
        <f>M60*Products!$C$31</f>
        <v/>
      </c>
      <c r="N61" s="80">
        <f>N60*Products!$C$31</f>
        <v/>
      </c>
      <c r="O61" s="80">
        <f>O60*Products!$C$31</f>
        <v/>
      </c>
      <c r="P61" s="80">
        <f>P60*Products!$C$31</f>
        <v/>
      </c>
      <c r="Q61" s="80">
        <f>Q60*Products!$C$31</f>
        <v/>
      </c>
      <c r="R61" s="80">
        <f>R60*Products!$C$31</f>
        <v/>
      </c>
      <c r="S61" s="80">
        <f>S60*Products!$C$31</f>
        <v/>
      </c>
      <c r="T61" s="80">
        <f>T60*Products!$C$31</f>
        <v/>
      </c>
      <c r="U61" s="80">
        <f>U60*Products!$C$31</f>
        <v/>
      </c>
      <c r="V61" s="80">
        <f>V60*Products!$C$31</f>
        <v/>
      </c>
      <c r="W61" s="80">
        <f>W60*Products!$C$31</f>
        <v/>
      </c>
      <c r="X61" s="80">
        <f>X60*Products!$C$31</f>
        <v/>
      </c>
      <c r="Y61" s="80">
        <f>Y60*Products!$C$31</f>
        <v/>
      </c>
      <c r="Z61" s="80">
        <f>Z60*Products!$C$31</f>
        <v/>
      </c>
      <c r="AA61" s="80">
        <f>AA60*Products!$C$31</f>
        <v/>
      </c>
      <c r="AB61" s="80">
        <f>AB60*Products!$C$31</f>
        <v/>
      </c>
      <c r="AC61" s="80">
        <f>AC60*Products!$C$31</f>
        <v/>
      </c>
      <c r="AD61" s="80">
        <f>AD60*Products!$C$31</f>
        <v/>
      </c>
      <c r="AE61" s="80">
        <f>AE60*Products!$C$31</f>
        <v/>
      </c>
      <c r="AF61" s="80">
        <f>AF60*Products!$C$31</f>
        <v/>
      </c>
      <c r="AG61" s="80">
        <f>AG60*Products!$C$31</f>
        <v/>
      </c>
      <c r="AH61" s="80">
        <f>AH60*Products!$C$31</f>
        <v/>
      </c>
      <c r="AI61" s="80">
        <f>AI60*Products!$C$31</f>
        <v/>
      </c>
      <c r="AJ61" s="80">
        <f>AJ60*Products!$C$31</f>
        <v/>
      </c>
      <c r="AK61" s="80">
        <f>AK60*Products!$C$31</f>
        <v/>
      </c>
      <c r="AL61" s="80">
        <f>AL60*Products!$C$31</f>
        <v/>
      </c>
      <c r="AM61" s="80">
        <f>AM60*Products!$C$31</f>
        <v/>
      </c>
      <c r="AN61" s="80">
        <f>AN60*Products!$C$31</f>
        <v/>
      </c>
      <c r="AO61" s="80">
        <f>AO60*Products!$C$31</f>
        <v/>
      </c>
      <c r="AP61" s="80">
        <f>AP60*Products!$C$31</f>
        <v/>
      </c>
      <c r="AQ61" s="80">
        <f>AQ60*Products!$C$31</f>
        <v/>
      </c>
      <c r="AR61" s="80">
        <f>AR60*Products!$C$31</f>
        <v/>
      </c>
      <c r="AS61" s="80">
        <f>AS60*Products!$C$31</f>
        <v/>
      </c>
      <c r="AT61" s="80">
        <f>AT60*Products!$C$31</f>
        <v/>
      </c>
      <c r="AU61" s="80">
        <f>AU60*Products!$C$31</f>
        <v/>
      </c>
      <c r="AV61" s="80">
        <f>AV60*Products!$C$31</f>
        <v/>
      </c>
      <c r="AW61" s="80">
        <f>AW60*Products!$C$31</f>
        <v/>
      </c>
      <c r="AX61" s="80">
        <f>AX60*Products!$C$31</f>
        <v/>
      </c>
      <c r="AY61" s="80">
        <f>AY60*Products!$C$31</f>
        <v/>
      </c>
      <c r="AZ61" s="80">
        <f>AZ60*Products!$C$31</f>
        <v/>
      </c>
      <c r="BA61" s="80">
        <f>BA60*Products!$C$31</f>
        <v/>
      </c>
      <c r="BB61" s="80">
        <f>BB60*Products!$C$31</f>
        <v/>
      </c>
      <c r="BC61" s="80">
        <f>BC60*Products!$C$31</f>
        <v/>
      </c>
      <c r="BD61" s="80">
        <f>BD60*Products!$C$31</f>
        <v/>
      </c>
      <c r="BE61" s="80">
        <f>BE60*Products!$C$31</f>
        <v/>
      </c>
      <c r="BF61" s="80">
        <f>BF60*Products!$C$31</f>
        <v/>
      </c>
      <c r="BG61" s="80">
        <f>BG60*Products!$C$31</f>
        <v/>
      </c>
      <c r="BH61" s="80">
        <f>BH60*Products!$C$31</f>
        <v/>
      </c>
      <c r="BI61" s="80">
        <f>BI60*Products!$C$31</f>
        <v/>
      </c>
      <c r="BJ61" s="80">
        <f>BJ60*Products!$C$31</f>
        <v/>
      </c>
      <c r="BK61" s="80">
        <f>BK60*Products!$C$31</f>
        <v/>
      </c>
      <c r="BL61" s="80">
        <f>BL60*Products!$C$31</f>
        <v/>
      </c>
    </row>
    <row r="62">
      <c r="A62" s="98" t="inlineStr">
        <is>
          <t>Reconciliation: buckets: gross (should be 0)</t>
        </is>
      </c>
      <c r="B62" s="65" t="inlineStr">
        <is>
          <t>LCY</t>
        </is>
      </c>
      <c r="C62" s="105">
        <f>BL62</f>
        <v/>
      </c>
      <c r="E62" s="80">
        <f>ROUND(SUM(E39:E44)-E38,0)</f>
        <v/>
      </c>
      <c r="F62" s="80">
        <f>ROUND(SUM(F39:F44)-F38,0)</f>
        <v/>
      </c>
      <c r="G62" s="80">
        <f>ROUND(SUM(G39:G44)-G38,0)</f>
        <v/>
      </c>
      <c r="H62" s="80">
        <f>ROUND(SUM(H39:H44)-H38,0)</f>
        <v/>
      </c>
      <c r="I62" s="80">
        <f>ROUND(SUM(I39:I44)-I38,0)</f>
        <v/>
      </c>
      <c r="J62" s="80">
        <f>ROUND(SUM(J39:J44)-J38,0)</f>
        <v/>
      </c>
      <c r="K62" s="80">
        <f>ROUND(SUM(K39:K44)-K38,0)</f>
        <v/>
      </c>
      <c r="L62" s="80">
        <f>ROUND(SUM(L39:L44)-L38,0)</f>
        <v/>
      </c>
      <c r="M62" s="80">
        <f>ROUND(SUM(M39:M44)-M38,0)</f>
        <v/>
      </c>
      <c r="N62" s="80">
        <f>ROUND(SUM(N39:N44)-N38,0)</f>
        <v/>
      </c>
      <c r="O62" s="80">
        <f>ROUND(SUM(O39:O44)-O38,0)</f>
        <v/>
      </c>
      <c r="P62" s="80">
        <f>ROUND(SUM(P39:P44)-P38,0)</f>
        <v/>
      </c>
      <c r="Q62" s="80">
        <f>ROUND(SUM(Q39:Q44)-Q38,0)</f>
        <v/>
      </c>
      <c r="R62" s="80">
        <f>ROUND(SUM(R39:R44)-R38,0)</f>
        <v/>
      </c>
      <c r="S62" s="80">
        <f>ROUND(SUM(S39:S44)-S38,0)</f>
        <v/>
      </c>
      <c r="T62" s="80">
        <f>ROUND(SUM(T39:T44)-T38,0)</f>
        <v/>
      </c>
      <c r="U62" s="80">
        <f>ROUND(SUM(U39:U44)-U38,0)</f>
        <v/>
      </c>
      <c r="V62" s="80">
        <f>ROUND(SUM(V39:V44)-V38,0)</f>
        <v/>
      </c>
      <c r="W62" s="80">
        <f>ROUND(SUM(W39:W44)-W38,0)</f>
        <v/>
      </c>
      <c r="X62" s="80">
        <f>ROUND(SUM(X39:X44)-X38,0)</f>
        <v/>
      </c>
      <c r="Y62" s="80">
        <f>ROUND(SUM(Y39:Y44)-Y38,0)</f>
        <v/>
      </c>
      <c r="Z62" s="80">
        <f>ROUND(SUM(Z39:Z44)-Z38,0)</f>
        <v/>
      </c>
      <c r="AA62" s="80">
        <f>ROUND(SUM(AA39:AA44)-AA38,0)</f>
        <v/>
      </c>
      <c r="AB62" s="80">
        <f>ROUND(SUM(AB39:AB44)-AB38,0)</f>
        <v/>
      </c>
      <c r="AC62" s="80">
        <f>ROUND(SUM(AC39:AC44)-AC38,0)</f>
        <v/>
      </c>
      <c r="AD62" s="80">
        <f>ROUND(SUM(AD39:AD44)-AD38,0)</f>
        <v/>
      </c>
      <c r="AE62" s="80">
        <f>ROUND(SUM(AE39:AE44)-AE38,0)</f>
        <v/>
      </c>
      <c r="AF62" s="80">
        <f>ROUND(SUM(AF39:AF44)-AF38,0)</f>
        <v/>
      </c>
      <c r="AG62" s="80">
        <f>ROUND(SUM(AG39:AG44)-AG38,0)</f>
        <v/>
      </c>
      <c r="AH62" s="80">
        <f>ROUND(SUM(AH39:AH44)-AH38,0)</f>
        <v/>
      </c>
      <c r="AI62" s="80">
        <f>ROUND(SUM(AI39:AI44)-AI38,0)</f>
        <v/>
      </c>
      <c r="AJ62" s="80">
        <f>ROUND(SUM(AJ39:AJ44)-AJ38,0)</f>
        <v/>
      </c>
      <c r="AK62" s="80">
        <f>ROUND(SUM(AK39:AK44)-AK38,0)</f>
        <v/>
      </c>
      <c r="AL62" s="80">
        <f>ROUND(SUM(AL39:AL44)-AL38,0)</f>
        <v/>
      </c>
      <c r="AM62" s="80">
        <f>ROUND(SUM(AM39:AM44)-AM38,0)</f>
        <v/>
      </c>
      <c r="AN62" s="80">
        <f>ROUND(SUM(AN39:AN44)-AN38,0)</f>
        <v/>
      </c>
      <c r="AO62" s="80">
        <f>ROUND(SUM(AO39:AO44)-AO38,0)</f>
        <v/>
      </c>
      <c r="AP62" s="80">
        <f>ROUND(SUM(AP39:AP44)-AP38,0)</f>
        <v/>
      </c>
      <c r="AQ62" s="80">
        <f>ROUND(SUM(AQ39:AQ44)-AQ38,0)</f>
        <v/>
      </c>
      <c r="AR62" s="80">
        <f>ROUND(SUM(AR39:AR44)-AR38,0)</f>
        <v/>
      </c>
      <c r="AS62" s="80">
        <f>ROUND(SUM(AS39:AS44)-AS38,0)</f>
        <v/>
      </c>
      <c r="AT62" s="80">
        <f>ROUND(SUM(AT39:AT44)-AT38,0)</f>
        <v/>
      </c>
      <c r="AU62" s="80">
        <f>ROUND(SUM(AU39:AU44)-AU38,0)</f>
        <v/>
      </c>
      <c r="AV62" s="80">
        <f>ROUND(SUM(AV39:AV44)-AV38,0)</f>
        <v/>
      </c>
      <c r="AW62" s="80">
        <f>ROUND(SUM(AW39:AW44)-AW38,0)</f>
        <v/>
      </c>
      <c r="AX62" s="80">
        <f>ROUND(SUM(AX39:AX44)-AX38,0)</f>
        <v/>
      </c>
      <c r="AY62" s="80">
        <f>ROUND(SUM(AY39:AY44)-AY38,0)</f>
        <v/>
      </c>
      <c r="AZ62" s="80">
        <f>ROUND(SUM(AZ39:AZ44)-AZ38,0)</f>
        <v/>
      </c>
      <c r="BA62" s="80">
        <f>ROUND(SUM(BA39:BA44)-BA38,0)</f>
        <v/>
      </c>
      <c r="BB62" s="80">
        <f>ROUND(SUM(BB39:BB44)-BB38,0)</f>
        <v/>
      </c>
      <c r="BC62" s="80">
        <f>ROUND(SUM(BC39:BC44)-BC38,0)</f>
        <v/>
      </c>
      <c r="BD62" s="80">
        <f>ROUND(SUM(BD39:BD44)-BD38,0)</f>
        <v/>
      </c>
      <c r="BE62" s="80">
        <f>ROUND(SUM(BE39:BE44)-BE38,0)</f>
        <v/>
      </c>
      <c r="BF62" s="80">
        <f>ROUND(SUM(BF39:BF44)-BF38,0)</f>
        <v/>
      </c>
      <c r="BG62" s="80">
        <f>ROUND(SUM(BG39:BG44)-BG38,0)</f>
        <v/>
      </c>
      <c r="BH62" s="80">
        <f>ROUND(SUM(BH39:BH44)-BH38,0)</f>
        <v/>
      </c>
      <c r="BI62" s="80">
        <f>ROUND(SUM(BI39:BI44)-BI38,0)</f>
        <v/>
      </c>
      <c r="BJ62" s="80">
        <f>ROUND(SUM(BJ39:BJ44)-BJ38,0)</f>
        <v/>
      </c>
      <c r="BK62" s="80">
        <f>ROUND(SUM(BK39:BK44)-BK38,0)</f>
        <v/>
      </c>
      <c r="BL62" s="80">
        <f>ROUND(SUM(BL39:BL44)-BL38,0)</f>
        <v/>
      </c>
    </row>
    <row r="63"/>
    <row r="64">
      <c r="A64" s="21" t="inlineStr">
        <is>
          <t>Tier 2: SHS with TV: PROXY (projection)</t>
        </is>
      </c>
      <c r="B64" s="22" t="n"/>
      <c r="C64" s="22" t="n"/>
      <c r="D64" s="22" t="n"/>
      <c r="E64" s="22" t="n"/>
      <c r="F64" s="22" t="n"/>
      <c r="G64" s="22" t="n"/>
      <c r="H64" s="22" t="n"/>
      <c r="I64" s="22" t="n"/>
      <c r="J64" s="22" t="n"/>
      <c r="K64" s="22" t="n"/>
      <c r="L64" s="22" t="n"/>
      <c r="M64" s="22" t="n"/>
      <c r="N64" s="22" t="n"/>
      <c r="O64" s="22" t="n"/>
      <c r="P64" s="22" t="n"/>
      <c r="Q64" s="22" t="n"/>
      <c r="R64" s="22" t="n"/>
      <c r="S64" s="22" t="n"/>
      <c r="T64" s="22" t="n"/>
      <c r="U64" s="22" t="n"/>
      <c r="V64" s="22" t="n"/>
      <c r="W64" s="22" t="n"/>
      <c r="X64" s="22" t="n"/>
      <c r="Y64" s="22" t="n"/>
      <c r="Z64" s="22" t="n"/>
      <c r="AA64" s="22" t="n"/>
      <c r="AB64" s="22" t="n"/>
      <c r="AC64" s="22" t="n"/>
      <c r="AD64" s="22" t="n"/>
      <c r="AE64" s="22" t="n"/>
      <c r="AF64" s="22" t="n"/>
      <c r="AG64" s="22" t="n"/>
      <c r="AH64" s="22" t="n"/>
      <c r="AI64" s="22" t="n"/>
      <c r="AJ64" s="22" t="n"/>
      <c r="AK64" s="22" t="n"/>
      <c r="AL64" s="22" t="n"/>
      <c r="AM64" s="22" t="n"/>
      <c r="AN64" s="22" t="n"/>
      <c r="AO64" s="22" t="n"/>
      <c r="AP64" s="22" t="n"/>
      <c r="AQ64" s="22" t="n"/>
      <c r="AR64" s="22" t="n"/>
      <c r="AS64" s="22" t="n"/>
      <c r="AT64" s="22" t="n"/>
      <c r="AU64" s="22" t="n"/>
      <c r="AV64" s="22" t="n"/>
      <c r="AW64" s="22" t="n"/>
      <c r="AX64" s="22" t="n"/>
      <c r="AY64" s="22" t="n"/>
      <c r="AZ64" s="22" t="n"/>
      <c r="BA64" s="22" t="n"/>
      <c r="BB64" s="22" t="n"/>
      <c r="BC64" s="22" t="n"/>
      <c r="BD64" s="22" t="n"/>
      <c r="BE64" s="22" t="n"/>
      <c r="BF64" s="22" t="n"/>
      <c r="BG64" s="22" t="n"/>
      <c r="BH64" s="22" t="n"/>
      <c r="BI64" s="22" t="n"/>
      <c r="BJ64" s="22" t="n"/>
      <c r="BK64" s="22" t="n"/>
      <c r="BL64" s="22" t="n"/>
    </row>
    <row r="65">
      <c r="A65" s="98" t="inlineStr">
        <is>
          <t>Gross receivables</t>
        </is>
      </c>
      <c r="B65" s="65" t="inlineStr">
        <is>
          <t>LCY</t>
        </is>
      </c>
      <c r="C65" s="105">
        <f>BL65</f>
        <v/>
      </c>
      <c r="E65" s="41">
        <f>Ops!E$49</f>
        <v/>
      </c>
      <c r="F65" s="41">
        <f>Ops!F$49</f>
        <v/>
      </c>
      <c r="G65" s="41">
        <f>Ops!G$49</f>
        <v/>
      </c>
      <c r="H65" s="41">
        <f>Ops!H$49</f>
        <v/>
      </c>
      <c r="I65" s="41">
        <f>Ops!I$49</f>
        <v/>
      </c>
      <c r="J65" s="41">
        <f>Ops!J$49</f>
        <v/>
      </c>
      <c r="K65" s="41">
        <f>Ops!K$49</f>
        <v/>
      </c>
      <c r="L65" s="41">
        <f>Ops!L$49</f>
        <v/>
      </c>
      <c r="M65" s="41">
        <f>Ops!M$49</f>
        <v/>
      </c>
      <c r="N65" s="41">
        <f>Ops!N$49</f>
        <v/>
      </c>
      <c r="O65" s="41">
        <f>Ops!O$49</f>
        <v/>
      </c>
      <c r="P65" s="41">
        <f>Ops!P$49</f>
        <v/>
      </c>
      <c r="Q65" s="41">
        <f>Ops!Q$49</f>
        <v/>
      </c>
      <c r="R65" s="41">
        <f>Ops!R$49</f>
        <v/>
      </c>
      <c r="S65" s="41">
        <f>Ops!S$49</f>
        <v/>
      </c>
      <c r="T65" s="41">
        <f>Ops!T$49</f>
        <v/>
      </c>
      <c r="U65" s="41">
        <f>Ops!U$49</f>
        <v/>
      </c>
      <c r="V65" s="41">
        <f>Ops!V$49</f>
        <v/>
      </c>
      <c r="W65" s="41">
        <f>Ops!W$49</f>
        <v/>
      </c>
      <c r="X65" s="41">
        <f>Ops!X$49</f>
        <v/>
      </c>
      <c r="Y65" s="41">
        <f>Ops!Y$49</f>
        <v/>
      </c>
      <c r="Z65" s="41">
        <f>Ops!Z$49</f>
        <v/>
      </c>
      <c r="AA65" s="41">
        <f>Ops!AA$49</f>
        <v/>
      </c>
      <c r="AB65" s="41">
        <f>Ops!AB$49</f>
        <v/>
      </c>
      <c r="AC65" s="41">
        <f>Ops!AC$49</f>
        <v/>
      </c>
      <c r="AD65" s="41">
        <f>Ops!AD$49</f>
        <v/>
      </c>
      <c r="AE65" s="41">
        <f>Ops!AE$49</f>
        <v/>
      </c>
      <c r="AF65" s="41">
        <f>Ops!AF$49</f>
        <v/>
      </c>
      <c r="AG65" s="41">
        <f>Ops!AG$49</f>
        <v/>
      </c>
      <c r="AH65" s="41">
        <f>Ops!AH$49</f>
        <v/>
      </c>
      <c r="AI65" s="41">
        <f>Ops!AI$49</f>
        <v/>
      </c>
      <c r="AJ65" s="41">
        <f>Ops!AJ$49</f>
        <v/>
      </c>
      <c r="AK65" s="41">
        <f>Ops!AK$49</f>
        <v/>
      </c>
      <c r="AL65" s="41">
        <f>Ops!AL$49</f>
        <v/>
      </c>
      <c r="AM65" s="41">
        <f>Ops!AM$49</f>
        <v/>
      </c>
      <c r="AN65" s="41">
        <f>Ops!AN$49</f>
        <v/>
      </c>
      <c r="AO65" s="41">
        <f>Ops!AO$49</f>
        <v/>
      </c>
      <c r="AP65" s="41">
        <f>Ops!AP$49</f>
        <v/>
      </c>
      <c r="AQ65" s="41">
        <f>Ops!AQ$49</f>
        <v/>
      </c>
      <c r="AR65" s="41">
        <f>Ops!AR$49</f>
        <v/>
      </c>
      <c r="AS65" s="41">
        <f>Ops!AS$49</f>
        <v/>
      </c>
      <c r="AT65" s="41">
        <f>Ops!AT$49</f>
        <v/>
      </c>
      <c r="AU65" s="41">
        <f>Ops!AU$49</f>
        <v/>
      </c>
      <c r="AV65" s="41">
        <f>Ops!AV$49</f>
        <v/>
      </c>
      <c r="AW65" s="41">
        <f>Ops!AW$49</f>
        <v/>
      </c>
      <c r="AX65" s="41">
        <f>Ops!AX$49</f>
        <v/>
      </c>
      <c r="AY65" s="41">
        <f>Ops!AY$49</f>
        <v/>
      </c>
      <c r="AZ65" s="41">
        <f>Ops!AZ$49</f>
        <v/>
      </c>
      <c r="BA65" s="41">
        <f>Ops!BA$49</f>
        <v/>
      </c>
      <c r="BB65" s="41">
        <f>Ops!BB$49</f>
        <v/>
      </c>
      <c r="BC65" s="41">
        <f>Ops!BC$49</f>
        <v/>
      </c>
      <c r="BD65" s="41">
        <f>Ops!BD$49</f>
        <v/>
      </c>
      <c r="BE65" s="41">
        <f>Ops!BE$49</f>
        <v/>
      </c>
      <c r="BF65" s="41">
        <f>Ops!BF$49</f>
        <v/>
      </c>
      <c r="BG65" s="41">
        <f>Ops!BG$49</f>
        <v/>
      </c>
      <c r="BH65" s="41">
        <f>Ops!BH$49</f>
        <v/>
      </c>
      <c r="BI65" s="41">
        <f>Ops!BI$49</f>
        <v/>
      </c>
      <c r="BJ65" s="41">
        <f>Ops!BJ$49</f>
        <v/>
      </c>
      <c r="BK65" s="41">
        <f>Ops!BK$49</f>
        <v/>
      </c>
      <c r="BL65" s="41">
        <f>Ops!BL$49</f>
        <v/>
      </c>
    </row>
    <row r="66">
      <c r="A66" s="98" t="inlineStr">
        <is>
          <t>Receivables at risk (stopped paying)</t>
        </is>
      </c>
      <c r="B66" s="65" t="inlineStr">
        <is>
          <t>LCY</t>
        </is>
      </c>
      <c r="C66" s="105">
        <f>BL66</f>
        <v/>
      </c>
      <c r="E66" s="41">
        <f>Ops!E$48</f>
        <v/>
      </c>
      <c r="F66" s="41">
        <f>Ops!F$48</f>
        <v/>
      </c>
      <c r="G66" s="41">
        <f>Ops!G$48</f>
        <v/>
      </c>
      <c r="H66" s="41">
        <f>Ops!H$48</f>
        <v/>
      </c>
      <c r="I66" s="41">
        <f>Ops!I$48</f>
        <v/>
      </c>
      <c r="J66" s="41">
        <f>Ops!J$48</f>
        <v/>
      </c>
      <c r="K66" s="41">
        <f>Ops!K$48</f>
        <v/>
      </c>
      <c r="L66" s="41">
        <f>Ops!L$48</f>
        <v/>
      </c>
      <c r="M66" s="41">
        <f>Ops!M$48</f>
        <v/>
      </c>
      <c r="N66" s="41">
        <f>Ops!N$48</f>
        <v/>
      </c>
      <c r="O66" s="41">
        <f>Ops!O$48</f>
        <v/>
      </c>
      <c r="P66" s="41">
        <f>Ops!P$48</f>
        <v/>
      </c>
      <c r="Q66" s="41">
        <f>Ops!Q$48</f>
        <v/>
      </c>
      <c r="R66" s="41">
        <f>Ops!R$48</f>
        <v/>
      </c>
      <c r="S66" s="41">
        <f>Ops!S$48</f>
        <v/>
      </c>
      <c r="T66" s="41">
        <f>Ops!T$48</f>
        <v/>
      </c>
      <c r="U66" s="41">
        <f>Ops!U$48</f>
        <v/>
      </c>
      <c r="V66" s="41">
        <f>Ops!V$48</f>
        <v/>
      </c>
      <c r="W66" s="41">
        <f>Ops!W$48</f>
        <v/>
      </c>
      <c r="X66" s="41">
        <f>Ops!X$48</f>
        <v/>
      </c>
      <c r="Y66" s="41">
        <f>Ops!Y$48</f>
        <v/>
      </c>
      <c r="Z66" s="41">
        <f>Ops!Z$48</f>
        <v/>
      </c>
      <c r="AA66" s="41">
        <f>Ops!AA$48</f>
        <v/>
      </c>
      <c r="AB66" s="41">
        <f>Ops!AB$48</f>
        <v/>
      </c>
      <c r="AC66" s="41">
        <f>Ops!AC$48</f>
        <v/>
      </c>
      <c r="AD66" s="41">
        <f>Ops!AD$48</f>
        <v/>
      </c>
      <c r="AE66" s="41">
        <f>Ops!AE$48</f>
        <v/>
      </c>
      <c r="AF66" s="41">
        <f>Ops!AF$48</f>
        <v/>
      </c>
      <c r="AG66" s="41">
        <f>Ops!AG$48</f>
        <v/>
      </c>
      <c r="AH66" s="41">
        <f>Ops!AH$48</f>
        <v/>
      </c>
      <c r="AI66" s="41">
        <f>Ops!AI$48</f>
        <v/>
      </c>
      <c r="AJ66" s="41">
        <f>Ops!AJ$48</f>
        <v/>
      </c>
      <c r="AK66" s="41">
        <f>Ops!AK$48</f>
        <v/>
      </c>
      <c r="AL66" s="41">
        <f>Ops!AL$48</f>
        <v/>
      </c>
      <c r="AM66" s="41">
        <f>Ops!AM$48</f>
        <v/>
      </c>
      <c r="AN66" s="41">
        <f>Ops!AN$48</f>
        <v/>
      </c>
      <c r="AO66" s="41">
        <f>Ops!AO$48</f>
        <v/>
      </c>
      <c r="AP66" s="41">
        <f>Ops!AP$48</f>
        <v/>
      </c>
      <c r="AQ66" s="41">
        <f>Ops!AQ$48</f>
        <v/>
      </c>
      <c r="AR66" s="41">
        <f>Ops!AR$48</f>
        <v/>
      </c>
      <c r="AS66" s="41">
        <f>Ops!AS$48</f>
        <v/>
      </c>
      <c r="AT66" s="41">
        <f>Ops!AT$48</f>
        <v/>
      </c>
      <c r="AU66" s="41">
        <f>Ops!AU$48</f>
        <v/>
      </c>
      <c r="AV66" s="41">
        <f>Ops!AV$48</f>
        <v/>
      </c>
      <c r="AW66" s="41">
        <f>Ops!AW$48</f>
        <v/>
      </c>
      <c r="AX66" s="41">
        <f>Ops!AX$48</f>
        <v/>
      </c>
      <c r="AY66" s="41">
        <f>Ops!AY$48</f>
        <v/>
      </c>
      <c r="AZ66" s="41">
        <f>Ops!AZ$48</f>
        <v/>
      </c>
      <c r="BA66" s="41">
        <f>Ops!BA$48</f>
        <v/>
      </c>
      <c r="BB66" s="41">
        <f>Ops!BB$48</f>
        <v/>
      </c>
      <c r="BC66" s="41">
        <f>Ops!BC$48</f>
        <v/>
      </c>
      <c r="BD66" s="41">
        <f>Ops!BD$48</f>
        <v/>
      </c>
      <c r="BE66" s="41">
        <f>Ops!BE$48</f>
        <v/>
      </c>
      <c r="BF66" s="41">
        <f>Ops!BF$48</f>
        <v/>
      </c>
      <c r="BG66" s="41">
        <f>Ops!BG$48</f>
        <v/>
      </c>
      <c r="BH66" s="41">
        <f>Ops!BH$48</f>
        <v/>
      </c>
      <c r="BI66" s="41">
        <f>Ops!BI$48</f>
        <v/>
      </c>
      <c r="BJ66" s="41">
        <f>Ops!BJ$48</f>
        <v/>
      </c>
      <c r="BK66" s="41">
        <f>Ops!BK$48</f>
        <v/>
      </c>
      <c r="BL66" s="41">
        <f>Ops!BL$48</f>
        <v/>
      </c>
    </row>
    <row r="67">
      <c r="A67" s="98" t="inlineStr">
        <is>
          <t>Receivables of paying accounts</t>
        </is>
      </c>
      <c r="B67" s="65" t="inlineStr">
        <is>
          <t>LCY</t>
        </is>
      </c>
      <c r="C67" s="105">
        <f>BL67</f>
        <v/>
      </c>
      <c r="E67" s="80">
        <f>E65-E66</f>
        <v/>
      </c>
      <c r="F67" s="80">
        <f>F65-F66</f>
        <v/>
      </c>
      <c r="G67" s="80">
        <f>G65-G66</f>
        <v/>
      </c>
      <c r="H67" s="80">
        <f>H65-H66</f>
        <v/>
      </c>
      <c r="I67" s="80">
        <f>I65-I66</f>
        <v/>
      </c>
      <c r="J67" s="80">
        <f>J65-J66</f>
        <v/>
      </c>
      <c r="K67" s="80">
        <f>K65-K66</f>
        <v/>
      </c>
      <c r="L67" s="80">
        <f>L65-L66</f>
        <v/>
      </c>
      <c r="M67" s="80">
        <f>M65-M66</f>
        <v/>
      </c>
      <c r="N67" s="80">
        <f>N65-N66</f>
        <v/>
      </c>
      <c r="O67" s="80">
        <f>O65-O66</f>
        <v/>
      </c>
      <c r="P67" s="80">
        <f>P65-P66</f>
        <v/>
      </c>
      <c r="Q67" s="80">
        <f>Q65-Q66</f>
        <v/>
      </c>
      <c r="R67" s="80">
        <f>R65-R66</f>
        <v/>
      </c>
      <c r="S67" s="80">
        <f>S65-S66</f>
        <v/>
      </c>
      <c r="T67" s="80">
        <f>T65-T66</f>
        <v/>
      </c>
      <c r="U67" s="80">
        <f>U65-U66</f>
        <v/>
      </c>
      <c r="V67" s="80">
        <f>V65-V66</f>
        <v/>
      </c>
      <c r="W67" s="80">
        <f>W65-W66</f>
        <v/>
      </c>
      <c r="X67" s="80">
        <f>X65-X66</f>
        <v/>
      </c>
      <c r="Y67" s="80">
        <f>Y65-Y66</f>
        <v/>
      </c>
      <c r="Z67" s="80">
        <f>Z65-Z66</f>
        <v/>
      </c>
      <c r="AA67" s="80">
        <f>AA65-AA66</f>
        <v/>
      </c>
      <c r="AB67" s="80">
        <f>AB65-AB66</f>
        <v/>
      </c>
      <c r="AC67" s="80">
        <f>AC65-AC66</f>
        <v/>
      </c>
      <c r="AD67" s="80">
        <f>AD65-AD66</f>
        <v/>
      </c>
      <c r="AE67" s="80">
        <f>AE65-AE66</f>
        <v/>
      </c>
      <c r="AF67" s="80">
        <f>AF65-AF66</f>
        <v/>
      </c>
      <c r="AG67" s="80">
        <f>AG65-AG66</f>
        <v/>
      </c>
      <c r="AH67" s="80">
        <f>AH65-AH66</f>
        <v/>
      </c>
      <c r="AI67" s="80">
        <f>AI65-AI66</f>
        <v/>
      </c>
      <c r="AJ67" s="80">
        <f>AJ65-AJ66</f>
        <v/>
      </c>
      <c r="AK67" s="80">
        <f>AK65-AK66</f>
        <v/>
      </c>
      <c r="AL67" s="80">
        <f>AL65-AL66</f>
        <v/>
      </c>
      <c r="AM67" s="80">
        <f>AM65-AM66</f>
        <v/>
      </c>
      <c r="AN67" s="80">
        <f>AN65-AN66</f>
        <v/>
      </c>
      <c r="AO67" s="80">
        <f>AO65-AO66</f>
        <v/>
      </c>
      <c r="AP67" s="80">
        <f>AP65-AP66</f>
        <v/>
      </c>
      <c r="AQ67" s="80">
        <f>AQ65-AQ66</f>
        <v/>
      </c>
      <c r="AR67" s="80">
        <f>AR65-AR66</f>
        <v/>
      </c>
      <c r="AS67" s="80">
        <f>AS65-AS66</f>
        <v/>
      </c>
      <c r="AT67" s="80">
        <f>AT65-AT66</f>
        <v/>
      </c>
      <c r="AU67" s="80">
        <f>AU65-AU66</f>
        <v/>
      </c>
      <c r="AV67" s="80">
        <f>AV65-AV66</f>
        <v/>
      </c>
      <c r="AW67" s="80">
        <f>AW65-AW66</f>
        <v/>
      </c>
      <c r="AX67" s="80">
        <f>AX65-AX66</f>
        <v/>
      </c>
      <c r="AY67" s="80">
        <f>AY65-AY66</f>
        <v/>
      </c>
      <c r="AZ67" s="80">
        <f>AZ65-AZ66</f>
        <v/>
      </c>
      <c r="BA67" s="80">
        <f>BA65-BA66</f>
        <v/>
      </c>
      <c r="BB67" s="80">
        <f>BB65-BB66</f>
        <v/>
      </c>
      <c r="BC67" s="80">
        <f>BC65-BC66</f>
        <v/>
      </c>
      <c r="BD67" s="80">
        <f>BD65-BD66</f>
        <v/>
      </c>
      <c r="BE67" s="80">
        <f>BE65-BE66</f>
        <v/>
      </c>
      <c r="BF67" s="80">
        <f>BF65-BF66</f>
        <v/>
      </c>
      <c r="BG67" s="80">
        <f>BG65-BG66</f>
        <v/>
      </c>
      <c r="BH67" s="80">
        <f>BH65-BH66</f>
        <v/>
      </c>
      <c r="BI67" s="80">
        <f>BI65-BI66</f>
        <v/>
      </c>
      <c r="BJ67" s="80">
        <f>BJ65-BJ66</f>
        <v/>
      </c>
      <c r="BK67" s="80">
        <f>BK65-BK66</f>
        <v/>
      </c>
      <c r="BL67" s="80">
        <f>BL65-BL66</f>
        <v/>
      </c>
    </row>
    <row r="68">
      <c r="A68" s="98" t="inlineStr">
        <is>
          <t>Current</t>
        </is>
      </c>
      <c r="B68" s="65" t="inlineStr">
        <is>
          <t>LCY</t>
        </is>
      </c>
      <c r="C68" s="105">
        <f>BL68</f>
        <v/>
      </c>
      <c r="E68" s="80">
        <f>E67*Credit_Assumptions!$I$28</f>
        <v/>
      </c>
      <c r="F68" s="80">
        <f>F67*Credit_Assumptions!$I$28</f>
        <v/>
      </c>
      <c r="G68" s="80">
        <f>G67*Credit_Assumptions!$I$28</f>
        <v/>
      </c>
      <c r="H68" s="80">
        <f>H67*Credit_Assumptions!$I$28</f>
        <v/>
      </c>
      <c r="I68" s="80">
        <f>I67*Credit_Assumptions!$I$28</f>
        <v/>
      </c>
      <c r="J68" s="80">
        <f>J67*Credit_Assumptions!$I$28</f>
        <v/>
      </c>
      <c r="K68" s="80">
        <f>K67*Credit_Assumptions!$I$28</f>
        <v/>
      </c>
      <c r="L68" s="80">
        <f>L67*Credit_Assumptions!$I$28</f>
        <v/>
      </c>
      <c r="M68" s="80">
        <f>M67*Credit_Assumptions!$I$28</f>
        <v/>
      </c>
      <c r="N68" s="80">
        <f>N67*Credit_Assumptions!$I$28</f>
        <v/>
      </c>
      <c r="O68" s="80">
        <f>O67*Credit_Assumptions!$I$28</f>
        <v/>
      </c>
      <c r="P68" s="80">
        <f>P67*Credit_Assumptions!$I$28</f>
        <v/>
      </c>
      <c r="Q68" s="80">
        <f>Q67*Credit_Assumptions!$I$28</f>
        <v/>
      </c>
      <c r="R68" s="80">
        <f>R67*Credit_Assumptions!$I$28</f>
        <v/>
      </c>
      <c r="S68" s="80">
        <f>S67*Credit_Assumptions!$I$28</f>
        <v/>
      </c>
      <c r="T68" s="80">
        <f>T67*Credit_Assumptions!$I$28</f>
        <v/>
      </c>
      <c r="U68" s="80">
        <f>U67*Credit_Assumptions!$I$28</f>
        <v/>
      </c>
      <c r="V68" s="80">
        <f>V67*Credit_Assumptions!$I$28</f>
        <v/>
      </c>
      <c r="W68" s="80">
        <f>W67*Credit_Assumptions!$I$28</f>
        <v/>
      </c>
      <c r="X68" s="80">
        <f>X67*Credit_Assumptions!$I$28</f>
        <v/>
      </c>
      <c r="Y68" s="80">
        <f>Y67*Credit_Assumptions!$I$28</f>
        <v/>
      </c>
      <c r="Z68" s="80">
        <f>Z67*Credit_Assumptions!$I$28</f>
        <v/>
      </c>
      <c r="AA68" s="80">
        <f>AA67*Credit_Assumptions!$I$28</f>
        <v/>
      </c>
      <c r="AB68" s="80">
        <f>AB67*Credit_Assumptions!$I$28</f>
        <v/>
      </c>
      <c r="AC68" s="80">
        <f>AC67*Credit_Assumptions!$I$28</f>
        <v/>
      </c>
      <c r="AD68" s="80">
        <f>AD67*Credit_Assumptions!$I$28</f>
        <v/>
      </c>
      <c r="AE68" s="80">
        <f>AE67*Credit_Assumptions!$I$28</f>
        <v/>
      </c>
      <c r="AF68" s="80">
        <f>AF67*Credit_Assumptions!$I$28</f>
        <v/>
      </c>
      <c r="AG68" s="80">
        <f>AG67*Credit_Assumptions!$I$28</f>
        <v/>
      </c>
      <c r="AH68" s="80">
        <f>AH67*Credit_Assumptions!$I$28</f>
        <v/>
      </c>
      <c r="AI68" s="80">
        <f>AI67*Credit_Assumptions!$I$28</f>
        <v/>
      </c>
      <c r="AJ68" s="80">
        <f>AJ67*Credit_Assumptions!$I$28</f>
        <v/>
      </c>
      <c r="AK68" s="80">
        <f>AK67*Credit_Assumptions!$I$28</f>
        <v/>
      </c>
      <c r="AL68" s="80">
        <f>AL67*Credit_Assumptions!$I$28</f>
        <v/>
      </c>
      <c r="AM68" s="80">
        <f>AM67*Credit_Assumptions!$I$28</f>
        <v/>
      </c>
      <c r="AN68" s="80">
        <f>AN67*Credit_Assumptions!$I$28</f>
        <v/>
      </c>
      <c r="AO68" s="80">
        <f>AO67*Credit_Assumptions!$I$28</f>
        <v/>
      </c>
      <c r="AP68" s="80">
        <f>AP67*Credit_Assumptions!$I$28</f>
        <v/>
      </c>
      <c r="AQ68" s="80">
        <f>AQ67*Credit_Assumptions!$I$28</f>
        <v/>
      </c>
      <c r="AR68" s="80">
        <f>AR67*Credit_Assumptions!$I$28</f>
        <v/>
      </c>
      <c r="AS68" s="80">
        <f>AS67*Credit_Assumptions!$I$28</f>
        <v/>
      </c>
      <c r="AT68" s="80">
        <f>AT67*Credit_Assumptions!$I$28</f>
        <v/>
      </c>
      <c r="AU68" s="80">
        <f>AU67*Credit_Assumptions!$I$28</f>
        <v/>
      </c>
      <c r="AV68" s="80">
        <f>AV67*Credit_Assumptions!$I$28</f>
        <v/>
      </c>
      <c r="AW68" s="80">
        <f>AW67*Credit_Assumptions!$I$28</f>
        <v/>
      </c>
      <c r="AX68" s="80">
        <f>AX67*Credit_Assumptions!$I$28</f>
        <v/>
      </c>
      <c r="AY68" s="80">
        <f>AY67*Credit_Assumptions!$I$28</f>
        <v/>
      </c>
      <c r="AZ68" s="80">
        <f>AZ67*Credit_Assumptions!$I$28</f>
        <v/>
      </c>
      <c r="BA68" s="80">
        <f>BA67*Credit_Assumptions!$I$28</f>
        <v/>
      </c>
      <c r="BB68" s="80">
        <f>BB67*Credit_Assumptions!$I$28</f>
        <v/>
      </c>
      <c r="BC68" s="80">
        <f>BC67*Credit_Assumptions!$I$28</f>
        <v/>
      </c>
      <c r="BD68" s="80">
        <f>BD67*Credit_Assumptions!$I$28</f>
        <v/>
      </c>
      <c r="BE68" s="80">
        <f>BE67*Credit_Assumptions!$I$28</f>
        <v/>
      </c>
      <c r="BF68" s="80">
        <f>BF67*Credit_Assumptions!$I$28</f>
        <v/>
      </c>
      <c r="BG68" s="80">
        <f>BG67*Credit_Assumptions!$I$28</f>
        <v/>
      </c>
      <c r="BH68" s="80">
        <f>BH67*Credit_Assumptions!$I$28</f>
        <v/>
      </c>
      <c r="BI68" s="80">
        <f>BI67*Credit_Assumptions!$I$28</f>
        <v/>
      </c>
      <c r="BJ68" s="80">
        <f>BJ67*Credit_Assumptions!$I$28</f>
        <v/>
      </c>
      <c r="BK68" s="80">
        <f>BK67*Credit_Assumptions!$I$28</f>
        <v/>
      </c>
      <c r="BL68" s="80">
        <f>BL67*Credit_Assumptions!$I$28</f>
        <v/>
      </c>
    </row>
    <row r="69">
      <c r="A69" s="98" t="inlineStr">
        <is>
          <t>1-30 DPD</t>
        </is>
      </c>
      <c r="B69" s="65" t="inlineStr">
        <is>
          <t>LCY</t>
        </is>
      </c>
      <c r="C69" s="105">
        <f>BL69</f>
        <v/>
      </c>
      <c r="E69" s="80">
        <f>E67*Credit_Assumptions!$I$29</f>
        <v/>
      </c>
      <c r="F69" s="80">
        <f>F67*Credit_Assumptions!$I$29</f>
        <v/>
      </c>
      <c r="G69" s="80">
        <f>G67*Credit_Assumptions!$I$29</f>
        <v/>
      </c>
      <c r="H69" s="80">
        <f>H67*Credit_Assumptions!$I$29</f>
        <v/>
      </c>
      <c r="I69" s="80">
        <f>I67*Credit_Assumptions!$I$29</f>
        <v/>
      </c>
      <c r="J69" s="80">
        <f>J67*Credit_Assumptions!$I$29</f>
        <v/>
      </c>
      <c r="K69" s="80">
        <f>K67*Credit_Assumptions!$I$29</f>
        <v/>
      </c>
      <c r="L69" s="80">
        <f>L67*Credit_Assumptions!$I$29</f>
        <v/>
      </c>
      <c r="M69" s="80">
        <f>M67*Credit_Assumptions!$I$29</f>
        <v/>
      </c>
      <c r="N69" s="80">
        <f>N67*Credit_Assumptions!$I$29</f>
        <v/>
      </c>
      <c r="O69" s="80">
        <f>O67*Credit_Assumptions!$I$29</f>
        <v/>
      </c>
      <c r="P69" s="80">
        <f>P67*Credit_Assumptions!$I$29</f>
        <v/>
      </c>
      <c r="Q69" s="80">
        <f>Q67*Credit_Assumptions!$I$29</f>
        <v/>
      </c>
      <c r="R69" s="80">
        <f>R67*Credit_Assumptions!$I$29</f>
        <v/>
      </c>
      <c r="S69" s="80">
        <f>S67*Credit_Assumptions!$I$29</f>
        <v/>
      </c>
      <c r="T69" s="80">
        <f>T67*Credit_Assumptions!$I$29</f>
        <v/>
      </c>
      <c r="U69" s="80">
        <f>U67*Credit_Assumptions!$I$29</f>
        <v/>
      </c>
      <c r="V69" s="80">
        <f>V67*Credit_Assumptions!$I$29</f>
        <v/>
      </c>
      <c r="W69" s="80">
        <f>W67*Credit_Assumptions!$I$29</f>
        <v/>
      </c>
      <c r="X69" s="80">
        <f>X67*Credit_Assumptions!$I$29</f>
        <v/>
      </c>
      <c r="Y69" s="80">
        <f>Y67*Credit_Assumptions!$I$29</f>
        <v/>
      </c>
      <c r="Z69" s="80">
        <f>Z67*Credit_Assumptions!$I$29</f>
        <v/>
      </c>
      <c r="AA69" s="80">
        <f>AA67*Credit_Assumptions!$I$29</f>
        <v/>
      </c>
      <c r="AB69" s="80">
        <f>AB67*Credit_Assumptions!$I$29</f>
        <v/>
      </c>
      <c r="AC69" s="80">
        <f>AC67*Credit_Assumptions!$I$29</f>
        <v/>
      </c>
      <c r="AD69" s="80">
        <f>AD67*Credit_Assumptions!$I$29</f>
        <v/>
      </c>
      <c r="AE69" s="80">
        <f>AE67*Credit_Assumptions!$I$29</f>
        <v/>
      </c>
      <c r="AF69" s="80">
        <f>AF67*Credit_Assumptions!$I$29</f>
        <v/>
      </c>
      <c r="AG69" s="80">
        <f>AG67*Credit_Assumptions!$I$29</f>
        <v/>
      </c>
      <c r="AH69" s="80">
        <f>AH67*Credit_Assumptions!$I$29</f>
        <v/>
      </c>
      <c r="AI69" s="80">
        <f>AI67*Credit_Assumptions!$I$29</f>
        <v/>
      </c>
      <c r="AJ69" s="80">
        <f>AJ67*Credit_Assumptions!$I$29</f>
        <v/>
      </c>
      <c r="AK69" s="80">
        <f>AK67*Credit_Assumptions!$I$29</f>
        <v/>
      </c>
      <c r="AL69" s="80">
        <f>AL67*Credit_Assumptions!$I$29</f>
        <v/>
      </c>
      <c r="AM69" s="80">
        <f>AM67*Credit_Assumptions!$I$29</f>
        <v/>
      </c>
      <c r="AN69" s="80">
        <f>AN67*Credit_Assumptions!$I$29</f>
        <v/>
      </c>
      <c r="AO69" s="80">
        <f>AO67*Credit_Assumptions!$I$29</f>
        <v/>
      </c>
      <c r="AP69" s="80">
        <f>AP67*Credit_Assumptions!$I$29</f>
        <v/>
      </c>
      <c r="AQ69" s="80">
        <f>AQ67*Credit_Assumptions!$I$29</f>
        <v/>
      </c>
      <c r="AR69" s="80">
        <f>AR67*Credit_Assumptions!$I$29</f>
        <v/>
      </c>
      <c r="AS69" s="80">
        <f>AS67*Credit_Assumptions!$I$29</f>
        <v/>
      </c>
      <c r="AT69" s="80">
        <f>AT67*Credit_Assumptions!$I$29</f>
        <v/>
      </c>
      <c r="AU69" s="80">
        <f>AU67*Credit_Assumptions!$I$29</f>
        <v/>
      </c>
      <c r="AV69" s="80">
        <f>AV67*Credit_Assumptions!$I$29</f>
        <v/>
      </c>
      <c r="AW69" s="80">
        <f>AW67*Credit_Assumptions!$I$29</f>
        <v/>
      </c>
      <c r="AX69" s="80">
        <f>AX67*Credit_Assumptions!$I$29</f>
        <v/>
      </c>
      <c r="AY69" s="80">
        <f>AY67*Credit_Assumptions!$I$29</f>
        <v/>
      </c>
      <c r="AZ69" s="80">
        <f>AZ67*Credit_Assumptions!$I$29</f>
        <v/>
      </c>
      <c r="BA69" s="80">
        <f>BA67*Credit_Assumptions!$I$29</f>
        <v/>
      </c>
      <c r="BB69" s="80">
        <f>BB67*Credit_Assumptions!$I$29</f>
        <v/>
      </c>
      <c r="BC69" s="80">
        <f>BC67*Credit_Assumptions!$I$29</f>
        <v/>
      </c>
      <c r="BD69" s="80">
        <f>BD67*Credit_Assumptions!$I$29</f>
        <v/>
      </c>
      <c r="BE69" s="80">
        <f>BE67*Credit_Assumptions!$I$29</f>
        <v/>
      </c>
      <c r="BF69" s="80">
        <f>BF67*Credit_Assumptions!$I$29</f>
        <v/>
      </c>
      <c r="BG69" s="80">
        <f>BG67*Credit_Assumptions!$I$29</f>
        <v/>
      </c>
      <c r="BH69" s="80">
        <f>BH67*Credit_Assumptions!$I$29</f>
        <v/>
      </c>
      <c r="BI69" s="80">
        <f>BI67*Credit_Assumptions!$I$29</f>
        <v/>
      </c>
      <c r="BJ69" s="80">
        <f>BJ67*Credit_Assumptions!$I$29</f>
        <v/>
      </c>
      <c r="BK69" s="80">
        <f>BK67*Credit_Assumptions!$I$29</f>
        <v/>
      </c>
      <c r="BL69" s="80">
        <f>BL67*Credit_Assumptions!$I$29</f>
        <v/>
      </c>
    </row>
    <row r="70">
      <c r="A70" s="98" t="inlineStr">
        <is>
          <t>31-60 DPD</t>
        </is>
      </c>
      <c r="B70" s="65" t="inlineStr">
        <is>
          <t>LCY</t>
        </is>
      </c>
      <c r="C70" s="105">
        <f>BL70</f>
        <v/>
      </c>
      <c r="E70" s="80">
        <f>E66*Credit_Assumptions!$I$30</f>
        <v/>
      </c>
      <c r="F70" s="80">
        <f>F66*Credit_Assumptions!$I$30</f>
        <v/>
      </c>
      <c r="G70" s="80">
        <f>G66*Credit_Assumptions!$I$30</f>
        <v/>
      </c>
      <c r="H70" s="80">
        <f>H66*Credit_Assumptions!$I$30</f>
        <v/>
      </c>
      <c r="I70" s="80">
        <f>I66*Credit_Assumptions!$I$30</f>
        <v/>
      </c>
      <c r="J70" s="80">
        <f>J66*Credit_Assumptions!$I$30</f>
        <v/>
      </c>
      <c r="K70" s="80">
        <f>K66*Credit_Assumptions!$I$30</f>
        <v/>
      </c>
      <c r="L70" s="80">
        <f>L66*Credit_Assumptions!$I$30</f>
        <v/>
      </c>
      <c r="M70" s="80">
        <f>M66*Credit_Assumptions!$I$30</f>
        <v/>
      </c>
      <c r="N70" s="80">
        <f>N66*Credit_Assumptions!$I$30</f>
        <v/>
      </c>
      <c r="O70" s="80">
        <f>O66*Credit_Assumptions!$I$30</f>
        <v/>
      </c>
      <c r="P70" s="80">
        <f>P66*Credit_Assumptions!$I$30</f>
        <v/>
      </c>
      <c r="Q70" s="80">
        <f>Q66*Credit_Assumptions!$I$30</f>
        <v/>
      </c>
      <c r="R70" s="80">
        <f>R66*Credit_Assumptions!$I$30</f>
        <v/>
      </c>
      <c r="S70" s="80">
        <f>S66*Credit_Assumptions!$I$30</f>
        <v/>
      </c>
      <c r="T70" s="80">
        <f>T66*Credit_Assumptions!$I$30</f>
        <v/>
      </c>
      <c r="U70" s="80">
        <f>U66*Credit_Assumptions!$I$30</f>
        <v/>
      </c>
      <c r="V70" s="80">
        <f>V66*Credit_Assumptions!$I$30</f>
        <v/>
      </c>
      <c r="W70" s="80">
        <f>W66*Credit_Assumptions!$I$30</f>
        <v/>
      </c>
      <c r="X70" s="80">
        <f>X66*Credit_Assumptions!$I$30</f>
        <v/>
      </c>
      <c r="Y70" s="80">
        <f>Y66*Credit_Assumptions!$I$30</f>
        <v/>
      </c>
      <c r="Z70" s="80">
        <f>Z66*Credit_Assumptions!$I$30</f>
        <v/>
      </c>
      <c r="AA70" s="80">
        <f>AA66*Credit_Assumptions!$I$30</f>
        <v/>
      </c>
      <c r="AB70" s="80">
        <f>AB66*Credit_Assumptions!$I$30</f>
        <v/>
      </c>
      <c r="AC70" s="80">
        <f>AC66*Credit_Assumptions!$I$30</f>
        <v/>
      </c>
      <c r="AD70" s="80">
        <f>AD66*Credit_Assumptions!$I$30</f>
        <v/>
      </c>
      <c r="AE70" s="80">
        <f>AE66*Credit_Assumptions!$I$30</f>
        <v/>
      </c>
      <c r="AF70" s="80">
        <f>AF66*Credit_Assumptions!$I$30</f>
        <v/>
      </c>
      <c r="AG70" s="80">
        <f>AG66*Credit_Assumptions!$I$30</f>
        <v/>
      </c>
      <c r="AH70" s="80">
        <f>AH66*Credit_Assumptions!$I$30</f>
        <v/>
      </c>
      <c r="AI70" s="80">
        <f>AI66*Credit_Assumptions!$I$30</f>
        <v/>
      </c>
      <c r="AJ70" s="80">
        <f>AJ66*Credit_Assumptions!$I$30</f>
        <v/>
      </c>
      <c r="AK70" s="80">
        <f>AK66*Credit_Assumptions!$I$30</f>
        <v/>
      </c>
      <c r="AL70" s="80">
        <f>AL66*Credit_Assumptions!$I$30</f>
        <v/>
      </c>
      <c r="AM70" s="80">
        <f>AM66*Credit_Assumptions!$I$30</f>
        <v/>
      </c>
      <c r="AN70" s="80">
        <f>AN66*Credit_Assumptions!$I$30</f>
        <v/>
      </c>
      <c r="AO70" s="80">
        <f>AO66*Credit_Assumptions!$I$30</f>
        <v/>
      </c>
      <c r="AP70" s="80">
        <f>AP66*Credit_Assumptions!$I$30</f>
        <v/>
      </c>
      <c r="AQ70" s="80">
        <f>AQ66*Credit_Assumptions!$I$30</f>
        <v/>
      </c>
      <c r="AR70" s="80">
        <f>AR66*Credit_Assumptions!$I$30</f>
        <v/>
      </c>
      <c r="AS70" s="80">
        <f>AS66*Credit_Assumptions!$I$30</f>
        <v/>
      </c>
      <c r="AT70" s="80">
        <f>AT66*Credit_Assumptions!$I$30</f>
        <v/>
      </c>
      <c r="AU70" s="80">
        <f>AU66*Credit_Assumptions!$I$30</f>
        <v/>
      </c>
      <c r="AV70" s="80">
        <f>AV66*Credit_Assumptions!$I$30</f>
        <v/>
      </c>
      <c r="AW70" s="80">
        <f>AW66*Credit_Assumptions!$I$30</f>
        <v/>
      </c>
      <c r="AX70" s="80">
        <f>AX66*Credit_Assumptions!$I$30</f>
        <v/>
      </c>
      <c r="AY70" s="80">
        <f>AY66*Credit_Assumptions!$I$30</f>
        <v/>
      </c>
      <c r="AZ70" s="80">
        <f>AZ66*Credit_Assumptions!$I$30</f>
        <v/>
      </c>
      <c r="BA70" s="80">
        <f>BA66*Credit_Assumptions!$I$30</f>
        <v/>
      </c>
      <c r="BB70" s="80">
        <f>BB66*Credit_Assumptions!$I$30</f>
        <v/>
      </c>
      <c r="BC70" s="80">
        <f>BC66*Credit_Assumptions!$I$30</f>
        <v/>
      </c>
      <c r="BD70" s="80">
        <f>BD66*Credit_Assumptions!$I$30</f>
        <v/>
      </c>
      <c r="BE70" s="80">
        <f>BE66*Credit_Assumptions!$I$30</f>
        <v/>
      </c>
      <c r="BF70" s="80">
        <f>BF66*Credit_Assumptions!$I$30</f>
        <v/>
      </c>
      <c r="BG70" s="80">
        <f>BG66*Credit_Assumptions!$I$30</f>
        <v/>
      </c>
      <c r="BH70" s="80">
        <f>BH66*Credit_Assumptions!$I$30</f>
        <v/>
      </c>
      <c r="BI70" s="80">
        <f>BI66*Credit_Assumptions!$I$30</f>
        <v/>
      </c>
      <c r="BJ70" s="80">
        <f>BJ66*Credit_Assumptions!$I$30</f>
        <v/>
      </c>
      <c r="BK70" s="80">
        <f>BK66*Credit_Assumptions!$I$30</f>
        <v/>
      </c>
      <c r="BL70" s="80">
        <f>BL66*Credit_Assumptions!$I$30</f>
        <v/>
      </c>
    </row>
    <row r="71">
      <c r="A71" s="98" t="inlineStr">
        <is>
          <t>61-90 DPD</t>
        </is>
      </c>
      <c r="B71" s="65" t="inlineStr">
        <is>
          <t>LCY</t>
        </is>
      </c>
      <c r="C71" s="105">
        <f>BL71</f>
        <v/>
      </c>
      <c r="E71" s="80">
        <f>E66*Credit_Assumptions!$I$31</f>
        <v/>
      </c>
      <c r="F71" s="80">
        <f>F66*Credit_Assumptions!$I$31</f>
        <v/>
      </c>
      <c r="G71" s="80">
        <f>G66*Credit_Assumptions!$I$31</f>
        <v/>
      </c>
      <c r="H71" s="80">
        <f>H66*Credit_Assumptions!$I$31</f>
        <v/>
      </c>
      <c r="I71" s="80">
        <f>I66*Credit_Assumptions!$I$31</f>
        <v/>
      </c>
      <c r="J71" s="80">
        <f>J66*Credit_Assumptions!$I$31</f>
        <v/>
      </c>
      <c r="K71" s="80">
        <f>K66*Credit_Assumptions!$I$31</f>
        <v/>
      </c>
      <c r="L71" s="80">
        <f>L66*Credit_Assumptions!$I$31</f>
        <v/>
      </c>
      <c r="M71" s="80">
        <f>M66*Credit_Assumptions!$I$31</f>
        <v/>
      </c>
      <c r="N71" s="80">
        <f>N66*Credit_Assumptions!$I$31</f>
        <v/>
      </c>
      <c r="O71" s="80">
        <f>O66*Credit_Assumptions!$I$31</f>
        <v/>
      </c>
      <c r="P71" s="80">
        <f>P66*Credit_Assumptions!$I$31</f>
        <v/>
      </c>
      <c r="Q71" s="80">
        <f>Q66*Credit_Assumptions!$I$31</f>
        <v/>
      </c>
      <c r="R71" s="80">
        <f>R66*Credit_Assumptions!$I$31</f>
        <v/>
      </c>
      <c r="S71" s="80">
        <f>S66*Credit_Assumptions!$I$31</f>
        <v/>
      </c>
      <c r="T71" s="80">
        <f>T66*Credit_Assumptions!$I$31</f>
        <v/>
      </c>
      <c r="U71" s="80">
        <f>U66*Credit_Assumptions!$I$31</f>
        <v/>
      </c>
      <c r="V71" s="80">
        <f>V66*Credit_Assumptions!$I$31</f>
        <v/>
      </c>
      <c r="W71" s="80">
        <f>W66*Credit_Assumptions!$I$31</f>
        <v/>
      </c>
      <c r="X71" s="80">
        <f>X66*Credit_Assumptions!$I$31</f>
        <v/>
      </c>
      <c r="Y71" s="80">
        <f>Y66*Credit_Assumptions!$I$31</f>
        <v/>
      </c>
      <c r="Z71" s="80">
        <f>Z66*Credit_Assumptions!$I$31</f>
        <v/>
      </c>
      <c r="AA71" s="80">
        <f>AA66*Credit_Assumptions!$I$31</f>
        <v/>
      </c>
      <c r="AB71" s="80">
        <f>AB66*Credit_Assumptions!$I$31</f>
        <v/>
      </c>
      <c r="AC71" s="80">
        <f>AC66*Credit_Assumptions!$I$31</f>
        <v/>
      </c>
      <c r="AD71" s="80">
        <f>AD66*Credit_Assumptions!$I$31</f>
        <v/>
      </c>
      <c r="AE71" s="80">
        <f>AE66*Credit_Assumptions!$I$31</f>
        <v/>
      </c>
      <c r="AF71" s="80">
        <f>AF66*Credit_Assumptions!$I$31</f>
        <v/>
      </c>
      <c r="AG71" s="80">
        <f>AG66*Credit_Assumptions!$I$31</f>
        <v/>
      </c>
      <c r="AH71" s="80">
        <f>AH66*Credit_Assumptions!$I$31</f>
        <v/>
      </c>
      <c r="AI71" s="80">
        <f>AI66*Credit_Assumptions!$I$31</f>
        <v/>
      </c>
      <c r="AJ71" s="80">
        <f>AJ66*Credit_Assumptions!$I$31</f>
        <v/>
      </c>
      <c r="AK71" s="80">
        <f>AK66*Credit_Assumptions!$I$31</f>
        <v/>
      </c>
      <c r="AL71" s="80">
        <f>AL66*Credit_Assumptions!$I$31</f>
        <v/>
      </c>
      <c r="AM71" s="80">
        <f>AM66*Credit_Assumptions!$I$31</f>
        <v/>
      </c>
      <c r="AN71" s="80">
        <f>AN66*Credit_Assumptions!$I$31</f>
        <v/>
      </c>
      <c r="AO71" s="80">
        <f>AO66*Credit_Assumptions!$I$31</f>
        <v/>
      </c>
      <c r="AP71" s="80">
        <f>AP66*Credit_Assumptions!$I$31</f>
        <v/>
      </c>
      <c r="AQ71" s="80">
        <f>AQ66*Credit_Assumptions!$I$31</f>
        <v/>
      </c>
      <c r="AR71" s="80">
        <f>AR66*Credit_Assumptions!$I$31</f>
        <v/>
      </c>
      <c r="AS71" s="80">
        <f>AS66*Credit_Assumptions!$I$31</f>
        <v/>
      </c>
      <c r="AT71" s="80">
        <f>AT66*Credit_Assumptions!$I$31</f>
        <v/>
      </c>
      <c r="AU71" s="80">
        <f>AU66*Credit_Assumptions!$I$31</f>
        <v/>
      </c>
      <c r="AV71" s="80">
        <f>AV66*Credit_Assumptions!$I$31</f>
        <v/>
      </c>
      <c r="AW71" s="80">
        <f>AW66*Credit_Assumptions!$I$31</f>
        <v/>
      </c>
      <c r="AX71" s="80">
        <f>AX66*Credit_Assumptions!$I$31</f>
        <v/>
      </c>
      <c r="AY71" s="80">
        <f>AY66*Credit_Assumptions!$I$31</f>
        <v/>
      </c>
      <c r="AZ71" s="80">
        <f>AZ66*Credit_Assumptions!$I$31</f>
        <v/>
      </c>
      <c r="BA71" s="80">
        <f>BA66*Credit_Assumptions!$I$31</f>
        <v/>
      </c>
      <c r="BB71" s="80">
        <f>BB66*Credit_Assumptions!$I$31</f>
        <v/>
      </c>
      <c r="BC71" s="80">
        <f>BC66*Credit_Assumptions!$I$31</f>
        <v/>
      </c>
      <c r="BD71" s="80">
        <f>BD66*Credit_Assumptions!$I$31</f>
        <v/>
      </c>
      <c r="BE71" s="80">
        <f>BE66*Credit_Assumptions!$I$31</f>
        <v/>
      </c>
      <c r="BF71" s="80">
        <f>BF66*Credit_Assumptions!$I$31</f>
        <v/>
      </c>
      <c r="BG71" s="80">
        <f>BG66*Credit_Assumptions!$I$31</f>
        <v/>
      </c>
      <c r="BH71" s="80">
        <f>BH66*Credit_Assumptions!$I$31</f>
        <v/>
      </c>
      <c r="BI71" s="80">
        <f>BI66*Credit_Assumptions!$I$31</f>
        <v/>
      </c>
      <c r="BJ71" s="80">
        <f>BJ66*Credit_Assumptions!$I$31</f>
        <v/>
      </c>
      <c r="BK71" s="80">
        <f>BK66*Credit_Assumptions!$I$31</f>
        <v/>
      </c>
      <c r="BL71" s="80">
        <f>BL66*Credit_Assumptions!$I$31</f>
        <v/>
      </c>
    </row>
    <row r="72">
      <c r="A72" s="98" t="inlineStr">
        <is>
          <t>91-180 DPD</t>
        </is>
      </c>
      <c r="B72" s="65" t="inlineStr">
        <is>
          <t>LCY</t>
        </is>
      </c>
      <c r="C72" s="105">
        <f>BL72</f>
        <v/>
      </c>
      <c r="E72" s="80">
        <f>E66*Credit_Assumptions!$I$32</f>
        <v/>
      </c>
      <c r="F72" s="80">
        <f>F66*Credit_Assumptions!$I$32</f>
        <v/>
      </c>
      <c r="G72" s="80">
        <f>G66*Credit_Assumptions!$I$32</f>
        <v/>
      </c>
      <c r="H72" s="80">
        <f>H66*Credit_Assumptions!$I$32</f>
        <v/>
      </c>
      <c r="I72" s="80">
        <f>I66*Credit_Assumptions!$I$32</f>
        <v/>
      </c>
      <c r="J72" s="80">
        <f>J66*Credit_Assumptions!$I$32</f>
        <v/>
      </c>
      <c r="K72" s="80">
        <f>K66*Credit_Assumptions!$I$32</f>
        <v/>
      </c>
      <c r="L72" s="80">
        <f>L66*Credit_Assumptions!$I$32</f>
        <v/>
      </c>
      <c r="M72" s="80">
        <f>M66*Credit_Assumptions!$I$32</f>
        <v/>
      </c>
      <c r="N72" s="80">
        <f>N66*Credit_Assumptions!$I$32</f>
        <v/>
      </c>
      <c r="O72" s="80">
        <f>O66*Credit_Assumptions!$I$32</f>
        <v/>
      </c>
      <c r="P72" s="80">
        <f>P66*Credit_Assumptions!$I$32</f>
        <v/>
      </c>
      <c r="Q72" s="80">
        <f>Q66*Credit_Assumptions!$I$32</f>
        <v/>
      </c>
      <c r="R72" s="80">
        <f>R66*Credit_Assumptions!$I$32</f>
        <v/>
      </c>
      <c r="S72" s="80">
        <f>S66*Credit_Assumptions!$I$32</f>
        <v/>
      </c>
      <c r="T72" s="80">
        <f>T66*Credit_Assumptions!$I$32</f>
        <v/>
      </c>
      <c r="U72" s="80">
        <f>U66*Credit_Assumptions!$I$32</f>
        <v/>
      </c>
      <c r="V72" s="80">
        <f>V66*Credit_Assumptions!$I$32</f>
        <v/>
      </c>
      <c r="W72" s="80">
        <f>W66*Credit_Assumptions!$I$32</f>
        <v/>
      </c>
      <c r="X72" s="80">
        <f>X66*Credit_Assumptions!$I$32</f>
        <v/>
      </c>
      <c r="Y72" s="80">
        <f>Y66*Credit_Assumptions!$I$32</f>
        <v/>
      </c>
      <c r="Z72" s="80">
        <f>Z66*Credit_Assumptions!$I$32</f>
        <v/>
      </c>
      <c r="AA72" s="80">
        <f>AA66*Credit_Assumptions!$I$32</f>
        <v/>
      </c>
      <c r="AB72" s="80">
        <f>AB66*Credit_Assumptions!$I$32</f>
        <v/>
      </c>
      <c r="AC72" s="80">
        <f>AC66*Credit_Assumptions!$I$32</f>
        <v/>
      </c>
      <c r="AD72" s="80">
        <f>AD66*Credit_Assumptions!$I$32</f>
        <v/>
      </c>
      <c r="AE72" s="80">
        <f>AE66*Credit_Assumptions!$I$32</f>
        <v/>
      </c>
      <c r="AF72" s="80">
        <f>AF66*Credit_Assumptions!$I$32</f>
        <v/>
      </c>
      <c r="AG72" s="80">
        <f>AG66*Credit_Assumptions!$I$32</f>
        <v/>
      </c>
      <c r="AH72" s="80">
        <f>AH66*Credit_Assumptions!$I$32</f>
        <v/>
      </c>
      <c r="AI72" s="80">
        <f>AI66*Credit_Assumptions!$I$32</f>
        <v/>
      </c>
      <c r="AJ72" s="80">
        <f>AJ66*Credit_Assumptions!$I$32</f>
        <v/>
      </c>
      <c r="AK72" s="80">
        <f>AK66*Credit_Assumptions!$I$32</f>
        <v/>
      </c>
      <c r="AL72" s="80">
        <f>AL66*Credit_Assumptions!$I$32</f>
        <v/>
      </c>
      <c r="AM72" s="80">
        <f>AM66*Credit_Assumptions!$I$32</f>
        <v/>
      </c>
      <c r="AN72" s="80">
        <f>AN66*Credit_Assumptions!$I$32</f>
        <v/>
      </c>
      <c r="AO72" s="80">
        <f>AO66*Credit_Assumptions!$I$32</f>
        <v/>
      </c>
      <c r="AP72" s="80">
        <f>AP66*Credit_Assumptions!$I$32</f>
        <v/>
      </c>
      <c r="AQ72" s="80">
        <f>AQ66*Credit_Assumptions!$I$32</f>
        <v/>
      </c>
      <c r="AR72" s="80">
        <f>AR66*Credit_Assumptions!$I$32</f>
        <v/>
      </c>
      <c r="AS72" s="80">
        <f>AS66*Credit_Assumptions!$I$32</f>
        <v/>
      </c>
      <c r="AT72" s="80">
        <f>AT66*Credit_Assumptions!$I$32</f>
        <v/>
      </c>
      <c r="AU72" s="80">
        <f>AU66*Credit_Assumptions!$I$32</f>
        <v/>
      </c>
      <c r="AV72" s="80">
        <f>AV66*Credit_Assumptions!$I$32</f>
        <v/>
      </c>
      <c r="AW72" s="80">
        <f>AW66*Credit_Assumptions!$I$32</f>
        <v/>
      </c>
      <c r="AX72" s="80">
        <f>AX66*Credit_Assumptions!$I$32</f>
        <v/>
      </c>
      <c r="AY72" s="80">
        <f>AY66*Credit_Assumptions!$I$32</f>
        <v/>
      </c>
      <c r="AZ72" s="80">
        <f>AZ66*Credit_Assumptions!$I$32</f>
        <v/>
      </c>
      <c r="BA72" s="80">
        <f>BA66*Credit_Assumptions!$I$32</f>
        <v/>
      </c>
      <c r="BB72" s="80">
        <f>BB66*Credit_Assumptions!$I$32</f>
        <v/>
      </c>
      <c r="BC72" s="80">
        <f>BC66*Credit_Assumptions!$I$32</f>
        <v/>
      </c>
      <c r="BD72" s="80">
        <f>BD66*Credit_Assumptions!$I$32</f>
        <v/>
      </c>
      <c r="BE72" s="80">
        <f>BE66*Credit_Assumptions!$I$32</f>
        <v/>
      </c>
      <c r="BF72" s="80">
        <f>BF66*Credit_Assumptions!$I$32</f>
        <v/>
      </c>
      <c r="BG72" s="80">
        <f>BG66*Credit_Assumptions!$I$32</f>
        <v/>
      </c>
      <c r="BH72" s="80">
        <f>BH66*Credit_Assumptions!$I$32</f>
        <v/>
      </c>
      <c r="BI72" s="80">
        <f>BI66*Credit_Assumptions!$I$32</f>
        <v/>
      </c>
      <c r="BJ72" s="80">
        <f>BJ66*Credit_Assumptions!$I$32</f>
        <v/>
      </c>
      <c r="BK72" s="80">
        <f>BK66*Credit_Assumptions!$I$32</f>
        <v/>
      </c>
      <c r="BL72" s="80">
        <f>BL66*Credit_Assumptions!$I$32</f>
        <v/>
      </c>
    </row>
    <row r="73">
      <c r="A73" s="98" t="inlineStr">
        <is>
          <t>180+ DPD</t>
        </is>
      </c>
      <c r="B73" s="65" t="inlineStr">
        <is>
          <t>LCY</t>
        </is>
      </c>
      <c r="C73" s="105">
        <f>BL73</f>
        <v/>
      </c>
      <c r="E73" s="80">
        <f>E66*Credit_Assumptions!$I$33</f>
        <v/>
      </c>
      <c r="F73" s="80">
        <f>F66*Credit_Assumptions!$I$33</f>
        <v/>
      </c>
      <c r="G73" s="80">
        <f>G66*Credit_Assumptions!$I$33</f>
        <v/>
      </c>
      <c r="H73" s="80">
        <f>H66*Credit_Assumptions!$I$33</f>
        <v/>
      </c>
      <c r="I73" s="80">
        <f>I66*Credit_Assumptions!$I$33</f>
        <v/>
      </c>
      <c r="J73" s="80">
        <f>J66*Credit_Assumptions!$I$33</f>
        <v/>
      </c>
      <c r="K73" s="80">
        <f>K66*Credit_Assumptions!$I$33</f>
        <v/>
      </c>
      <c r="L73" s="80">
        <f>L66*Credit_Assumptions!$I$33</f>
        <v/>
      </c>
      <c r="M73" s="80">
        <f>M66*Credit_Assumptions!$I$33</f>
        <v/>
      </c>
      <c r="N73" s="80">
        <f>N66*Credit_Assumptions!$I$33</f>
        <v/>
      </c>
      <c r="O73" s="80">
        <f>O66*Credit_Assumptions!$I$33</f>
        <v/>
      </c>
      <c r="P73" s="80">
        <f>P66*Credit_Assumptions!$I$33</f>
        <v/>
      </c>
      <c r="Q73" s="80">
        <f>Q66*Credit_Assumptions!$I$33</f>
        <v/>
      </c>
      <c r="R73" s="80">
        <f>R66*Credit_Assumptions!$I$33</f>
        <v/>
      </c>
      <c r="S73" s="80">
        <f>S66*Credit_Assumptions!$I$33</f>
        <v/>
      </c>
      <c r="T73" s="80">
        <f>T66*Credit_Assumptions!$I$33</f>
        <v/>
      </c>
      <c r="U73" s="80">
        <f>U66*Credit_Assumptions!$I$33</f>
        <v/>
      </c>
      <c r="V73" s="80">
        <f>V66*Credit_Assumptions!$I$33</f>
        <v/>
      </c>
      <c r="W73" s="80">
        <f>W66*Credit_Assumptions!$I$33</f>
        <v/>
      </c>
      <c r="X73" s="80">
        <f>X66*Credit_Assumptions!$I$33</f>
        <v/>
      </c>
      <c r="Y73" s="80">
        <f>Y66*Credit_Assumptions!$I$33</f>
        <v/>
      </c>
      <c r="Z73" s="80">
        <f>Z66*Credit_Assumptions!$I$33</f>
        <v/>
      </c>
      <c r="AA73" s="80">
        <f>AA66*Credit_Assumptions!$I$33</f>
        <v/>
      </c>
      <c r="AB73" s="80">
        <f>AB66*Credit_Assumptions!$I$33</f>
        <v/>
      </c>
      <c r="AC73" s="80">
        <f>AC66*Credit_Assumptions!$I$33</f>
        <v/>
      </c>
      <c r="AD73" s="80">
        <f>AD66*Credit_Assumptions!$I$33</f>
        <v/>
      </c>
      <c r="AE73" s="80">
        <f>AE66*Credit_Assumptions!$I$33</f>
        <v/>
      </c>
      <c r="AF73" s="80">
        <f>AF66*Credit_Assumptions!$I$33</f>
        <v/>
      </c>
      <c r="AG73" s="80">
        <f>AG66*Credit_Assumptions!$I$33</f>
        <v/>
      </c>
      <c r="AH73" s="80">
        <f>AH66*Credit_Assumptions!$I$33</f>
        <v/>
      </c>
      <c r="AI73" s="80">
        <f>AI66*Credit_Assumptions!$I$33</f>
        <v/>
      </c>
      <c r="AJ73" s="80">
        <f>AJ66*Credit_Assumptions!$I$33</f>
        <v/>
      </c>
      <c r="AK73" s="80">
        <f>AK66*Credit_Assumptions!$I$33</f>
        <v/>
      </c>
      <c r="AL73" s="80">
        <f>AL66*Credit_Assumptions!$I$33</f>
        <v/>
      </c>
      <c r="AM73" s="80">
        <f>AM66*Credit_Assumptions!$I$33</f>
        <v/>
      </c>
      <c r="AN73" s="80">
        <f>AN66*Credit_Assumptions!$I$33</f>
        <v/>
      </c>
      <c r="AO73" s="80">
        <f>AO66*Credit_Assumptions!$I$33</f>
        <v/>
      </c>
      <c r="AP73" s="80">
        <f>AP66*Credit_Assumptions!$I$33</f>
        <v/>
      </c>
      <c r="AQ73" s="80">
        <f>AQ66*Credit_Assumptions!$I$33</f>
        <v/>
      </c>
      <c r="AR73" s="80">
        <f>AR66*Credit_Assumptions!$I$33</f>
        <v/>
      </c>
      <c r="AS73" s="80">
        <f>AS66*Credit_Assumptions!$I$33</f>
        <v/>
      </c>
      <c r="AT73" s="80">
        <f>AT66*Credit_Assumptions!$I$33</f>
        <v/>
      </c>
      <c r="AU73" s="80">
        <f>AU66*Credit_Assumptions!$I$33</f>
        <v/>
      </c>
      <c r="AV73" s="80">
        <f>AV66*Credit_Assumptions!$I$33</f>
        <v/>
      </c>
      <c r="AW73" s="80">
        <f>AW66*Credit_Assumptions!$I$33</f>
        <v/>
      </c>
      <c r="AX73" s="80">
        <f>AX66*Credit_Assumptions!$I$33</f>
        <v/>
      </c>
      <c r="AY73" s="80">
        <f>AY66*Credit_Assumptions!$I$33</f>
        <v/>
      </c>
      <c r="AZ73" s="80">
        <f>AZ66*Credit_Assumptions!$I$33</f>
        <v/>
      </c>
      <c r="BA73" s="80">
        <f>BA66*Credit_Assumptions!$I$33</f>
        <v/>
      </c>
      <c r="BB73" s="80">
        <f>BB66*Credit_Assumptions!$I$33</f>
        <v/>
      </c>
      <c r="BC73" s="80">
        <f>BC66*Credit_Assumptions!$I$33</f>
        <v/>
      </c>
      <c r="BD73" s="80">
        <f>BD66*Credit_Assumptions!$I$33</f>
        <v/>
      </c>
      <c r="BE73" s="80">
        <f>BE66*Credit_Assumptions!$I$33</f>
        <v/>
      </c>
      <c r="BF73" s="80">
        <f>BF66*Credit_Assumptions!$I$33</f>
        <v/>
      </c>
      <c r="BG73" s="80">
        <f>BG66*Credit_Assumptions!$I$33</f>
        <v/>
      </c>
      <c r="BH73" s="80">
        <f>BH66*Credit_Assumptions!$I$33</f>
        <v/>
      </c>
      <c r="BI73" s="80">
        <f>BI66*Credit_Assumptions!$I$33</f>
        <v/>
      </c>
      <c r="BJ73" s="80">
        <f>BJ66*Credit_Assumptions!$I$33</f>
        <v/>
      </c>
      <c r="BK73" s="80">
        <f>BK66*Credit_Assumptions!$I$33</f>
        <v/>
      </c>
      <c r="BL73" s="80">
        <f>BL66*Credit_Assumptions!$I$33</f>
        <v/>
      </c>
    </row>
    <row r="74">
      <c r="A74" s="98" t="inlineStr">
        <is>
          <t>Default EAD (beyond default definition)</t>
        </is>
      </c>
      <c r="B74" s="65" t="inlineStr">
        <is>
          <t>LCY</t>
        </is>
      </c>
      <c r="C74" s="105">
        <f>BL74</f>
        <v/>
      </c>
      <c r="E74" s="80">
        <f>E68*Credit_Assumptions!$F$28+E69*Credit_Assumptions!$F$29+E70*Credit_Assumptions!$F$30+E71*Credit_Assumptions!$F$31+E72*Credit_Assumptions!$F$32+E73*Credit_Assumptions!$F$33</f>
        <v/>
      </c>
      <c r="F74" s="80">
        <f>F68*Credit_Assumptions!$F$28+F69*Credit_Assumptions!$F$29+F70*Credit_Assumptions!$F$30+F71*Credit_Assumptions!$F$31+F72*Credit_Assumptions!$F$32+F73*Credit_Assumptions!$F$33</f>
        <v/>
      </c>
      <c r="G74" s="80">
        <f>G68*Credit_Assumptions!$F$28+G69*Credit_Assumptions!$F$29+G70*Credit_Assumptions!$F$30+G71*Credit_Assumptions!$F$31+G72*Credit_Assumptions!$F$32+G73*Credit_Assumptions!$F$33</f>
        <v/>
      </c>
      <c r="H74" s="80">
        <f>H68*Credit_Assumptions!$F$28+H69*Credit_Assumptions!$F$29+H70*Credit_Assumptions!$F$30+H71*Credit_Assumptions!$F$31+H72*Credit_Assumptions!$F$32+H73*Credit_Assumptions!$F$33</f>
        <v/>
      </c>
      <c r="I74" s="80">
        <f>I68*Credit_Assumptions!$F$28+I69*Credit_Assumptions!$F$29+I70*Credit_Assumptions!$F$30+I71*Credit_Assumptions!$F$31+I72*Credit_Assumptions!$F$32+I73*Credit_Assumptions!$F$33</f>
        <v/>
      </c>
      <c r="J74" s="80">
        <f>J68*Credit_Assumptions!$F$28+J69*Credit_Assumptions!$F$29+J70*Credit_Assumptions!$F$30+J71*Credit_Assumptions!$F$31+J72*Credit_Assumptions!$F$32+J73*Credit_Assumptions!$F$33</f>
        <v/>
      </c>
      <c r="K74" s="80">
        <f>K68*Credit_Assumptions!$F$28+K69*Credit_Assumptions!$F$29+K70*Credit_Assumptions!$F$30+K71*Credit_Assumptions!$F$31+K72*Credit_Assumptions!$F$32+K73*Credit_Assumptions!$F$33</f>
        <v/>
      </c>
      <c r="L74" s="80">
        <f>L68*Credit_Assumptions!$F$28+L69*Credit_Assumptions!$F$29+L70*Credit_Assumptions!$F$30+L71*Credit_Assumptions!$F$31+L72*Credit_Assumptions!$F$32+L73*Credit_Assumptions!$F$33</f>
        <v/>
      </c>
      <c r="M74" s="80">
        <f>M68*Credit_Assumptions!$F$28+M69*Credit_Assumptions!$F$29+M70*Credit_Assumptions!$F$30+M71*Credit_Assumptions!$F$31+M72*Credit_Assumptions!$F$32+M73*Credit_Assumptions!$F$33</f>
        <v/>
      </c>
      <c r="N74" s="80">
        <f>N68*Credit_Assumptions!$F$28+N69*Credit_Assumptions!$F$29+N70*Credit_Assumptions!$F$30+N71*Credit_Assumptions!$F$31+N72*Credit_Assumptions!$F$32+N73*Credit_Assumptions!$F$33</f>
        <v/>
      </c>
      <c r="O74" s="80">
        <f>O68*Credit_Assumptions!$F$28+O69*Credit_Assumptions!$F$29+O70*Credit_Assumptions!$F$30+O71*Credit_Assumptions!$F$31+O72*Credit_Assumptions!$F$32+O73*Credit_Assumptions!$F$33</f>
        <v/>
      </c>
      <c r="P74" s="80">
        <f>P68*Credit_Assumptions!$F$28+P69*Credit_Assumptions!$F$29+P70*Credit_Assumptions!$F$30+P71*Credit_Assumptions!$F$31+P72*Credit_Assumptions!$F$32+P73*Credit_Assumptions!$F$33</f>
        <v/>
      </c>
      <c r="Q74" s="80">
        <f>Q68*Credit_Assumptions!$F$28+Q69*Credit_Assumptions!$F$29+Q70*Credit_Assumptions!$F$30+Q71*Credit_Assumptions!$F$31+Q72*Credit_Assumptions!$F$32+Q73*Credit_Assumptions!$F$33</f>
        <v/>
      </c>
      <c r="R74" s="80">
        <f>R68*Credit_Assumptions!$F$28+R69*Credit_Assumptions!$F$29+R70*Credit_Assumptions!$F$30+R71*Credit_Assumptions!$F$31+R72*Credit_Assumptions!$F$32+R73*Credit_Assumptions!$F$33</f>
        <v/>
      </c>
      <c r="S74" s="80">
        <f>S68*Credit_Assumptions!$F$28+S69*Credit_Assumptions!$F$29+S70*Credit_Assumptions!$F$30+S71*Credit_Assumptions!$F$31+S72*Credit_Assumptions!$F$32+S73*Credit_Assumptions!$F$33</f>
        <v/>
      </c>
      <c r="T74" s="80">
        <f>T68*Credit_Assumptions!$F$28+T69*Credit_Assumptions!$F$29+T70*Credit_Assumptions!$F$30+T71*Credit_Assumptions!$F$31+T72*Credit_Assumptions!$F$32+T73*Credit_Assumptions!$F$33</f>
        <v/>
      </c>
      <c r="U74" s="80">
        <f>U68*Credit_Assumptions!$F$28+U69*Credit_Assumptions!$F$29+U70*Credit_Assumptions!$F$30+U71*Credit_Assumptions!$F$31+U72*Credit_Assumptions!$F$32+U73*Credit_Assumptions!$F$33</f>
        <v/>
      </c>
      <c r="V74" s="80">
        <f>V68*Credit_Assumptions!$F$28+V69*Credit_Assumptions!$F$29+V70*Credit_Assumptions!$F$30+V71*Credit_Assumptions!$F$31+V72*Credit_Assumptions!$F$32+V73*Credit_Assumptions!$F$33</f>
        <v/>
      </c>
      <c r="W74" s="80">
        <f>W68*Credit_Assumptions!$F$28+W69*Credit_Assumptions!$F$29+W70*Credit_Assumptions!$F$30+W71*Credit_Assumptions!$F$31+W72*Credit_Assumptions!$F$32+W73*Credit_Assumptions!$F$33</f>
        <v/>
      </c>
      <c r="X74" s="80">
        <f>X68*Credit_Assumptions!$F$28+X69*Credit_Assumptions!$F$29+X70*Credit_Assumptions!$F$30+X71*Credit_Assumptions!$F$31+X72*Credit_Assumptions!$F$32+X73*Credit_Assumptions!$F$33</f>
        <v/>
      </c>
      <c r="Y74" s="80">
        <f>Y68*Credit_Assumptions!$F$28+Y69*Credit_Assumptions!$F$29+Y70*Credit_Assumptions!$F$30+Y71*Credit_Assumptions!$F$31+Y72*Credit_Assumptions!$F$32+Y73*Credit_Assumptions!$F$33</f>
        <v/>
      </c>
      <c r="Z74" s="80">
        <f>Z68*Credit_Assumptions!$F$28+Z69*Credit_Assumptions!$F$29+Z70*Credit_Assumptions!$F$30+Z71*Credit_Assumptions!$F$31+Z72*Credit_Assumptions!$F$32+Z73*Credit_Assumptions!$F$33</f>
        <v/>
      </c>
      <c r="AA74" s="80">
        <f>AA68*Credit_Assumptions!$F$28+AA69*Credit_Assumptions!$F$29+AA70*Credit_Assumptions!$F$30+AA71*Credit_Assumptions!$F$31+AA72*Credit_Assumptions!$F$32+AA73*Credit_Assumptions!$F$33</f>
        <v/>
      </c>
      <c r="AB74" s="80">
        <f>AB68*Credit_Assumptions!$F$28+AB69*Credit_Assumptions!$F$29+AB70*Credit_Assumptions!$F$30+AB71*Credit_Assumptions!$F$31+AB72*Credit_Assumptions!$F$32+AB73*Credit_Assumptions!$F$33</f>
        <v/>
      </c>
      <c r="AC74" s="80">
        <f>AC68*Credit_Assumptions!$F$28+AC69*Credit_Assumptions!$F$29+AC70*Credit_Assumptions!$F$30+AC71*Credit_Assumptions!$F$31+AC72*Credit_Assumptions!$F$32+AC73*Credit_Assumptions!$F$33</f>
        <v/>
      </c>
      <c r="AD74" s="80">
        <f>AD68*Credit_Assumptions!$F$28+AD69*Credit_Assumptions!$F$29+AD70*Credit_Assumptions!$F$30+AD71*Credit_Assumptions!$F$31+AD72*Credit_Assumptions!$F$32+AD73*Credit_Assumptions!$F$33</f>
        <v/>
      </c>
      <c r="AE74" s="80">
        <f>AE68*Credit_Assumptions!$F$28+AE69*Credit_Assumptions!$F$29+AE70*Credit_Assumptions!$F$30+AE71*Credit_Assumptions!$F$31+AE72*Credit_Assumptions!$F$32+AE73*Credit_Assumptions!$F$33</f>
        <v/>
      </c>
      <c r="AF74" s="80">
        <f>AF68*Credit_Assumptions!$F$28+AF69*Credit_Assumptions!$F$29+AF70*Credit_Assumptions!$F$30+AF71*Credit_Assumptions!$F$31+AF72*Credit_Assumptions!$F$32+AF73*Credit_Assumptions!$F$33</f>
        <v/>
      </c>
      <c r="AG74" s="80">
        <f>AG68*Credit_Assumptions!$F$28+AG69*Credit_Assumptions!$F$29+AG70*Credit_Assumptions!$F$30+AG71*Credit_Assumptions!$F$31+AG72*Credit_Assumptions!$F$32+AG73*Credit_Assumptions!$F$33</f>
        <v/>
      </c>
      <c r="AH74" s="80">
        <f>AH68*Credit_Assumptions!$F$28+AH69*Credit_Assumptions!$F$29+AH70*Credit_Assumptions!$F$30+AH71*Credit_Assumptions!$F$31+AH72*Credit_Assumptions!$F$32+AH73*Credit_Assumptions!$F$33</f>
        <v/>
      </c>
      <c r="AI74" s="80">
        <f>AI68*Credit_Assumptions!$F$28+AI69*Credit_Assumptions!$F$29+AI70*Credit_Assumptions!$F$30+AI71*Credit_Assumptions!$F$31+AI72*Credit_Assumptions!$F$32+AI73*Credit_Assumptions!$F$33</f>
        <v/>
      </c>
      <c r="AJ74" s="80">
        <f>AJ68*Credit_Assumptions!$F$28+AJ69*Credit_Assumptions!$F$29+AJ70*Credit_Assumptions!$F$30+AJ71*Credit_Assumptions!$F$31+AJ72*Credit_Assumptions!$F$32+AJ73*Credit_Assumptions!$F$33</f>
        <v/>
      </c>
      <c r="AK74" s="80">
        <f>AK68*Credit_Assumptions!$F$28+AK69*Credit_Assumptions!$F$29+AK70*Credit_Assumptions!$F$30+AK71*Credit_Assumptions!$F$31+AK72*Credit_Assumptions!$F$32+AK73*Credit_Assumptions!$F$33</f>
        <v/>
      </c>
      <c r="AL74" s="80">
        <f>AL68*Credit_Assumptions!$F$28+AL69*Credit_Assumptions!$F$29+AL70*Credit_Assumptions!$F$30+AL71*Credit_Assumptions!$F$31+AL72*Credit_Assumptions!$F$32+AL73*Credit_Assumptions!$F$33</f>
        <v/>
      </c>
      <c r="AM74" s="80">
        <f>AM68*Credit_Assumptions!$F$28+AM69*Credit_Assumptions!$F$29+AM70*Credit_Assumptions!$F$30+AM71*Credit_Assumptions!$F$31+AM72*Credit_Assumptions!$F$32+AM73*Credit_Assumptions!$F$33</f>
        <v/>
      </c>
      <c r="AN74" s="80">
        <f>AN68*Credit_Assumptions!$F$28+AN69*Credit_Assumptions!$F$29+AN70*Credit_Assumptions!$F$30+AN71*Credit_Assumptions!$F$31+AN72*Credit_Assumptions!$F$32+AN73*Credit_Assumptions!$F$33</f>
        <v/>
      </c>
      <c r="AO74" s="80">
        <f>AO68*Credit_Assumptions!$F$28+AO69*Credit_Assumptions!$F$29+AO70*Credit_Assumptions!$F$30+AO71*Credit_Assumptions!$F$31+AO72*Credit_Assumptions!$F$32+AO73*Credit_Assumptions!$F$33</f>
        <v/>
      </c>
      <c r="AP74" s="80">
        <f>AP68*Credit_Assumptions!$F$28+AP69*Credit_Assumptions!$F$29+AP70*Credit_Assumptions!$F$30+AP71*Credit_Assumptions!$F$31+AP72*Credit_Assumptions!$F$32+AP73*Credit_Assumptions!$F$33</f>
        <v/>
      </c>
      <c r="AQ74" s="80">
        <f>AQ68*Credit_Assumptions!$F$28+AQ69*Credit_Assumptions!$F$29+AQ70*Credit_Assumptions!$F$30+AQ71*Credit_Assumptions!$F$31+AQ72*Credit_Assumptions!$F$32+AQ73*Credit_Assumptions!$F$33</f>
        <v/>
      </c>
      <c r="AR74" s="80">
        <f>AR68*Credit_Assumptions!$F$28+AR69*Credit_Assumptions!$F$29+AR70*Credit_Assumptions!$F$30+AR71*Credit_Assumptions!$F$31+AR72*Credit_Assumptions!$F$32+AR73*Credit_Assumptions!$F$33</f>
        <v/>
      </c>
      <c r="AS74" s="80">
        <f>AS68*Credit_Assumptions!$F$28+AS69*Credit_Assumptions!$F$29+AS70*Credit_Assumptions!$F$30+AS71*Credit_Assumptions!$F$31+AS72*Credit_Assumptions!$F$32+AS73*Credit_Assumptions!$F$33</f>
        <v/>
      </c>
      <c r="AT74" s="80">
        <f>AT68*Credit_Assumptions!$F$28+AT69*Credit_Assumptions!$F$29+AT70*Credit_Assumptions!$F$30+AT71*Credit_Assumptions!$F$31+AT72*Credit_Assumptions!$F$32+AT73*Credit_Assumptions!$F$33</f>
        <v/>
      </c>
      <c r="AU74" s="80">
        <f>AU68*Credit_Assumptions!$F$28+AU69*Credit_Assumptions!$F$29+AU70*Credit_Assumptions!$F$30+AU71*Credit_Assumptions!$F$31+AU72*Credit_Assumptions!$F$32+AU73*Credit_Assumptions!$F$33</f>
        <v/>
      </c>
      <c r="AV74" s="80">
        <f>AV68*Credit_Assumptions!$F$28+AV69*Credit_Assumptions!$F$29+AV70*Credit_Assumptions!$F$30+AV71*Credit_Assumptions!$F$31+AV72*Credit_Assumptions!$F$32+AV73*Credit_Assumptions!$F$33</f>
        <v/>
      </c>
      <c r="AW74" s="80">
        <f>AW68*Credit_Assumptions!$F$28+AW69*Credit_Assumptions!$F$29+AW70*Credit_Assumptions!$F$30+AW71*Credit_Assumptions!$F$31+AW72*Credit_Assumptions!$F$32+AW73*Credit_Assumptions!$F$33</f>
        <v/>
      </c>
      <c r="AX74" s="80">
        <f>AX68*Credit_Assumptions!$F$28+AX69*Credit_Assumptions!$F$29+AX70*Credit_Assumptions!$F$30+AX71*Credit_Assumptions!$F$31+AX72*Credit_Assumptions!$F$32+AX73*Credit_Assumptions!$F$33</f>
        <v/>
      </c>
      <c r="AY74" s="80">
        <f>AY68*Credit_Assumptions!$F$28+AY69*Credit_Assumptions!$F$29+AY70*Credit_Assumptions!$F$30+AY71*Credit_Assumptions!$F$31+AY72*Credit_Assumptions!$F$32+AY73*Credit_Assumptions!$F$33</f>
        <v/>
      </c>
      <c r="AZ74" s="80">
        <f>AZ68*Credit_Assumptions!$F$28+AZ69*Credit_Assumptions!$F$29+AZ70*Credit_Assumptions!$F$30+AZ71*Credit_Assumptions!$F$31+AZ72*Credit_Assumptions!$F$32+AZ73*Credit_Assumptions!$F$33</f>
        <v/>
      </c>
      <c r="BA74" s="80">
        <f>BA68*Credit_Assumptions!$F$28+BA69*Credit_Assumptions!$F$29+BA70*Credit_Assumptions!$F$30+BA71*Credit_Assumptions!$F$31+BA72*Credit_Assumptions!$F$32+BA73*Credit_Assumptions!$F$33</f>
        <v/>
      </c>
      <c r="BB74" s="80">
        <f>BB68*Credit_Assumptions!$F$28+BB69*Credit_Assumptions!$F$29+BB70*Credit_Assumptions!$F$30+BB71*Credit_Assumptions!$F$31+BB72*Credit_Assumptions!$F$32+BB73*Credit_Assumptions!$F$33</f>
        <v/>
      </c>
      <c r="BC74" s="80">
        <f>BC68*Credit_Assumptions!$F$28+BC69*Credit_Assumptions!$F$29+BC70*Credit_Assumptions!$F$30+BC71*Credit_Assumptions!$F$31+BC72*Credit_Assumptions!$F$32+BC73*Credit_Assumptions!$F$33</f>
        <v/>
      </c>
      <c r="BD74" s="80">
        <f>BD68*Credit_Assumptions!$F$28+BD69*Credit_Assumptions!$F$29+BD70*Credit_Assumptions!$F$30+BD71*Credit_Assumptions!$F$31+BD72*Credit_Assumptions!$F$32+BD73*Credit_Assumptions!$F$33</f>
        <v/>
      </c>
      <c r="BE74" s="80">
        <f>BE68*Credit_Assumptions!$F$28+BE69*Credit_Assumptions!$F$29+BE70*Credit_Assumptions!$F$30+BE71*Credit_Assumptions!$F$31+BE72*Credit_Assumptions!$F$32+BE73*Credit_Assumptions!$F$33</f>
        <v/>
      </c>
      <c r="BF74" s="80">
        <f>BF68*Credit_Assumptions!$F$28+BF69*Credit_Assumptions!$F$29+BF70*Credit_Assumptions!$F$30+BF71*Credit_Assumptions!$F$31+BF72*Credit_Assumptions!$F$32+BF73*Credit_Assumptions!$F$33</f>
        <v/>
      </c>
      <c r="BG74" s="80">
        <f>BG68*Credit_Assumptions!$F$28+BG69*Credit_Assumptions!$F$29+BG70*Credit_Assumptions!$F$30+BG71*Credit_Assumptions!$F$31+BG72*Credit_Assumptions!$F$32+BG73*Credit_Assumptions!$F$33</f>
        <v/>
      </c>
      <c r="BH74" s="80">
        <f>BH68*Credit_Assumptions!$F$28+BH69*Credit_Assumptions!$F$29+BH70*Credit_Assumptions!$F$30+BH71*Credit_Assumptions!$F$31+BH72*Credit_Assumptions!$F$32+BH73*Credit_Assumptions!$F$33</f>
        <v/>
      </c>
      <c r="BI74" s="80">
        <f>BI68*Credit_Assumptions!$F$28+BI69*Credit_Assumptions!$F$29+BI70*Credit_Assumptions!$F$30+BI71*Credit_Assumptions!$F$31+BI72*Credit_Assumptions!$F$32+BI73*Credit_Assumptions!$F$33</f>
        <v/>
      </c>
      <c r="BJ74" s="80">
        <f>BJ68*Credit_Assumptions!$F$28+BJ69*Credit_Assumptions!$F$29+BJ70*Credit_Assumptions!$F$30+BJ71*Credit_Assumptions!$F$31+BJ72*Credit_Assumptions!$F$32+BJ73*Credit_Assumptions!$F$33</f>
        <v/>
      </c>
      <c r="BK74" s="80">
        <f>BK68*Credit_Assumptions!$F$28+BK69*Credit_Assumptions!$F$29+BK70*Credit_Assumptions!$F$30+BK71*Credit_Assumptions!$F$31+BK72*Credit_Assumptions!$F$32+BK73*Credit_Assumptions!$F$33</f>
        <v/>
      </c>
      <c r="BL74" s="80">
        <f>BL68*Credit_Assumptions!$F$28+BL69*Credit_Assumptions!$F$29+BL70*Credit_Assumptions!$F$30+BL71*Credit_Assumptions!$F$31+BL72*Credit_Assumptions!$F$32+BL73*Credit_Assumptions!$F$33</f>
        <v/>
      </c>
    </row>
    <row r="75">
      <c r="A75" s="98" t="inlineStr">
        <is>
          <t>30+ DPD receivables</t>
        </is>
      </c>
      <c r="B75" s="65" t="inlineStr">
        <is>
          <t>LCY</t>
        </is>
      </c>
      <c r="C75" s="105">
        <f>BL75</f>
        <v/>
      </c>
      <c r="E75" s="80">
        <f>E68*Credit_Assumptions!$G$28+E69*Credit_Assumptions!$G$29+E70*Credit_Assumptions!$G$30+E71*Credit_Assumptions!$G$31+E72*Credit_Assumptions!$G$32+E73*Credit_Assumptions!$G$33</f>
        <v/>
      </c>
      <c r="F75" s="80">
        <f>F68*Credit_Assumptions!$G$28+F69*Credit_Assumptions!$G$29+F70*Credit_Assumptions!$G$30+F71*Credit_Assumptions!$G$31+F72*Credit_Assumptions!$G$32+F73*Credit_Assumptions!$G$33</f>
        <v/>
      </c>
      <c r="G75" s="80">
        <f>G68*Credit_Assumptions!$G$28+G69*Credit_Assumptions!$G$29+G70*Credit_Assumptions!$G$30+G71*Credit_Assumptions!$G$31+G72*Credit_Assumptions!$G$32+G73*Credit_Assumptions!$G$33</f>
        <v/>
      </c>
      <c r="H75" s="80">
        <f>H68*Credit_Assumptions!$G$28+H69*Credit_Assumptions!$G$29+H70*Credit_Assumptions!$G$30+H71*Credit_Assumptions!$G$31+H72*Credit_Assumptions!$G$32+H73*Credit_Assumptions!$G$33</f>
        <v/>
      </c>
      <c r="I75" s="80">
        <f>I68*Credit_Assumptions!$G$28+I69*Credit_Assumptions!$G$29+I70*Credit_Assumptions!$G$30+I71*Credit_Assumptions!$G$31+I72*Credit_Assumptions!$G$32+I73*Credit_Assumptions!$G$33</f>
        <v/>
      </c>
      <c r="J75" s="80">
        <f>J68*Credit_Assumptions!$G$28+J69*Credit_Assumptions!$G$29+J70*Credit_Assumptions!$G$30+J71*Credit_Assumptions!$G$31+J72*Credit_Assumptions!$G$32+J73*Credit_Assumptions!$G$33</f>
        <v/>
      </c>
      <c r="K75" s="80">
        <f>K68*Credit_Assumptions!$G$28+K69*Credit_Assumptions!$G$29+K70*Credit_Assumptions!$G$30+K71*Credit_Assumptions!$G$31+K72*Credit_Assumptions!$G$32+K73*Credit_Assumptions!$G$33</f>
        <v/>
      </c>
      <c r="L75" s="80">
        <f>L68*Credit_Assumptions!$G$28+L69*Credit_Assumptions!$G$29+L70*Credit_Assumptions!$G$30+L71*Credit_Assumptions!$G$31+L72*Credit_Assumptions!$G$32+L73*Credit_Assumptions!$G$33</f>
        <v/>
      </c>
      <c r="M75" s="80">
        <f>M68*Credit_Assumptions!$G$28+M69*Credit_Assumptions!$G$29+M70*Credit_Assumptions!$G$30+M71*Credit_Assumptions!$G$31+M72*Credit_Assumptions!$G$32+M73*Credit_Assumptions!$G$33</f>
        <v/>
      </c>
      <c r="N75" s="80">
        <f>N68*Credit_Assumptions!$G$28+N69*Credit_Assumptions!$G$29+N70*Credit_Assumptions!$G$30+N71*Credit_Assumptions!$G$31+N72*Credit_Assumptions!$G$32+N73*Credit_Assumptions!$G$33</f>
        <v/>
      </c>
      <c r="O75" s="80">
        <f>O68*Credit_Assumptions!$G$28+O69*Credit_Assumptions!$G$29+O70*Credit_Assumptions!$G$30+O71*Credit_Assumptions!$G$31+O72*Credit_Assumptions!$G$32+O73*Credit_Assumptions!$G$33</f>
        <v/>
      </c>
      <c r="P75" s="80">
        <f>P68*Credit_Assumptions!$G$28+P69*Credit_Assumptions!$G$29+P70*Credit_Assumptions!$G$30+P71*Credit_Assumptions!$G$31+P72*Credit_Assumptions!$G$32+P73*Credit_Assumptions!$G$33</f>
        <v/>
      </c>
      <c r="Q75" s="80">
        <f>Q68*Credit_Assumptions!$G$28+Q69*Credit_Assumptions!$G$29+Q70*Credit_Assumptions!$G$30+Q71*Credit_Assumptions!$G$31+Q72*Credit_Assumptions!$G$32+Q73*Credit_Assumptions!$G$33</f>
        <v/>
      </c>
      <c r="R75" s="80">
        <f>R68*Credit_Assumptions!$G$28+R69*Credit_Assumptions!$G$29+R70*Credit_Assumptions!$G$30+R71*Credit_Assumptions!$G$31+R72*Credit_Assumptions!$G$32+R73*Credit_Assumptions!$G$33</f>
        <v/>
      </c>
      <c r="S75" s="80">
        <f>S68*Credit_Assumptions!$G$28+S69*Credit_Assumptions!$G$29+S70*Credit_Assumptions!$G$30+S71*Credit_Assumptions!$G$31+S72*Credit_Assumptions!$G$32+S73*Credit_Assumptions!$G$33</f>
        <v/>
      </c>
      <c r="T75" s="80">
        <f>T68*Credit_Assumptions!$G$28+T69*Credit_Assumptions!$G$29+T70*Credit_Assumptions!$G$30+T71*Credit_Assumptions!$G$31+T72*Credit_Assumptions!$G$32+T73*Credit_Assumptions!$G$33</f>
        <v/>
      </c>
      <c r="U75" s="80">
        <f>U68*Credit_Assumptions!$G$28+U69*Credit_Assumptions!$G$29+U70*Credit_Assumptions!$G$30+U71*Credit_Assumptions!$G$31+U72*Credit_Assumptions!$G$32+U73*Credit_Assumptions!$G$33</f>
        <v/>
      </c>
      <c r="V75" s="80">
        <f>V68*Credit_Assumptions!$G$28+V69*Credit_Assumptions!$G$29+V70*Credit_Assumptions!$G$30+V71*Credit_Assumptions!$G$31+V72*Credit_Assumptions!$G$32+V73*Credit_Assumptions!$G$33</f>
        <v/>
      </c>
      <c r="W75" s="80">
        <f>W68*Credit_Assumptions!$G$28+W69*Credit_Assumptions!$G$29+W70*Credit_Assumptions!$G$30+W71*Credit_Assumptions!$G$31+W72*Credit_Assumptions!$G$32+W73*Credit_Assumptions!$G$33</f>
        <v/>
      </c>
      <c r="X75" s="80">
        <f>X68*Credit_Assumptions!$G$28+X69*Credit_Assumptions!$G$29+X70*Credit_Assumptions!$G$30+X71*Credit_Assumptions!$G$31+X72*Credit_Assumptions!$G$32+X73*Credit_Assumptions!$G$33</f>
        <v/>
      </c>
      <c r="Y75" s="80">
        <f>Y68*Credit_Assumptions!$G$28+Y69*Credit_Assumptions!$G$29+Y70*Credit_Assumptions!$G$30+Y71*Credit_Assumptions!$G$31+Y72*Credit_Assumptions!$G$32+Y73*Credit_Assumptions!$G$33</f>
        <v/>
      </c>
      <c r="Z75" s="80">
        <f>Z68*Credit_Assumptions!$G$28+Z69*Credit_Assumptions!$G$29+Z70*Credit_Assumptions!$G$30+Z71*Credit_Assumptions!$G$31+Z72*Credit_Assumptions!$G$32+Z73*Credit_Assumptions!$G$33</f>
        <v/>
      </c>
      <c r="AA75" s="80">
        <f>AA68*Credit_Assumptions!$G$28+AA69*Credit_Assumptions!$G$29+AA70*Credit_Assumptions!$G$30+AA71*Credit_Assumptions!$G$31+AA72*Credit_Assumptions!$G$32+AA73*Credit_Assumptions!$G$33</f>
        <v/>
      </c>
      <c r="AB75" s="80">
        <f>AB68*Credit_Assumptions!$G$28+AB69*Credit_Assumptions!$G$29+AB70*Credit_Assumptions!$G$30+AB71*Credit_Assumptions!$G$31+AB72*Credit_Assumptions!$G$32+AB73*Credit_Assumptions!$G$33</f>
        <v/>
      </c>
      <c r="AC75" s="80">
        <f>AC68*Credit_Assumptions!$G$28+AC69*Credit_Assumptions!$G$29+AC70*Credit_Assumptions!$G$30+AC71*Credit_Assumptions!$G$31+AC72*Credit_Assumptions!$G$32+AC73*Credit_Assumptions!$G$33</f>
        <v/>
      </c>
      <c r="AD75" s="80">
        <f>AD68*Credit_Assumptions!$G$28+AD69*Credit_Assumptions!$G$29+AD70*Credit_Assumptions!$G$30+AD71*Credit_Assumptions!$G$31+AD72*Credit_Assumptions!$G$32+AD73*Credit_Assumptions!$G$33</f>
        <v/>
      </c>
      <c r="AE75" s="80">
        <f>AE68*Credit_Assumptions!$G$28+AE69*Credit_Assumptions!$G$29+AE70*Credit_Assumptions!$G$30+AE71*Credit_Assumptions!$G$31+AE72*Credit_Assumptions!$G$32+AE73*Credit_Assumptions!$G$33</f>
        <v/>
      </c>
      <c r="AF75" s="80">
        <f>AF68*Credit_Assumptions!$G$28+AF69*Credit_Assumptions!$G$29+AF70*Credit_Assumptions!$G$30+AF71*Credit_Assumptions!$G$31+AF72*Credit_Assumptions!$G$32+AF73*Credit_Assumptions!$G$33</f>
        <v/>
      </c>
      <c r="AG75" s="80">
        <f>AG68*Credit_Assumptions!$G$28+AG69*Credit_Assumptions!$G$29+AG70*Credit_Assumptions!$G$30+AG71*Credit_Assumptions!$G$31+AG72*Credit_Assumptions!$G$32+AG73*Credit_Assumptions!$G$33</f>
        <v/>
      </c>
      <c r="AH75" s="80">
        <f>AH68*Credit_Assumptions!$G$28+AH69*Credit_Assumptions!$G$29+AH70*Credit_Assumptions!$G$30+AH71*Credit_Assumptions!$G$31+AH72*Credit_Assumptions!$G$32+AH73*Credit_Assumptions!$G$33</f>
        <v/>
      </c>
      <c r="AI75" s="80">
        <f>AI68*Credit_Assumptions!$G$28+AI69*Credit_Assumptions!$G$29+AI70*Credit_Assumptions!$G$30+AI71*Credit_Assumptions!$G$31+AI72*Credit_Assumptions!$G$32+AI73*Credit_Assumptions!$G$33</f>
        <v/>
      </c>
      <c r="AJ75" s="80">
        <f>AJ68*Credit_Assumptions!$G$28+AJ69*Credit_Assumptions!$G$29+AJ70*Credit_Assumptions!$G$30+AJ71*Credit_Assumptions!$G$31+AJ72*Credit_Assumptions!$G$32+AJ73*Credit_Assumptions!$G$33</f>
        <v/>
      </c>
      <c r="AK75" s="80">
        <f>AK68*Credit_Assumptions!$G$28+AK69*Credit_Assumptions!$G$29+AK70*Credit_Assumptions!$G$30+AK71*Credit_Assumptions!$G$31+AK72*Credit_Assumptions!$G$32+AK73*Credit_Assumptions!$G$33</f>
        <v/>
      </c>
      <c r="AL75" s="80">
        <f>AL68*Credit_Assumptions!$G$28+AL69*Credit_Assumptions!$G$29+AL70*Credit_Assumptions!$G$30+AL71*Credit_Assumptions!$G$31+AL72*Credit_Assumptions!$G$32+AL73*Credit_Assumptions!$G$33</f>
        <v/>
      </c>
      <c r="AM75" s="80">
        <f>AM68*Credit_Assumptions!$G$28+AM69*Credit_Assumptions!$G$29+AM70*Credit_Assumptions!$G$30+AM71*Credit_Assumptions!$G$31+AM72*Credit_Assumptions!$G$32+AM73*Credit_Assumptions!$G$33</f>
        <v/>
      </c>
      <c r="AN75" s="80">
        <f>AN68*Credit_Assumptions!$G$28+AN69*Credit_Assumptions!$G$29+AN70*Credit_Assumptions!$G$30+AN71*Credit_Assumptions!$G$31+AN72*Credit_Assumptions!$G$32+AN73*Credit_Assumptions!$G$33</f>
        <v/>
      </c>
      <c r="AO75" s="80">
        <f>AO68*Credit_Assumptions!$G$28+AO69*Credit_Assumptions!$G$29+AO70*Credit_Assumptions!$G$30+AO71*Credit_Assumptions!$G$31+AO72*Credit_Assumptions!$G$32+AO73*Credit_Assumptions!$G$33</f>
        <v/>
      </c>
      <c r="AP75" s="80">
        <f>AP68*Credit_Assumptions!$G$28+AP69*Credit_Assumptions!$G$29+AP70*Credit_Assumptions!$G$30+AP71*Credit_Assumptions!$G$31+AP72*Credit_Assumptions!$G$32+AP73*Credit_Assumptions!$G$33</f>
        <v/>
      </c>
      <c r="AQ75" s="80">
        <f>AQ68*Credit_Assumptions!$G$28+AQ69*Credit_Assumptions!$G$29+AQ70*Credit_Assumptions!$G$30+AQ71*Credit_Assumptions!$G$31+AQ72*Credit_Assumptions!$G$32+AQ73*Credit_Assumptions!$G$33</f>
        <v/>
      </c>
      <c r="AR75" s="80">
        <f>AR68*Credit_Assumptions!$G$28+AR69*Credit_Assumptions!$G$29+AR70*Credit_Assumptions!$G$30+AR71*Credit_Assumptions!$G$31+AR72*Credit_Assumptions!$G$32+AR73*Credit_Assumptions!$G$33</f>
        <v/>
      </c>
      <c r="AS75" s="80">
        <f>AS68*Credit_Assumptions!$G$28+AS69*Credit_Assumptions!$G$29+AS70*Credit_Assumptions!$G$30+AS71*Credit_Assumptions!$G$31+AS72*Credit_Assumptions!$G$32+AS73*Credit_Assumptions!$G$33</f>
        <v/>
      </c>
      <c r="AT75" s="80">
        <f>AT68*Credit_Assumptions!$G$28+AT69*Credit_Assumptions!$G$29+AT70*Credit_Assumptions!$G$30+AT71*Credit_Assumptions!$G$31+AT72*Credit_Assumptions!$G$32+AT73*Credit_Assumptions!$G$33</f>
        <v/>
      </c>
      <c r="AU75" s="80">
        <f>AU68*Credit_Assumptions!$G$28+AU69*Credit_Assumptions!$G$29+AU70*Credit_Assumptions!$G$30+AU71*Credit_Assumptions!$G$31+AU72*Credit_Assumptions!$G$32+AU73*Credit_Assumptions!$G$33</f>
        <v/>
      </c>
      <c r="AV75" s="80">
        <f>AV68*Credit_Assumptions!$G$28+AV69*Credit_Assumptions!$G$29+AV70*Credit_Assumptions!$G$30+AV71*Credit_Assumptions!$G$31+AV72*Credit_Assumptions!$G$32+AV73*Credit_Assumptions!$G$33</f>
        <v/>
      </c>
      <c r="AW75" s="80">
        <f>AW68*Credit_Assumptions!$G$28+AW69*Credit_Assumptions!$G$29+AW70*Credit_Assumptions!$G$30+AW71*Credit_Assumptions!$G$31+AW72*Credit_Assumptions!$G$32+AW73*Credit_Assumptions!$G$33</f>
        <v/>
      </c>
      <c r="AX75" s="80">
        <f>AX68*Credit_Assumptions!$G$28+AX69*Credit_Assumptions!$G$29+AX70*Credit_Assumptions!$G$30+AX71*Credit_Assumptions!$G$31+AX72*Credit_Assumptions!$G$32+AX73*Credit_Assumptions!$G$33</f>
        <v/>
      </c>
      <c r="AY75" s="80">
        <f>AY68*Credit_Assumptions!$G$28+AY69*Credit_Assumptions!$G$29+AY70*Credit_Assumptions!$G$30+AY71*Credit_Assumptions!$G$31+AY72*Credit_Assumptions!$G$32+AY73*Credit_Assumptions!$G$33</f>
        <v/>
      </c>
      <c r="AZ75" s="80">
        <f>AZ68*Credit_Assumptions!$G$28+AZ69*Credit_Assumptions!$G$29+AZ70*Credit_Assumptions!$G$30+AZ71*Credit_Assumptions!$G$31+AZ72*Credit_Assumptions!$G$32+AZ73*Credit_Assumptions!$G$33</f>
        <v/>
      </c>
      <c r="BA75" s="80">
        <f>BA68*Credit_Assumptions!$G$28+BA69*Credit_Assumptions!$G$29+BA70*Credit_Assumptions!$G$30+BA71*Credit_Assumptions!$G$31+BA72*Credit_Assumptions!$G$32+BA73*Credit_Assumptions!$G$33</f>
        <v/>
      </c>
      <c r="BB75" s="80">
        <f>BB68*Credit_Assumptions!$G$28+BB69*Credit_Assumptions!$G$29+BB70*Credit_Assumptions!$G$30+BB71*Credit_Assumptions!$G$31+BB72*Credit_Assumptions!$G$32+BB73*Credit_Assumptions!$G$33</f>
        <v/>
      </c>
      <c r="BC75" s="80">
        <f>BC68*Credit_Assumptions!$G$28+BC69*Credit_Assumptions!$G$29+BC70*Credit_Assumptions!$G$30+BC71*Credit_Assumptions!$G$31+BC72*Credit_Assumptions!$G$32+BC73*Credit_Assumptions!$G$33</f>
        <v/>
      </c>
      <c r="BD75" s="80">
        <f>BD68*Credit_Assumptions!$G$28+BD69*Credit_Assumptions!$G$29+BD70*Credit_Assumptions!$G$30+BD71*Credit_Assumptions!$G$31+BD72*Credit_Assumptions!$G$32+BD73*Credit_Assumptions!$G$33</f>
        <v/>
      </c>
      <c r="BE75" s="80">
        <f>BE68*Credit_Assumptions!$G$28+BE69*Credit_Assumptions!$G$29+BE70*Credit_Assumptions!$G$30+BE71*Credit_Assumptions!$G$31+BE72*Credit_Assumptions!$G$32+BE73*Credit_Assumptions!$G$33</f>
        <v/>
      </c>
      <c r="BF75" s="80">
        <f>BF68*Credit_Assumptions!$G$28+BF69*Credit_Assumptions!$G$29+BF70*Credit_Assumptions!$G$30+BF71*Credit_Assumptions!$G$31+BF72*Credit_Assumptions!$G$32+BF73*Credit_Assumptions!$G$33</f>
        <v/>
      </c>
      <c r="BG75" s="80">
        <f>BG68*Credit_Assumptions!$G$28+BG69*Credit_Assumptions!$G$29+BG70*Credit_Assumptions!$G$30+BG71*Credit_Assumptions!$G$31+BG72*Credit_Assumptions!$G$32+BG73*Credit_Assumptions!$G$33</f>
        <v/>
      </c>
      <c r="BH75" s="80">
        <f>BH68*Credit_Assumptions!$G$28+BH69*Credit_Assumptions!$G$29+BH70*Credit_Assumptions!$G$30+BH71*Credit_Assumptions!$G$31+BH72*Credit_Assumptions!$G$32+BH73*Credit_Assumptions!$G$33</f>
        <v/>
      </c>
      <c r="BI75" s="80">
        <f>BI68*Credit_Assumptions!$G$28+BI69*Credit_Assumptions!$G$29+BI70*Credit_Assumptions!$G$30+BI71*Credit_Assumptions!$G$31+BI72*Credit_Assumptions!$G$32+BI73*Credit_Assumptions!$G$33</f>
        <v/>
      </c>
      <c r="BJ75" s="80">
        <f>BJ68*Credit_Assumptions!$G$28+BJ69*Credit_Assumptions!$G$29+BJ70*Credit_Assumptions!$G$30+BJ71*Credit_Assumptions!$G$31+BJ72*Credit_Assumptions!$G$32+BJ73*Credit_Assumptions!$G$33</f>
        <v/>
      </c>
      <c r="BK75" s="80">
        <f>BK68*Credit_Assumptions!$G$28+BK69*Credit_Assumptions!$G$29+BK70*Credit_Assumptions!$G$30+BK71*Credit_Assumptions!$G$31+BK72*Credit_Assumptions!$G$32+BK73*Credit_Assumptions!$G$33</f>
        <v/>
      </c>
      <c r="BL75" s="80">
        <f>BL68*Credit_Assumptions!$G$28+BL69*Credit_Assumptions!$G$29+BL70*Credit_Assumptions!$G$30+BL71*Credit_Assumptions!$G$31+BL72*Credit_Assumptions!$G$32+BL73*Credit_Assumptions!$G$33</f>
        <v/>
      </c>
    </row>
    <row r="76">
      <c r="A76" s="98" t="inlineStr">
        <is>
          <t>90+ DPD receivables</t>
        </is>
      </c>
      <c r="B76" s="65" t="inlineStr">
        <is>
          <t>LCY</t>
        </is>
      </c>
      <c r="C76" s="105">
        <f>BL76</f>
        <v/>
      </c>
      <c r="E76" s="80">
        <f>E68*Credit_Assumptions!$H$28+E69*Credit_Assumptions!$H$29+E70*Credit_Assumptions!$H$30+E71*Credit_Assumptions!$H$31+E72*Credit_Assumptions!$H$32+E73*Credit_Assumptions!$H$33</f>
        <v/>
      </c>
      <c r="F76" s="80">
        <f>F68*Credit_Assumptions!$H$28+F69*Credit_Assumptions!$H$29+F70*Credit_Assumptions!$H$30+F71*Credit_Assumptions!$H$31+F72*Credit_Assumptions!$H$32+F73*Credit_Assumptions!$H$33</f>
        <v/>
      </c>
      <c r="G76" s="80">
        <f>G68*Credit_Assumptions!$H$28+G69*Credit_Assumptions!$H$29+G70*Credit_Assumptions!$H$30+G71*Credit_Assumptions!$H$31+G72*Credit_Assumptions!$H$32+G73*Credit_Assumptions!$H$33</f>
        <v/>
      </c>
      <c r="H76" s="80">
        <f>H68*Credit_Assumptions!$H$28+H69*Credit_Assumptions!$H$29+H70*Credit_Assumptions!$H$30+H71*Credit_Assumptions!$H$31+H72*Credit_Assumptions!$H$32+H73*Credit_Assumptions!$H$33</f>
        <v/>
      </c>
      <c r="I76" s="80">
        <f>I68*Credit_Assumptions!$H$28+I69*Credit_Assumptions!$H$29+I70*Credit_Assumptions!$H$30+I71*Credit_Assumptions!$H$31+I72*Credit_Assumptions!$H$32+I73*Credit_Assumptions!$H$33</f>
        <v/>
      </c>
      <c r="J76" s="80">
        <f>J68*Credit_Assumptions!$H$28+J69*Credit_Assumptions!$H$29+J70*Credit_Assumptions!$H$30+J71*Credit_Assumptions!$H$31+J72*Credit_Assumptions!$H$32+J73*Credit_Assumptions!$H$33</f>
        <v/>
      </c>
      <c r="K76" s="80">
        <f>K68*Credit_Assumptions!$H$28+K69*Credit_Assumptions!$H$29+K70*Credit_Assumptions!$H$30+K71*Credit_Assumptions!$H$31+K72*Credit_Assumptions!$H$32+K73*Credit_Assumptions!$H$33</f>
        <v/>
      </c>
      <c r="L76" s="80">
        <f>L68*Credit_Assumptions!$H$28+L69*Credit_Assumptions!$H$29+L70*Credit_Assumptions!$H$30+L71*Credit_Assumptions!$H$31+L72*Credit_Assumptions!$H$32+L73*Credit_Assumptions!$H$33</f>
        <v/>
      </c>
      <c r="M76" s="80">
        <f>M68*Credit_Assumptions!$H$28+M69*Credit_Assumptions!$H$29+M70*Credit_Assumptions!$H$30+M71*Credit_Assumptions!$H$31+M72*Credit_Assumptions!$H$32+M73*Credit_Assumptions!$H$33</f>
        <v/>
      </c>
      <c r="N76" s="80">
        <f>N68*Credit_Assumptions!$H$28+N69*Credit_Assumptions!$H$29+N70*Credit_Assumptions!$H$30+N71*Credit_Assumptions!$H$31+N72*Credit_Assumptions!$H$32+N73*Credit_Assumptions!$H$33</f>
        <v/>
      </c>
      <c r="O76" s="80">
        <f>O68*Credit_Assumptions!$H$28+O69*Credit_Assumptions!$H$29+O70*Credit_Assumptions!$H$30+O71*Credit_Assumptions!$H$31+O72*Credit_Assumptions!$H$32+O73*Credit_Assumptions!$H$33</f>
        <v/>
      </c>
      <c r="P76" s="80">
        <f>P68*Credit_Assumptions!$H$28+P69*Credit_Assumptions!$H$29+P70*Credit_Assumptions!$H$30+P71*Credit_Assumptions!$H$31+P72*Credit_Assumptions!$H$32+P73*Credit_Assumptions!$H$33</f>
        <v/>
      </c>
      <c r="Q76" s="80">
        <f>Q68*Credit_Assumptions!$H$28+Q69*Credit_Assumptions!$H$29+Q70*Credit_Assumptions!$H$30+Q71*Credit_Assumptions!$H$31+Q72*Credit_Assumptions!$H$32+Q73*Credit_Assumptions!$H$33</f>
        <v/>
      </c>
      <c r="R76" s="80">
        <f>R68*Credit_Assumptions!$H$28+R69*Credit_Assumptions!$H$29+R70*Credit_Assumptions!$H$30+R71*Credit_Assumptions!$H$31+R72*Credit_Assumptions!$H$32+R73*Credit_Assumptions!$H$33</f>
        <v/>
      </c>
      <c r="S76" s="80">
        <f>S68*Credit_Assumptions!$H$28+S69*Credit_Assumptions!$H$29+S70*Credit_Assumptions!$H$30+S71*Credit_Assumptions!$H$31+S72*Credit_Assumptions!$H$32+S73*Credit_Assumptions!$H$33</f>
        <v/>
      </c>
      <c r="T76" s="80">
        <f>T68*Credit_Assumptions!$H$28+T69*Credit_Assumptions!$H$29+T70*Credit_Assumptions!$H$30+T71*Credit_Assumptions!$H$31+T72*Credit_Assumptions!$H$32+T73*Credit_Assumptions!$H$33</f>
        <v/>
      </c>
      <c r="U76" s="80">
        <f>U68*Credit_Assumptions!$H$28+U69*Credit_Assumptions!$H$29+U70*Credit_Assumptions!$H$30+U71*Credit_Assumptions!$H$31+U72*Credit_Assumptions!$H$32+U73*Credit_Assumptions!$H$33</f>
        <v/>
      </c>
      <c r="V76" s="80">
        <f>V68*Credit_Assumptions!$H$28+V69*Credit_Assumptions!$H$29+V70*Credit_Assumptions!$H$30+V71*Credit_Assumptions!$H$31+V72*Credit_Assumptions!$H$32+V73*Credit_Assumptions!$H$33</f>
        <v/>
      </c>
      <c r="W76" s="80">
        <f>W68*Credit_Assumptions!$H$28+W69*Credit_Assumptions!$H$29+W70*Credit_Assumptions!$H$30+W71*Credit_Assumptions!$H$31+W72*Credit_Assumptions!$H$32+W73*Credit_Assumptions!$H$33</f>
        <v/>
      </c>
      <c r="X76" s="80">
        <f>X68*Credit_Assumptions!$H$28+X69*Credit_Assumptions!$H$29+X70*Credit_Assumptions!$H$30+X71*Credit_Assumptions!$H$31+X72*Credit_Assumptions!$H$32+X73*Credit_Assumptions!$H$33</f>
        <v/>
      </c>
      <c r="Y76" s="80">
        <f>Y68*Credit_Assumptions!$H$28+Y69*Credit_Assumptions!$H$29+Y70*Credit_Assumptions!$H$30+Y71*Credit_Assumptions!$H$31+Y72*Credit_Assumptions!$H$32+Y73*Credit_Assumptions!$H$33</f>
        <v/>
      </c>
      <c r="Z76" s="80">
        <f>Z68*Credit_Assumptions!$H$28+Z69*Credit_Assumptions!$H$29+Z70*Credit_Assumptions!$H$30+Z71*Credit_Assumptions!$H$31+Z72*Credit_Assumptions!$H$32+Z73*Credit_Assumptions!$H$33</f>
        <v/>
      </c>
      <c r="AA76" s="80">
        <f>AA68*Credit_Assumptions!$H$28+AA69*Credit_Assumptions!$H$29+AA70*Credit_Assumptions!$H$30+AA71*Credit_Assumptions!$H$31+AA72*Credit_Assumptions!$H$32+AA73*Credit_Assumptions!$H$33</f>
        <v/>
      </c>
      <c r="AB76" s="80">
        <f>AB68*Credit_Assumptions!$H$28+AB69*Credit_Assumptions!$H$29+AB70*Credit_Assumptions!$H$30+AB71*Credit_Assumptions!$H$31+AB72*Credit_Assumptions!$H$32+AB73*Credit_Assumptions!$H$33</f>
        <v/>
      </c>
      <c r="AC76" s="80">
        <f>AC68*Credit_Assumptions!$H$28+AC69*Credit_Assumptions!$H$29+AC70*Credit_Assumptions!$H$30+AC71*Credit_Assumptions!$H$31+AC72*Credit_Assumptions!$H$32+AC73*Credit_Assumptions!$H$33</f>
        <v/>
      </c>
      <c r="AD76" s="80">
        <f>AD68*Credit_Assumptions!$H$28+AD69*Credit_Assumptions!$H$29+AD70*Credit_Assumptions!$H$30+AD71*Credit_Assumptions!$H$31+AD72*Credit_Assumptions!$H$32+AD73*Credit_Assumptions!$H$33</f>
        <v/>
      </c>
      <c r="AE76" s="80">
        <f>AE68*Credit_Assumptions!$H$28+AE69*Credit_Assumptions!$H$29+AE70*Credit_Assumptions!$H$30+AE71*Credit_Assumptions!$H$31+AE72*Credit_Assumptions!$H$32+AE73*Credit_Assumptions!$H$33</f>
        <v/>
      </c>
      <c r="AF76" s="80">
        <f>AF68*Credit_Assumptions!$H$28+AF69*Credit_Assumptions!$H$29+AF70*Credit_Assumptions!$H$30+AF71*Credit_Assumptions!$H$31+AF72*Credit_Assumptions!$H$32+AF73*Credit_Assumptions!$H$33</f>
        <v/>
      </c>
      <c r="AG76" s="80">
        <f>AG68*Credit_Assumptions!$H$28+AG69*Credit_Assumptions!$H$29+AG70*Credit_Assumptions!$H$30+AG71*Credit_Assumptions!$H$31+AG72*Credit_Assumptions!$H$32+AG73*Credit_Assumptions!$H$33</f>
        <v/>
      </c>
      <c r="AH76" s="80">
        <f>AH68*Credit_Assumptions!$H$28+AH69*Credit_Assumptions!$H$29+AH70*Credit_Assumptions!$H$30+AH71*Credit_Assumptions!$H$31+AH72*Credit_Assumptions!$H$32+AH73*Credit_Assumptions!$H$33</f>
        <v/>
      </c>
      <c r="AI76" s="80">
        <f>AI68*Credit_Assumptions!$H$28+AI69*Credit_Assumptions!$H$29+AI70*Credit_Assumptions!$H$30+AI71*Credit_Assumptions!$H$31+AI72*Credit_Assumptions!$H$32+AI73*Credit_Assumptions!$H$33</f>
        <v/>
      </c>
      <c r="AJ76" s="80">
        <f>AJ68*Credit_Assumptions!$H$28+AJ69*Credit_Assumptions!$H$29+AJ70*Credit_Assumptions!$H$30+AJ71*Credit_Assumptions!$H$31+AJ72*Credit_Assumptions!$H$32+AJ73*Credit_Assumptions!$H$33</f>
        <v/>
      </c>
      <c r="AK76" s="80">
        <f>AK68*Credit_Assumptions!$H$28+AK69*Credit_Assumptions!$H$29+AK70*Credit_Assumptions!$H$30+AK71*Credit_Assumptions!$H$31+AK72*Credit_Assumptions!$H$32+AK73*Credit_Assumptions!$H$33</f>
        <v/>
      </c>
      <c r="AL76" s="80">
        <f>AL68*Credit_Assumptions!$H$28+AL69*Credit_Assumptions!$H$29+AL70*Credit_Assumptions!$H$30+AL71*Credit_Assumptions!$H$31+AL72*Credit_Assumptions!$H$32+AL73*Credit_Assumptions!$H$33</f>
        <v/>
      </c>
      <c r="AM76" s="80">
        <f>AM68*Credit_Assumptions!$H$28+AM69*Credit_Assumptions!$H$29+AM70*Credit_Assumptions!$H$30+AM71*Credit_Assumptions!$H$31+AM72*Credit_Assumptions!$H$32+AM73*Credit_Assumptions!$H$33</f>
        <v/>
      </c>
      <c r="AN76" s="80">
        <f>AN68*Credit_Assumptions!$H$28+AN69*Credit_Assumptions!$H$29+AN70*Credit_Assumptions!$H$30+AN71*Credit_Assumptions!$H$31+AN72*Credit_Assumptions!$H$32+AN73*Credit_Assumptions!$H$33</f>
        <v/>
      </c>
      <c r="AO76" s="80">
        <f>AO68*Credit_Assumptions!$H$28+AO69*Credit_Assumptions!$H$29+AO70*Credit_Assumptions!$H$30+AO71*Credit_Assumptions!$H$31+AO72*Credit_Assumptions!$H$32+AO73*Credit_Assumptions!$H$33</f>
        <v/>
      </c>
      <c r="AP76" s="80">
        <f>AP68*Credit_Assumptions!$H$28+AP69*Credit_Assumptions!$H$29+AP70*Credit_Assumptions!$H$30+AP71*Credit_Assumptions!$H$31+AP72*Credit_Assumptions!$H$32+AP73*Credit_Assumptions!$H$33</f>
        <v/>
      </c>
      <c r="AQ76" s="80">
        <f>AQ68*Credit_Assumptions!$H$28+AQ69*Credit_Assumptions!$H$29+AQ70*Credit_Assumptions!$H$30+AQ71*Credit_Assumptions!$H$31+AQ72*Credit_Assumptions!$H$32+AQ73*Credit_Assumptions!$H$33</f>
        <v/>
      </c>
      <c r="AR76" s="80">
        <f>AR68*Credit_Assumptions!$H$28+AR69*Credit_Assumptions!$H$29+AR70*Credit_Assumptions!$H$30+AR71*Credit_Assumptions!$H$31+AR72*Credit_Assumptions!$H$32+AR73*Credit_Assumptions!$H$33</f>
        <v/>
      </c>
      <c r="AS76" s="80">
        <f>AS68*Credit_Assumptions!$H$28+AS69*Credit_Assumptions!$H$29+AS70*Credit_Assumptions!$H$30+AS71*Credit_Assumptions!$H$31+AS72*Credit_Assumptions!$H$32+AS73*Credit_Assumptions!$H$33</f>
        <v/>
      </c>
      <c r="AT76" s="80">
        <f>AT68*Credit_Assumptions!$H$28+AT69*Credit_Assumptions!$H$29+AT70*Credit_Assumptions!$H$30+AT71*Credit_Assumptions!$H$31+AT72*Credit_Assumptions!$H$32+AT73*Credit_Assumptions!$H$33</f>
        <v/>
      </c>
      <c r="AU76" s="80">
        <f>AU68*Credit_Assumptions!$H$28+AU69*Credit_Assumptions!$H$29+AU70*Credit_Assumptions!$H$30+AU71*Credit_Assumptions!$H$31+AU72*Credit_Assumptions!$H$32+AU73*Credit_Assumptions!$H$33</f>
        <v/>
      </c>
      <c r="AV76" s="80">
        <f>AV68*Credit_Assumptions!$H$28+AV69*Credit_Assumptions!$H$29+AV70*Credit_Assumptions!$H$30+AV71*Credit_Assumptions!$H$31+AV72*Credit_Assumptions!$H$32+AV73*Credit_Assumptions!$H$33</f>
        <v/>
      </c>
      <c r="AW76" s="80">
        <f>AW68*Credit_Assumptions!$H$28+AW69*Credit_Assumptions!$H$29+AW70*Credit_Assumptions!$H$30+AW71*Credit_Assumptions!$H$31+AW72*Credit_Assumptions!$H$32+AW73*Credit_Assumptions!$H$33</f>
        <v/>
      </c>
      <c r="AX76" s="80">
        <f>AX68*Credit_Assumptions!$H$28+AX69*Credit_Assumptions!$H$29+AX70*Credit_Assumptions!$H$30+AX71*Credit_Assumptions!$H$31+AX72*Credit_Assumptions!$H$32+AX73*Credit_Assumptions!$H$33</f>
        <v/>
      </c>
      <c r="AY76" s="80">
        <f>AY68*Credit_Assumptions!$H$28+AY69*Credit_Assumptions!$H$29+AY70*Credit_Assumptions!$H$30+AY71*Credit_Assumptions!$H$31+AY72*Credit_Assumptions!$H$32+AY73*Credit_Assumptions!$H$33</f>
        <v/>
      </c>
      <c r="AZ76" s="80">
        <f>AZ68*Credit_Assumptions!$H$28+AZ69*Credit_Assumptions!$H$29+AZ70*Credit_Assumptions!$H$30+AZ71*Credit_Assumptions!$H$31+AZ72*Credit_Assumptions!$H$32+AZ73*Credit_Assumptions!$H$33</f>
        <v/>
      </c>
      <c r="BA76" s="80">
        <f>BA68*Credit_Assumptions!$H$28+BA69*Credit_Assumptions!$H$29+BA70*Credit_Assumptions!$H$30+BA71*Credit_Assumptions!$H$31+BA72*Credit_Assumptions!$H$32+BA73*Credit_Assumptions!$H$33</f>
        <v/>
      </c>
      <c r="BB76" s="80">
        <f>BB68*Credit_Assumptions!$H$28+BB69*Credit_Assumptions!$H$29+BB70*Credit_Assumptions!$H$30+BB71*Credit_Assumptions!$H$31+BB72*Credit_Assumptions!$H$32+BB73*Credit_Assumptions!$H$33</f>
        <v/>
      </c>
      <c r="BC76" s="80">
        <f>BC68*Credit_Assumptions!$H$28+BC69*Credit_Assumptions!$H$29+BC70*Credit_Assumptions!$H$30+BC71*Credit_Assumptions!$H$31+BC72*Credit_Assumptions!$H$32+BC73*Credit_Assumptions!$H$33</f>
        <v/>
      </c>
      <c r="BD76" s="80">
        <f>BD68*Credit_Assumptions!$H$28+BD69*Credit_Assumptions!$H$29+BD70*Credit_Assumptions!$H$30+BD71*Credit_Assumptions!$H$31+BD72*Credit_Assumptions!$H$32+BD73*Credit_Assumptions!$H$33</f>
        <v/>
      </c>
      <c r="BE76" s="80">
        <f>BE68*Credit_Assumptions!$H$28+BE69*Credit_Assumptions!$H$29+BE70*Credit_Assumptions!$H$30+BE71*Credit_Assumptions!$H$31+BE72*Credit_Assumptions!$H$32+BE73*Credit_Assumptions!$H$33</f>
        <v/>
      </c>
      <c r="BF76" s="80">
        <f>BF68*Credit_Assumptions!$H$28+BF69*Credit_Assumptions!$H$29+BF70*Credit_Assumptions!$H$30+BF71*Credit_Assumptions!$H$31+BF72*Credit_Assumptions!$H$32+BF73*Credit_Assumptions!$H$33</f>
        <v/>
      </c>
      <c r="BG76" s="80">
        <f>BG68*Credit_Assumptions!$H$28+BG69*Credit_Assumptions!$H$29+BG70*Credit_Assumptions!$H$30+BG71*Credit_Assumptions!$H$31+BG72*Credit_Assumptions!$H$32+BG73*Credit_Assumptions!$H$33</f>
        <v/>
      </c>
      <c r="BH76" s="80">
        <f>BH68*Credit_Assumptions!$H$28+BH69*Credit_Assumptions!$H$29+BH70*Credit_Assumptions!$H$30+BH71*Credit_Assumptions!$H$31+BH72*Credit_Assumptions!$H$32+BH73*Credit_Assumptions!$H$33</f>
        <v/>
      </c>
      <c r="BI76" s="80">
        <f>BI68*Credit_Assumptions!$H$28+BI69*Credit_Assumptions!$H$29+BI70*Credit_Assumptions!$H$30+BI71*Credit_Assumptions!$H$31+BI72*Credit_Assumptions!$H$32+BI73*Credit_Assumptions!$H$33</f>
        <v/>
      </c>
      <c r="BJ76" s="80">
        <f>BJ68*Credit_Assumptions!$H$28+BJ69*Credit_Assumptions!$H$29+BJ70*Credit_Assumptions!$H$30+BJ71*Credit_Assumptions!$H$31+BJ72*Credit_Assumptions!$H$32+BJ73*Credit_Assumptions!$H$33</f>
        <v/>
      </c>
      <c r="BK76" s="80">
        <f>BK68*Credit_Assumptions!$H$28+BK69*Credit_Assumptions!$H$29+BK70*Credit_Assumptions!$H$30+BK71*Credit_Assumptions!$H$31+BK72*Credit_Assumptions!$H$32+BK73*Credit_Assumptions!$H$33</f>
        <v/>
      </c>
      <c r="BL76" s="80">
        <f>BL68*Credit_Assumptions!$H$28+BL69*Credit_Assumptions!$H$29+BL70*Credit_Assumptions!$H$30+BL71*Credit_Assumptions!$H$31+BL72*Credit_Assumptions!$H$32+BL73*Credit_Assumptions!$H$33</f>
        <v/>
      </c>
    </row>
    <row r="77">
      <c r="A77" s="98" t="inlineStr">
        <is>
          <t>Gross resale proceeds</t>
        </is>
      </c>
      <c r="B77" s="65" t="inlineStr">
        <is>
          <t>LCY</t>
        </is>
      </c>
      <c r="C77" s="105">
        <f>SUM(E77:BL77)</f>
        <v/>
      </c>
      <c r="E77" s="80">
        <f>IF(Credit_Assumptions!$C$15&gt;=1,0,Ops!E$44/(1-Credit_Assumptions!$C$15))</f>
        <v/>
      </c>
      <c r="F77" s="80">
        <f>IF(Credit_Assumptions!$C$15&gt;=1,0,Ops!F$44/(1-Credit_Assumptions!$C$15))</f>
        <v/>
      </c>
      <c r="G77" s="80">
        <f>IF(Credit_Assumptions!$C$15&gt;=1,0,Ops!G$44/(1-Credit_Assumptions!$C$15))</f>
        <v/>
      </c>
      <c r="H77" s="80">
        <f>IF(Credit_Assumptions!$C$15&gt;=1,0,Ops!H$44/(1-Credit_Assumptions!$C$15))</f>
        <v/>
      </c>
      <c r="I77" s="80">
        <f>IF(Credit_Assumptions!$C$15&gt;=1,0,Ops!I$44/(1-Credit_Assumptions!$C$15))</f>
        <v/>
      </c>
      <c r="J77" s="80">
        <f>IF(Credit_Assumptions!$C$15&gt;=1,0,Ops!J$44/(1-Credit_Assumptions!$C$15))</f>
        <v/>
      </c>
      <c r="K77" s="80">
        <f>IF(Credit_Assumptions!$C$15&gt;=1,0,Ops!K$44/(1-Credit_Assumptions!$C$15))</f>
        <v/>
      </c>
      <c r="L77" s="80">
        <f>IF(Credit_Assumptions!$C$15&gt;=1,0,Ops!L$44/(1-Credit_Assumptions!$C$15))</f>
        <v/>
      </c>
      <c r="M77" s="80">
        <f>IF(Credit_Assumptions!$C$15&gt;=1,0,Ops!M$44/(1-Credit_Assumptions!$C$15))</f>
        <v/>
      </c>
      <c r="N77" s="80">
        <f>IF(Credit_Assumptions!$C$15&gt;=1,0,Ops!N$44/(1-Credit_Assumptions!$C$15))</f>
        <v/>
      </c>
      <c r="O77" s="80">
        <f>IF(Credit_Assumptions!$C$15&gt;=1,0,Ops!O$44/(1-Credit_Assumptions!$C$15))</f>
        <v/>
      </c>
      <c r="P77" s="80">
        <f>IF(Credit_Assumptions!$C$15&gt;=1,0,Ops!P$44/(1-Credit_Assumptions!$C$15))</f>
        <v/>
      </c>
      <c r="Q77" s="80">
        <f>IF(Credit_Assumptions!$C$15&gt;=1,0,Ops!Q$44/(1-Credit_Assumptions!$C$15))</f>
        <v/>
      </c>
      <c r="R77" s="80">
        <f>IF(Credit_Assumptions!$C$15&gt;=1,0,Ops!R$44/(1-Credit_Assumptions!$C$15))</f>
        <v/>
      </c>
      <c r="S77" s="80">
        <f>IF(Credit_Assumptions!$C$15&gt;=1,0,Ops!S$44/(1-Credit_Assumptions!$C$15))</f>
        <v/>
      </c>
      <c r="T77" s="80">
        <f>IF(Credit_Assumptions!$C$15&gt;=1,0,Ops!T$44/(1-Credit_Assumptions!$C$15))</f>
        <v/>
      </c>
      <c r="U77" s="80">
        <f>IF(Credit_Assumptions!$C$15&gt;=1,0,Ops!U$44/(1-Credit_Assumptions!$C$15))</f>
        <v/>
      </c>
      <c r="V77" s="80">
        <f>IF(Credit_Assumptions!$C$15&gt;=1,0,Ops!V$44/(1-Credit_Assumptions!$C$15))</f>
        <v/>
      </c>
      <c r="W77" s="80">
        <f>IF(Credit_Assumptions!$C$15&gt;=1,0,Ops!W$44/(1-Credit_Assumptions!$C$15))</f>
        <v/>
      </c>
      <c r="X77" s="80">
        <f>IF(Credit_Assumptions!$C$15&gt;=1,0,Ops!X$44/(1-Credit_Assumptions!$C$15))</f>
        <v/>
      </c>
      <c r="Y77" s="80">
        <f>IF(Credit_Assumptions!$C$15&gt;=1,0,Ops!Y$44/(1-Credit_Assumptions!$C$15))</f>
        <v/>
      </c>
      <c r="Z77" s="80">
        <f>IF(Credit_Assumptions!$C$15&gt;=1,0,Ops!Z$44/(1-Credit_Assumptions!$C$15))</f>
        <v/>
      </c>
      <c r="AA77" s="80">
        <f>IF(Credit_Assumptions!$C$15&gt;=1,0,Ops!AA$44/(1-Credit_Assumptions!$C$15))</f>
        <v/>
      </c>
      <c r="AB77" s="80">
        <f>IF(Credit_Assumptions!$C$15&gt;=1,0,Ops!AB$44/(1-Credit_Assumptions!$C$15))</f>
        <v/>
      </c>
      <c r="AC77" s="80">
        <f>IF(Credit_Assumptions!$C$15&gt;=1,0,Ops!AC$44/(1-Credit_Assumptions!$C$15))</f>
        <v/>
      </c>
      <c r="AD77" s="80">
        <f>IF(Credit_Assumptions!$C$15&gt;=1,0,Ops!AD$44/(1-Credit_Assumptions!$C$15))</f>
        <v/>
      </c>
      <c r="AE77" s="80">
        <f>IF(Credit_Assumptions!$C$15&gt;=1,0,Ops!AE$44/(1-Credit_Assumptions!$C$15))</f>
        <v/>
      </c>
      <c r="AF77" s="80">
        <f>IF(Credit_Assumptions!$C$15&gt;=1,0,Ops!AF$44/(1-Credit_Assumptions!$C$15))</f>
        <v/>
      </c>
      <c r="AG77" s="80">
        <f>IF(Credit_Assumptions!$C$15&gt;=1,0,Ops!AG$44/(1-Credit_Assumptions!$C$15))</f>
        <v/>
      </c>
      <c r="AH77" s="80">
        <f>IF(Credit_Assumptions!$C$15&gt;=1,0,Ops!AH$44/(1-Credit_Assumptions!$C$15))</f>
        <v/>
      </c>
      <c r="AI77" s="80">
        <f>IF(Credit_Assumptions!$C$15&gt;=1,0,Ops!AI$44/(1-Credit_Assumptions!$C$15))</f>
        <v/>
      </c>
      <c r="AJ77" s="80">
        <f>IF(Credit_Assumptions!$C$15&gt;=1,0,Ops!AJ$44/(1-Credit_Assumptions!$C$15))</f>
        <v/>
      </c>
      <c r="AK77" s="80">
        <f>IF(Credit_Assumptions!$C$15&gt;=1,0,Ops!AK$44/(1-Credit_Assumptions!$C$15))</f>
        <v/>
      </c>
      <c r="AL77" s="80">
        <f>IF(Credit_Assumptions!$C$15&gt;=1,0,Ops!AL$44/(1-Credit_Assumptions!$C$15))</f>
        <v/>
      </c>
      <c r="AM77" s="80">
        <f>IF(Credit_Assumptions!$C$15&gt;=1,0,Ops!AM$44/(1-Credit_Assumptions!$C$15))</f>
        <v/>
      </c>
      <c r="AN77" s="80">
        <f>IF(Credit_Assumptions!$C$15&gt;=1,0,Ops!AN$44/(1-Credit_Assumptions!$C$15))</f>
        <v/>
      </c>
      <c r="AO77" s="80">
        <f>IF(Credit_Assumptions!$C$15&gt;=1,0,Ops!AO$44/(1-Credit_Assumptions!$C$15))</f>
        <v/>
      </c>
      <c r="AP77" s="80">
        <f>IF(Credit_Assumptions!$C$15&gt;=1,0,Ops!AP$44/(1-Credit_Assumptions!$C$15))</f>
        <v/>
      </c>
      <c r="AQ77" s="80">
        <f>IF(Credit_Assumptions!$C$15&gt;=1,0,Ops!AQ$44/(1-Credit_Assumptions!$C$15))</f>
        <v/>
      </c>
      <c r="AR77" s="80">
        <f>IF(Credit_Assumptions!$C$15&gt;=1,0,Ops!AR$44/(1-Credit_Assumptions!$C$15))</f>
        <v/>
      </c>
      <c r="AS77" s="80">
        <f>IF(Credit_Assumptions!$C$15&gt;=1,0,Ops!AS$44/(1-Credit_Assumptions!$C$15))</f>
        <v/>
      </c>
      <c r="AT77" s="80">
        <f>IF(Credit_Assumptions!$C$15&gt;=1,0,Ops!AT$44/(1-Credit_Assumptions!$C$15))</f>
        <v/>
      </c>
      <c r="AU77" s="80">
        <f>IF(Credit_Assumptions!$C$15&gt;=1,0,Ops!AU$44/(1-Credit_Assumptions!$C$15))</f>
        <v/>
      </c>
      <c r="AV77" s="80">
        <f>IF(Credit_Assumptions!$C$15&gt;=1,0,Ops!AV$44/(1-Credit_Assumptions!$C$15))</f>
        <v/>
      </c>
      <c r="AW77" s="80">
        <f>IF(Credit_Assumptions!$C$15&gt;=1,0,Ops!AW$44/(1-Credit_Assumptions!$C$15))</f>
        <v/>
      </c>
      <c r="AX77" s="80">
        <f>IF(Credit_Assumptions!$C$15&gt;=1,0,Ops!AX$44/(1-Credit_Assumptions!$C$15))</f>
        <v/>
      </c>
      <c r="AY77" s="80">
        <f>IF(Credit_Assumptions!$C$15&gt;=1,0,Ops!AY$44/(1-Credit_Assumptions!$C$15))</f>
        <v/>
      </c>
      <c r="AZ77" s="80">
        <f>IF(Credit_Assumptions!$C$15&gt;=1,0,Ops!AZ$44/(1-Credit_Assumptions!$C$15))</f>
        <v/>
      </c>
      <c r="BA77" s="80">
        <f>IF(Credit_Assumptions!$C$15&gt;=1,0,Ops!BA$44/(1-Credit_Assumptions!$C$15))</f>
        <v/>
      </c>
      <c r="BB77" s="80">
        <f>IF(Credit_Assumptions!$C$15&gt;=1,0,Ops!BB$44/(1-Credit_Assumptions!$C$15))</f>
        <v/>
      </c>
      <c r="BC77" s="80">
        <f>IF(Credit_Assumptions!$C$15&gt;=1,0,Ops!BC$44/(1-Credit_Assumptions!$C$15))</f>
        <v/>
      </c>
      <c r="BD77" s="80">
        <f>IF(Credit_Assumptions!$C$15&gt;=1,0,Ops!BD$44/(1-Credit_Assumptions!$C$15))</f>
        <v/>
      </c>
      <c r="BE77" s="80">
        <f>IF(Credit_Assumptions!$C$15&gt;=1,0,Ops!BE$44/(1-Credit_Assumptions!$C$15))</f>
        <v/>
      </c>
      <c r="BF77" s="80">
        <f>IF(Credit_Assumptions!$C$15&gt;=1,0,Ops!BF$44/(1-Credit_Assumptions!$C$15))</f>
        <v/>
      </c>
      <c r="BG77" s="80">
        <f>IF(Credit_Assumptions!$C$15&gt;=1,0,Ops!BG$44/(1-Credit_Assumptions!$C$15))</f>
        <v/>
      </c>
      <c r="BH77" s="80">
        <f>IF(Credit_Assumptions!$C$15&gt;=1,0,Ops!BH$44/(1-Credit_Assumptions!$C$15))</f>
        <v/>
      </c>
      <c r="BI77" s="80">
        <f>IF(Credit_Assumptions!$C$15&gt;=1,0,Ops!BI$44/(1-Credit_Assumptions!$C$15))</f>
        <v/>
      </c>
      <c r="BJ77" s="80">
        <f>IF(Credit_Assumptions!$C$15&gt;=1,0,Ops!BJ$44/(1-Credit_Assumptions!$C$15))</f>
        <v/>
      </c>
      <c r="BK77" s="80">
        <f>IF(Credit_Assumptions!$C$15&gt;=1,0,Ops!BK$44/(1-Credit_Assumptions!$C$15))</f>
        <v/>
      </c>
      <c r="BL77" s="80">
        <f>IF(Credit_Assumptions!$C$15&gt;=1,0,Ops!BL$44/(1-Credit_Assumptions!$C$15))</f>
        <v/>
      </c>
    </row>
    <row r="78">
      <c r="A78" s="98" t="inlineStr">
        <is>
          <t>Recovery costs</t>
        </is>
      </c>
      <c r="B78" s="65" t="inlineStr">
        <is>
          <t>LCY</t>
        </is>
      </c>
      <c r="C78" s="105">
        <f>SUM(E78:BL78)</f>
        <v/>
      </c>
      <c r="E78" s="80">
        <f>E77-Ops!E$44</f>
        <v/>
      </c>
      <c r="F78" s="80">
        <f>F77-Ops!F$44</f>
        <v/>
      </c>
      <c r="G78" s="80">
        <f>G77-Ops!G$44</f>
        <v/>
      </c>
      <c r="H78" s="80">
        <f>H77-Ops!H$44</f>
        <v/>
      </c>
      <c r="I78" s="80">
        <f>I77-Ops!I$44</f>
        <v/>
      </c>
      <c r="J78" s="80">
        <f>J77-Ops!J$44</f>
        <v/>
      </c>
      <c r="K78" s="80">
        <f>K77-Ops!K$44</f>
        <v/>
      </c>
      <c r="L78" s="80">
        <f>L77-Ops!L$44</f>
        <v/>
      </c>
      <c r="M78" s="80">
        <f>M77-Ops!M$44</f>
        <v/>
      </c>
      <c r="N78" s="80">
        <f>N77-Ops!N$44</f>
        <v/>
      </c>
      <c r="O78" s="80">
        <f>O77-Ops!O$44</f>
        <v/>
      </c>
      <c r="P78" s="80">
        <f>P77-Ops!P$44</f>
        <v/>
      </c>
      <c r="Q78" s="80">
        <f>Q77-Ops!Q$44</f>
        <v/>
      </c>
      <c r="R78" s="80">
        <f>R77-Ops!R$44</f>
        <v/>
      </c>
      <c r="S78" s="80">
        <f>S77-Ops!S$44</f>
        <v/>
      </c>
      <c r="T78" s="80">
        <f>T77-Ops!T$44</f>
        <v/>
      </c>
      <c r="U78" s="80">
        <f>U77-Ops!U$44</f>
        <v/>
      </c>
      <c r="V78" s="80">
        <f>V77-Ops!V$44</f>
        <v/>
      </c>
      <c r="W78" s="80">
        <f>W77-Ops!W$44</f>
        <v/>
      </c>
      <c r="X78" s="80">
        <f>X77-Ops!X$44</f>
        <v/>
      </c>
      <c r="Y78" s="80">
        <f>Y77-Ops!Y$44</f>
        <v/>
      </c>
      <c r="Z78" s="80">
        <f>Z77-Ops!Z$44</f>
        <v/>
      </c>
      <c r="AA78" s="80">
        <f>AA77-Ops!AA$44</f>
        <v/>
      </c>
      <c r="AB78" s="80">
        <f>AB77-Ops!AB$44</f>
        <v/>
      </c>
      <c r="AC78" s="80">
        <f>AC77-Ops!AC$44</f>
        <v/>
      </c>
      <c r="AD78" s="80">
        <f>AD77-Ops!AD$44</f>
        <v/>
      </c>
      <c r="AE78" s="80">
        <f>AE77-Ops!AE$44</f>
        <v/>
      </c>
      <c r="AF78" s="80">
        <f>AF77-Ops!AF$44</f>
        <v/>
      </c>
      <c r="AG78" s="80">
        <f>AG77-Ops!AG$44</f>
        <v/>
      </c>
      <c r="AH78" s="80">
        <f>AH77-Ops!AH$44</f>
        <v/>
      </c>
      <c r="AI78" s="80">
        <f>AI77-Ops!AI$44</f>
        <v/>
      </c>
      <c r="AJ78" s="80">
        <f>AJ77-Ops!AJ$44</f>
        <v/>
      </c>
      <c r="AK78" s="80">
        <f>AK77-Ops!AK$44</f>
        <v/>
      </c>
      <c r="AL78" s="80">
        <f>AL77-Ops!AL$44</f>
        <v/>
      </c>
      <c r="AM78" s="80">
        <f>AM77-Ops!AM$44</f>
        <v/>
      </c>
      <c r="AN78" s="80">
        <f>AN77-Ops!AN$44</f>
        <v/>
      </c>
      <c r="AO78" s="80">
        <f>AO77-Ops!AO$44</f>
        <v/>
      </c>
      <c r="AP78" s="80">
        <f>AP77-Ops!AP$44</f>
        <v/>
      </c>
      <c r="AQ78" s="80">
        <f>AQ77-Ops!AQ$44</f>
        <v/>
      </c>
      <c r="AR78" s="80">
        <f>AR77-Ops!AR$44</f>
        <v/>
      </c>
      <c r="AS78" s="80">
        <f>AS77-Ops!AS$44</f>
        <v/>
      </c>
      <c r="AT78" s="80">
        <f>AT77-Ops!AT$44</f>
        <v/>
      </c>
      <c r="AU78" s="80">
        <f>AU77-Ops!AU$44</f>
        <v/>
      </c>
      <c r="AV78" s="80">
        <f>AV77-Ops!AV$44</f>
        <v/>
      </c>
      <c r="AW78" s="80">
        <f>AW77-Ops!AW$44</f>
        <v/>
      </c>
      <c r="AX78" s="80">
        <f>AX77-Ops!AX$44</f>
        <v/>
      </c>
      <c r="AY78" s="80">
        <f>AY77-Ops!AY$44</f>
        <v/>
      </c>
      <c r="AZ78" s="80">
        <f>AZ77-Ops!AZ$44</f>
        <v/>
      </c>
      <c r="BA78" s="80">
        <f>BA77-Ops!BA$44</f>
        <v/>
      </c>
      <c r="BB78" s="80">
        <f>BB77-Ops!BB$44</f>
        <v/>
      </c>
      <c r="BC78" s="80">
        <f>BC77-Ops!BC$44</f>
        <v/>
      </c>
      <c r="BD78" s="80">
        <f>BD77-Ops!BD$44</f>
        <v/>
      </c>
      <c r="BE78" s="80">
        <f>BE77-Ops!BE$44</f>
        <v/>
      </c>
      <c r="BF78" s="80">
        <f>BF77-Ops!BF$44</f>
        <v/>
      </c>
      <c r="BG78" s="80">
        <f>BG77-Ops!BG$44</f>
        <v/>
      </c>
      <c r="BH78" s="80">
        <f>BH77-Ops!BH$44</f>
        <v/>
      </c>
      <c r="BI78" s="80">
        <f>BI77-Ops!BI$44</f>
        <v/>
      </c>
      <c r="BJ78" s="80">
        <f>BJ77-Ops!BJ$44</f>
        <v/>
      </c>
      <c r="BK78" s="80">
        <f>BK77-Ops!BK$44</f>
        <v/>
      </c>
      <c r="BL78" s="80">
        <f>BL77-Ops!BL$44</f>
        <v/>
      </c>
    </row>
    <row r="79">
      <c r="A79" s="98" t="inlineStr">
        <is>
          <t>Repossessions (units, approx.)</t>
        </is>
      </c>
      <c r="B79" s="65" t="inlineStr">
        <is>
          <t>LCY</t>
        </is>
      </c>
      <c r="C79" s="105">
        <f>SUM(E79:BL79)</f>
        <v/>
      </c>
      <c r="E79" s="80">
        <f>IFERROR(E77/(Products!$D$28*Products!$D$13*Timeline!E$10),0)</f>
        <v/>
      </c>
      <c r="F79" s="80">
        <f>IFERROR(F77/(Products!$D$28*Products!$D$13*Timeline!F$10),0)</f>
        <v/>
      </c>
      <c r="G79" s="80">
        <f>IFERROR(G77/(Products!$D$28*Products!$D$13*Timeline!G$10),0)</f>
        <v/>
      </c>
      <c r="H79" s="80">
        <f>IFERROR(H77/(Products!$D$28*Products!$D$13*Timeline!H$10),0)</f>
        <v/>
      </c>
      <c r="I79" s="80">
        <f>IFERROR(I77/(Products!$D$28*Products!$D$13*Timeline!I$10),0)</f>
        <v/>
      </c>
      <c r="J79" s="80">
        <f>IFERROR(J77/(Products!$D$28*Products!$D$13*Timeline!J$10),0)</f>
        <v/>
      </c>
      <c r="K79" s="80">
        <f>IFERROR(K77/(Products!$D$28*Products!$D$13*Timeline!K$10),0)</f>
        <v/>
      </c>
      <c r="L79" s="80">
        <f>IFERROR(L77/(Products!$D$28*Products!$D$13*Timeline!L$10),0)</f>
        <v/>
      </c>
      <c r="M79" s="80">
        <f>IFERROR(M77/(Products!$D$28*Products!$D$13*Timeline!M$10),0)</f>
        <v/>
      </c>
      <c r="N79" s="80">
        <f>IFERROR(N77/(Products!$D$28*Products!$D$13*Timeline!N$10),0)</f>
        <v/>
      </c>
      <c r="O79" s="80">
        <f>IFERROR(O77/(Products!$D$28*Products!$D$13*Timeline!O$10),0)</f>
        <v/>
      </c>
      <c r="P79" s="80">
        <f>IFERROR(P77/(Products!$D$28*Products!$D$13*Timeline!P$10),0)</f>
        <v/>
      </c>
      <c r="Q79" s="80">
        <f>IFERROR(Q77/(Products!$D$28*Products!$D$13*Timeline!Q$10),0)</f>
        <v/>
      </c>
      <c r="R79" s="80">
        <f>IFERROR(R77/(Products!$D$28*Products!$D$13*Timeline!R$10),0)</f>
        <v/>
      </c>
      <c r="S79" s="80">
        <f>IFERROR(S77/(Products!$D$28*Products!$D$13*Timeline!S$10),0)</f>
        <v/>
      </c>
      <c r="T79" s="80">
        <f>IFERROR(T77/(Products!$D$28*Products!$D$13*Timeline!T$10),0)</f>
        <v/>
      </c>
      <c r="U79" s="80">
        <f>IFERROR(U77/(Products!$D$28*Products!$D$13*Timeline!U$10),0)</f>
        <v/>
      </c>
      <c r="V79" s="80">
        <f>IFERROR(V77/(Products!$D$28*Products!$D$13*Timeline!V$10),0)</f>
        <v/>
      </c>
      <c r="W79" s="80">
        <f>IFERROR(W77/(Products!$D$28*Products!$D$13*Timeline!W$10),0)</f>
        <v/>
      </c>
      <c r="X79" s="80">
        <f>IFERROR(X77/(Products!$D$28*Products!$D$13*Timeline!X$10),0)</f>
        <v/>
      </c>
      <c r="Y79" s="80">
        <f>IFERROR(Y77/(Products!$D$28*Products!$D$13*Timeline!Y$10),0)</f>
        <v/>
      </c>
      <c r="Z79" s="80">
        <f>IFERROR(Z77/(Products!$D$28*Products!$D$13*Timeline!Z$10),0)</f>
        <v/>
      </c>
      <c r="AA79" s="80">
        <f>IFERROR(AA77/(Products!$D$28*Products!$D$13*Timeline!AA$10),0)</f>
        <v/>
      </c>
      <c r="AB79" s="80">
        <f>IFERROR(AB77/(Products!$D$28*Products!$D$13*Timeline!AB$10),0)</f>
        <v/>
      </c>
      <c r="AC79" s="80">
        <f>IFERROR(AC77/(Products!$D$28*Products!$D$13*Timeline!AC$10),0)</f>
        <v/>
      </c>
      <c r="AD79" s="80">
        <f>IFERROR(AD77/(Products!$D$28*Products!$D$13*Timeline!AD$10),0)</f>
        <v/>
      </c>
      <c r="AE79" s="80">
        <f>IFERROR(AE77/(Products!$D$28*Products!$D$13*Timeline!AE$10),0)</f>
        <v/>
      </c>
      <c r="AF79" s="80">
        <f>IFERROR(AF77/(Products!$D$28*Products!$D$13*Timeline!AF$10),0)</f>
        <v/>
      </c>
      <c r="AG79" s="80">
        <f>IFERROR(AG77/(Products!$D$28*Products!$D$13*Timeline!AG$10),0)</f>
        <v/>
      </c>
      <c r="AH79" s="80">
        <f>IFERROR(AH77/(Products!$D$28*Products!$D$13*Timeline!AH$10),0)</f>
        <v/>
      </c>
      <c r="AI79" s="80">
        <f>IFERROR(AI77/(Products!$D$28*Products!$D$13*Timeline!AI$10),0)</f>
        <v/>
      </c>
      <c r="AJ79" s="80">
        <f>IFERROR(AJ77/(Products!$D$28*Products!$D$13*Timeline!AJ$10),0)</f>
        <v/>
      </c>
      <c r="AK79" s="80">
        <f>IFERROR(AK77/(Products!$D$28*Products!$D$13*Timeline!AK$10),0)</f>
        <v/>
      </c>
      <c r="AL79" s="80">
        <f>IFERROR(AL77/(Products!$D$28*Products!$D$13*Timeline!AL$10),0)</f>
        <v/>
      </c>
      <c r="AM79" s="80">
        <f>IFERROR(AM77/(Products!$D$28*Products!$D$13*Timeline!AM$10),0)</f>
        <v/>
      </c>
      <c r="AN79" s="80">
        <f>IFERROR(AN77/(Products!$D$28*Products!$D$13*Timeline!AN$10),0)</f>
        <v/>
      </c>
      <c r="AO79" s="80">
        <f>IFERROR(AO77/(Products!$D$28*Products!$D$13*Timeline!AO$10),0)</f>
        <v/>
      </c>
      <c r="AP79" s="80">
        <f>IFERROR(AP77/(Products!$D$28*Products!$D$13*Timeline!AP$10),0)</f>
        <v/>
      </c>
      <c r="AQ79" s="80">
        <f>IFERROR(AQ77/(Products!$D$28*Products!$D$13*Timeline!AQ$10),0)</f>
        <v/>
      </c>
      <c r="AR79" s="80">
        <f>IFERROR(AR77/(Products!$D$28*Products!$D$13*Timeline!AR$10),0)</f>
        <v/>
      </c>
      <c r="AS79" s="80">
        <f>IFERROR(AS77/(Products!$D$28*Products!$D$13*Timeline!AS$10),0)</f>
        <v/>
      </c>
      <c r="AT79" s="80">
        <f>IFERROR(AT77/(Products!$D$28*Products!$D$13*Timeline!AT$10),0)</f>
        <v/>
      </c>
      <c r="AU79" s="80">
        <f>IFERROR(AU77/(Products!$D$28*Products!$D$13*Timeline!AU$10),0)</f>
        <v/>
      </c>
      <c r="AV79" s="80">
        <f>IFERROR(AV77/(Products!$D$28*Products!$D$13*Timeline!AV$10),0)</f>
        <v/>
      </c>
      <c r="AW79" s="80">
        <f>IFERROR(AW77/(Products!$D$28*Products!$D$13*Timeline!AW$10),0)</f>
        <v/>
      </c>
      <c r="AX79" s="80">
        <f>IFERROR(AX77/(Products!$D$28*Products!$D$13*Timeline!AX$10),0)</f>
        <v/>
      </c>
      <c r="AY79" s="80">
        <f>IFERROR(AY77/(Products!$D$28*Products!$D$13*Timeline!AY$10),0)</f>
        <v/>
      </c>
      <c r="AZ79" s="80">
        <f>IFERROR(AZ77/(Products!$D$28*Products!$D$13*Timeline!AZ$10),0)</f>
        <v/>
      </c>
      <c r="BA79" s="80">
        <f>IFERROR(BA77/(Products!$D$28*Products!$D$13*Timeline!BA$10),0)</f>
        <v/>
      </c>
      <c r="BB79" s="80">
        <f>IFERROR(BB77/(Products!$D$28*Products!$D$13*Timeline!BB$10),0)</f>
        <v/>
      </c>
      <c r="BC79" s="80">
        <f>IFERROR(BC77/(Products!$D$28*Products!$D$13*Timeline!BC$10),0)</f>
        <v/>
      </c>
      <c r="BD79" s="80">
        <f>IFERROR(BD77/(Products!$D$28*Products!$D$13*Timeline!BD$10),0)</f>
        <v/>
      </c>
      <c r="BE79" s="80">
        <f>IFERROR(BE77/(Products!$D$28*Products!$D$13*Timeline!BE$10),0)</f>
        <v/>
      </c>
      <c r="BF79" s="80">
        <f>IFERROR(BF77/(Products!$D$28*Products!$D$13*Timeline!BF$10),0)</f>
        <v/>
      </c>
      <c r="BG79" s="80">
        <f>IFERROR(BG77/(Products!$D$28*Products!$D$13*Timeline!BG$10),0)</f>
        <v/>
      </c>
      <c r="BH79" s="80">
        <f>IFERROR(BH77/(Products!$D$28*Products!$D$13*Timeline!BH$10),0)</f>
        <v/>
      </c>
      <c r="BI79" s="80">
        <f>IFERROR(BI77/(Products!$D$28*Products!$D$13*Timeline!BI$10),0)</f>
        <v/>
      </c>
      <c r="BJ79" s="80">
        <f>IFERROR(BJ77/(Products!$D$28*Products!$D$13*Timeline!BJ$10),0)</f>
        <v/>
      </c>
      <c r="BK79" s="80">
        <f>IFERROR(BK77/(Products!$D$28*Products!$D$13*Timeline!BK$10),0)</f>
        <v/>
      </c>
      <c r="BL79" s="80">
        <f>IFERROR(BL77/(Products!$D$28*Products!$D$13*Timeline!BL$10),0)</f>
        <v/>
      </c>
    </row>
    <row r="80">
      <c r="A80" s="98" t="inlineStr">
        <is>
          <t>Cures (proxy engine: none)</t>
        </is>
      </c>
      <c r="B80" s="65" t="inlineStr">
        <is>
          <t>LCY</t>
        </is>
      </c>
      <c r="C80" s="105">
        <f>SUM(E80:BL80)</f>
        <v/>
      </c>
      <c r="E80" s="80">
        <f>0</f>
        <v/>
      </c>
      <c r="F80" s="80">
        <f>0</f>
        <v/>
      </c>
      <c r="G80" s="80">
        <f>0</f>
        <v/>
      </c>
      <c r="H80" s="80">
        <f>0</f>
        <v/>
      </c>
      <c r="I80" s="80">
        <f>0</f>
        <v/>
      </c>
      <c r="J80" s="80">
        <f>0</f>
        <v/>
      </c>
      <c r="K80" s="80">
        <f>0</f>
        <v/>
      </c>
      <c r="L80" s="80">
        <f>0</f>
        <v/>
      </c>
      <c r="M80" s="80">
        <f>0</f>
        <v/>
      </c>
      <c r="N80" s="80">
        <f>0</f>
        <v/>
      </c>
      <c r="O80" s="80">
        <f>0</f>
        <v/>
      </c>
      <c r="P80" s="80">
        <f>0</f>
        <v/>
      </c>
      <c r="Q80" s="80">
        <f>0</f>
        <v/>
      </c>
      <c r="R80" s="80">
        <f>0</f>
        <v/>
      </c>
      <c r="S80" s="80">
        <f>0</f>
        <v/>
      </c>
      <c r="T80" s="80">
        <f>0</f>
        <v/>
      </c>
      <c r="U80" s="80">
        <f>0</f>
        <v/>
      </c>
      <c r="V80" s="80">
        <f>0</f>
        <v/>
      </c>
      <c r="W80" s="80">
        <f>0</f>
        <v/>
      </c>
      <c r="X80" s="80">
        <f>0</f>
        <v/>
      </c>
      <c r="Y80" s="80">
        <f>0</f>
        <v/>
      </c>
      <c r="Z80" s="80">
        <f>0</f>
        <v/>
      </c>
      <c r="AA80" s="80">
        <f>0</f>
        <v/>
      </c>
      <c r="AB80" s="80">
        <f>0</f>
        <v/>
      </c>
      <c r="AC80" s="80">
        <f>0</f>
        <v/>
      </c>
      <c r="AD80" s="80">
        <f>0</f>
        <v/>
      </c>
      <c r="AE80" s="80">
        <f>0</f>
        <v/>
      </c>
      <c r="AF80" s="80">
        <f>0</f>
        <v/>
      </c>
      <c r="AG80" s="80">
        <f>0</f>
        <v/>
      </c>
      <c r="AH80" s="80">
        <f>0</f>
        <v/>
      </c>
      <c r="AI80" s="80">
        <f>0</f>
        <v/>
      </c>
      <c r="AJ80" s="80">
        <f>0</f>
        <v/>
      </c>
      <c r="AK80" s="80">
        <f>0</f>
        <v/>
      </c>
      <c r="AL80" s="80">
        <f>0</f>
        <v/>
      </c>
      <c r="AM80" s="80">
        <f>0</f>
        <v/>
      </c>
      <c r="AN80" s="80">
        <f>0</f>
        <v/>
      </c>
      <c r="AO80" s="80">
        <f>0</f>
        <v/>
      </c>
      <c r="AP80" s="80">
        <f>0</f>
        <v/>
      </c>
      <c r="AQ80" s="80">
        <f>0</f>
        <v/>
      </c>
      <c r="AR80" s="80">
        <f>0</f>
        <v/>
      </c>
      <c r="AS80" s="80">
        <f>0</f>
        <v/>
      </c>
      <c r="AT80" s="80">
        <f>0</f>
        <v/>
      </c>
      <c r="AU80" s="80">
        <f>0</f>
        <v/>
      </c>
      <c r="AV80" s="80">
        <f>0</f>
        <v/>
      </c>
      <c r="AW80" s="80">
        <f>0</f>
        <v/>
      </c>
      <c r="AX80" s="80">
        <f>0</f>
        <v/>
      </c>
      <c r="AY80" s="80">
        <f>0</f>
        <v/>
      </c>
      <c r="AZ80" s="80">
        <f>0</f>
        <v/>
      </c>
      <c r="BA80" s="80">
        <f>0</f>
        <v/>
      </c>
      <c r="BB80" s="80">
        <f>0</f>
        <v/>
      </c>
      <c r="BC80" s="80">
        <f>0</f>
        <v/>
      </c>
      <c r="BD80" s="80">
        <f>0</f>
        <v/>
      </c>
      <c r="BE80" s="80">
        <f>0</f>
        <v/>
      </c>
      <c r="BF80" s="80">
        <f>0</f>
        <v/>
      </c>
      <c r="BG80" s="80">
        <f>0</f>
        <v/>
      </c>
      <c r="BH80" s="80">
        <f>0</f>
        <v/>
      </c>
      <c r="BI80" s="80">
        <f>0</f>
        <v/>
      </c>
      <c r="BJ80" s="80">
        <f>0</f>
        <v/>
      </c>
      <c r="BK80" s="80">
        <f>0</f>
        <v/>
      </c>
      <c r="BL80" s="80">
        <f>0</f>
        <v/>
      </c>
    </row>
    <row r="81">
      <c r="A81" s="98" t="inlineStr">
        <is>
          <t>Write-offs</t>
        </is>
      </c>
      <c r="B81" s="65" t="inlineStr">
        <is>
          <t>LCY</t>
        </is>
      </c>
      <c r="C81" s="105">
        <f>SUM(E81:BL81)</f>
        <v/>
      </c>
      <c r="E81" s="41">
        <f>Ops!E$41</f>
        <v/>
      </c>
      <c r="F81" s="41">
        <f>Ops!F$41</f>
        <v/>
      </c>
      <c r="G81" s="41">
        <f>Ops!G$41</f>
        <v/>
      </c>
      <c r="H81" s="41">
        <f>Ops!H$41</f>
        <v/>
      </c>
      <c r="I81" s="41">
        <f>Ops!I$41</f>
        <v/>
      </c>
      <c r="J81" s="41">
        <f>Ops!J$41</f>
        <v/>
      </c>
      <c r="K81" s="41">
        <f>Ops!K$41</f>
        <v/>
      </c>
      <c r="L81" s="41">
        <f>Ops!L$41</f>
        <v/>
      </c>
      <c r="M81" s="41">
        <f>Ops!M$41</f>
        <v/>
      </c>
      <c r="N81" s="41">
        <f>Ops!N$41</f>
        <v/>
      </c>
      <c r="O81" s="41">
        <f>Ops!O$41</f>
        <v/>
      </c>
      <c r="P81" s="41">
        <f>Ops!P$41</f>
        <v/>
      </c>
      <c r="Q81" s="41">
        <f>Ops!Q$41</f>
        <v/>
      </c>
      <c r="R81" s="41">
        <f>Ops!R$41</f>
        <v/>
      </c>
      <c r="S81" s="41">
        <f>Ops!S$41</f>
        <v/>
      </c>
      <c r="T81" s="41">
        <f>Ops!T$41</f>
        <v/>
      </c>
      <c r="U81" s="41">
        <f>Ops!U$41</f>
        <v/>
      </c>
      <c r="V81" s="41">
        <f>Ops!V$41</f>
        <v/>
      </c>
      <c r="W81" s="41">
        <f>Ops!W$41</f>
        <v/>
      </c>
      <c r="X81" s="41">
        <f>Ops!X$41</f>
        <v/>
      </c>
      <c r="Y81" s="41">
        <f>Ops!Y$41</f>
        <v/>
      </c>
      <c r="Z81" s="41">
        <f>Ops!Z$41</f>
        <v/>
      </c>
      <c r="AA81" s="41">
        <f>Ops!AA$41</f>
        <v/>
      </c>
      <c r="AB81" s="41">
        <f>Ops!AB$41</f>
        <v/>
      </c>
      <c r="AC81" s="41">
        <f>Ops!AC$41</f>
        <v/>
      </c>
      <c r="AD81" s="41">
        <f>Ops!AD$41</f>
        <v/>
      </c>
      <c r="AE81" s="41">
        <f>Ops!AE$41</f>
        <v/>
      </c>
      <c r="AF81" s="41">
        <f>Ops!AF$41</f>
        <v/>
      </c>
      <c r="AG81" s="41">
        <f>Ops!AG$41</f>
        <v/>
      </c>
      <c r="AH81" s="41">
        <f>Ops!AH$41</f>
        <v/>
      </c>
      <c r="AI81" s="41">
        <f>Ops!AI$41</f>
        <v/>
      </c>
      <c r="AJ81" s="41">
        <f>Ops!AJ$41</f>
        <v/>
      </c>
      <c r="AK81" s="41">
        <f>Ops!AK$41</f>
        <v/>
      </c>
      <c r="AL81" s="41">
        <f>Ops!AL$41</f>
        <v/>
      </c>
      <c r="AM81" s="41">
        <f>Ops!AM$41</f>
        <v/>
      </c>
      <c r="AN81" s="41">
        <f>Ops!AN$41</f>
        <v/>
      </c>
      <c r="AO81" s="41">
        <f>Ops!AO$41</f>
        <v/>
      </c>
      <c r="AP81" s="41">
        <f>Ops!AP$41</f>
        <v/>
      </c>
      <c r="AQ81" s="41">
        <f>Ops!AQ$41</f>
        <v/>
      </c>
      <c r="AR81" s="41">
        <f>Ops!AR$41</f>
        <v/>
      </c>
      <c r="AS81" s="41">
        <f>Ops!AS$41</f>
        <v/>
      </c>
      <c r="AT81" s="41">
        <f>Ops!AT$41</f>
        <v/>
      </c>
      <c r="AU81" s="41">
        <f>Ops!AU$41</f>
        <v/>
      </c>
      <c r="AV81" s="41">
        <f>Ops!AV$41</f>
        <v/>
      </c>
      <c r="AW81" s="41">
        <f>Ops!AW$41</f>
        <v/>
      </c>
      <c r="AX81" s="41">
        <f>Ops!AX$41</f>
        <v/>
      </c>
      <c r="AY81" s="41">
        <f>Ops!AY$41</f>
        <v/>
      </c>
      <c r="AZ81" s="41">
        <f>Ops!AZ$41</f>
        <v/>
      </c>
      <c r="BA81" s="41">
        <f>Ops!BA$41</f>
        <v/>
      </c>
      <c r="BB81" s="41">
        <f>Ops!BB$41</f>
        <v/>
      </c>
      <c r="BC81" s="41">
        <f>Ops!BC$41</f>
        <v/>
      </c>
      <c r="BD81" s="41">
        <f>Ops!BD$41</f>
        <v/>
      </c>
      <c r="BE81" s="41">
        <f>Ops!BE$41</f>
        <v/>
      </c>
      <c r="BF81" s="41">
        <f>Ops!BF$41</f>
        <v/>
      </c>
      <c r="BG81" s="41">
        <f>Ops!BG$41</f>
        <v/>
      </c>
      <c r="BH81" s="41">
        <f>Ops!BH$41</f>
        <v/>
      </c>
      <c r="BI81" s="41">
        <f>Ops!BI$41</f>
        <v/>
      </c>
      <c r="BJ81" s="41">
        <f>Ops!BJ$41</f>
        <v/>
      </c>
      <c r="BK81" s="41">
        <f>Ops!BK$41</f>
        <v/>
      </c>
      <c r="BL81" s="41">
        <f>Ops!BL$41</f>
        <v/>
      </c>
    </row>
    <row r="82">
      <c r="A82" s="98" t="inlineStr">
        <is>
          <t>Collections</t>
        </is>
      </c>
      <c r="B82" s="65" t="inlineStr">
        <is>
          <t>LCY</t>
        </is>
      </c>
      <c r="C82" s="105">
        <f>SUM(E82:BL82)</f>
        <v/>
      </c>
      <c r="E82" s="41">
        <f>Ops!E$40</f>
        <v/>
      </c>
      <c r="F82" s="41">
        <f>Ops!F$40</f>
        <v/>
      </c>
      <c r="G82" s="41">
        <f>Ops!G$40</f>
        <v/>
      </c>
      <c r="H82" s="41">
        <f>Ops!H$40</f>
        <v/>
      </c>
      <c r="I82" s="41">
        <f>Ops!I$40</f>
        <v/>
      </c>
      <c r="J82" s="41">
        <f>Ops!J$40</f>
        <v/>
      </c>
      <c r="K82" s="41">
        <f>Ops!K$40</f>
        <v/>
      </c>
      <c r="L82" s="41">
        <f>Ops!L$40</f>
        <v/>
      </c>
      <c r="M82" s="41">
        <f>Ops!M$40</f>
        <v/>
      </c>
      <c r="N82" s="41">
        <f>Ops!N$40</f>
        <v/>
      </c>
      <c r="O82" s="41">
        <f>Ops!O$40</f>
        <v/>
      </c>
      <c r="P82" s="41">
        <f>Ops!P$40</f>
        <v/>
      </c>
      <c r="Q82" s="41">
        <f>Ops!Q$40</f>
        <v/>
      </c>
      <c r="R82" s="41">
        <f>Ops!R$40</f>
        <v/>
      </c>
      <c r="S82" s="41">
        <f>Ops!S$40</f>
        <v/>
      </c>
      <c r="T82" s="41">
        <f>Ops!T$40</f>
        <v/>
      </c>
      <c r="U82" s="41">
        <f>Ops!U$40</f>
        <v/>
      </c>
      <c r="V82" s="41">
        <f>Ops!V$40</f>
        <v/>
      </c>
      <c r="W82" s="41">
        <f>Ops!W$40</f>
        <v/>
      </c>
      <c r="X82" s="41">
        <f>Ops!X$40</f>
        <v/>
      </c>
      <c r="Y82" s="41">
        <f>Ops!Y$40</f>
        <v/>
      </c>
      <c r="Z82" s="41">
        <f>Ops!Z$40</f>
        <v/>
      </c>
      <c r="AA82" s="41">
        <f>Ops!AA$40</f>
        <v/>
      </c>
      <c r="AB82" s="41">
        <f>Ops!AB$40</f>
        <v/>
      </c>
      <c r="AC82" s="41">
        <f>Ops!AC$40</f>
        <v/>
      </c>
      <c r="AD82" s="41">
        <f>Ops!AD$40</f>
        <v/>
      </c>
      <c r="AE82" s="41">
        <f>Ops!AE$40</f>
        <v/>
      </c>
      <c r="AF82" s="41">
        <f>Ops!AF$40</f>
        <v/>
      </c>
      <c r="AG82" s="41">
        <f>Ops!AG$40</f>
        <v/>
      </c>
      <c r="AH82" s="41">
        <f>Ops!AH$40</f>
        <v/>
      </c>
      <c r="AI82" s="41">
        <f>Ops!AI$40</f>
        <v/>
      </c>
      <c r="AJ82" s="41">
        <f>Ops!AJ$40</f>
        <v/>
      </c>
      <c r="AK82" s="41">
        <f>Ops!AK$40</f>
        <v/>
      </c>
      <c r="AL82" s="41">
        <f>Ops!AL$40</f>
        <v/>
      </c>
      <c r="AM82" s="41">
        <f>Ops!AM$40</f>
        <v/>
      </c>
      <c r="AN82" s="41">
        <f>Ops!AN$40</f>
        <v/>
      </c>
      <c r="AO82" s="41">
        <f>Ops!AO$40</f>
        <v/>
      </c>
      <c r="AP82" s="41">
        <f>Ops!AP$40</f>
        <v/>
      </c>
      <c r="AQ82" s="41">
        <f>Ops!AQ$40</f>
        <v/>
      </c>
      <c r="AR82" s="41">
        <f>Ops!AR$40</f>
        <v/>
      </c>
      <c r="AS82" s="41">
        <f>Ops!AS$40</f>
        <v/>
      </c>
      <c r="AT82" s="41">
        <f>Ops!AT$40</f>
        <v/>
      </c>
      <c r="AU82" s="41">
        <f>Ops!AU$40</f>
        <v/>
      </c>
      <c r="AV82" s="41">
        <f>Ops!AV$40</f>
        <v/>
      </c>
      <c r="AW82" s="41">
        <f>Ops!AW$40</f>
        <v/>
      </c>
      <c r="AX82" s="41">
        <f>Ops!AX$40</f>
        <v/>
      </c>
      <c r="AY82" s="41">
        <f>Ops!AY$40</f>
        <v/>
      </c>
      <c r="AZ82" s="41">
        <f>Ops!AZ$40</f>
        <v/>
      </c>
      <c r="BA82" s="41">
        <f>Ops!BA$40</f>
        <v/>
      </c>
      <c r="BB82" s="41">
        <f>Ops!BB$40</f>
        <v/>
      </c>
      <c r="BC82" s="41">
        <f>Ops!BC$40</f>
        <v/>
      </c>
      <c r="BD82" s="41">
        <f>Ops!BD$40</f>
        <v/>
      </c>
      <c r="BE82" s="41">
        <f>Ops!BE$40</f>
        <v/>
      </c>
      <c r="BF82" s="41">
        <f>Ops!BF$40</f>
        <v/>
      </c>
      <c r="BG82" s="41">
        <f>Ops!BG$40</f>
        <v/>
      </c>
      <c r="BH82" s="41">
        <f>Ops!BH$40</f>
        <v/>
      </c>
      <c r="BI82" s="41">
        <f>Ops!BI$40</f>
        <v/>
      </c>
      <c r="BJ82" s="41">
        <f>Ops!BJ$40</f>
        <v/>
      </c>
      <c r="BK82" s="41">
        <f>Ops!BK$40</f>
        <v/>
      </c>
      <c r="BL82" s="41">
        <f>Ops!BL$40</f>
        <v/>
      </c>
    </row>
    <row r="83">
      <c r="A83" s="98" t="inlineStr">
        <is>
          <t>Instalments due</t>
        </is>
      </c>
      <c r="B83" s="65" t="inlineStr">
        <is>
          <t>LCY</t>
        </is>
      </c>
      <c r="C83" s="105">
        <f>SUM(E83:BL83)</f>
        <v/>
      </c>
      <c r="E83" s="41">
        <f>Ops!E$39</f>
        <v/>
      </c>
      <c r="F83" s="41">
        <f>Ops!F$39</f>
        <v/>
      </c>
      <c r="G83" s="41">
        <f>Ops!G$39</f>
        <v/>
      </c>
      <c r="H83" s="41">
        <f>Ops!H$39</f>
        <v/>
      </c>
      <c r="I83" s="41">
        <f>Ops!I$39</f>
        <v/>
      </c>
      <c r="J83" s="41">
        <f>Ops!J$39</f>
        <v/>
      </c>
      <c r="K83" s="41">
        <f>Ops!K$39</f>
        <v/>
      </c>
      <c r="L83" s="41">
        <f>Ops!L$39</f>
        <v/>
      </c>
      <c r="M83" s="41">
        <f>Ops!M$39</f>
        <v/>
      </c>
      <c r="N83" s="41">
        <f>Ops!N$39</f>
        <v/>
      </c>
      <c r="O83" s="41">
        <f>Ops!O$39</f>
        <v/>
      </c>
      <c r="P83" s="41">
        <f>Ops!P$39</f>
        <v/>
      </c>
      <c r="Q83" s="41">
        <f>Ops!Q$39</f>
        <v/>
      </c>
      <c r="R83" s="41">
        <f>Ops!R$39</f>
        <v/>
      </c>
      <c r="S83" s="41">
        <f>Ops!S$39</f>
        <v/>
      </c>
      <c r="T83" s="41">
        <f>Ops!T$39</f>
        <v/>
      </c>
      <c r="U83" s="41">
        <f>Ops!U$39</f>
        <v/>
      </c>
      <c r="V83" s="41">
        <f>Ops!V$39</f>
        <v/>
      </c>
      <c r="W83" s="41">
        <f>Ops!W$39</f>
        <v/>
      </c>
      <c r="X83" s="41">
        <f>Ops!X$39</f>
        <v/>
      </c>
      <c r="Y83" s="41">
        <f>Ops!Y$39</f>
        <v/>
      </c>
      <c r="Z83" s="41">
        <f>Ops!Z$39</f>
        <v/>
      </c>
      <c r="AA83" s="41">
        <f>Ops!AA$39</f>
        <v/>
      </c>
      <c r="AB83" s="41">
        <f>Ops!AB$39</f>
        <v/>
      </c>
      <c r="AC83" s="41">
        <f>Ops!AC$39</f>
        <v/>
      </c>
      <c r="AD83" s="41">
        <f>Ops!AD$39</f>
        <v/>
      </c>
      <c r="AE83" s="41">
        <f>Ops!AE$39</f>
        <v/>
      </c>
      <c r="AF83" s="41">
        <f>Ops!AF$39</f>
        <v/>
      </c>
      <c r="AG83" s="41">
        <f>Ops!AG$39</f>
        <v/>
      </c>
      <c r="AH83" s="41">
        <f>Ops!AH$39</f>
        <v/>
      </c>
      <c r="AI83" s="41">
        <f>Ops!AI$39</f>
        <v/>
      </c>
      <c r="AJ83" s="41">
        <f>Ops!AJ$39</f>
        <v/>
      </c>
      <c r="AK83" s="41">
        <f>Ops!AK$39</f>
        <v/>
      </c>
      <c r="AL83" s="41">
        <f>Ops!AL$39</f>
        <v/>
      </c>
      <c r="AM83" s="41">
        <f>Ops!AM$39</f>
        <v/>
      </c>
      <c r="AN83" s="41">
        <f>Ops!AN$39</f>
        <v/>
      </c>
      <c r="AO83" s="41">
        <f>Ops!AO$39</f>
        <v/>
      </c>
      <c r="AP83" s="41">
        <f>Ops!AP$39</f>
        <v/>
      </c>
      <c r="AQ83" s="41">
        <f>Ops!AQ$39</f>
        <v/>
      </c>
      <c r="AR83" s="41">
        <f>Ops!AR$39</f>
        <v/>
      </c>
      <c r="AS83" s="41">
        <f>Ops!AS$39</f>
        <v/>
      </c>
      <c r="AT83" s="41">
        <f>Ops!AT$39</f>
        <v/>
      </c>
      <c r="AU83" s="41">
        <f>Ops!AU$39</f>
        <v/>
      </c>
      <c r="AV83" s="41">
        <f>Ops!AV$39</f>
        <v/>
      </c>
      <c r="AW83" s="41">
        <f>Ops!AW$39</f>
        <v/>
      </c>
      <c r="AX83" s="41">
        <f>Ops!AX$39</f>
        <v/>
      </c>
      <c r="AY83" s="41">
        <f>Ops!AY$39</f>
        <v/>
      </c>
      <c r="AZ83" s="41">
        <f>Ops!AZ$39</f>
        <v/>
      </c>
      <c r="BA83" s="41">
        <f>Ops!BA$39</f>
        <v/>
      </c>
      <c r="BB83" s="41">
        <f>Ops!BB$39</f>
        <v/>
      </c>
      <c r="BC83" s="41">
        <f>Ops!BC$39</f>
        <v/>
      </c>
      <c r="BD83" s="41">
        <f>Ops!BD$39</f>
        <v/>
      </c>
      <c r="BE83" s="41">
        <f>Ops!BE$39</f>
        <v/>
      </c>
      <c r="BF83" s="41">
        <f>Ops!BF$39</f>
        <v/>
      </c>
      <c r="BG83" s="41">
        <f>Ops!BG$39</f>
        <v/>
      </c>
      <c r="BH83" s="41">
        <f>Ops!BH$39</f>
        <v/>
      </c>
      <c r="BI83" s="41">
        <f>Ops!BI$39</f>
        <v/>
      </c>
      <c r="BJ83" s="41">
        <f>Ops!BJ$39</f>
        <v/>
      </c>
      <c r="BK83" s="41">
        <f>Ops!BK$39</f>
        <v/>
      </c>
      <c r="BL83" s="41">
        <f>Ops!BL$39</f>
        <v/>
      </c>
    </row>
    <row r="84">
      <c r="A84" s="98" t="inlineStr">
        <is>
          <t>Ownership events (unlocks)</t>
        </is>
      </c>
      <c r="B84" s="65" t="inlineStr">
        <is>
          <t>LCY</t>
        </is>
      </c>
      <c r="C84" s="105">
        <f>SUM(E84:BL84)</f>
        <v/>
      </c>
      <c r="E84" s="41">
        <f>Ops!E$47</f>
        <v/>
      </c>
      <c r="F84" s="41">
        <f>Ops!F$47</f>
        <v/>
      </c>
      <c r="G84" s="41">
        <f>Ops!G$47</f>
        <v/>
      </c>
      <c r="H84" s="41">
        <f>Ops!H$47</f>
        <v/>
      </c>
      <c r="I84" s="41">
        <f>Ops!I$47</f>
        <v/>
      </c>
      <c r="J84" s="41">
        <f>Ops!J$47</f>
        <v/>
      </c>
      <c r="K84" s="41">
        <f>Ops!K$47</f>
        <v/>
      </c>
      <c r="L84" s="41">
        <f>Ops!L$47</f>
        <v/>
      </c>
      <c r="M84" s="41">
        <f>Ops!M$47</f>
        <v/>
      </c>
      <c r="N84" s="41">
        <f>Ops!N$47</f>
        <v/>
      </c>
      <c r="O84" s="41">
        <f>Ops!O$47</f>
        <v/>
      </c>
      <c r="P84" s="41">
        <f>Ops!P$47</f>
        <v/>
      </c>
      <c r="Q84" s="41">
        <f>Ops!Q$47</f>
        <v/>
      </c>
      <c r="R84" s="41">
        <f>Ops!R$47</f>
        <v/>
      </c>
      <c r="S84" s="41">
        <f>Ops!S$47</f>
        <v/>
      </c>
      <c r="T84" s="41">
        <f>Ops!T$47</f>
        <v/>
      </c>
      <c r="U84" s="41">
        <f>Ops!U$47</f>
        <v/>
      </c>
      <c r="V84" s="41">
        <f>Ops!V$47</f>
        <v/>
      </c>
      <c r="W84" s="41">
        <f>Ops!W$47</f>
        <v/>
      </c>
      <c r="X84" s="41">
        <f>Ops!X$47</f>
        <v/>
      </c>
      <c r="Y84" s="41">
        <f>Ops!Y$47</f>
        <v/>
      </c>
      <c r="Z84" s="41">
        <f>Ops!Z$47</f>
        <v/>
      </c>
      <c r="AA84" s="41">
        <f>Ops!AA$47</f>
        <v/>
      </c>
      <c r="AB84" s="41">
        <f>Ops!AB$47</f>
        <v/>
      </c>
      <c r="AC84" s="41">
        <f>Ops!AC$47</f>
        <v/>
      </c>
      <c r="AD84" s="41">
        <f>Ops!AD$47</f>
        <v/>
      </c>
      <c r="AE84" s="41">
        <f>Ops!AE$47</f>
        <v/>
      </c>
      <c r="AF84" s="41">
        <f>Ops!AF$47</f>
        <v/>
      </c>
      <c r="AG84" s="41">
        <f>Ops!AG$47</f>
        <v/>
      </c>
      <c r="AH84" s="41">
        <f>Ops!AH$47</f>
        <v/>
      </c>
      <c r="AI84" s="41">
        <f>Ops!AI$47</f>
        <v/>
      </c>
      <c r="AJ84" s="41">
        <f>Ops!AJ$47</f>
        <v/>
      </c>
      <c r="AK84" s="41">
        <f>Ops!AK$47</f>
        <v/>
      </c>
      <c r="AL84" s="41">
        <f>Ops!AL$47</f>
        <v/>
      </c>
      <c r="AM84" s="41">
        <f>Ops!AM$47</f>
        <v/>
      </c>
      <c r="AN84" s="41">
        <f>Ops!AN$47</f>
        <v/>
      </c>
      <c r="AO84" s="41">
        <f>Ops!AO$47</f>
        <v/>
      </c>
      <c r="AP84" s="41">
        <f>Ops!AP$47</f>
        <v/>
      </c>
      <c r="AQ84" s="41">
        <f>Ops!AQ$47</f>
        <v/>
      </c>
      <c r="AR84" s="41">
        <f>Ops!AR$47</f>
        <v/>
      </c>
      <c r="AS84" s="41">
        <f>Ops!AS$47</f>
        <v/>
      </c>
      <c r="AT84" s="41">
        <f>Ops!AT$47</f>
        <v/>
      </c>
      <c r="AU84" s="41">
        <f>Ops!AU$47</f>
        <v/>
      </c>
      <c r="AV84" s="41">
        <f>Ops!AV$47</f>
        <v/>
      </c>
      <c r="AW84" s="41">
        <f>Ops!AW$47</f>
        <v/>
      </c>
      <c r="AX84" s="41">
        <f>Ops!AX$47</f>
        <v/>
      </c>
      <c r="AY84" s="41">
        <f>Ops!AY$47</f>
        <v/>
      </c>
      <c r="AZ84" s="41">
        <f>Ops!AZ$47</f>
        <v/>
      </c>
      <c r="BA84" s="41">
        <f>Ops!BA$47</f>
        <v/>
      </c>
      <c r="BB84" s="41">
        <f>Ops!BB$47</f>
        <v/>
      </c>
      <c r="BC84" s="41">
        <f>Ops!BC$47</f>
        <v/>
      </c>
      <c r="BD84" s="41">
        <f>Ops!BD$47</f>
        <v/>
      </c>
      <c r="BE84" s="41">
        <f>Ops!BE$47</f>
        <v/>
      </c>
      <c r="BF84" s="41">
        <f>Ops!BF$47</f>
        <v/>
      </c>
      <c r="BG84" s="41">
        <f>Ops!BG$47</f>
        <v/>
      </c>
      <c r="BH84" s="41">
        <f>Ops!BH$47</f>
        <v/>
      </c>
      <c r="BI84" s="41">
        <f>Ops!BI$47</f>
        <v/>
      </c>
      <c r="BJ84" s="41">
        <f>Ops!BJ$47</f>
        <v/>
      </c>
      <c r="BK84" s="41">
        <f>Ops!BK$47</f>
        <v/>
      </c>
      <c r="BL84" s="41">
        <f>Ops!BL$47</f>
        <v/>
      </c>
    </row>
    <row r="85">
      <c r="A85" s="98" t="inlineStr">
        <is>
          <t>Observed repayment rate (collections / due)</t>
        </is>
      </c>
      <c r="B85" s="65" t="inlineStr">
        <is>
          <t>%</t>
        </is>
      </c>
      <c r="E85" s="81">
        <f>IF(E83=0,0,E82/E83)</f>
        <v/>
      </c>
      <c r="F85" s="81">
        <f>IF(F83=0,0,F82/F83)</f>
        <v/>
      </c>
      <c r="G85" s="81">
        <f>IF(G83=0,0,G82/G83)</f>
        <v/>
      </c>
      <c r="H85" s="81">
        <f>IF(H83=0,0,H82/H83)</f>
        <v/>
      </c>
      <c r="I85" s="81">
        <f>IF(I83=0,0,I82/I83)</f>
        <v/>
      </c>
      <c r="J85" s="81">
        <f>IF(J83=0,0,J82/J83)</f>
        <v/>
      </c>
      <c r="K85" s="81">
        <f>IF(K83=0,0,K82/K83)</f>
        <v/>
      </c>
      <c r="L85" s="81">
        <f>IF(L83=0,0,L82/L83)</f>
        <v/>
      </c>
      <c r="M85" s="81">
        <f>IF(M83=0,0,M82/M83)</f>
        <v/>
      </c>
      <c r="N85" s="81">
        <f>IF(N83=0,0,N82/N83)</f>
        <v/>
      </c>
      <c r="O85" s="81">
        <f>IF(O83=0,0,O82/O83)</f>
        <v/>
      </c>
      <c r="P85" s="81">
        <f>IF(P83=0,0,P82/P83)</f>
        <v/>
      </c>
      <c r="Q85" s="81">
        <f>IF(Q83=0,0,Q82/Q83)</f>
        <v/>
      </c>
      <c r="R85" s="81">
        <f>IF(R83=0,0,R82/R83)</f>
        <v/>
      </c>
      <c r="S85" s="81">
        <f>IF(S83=0,0,S82/S83)</f>
        <v/>
      </c>
      <c r="T85" s="81">
        <f>IF(T83=0,0,T82/T83)</f>
        <v/>
      </c>
      <c r="U85" s="81">
        <f>IF(U83=0,0,U82/U83)</f>
        <v/>
      </c>
      <c r="V85" s="81">
        <f>IF(V83=0,0,V82/V83)</f>
        <v/>
      </c>
      <c r="W85" s="81">
        <f>IF(W83=0,0,W82/W83)</f>
        <v/>
      </c>
      <c r="X85" s="81">
        <f>IF(X83=0,0,X82/X83)</f>
        <v/>
      </c>
      <c r="Y85" s="81">
        <f>IF(Y83=0,0,Y82/Y83)</f>
        <v/>
      </c>
      <c r="Z85" s="81">
        <f>IF(Z83=0,0,Z82/Z83)</f>
        <v/>
      </c>
      <c r="AA85" s="81">
        <f>IF(AA83=0,0,AA82/AA83)</f>
        <v/>
      </c>
      <c r="AB85" s="81">
        <f>IF(AB83=0,0,AB82/AB83)</f>
        <v/>
      </c>
      <c r="AC85" s="81">
        <f>IF(AC83=0,0,AC82/AC83)</f>
        <v/>
      </c>
      <c r="AD85" s="81">
        <f>IF(AD83=0,0,AD82/AD83)</f>
        <v/>
      </c>
      <c r="AE85" s="81">
        <f>IF(AE83=0,0,AE82/AE83)</f>
        <v/>
      </c>
      <c r="AF85" s="81">
        <f>IF(AF83=0,0,AF82/AF83)</f>
        <v/>
      </c>
      <c r="AG85" s="81">
        <f>IF(AG83=0,0,AG82/AG83)</f>
        <v/>
      </c>
      <c r="AH85" s="81">
        <f>IF(AH83=0,0,AH82/AH83)</f>
        <v/>
      </c>
      <c r="AI85" s="81">
        <f>IF(AI83=0,0,AI82/AI83)</f>
        <v/>
      </c>
      <c r="AJ85" s="81">
        <f>IF(AJ83=0,0,AJ82/AJ83)</f>
        <v/>
      </c>
      <c r="AK85" s="81">
        <f>IF(AK83=0,0,AK82/AK83)</f>
        <v/>
      </c>
      <c r="AL85" s="81">
        <f>IF(AL83=0,0,AL82/AL83)</f>
        <v/>
      </c>
      <c r="AM85" s="81">
        <f>IF(AM83=0,0,AM82/AM83)</f>
        <v/>
      </c>
      <c r="AN85" s="81">
        <f>IF(AN83=0,0,AN82/AN83)</f>
        <v/>
      </c>
      <c r="AO85" s="81">
        <f>IF(AO83=0,0,AO82/AO83)</f>
        <v/>
      </c>
      <c r="AP85" s="81">
        <f>IF(AP83=0,0,AP82/AP83)</f>
        <v/>
      </c>
      <c r="AQ85" s="81">
        <f>IF(AQ83=0,0,AQ82/AQ83)</f>
        <v/>
      </c>
      <c r="AR85" s="81">
        <f>IF(AR83=0,0,AR82/AR83)</f>
        <v/>
      </c>
      <c r="AS85" s="81">
        <f>IF(AS83=0,0,AS82/AS83)</f>
        <v/>
      </c>
      <c r="AT85" s="81">
        <f>IF(AT83=0,0,AT82/AT83)</f>
        <v/>
      </c>
      <c r="AU85" s="81">
        <f>IF(AU83=0,0,AU82/AU83)</f>
        <v/>
      </c>
      <c r="AV85" s="81">
        <f>IF(AV83=0,0,AV82/AV83)</f>
        <v/>
      </c>
      <c r="AW85" s="81">
        <f>IF(AW83=0,0,AW82/AW83)</f>
        <v/>
      </c>
      <c r="AX85" s="81">
        <f>IF(AX83=0,0,AX82/AX83)</f>
        <v/>
      </c>
      <c r="AY85" s="81">
        <f>IF(AY83=0,0,AY82/AY83)</f>
        <v/>
      </c>
      <c r="AZ85" s="81">
        <f>IF(AZ83=0,0,AZ82/AZ83)</f>
        <v/>
      </c>
      <c r="BA85" s="81">
        <f>IF(BA83=0,0,BA82/BA83)</f>
        <v/>
      </c>
      <c r="BB85" s="81">
        <f>IF(BB83=0,0,BB82/BB83)</f>
        <v/>
      </c>
      <c r="BC85" s="81">
        <f>IF(BC83=0,0,BC82/BC83)</f>
        <v/>
      </c>
      <c r="BD85" s="81">
        <f>IF(BD83=0,0,BD82/BD83)</f>
        <v/>
      </c>
      <c r="BE85" s="81">
        <f>IF(BE83=0,0,BE82/BE83)</f>
        <v/>
      </c>
      <c r="BF85" s="81">
        <f>IF(BF83=0,0,BF82/BF83)</f>
        <v/>
      </c>
      <c r="BG85" s="81">
        <f>IF(BG83=0,0,BG82/BG83)</f>
        <v/>
      </c>
      <c r="BH85" s="81">
        <f>IF(BH83=0,0,BH82/BH83)</f>
        <v/>
      </c>
      <c r="BI85" s="81">
        <f>IF(BI83=0,0,BI82/BI83)</f>
        <v/>
      </c>
      <c r="BJ85" s="81">
        <f>IF(BJ83=0,0,BJ82/BJ83)</f>
        <v/>
      </c>
      <c r="BK85" s="81">
        <f>IF(BK83=0,0,BK82/BK83)</f>
        <v/>
      </c>
      <c r="BL85" s="81">
        <f>IF(BL83=0,0,BL82/BL83)</f>
        <v/>
      </c>
    </row>
    <row r="86">
      <c r="A86" s="98" t="inlineStr">
        <is>
          <t>12-month PD proxy (NOT an audited IFRS 9 PD)</t>
        </is>
      </c>
      <c r="B86" s="65" t="inlineStr">
        <is>
          <t>%</t>
        </is>
      </c>
      <c r="E86" s="81">
        <f>1-(1-Products!$D$41)^12</f>
        <v/>
      </c>
      <c r="F86" s="81">
        <f>1-(1-Products!$D$41)^12</f>
        <v/>
      </c>
      <c r="G86" s="81">
        <f>1-(1-Products!$D$41)^12</f>
        <v/>
      </c>
      <c r="H86" s="81">
        <f>1-(1-Products!$D$41)^12</f>
        <v/>
      </c>
      <c r="I86" s="81">
        <f>1-(1-Products!$D$41)^12</f>
        <v/>
      </c>
      <c r="J86" s="81">
        <f>1-(1-Products!$D$41)^12</f>
        <v/>
      </c>
      <c r="K86" s="81">
        <f>1-(1-Products!$D$41)^12</f>
        <v/>
      </c>
      <c r="L86" s="81">
        <f>1-(1-Products!$D$41)^12</f>
        <v/>
      </c>
      <c r="M86" s="81">
        <f>1-(1-Products!$D$41)^12</f>
        <v/>
      </c>
      <c r="N86" s="81">
        <f>1-(1-Products!$D$41)^12</f>
        <v/>
      </c>
      <c r="O86" s="81">
        <f>1-(1-Products!$D$41)^12</f>
        <v/>
      </c>
      <c r="P86" s="81">
        <f>1-(1-Products!$D$41)^12</f>
        <v/>
      </c>
      <c r="Q86" s="81">
        <f>1-(1-Products!$D$41)^12</f>
        <v/>
      </c>
      <c r="R86" s="81">
        <f>1-(1-Products!$D$41)^12</f>
        <v/>
      </c>
      <c r="S86" s="81">
        <f>1-(1-Products!$D$41)^12</f>
        <v/>
      </c>
      <c r="T86" s="81">
        <f>1-(1-Products!$D$41)^12</f>
        <v/>
      </c>
      <c r="U86" s="81">
        <f>1-(1-Products!$D$41)^12</f>
        <v/>
      </c>
      <c r="V86" s="81">
        <f>1-(1-Products!$D$41)^12</f>
        <v/>
      </c>
      <c r="W86" s="81">
        <f>1-(1-Products!$D$41)^12</f>
        <v/>
      </c>
      <c r="X86" s="81">
        <f>1-(1-Products!$D$41)^12</f>
        <v/>
      </c>
      <c r="Y86" s="81">
        <f>1-(1-Products!$D$41)^12</f>
        <v/>
      </c>
      <c r="Z86" s="81">
        <f>1-(1-Products!$D$41)^12</f>
        <v/>
      </c>
      <c r="AA86" s="81">
        <f>1-(1-Products!$D$41)^12</f>
        <v/>
      </c>
      <c r="AB86" s="81">
        <f>1-(1-Products!$D$41)^12</f>
        <v/>
      </c>
      <c r="AC86" s="81">
        <f>1-(1-Products!$D$41)^12</f>
        <v/>
      </c>
      <c r="AD86" s="81">
        <f>1-(1-Products!$D$41)^12</f>
        <v/>
      </c>
      <c r="AE86" s="81">
        <f>1-(1-Products!$D$41)^12</f>
        <v/>
      </c>
      <c r="AF86" s="81">
        <f>1-(1-Products!$D$41)^12</f>
        <v/>
      </c>
      <c r="AG86" s="81">
        <f>1-(1-Products!$D$41)^12</f>
        <v/>
      </c>
      <c r="AH86" s="81">
        <f>1-(1-Products!$D$41)^12</f>
        <v/>
      </c>
      <c r="AI86" s="81">
        <f>1-(1-Products!$D$41)^12</f>
        <v/>
      </c>
      <c r="AJ86" s="81">
        <f>1-(1-Products!$D$41)^12</f>
        <v/>
      </c>
      <c r="AK86" s="81">
        <f>1-(1-Products!$D$41)^12</f>
        <v/>
      </c>
      <c r="AL86" s="81">
        <f>1-(1-Products!$D$41)^12</f>
        <v/>
      </c>
      <c r="AM86" s="81">
        <f>1-(1-Products!$D$41)^12</f>
        <v/>
      </c>
      <c r="AN86" s="81">
        <f>1-(1-Products!$D$41)^12</f>
        <v/>
      </c>
      <c r="AO86" s="81">
        <f>1-(1-Products!$D$41)^12</f>
        <v/>
      </c>
      <c r="AP86" s="81">
        <f>1-(1-Products!$D$41)^12</f>
        <v/>
      </c>
      <c r="AQ86" s="81">
        <f>1-(1-Products!$D$41)^12</f>
        <v/>
      </c>
      <c r="AR86" s="81">
        <f>1-(1-Products!$D$41)^12</f>
        <v/>
      </c>
      <c r="AS86" s="81">
        <f>1-(1-Products!$D$41)^12</f>
        <v/>
      </c>
      <c r="AT86" s="81">
        <f>1-(1-Products!$D$41)^12</f>
        <v/>
      </c>
      <c r="AU86" s="81">
        <f>1-(1-Products!$D$41)^12</f>
        <v/>
      </c>
      <c r="AV86" s="81">
        <f>1-(1-Products!$D$41)^12</f>
        <v/>
      </c>
      <c r="AW86" s="81">
        <f>1-(1-Products!$D$41)^12</f>
        <v/>
      </c>
      <c r="AX86" s="81">
        <f>1-(1-Products!$D$41)^12</f>
        <v/>
      </c>
      <c r="AY86" s="81">
        <f>1-(1-Products!$D$41)^12</f>
        <v/>
      </c>
      <c r="AZ86" s="81">
        <f>1-(1-Products!$D$41)^12</f>
        <v/>
      </c>
      <c r="BA86" s="81">
        <f>1-(1-Products!$D$41)^12</f>
        <v/>
      </c>
      <c r="BB86" s="81">
        <f>1-(1-Products!$D$41)^12</f>
        <v/>
      </c>
      <c r="BC86" s="81">
        <f>1-(1-Products!$D$41)^12</f>
        <v/>
      </c>
      <c r="BD86" s="81">
        <f>1-(1-Products!$D$41)^12</f>
        <v/>
      </c>
      <c r="BE86" s="81">
        <f>1-(1-Products!$D$41)^12</f>
        <v/>
      </c>
      <c r="BF86" s="81">
        <f>1-(1-Products!$D$41)^12</f>
        <v/>
      </c>
      <c r="BG86" s="81">
        <f>1-(1-Products!$D$41)^12</f>
        <v/>
      </c>
      <c r="BH86" s="81">
        <f>1-(1-Products!$D$41)^12</f>
        <v/>
      </c>
      <c r="BI86" s="81">
        <f>1-(1-Products!$D$41)^12</f>
        <v/>
      </c>
      <c r="BJ86" s="81">
        <f>1-(1-Products!$D$41)^12</f>
        <v/>
      </c>
      <c r="BK86" s="81">
        <f>1-(1-Products!$D$41)^12</f>
        <v/>
      </c>
      <c r="BL86" s="81">
        <f>1-(1-Products!$D$41)^12</f>
        <v/>
      </c>
    </row>
    <row r="87">
      <c r="A87" s="98" t="inlineStr">
        <is>
          <t>LGD proxy</t>
        </is>
      </c>
      <c r="B87" s="65" t="inlineStr">
        <is>
          <t>%</t>
        </is>
      </c>
      <c r="E87" s="81">
        <f>MAX(0,MIN(1,1-Products!$D$27*Products!$D$28*(1-Credit_Assumptions!$C$15)*Products!$D$13/Products!$D$38))</f>
        <v/>
      </c>
      <c r="F87" s="81">
        <f>MAX(0,MIN(1,1-Products!$D$27*Products!$D$28*(1-Credit_Assumptions!$C$15)*Products!$D$13/Products!$D$38))</f>
        <v/>
      </c>
      <c r="G87" s="81">
        <f>MAX(0,MIN(1,1-Products!$D$27*Products!$D$28*(1-Credit_Assumptions!$C$15)*Products!$D$13/Products!$D$38))</f>
        <v/>
      </c>
      <c r="H87" s="81">
        <f>MAX(0,MIN(1,1-Products!$D$27*Products!$D$28*(1-Credit_Assumptions!$C$15)*Products!$D$13/Products!$D$38))</f>
        <v/>
      </c>
      <c r="I87" s="81">
        <f>MAX(0,MIN(1,1-Products!$D$27*Products!$D$28*(1-Credit_Assumptions!$C$15)*Products!$D$13/Products!$D$38))</f>
        <v/>
      </c>
      <c r="J87" s="81">
        <f>MAX(0,MIN(1,1-Products!$D$27*Products!$D$28*(1-Credit_Assumptions!$C$15)*Products!$D$13/Products!$D$38))</f>
        <v/>
      </c>
      <c r="K87" s="81">
        <f>MAX(0,MIN(1,1-Products!$D$27*Products!$D$28*(1-Credit_Assumptions!$C$15)*Products!$D$13/Products!$D$38))</f>
        <v/>
      </c>
      <c r="L87" s="81">
        <f>MAX(0,MIN(1,1-Products!$D$27*Products!$D$28*(1-Credit_Assumptions!$C$15)*Products!$D$13/Products!$D$38))</f>
        <v/>
      </c>
      <c r="M87" s="81">
        <f>MAX(0,MIN(1,1-Products!$D$27*Products!$D$28*(1-Credit_Assumptions!$C$15)*Products!$D$13/Products!$D$38))</f>
        <v/>
      </c>
      <c r="N87" s="81">
        <f>MAX(0,MIN(1,1-Products!$D$27*Products!$D$28*(1-Credit_Assumptions!$C$15)*Products!$D$13/Products!$D$38))</f>
        <v/>
      </c>
      <c r="O87" s="81">
        <f>MAX(0,MIN(1,1-Products!$D$27*Products!$D$28*(1-Credit_Assumptions!$C$15)*Products!$D$13/Products!$D$38))</f>
        <v/>
      </c>
      <c r="P87" s="81">
        <f>MAX(0,MIN(1,1-Products!$D$27*Products!$D$28*(1-Credit_Assumptions!$C$15)*Products!$D$13/Products!$D$38))</f>
        <v/>
      </c>
      <c r="Q87" s="81">
        <f>MAX(0,MIN(1,1-Products!$D$27*Products!$D$28*(1-Credit_Assumptions!$C$15)*Products!$D$13/Products!$D$38))</f>
        <v/>
      </c>
      <c r="R87" s="81">
        <f>MAX(0,MIN(1,1-Products!$D$27*Products!$D$28*(1-Credit_Assumptions!$C$15)*Products!$D$13/Products!$D$38))</f>
        <v/>
      </c>
      <c r="S87" s="81">
        <f>MAX(0,MIN(1,1-Products!$D$27*Products!$D$28*(1-Credit_Assumptions!$C$15)*Products!$D$13/Products!$D$38))</f>
        <v/>
      </c>
      <c r="T87" s="81">
        <f>MAX(0,MIN(1,1-Products!$D$27*Products!$D$28*(1-Credit_Assumptions!$C$15)*Products!$D$13/Products!$D$38))</f>
        <v/>
      </c>
      <c r="U87" s="81">
        <f>MAX(0,MIN(1,1-Products!$D$27*Products!$D$28*(1-Credit_Assumptions!$C$15)*Products!$D$13/Products!$D$38))</f>
        <v/>
      </c>
      <c r="V87" s="81">
        <f>MAX(0,MIN(1,1-Products!$D$27*Products!$D$28*(1-Credit_Assumptions!$C$15)*Products!$D$13/Products!$D$38))</f>
        <v/>
      </c>
      <c r="W87" s="81">
        <f>MAX(0,MIN(1,1-Products!$D$27*Products!$D$28*(1-Credit_Assumptions!$C$15)*Products!$D$13/Products!$D$38))</f>
        <v/>
      </c>
      <c r="X87" s="81">
        <f>MAX(0,MIN(1,1-Products!$D$27*Products!$D$28*(1-Credit_Assumptions!$C$15)*Products!$D$13/Products!$D$38))</f>
        <v/>
      </c>
      <c r="Y87" s="81">
        <f>MAX(0,MIN(1,1-Products!$D$27*Products!$D$28*(1-Credit_Assumptions!$C$15)*Products!$D$13/Products!$D$38))</f>
        <v/>
      </c>
      <c r="Z87" s="81">
        <f>MAX(0,MIN(1,1-Products!$D$27*Products!$D$28*(1-Credit_Assumptions!$C$15)*Products!$D$13/Products!$D$38))</f>
        <v/>
      </c>
      <c r="AA87" s="81">
        <f>MAX(0,MIN(1,1-Products!$D$27*Products!$D$28*(1-Credit_Assumptions!$C$15)*Products!$D$13/Products!$D$38))</f>
        <v/>
      </c>
      <c r="AB87" s="81">
        <f>MAX(0,MIN(1,1-Products!$D$27*Products!$D$28*(1-Credit_Assumptions!$C$15)*Products!$D$13/Products!$D$38))</f>
        <v/>
      </c>
      <c r="AC87" s="81">
        <f>MAX(0,MIN(1,1-Products!$D$27*Products!$D$28*(1-Credit_Assumptions!$C$15)*Products!$D$13/Products!$D$38))</f>
        <v/>
      </c>
      <c r="AD87" s="81">
        <f>MAX(0,MIN(1,1-Products!$D$27*Products!$D$28*(1-Credit_Assumptions!$C$15)*Products!$D$13/Products!$D$38))</f>
        <v/>
      </c>
      <c r="AE87" s="81">
        <f>MAX(0,MIN(1,1-Products!$D$27*Products!$D$28*(1-Credit_Assumptions!$C$15)*Products!$D$13/Products!$D$38))</f>
        <v/>
      </c>
      <c r="AF87" s="81">
        <f>MAX(0,MIN(1,1-Products!$D$27*Products!$D$28*(1-Credit_Assumptions!$C$15)*Products!$D$13/Products!$D$38))</f>
        <v/>
      </c>
      <c r="AG87" s="81">
        <f>MAX(0,MIN(1,1-Products!$D$27*Products!$D$28*(1-Credit_Assumptions!$C$15)*Products!$D$13/Products!$D$38))</f>
        <v/>
      </c>
      <c r="AH87" s="81">
        <f>MAX(0,MIN(1,1-Products!$D$27*Products!$D$28*(1-Credit_Assumptions!$C$15)*Products!$D$13/Products!$D$38))</f>
        <v/>
      </c>
      <c r="AI87" s="81">
        <f>MAX(0,MIN(1,1-Products!$D$27*Products!$D$28*(1-Credit_Assumptions!$C$15)*Products!$D$13/Products!$D$38))</f>
        <v/>
      </c>
      <c r="AJ87" s="81">
        <f>MAX(0,MIN(1,1-Products!$D$27*Products!$D$28*(1-Credit_Assumptions!$C$15)*Products!$D$13/Products!$D$38))</f>
        <v/>
      </c>
      <c r="AK87" s="81">
        <f>MAX(0,MIN(1,1-Products!$D$27*Products!$D$28*(1-Credit_Assumptions!$C$15)*Products!$D$13/Products!$D$38))</f>
        <v/>
      </c>
      <c r="AL87" s="81">
        <f>MAX(0,MIN(1,1-Products!$D$27*Products!$D$28*(1-Credit_Assumptions!$C$15)*Products!$D$13/Products!$D$38))</f>
        <v/>
      </c>
      <c r="AM87" s="81">
        <f>MAX(0,MIN(1,1-Products!$D$27*Products!$D$28*(1-Credit_Assumptions!$C$15)*Products!$D$13/Products!$D$38))</f>
        <v/>
      </c>
      <c r="AN87" s="81">
        <f>MAX(0,MIN(1,1-Products!$D$27*Products!$D$28*(1-Credit_Assumptions!$C$15)*Products!$D$13/Products!$D$38))</f>
        <v/>
      </c>
      <c r="AO87" s="81">
        <f>MAX(0,MIN(1,1-Products!$D$27*Products!$D$28*(1-Credit_Assumptions!$C$15)*Products!$D$13/Products!$D$38))</f>
        <v/>
      </c>
      <c r="AP87" s="81">
        <f>MAX(0,MIN(1,1-Products!$D$27*Products!$D$28*(1-Credit_Assumptions!$C$15)*Products!$D$13/Products!$D$38))</f>
        <v/>
      </c>
      <c r="AQ87" s="81">
        <f>MAX(0,MIN(1,1-Products!$D$27*Products!$D$28*(1-Credit_Assumptions!$C$15)*Products!$D$13/Products!$D$38))</f>
        <v/>
      </c>
      <c r="AR87" s="81">
        <f>MAX(0,MIN(1,1-Products!$D$27*Products!$D$28*(1-Credit_Assumptions!$C$15)*Products!$D$13/Products!$D$38))</f>
        <v/>
      </c>
      <c r="AS87" s="81">
        <f>MAX(0,MIN(1,1-Products!$D$27*Products!$D$28*(1-Credit_Assumptions!$C$15)*Products!$D$13/Products!$D$38))</f>
        <v/>
      </c>
      <c r="AT87" s="81">
        <f>MAX(0,MIN(1,1-Products!$D$27*Products!$D$28*(1-Credit_Assumptions!$C$15)*Products!$D$13/Products!$D$38))</f>
        <v/>
      </c>
      <c r="AU87" s="81">
        <f>MAX(0,MIN(1,1-Products!$D$27*Products!$D$28*(1-Credit_Assumptions!$C$15)*Products!$D$13/Products!$D$38))</f>
        <v/>
      </c>
      <c r="AV87" s="81">
        <f>MAX(0,MIN(1,1-Products!$D$27*Products!$D$28*(1-Credit_Assumptions!$C$15)*Products!$D$13/Products!$D$38))</f>
        <v/>
      </c>
      <c r="AW87" s="81">
        <f>MAX(0,MIN(1,1-Products!$D$27*Products!$D$28*(1-Credit_Assumptions!$C$15)*Products!$D$13/Products!$D$38))</f>
        <v/>
      </c>
      <c r="AX87" s="81">
        <f>MAX(0,MIN(1,1-Products!$D$27*Products!$D$28*(1-Credit_Assumptions!$C$15)*Products!$D$13/Products!$D$38))</f>
        <v/>
      </c>
      <c r="AY87" s="81">
        <f>MAX(0,MIN(1,1-Products!$D$27*Products!$D$28*(1-Credit_Assumptions!$C$15)*Products!$D$13/Products!$D$38))</f>
        <v/>
      </c>
      <c r="AZ87" s="81">
        <f>MAX(0,MIN(1,1-Products!$D$27*Products!$D$28*(1-Credit_Assumptions!$C$15)*Products!$D$13/Products!$D$38))</f>
        <v/>
      </c>
      <c r="BA87" s="81">
        <f>MAX(0,MIN(1,1-Products!$D$27*Products!$D$28*(1-Credit_Assumptions!$C$15)*Products!$D$13/Products!$D$38))</f>
        <v/>
      </c>
      <c r="BB87" s="81">
        <f>MAX(0,MIN(1,1-Products!$D$27*Products!$D$28*(1-Credit_Assumptions!$C$15)*Products!$D$13/Products!$D$38))</f>
        <v/>
      </c>
      <c r="BC87" s="81">
        <f>MAX(0,MIN(1,1-Products!$D$27*Products!$D$28*(1-Credit_Assumptions!$C$15)*Products!$D$13/Products!$D$38))</f>
        <v/>
      </c>
      <c r="BD87" s="81">
        <f>MAX(0,MIN(1,1-Products!$D$27*Products!$D$28*(1-Credit_Assumptions!$C$15)*Products!$D$13/Products!$D$38))</f>
        <v/>
      </c>
      <c r="BE87" s="81">
        <f>MAX(0,MIN(1,1-Products!$D$27*Products!$D$28*(1-Credit_Assumptions!$C$15)*Products!$D$13/Products!$D$38))</f>
        <v/>
      </c>
      <c r="BF87" s="81">
        <f>MAX(0,MIN(1,1-Products!$D$27*Products!$D$28*(1-Credit_Assumptions!$C$15)*Products!$D$13/Products!$D$38))</f>
        <v/>
      </c>
      <c r="BG87" s="81">
        <f>MAX(0,MIN(1,1-Products!$D$27*Products!$D$28*(1-Credit_Assumptions!$C$15)*Products!$D$13/Products!$D$38))</f>
        <v/>
      </c>
      <c r="BH87" s="81">
        <f>MAX(0,MIN(1,1-Products!$D$27*Products!$D$28*(1-Credit_Assumptions!$C$15)*Products!$D$13/Products!$D$38))</f>
        <v/>
      </c>
      <c r="BI87" s="81">
        <f>MAX(0,MIN(1,1-Products!$D$27*Products!$D$28*(1-Credit_Assumptions!$C$15)*Products!$D$13/Products!$D$38))</f>
        <v/>
      </c>
      <c r="BJ87" s="81">
        <f>MAX(0,MIN(1,1-Products!$D$27*Products!$D$28*(1-Credit_Assumptions!$C$15)*Products!$D$13/Products!$D$38))</f>
        <v/>
      </c>
      <c r="BK87" s="81">
        <f>MAX(0,MIN(1,1-Products!$D$27*Products!$D$28*(1-Credit_Assumptions!$C$15)*Products!$D$13/Products!$D$38))</f>
        <v/>
      </c>
      <c r="BL87" s="81">
        <f>MAX(0,MIN(1,1-Products!$D$27*Products!$D$28*(1-Credit_Assumptions!$C$15)*Products!$D$13/Products!$D$38))</f>
        <v/>
      </c>
    </row>
    <row r="88">
      <c r="A88" s="98" t="inlineStr">
        <is>
          <t>Indicative stage-based ECL (diagnostic, not booked)</t>
        </is>
      </c>
      <c r="B88" s="65" t="inlineStr">
        <is>
          <t>LCY</t>
        </is>
      </c>
      <c r="C88" s="105">
        <f>BL88</f>
        <v/>
      </c>
      <c r="E88" s="80">
        <f>E68*CHOOSE(Credit_Assumptions!$D$28,E86*E87*(1+Credit_Assumptions!$C$17)^-0.5,(1-Credit_Assumptions!$C$16)*E87*(1+Credit_Assumptions!$C$17)^-0.5,E87)+E69*CHOOSE(Credit_Assumptions!$D$29,E86*E87*(1+Credit_Assumptions!$C$17)^-0.5,(1-Credit_Assumptions!$C$16)*E87*(1+Credit_Assumptions!$C$17)^-0.5,E87)+E70*CHOOSE(Credit_Assumptions!$D$30,E86*E87*(1+Credit_Assumptions!$C$17)^-0.5,(1-Credit_Assumptions!$C$16)*E87*(1+Credit_Assumptions!$C$17)^-0.5,E87)+E71*CHOOSE(Credit_Assumptions!$D$31,E86*E87*(1+Credit_Assumptions!$C$17)^-0.5,(1-Credit_Assumptions!$C$16)*E87*(1+Credit_Assumptions!$C$17)^-0.5,E87)+E72*CHOOSE(Credit_Assumptions!$D$32,E86*E87*(1+Credit_Assumptions!$C$17)^-0.5,(1-Credit_Assumptions!$C$16)*E87*(1+Credit_Assumptions!$C$17)^-0.5,E87)+E73*CHOOSE(Credit_Assumptions!$D$33,E86*E87*(1+Credit_Assumptions!$C$17)^-0.5,(1-Credit_Assumptions!$C$16)*E87*(1+Credit_Assumptions!$C$17)^-0.5,E87)</f>
        <v/>
      </c>
      <c r="F88" s="80">
        <f>F68*CHOOSE(Credit_Assumptions!$D$28,F86*F87*(1+Credit_Assumptions!$C$17)^-0.5,(1-Credit_Assumptions!$C$16)*F87*(1+Credit_Assumptions!$C$17)^-0.5,F87)+F69*CHOOSE(Credit_Assumptions!$D$29,F86*F87*(1+Credit_Assumptions!$C$17)^-0.5,(1-Credit_Assumptions!$C$16)*F87*(1+Credit_Assumptions!$C$17)^-0.5,F87)+F70*CHOOSE(Credit_Assumptions!$D$30,F86*F87*(1+Credit_Assumptions!$C$17)^-0.5,(1-Credit_Assumptions!$C$16)*F87*(1+Credit_Assumptions!$C$17)^-0.5,F87)+F71*CHOOSE(Credit_Assumptions!$D$31,F86*F87*(1+Credit_Assumptions!$C$17)^-0.5,(1-Credit_Assumptions!$C$16)*F87*(1+Credit_Assumptions!$C$17)^-0.5,F87)+F72*CHOOSE(Credit_Assumptions!$D$32,F86*F87*(1+Credit_Assumptions!$C$17)^-0.5,(1-Credit_Assumptions!$C$16)*F87*(1+Credit_Assumptions!$C$17)^-0.5,F87)+F73*CHOOSE(Credit_Assumptions!$D$33,F86*F87*(1+Credit_Assumptions!$C$17)^-0.5,(1-Credit_Assumptions!$C$16)*F87*(1+Credit_Assumptions!$C$17)^-0.5,F87)</f>
        <v/>
      </c>
      <c r="G88" s="80">
        <f>G68*CHOOSE(Credit_Assumptions!$D$28,G86*G87*(1+Credit_Assumptions!$C$17)^-0.5,(1-Credit_Assumptions!$C$16)*G87*(1+Credit_Assumptions!$C$17)^-0.5,G87)+G69*CHOOSE(Credit_Assumptions!$D$29,G86*G87*(1+Credit_Assumptions!$C$17)^-0.5,(1-Credit_Assumptions!$C$16)*G87*(1+Credit_Assumptions!$C$17)^-0.5,G87)+G70*CHOOSE(Credit_Assumptions!$D$30,G86*G87*(1+Credit_Assumptions!$C$17)^-0.5,(1-Credit_Assumptions!$C$16)*G87*(1+Credit_Assumptions!$C$17)^-0.5,G87)+G71*CHOOSE(Credit_Assumptions!$D$31,G86*G87*(1+Credit_Assumptions!$C$17)^-0.5,(1-Credit_Assumptions!$C$16)*G87*(1+Credit_Assumptions!$C$17)^-0.5,G87)+G72*CHOOSE(Credit_Assumptions!$D$32,G86*G87*(1+Credit_Assumptions!$C$17)^-0.5,(1-Credit_Assumptions!$C$16)*G87*(1+Credit_Assumptions!$C$17)^-0.5,G87)+G73*CHOOSE(Credit_Assumptions!$D$33,G86*G87*(1+Credit_Assumptions!$C$17)^-0.5,(1-Credit_Assumptions!$C$16)*G87*(1+Credit_Assumptions!$C$17)^-0.5,G87)</f>
        <v/>
      </c>
      <c r="H88" s="80">
        <f>H68*CHOOSE(Credit_Assumptions!$D$28,H86*H87*(1+Credit_Assumptions!$C$17)^-0.5,(1-Credit_Assumptions!$C$16)*H87*(1+Credit_Assumptions!$C$17)^-0.5,H87)+H69*CHOOSE(Credit_Assumptions!$D$29,H86*H87*(1+Credit_Assumptions!$C$17)^-0.5,(1-Credit_Assumptions!$C$16)*H87*(1+Credit_Assumptions!$C$17)^-0.5,H87)+H70*CHOOSE(Credit_Assumptions!$D$30,H86*H87*(1+Credit_Assumptions!$C$17)^-0.5,(1-Credit_Assumptions!$C$16)*H87*(1+Credit_Assumptions!$C$17)^-0.5,H87)+H71*CHOOSE(Credit_Assumptions!$D$31,H86*H87*(1+Credit_Assumptions!$C$17)^-0.5,(1-Credit_Assumptions!$C$16)*H87*(1+Credit_Assumptions!$C$17)^-0.5,H87)+H72*CHOOSE(Credit_Assumptions!$D$32,H86*H87*(1+Credit_Assumptions!$C$17)^-0.5,(1-Credit_Assumptions!$C$16)*H87*(1+Credit_Assumptions!$C$17)^-0.5,H87)+H73*CHOOSE(Credit_Assumptions!$D$33,H86*H87*(1+Credit_Assumptions!$C$17)^-0.5,(1-Credit_Assumptions!$C$16)*H87*(1+Credit_Assumptions!$C$17)^-0.5,H87)</f>
        <v/>
      </c>
      <c r="I88" s="80">
        <f>I68*CHOOSE(Credit_Assumptions!$D$28,I86*I87*(1+Credit_Assumptions!$C$17)^-0.5,(1-Credit_Assumptions!$C$16)*I87*(1+Credit_Assumptions!$C$17)^-0.5,I87)+I69*CHOOSE(Credit_Assumptions!$D$29,I86*I87*(1+Credit_Assumptions!$C$17)^-0.5,(1-Credit_Assumptions!$C$16)*I87*(1+Credit_Assumptions!$C$17)^-0.5,I87)+I70*CHOOSE(Credit_Assumptions!$D$30,I86*I87*(1+Credit_Assumptions!$C$17)^-0.5,(1-Credit_Assumptions!$C$16)*I87*(1+Credit_Assumptions!$C$17)^-0.5,I87)+I71*CHOOSE(Credit_Assumptions!$D$31,I86*I87*(1+Credit_Assumptions!$C$17)^-0.5,(1-Credit_Assumptions!$C$16)*I87*(1+Credit_Assumptions!$C$17)^-0.5,I87)+I72*CHOOSE(Credit_Assumptions!$D$32,I86*I87*(1+Credit_Assumptions!$C$17)^-0.5,(1-Credit_Assumptions!$C$16)*I87*(1+Credit_Assumptions!$C$17)^-0.5,I87)+I73*CHOOSE(Credit_Assumptions!$D$33,I86*I87*(1+Credit_Assumptions!$C$17)^-0.5,(1-Credit_Assumptions!$C$16)*I87*(1+Credit_Assumptions!$C$17)^-0.5,I87)</f>
        <v/>
      </c>
      <c r="J88" s="80">
        <f>J68*CHOOSE(Credit_Assumptions!$D$28,J86*J87*(1+Credit_Assumptions!$C$17)^-0.5,(1-Credit_Assumptions!$C$16)*J87*(1+Credit_Assumptions!$C$17)^-0.5,J87)+J69*CHOOSE(Credit_Assumptions!$D$29,J86*J87*(1+Credit_Assumptions!$C$17)^-0.5,(1-Credit_Assumptions!$C$16)*J87*(1+Credit_Assumptions!$C$17)^-0.5,J87)+J70*CHOOSE(Credit_Assumptions!$D$30,J86*J87*(1+Credit_Assumptions!$C$17)^-0.5,(1-Credit_Assumptions!$C$16)*J87*(1+Credit_Assumptions!$C$17)^-0.5,J87)+J71*CHOOSE(Credit_Assumptions!$D$31,J86*J87*(1+Credit_Assumptions!$C$17)^-0.5,(1-Credit_Assumptions!$C$16)*J87*(1+Credit_Assumptions!$C$17)^-0.5,J87)+J72*CHOOSE(Credit_Assumptions!$D$32,J86*J87*(1+Credit_Assumptions!$C$17)^-0.5,(1-Credit_Assumptions!$C$16)*J87*(1+Credit_Assumptions!$C$17)^-0.5,J87)+J73*CHOOSE(Credit_Assumptions!$D$33,J86*J87*(1+Credit_Assumptions!$C$17)^-0.5,(1-Credit_Assumptions!$C$16)*J87*(1+Credit_Assumptions!$C$17)^-0.5,J87)</f>
        <v/>
      </c>
      <c r="K88" s="80">
        <f>K68*CHOOSE(Credit_Assumptions!$D$28,K86*K87*(1+Credit_Assumptions!$C$17)^-0.5,(1-Credit_Assumptions!$C$16)*K87*(1+Credit_Assumptions!$C$17)^-0.5,K87)+K69*CHOOSE(Credit_Assumptions!$D$29,K86*K87*(1+Credit_Assumptions!$C$17)^-0.5,(1-Credit_Assumptions!$C$16)*K87*(1+Credit_Assumptions!$C$17)^-0.5,K87)+K70*CHOOSE(Credit_Assumptions!$D$30,K86*K87*(1+Credit_Assumptions!$C$17)^-0.5,(1-Credit_Assumptions!$C$16)*K87*(1+Credit_Assumptions!$C$17)^-0.5,K87)+K71*CHOOSE(Credit_Assumptions!$D$31,K86*K87*(1+Credit_Assumptions!$C$17)^-0.5,(1-Credit_Assumptions!$C$16)*K87*(1+Credit_Assumptions!$C$17)^-0.5,K87)+K72*CHOOSE(Credit_Assumptions!$D$32,K86*K87*(1+Credit_Assumptions!$C$17)^-0.5,(1-Credit_Assumptions!$C$16)*K87*(1+Credit_Assumptions!$C$17)^-0.5,K87)+K73*CHOOSE(Credit_Assumptions!$D$33,K86*K87*(1+Credit_Assumptions!$C$17)^-0.5,(1-Credit_Assumptions!$C$16)*K87*(1+Credit_Assumptions!$C$17)^-0.5,K87)</f>
        <v/>
      </c>
      <c r="L88" s="80">
        <f>L68*CHOOSE(Credit_Assumptions!$D$28,L86*L87*(1+Credit_Assumptions!$C$17)^-0.5,(1-Credit_Assumptions!$C$16)*L87*(1+Credit_Assumptions!$C$17)^-0.5,L87)+L69*CHOOSE(Credit_Assumptions!$D$29,L86*L87*(1+Credit_Assumptions!$C$17)^-0.5,(1-Credit_Assumptions!$C$16)*L87*(1+Credit_Assumptions!$C$17)^-0.5,L87)+L70*CHOOSE(Credit_Assumptions!$D$30,L86*L87*(1+Credit_Assumptions!$C$17)^-0.5,(1-Credit_Assumptions!$C$16)*L87*(1+Credit_Assumptions!$C$17)^-0.5,L87)+L71*CHOOSE(Credit_Assumptions!$D$31,L86*L87*(1+Credit_Assumptions!$C$17)^-0.5,(1-Credit_Assumptions!$C$16)*L87*(1+Credit_Assumptions!$C$17)^-0.5,L87)+L72*CHOOSE(Credit_Assumptions!$D$32,L86*L87*(1+Credit_Assumptions!$C$17)^-0.5,(1-Credit_Assumptions!$C$16)*L87*(1+Credit_Assumptions!$C$17)^-0.5,L87)+L73*CHOOSE(Credit_Assumptions!$D$33,L86*L87*(1+Credit_Assumptions!$C$17)^-0.5,(1-Credit_Assumptions!$C$16)*L87*(1+Credit_Assumptions!$C$17)^-0.5,L87)</f>
        <v/>
      </c>
      <c r="M88" s="80">
        <f>M68*CHOOSE(Credit_Assumptions!$D$28,M86*M87*(1+Credit_Assumptions!$C$17)^-0.5,(1-Credit_Assumptions!$C$16)*M87*(1+Credit_Assumptions!$C$17)^-0.5,M87)+M69*CHOOSE(Credit_Assumptions!$D$29,M86*M87*(1+Credit_Assumptions!$C$17)^-0.5,(1-Credit_Assumptions!$C$16)*M87*(1+Credit_Assumptions!$C$17)^-0.5,M87)+M70*CHOOSE(Credit_Assumptions!$D$30,M86*M87*(1+Credit_Assumptions!$C$17)^-0.5,(1-Credit_Assumptions!$C$16)*M87*(1+Credit_Assumptions!$C$17)^-0.5,M87)+M71*CHOOSE(Credit_Assumptions!$D$31,M86*M87*(1+Credit_Assumptions!$C$17)^-0.5,(1-Credit_Assumptions!$C$16)*M87*(1+Credit_Assumptions!$C$17)^-0.5,M87)+M72*CHOOSE(Credit_Assumptions!$D$32,M86*M87*(1+Credit_Assumptions!$C$17)^-0.5,(1-Credit_Assumptions!$C$16)*M87*(1+Credit_Assumptions!$C$17)^-0.5,M87)+M73*CHOOSE(Credit_Assumptions!$D$33,M86*M87*(1+Credit_Assumptions!$C$17)^-0.5,(1-Credit_Assumptions!$C$16)*M87*(1+Credit_Assumptions!$C$17)^-0.5,M87)</f>
        <v/>
      </c>
      <c r="N88" s="80">
        <f>N68*CHOOSE(Credit_Assumptions!$D$28,N86*N87*(1+Credit_Assumptions!$C$17)^-0.5,(1-Credit_Assumptions!$C$16)*N87*(1+Credit_Assumptions!$C$17)^-0.5,N87)+N69*CHOOSE(Credit_Assumptions!$D$29,N86*N87*(1+Credit_Assumptions!$C$17)^-0.5,(1-Credit_Assumptions!$C$16)*N87*(1+Credit_Assumptions!$C$17)^-0.5,N87)+N70*CHOOSE(Credit_Assumptions!$D$30,N86*N87*(1+Credit_Assumptions!$C$17)^-0.5,(1-Credit_Assumptions!$C$16)*N87*(1+Credit_Assumptions!$C$17)^-0.5,N87)+N71*CHOOSE(Credit_Assumptions!$D$31,N86*N87*(1+Credit_Assumptions!$C$17)^-0.5,(1-Credit_Assumptions!$C$16)*N87*(1+Credit_Assumptions!$C$17)^-0.5,N87)+N72*CHOOSE(Credit_Assumptions!$D$32,N86*N87*(1+Credit_Assumptions!$C$17)^-0.5,(1-Credit_Assumptions!$C$16)*N87*(1+Credit_Assumptions!$C$17)^-0.5,N87)+N73*CHOOSE(Credit_Assumptions!$D$33,N86*N87*(1+Credit_Assumptions!$C$17)^-0.5,(1-Credit_Assumptions!$C$16)*N87*(1+Credit_Assumptions!$C$17)^-0.5,N87)</f>
        <v/>
      </c>
      <c r="O88" s="80">
        <f>O68*CHOOSE(Credit_Assumptions!$D$28,O86*O87*(1+Credit_Assumptions!$C$17)^-0.5,(1-Credit_Assumptions!$C$16)*O87*(1+Credit_Assumptions!$C$17)^-0.5,O87)+O69*CHOOSE(Credit_Assumptions!$D$29,O86*O87*(1+Credit_Assumptions!$C$17)^-0.5,(1-Credit_Assumptions!$C$16)*O87*(1+Credit_Assumptions!$C$17)^-0.5,O87)+O70*CHOOSE(Credit_Assumptions!$D$30,O86*O87*(1+Credit_Assumptions!$C$17)^-0.5,(1-Credit_Assumptions!$C$16)*O87*(1+Credit_Assumptions!$C$17)^-0.5,O87)+O71*CHOOSE(Credit_Assumptions!$D$31,O86*O87*(1+Credit_Assumptions!$C$17)^-0.5,(1-Credit_Assumptions!$C$16)*O87*(1+Credit_Assumptions!$C$17)^-0.5,O87)+O72*CHOOSE(Credit_Assumptions!$D$32,O86*O87*(1+Credit_Assumptions!$C$17)^-0.5,(1-Credit_Assumptions!$C$16)*O87*(1+Credit_Assumptions!$C$17)^-0.5,O87)+O73*CHOOSE(Credit_Assumptions!$D$33,O86*O87*(1+Credit_Assumptions!$C$17)^-0.5,(1-Credit_Assumptions!$C$16)*O87*(1+Credit_Assumptions!$C$17)^-0.5,O87)</f>
        <v/>
      </c>
      <c r="P88" s="80">
        <f>P68*CHOOSE(Credit_Assumptions!$D$28,P86*P87*(1+Credit_Assumptions!$C$17)^-0.5,(1-Credit_Assumptions!$C$16)*P87*(1+Credit_Assumptions!$C$17)^-0.5,P87)+P69*CHOOSE(Credit_Assumptions!$D$29,P86*P87*(1+Credit_Assumptions!$C$17)^-0.5,(1-Credit_Assumptions!$C$16)*P87*(1+Credit_Assumptions!$C$17)^-0.5,P87)+P70*CHOOSE(Credit_Assumptions!$D$30,P86*P87*(1+Credit_Assumptions!$C$17)^-0.5,(1-Credit_Assumptions!$C$16)*P87*(1+Credit_Assumptions!$C$17)^-0.5,P87)+P71*CHOOSE(Credit_Assumptions!$D$31,P86*P87*(1+Credit_Assumptions!$C$17)^-0.5,(1-Credit_Assumptions!$C$16)*P87*(1+Credit_Assumptions!$C$17)^-0.5,P87)+P72*CHOOSE(Credit_Assumptions!$D$32,P86*P87*(1+Credit_Assumptions!$C$17)^-0.5,(1-Credit_Assumptions!$C$16)*P87*(1+Credit_Assumptions!$C$17)^-0.5,P87)+P73*CHOOSE(Credit_Assumptions!$D$33,P86*P87*(1+Credit_Assumptions!$C$17)^-0.5,(1-Credit_Assumptions!$C$16)*P87*(1+Credit_Assumptions!$C$17)^-0.5,P87)</f>
        <v/>
      </c>
      <c r="Q88" s="80">
        <f>Q68*CHOOSE(Credit_Assumptions!$D$28,Q86*Q87*(1+Credit_Assumptions!$C$17)^-0.5,(1-Credit_Assumptions!$C$16)*Q87*(1+Credit_Assumptions!$C$17)^-0.5,Q87)+Q69*CHOOSE(Credit_Assumptions!$D$29,Q86*Q87*(1+Credit_Assumptions!$C$17)^-0.5,(1-Credit_Assumptions!$C$16)*Q87*(1+Credit_Assumptions!$C$17)^-0.5,Q87)+Q70*CHOOSE(Credit_Assumptions!$D$30,Q86*Q87*(1+Credit_Assumptions!$C$17)^-0.5,(1-Credit_Assumptions!$C$16)*Q87*(1+Credit_Assumptions!$C$17)^-0.5,Q87)+Q71*CHOOSE(Credit_Assumptions!$D$31,Q86*Q87*(1+Credit_Assumptions!$C$17)^-0.5,(1-Credit_Assumptions!$C$16)*Q87*(1+Credit_Assumptions!$C$17)^-0.5,Q87)+Q72*CHOOSE(Credit_Assumptions!$D$32,Q86*Q87*(1+Credit_Assumptions!$C$17)^-0.5,(1-Credit_Assumptions!$C$16)*Q87*(1+Credit_Assumptions!$C$17)^-0.5,Q87)+Q73*CHOOSE(Credit_Assumptions!$D$33,Q86*Q87*(1+Credit_Assumptions!$C$17)^-0.5,(1-Credit_Assumptions!$C$16)*Q87*(1+Credit_Assumptions!$C$17)^-0.5,Q87)</f>
        <v/>
      </c>
      <c r="R88" s="80">
        <f>R68*CHOOSE(Credit_Assumptions!$D$28,R86*R87*(1+Credit_Assumptions!$C$17)^-0.5,(1-Credit_Assumptions!$C$16)*R87*(1+Credit_Assumptions!$C$17)^-0.5,R87)+R69*CHOOSE(Credit_Assumptions!$D$29,R86*R87*(1+Credit_Assumptions!$C$17)^-0.5,(1-Credit_Assumptions!$C$16)*R87*(1+Credit_Assumptions!$C$17)^-0.5,R87)+R70*CHOOSE(Credit_Assumptions!$D$30,R86*R87*(1+Credit_Assumptions!$C$17)^-0.5,(1-Credit_Assumptions!$C$16)*R87*(1+Credit_Assumptions!$C$17)^-0.5,R87)+R71*CHOOSE(Credit_Assumptions!$D$31,R86*R87*(1+Credit_Assumptions!$C$17)^-0.5,(1-Credit_Assumptions!$C$16)*R87*(1+Credit_Assumptions!$C$17)^-0.5,R87)+R72*CHOOSE(Credit_Assumptions!$D$32,R86*R87*(1+Credit_Assumptions!$C$17)^-0.5,(1-Credit_Assumptions!$C$16)*R87*(1+Credit_Assumptions!$C$17)^-0.5,R87)+R73*CHOOSE(Credit_Assumptions!$D$33,R86*R87*(1+Credit_Assumptions!$C$17)^-0.5,(1-Credit_Assumptions!$C$16)*R87*(1+Credit_Assumptions!$C$17)^-0.5,R87)</f>
        <v/>
      </c>
      <c r="S88" s="80">
        <f>S68*CHOOSE(Credit_Assumptions!$D$28,S86*S87*(1+Credit_Assumptions!$C$17)^-0.5,(1-Credit_Assumptions!$C$16)*S87*(1+Credit_Assumptions!$C$17)^-0.5,S87)+S69*CHOOSE(Credit_Assumptions!$D$29,S86*S87*(1+Credit_Assumptions!$C$17)^-0.5,(1-Credit_Assumptions!$C$16)*S87*(1+Credit_Assumptions!$C$17)^-0.5,S87)+S70*CHOOSE(Credit_Assumptions!$D$30,S86*S87*(1+Credit_Assumptions!$C$17)^-0.5,(1-Credit_Assumptions!$C$16)*S87*(1+Credit_Assumptions!$C$17)^-0.5,S87)+S71*CHOOSE(Credit_Assumptions!$D$31,S86*S87*(1+Credit_Assumptions!$C$17)^-0.5,(1-Credit_Assumptions!$C$16)*S87*(1+Credit_Assumptions!$C$17)^-0.5,S87)+S72*CHOOSE(Credit_Assumptions!$D$32,S86*S87*(1+Credit_Assumptions!$C$17)^-0.5,(1-Credit_Assumptions!$C$16)*S87*(1+Credit_Assumptions!$C$17)^-0.5,S87)+S73*CHOOSE(Credit_Assumptions!$D$33,S86*S87*(1+Credit_Assumptions!$C$17)^-0.5,(1-Credit_Assumptions!$C$16)*S87*(1+Credit_Assumptions!$C$17)^-0.5,S87)</f>
        <v/>
      </c>
      <c r="T88" s="80">
        <f>T68*CHOOSE(Credit_Assumptions!$D$28,T86*T87*(1+Credit_Assumptions!$C$17)^-0.5,(1-Credit_Assumptions!$C$16)*T87*(1+Credit_Assumptions!$C$17)^-0.5,T87)+T69*CHOOSE(Credit_Assumptions!$D$29,T86*T87*(1+Credit_Assumptions!$C$17)^-0.5,(1-Credit_Assumptions!$C$16)*T87*(1+Credit_Assumptions!$C$17)^-0.5,T87)+T70*CHOOSE(Credit_Assumptions!$D$30,T86*T87*(1+Credit_Assumptions!$C$17)^-0.5,(1-Credit_Assumptions!$C$16)*T87*(1+Credit_Assumptions!$C$17)^-0.5,T87)+T71*CHOOSE(Credit_Assumptions!$D$31,T86*T87*(1+Credit_Assumptions!$C$17)^-0.5,(1-Credit_Assumptions!$C$16)*T87*(1+Credit_Assumptions!$C$17)^-0.5,T87)+T72*CHOOSE(Credit_Assumptions!$D$32,T86*T87*(1+Credit_Assumptions!$C$17)^-0.5,(1-Credit_Assumptions!$C$16)*T87*(1+Credit_Assumptions!$C$17)^-0.5,T87)+T73*CHOOSE(Credit_Assumptions!$D$33,T86*T87*(1+Credit_Assumptions!$C$17)^-0.5,(1-Credit_Assumptions!$C$16)*T87*(1+Credit_Assumptions!$C$17)^-0.5,T87)</f>
        <v/>
      </c>
      <c r="U88" s="80">
        <f>U68*CHOOSE(Credit_Assumptions!$D$28,U86*U87*(1+Credit_Assumptions!$C$17)^-0.5,(1-Credit_Assumptions!$C$16)*U87*(1+Credit_Assumptions!$C$17)^-0.5,U87)+U69*CHOOSE(Credit_Assumptions!$D$29,U86*U87*(1+Credit_Assumptions!$C$17)^-0.5,(1-Credit_Assumptions!$C$16)*U87*(1+Credit_Assumptions!$C$17)^-0.5,U87)+U70*CHOOSE(Credit_Assumptions!$D$30,U86*U87*(1+Credit_Assumptions!$C$17)^-0.5,(1-Credit_Assumptions!$C$16)*U87*(1+Credit_Assumptions!$C$17)^-0.5,U87)+U71*CHOOSE(Credit_Assumptions!$D$31,U86*U87*(1+Credit_Assumptions!$C$17)^-0.5,(1-Credit_Assumptions!$C$16)*U87*(1+Credit_Assumptions!$C$17)^-0.5,U87)+U72*CHOOSE(Credit_Assumptions!$D$32,U86*U87*(1+Credit_Assumptions!$C$17)^-0.5,(1-Credit_Assumptions!$C$16)*U87*(1+Credit_Assumptions!$C$17)^-0.5,U87)+U73*CHOOSE(Credit_Assumptions!$D$33,U86*U87*(1+Credit_Assumptions!$C$17)^-0.5,(1-Credit_Assumptions!$C$16)*U87*(1+Credit_Assumptions!$C$17)^-0.5,U87)</f>
        <v/>
      </c>
      <c r="V88" s="80">
        <f>V68*CHOOSE(Credit_Assumptions!$D$28,V86*V87*(1+Credit_Assumptions!$C$17)^-0.5,(1-Credit_Assumptions!$C$16)*V87*(1+Credit_Assumptions!$C$17)^-0.5,V87)+V69*CHOOSE(Credit_Assumptions!$D$29,V86*V87*(1+Credit_Assumptions!$C$17)^-0.5,(1-Credit_Assumptions!$C$16)*V87*(1+Credit_Assumptions!$C$17)^-0.5,V87)+V70*CHOOSE(Credit_Assumptions!$D$30,V86*V87*(1+Credit_Assumptions!$C$17)^-0.5,(1-Credit_Assumptions!$C$16)*V87*(1+Credit_Assumptions!$C$17)^-0.5,V87)+V71*CHOOSE(Credit_Assumptions!$D$31,V86*V87*(1+Credit_Assumptions!$C$17)^-0.5,(1-Credit_Assumptions!$C$16)*V87*(1+Credit_Assumptions!$C$17)^-0.5,V87)+V72*CHOOSE(Credit_Assumptions!$D$32,V86*V87*(1+Credit_Assumptions!$C$17)^-0.5,(1-Credit_Assumptions!$C$16)*V87*(1+Credit_Assumptions!$C$17)^-0.5,V87)+V73*CHOOSE(Credit_Assumptions!$D$33,V86*V87*(1+Credit_Assumptions!$C$17)^-0.5,(1-Credit_Assumptions!$C$16)*V87*(1+Credit_Assumptions!$C$17)^-0.5,V87)</f>
        <v/>
      </c>
      <c r="W88" s="80">
        <f>W68*CHOOSE(Credit_Assumptions!$D$28,W86*W87*(1+Credit_Assumptions!$C$17)^-0.5,(1-Credit_Assumptions!$C$16)*W87*(1+Credit_Assumptions!$C$17)^-0.5,W87)+W69*CHOOSE(Credit_Assumptions!$D$29,W86*W87*(1+Credit_Assumptions!$C$17)^-0.5,(1-Credit_Assumptions!$C$16)*W87*(1+Credit_Assumptions!$C$17)^-0.5,W87)+W70*CHOOSE(Credit_Assumptions!$D$30,W86*W87*(1+Credit_Assumptions!$C$17)^-0.5,(1-Credit_Assumptions!$C$16)*W87*(1+Credit_Assumptions!$C$17)^-0.5,W87)+W71*CHOOSE(Credit_Assumptions!$D$31,W86*W87*(1+Credit_Assumptions!$C$17)^-0.5,(1-Credit_Assumptions!$C$16)*W87*(1+Credit_Assumptions!$C$17)^-0.5,W87)+W72*CHOOSE(Credit_Assumptions!$D$32,W86*W87*(1+Credit_Assumptions!$C$17)^-0.5,(1-Credit_Assumptions!$C$16)*W87*(1+Credit_Assumptions!$C$17)^-0.5,W87)+W73*CHOOSE(Credit_Assumptions!$D$33,W86*W87*(1+Credit_Assumptions!$C$17)^-0.5,(1-Credit_Assumptions!$C$16)*W87*(1+Credit_Assumptions!$C$17)^-0.5,W87)</f>
        <v/>
      </c>
      <c r="X88" s="80">
        <f>X68*CHOOSE(Credit_Assumptions!$D$28,X86*X87*(1+Credit_Assumptions!$C$17)^-0.5,(1-Credit_Assumptions!$C$16)*X87*(1+Credit_Assumptions!$C$17)^-0.5,X87)+X69*CHOOSE(Credit_Assumptions!$D$29,X86*X87*(1+Credit_Assumptions!$C$17)^-0.5,(1-Credit_Assumptions!$C$16)*X87*(1+Credit_Assumptions!$C$17)^-0.5,X87)+X70*CHOOSE(Credit_Assumptions!$D$30,X86*X87*(1+Credit_Assumptions!$C$17)^-0.5,(1-Credit_Assumptions!$C$16)*X87*(1+Credit_Assumptions!$C$17)^-0.5,X87)+X71*CHOOSE(Credit_Assumptions!$D$31,X86*X87*(1+Credit_Assumptions!$C$17)^-0.5,(1-Credit_Assumptions!$C$16)*X87*(1+Credit_Assumptions!$C$17)^-0.5,X87)+X72*CHOOSE(Credit_Assumptions!$D$32,X86*X87*(1+Credit_Assumptions!$C$17)^-0.5,(1-Credit_Assumptions!$C$16)*X87*(1+Credit_Assumptions!$C$17)^-0.5,X87)+X73*CHOOSE(Credit_Assumptions!$D$33,X86*X87*(1+Credit_Assumptions!$C$17)^-0.5,(1-Credit_Assumptions!$C$16)*X87*(1+Credit_Assumptions!$C$17)^-0.5,X87)</f>
        <v/>
      </c>
      <c r="Y88" s="80">
        <f>Y68*CHOOSE(Credit_Assumptions!$D$28,Y86*Y87*(1+Credit_Assumptions!$C$17)^-0.5,(1-Credit_Assumptions!$C$16)*Y87*(1+Credit_Assumptions!$C$17)^-0.5,Y87)+Y69*CHOOSE(Credit_Assumptions!$D$29,Y86*Y87*(1+Credit_Assumptions!$C$17)^-0.5,(1-Credit_Assumptions!$C$16)*Y87*(1+Credit_Assumptions!$C$17)^-0.5,Y87)+Y70*CHOOSE(Credit_Assumptions!$D$30,Y86*Y87*(1+Credit_Assumptions!$C$17)^-0.5,(1-Credit_Assumptions!$C$16)*Y87*(1+Credit_Assumptions!$C$17)^-0.5,Y87)+Y71*CHOOSE(Credit_Assumptions!$D$31,Y86*Y87*(1+Credit_Assumptions!$C$17)^-0.5,(1-Credit_Assumptions!$C$16)*Y87*(1+Credit_Assumptions!$C$17)^-0.5,Y87)+Y72*CHOOSE(Credit_Assumptions!$D$32,Y86*Y87*(1+Credit_Assumptions!$C$17)^-0.5,(1-Credit_Assumptions!$C$16)*Y87*(1+Credit_Assumptions!$C$17)^-0.5,Y87)+Y73*CHOOSE(Credit_Assumptions!$D$33,Y86*Y87*(1+Credit_Assumptions!$C$17)^-0.5,(1-Credit_Assumptions!$C$16)*Y87*(1+Credit_Assumptions!$C$17)^-0.5,Y87)</f>
        <v/>
      </c>
      <c r="Z88" s="80">
        <f>Z68*CHOOSE(Credit_Assumptions!$D$28,Z86*Z87*(1+Credit_Assumptions!$C$17)^-0.5,(1-Credit_Assumptions!$C$16)*Z87*(1+Credit_Assumptions!$C$17)^-0.5,Z87)+Z69*CHOOSE(Credit_Assumptions!$D$29,Z86*Z87*(1+Credit_Assumptions!$C$17)^-0.5,(1-Credit_Assumptions!$C$16)*Z87*(1+Credit_Assumptions!$C$17)^-0.5,Z87)+Z70*CHOOSE(Credit_Assumptions!$D$30,Z86*Z87*(1+Credit_Assumptions!$C$17)^-0.5,(1-Credit_Assumptions!$C$16)*Z87*(1+Credit_Assumptions!$C$17)^-0.5,Z87)+Z71*CHOOSE(Credit_Assumptions!$D$31,Z86*Z87*(1+Credit_Assumptions!$C$17)^-0.5,(1-Credit_Assumptions!$C$16)*Z87*(1+Credit_Assumptions!$C$17)^-0.5,Z87)+Z72*CHOOSE(Credit_Assumptions!$D$32,Z86*Z87*(1+Credit_Assumptions!$C$17)^-0.5,(1-Credit_Assumptions!$C$16)*Z87*(1+Credit_Assumptions!$C$17)^-0.5,Z87)+Z73*CHOOSE(Credit_Assumptions!$D$33,Z86*Z87*(1+Credit_Assumptions!$C$17)^-0.5,(1-Credit_Assumptions!$C$16)*Z87*(1+Credit_Assumptions!$C$17)^-0.5,Z87)</f>
        <v/>
      </c>
      <c r="AA88" s="80">
        <f>AA68*CHOOSE(Credit_Assumptions!$D$28,AA86*AA87*(1+Credit_Assumptions!$C$17)^-0.5,(1-Credit_Assumptions!$C$16)*AA87*(1+Credit_Assumptions!$C$17)^-0.5,AA87)+AA69*CHOOSE(Credit_Assumptions!$D$29,AA86*AA87*(1+Credit_Assumptions!$C$17)^-0.5,(1-Credit_Assumptions!$C$16)*AA87*(1+Credit_Assumptions!$C$17)^-0.5,AA87)+AA70*CHOOSE(Credit_Assumptions!$D$30,AA86*AA87*(1+Credit_Assumptions!$C$17)^-0.5,(1-Credit_Assumptions!$C$16)*AA87*(1+Credit_Assumptions!$C$17)^-0.5,AA87)+AA71*CHOOSE(Credit_Assumptions!$D$31,AA86*AA87*(1+Credit_Assumptions!$C$17)^-0.5,(1-Credit_Assumptions!$C$16)*AA87*(1+Credit_Assumptions!$C$17)^-0.5,AA87)+AA72*CHOOSE(Credit_Assumptions!$D$32,AA86*AA87*(1+Credit_Assumptions!$C$17)^-0.5,(1-Credit_Assumptions!$C$16)*AA87*(1+Credit_Assumptions!$C$17)^-0.5,AA87)+AA73*CHOOSE(Credit_Assumptions!$D$33,AA86*AA87*(1+Credit_Assumptions!$C$17)^-0.5,(1-Credit_Assumptions!$C$16)*AA87*(1+Credit_Assumptions!$C$17)^-0.5,AA87)</f>
        <v/>
      </c>
      <c r="AB88" s="80">
        <f>AB68*CHOOSE(Credit_Assumptions!$D$28,AB86*AB87*(1+Credit_Assumptions!$C$17)^-0.5,(1-Credit_Assumptions!$C$16)*AB87*(1+Credit_Assumptions!$C$17)^-0.5,AB87)+AB69*CHOOSE(Credit_Assumptions!$D$29,AB86*AB87*(1+Credit_Assumptions!$C$17)^-0.5,(1-Credit_Assumptions!$C$16)*AB87*(1+Credit_Assumptions!$C$17)^-0.5,AB87)+AB70*CHOOSE(Credit_Assumptions!$D$30,AB86*AB87*(1+Credit_Assumptions!$C$17)^-0.5,(1-Credit_Assumptions!$C$16)*AB87*(1+Credit_Assumptions!$C$17)^-0.5,AB87)+AB71*CHOOSE(Credit_Assumptions!$D$31,AB86*AB87*(1+Credit_Assumptions!$C$17)^-0.5,(1-Credit_Assumptions!$C$16)*AB87*(1+Credit_Assumptions!$C$17)^-0.5,AB87)+AB72*CHOOSE(Credit_Assumptions!$D$32,AB86*AB87*(1+Credit_Assumptions!$C$17)^-0.5,(1-Credit_Assumptions!$C$16)*AB87*(1+Credit_Assumptions!$C$17)^-0.5,AB87)+AB73*CHOOSE(Credit_Assumptions!$D$33,AB86*AB87*(1+Credit_Assumptions!$C$17)^-0.5,(1-Credit_Assumptions!$C$16)*AB87*(1+Credit_Assumptions!$C$17)^-0.5,AB87)</f>
        <v/>
      </c>
      <c r="AC88" s="80">
        <f>AC68*CHOOSE(Credit_Assumptions!$D$28,AC86*AC87*(1+Credit_Assumptions!$C$17)^-0.5,(1-Credit_Assumptions!$C$16)*AC87*(1+Credit_Assumptions!$C$17)^-0.5,AC87)+AC69*CHOOSE(Credit_Assumptions!$D$29,AC86*AC87*(1+Credit_Assumptions!$C$17)^-0.5,(1-Credit_Assumptions!$C$16)*AC87*(1+Credit_Assumptions!$C$17)^-0.5,AC87)+AC70*CHOOSE(Credit_Assumptions!$D$30,AC86*AC87*(1+Credit_Assumptions!$C$17)^-0.5,(1-Credit_Assumptions!$C$16)*AC87*(1+Credit_Assumptions!$C$17)^-0.5,AC87)+AC71*CHOOSE(Credit_Assumptions!$D$31,AC86*AC87*(1+Credit_Assumptions!$C$17)^-0.5,(1-Credit_Assumptions!$C$16)*AC87*(1+Credit_Assumptions!$C$17)^-0.5,AC87)+AC72*CHOOSE(Credit_Assumptions!$D$32,AC86*AC87*(1+Credit_Assumptions!$C$17)^-0.5,(1-Credit_Assumptions!$C$16)*AC87*(1+Credit_Assumptions!$C$17)^-0.5,AC87)+AC73*CHOOSE(Credit_Assumptions!$D$33,AC86*AC87*(1+Credit_Assumptions!$C$17)^-0.5,(1-Credit_Assumptions!$C$16)*AC87*(1+Credit_Assumptions!$C$17)^-0.5,AC87)</f>
        <v/>
      </c>
      <c r="AD88" s="80">
        <f>AD68*CHOOSE(Credit_Assumptions!$D$28,AD86*AD87*(1+Credit_Assumptions!$C$17)^-0.5,(1-Credit_Assumptions!$C$16)*AD87*(1+Credit_Assumptions!$C$17)^-0.5,AD87)+AD69*CHOOSE(Credit_Assumptions!$D$29,AD86*AD87*(1+Credit_Assumptions!$C$17)^-0.5,(1-Credit_Assumptions!$C$16)*AD87*(1+Credit_Assumptions!$C$17)^-0.5,AD87)+AD70*CHOOSE(Credit_Assumptions!$D$30,AD86*AD87*(1+Credit_Assumptions!$C$17)^-0.5,(1-Credit_Assumptions!$C$16)*AD87*(1+Credit_Assumptions!$C$17)^-0.5,AD87)+AD71*CHOOSE(Credit_Assumptions!$D$31,AD86*AD87*(1+Credit_Assumptions!$C$17)^-0.5,(1-Credit_Assumptions!$C$16)*AD87*(1+Credit_Assumptions!$C$17)^-0.5,AD87)+AD72*CHOOSE(Credit_Assumptions!$D$32,AD86*AD87*(1+Credit_Assumptions!$C$17)^-0.5,(1-Credit_Assumptions!$C$16)*AD87*(1+Credit_Assumptions!$C$17)^-0.5,AD87)+AD73*CHOOSE(Credit_Assumptions!$D$33,AD86*AD87*(1+Credit_Assumptions!$C$17)^-0.5,(1-Credit_Assumptions!$C$16)*AD87*(1+Credit_Assumptions!$C$17)^-0.5,AD87)</f>
        <v/>
      </c>
      <c r="AE88" s="80">
        <f>AE68*CHOOSE(Credit_Assumptions!$D$28,AE86*AE87*(1+Credit_Assumptions!$C$17)^-0.5,(1-Credit_Assumptions!$C$16)*AE87*(1+Credit_Assumptions!$C$17)^-0.5,AE87)+AE69*CHOOSE(Credit_Assumptions!$D$29,AE86*AE87*(1+Credit_Assumptions!$C$17)^-0.5,(1-Credit_Assumptions!$C$16)*AE87*(1+Credit_Assumptions!$C$17)^-0.5,AE87)+AE70*CHOOSE(Credit_Assumptions!$D$30,AE86*AE87*(1+Credit_Assumptions!$C$17)^-0.5,(1-Credit_Assumptions!$C$16)*AE87*(1+Credit_Assumptions!$C$17)^-0.5,AE87)+AE71*CHOOSE(Credit_Assumptions!$D$31,AE86*AE87*(1+Credit_Assumptions!$C$17)^-0.5,(1-Credit_Assumptions!$C$16)*AE87*(1+Credit_Assumptions!$C$17)^-0.5,AE87)+AE72*CHOOSE(Credit_Assumptions!$D$32,AE86*AE87*(1+Credit_Assumptions!$C$17)^-0.5,(1-Credit_Assumptions!$C$16)*AE87*(1+Credit_Assumptions!$C$17)^-0.5,AE87)+AE73*CHOOSE(Credit_Assumptions!$D$33,AE86*AE87*(1+Credit_Assumptions!$C$17)^-0.5,(1-Credit_Assumptions!$C$16)*AE87*(1+Credit_Assumptions!$C$17)^-0.5,AE87)</f>
        <v/>
      </c>
      <c r="AF88" s="80">
        <f>AF68*CHOOSE(Credit_Assumptions!$D$28,AF86*AF87*(1+Credit_Assumptions!$C$17)^-0.5,(1-Credit_Assumptions!$C$16)*AF87*(1+Credit_Assumptions!$C$17)^-0.5,AF87)+AF69*CHOOSE(Credit_Assumptions!$D$29,AF86*AF87*(1+Credit_Assumptions!$C$17)^-0.5,(1-Credit_Assumptions!$C$16)*AF87*(1+Credit_Assumptions!$C$17)^-0.5,AF87)+AF70*CHOOSE(Credit_Assumptions!$D$30,AF86*AF87*(1+Credit_Assumptions!$C$17)^-0.5,(1-Credit_Assumptions!$C$16)*AF87*(1+Credit_Assumptions!$C$17)^-0.5,AF87)+AF71*CHOOSE(Credit_Assumptions!$D$31,AF86*AF87*(1+Credit_Assumptions!$C$17)^-0.5,(1-Credit_Assumptions!$C$16)*AF87*(1+Credit_Assumptions!$C$17)^-0.5,AF87)+AF72*CHOOSE(Credit_Assumptions!$D$32,AF86*AF87*(1+Credit_Assumptions!$C$17)^-0.5,(1-Credit_Assumptions!$C$16)*AF87*(1+Credit_Assumptions!$C$17)^-0.5,AF87)+AF73*CHOOSE(Credit_Assumptions!$D$33,AF86*AF87*(1+Credit_Assumptions!$C$17)^-0.5,(1-Credit_Assumptions!$C$16)*AF87*(1+Credit_Assumptions!$C$17)^-0.5,AF87)</f>
        <v/>
      </c>
      <c r="AG88" s="80">
        <f>AG68*CHOOSE(Credit_Assumptions!$D$28,AG86*AG87*(1+Credit_Assumptions!$C$17)^-0.5,(1-Credit_Assumptions!$C$16)*AG87*(1+Credit_Assumptions!$C$17)^-0.5,AG87)+AG69*CHOOSE(Credit_Assumptions!$D$29,AG86*AG87*(1+Credit_Assumptions!$C$17)^-0.5,(1-Credit_Assumptions!$C$16)*AG87*(1+Credit_Assumptions!$C$17)^-0.5,AG87)+AG70*CHOOSE(Credit_Assumptions!$D$30,AG86*AG87*(1+Credit_Assumptions!$C$17)^-0.5,(1-Credit_Assumptions!$C$16)*AG87*(1+Credit_Assumptions!$C$17)^-0.5,AG87)+AG71*CHOOSE(Credit_Assumptions!$D$31,AG86*AG87*(1+Credit_Assumptions!$C$17)^-0.5,(1-Credit_Assumptions!$C$16)*AG87*(1+Credit_Assumptions!$C$17)^-0.5,AG87)+AG72*CHOOSE(Credit_Assumptions!$D$32,AG86*AG87*(1+Credit_Assumptions!$C$17)^-0.5,(1-Credit_Assumptions!$C$16)*AG87*(1+Credit_Assumptions!$C$17)^-0.5,AG87)+AG73*CHOOSE(Credit_Assumptions!$D$33,AG86*AG87*(1+Credit_Assumptions!$C$17)^-0.5,(1-Credit_Assumptions!$C$16)*AG87*(1+Credit_Assumptions!$C$17)^-0.5,AG87)</f>
        <v/>
      </c>
      <c r="AH88" s="80">
        <f>AH68*CHOOSE(Credit_Assumptions!$D$28,AH86*AH87*(1+Credit_Assumptions!$C$17)^-0.5,(1-Credit_Assumptions!$C$16)*AH87*(1+Credit_Assumptions!$C$17)^-0.5,AH87)+AH69*CHOOSE(Credit_Assumptions!$D$29,AH86*AH87*(1+Credit_Assumptions!$C$17)^-0.5,(1-Credit_Assumptions!$C$16)*AH87*(1+Credit_Assumptions!$C$17)^-0.5,AH87)+AH70*CHOOSE(Credit_Assumptions!$D$30,AH86*AH87*(1+Credit_Assumptions!$C$17)^-0.5,(1-Credit_Assumptions!$C$16)*AH87*(1+Credit_Assumptions!$C$17)^-0.5,AH87)+AH71*CHOOSE(Credit_Assumptions!$D$31,AH86*AH87*(1+Credit_Assumptions!$C$17)^-0.5,(1-Credit_Assumptions!$C$16)*AH87*(1+Credit_Assumptions!$C$17)^-0.5,AH87)+AH72*CHOOSE(Credit_Assumptions!$D$32,AH86*AH87*(1+Credit_Assumptions!$C$17)^-0.5,(1-Credit_Assumptions!$C$16)*AH87*(1+Credit_Assumptions!$C$17)^-0.5,AH87)+AH73*CHOOSE(Credit_Assumptions!$D$33,AH86*AH87*(1+Credit_Assumptions!$C$17)^-0.5,(1-Credit_Assumptions!$C$16)*AH87*(1+Credit_Assumptions!$C$17)^-0.5,AH87)</f>
        <v/>
      </c>
      <c r="AI88" s="80">
        <f>AI68*CHOOSE(Credit_Assumptions!$D$28,AI86*AI87*(1+Credit_Assumptions!$C$17)^-0.5,(1-Credit_Assumptions!$C$16)*AI87*(1+Credit_Assumptions!$C$17)^-0.5,AI87)+AI69*CHOOSE(Credit_Assumptions!$D$29,AI86*AI87*(1+Credit_Assumptions!$C$17)^-0.5,(1-Credit_Assumptions!$C$16)*AI87*(1+Credit_Assumptions!$C$17)^-0.5,AI87)+AI70*CHOOSE(Credit_Assumptions!$D$30,AI86*AI87*(1+Credit_Assumptions!$C$17)^-0.5,(1-Credit_Assumptions!$C$16)*AI87*(1+Credit_Assumptions!$C$17)^-0.5,AI87)+AI71*CHOOSE(Credit_Assumptions!$D$31,AI86*AI87*(1+Credit_Assumptions!$C$17)^-0.5,(1-Credit_Assumptions!$C$16)*AI87*(1+Credit_Assumptions!$C$17)^-0.5,AI87)+AI72*CHOOSE(Credit_Assumptions!$D$32,AI86*AI87*(1+Credit_Assumptions!$C$17)^-0.5,(1-Credit_Assumptions!$C$16)*AI87*(1+Credit_Assumptions!$C$17)^-0.5,AI87)+AI73*CHOOSE(Credit_Assumptions!$D$33,AI86*AI87*(1+Credit_Assumptions!$C$17)^-0.5,(1-Credit_Assumptions!$C$16)*AI87*(1+Credit_Assumptions!$C$17)^-0.5,AI87)</f>
        <v/>
      </c>
      <c r="AJ88" s="80">
        <f>AJ68*CHOOSE(Credit_Assumptions!$D$28,AJ86*AJ87*(1+Credit_Assumptions!$C$17)^-0.5,(1-Credit_Assumptions!$C$16)*AJ87*(1+Credit_Assumptions!$C$17)^-0.5,AJ87)+AJ69*CHOOSE(Credit_Assumptions!$D$29,AJ86*AJ87*(1+Credit_Assumptions!$C$17)^-0.5,(1-Credit_Assumptions!$C$16)*AJ87*(1+Credit_Assumptions!$C$17)^-0.5,AJ87)+AJ70*CHOOSE(Credit_Assumptions!$D$30,AJ86*AJ87*(1+Credit_Assumptions!$C$17)^-0.5,(1-Credit_Assumptions!$C$16)*AJ87*(1+Credit_Assumptions!$C$17)^-0.5,AJ87)+AJ71*CHOOSE(Credit_Assumptions!$D$31,AJ86*AJ87*(1+Credit_Assumptions!$C$17)^-0.5,(1-Credit_Assumptions!$C$16)*AJ87*(1+Credit_Assumptions!$C$17)^-0.5,AJ87)+AJ72*CHOOSE(Credit_Assumptions!$D$32,AJ86*AJ87*(1+Credit_Assumptions!$C$17)^-0.5,(1-Credit_Assumptions!$C$16)*AJ87*(1+Credit_Assumptions!$C$17)^-0.5,AJ87)+AJ73*CHOOSE(Credit_Assumptions!$D$33,AJ86*AJ87*(1+Credit_Assumptions!$C$17)^-0.5,(1-Credit_Assumptions!$C$16)*AJ87*(1+Credit_Assumptions!$C$17)^-0.5,AJ87)</f>
        <v/>
      </c>
      <c r="AK88" s="80">
        <f>AK68*CHOOSE(Credit_Assumptions!$D$28,AK86*AK87*(1+Credit_Assumptions!$C$17)^-0.5,(1-Credit_Assumptions!$C$16)*AK87*(1+Credit_Assumptions!$C$17)^-0.5,AK87)+AK69*CHOOSE(Credit_Assumptions!$D$29,AK86*AK87*(1+Credit_Assumptions!$C$17)^-0.5,(1-Credit_Assumptions!$C$16)*AK87*(1+Credit_Assumptions!$C$17)^-0.5,AK87)+AK70*CHOOSE(Credit_Assumptions!$D$30,AK86*AK87*(1+Credit_Assumptions!$C$17)^-0.5,(1-Credit_Assumptions!$C$16)*AK87*(1+Credit_Assumptions!$C$17)^-0.5,AK87)+AK71*CHOOSE(Credit_Assumptions!$D$31,AK86*AK87*(1+Credit_Assumptions!$C$17)^-0.5,(1-Credit_Assumptions!$C$16)*AK87*(1+Credit_Assumptions!$C$17)^-0.5,AK87)+AK72*CHOOSE(Credit_Assumptions!$D$32,AK86*AK87*(1+Credit_Assumptions!$C$17)^-0.5,(1-Credit_Assumptions!$C$16)*AK87*(1+Credit_Assumptions!$C$17)^-0.5,AK87)+AK73*CHOOSE(Credit_Assumptions!$D$33,AK86*AK87*(1+Credit_Assumptions!$C$17)^-0.5,(1-Credit_Assumptions!$C$16)*AK87*(1+Credit_Assumptions!$C$17)^-0.5,AK87)</f>
        <v/>
      </c>
      <c r="AL88" s="80">
        <f>AL68*CHOOSE(Credit_Assumptions!$D$28,AL86*AL87*(1+Credit_Assumptions!$C$17)^-0.5,(1-Credit_Assumptions!$C$16)*AL87*(1+Credit_Assumptions!$C$17)^-0.5,AL87)+AL69*CHOOSE(Credit_Assumptions!$D$29,AL86*AL87*(1+Credit_Assumptions!$C$17)^-0.5,(1-Credit_Assumptions!$C$16)*AL87*(1+Credit_Assumptions!$C$17)^-0.5,AL87)+AL70*CHOOSE(Credit_Assumptions!$D$30,AL86*AL87*(1+Credit_Assumptions!$C$17)^-0.5,(1-Credit_Assumptions!$C$16)*AL87*(1+Credit_Assumptions!$C$17)^-0.5,AL87)+AL71*CHOOSE(Credit_Assumptions!$D$31,AL86*AL87*(1+Credit_Assumptions!$C$17)^-0.5,(1-Credit_Assumptions!$C$16)*AL87*(1+Credit_Assumptions!$C$17)^-0.5,AL87)+AL72*CHOOSE(Credit_Assumptions!$D$32,AL86*AL87*(1+Credit_Assumptions!$C$17)^-0.5,(1-Credit_Assumptions!$C$16)*AL87*(1+Credit_Assumptions!$C$17)^-0.5,AL87)+AL73*CHOOSE(Credit_Assumptions!$D$33,AL86*AL87*(1+Credit_Assumptions!$C$17)^-0.5,(1-Credit_Assumptions!$C$16)*AL87*(1+Credit_Assumptions!$C$17)^-0.5,AL87)</f>
        <v/>
      </c>
      <c r="AM88" s="80">
        <f>AM68*CHOOSE(Credit_Assumptions!$D$28,AM86*AM87*(1+Credit_Assumptions!$C$17)^-0.5,(1-Credit_Assumptions!$C$16)*AM87*(1+Credit_Assumptions!$C$17)^-0.5,AM87)+AM69*CHOOSE(Credit_Assumptions!$D$29,AM86*AM87*(1+Credit_Assumptions!$C$17)^-0.5,(1-Credit_Assumptions!$C$16)*AM87*(1+Credit_Assumptions!$C$17)^-0.5,AM87)+AM70*CHOOSE(Credit_Assumptions!$D$30,AM86*AM87*(1+Credit_Assumptions!$C$17)^-0.5,(1-Credit_Assumptions!$C$16)*AM87*(1+Credit_Assumptions!$C$17)^-0.5,AM87)+AM71*CHOOSE(Credit_Assumptions!$D$31,AM86*AM87*(1+Credit_Assumptions!$C$17)^-0.5,(1-Credit_Assumptions!$C$16)*AM87*(1+Credit_Assumptions!$C$17)^-0.5,AM87)+AM72*CHOOSE(Credit_Assumptions!$D$32,AM86*AM87*(1+Credit_Assumptions!$C$17)^-0.5,(1-Credit_Assumptions!$C$16)*AM87*(1+Credit_Assumptions!$C$17)^-0.5,AM87)+AM73*CHOOSE(Credit_Assumptions!$D$33,AM86*AM87*(1+Credit_Assumptions!$C$17)^-0.5,(1-Credit_Assumptions!$C$16)*AM87*(1+Credit_Assumptions!$C$17)^-0.5,AM87)</f>
        <v/>
      </c>
      <c r="AN88" s="80">
        <f>AN68*CHOOSE(Credit_Assumptions!$D$28,AN86*AN87*(1+Credit_Assumptions!$C$17)^-0.5,(1-Credit_Assumptions!$C$16)*AN87*(1+Credit_Assumptions!$C$17)^-0.5,AN87)+AN69*CHOOSE(Credit_Assumptions!$D$29,AN86*AN87*(1+Credit_Assumptions!$C$17)^-0.5,(1-Credit_Assumptions!$C$16)*AN87*(1+Credit_Assumptions!$C$17)^-0.5,AN87)+AN70*CHOOSE(Credit_Assumptions!$D$30,AN86*AN87*(1+Credit_Assumptions!$C$17)^-0.5,(1-Credit_Assumptions!$C$16)*AN87*(1+Credit_Assumptions!$C$17)^-0.5,AN87)+AN71*CHOOSE(Credit_Assumptions!$D$31,AN86*AN87*(1+Credit_Assumptions!$C$17)^-0.5,(1-Credit_Assumptions!$C$16)*AN87*(1+Credit_Assumptions!$C$17)^-0.5,AN87)+AN72*CHOOSE(Credit_Assumptions!$D$32,AN86*AN87*(1+Credit_Assumptions!$C$17)^-0.5,(1-Credit_Assumptions!$C$16)*AN87*(1+Credit_Assumptions!$C$17)^-0.5,AN87)+AN73*CHOOSE(Credit_Assumptions!$D$33,AN86*AN87*(1+Credit_Assumptions!$C$17)^-0.5,(1-Credit_Assumptions!$C$16)*AN87*(1+Credit_Assumptions!$C$17)^-0.5,AN87)</f>
        <v/>
      </c>
      <c r="AO88" s="80">
        <f>AO68*CHOOSE(Credit_Assumptions!$D$28,AO86*AO87*(1+Credit_Assumptions!$C$17)^-0.5,(1-Credit_Assumptions!$C$16)*AO87*(1+Credit_Assumptions!$C$17)^-0.5,AO87)+AO69*CHOOSE(Credit_Assumptions!$D$29,AO86*AO87*(1+Credit_Assumptions!$C$17)^-0.5,(1-Credit_Assumptions!$C$16)*AO87*(1+Credit_Assumptions!$C$17)^-0.5,AO87)+AO70*CHOOSE(Credit_Assumptions!$D$30,AO86*AO87*(1+Credit_Assumptions!$C$17)^-0.5,(1-Credit_Assumptions!$C$16)*AO87*(1+Credit_Assumptions!$C$17)^-0.5,AO87)+AO71*CHOOSE(Credit_Assumptions!$D$31,AO86*AO87*(1+Credit_Assumptions!$C$17)^-0.5,(1-Credit_Assumptions!$C$16)*AO87*(1+Credit_Assumptions!$C$17)^-0.5,AO87)+AO72*CHOOSE(Credit_Assumptions!$D$32,AO86*AO87*(1+Credit_Assumptions!$C$17)^-0.5,(1-Credit_Assumptions!$C$16)*AO87*(1+Credit_Assumptions!$C$17)^-0.5,AO87)+AO73*CHOOSE(Credit_Assumptions!$D$33,AO86*AO87*(1+Credit_Assumptions!$C$17)^-0.5,(1-Credit_Assumptions!$C$16)*AO87*(1+Credit_Assumptions!$C$17)^-0.5,AO87)</f>
        <v/>
      </c>
      <c r="AP88" s="80">
        <f>AP68*CHOOSE(Credit_Assumptions!$D$28,AP86*AP87*(1+Credit_Assumptions!$C$17)^-0.5,(1-Credit_Assumptions!$C$16)*AP87*(1+Credit_Assumptions!$C$17)^-0.5,AP87)+AP69*CHOOSE(Credit_Assumptions!$D$29,AP86*AP87*(1+Credit_Assumptions!$C$17)^-0.5,(1-Credit_Assumptions!$C$16)*AP87*(1+Credit_Assumptions!$C$17)^-0.5,AP87)+AP70*CHOOSE(Credit_Assumptions!$D$30,AP86*AP87*(1+Credit_Assumptions!$C$17)^-0.5,(1-Credit_Assumptions!$C$16)*AP87*(1+Credit_Assumptions!$C$17)^-0.5,AP87)+AP71*CHOOSE(Credit_Assumptions!$D$31,AP86*AP87*(1+Credit_Assumptions!$C$17)^-0.5,(1-Credit_Assumptions!$C$16)*AP87*(1+Credit_Assumptions!$C$17)^-0.5,AP87)+AP72*CHOOSE(Credit_Assumptions!$D$32,AP86*AP87*(1+Credit_Assumptions!$C$17)^-0.5,(1-Credit_Assumptions!$C$16)*AP87*(1+Credit_Assumptions!$C$17)^-0.5,AP87)+AP73*CHOOSE(Credit_Assumptions!$D$33,AP86*AP87*(1+Credit_Assumptions!$C$17)^-0.5,(1-Credit_Assumptions!$C$16)*AP87*(1+Credit_Assumptions!$C$17)^-0.5,AP87)</f>
        <v/>
      </c>
      <c r="AQ88" s="80">
        <f>AQ68*CHOOSE(Credit_Assumptions!$D$28,AQ86*AQ87*(1+Credit_Assumptions!$C$17)^-0.5,(1-Credit_Assumptions!$C$16)*AQ87*(1+Credit_Assumptions!$C$17)^-0.5,AQ87)+AQ69*CHOOSE(Credit_Assumptions!$D$29,AQ86*AQ87*(1+Credit_Assumptions!$C$17)^-0.5,(1-Credit_Assumptions!$C$16)*AQ87*(1+Credit_Assumptions!$C$17)^-0.5,AQ87)+AQ70*CHOOSE(Credit_Assumptions!$D$30,AQ86*AQ87*(1+Credit_Assumptions!$C$17)^-0.5,(1-Credit_Assumptions!$C$16)*AQ87*(1+Credit_Assumptions!$C$17)^-0.5,AQ87)+AQ71*CHOOSE(Credit_Assumptions!$D$31,AQ86*AQ87*(1+Credit_Assumptions!$C$17)^-0.5,(1-Credit_Assumptions!$C$16)*AQ87*(1+Credit_Assumptions!$C$17)^-0.5,AQ87)+AQ72*CHOOSE(Credit_Assumptions!$D$32,AQ86*AQ87*(1+Credit_Assumptions!$C$17)^-0.5,(1-Credit_Assumptions!$C$16)*AQ87*(1+Credit_Assumptions!$C$17)^-0.5,AQ87)+AQ73*CHOOSE(Credit_Assumptions!$D$33,AQ86*AQ87*(1+Credit_Assumptions!$C$17)^-0.5,(1-Credit_Assumptions!$C$16)*AQ87*(1+Credit_Assumptions!$C$17)^-0.5,AQ87)</f>
        <v/>
      </c>
      <c r="AR88" s="80">
        <f>AR68*CHOOSE(Credit_Assumptions!$D$28,AR86*AR87*(1+Credit_Assumptions!$C$17)^-0.5,(1-Credit_Assumptions!$C$16)*AR87*(1+Credit_Assumptions!$C$17)^-0.5,AR87)+AR69*CHOOSE(Credit_Assumptions!$D$29,AR86*AR87*(1+Credit_Assumptions!$C$17)^-0.5,(1-Credit_Assumptions!$C$16)*AR87*(1+Credit_Assumptions!$C$17)^-0.5,AR87)+AR70*CHOOSE(Credit_Assumptions!$D$30,AR86*AR87*(1+Credit_Assumptions!$C$17)^-0.5,(1-Credit_Assumptions!$C$16)*AR87*(1+Credit_Assumptions!$C$17)^-0.5,AR87)+AR71*CHOOSE(Credit_Assumptions!$D$31,AR86*AR87*(1+Credit_Assumptions!$C$17)^-0.5,(1-Credit_Assumptions!$C$16)*AR87*(1+Credit_Assumptions!$C$17)^-0.5,AR87)+AR72*CHOOSE(Credit_Assumptions!$D$32,AR86*AR87*(1+Credit_Assumptions!$C$17)^-0.5,(1-Credit_Assumptions!$C$16)*AR87*(1+Credit_Assumptions!$C$17)^-0.5,AR87)+AR73*CHOOSE(Credit_Assumptions!$D$33,AR86*AR87*(1+Credit_Assumptions!$C$17)^-0.5,(1-Credit_Assumptions!$C$16)*AR87*(1+Credit_Assumptions!$C$17)^-0.5,AR87)</f>
        <v/>
      </c>
      <c r="AS88" s="80">
        <f>AS68*CHOOSE(Credit_Assumptions!$D$28,AS86*AS87*(1+Credit_Assumptions!$C$17)^-0.5,(1-Credit_Assumptions!$C$16)*AS87*(1+Credit_Assumptions!$C$17)^-0.5,AS87)+AS69*CHOOSE(Credit_Assumptions!$D$29,AS86*AS87*(1+Credit_Assumptions!$C$17)^-0.5,(1-Credit_Assumptions!$C$16)*AS87*(1+Credit_Assumptions!$C$17)^-0.5,AS87)+AS70*CHOOSE(Credit_Assumptions!$D$30,AS86*AS87*(1+Credit_Assumptions!$C$17)^-0.5,(1-Credit_Assumptions!$C$16)*AS87*(1+Credit_Assumptions!$C$17)^-0.5,AS87)+AS71*CHOOSE(Credit_Assumptions!$D$31,AS86*AS87*(1+Credit_Assumptions!$C$17)^-0.5,(1-Credit_Assumptions!$C$16)*AS87*(1+Credit_Assumptions!$C$17)^-0.5,AS87)+AS72*CHOOSE(Credit_Assumptions!$D$32,AS86*AS87*(1+Credit_Assumptions!$C$17)^-0.5,(1-Credit_Assumptions!$C$16)*AS87*(1+Credit_Assumptions!$C$17)^-0.5,AS87)+AS73*CHOOSE(Credit_Assumptions!$D$33,AS86*AS87*(1+Credit_Assumptions!$C$17)^-0.5,(1-Credit_Assumptions!$C$16)*AS87*(1+Credit_Assumptions!$C$17)^-0.5,AS87)</f>
        <v/>
      </c>
      <c r="AT88" s="80">
        <f>AT68*CHOOSE(Credit_Assumptions!$D$28,AT86*AT87*(1+Credit_Assumptions!$C$17)^-0.5,(1-Credit_Assumptions!$C$16)*AT87*(1+Credit_Assumptions!$C$17)^-0.5,AT87)+AT69*CHOOSE(Credit_Assumptions!$D$29,AT86*AT87*(1+Credit_Assumptions!$C$17)^-0.5,(1-Credit_Assumptions!$C$16)*AT87*(1+Credit_Assumptions!$C$17)^-0.5,AT87)+AT70*CHOOSE(Credit_Assumptions!$D$30,AT86*AT87*(1+Credit_Assumptions!$C$17)^-0.5,(1-Credit_Assumptions!$C$16)*AT87*(1+Credit_Assumptions!$C$17)^-0.5,AT87)+AT71*CHOOSE(Credit_Assumptions!$D$31,AT86*AT87*(1+Credit_Assumptions!$C$17)^-0.5,(1-Credit_Assumptions!$C$16)*AT87*(1+Credit_Assumptions!$C$17)^-0.5,AT87)+AT72*CHOOSE(Credit_Assumptions!$D$32,AT86*AT87*(1+Credit_Assumptions!$C$17)^-0.5,(1-Credit_Assumptions!$C$16)*AT87*(1+Credit_Assumptions!$C$17)^-0.5,AT87)+AT73*CHOOSE(Credit_Assumptions!$D$33,AT86*AT87*(1+Credit_Assumptions!$C$17)^-0.5,(1-Credit_Assumptions!$C$16)*AT87*(1+Credit_Assumptions!$C$17)^-0.5,AT87)</f>
        <v/>
      </c>
      <c r="AU88" s="80">
        <f>AU68*CHOOSE(Credit_Assumptions!$D$28,AU86*AU87*(1+Credit_Assumptions!$C$17)^-0.5,(1-Credit_Assumptions!$C$16)*AU87*(1+Credit_Assumptions!$C$17)^-0.5,AU87)+AU69*CHOOSE(Credit_Assumptions!$D$29,AU86*AU87*(1+Credit_Assumptions!$C$17)^-0.5,(1-Credit_Assumptions!$C$16)*AU87*(1+Credit_Assumptions!$C$17)^-0.5,AU87)+AU70*CHOOSE(Credit_Assumptions!$D$30,AU86*AU87*(1+Credit_Assumptions!$C$17)^-0.5,(1-Credit_Assumptions!$C$16)*AU87*(1+Credit_Assumptions!$C$17)^-0.5,AU87)+AU71*CHOOSE(Credit_Assumptions!$D$31,AU86*AU87*(1+Credit_Assumptions!$C$17)^-0.5,(1-Credit_Assumptions!$C$16)*AU87*(1+Credit_Assumptions!$C$17)^-0.5,AU87)+AU72*CHOOSE(Credit_Assumptions!$D$32,AU86*AU87*(1+Credit_Assumptions!$C$17)^-0.5,(1-Credit_Assumptions!$C$16)*AU87*(1+Credit_Assumptions!$C$17)^-0.5,AU87)+AU73*CHOOSE(Credit_Assumptions!$D$33,AU86*AU87*(1+Credit_Assumptions!$C$17)^-0.5,(1-Credit_Assumptions!$C$16)*AU87*(1+Credit_Assumptions!$C$17)^-0.5,AU87)</f>
        <v/>
      </c>
      <c r="AV88" s="80">
        <f>AV68*CHOOSE(Credit_Assumptions!$D$28,AV86*AV87*(1+Credit_Assumptions!$C$17)^-0.5,(1-Credit_Assumptions!$C$16)*AV87*(1+Credit_Assumptions!$C$17)^-0.5,AV87)+AV69*CHOOSE(Credit_Assumptions!$D$29,AV86*AV87*(1+Credit_Assumptions!$C$17)^-0.5,(1-Credit_Assumptions!$C$16)*AV87*(1+Credit_Assumptions!$C$17)^-0.5,AV87)+AV70*CHOOSE(Credit_Assumptions!$D$30,AV86*AV87*(1+Credit_Assumptions!$C$17)^-0.5,(1-Credit_Assumptions!$C$16)*AV87*(1+Credit_Assumptions!$C$17)^-0.5,AV87)+AV71*CHOOSE(Credit_Assumptions!$D$31,AV86*AV87*(1+Credit_Assumptions!$C$17)^-0.5,(1-Credit_Assumptions!$C$16)*AV87*(1+Credit_Assumptions!$C$17)^-0.5,AV87)+AV72*CHOOSE(Credit_Assumptions!$D$32,AV86*AV87*(1+Credit_Assumptions!$C$17)^-0.5,(1-Credit_Assumptions!$C$16)*AV87*(1+Credit_Assumptions!$C$17)^-0.5,AV87)+AV73*CHOOSE(Credit_Assumptions!$D$33,AV86*AV87*(1+Credit_Assumptions!$C$17)^-0.5,(1-Credit_Assumptions!$C$16)*AV87*(1+Credit_Assumptions!$C$17)^-0.5,AV87)</f>
        <v/>
      </c>
      <c r="AW88" s="80">
        <f>AW68*CHOOSE(Credit_Assumptions!$D$28,AW86*AW87*(1+Credit_Assumptions!$C$17)^-0.5,(1-Credit_Assumptions!$C$16)*AW87*(1+Credit_Assumptions!$C$17)^-0.5,AW87)+AW69*CHOOSE(Credit_Assumptions!$D$29,AW86*AW87*(1+Credit_Assumptions!$C$17)^-0.5,(1-Credit_Assumptions!$C$16)*AW87*(1+Credit_Assumptions!$C$17)^-0.5,AW87)+AW70*CHOOSE(Credit_Assumptions!$D$30,AW86*AW87*(1+Credit_Assumptions!$C$17)^-0.5,(1-Credit_Assumptions!$C$16)*AW87*(1+Credit_Assumptions!$C$17)^-0.5,AW87)+AW71*CHOOSE(Credit_Assumptions!$D$31,AW86*AW87*(1+Credit_Assumptions!$C$17)^-0.5,(1-Credit_Assumptions!$C$16)*AW87*(1+Credit_Assumptions!$C$17)^-0.5,AW87)+AW72*CHOOSE(Credit_Assumptions!$D$32,AW86*AW87*(1+Credit_Assumptions!$C$17)^-0.5,(1-Credit_Assumptions!$C$16)*AW87*(1+Credit_Assumptions!$C$17)^-0.5,AW87)+AW73*CHOOSE(Credit_Assumptions!$D$33,AW86*AW87*(1+Credit_Assumptions!$C$17)^-0.5,(1-Credit_Assumptions!$C$16)*AW87*(1+Credit_Assumptions!$C$17)^-0.5,AW87)</f>
        <v/>
      </c>
      <c r="AX88" s="80">
        <f>AX68*CHOOSE(Credit_Assumptions!$D$28,AX86*AX87*(1+Credit_Assumptions!$C$17)^-0.5,(1-Credit_Assumptions!$C$16)*AX87*(1+Credit_Assumptions!$C$17)^-0.5,AX87)+AX69*CHOOSE(Credit_Assumptions!$D$29,AX86*AX87*(1+Credit_Assumptions!$C$17)^-0.5,(1-Credit_Assumptions!$C$16)*AX87*(1+Credit_Assumptions!$C$17)^-0.5,AX87)+AX70*CHOOSE(Credit_Assumptions!$D$30,AX86*AX87*(1+Credit_Assumptions!$C$17)^-0.5,(1-Credit_Assumptions!$C$16)*AX87*(1+Credit_Assumptions!$C$17)^-0.5,AX87)+AX71*CHOOSE(Credit_Assumptions!$D$31,AX86*AX87*(1+Credit_Assumptions!$C$17)^-0.5,(1-Credit_Assumptions!$C$16)*AX87*(1+Credit_Assumptions!$C$17)^-0.5,AX87)+AX72*CHOOSE(Credit_Assumptions!$D$32,AX86*AX87*(1+Credit_Assumptions!$C$17)^-0.5,(1-Credit_Assumptions!$C$16)*AX87*(1+Credit_Assumptions!$C$17)^-0.5,AX87)+AX73*CHOOSE(Credit_Assumptions!$D$33,AX86*AX87*(1+Credit_Assumptions!$C$17)^-0.5,(1-Credit_Assumptions!$C$16)*AX87*(1+Credit_Assumptions!$C$17)^-0.5,AX87)</f>
        <v/>
      </c>
      <c r="AY88" s="80">
        <f>AY68*CHOOSE(Credit_Assumptions!$D$28,AY86*AY87*(1+Credit_Assumptions!$C$17)^-0.5,(1-Credit_Assumptions!$C$16)*AY87*(1+Credit_Assumptions!$C$17)^-0.5,AY87)+AY69*CHOOSE(Credit_Assumptions!$D$29,AY86*AY87*(1+Credit_Assumptions!$C$17)^-0.5,(1-Credit_Assumptions!$C$16)*AY87*(1+Credit_Assumptions!$C$17)^-0.5,AY87)+AY70*CHOOSE(Credit_Assumptions!$D$30,AY86*AY87*(1+Credit_Assumptions!$C$17)^-0.5,(1-Credit_Assumptions!$C$16)*AY87*(1+Credit_Assumptions!$C$17)^-0.5,AY87)+AY71*CHOOSE(Credit_Assumptions!$D$31,AY86*AY87*(1+Credit_Assumptions!$C$17)^-0.5,(1-Credit_Assumptions!$C$16)*AY87*(1+Credit_Assumptions!$C$17)^-0.5,AY87)+AY72*CHOOSE(Credit_Assumptions!$D$32,AY86*AY87*(1+Credit_Assumptions!$C$17)^-0.5,(1-Credit_Assumptions!$C$16)*AY87*(1+Credit_Assumptions!$C$17)^-0.5,AY87)+AY73*CHOOSE(Credit_Assumptions!$D$33,AY86*AY87*(1+Credit_Assumptions!$C$17)^-0.5,(1-Credit_Assumptions!$C$16)*AY87*(1+Credit_Assumptions!$C$17)^-0.5,AY87)</f>
        <v/>
      </c>
      <c r="AZ88" s="80">
        <f>AZ68*CHOOSE(Credit_Assumptions!$D$28,AZ86*AZ87*(1+Credit_Assumptions!$C$17)^-0.5,(1-Credit_Assumptions!$C$16)*AZ87*(1+Credit_Assumptions!$C$17)^-0.5,AZ87)+AZ69*CHOOSE(Credit_Assumptions!$D$29,AZ86*AZ87*(1+Credit_Assumptions!$C$17)^-0.5,(1-Credit_Assumptions!$C$16)*AZ87*(1+Credit_Assumptions!$C$17)^-0.5,AZ87)+AZ70*CHOOSE(Credit_Assumptions!$D$30,AZ86*AZ87*(1+Credit_Assumptions!$C$17)^-0.5,(1-Credit_Assumptions!$C$16)*AZ87*(1+Credit_Assumptions!$C$17)^-0.5,AZ87)+AZ71*CHOOSE(Credit_Assumptions!$D$31,AZ86*AZ87*(1+Credit_Assumptions!$C$17)^-0.5,(1-Credit_Assumptions!$C$16)*AZ87*(1+Credit_Assumptions!$C$17)^-0.5,AZ87)+AZ72*CHOOSE(Credit_Assumptions!$D$32,AZ86*AZ87*(1+Credit_Assumptions!$C$17)^-0.5,(1-Credit_Assumptions!$C$16)*AZ87*(1+Credit_Assumptions!$C$17)^-0.5,AZ87)+AZ73*CHOOSE(Credit_Assumptions!$D$33,AZ86*AZ87*(1+Credit_Assumptions!$C$17)^-0.5,(1-Credit_Assumptions!$C$16)*AZ87*(1+Credit_Assumptions!$C$17)^-0.5,AZ87)</f>
        <v/>
      </c>
      <c r="BA88" s="80">
        <f>BA68*CHOOSE(Credit_Assumptions!$D$28,BA86*BA87*(1+Credit_Assumptions!$C$17)^-0.5,(1-Credit_Assumptions!$C$16)*BA87*(1+Credit_Assumptions!$C$17)^-0.5,BA87)+BA69*CHOOSE(Credit_Assumptions!$D$29,BA86*BA87*(1+Credit_Assumptions!$C$17)^-0.5,(1-Credit_Assumptions!$C$16)*BA87*(1+Credit_Assumptions!$C$17)^-0.5,BA87)+BA70*CHOOSE(Credit_Assumptions!$D$30,BA86*BA87*(1+Credit_Assumptions!$C$17)^-0.5,(1-Credit_Assumptions!$C$16)*BA87*(1+Credit_Assumptions!$C$17)^-0.5,BA87)+BA71*CHOOSE(Credit_Assumptions!$D$31,BA86*BA87*(1+Credit_Assumptions!$C$17)^-0.5,(1-Credit_Assumptions!$C$16)*BA87*(1+Credit_Assumptions!$C$17)^-0.5,BA87)+BA72*CHOOSE(Credit_Assumptions!$D$32,BA86*BA87*(1+Credit_Assumptions!$C$17)^-0.5,(1-Credit_Assumptions!$C$16)*BA87*(1+Credit_Assumptions!$C$17)^-0.5,BA87)+BA73*CHOOSE(Credit_Assumptions!$D$33,BA86*BA87*(1+Credit_Assumptions!$C$17)^-0.5,(1-Credit_Assumptions!$C$16)*BA87*(1+Credit_Assumptions!$C$17)^-0.5,BA87)</f>
        <v/>
      </c>
      <c r="BB88" s="80">
        <f>BB68*CHOOSE(Credit_Assumptions!$D$28,BB86*BB87*(1+Credit_Assumptions!$C$17)^-0.5,(1-Credit_Assumptions!$C$16)*BB87*(1+Credit_Assumptions!$C$17)^-0.5,BB87)+BB69*CHOOSE(Credit_Assumptions!$D$29,BB86*BB87*(1+Credit_Assumptions!$C$17)^-0.5,(1-Credit_Assumptions!$C$16)*BB87*(1+Credit_Assumptions!$C$17)^-0.5,BB87)+BB70*CHOOSE(Credit_Assumptions!$D$30,BB86*BB87*(1+Credit_Assumptions!$C$17)^-0.5,(1-Credit_Assumptions!$C$16)*BB87*(1+Credit_Assumptions!$C$17)^-0.5,BB87)+BB71*CHOOSE(Credit_Assumptions!$D$31,BB86*BB87*(1+Credit_Assumptions!$C$17)^-0.5,(1-Credit_Assumptions!$C$16)*BB87*(1+Credit_Assumptions!$C$17)^-0.5,BB87)+BB72*CHOOSE(Credit_Assumptions!$D$32,BB86*BB87*(1+Credit_Assumptions!$C$17)^-0.5,(1-Credit_Assumptions!$C$16)*BB87*(1+Credit_Assumptions!$C$17)^-0.5,BB87)+BB73*CHOOSE(Credit_Assumptions!$D$33,BB86*BB87*(1+Credit_Assumptions!$C$17)^-0.5,(1-Credit_Assumptions!$C$16)*BB87*(1+Credit_Assumptions!$C$17)^-0.5,BB87)</f>
        <v/>
      </c>
      <c r="BC88" s="80">
        <f>BC68*CHOOSE(Credit_Assumptions!$D$28,BC86*BC87*(1+Credit_Assumptions!$C$17)^-0.5,(1-Credit_Assumptions!$C$16)*BC87*(1+Credit_Assumptions!$C$17)^-0.5,BC87)+BC69*CHOOSE(Credit_Assumptions!$D$29,BC86*BC87*(1+Credit_Assumptions!$C$17)^-0.5,(1-Credit_Assumptions!$C$16)*BC87*(1+Credit_Assumptions!$C$17)^-0.5,BC87)+BC70*CHOOSE(Credit_Assumptions!$D$30,BC86*BC87*(1+Credit_Assumptions!$C$17)^-0.5,(1-Credit_Assumptions!$C$16)*BC87*(1+Credit_Assumptions!$C$17)^-0.5,BC87)+BC71*CHOOSE(Credit_Assumptions!$D$31,BC86*BC87*(1+Credit_Assumptions!$C$17)^-0.5,(1-Credit_Assumptions!$C$16)*BC87*(1+Credit_Assumptions!$C$17)^-0.5,BC87)+BC72*CHOOSE(Credit_Assumptions!$D$32,BC86*BC87*(1+Credit_Assumptions!$C$17)^-0.5,(1-Credit_Assumptions!$C$16)*BC87*(1+Credit_Assumptions!$C$17)^-0.5,BC87)+BC73*CHOOSE(Credit_Assumptions!$D$33,BC86*BC87*(1+Credit_Assumptions!$C$17)^-0.5,(1-Credit_Assumptions!$C$16)*BC87*(1+Credit_Assumptions!$C$17)^-0.5,BC87)</f>
        <v/>
      </c>
      <c r="BD88" s="80">
        <f>BD68*CHOOSE(Credit_Assumptions!$D$28,BD86*BD87*(1+Credit_Assumptions!$C$17)^-0.5,(1-Credit_Assumptions!$C$16)*BD87*(1+Credit_Assumptions!$C$17)^-0.5,BD87)+BD69*CHOOSE(Credit_Assumptions!$D$29,BD86*BD87*(1+Credit_Assumptions!$C$17)^-0.5,(1-Credit_Assumptions!$C$16)*BD87*(1+Credit_Assumptions!$C$17)^-0.5,BD87)+BD70*CHOOSE(Credit_Assumptions!$D$30,BD86*BD87*(1+Credit_Assumptions!$C$17)^-0.5,(1-Credit_Assumptions!$C$16)*BD87*(1+Credit_Assumptions!$C$17)^-0.5,BD87)+BD71*CHOOSE(Credit_Assumptions!$D$31,BD86*BD87*(1+Credit_Assumptions!$C$17)^-0.5,(1-Credit_Assumptions!$C$16)*BD87*(1+Credit_Assumptions!$C$17)^-0.5,BD87)+BD72*CHOOSE(Credit_Assumptions!$D$32,BD86*BD87*(1+Credit_Assumptions!$C$17)^-0.5,(1-Credit_Assumptions!$C$16)*BD87*(1+Credit_Assumptions!$C$17)^-0.5,BD87)+BD73*CHOOSE(Credit_Assumptions!$D$33,BD86*BD87*(1+Credit_Assumptions!$C$17)^-0.5,(1-Credit_Assumptions!$C$16)*BD87*(1+Credit_Assumptions!$C$17)^-0.5,BD87)</f>
        <v/>
      </c>
      <c r="BE88" s="80">
        <f>BE68*CHOOSE(Credit_Assumptions!$D$28,BE86*BE87*(1+Credit_Assumptions!$C$17)^-0.5,(1-Credit_Assumptions!$C$16)*BE87*(1+Credit_Assumptions!$C$17)^-0.5,BE87)+BE69*CHOOSE(Credit_Assumptions!$D$29,BE86*BE87*(1+Credit_Assumptions!$C$17)^-0.5,(1-Credit_Assumptions!$C$16)*BE87*(1+Credit_Assumptions!$C$17)^-0.5,BE87)+BE70*CHOOSE(Credit_Assumptions!$D$30,BE86*BE87*(1+Credit_Assumptions!$C$17)^-0.5,(1-Credit_Assumptions!$C$16)*BE87*(1+Credit_Assumptions!$C$17)^-0.5,BE87)+BE71*CHOOSE(Credit_Assumptions!$D$31,BE86*BE87*(1+Credit_Assumptions!$C$17)^-0.5,(1-Credit_Assumptions!$C$16)*BE87*(1+Credit_Assumptions!$C$17)^-0.5,BE87)+BE72*CHOOSE(Credit_Assumptions!$D$32,BE86*BE87*(1+Credit_Assumptions!$C$17)^-0.5,(1-Credit_Assumptions!$C$16)*BE87*(1+Credit_Assumptions!$C$17)^-0.5,BE87)+BE73*CHOOSE(Credit_Assumptions!$D$33,BE86*BE87*(1+Credit_Assumptions!$C$17)^-0.5,(1-Credit_Assumptions!$C$16)*BE87*(1+Credit_Assumptions!$C$17)^-0.5,BE87)</f>
        <v/>
      </c>
      <c r="BF88" s="80">
        <f>BF68*CHOOSE(Credit_Assumptions!$D$28,BF86*BF87*(1+Credit_Assumptions!$C$17)^-0.5,(1-Credit_Assumptions!$C$16)*BF87*(1+Credit_Assumptions!$C$17)^-0.5,BF87)+BF69*CHOOSE(Credit_Assumptions!$D$29,BF86*BF87*(1+Credit_Assumptions!$C$17)^-0.5,(1-Credit_Assumptions!$C$16)*BF87*(1+Credit_Assumptions!$C$17)^-0.5,BF87)+BF70*CHOOSE(Credit_Assumptions!$D$30,BF86*BF87*(1+Credit_Assumptions!$C$17)^-0.5,(1-Credit_Assumptions!$C$16)*BF87*(1+Credit_Assumptions!$C$17)^-0.5,BF87)+BF71*CHOOSE(Credit_Assumptions!$D$31,BF86*BF87*(1+Credit_Assumptions!$C$17)^-0.5,(1-Credit_Assumptions!$C$16)*BF87*(1+Credit_Assumptions!$C$17)^-0.5,BF87)+BF72*CHOOSE(Credit_Assumptions!$D$32,BF86*BF87*(1+Credit_Assumptions!$C$17)^-0.5,(1-Credit_Assumptions!$C$16)*BF87*(1+Credit_Assumptions!$C$17)^-0.5,BF87)+BF73*CHOOSE(Credit_Assumptions!$D$33,BF86*BF87*(1+Credit_Assumptions!$C$17)^-0.5,(1-Credit_Assumptions!$C$16)*BF87*(1+Credit_Assumptions!$C$17)^-0.5,BF87)</f>
        <v/>
      </c>
      <c r="BG88" s="80">
        <f>BG68*CHOOSE(Credit_Assumptions!$D$28,BG86*BG87*(1+Credit_Assumptions!$C$17)^-0.5,(1-Credit_Assumptions!$C$16)*BG87*(1+Credit_Assumptions!$C$17)^-0.5,BG87)+BG69*CHOOSE(Credit_Assumptions!$D$29,BG86*BG87*(1+Credit_Assumptions!$C$17)^-0.5,(1-Credit_Assumptions!$C$16)*BG87*(1+Credit_Assumptions!$C$17)^-0.5,BG87)+BG70*CHOOSE(Credit_Assumptions!$D$30,BG86*BG87*(1+Credit_Assumptions!$C$17)^-0.5,(1-Credit_Assumptions!$C$16)*BG87*(1+Credit_Assumptions!$C$17)^-0.5,BG87)+BG71*CHOOSE(Credit_Assumptions!$D$31,BG86*BG87*(1+Credit_Assumptions!$C$17)^-0.5,(1-Credit_Assumptions!$C$16)*BG87*(1+Credit_Assumptions!$C$17)^-0.5,BG87)+BG72*CHOOSE(Credit_Assumptions!$D$32,BG86*BG87*(1+Credit_Assumptions!$C$17)^-0.5,(1-Credit_Assumptions!$C$16)*BG87*(1+Credit_Assumptions!$C$17)^-0.5,BG87)+BG73*CHOOSE(Credit_Assumptions!$D$33,BG86*BG87*(1+Credit_Assumptions!$C$17)^-0.5,(1-Credit_Assumptions!$C$16)*BG87*(1+Credit_Assumptions!$C$17)^-0.5,BG87)</f>
        <v/>
      </c>
      <c r="BH88" s="80">
        <f>BH68*CHOOSE(Credit_Assumptions!$D$28,BH86*BH87*(1+Credit_Assumptions!$C$17)^-0.5,(1-Credit_Assumptions!$C$16)*BH87*(1+Credit_Assumptions!$C$17)^-0.5,BH87)+BH69*CHOOSE(Credit_Assumptions!$D$29,BH86*BH87*(1+Credit_Assumptions!$C$17)^-0.5,(1-Credit_Assumptions!$C$16)*BH87*(1+Credit_Assumptions!$C$17)^-0.5,BH87)+BH70*CHOOSE(Credit_Assumptions!$D$30,BH86*BH87*(1+Credit_Assumptions!$C$17)^-0.5,(1-Credit_Assumptions!$C$16)*BH87*(1+Credit_Assumptions!$C$17)^-0.5,BH87)+BH71*CHOOSE(Credit_Assumptions!$D$31,BH86*BH87*(1+Credit_Assumptions!$C$17)^-0.5,(1-Credit_Assumptions!$C$16)*BH87*(1+Credit_Assumptions!$C$17)^-0.5,BH87)+BH72*CHOOSE(Credit_Assumptions!$D$32,BH86*BH87*(1+Credit_Assumptions!$C$17)^-0.5,(1-Credit_Assumptions!$C$16)*BH87*(1+Credit_Assumptions!$C$17)^-0.5,BH87)+BH73*CHOOSE(Credit_Assumptions!$D$33,BH86*BH87*(1+Credit_Assumptions!$C$17)^-0.5,(1-Credit_Assumptions!$C$16)*BH87*(1+Credit_Assumptions!$C$17)^-0.5,BH87)</f>
        <v/>
      </c>
      <c r="BI88" s="80">
        <f>BI68*CHOOSE(Credit_Assumptions!$D$28,BI86*BI87*(1+Credit_Assumptions!$C$17)^-0.5,(1-Credit_Assumptions!$C$16)*BI87*(1+Credit_Assumptions!$C$17)^-0.5,BI87)+BI69*CHOOSE(Credit_Assumptions!$D$29,BI86*BI87*(1+Credit_Assumptions!$C$17)^-0.5,(1-Credit_Assumptions!$C$16)*BI87*(1+Credit_Assumptions!$C$17)^-0.5,BI87)+BI70*CHOOSE(Credit_Assumptions!$D$30,BI86*BI87*(1+Credit_Assumptions!$C$17)^-0.5,(1-Credit_Assumptions!$C$16)*BI87*(1+Credit_Assumptions!$C$17)^-0.5,BI87)+BI71*CHOOSE(Credit_Assumptions!$D$31,BI86*BI87*(1+Credit_Assumptions!$C$17)^-0.5,(1-Credit_Assumptions!$C$16)*BI87*(1+Credit_Assumptions!$C$17)^-0.5,BI87)+BI72*CHOOSE(Credit_Assumptions!$D$32,BI86*BI87*(1+Credit_Assumptions!$C$17)^-0.5,(1-Credit_Assumptions!$C$16)*BI87*(1+Credit_Assumptions!$C$17)^-0.5,BI87)+BI73*CHOOSE(Credit_Assumptions!$D$33,BI86*BI87*(1+Credit_Assumptions!$C$17)^-0.5,(1-Credit_Assumptions!$C$16)*BI87*(1+Credit_Assumptions!$C$17)^-0.5,BI87)</f>
        <v/>
      </c>
      <c r="BJ88" s="80">
        <f>BJ68*CHOOSE(Credit_Assumptions!$D$28,BJ86*BJ87*(1+Credit_Assumptions!$C$17)^-0.5,(1-Credit_Assumptions!$C$16)*BJ87*(1+Credit_Assumptions!$C$17)^-0.5,BJ87)+BJ69*CHOOSE(Credit_Assumptions!$D$29,BJ86*BJ87*(1+Credit_Assumptions!$C$17)^-0.5,(1-Credit_Assumptions!$C$16)*BJ87*(1+Credit_Assumptions!$C$17)^-0.5,BJ87)+BJ70*CHOOSE(Credit_Assumptions!$D$30,BJ86*BJ87*(1+Credit_Assumptions!$C$17)^-0.5,(1-Credit_Assumptions!$C$16)*BJ87*(1+Credit_Assumptions!$C$17)^-0.5,BJ87)+BJ71*CHOOSE(Credit_Assumptions!$D$31,BJ86*BJ87*(1+Credit_Assumptions!$C$17)^-0.5,(1-Credit_Assumptions!$C$16)*BJ87*(1+Credit_Assumptions!$C$17)^-0.5,BJ87)+BJ72*CHOOSE(Credit_Assumptions!$D$32,BJ86*BJ87*(1+Credit_Assumptions!$C$17)^-0.5,(1-Credit_Assumptions!$C$16)*BJ87*(1+Credit_Assumptions!$C$17)^-0.5,BJ87)+BJ73*CHOOSE(Credit_Assumptions!$D$33,BJ86*BJ87*(1+Credit_Assumptions!$C$17)^-0.5,(1-Credit_Assumptions!$C$16)*BJ87*(1+Credit_Assumptions!$C$17)^-0.5,BJ87)</f>
        <v/>
      </c>
      <c r="BK88" s="80">
        <f>BK68*CHOOSE(Credit_Assumptions!$D$28,BK86*BK87*(1+Credit_Assumptions!$C$17)^-0.5,(1-Credit_Assumptions!$C$16)*BK87*(1+Credit_Assumptions!$C$17)^-0.5,BK87)+BK69*CHOOSE(Credit_Assumptions!$D$29,BK86*BK87*(1+Credit_Assumptions!$C$17)^-0.5,(1-Credit_Assumptions!$C$16)*BK87*(1+Credit_Assumptions!$C$17)^-0.5,BK87)+BK70*CHOOSE(Credit_Assumptions!$D$30,BK86*BK87*(1+Credit_Assumptions!$C$17)^-0.5,(1-Credit_Assumptions!$C$16)*BK87*(1+Credit_Assumptions!$C$17)^-0.5,BK87)+BK71*CHOOSE(Credit_Assumptions!$D$31,BK86*BK87*(1+Credit_Assumptions!$C$17)^-0.5,(1-Credit_Assumptions!$C$16)*BK87*(1+Credit_Assumptions!$C$17)^-0.5,BK87)+BK72*CHOOSE(Credit_Assumptions!$D$32,BK86*BK87*(1+Credit_Assumptions!$C$17)^-0.5,(1-Credit_Assumptions!$C$16)*BK87*(1+Credit_Assumptions!$C$17)^-0.5,BK87)+BK73*CHOOSE(Credit_Assumptions!$D$33,BK86*BK87*(1+Credit_Assumptions!$C$17)^-0.5,(1-Credit_Assumptions!$C$16)*BK87*(1+Credit_Assumptions!$C$17)^-0.5,BK87)</f>
        <v/>
      </c>
      <c r="BL88" s="80">
        <f>BL68*CHOOSE(Credit_Assumptions!$D$28,BL86*BL87*(1+Credit_Assumptions!$C$17)^-0.5,(1-Credit_Assumptions!$C$16)*BL87*(1+Credit_Assumptions!$C$17)^-0.5,BL87)+BL69*CHOOSE(Credit_Assumptions!$D$29,BL86*BL87*(1+Credit_Assumptions!$C$17)^-0.5,(1-Credit_Assumptions!$C$16)*BL87*(1+Credit_Assumptions!$C$17)^-0.5,BL87)+BL70*CHOOSE(Credit_Assumptions!$D$30,BL86*BL87*(1+Credit_Assumptions!$C$17)^-0.5,(1-Credit_Assumptions!$C$16)*BL87*(1+Credit_Assumptions!$C$17)^-0.5,BL87)+BL71*CHOOSE(Credit_Assumptions!$D$31,BL86*BL87*(1+Credit_Assumptions!$C$17)^-0.5,(1-Credit_Assumptions!$C$16)*BL87*(1+Credit_Assumptions!$C$17)^-0.5,BL87)+BL72*CHOOSE(Credit_Assumptions!$D$32,BL86*BL87*(1+Credit_Assumptions!$C$17)^-0.5,(1-Credit_Assumptions!$C$16)*BL87*(1+Credit_Assumptions!$C$17)^-0.5,BL87)+BL73*CHOOSE(Credit_Assumptions!$D$33,BL86*BL87*(1+Credit_Assumptions!$C$17)^-0.5,(1-Credit_Assumptions!$C$16)*BL87*(1+Credit_Assumptions!$C$17)^-0.5,BL87)</f>
        <v/>
      </c>
    </row>
    <row r="89">
      <c r="A89" s="98" t="inlineStr">
        <is>
          <t>Eligible receivables (borrowing base)</t>
        </is>
      </c>
      <c r="B89" s="65" t="inlineStr">
        <is>
          <t>LCY</t>
        </is>
      </c>
      <c r="C89" s="105">
        <f>BL89</f>
        <v/>
      </c>
      <c r="E89" s="80">
        <f>E68*Credit_Assumptions!$E$28+E69*Credit_Assumptions!$E$29+E70*Credit_Assumptions!$E$30+E71*Credit_Assumptions!$E$31+E72*Credit_Assumptions!$E$32+E73*Credit_Assumptions!$E$33</f>
        <v/>
      </c>
      <c r="F89" s="80">
        <f>F68*Credit_Assumptions!$E$28+F69*Credit_Assumptions!$E$29+F70*Credit_Assumptions!$E$30+F71*Credit_Assumptions!$E$31+F72*Credit_Assumptions!$E$32+F73*Credit_Assumptions!$E$33</f>
        <v/>
      </c>
      <c r="G89" s="80">
        <f>G68*Credit_Assumptions!$E$28+G69*Credit_Assumptions!$E$29+G70*Credit_Assumptions!$E$30+G71*Credit_Assumptions!$E$31+G72*Credit_Assumptions!$E$32+G73*Credit_Assumptions!$E$33</f>
        <v/>
      </c>
      <c r="H89" s="80">
        <f>H68*Credit_Assumptions!$E$28+H69*Credit_Assumptions!$E$29+H70*Credit_Assumptions!$E$30+H71*Credit_Assumptions!$E$31+H72*Credit_Assumptions!$E$32+H73*Credit_Assumptions!$E$33</f>
        <v/>
      </c>
      <c r="I89" s="80">
        <f>I68*Credit_Assumptions!$E$28+I69*Credit_Assumptions!$E$29+I70*Credit_Assumptions!$E$30+I71*Credit_Assumptions!$E$31+I72*Credit_Assumptions!$E$32+I73*Credit_Assumptions!$E$33</f>
        <v/>
      </c>
      <c r="J89" s="80">
        <f>J68*Credit_Assumptions!$E$28+J69*Credit_Assumptions!$E$29+J70*Credit_Assumptions!$E$30+J71*Credit_Assumptions!$E$31+J72*Credit_Assumptions!$E$32+J73*Credit_Assumptions!$E$33</f>
        <v/>
      </c>
      <c r="K89" s="80">
        <f>K68*Credit_Assumptions!$E$28+K69*Credit_Assumptions!$E$29+K70*Credit_Assumptions!$E$30+K71*Credit_Assumptions!$E$31+K72*Credit_Assumptions!$E$32+K73*Credit_Assumptions!$E$33</f>
        <v/>
      </c>
      <c r="L89" s="80">
        <f>L68*Credit_Assumptions!$E$28+L69*Credit_Assumptions!$E$29+L70*Credit_Assumptions!$E$30+L71*Credit_Assumptions!$E$31+L72*Credit_Assumptions!$E$32+L73*Credit_Assumptions!$E$33</f>
        <v/>
      </c>
      <c r="M89" s="80">
        <f>M68*Credit_Assumptions!$E$28+M69*Credit_Assumptions!$E$29+M70*Credit_Assumptions!$E$30+M71*Credit_Assumptions!$E$31+M72*Credit_Assumptions!$E$32+M73*Credit_Assumptions!$E$33</f>
        <v/>
      </c>
      <c r="N89" s="80">
        <f>N68*Credit_Assumptions!$E$28+N69*Credit_Assumptions!$E$29+N70*Credit_Assumptions!$E$30+N71*Credit_Assumptions!$E$31+N72*Credit_Assumptions!$E$32+N73*Credit_Assumptions!$E$33</f>
        <v/>
      </c>
      <c r="O89" s="80">
        <f>O68*Credit_Assumptions!$E$28+O69*Credit_Assumptions!$E$29+O70*Credit_Assumptions!$E$30+O71*Credit_Assumptions!$E$31+O72*Credit_Assumptions!$E$32+O73*Credit_Assumptions!$E$33</f>
        <v/>
      </c>
      <c r="P89" s="80">
        <f>P68*Credit_Assumptions!$E$28+P69*Credit_Assumptions!$E$29+P70*Credit_Assumptions!$E$30+P71*Credit_Assumptions!$E$31+P72*Credit_Assumptions!$E$32+P73*Credit_Assumptions!$E$33</f>
        <v/>
      </c>
      <c r="Q89" s="80">
        <f>Q68*Credit_Assumptions!$E$28+Q69*Credit_Assumptions!$E$29+Q70*Credit_Assumptions!$E$30+Q71*Credit_Assumptions!$E$31+Q72*Credit_Assumptions!$E$32+Q73*Credit_Assumptions!$E$33</f>
        <v/>
      </c>
      <c r="R89" s="80">
        <f>R68*Credit_Assumptions!$E$28+R69*Credit_Assumptions!$E$29+R70*Credit_Assumptions!$E$30+R71*Credit_Assumptions!$E$31+R72*Credit_Assumptions!$E$32+R73*Credit_Assumptions!$E$33</f>
        <v/>
      </c>
      <c r="S89" s="80">
        <f>S68*Credit_Assumptions!$E$28+S69*Credit_Assumptions!$E$29+S70*Credit_Assumptions!$E$30+S71*Credit_Assumptions!$E$31+S72*Credit_Assumptions!$E$32+S73*Credit_Assumptions!$E$33</f>
        <v/>
      </c>
      <c r="T89" s="80">
        <f>T68*Credit_Assumptions!$E$28+T69*Credit_Assumptions!$E$29+T70*Credit_Assumptions!$E$30+T71*Credit_Assumptions!$E$31+T72*Credit_Assumptions!$E$32+T73*Credit_Assumptions!$E$33</f>
        <v/>
      </c>
      <c r="U89" s="80">
        <f>U68*Credit_Assumptions!$E$28+U69*Credit_Assumptions!$E$29+U70*Credit_Assumptions!$E$30+U71*Credit_Assumptions!$E$31+U72*Credit_Assumptions!$E$32+U73*Credit_Assumptions!$E$33</f>
        <v/>
      </c>
      <c r="V89" s="80">
        <f>V68*Credit_Assumptions!$E$28+V69*Credit_Assumptions!$E$29+V70*Credit_Assumptions!$E$30+V71*Credit_Assumptions!$E$31+V72*Credit_Assumptions!$E$32+V73*Credit_Assumptions!$E$33</f>
        <v/>
      </c>
      <c r="W89" s="80">
        <f>W68*Credit_Assumptions!$E$28+W69*Credit_Assumptions!$E$29+W70*Credit_Assumptions!$E$30+W71*Credit_Assumptions!$E$31+W72*Credit_Assumptions!$E$32+W73*Credit_Assumptions!$E$33</f>
        <v/>
      </c>
      <c r="X89" s="80">
        <f>X68*Credit_Assumptions!$E$28+X69*Credit_Assumptions!$E$29+X70*Credit_Assumptions!$E$30+X71*Credit_Assumptions!$E$31+X72*Credit_Assumptions!$E$32+X73*Credit_Assumptions!$E$33</f>
        <v/>
      </c>
      <c r="Y89" s="80">
        <f>Y68*Credit_Assumptions!$E$28+Y69*Credit_Assumptions!$E$29+Y70*Credit_Assumptions!$E$30+Y71*Credit_Assumptions!$E$31+Y72*Credit_Assumptions!$E$32+Y73*Credit_Assumptions!$E$33</f>
        <v/>
      </c>
      <c r="Z89" s="80">
        <f>Z68*Credit_Assumptions!$E$28+Z69*Credit_Assumptions!$E$29+Z70*Credit_Assumptions!$E$30+Z71*Credit_Assumptions!$E$31+Z72*Credit_Assumptions!$E$32+Z73*Credit_Assumptions!$E$33</f>
        <v/>
      </c>
      <c r="AA89" s="80">
        <f>AA68*Credit_Assumptions!$E$28+AA69*Credit_Assumptions!$E$29+AA70*Credit_Assumptions!$E$30+AA71*Credit_Assumptions!$E$31+AA72*Credit_Assumptions!$E$32+AA73*Credit_Assumptions!$E$33</f>
        <v/>
      </c>
      <c r="AB89" s="80">
        <f>AB68*Credit_Assumptions!$E$28+AB69*Credit_Assumptions!$E$29+AB70*Credit_Assumptions!$E$30+AB71*Credit_Assumptions!$E$31+AB72*Credit_Assumptions!$E$32+AB73*Credit_Assumptions!$E$33</f>
        <v/>
      </c>
      <c r="AC89" s="80">
        <f>AC68*Credit_Assumptions!$E$28+AC69*Credit_Assumptions!$E$29+AC70*Credit_Assumptions!$E$30+AC71*Credit_Assumptions!$E$31+AC72*Credit_Assumptions!$E$32+AC73*Credit_Assumptions!$E$33</f>
        <v/>
      </c>
      <c r="AD89" s="80">
        <f>AD68*Credit_Assumptions!$E$28+AD69*Credit_Assumptions!$E$29+AD70*Credit_Assumptions!$E$30+AD71*Credit_Assumptions!$E$31+AD72*Credit_Assumptions!$E$32+AD73*Credit_Assumptions!$E$33</f>
        <v/>
      </c>
      <c r="AE89" s="80">
        <f>AE68*Credit_Assumptions!$E$28+AE69*Credit_Assumptions!$E$29+AE70*Credit_Assumptions!$E$30+AE71*Credit_Assumptions!$E$31+AE72*Credit_Assumptions!$E$32+AE73*Credit_Assumptions!$E$33</f>
        <v/>
      </c>
      <c r="AF89" s="80">
        <f>AF68*Credit_Assumptions!$E$28+AF69*Credit_Assumptions!$E$29+AF70*Credit_Assumptions!$E$30+AF71*Credit_Assumptions!$E$31+AF72*Credit_Assumptions!$E$32+AF73*Credit_Assumptions!$E$33</f>
        <v/>
      </c>
      <c r="AG89" s="80">
        <f>AG68*Credit_Assumptions!$E$28+AG69*Credit_Assumptions!$E$29+AG70*Credit_Assumptions!$E$30+AG71*Credit_Assumptions!$E$31+AG72*Credit_Assumptions!$E$32+AG73*Credit_Assumptions!$E$33</f>
        <v/>
      </c>
      <c r="AH89" s="80">
        <f>AH68*Credit_Assumptions!$E$28+AH69*Credit_Assumptions!$E$29+AH70*Credit_Assumptions!$E$30+AH71*Credit_Assumptions!$E$31+AH72*Credit_Assumptions!$E$32+AH73*Credit_Assumptions!$E$33</f>
        <v/>
      </c>
      <c r="AI89" s="80">
        <f>AI68*Credit_Assumptions!$E$28+AI69*Credit_Assumptions!$E$29+AI70*Credit_Assumptions!$E$30+AI71*Credit_Assumptions!$E$31+AI72*Credit_Assumptions!$E$32+AI73*Credit_Assumptions!$E$33</f>
        <v/>
      </c>
      <c r="AJ89" s="80">
        <f>AJ68*Credit_Assumptions!$E$28+AJ69*Credit_Assumptions!$E$29+AJ70*Credit_Assumptions!$E$30+AJ71*Credit_Assumptions!$E$31+AJ72*Credit_Assumptions!$E$32+AJ73*Credit_Assumptions!$E$33</f>
        <v/>
      </c>
      <c r="AK89" s="80">
        <f>AK68*Credit_Assumptions!$E$28+AK69*Credit_Assumptions!$E$29+AK70*Credit_Assumptions!$E$30+AK71*Credit_Assumptions!$E$31+AK72*Credit_Assumptions!$E$32+AK73*Credit_Assumptions!$E$33</f>
        <v/>
      </c>
      <c r="AL89" s="80">
        <f>AL68*Credit_Assumptions!$E$28+AL69*Credit_Assumptions!$E$29+AL70*Credit_Assumptions!$E$30+AL71*Credit_Assumptions!$E$31+AL72*Credit_Assumptions!$E$32+AL73*Credit_Assumptions!$E$33</f>
        <v/>
      </c>
      <c r="AM89" s="80">
        <f>AM68*Credit_Assumptions!$E$28+AM69*Credit_Assumptions!$E$29+AM70*Credit_Assumptions!$E$30+AM71*Credit_Assumptions!$E$31+AM72*Credit_Assumptions!$E$32+AM73*Credit_Assumptions!$E$33</f>
        <v/>
      </c>
      <c r="AN89" s="80">
        <f>AN68*Credit_Assumptions!$E$28+AN69*Credit_Assumptions!$E$29+AN70*Credit_Assumptions!$E$30+AN71*Credit_Assumptions!$E$31+AN72*Credit_Assumptions!$E$32+AN73*Credit_Assumptions!$E$33</f>
        <v/>
      </c>
      <c r="AO89" s="80">
        <f>AO68*Credit_Assumptions!$E$28+AO69*Credit_Assumptions!$E$29+AO70*Credit_Assumptions!$E$30+AO71*Credit_Assumptions!$E$31+AO72*Credit_Assumptions!$E$32+AO73*Credit_Assumptions!$E$33</f>
        <v/>
      </c>
      <c r="AP89" s="80">
        <f>AP68*Credit_Assumptions!$E$28+AP69*Credit_Assumptions!$E$29+AP70*Credit_Assumptions!$E$30+AP71*Credit_Assumptions!$E$31+AP72*Credit_Assumptions!$E$32+AP73*Credit_Assumptions!$E$33</f>
        <v/>
      </c>
      <c r="AQ89" s="80">
        <f>AQ68*Credit_Assumptions!$E$28+AQ69*Credit_Assumptions!$E$29+AQ70*Credit_Assumptions!$E$30+AQ71*Credit_Assumptions!$E$31+AQ72*Credit_Assumptions!$E$32+AQ73*Credit_Assumptions!$E$33</f>
        <v/>
      </c>
      <c r="AR89" s="80">
        <f>AR68*Credit_Assumptions!$E$28+AR69*Credit_Assumptions!$E$29+AR70*Credit_Assumptions!$E$30+AR71*Credit_Assumptions!$E$31+AR72*Credit_Assumptions!$E$32+AR73*Credit_Assumptions!$E$33</f>
        <v/>
      </c>
      <c r="AS89" s="80">
        <f>AS68*Credit_Assumptions!$E$28+AS69*Credit_Assumptions!$E$29+AS70*Credit_Assumptions!$E$30+AS71*Credit_Assumptions!$E$31+AS72*Credit_Assumptions!$E$32+AS73*Credit_Assumptions!$E$33</f>
        <v/>
      </c>
      <c r="AT89" s="80">
        <f>AT68*Credit_Assumptions!$E$28+AT69*Credit_Assumptions!$E$29+AT70*Credit_Assumptions!$E$30+AT71*Credit_Assumptions!$E$31+AT72*Credit_Assumptions!$E$32+AT73*Credit_Assumptions!$E$33</f>
        <v/>
      </c>
      <c r="AU89" s="80">
        <f>AU68*Credit_Assumptions!$E$28+AU69*Credit_Assumptions!$E$29+AU70*Credit_Assumptions!$E$30+AU71*Credit_Assumptions!$E$31+AU72*Credit_Assumptions!$E$32+AU73*Credit_Assumptions!$E$33</f>
        <v/>
      </c>
      <c r="AV89" s="80">
        <f>AV68*Credit_Assumptions!$E$28+AV69*Credit_Assumptions!$E$29+AV70*Credit_Assumptions!$E$30+AV71*Credit_Assumptions!$E$31+AV72*Credit_Assumptions!$E$32+AV73*Credit_Assumptions!$E$33</f>
        <v/>
      </c>
      <c r="AW89" s="80">
        <f>AW68*Credit_Assumptions!$E$28+AW69*Credit_Assumptions!$E$29+AW70*Credit_Assumptions!$E$30+AW71*Credit_Assumptions!$E$31+AW72*Credit_Assumptions!$E$32+AW73*Credit_Assumptions!$E$33</f>
        <v/>
      </c>
      <c r="AX89" s="80">
        <f>AX68*Credit_Assumptions!$E$28+AX69*Credit_Assumptions!$E$29+AX70*Credit_Assumptions!$E$30+AX71*Credit_Assumptions!$E$31+AX72*Credit_Assumptions!$E$32+AX73*Credit_Assumptions!$E$33</f>
        <v/>
      </c>
      <c r="AY89" s="80">
        <f>AY68*Credit_Assumptions!$E$28+AY69*Credit_Assumptions!$E$29+AY70*Credit_Assumptions!$E$30+AY71*Credit_Assumptions!$E$31+AY72*Credit_Assumptions!$E$32+AY73*Credit_Assumptions!$E$33</f>
        <v/>
      </c>
      <c r="AZ89" s="80">
        <f>AZ68*Credit_Assumptions!$E$28+AZ69*Credit_Assumptions!$E$29+AZ70*Credit_Assumptions!$E$30+AZ71*Credit_Assumptions!$E$31+AZ72*Credit_Assumptions!$E$32+AZ73*Credit_Assumptions!$E$33</f>
        <v/>
      </c>
      <c r="BA89" s="80">
        <f>BA68*Credit_Assumptions!$E$28+BA69*Credit_Assumptions!$E$29+BA70*Credit_Assumptions!$E$30+BA71*Credit_Assumptions!$E$31+BA72*Credit_Assumptions!$E$32+BA73*Credit_Assumptions!$E$33</f>
        <v/>
      </c>
      <c r="BB89" s="80">
        <f>BB68*Credit_Assumptions!$E$28+BB69*Credit_Assumptions!$E$29+BB70*Credit_Assumptions!$E$30+BB71*Credit_Assumptions!$E$31+BB72*Credit_Assumptions!$E$32+BB73*Credit_Assumptions!$E$33</f>
        <v/>
      </c>
      <c r="BC89" s="80">
        <f>BC68*Credit_Assumptions!$E$28+BC69*Credit_Assumptions!$E$29+BC70*Credit_Assumptions!$E$30+BC71*Credit_Assumptions!$E$31+BC72*Credit_Assumptions!$E$32+BC73*Credit_Assumptions!$E$33</f>
        <v/>
      </c>
      <c r="BD89" s="80">
        <f>BD68*Credit_Assumptions!$E$28+BD69*Credit_Assumptions!$E$29+BD70*Credit_Assumptions!$E$30+BD71*Credit_Assumptions!$E$31+BD72*Credit_Assumptions!$E$32+BD73*Credit_Assumptions!$E$33</f>
        <v/>
      </c>
      <c r="BE89" s="80">
        <f>BE68*Credit_Assumptions!$E$28+BE69*Credit_Assumptions!$E$29+BE70*Credit_Assumptions!$E$30+BE71*Credit_Assumptions!$E$31+BE72*Credit_Assumptions!$E$32+BE73*Credit_Assumptions!$E$33</f>
        <v/>
      </c>
      <c r="BF89" s="80">
        <f>BF68*Credit_Assumptions!$E$28+BF69*Credit_Assumptions!$E$29+BF70*Credit_Assumptions!$E$30+BF71*Credit_Assumptions!$E$31+BF72*Credit_Assumptions!$E$32+BF73*Credit_Assumptions!$E$33</f>
        <v/>
      </c>
      <c r="BG89" s="80">
        <f>BG68*Credit_Assumptions!$E$28+BG69*Credit_Assumptions!$E$29+BG70*Credit_Assumptions!$E$30+BG71*Credit_Assumptions!$E$31+BG72*Credit_Assumptions!$E$32+BG73*Credit_Assumptions!$E$33</f>
        <v/>
      </c>
      <c r="BH89" s="80">
        <f>BH68*Credit_Assumptions!$E$28+BH69*Credit_Assumptions!$E$29+BH70*Credit_Assumptions!$E$30+BH71*Credit_Assumptions!$E$31+BH72*Credit_Assumptions!$E$32+BH73*Credit_Assumptions!$E$33</f>
        <v/>
      </c>
      <c r="BI89" s="80">
        <f>BI68*Credit_Assumptions!$E$28+BI69*Credit_Assumptions!$E$29+BI70*Credit_Assumptions!$E$30+BI71*Credit_Assumptions!$E$31+BI72*Credit_Assumptions!$E$32+BI73*Credit_Assumptions!$E$33</f>
        <v/>
      </c>
      <c r="BJ89" s="80">
        <f>BJ68*Credit_Assumptions!$E$28+BJ69*Credit_Assumptions!$E$29+BJ70*Credit_Assumptions!$E$30+BJ71*Credit_Assumptions!$E$31+BJ72*Credit_Assumptions!$E$32+BJ73*Credit_Assumptions!$E$33</f>
        <v/>
      </c>
      <c r="BK89" s="80">
        <f>BK68*Credit_Assumptions!$E$28+BK69*Credit_Assumptions!$E$29+BK70*Credit_Assumptions!$E$30+BK71*Credit_Assumptions!$E$31+BK72*Credit_Assumptions!$E$32+BK73*Credit_Assumptions!$E$33</f>
        <v/>
      </c>
      <c r="BL89" s="80">
        <f>BL68*Credit_Assumptions!$E$28+BL69*Credit_Assumptions!$E$29+BL70*Credit_Assumptions!$E$30+BL71*Credit_Assumptions!$E$31+BL72*Credit_Assumptions!$E$32+BL73*Credit_Assumptions!$E$33</f>
        <v/>
      </c>
    </row>
    <row r="90">
      <c r="A90" s="98" t="inlineStr">
        <is>
          <t>Borrowing-base contribution (advance rate x eligible)</t>
        </is>
      </c>
      <c r="B90" s="65" t="inlineStr">
        <is>
          <t>LCY</t>
        </is>
      </c>
      <c r="C90" s="105">
        <f>BL90</f>
        <v/>
      </c>
      <c r="E90" s="80">
        <f>E89*Products!$D$31</f>
        <v/>
      </c>
      <c r="F90" s="80">
        <f>F89*Products!$D$31</f>
        <v/>
      </c>
      <c r="G90" s="80">
        <f>G89*Products!$D$31</f>
        <v/>
      </c>
      <c r="H90" s="80">
        <f>H89*Products!$D$31</f>
        <v/>
      </c>
      <c r="I90" s="80">
        <f>I89*Products!$D$31</f>
        <v/>
      </c>
      <c r="J90" s="80">
        <f>J89*Products!$D$31</f>
        <v/>
      </c>
      <c r="K90" s="80">
        <f>K89*Products!$D$31</f>
        <v/>
      </c>
      <c r="L90" s="80">
        <f>L89*Products!$D$31</f>
        <v/>
      </c>
      <c r="M90" s="80">
        <f>M89*Products!$D$31</f>
        <v/>
      </c>
      <c r="N90" s="80">
        <f>N89*Products!$D$31</f>
        <v/>
      </c>
      <c r="O90" s="80">
        <f>O89*Products!$D$31</f>
        <v/>
      </c>
      <c r="P90" s="80">
        <f>P89*Products!$D$31</f>
        <v/>
      </c>
      <c r="Q90" s="80">
        <f>Q89*Products!$D$31</f>
        <v/>
      </c>
      <c r="R90" s="80">
        <f>R89*Products!$D$31</f>
        <v/>
      </c>
      <c r="S90" s="80">
        <f>S89*Products!$D$31</f>
        <v/>
      </c>
      <c r="T90" s="80">
        <f>T89*Products!$D$31</f>
        <v/>
      </c>
      <c r="U90" s="80">
        <f>U89*Products!$D$31</f>
        <v/>
      </c>
      <c r="V90" s="80">
        <f>V89*Products!$D$31</f>
        <v/>
      </c>
      <c r="W90" s="80">
        <f>W89*Products!$D$31</f>
        <v/>
      </c>
      <c r="X90" s="80">
        <f>X89*Products!$D$31</f>
        <v/>
      </c>
      <c r="Y90" s="80">
        <f>Y89*Products!$D$31</f>
        <v/>
      </c>
      <c r="Z90" s="80">
        <f>Z89*Products!$D$31</f>
        <v/>
      </c>
      <c r="AA90" s="80">
        <f>AA89*Products!$D$31</f>
        <v/>
      </c>
      <c r="AB90" s="80">
        <f>AB89*Products!$D$31</f>
        <v/>
      </c>
      <c r="AC90" s="80">
        <f>AC89*Products!$D$31</f>
        <v/>
      </c>
      <c r="AD90" s="80">
        <f>AD89*Products!$D$31</f>
        <v/>
      </c>
      <c r="AE90" s="80">
        <f>AE89*Products!$D$31</f>
        <v/>
      </c>
      <c r="AF90" s="80">
        <f>AF89*Products!$D$31</f>
        <v/>
      </c>
      <c r="AG90" s="80">
        <f>AG89*Products!$D$31</f>
        <v/>
      </c>
      <c r="AH90" s="80">
        <f>AH89*Products!$D$31</f>
        <v/>
      </c>
      <c r="AI90" s="80">
        <f>AI89*Products!$D$31</f>
        <v/>
      </c>
      <c r="AJ90" s="80">
        <f>AJ89*Products!$D$31</f>
        <v/>
      </c>
      <c r="AK90" s="80">
        <f>AK89*Products!$D$31</f>
        <v/>
      </c>
      <c r="AL90" s="80">
        <f>AL89*Products!$D$31</f>
        <v/>
      </c>
      <c r="AM90" s="80">
        <f>AM89*Products!$D$31</f>
        <v/>
      </c>
      <c r="AN90" s="80">
        <f>AN89*Products!$D$31</f>
        <v/>
      </c>
      <c r="AO90" s="80">
        <f>AO89*Products!$D$31</f>
        <v/>
      </c>
      <c r="AP90" s="80">
        <f>AP89*Products!$D$31</f>
        <v/>
      </c>
      <c r="AQ90" s="80">
        <f>AQ89*Products!$D$31</f>
        <v/>
      </c>
      <c r="AR90" s="80">
        <f>AR89*Products!$D$31</f>
        <v/>
      </c>
      <c r="AS90" s="80">
        <f>AS89*Products!$D$31</f>
        <v/>
      </c>
      <c r="AT90" s="80">
        <f>AT89*Products!$D$31</f>
        <v/>
      </c>
      <c r="AU90" s="80">
        <f>AU89*Products!$D$31</f>
        <v/>
      </c>
      <c r="AV90" s="80">
        <f>AV89*Products!$D$31</f>
        <v/>
      </c>
      <c r="AW90" s="80">
        <f>AW89*Products!$D$31</f>
        <v/>
      </c>
      <c r="AX90" s="80">
        <f>AX89*Products!$D$31</f>
        <v/>
      </c>
      <c r="AY90" s="80">
        <f>AY89*Products!$D$31</f>
        <v/>
      </c>
      <c r="AZ90" s="80">
        <f>AZ89*Products!$D$31</f>
        <v/>
      </c>
      <c r="BA90" s="80">
        <f>BA89*Products!$D$31</f>
        <v/>
      </c>
      <c r="BB90" s="80">
        <f>BB89*Products!$D$31</f>
        <v/>
      </c>
      <c r="BC90" s="80">
        <f>BC89*Products!$D$31</f>
        <v/>
      </c>
      <c r="BD90" s="80">
        <f>BD89*Products!$D$31</f>
        <v/>
      </c>
      <c r="BE90" s="80">
        <f>BE89*Products!$D$31</f>
        <v/>
      </c>
      <c r="BF90" s="80">
        <f>BF89*Products!$D$31</f>
        <v/>
      </c>
      <c r="BG90" s="80">
        <f>BG89*Products!$D$31</f>
        <v/>
      </c>
      <c r="BH90" s="80">
        <f>BH89*Products!$D$31</f>
        <v/>
      </c>
      <c r="BI90" s="80">
        <f>BI89*Products!$D$31</f>
        <v/>
      </c>
      <c r="BJ90" s="80">
        <f>BJ89*Products!$D$31</f>
        <v/>
      </c>
      <c r="BK90" s="80">
        <f>BK89*Products!$D$31</f>
        <v/>
      </c>
      <c r="BL90" s="80">
        <f>BL89*Products!$D$31</f>
        <v/>
      </c>
    </row>
    <row r="91">
      <c r="A91" s="98" t="inlineStr">
        <is>
          <t>Reconciliation: buckets: gross (should be 0)</t>
        </is>
      </c>
      <c r="B91" s="65" t="inlineStr">
        <is>
          <t>LCY</t>
        </is>
      </c>
      <c r="C91" s="105">
        <f>BL91</f>
        <v/>
      </c>
      <c r="E91" s="80">
        <f>ROUND(SUM(E68:E73)-E65,0)</f>
        <v/>
      </c>
      <c r="F91" s="80">
        <f>ROUND(SUM(F68:F73)-F65,0)</f>
        <v/>
      </c>
      <c r="G91" s="80">
        <f>ROUND(SUM(G68:G73)-G65,0)</f>
        <v/>
      </c>
      <c r="H91" s="80">
        <f>ROUND(SUM(H68:H73)-H65,0)</f>
        <v/>
      </c>
      <c r="I91" s="80">
        <f>ROUND(SUM(I68:I73)-I65,0)</f>
        <v/>
      </c>
      <c r="J91" s="80">
        <f>ROUND(SUM(J68:J73)-J65,0)</f>
        <v/>
      </c>
      <c r="K91" s="80">
        <f>ROUND(SUM(K68:K73)-K65,0)</f>
        <v/>
      </c>
      <c r="L91" s="80">
        <f>ROUND(SUM(L68:L73)-L65,0)</f>
        <v/>
      </c>
      <c r="M91" s="80">
        <f>ROUND(SUM(M68:M73)-M65,0)</f>
        <v/>
      </c>
      <c r="N91" s="80">
        <f>ROUND(SUM(N68:N73)-N65,0)</f>
        <v/>
      </c>
      <c r="O91" s="80">
        <f>ROUND(SUM(O68:O73)-O65,0)</f>
        <v/>
      </c>
      <c r="P91" s="80">
        <f>ROUND(SUM(P68:P73)-P65,0)</f>
        <v/>
      </c>
      <c r="Q91" s="80">
        <f>ROUND(SUM(Q68:Q73)-Q65,0)</f>
        <v/>
      </c>
      <c r="R91" s="80">
        <f>ROUND(SUM(R68:R73)-R65,0)</f>
        <v/>
      </c>
      <c r="S91" s="80">
        <f>ROUND(SUM(S68:S73)-S65,0)</f>
        <v/>
      </c>
      <c r="T91" s="80">
        <f>ROUND(SUM(T68:T73)-T65,0)</f>
        <v/>
      </c>
      <c r="U91" s="80">
        <f>ROUND(SUM(U68:U73)-U65,0)</f>
        <v/>
      </c>
      <c r="V91" s="80">
        <f>ROUND(SUM(V68:V73)-V65,0)</f>
        <v/>
      </c>
      <c r="W91" s="80">
        <f>ROUND(SUM(W68:W73)-W65,0)</f>
        <v/>
      </c>
      <c r="X91" s="80">
        <f>ROUND(SUM(X68:X73)-X65,0)</f>
        <v/>
      </c>
      <c r="Y91" s="80">
        <f>ROUND(SUM(Y68:Y73)-Y65,0)</f>
        <v/>
      </c>
      <c r="Z91" s="80">
        <f>ROUND(SUM(Z68:Z73)-Z65,0)</f>
        <v/>
      </c>
      <c r="AA91" s="80">
        <f>ROUND(SUM(AA68:AA73)-AA65,0)</f>
        <v/>
      </c>
      <c r="AB91" s="80">
        <f>ROUND(SUM(AB68:AB73)-AB65,0)</f>
        <v/>
      </c>
      <c r="AC91" s="80">
        <f>ROUND(SUM(AC68:AC73)-AC65,0)</f>
        <v/>
      </c>
      <c r="AD91" s="80">
        <f>ROUND(SUM(AD68:AD73)-AD65,0)</f>
        <v/>
      </c>
      <c r="AE91" s="80">
        <f>ROUND(SUM(AE68:AE73)-AE65,0)</f>
        <v/>
      </c>
      <c r="AF91" s="80">
        <f>ROUND(SUM(AF68:AF73)-AF65,0)</f>
        <v/>
      </c>
      <c r="AG91" s="80">
        <f>ROUND(SUM(AG68:AG73)-AG65,0)</f>
        <v/>
      </c>
      <c r="AH91" s="80">
        <f>ROUND(SUM(AH68:AH73)-AH65,0)</f>
        <v/>
      </c>
      <c r="AI91" s="80">
        <f>ROUND(SUM(AI68:AI73)-AI65,0)</f>
        <v/>
      </c>
      <c r="AJ91" s="80">
        <f>ROUND(SUM(AJ68:AJ73)-AJ65,0)</f>
        <v/>
      </c>
      <c r="AK91" s="80">
        <f>ROUND(SUM(AK68:AK73)-AK65,0)</f>
        <v/>
      </c>
      <c r="AL91" s="80">
        <f>ROUND(SUM(AL68:AL73)-AL65,0)</f>
        <v/>
      </c>
      <c r="AM91" s="80">
        <f>ROUND(SUM(AM68:AM73)-AM65,0)</f>
        <v/>
      </c>
      <c r="AN91" s="80">
        <f>ROUND(SUM(AN68:AN73)-AN65,0)</f>
        <v/>
      </c>
      <c r="AO91" s="80">
        <f>ROUND(SUM(AO68:AO73)-AO65,0)</f>
        <v/>
      </c>
      <c r="AP91" s="80">
        <f>ROUND(SUM(AP68:AP73)-AP65,0)</f>
        <v/>
      </c>
      <c r="AQ91" s="80">
        <f>ROUND(SUM(AQ68:AQ73)-AQ65,0)</f>
        <v/>
      </c>
      <c r="AR91" s="80">
        <f>ROUND(SUM(AR68:AR73)-AR65,0)</f>
        <v/>
      </c>
      <c r="AS91" s="80">
        <f>ROUND(SUM(AS68:AS73)-AS65,0)</f>
        <v/>
      </c>
      <c r="AT91" s="80">
        <f>ROUND(SUM(AT68:AT73)-AT65,0)</f>
        <v/>
      </c>
      <c r="AU91" s="80">
        <f>ROUND(SUM(AU68:AU73)-AU65,0)</f>
        <v/>
      </c>
      <c r="AV91" s="80">
        <f>ROUND(SUM(AV68:AV73)-AV65,0)</f>
        <v/>
      </c>
      <c r="AW91" s="80">
        <f>ROUND(SUM(AW68:AW73)-AW65,0)</f>
        <v/>
      </c>
      <c r="AX91" s="80">
        <f>ROUND(SUM(AX68:AX73)-AX65,0)</f>
        <v/>
      </c>
      <c r="AY91" s="80">
        <f>ROUND(SUM(AY68:AY73)-AY65,0)</f>
        <v/>
      </c>
      <c r="AZ91" s="80">
        <f>ROUND(SUM(AZ68:AZ73)-AZ65,0)</f>
        <v/>
      </c>
      <c r="BA91" s="80">
        <f>ROUND(SUM(BA68:BA73)-BA65,0)</f>
        <v/>
      </c>
      <c r="BB91" s="80">
        <f>ROUND(SUM(BB68:BB73)-BB65,0)</f>
        <v/>
      </c>
      <c r="BC91" s="80">
        <f>ROUND(SUM(BC68:BC73)-BC65,0)</f>
        <v/>
      </c>
      <c r="BD91" s="80">
        <f>ROUND(SUM(BD68:BD73)-BD65,0)</f>
        <v/>
      </c>
      <c r="BE91" s="80">
        <f>ROUND(SUM(BE68:BE73)-BE65,0)</f>
        <v/>
      </c>
      <c r="BF91" s="80">
        <f>ROUND(SUM(BF68:BF73)-BF65,0)</f>
        <v/>
      </c>
      <c r="BG91" s="80">
        <f>ROUND(SUM(BG68:BG73)-BG65,0)</f>
        <v/>
      </c>
      <c r="BH91" s="80">
        <f>ROUND(SUM(BH68:BH73)-BH65,0)</f>
        <v/>
      </c>
      <c r="BI91" s="80">
        <f>ROUND(SUM(BI68:BI73)-BI65,0)</f>
        <v/>
      </c>
      <c r="BJ91" s="80">
        <f>ROUND(SUM(BJ68:BJ73)-BJ65,0)</f>
        <v/>
      </c>
      <c r="BK91" s="80">
        <f>ROUND(SUM(BK68:BK73)-BK65,0)</f>
        <v/>
      </c>
      <c r="BL91" s="80">
        <f>ROUND(SUM(BL68:BL73)-BL65,0)</f>
        <v/>
      </c>
    </row>
    <row r="92"/>
    <row r="93">
      <c r="A93" s="21" t="inlineStr">
        <is>
          <t>Tier 2: SHS with TV: SELECTED (data mode)</t>
        </is>
      </c>
      <c r="B93" s="22" t="n"/>
      <c r="C93" s="22" t="n"/>
      <c r="D93" s="22" t="n"/>
      <c r="E93" s="22" t="n"/>
      <c r="F93" s="22"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c r="AA93" s="22" t="n"/>
      <c r="AB93" s="22" t="n"/>
      <c r="AC93" s="22" t="n"/>
      <c r="AD93" s="22" t="n"/>
      <c r="AE93" s="22" t="n"/>
      <c r="AF93" s="22" t="n"/>
      <c r="AG93" s="22" t="n"/>
      <c r="AH93" s="22" t="n"/>
      <c r="AI93" s="22" t="n"/>
      <c r="AJ93" s="22" t="n"/>
      <c r="AK93" s="22" t="n"/>
      <c r="AL93" s="22" t="n"/>
      <c r="AM93" s="22" t="n"/>
      <c r="AN93" s="22" t="n"/>
      <c r="AO93" s="22" t="n"/>
      <c r="AP93" s="22" t="n"/>
      <c r="AQ93" s="22" t="n"/>
      <c r="AR93" s="22" t="n"/>
      <c r="AS93" s="22" t="n"/>
      <c r="AT93" s="22" t="n"/>
      <c r="AU93" s="22" t="n"/>
      <c r="AV93" s="22" t="n"/>
      <c r="AW93" s="22" t="n"/>
      <c r="AX93" s="22" t="n"/>
      <c r="AY93" s="22" t="n"/>
      <c r="AZ93" s="22" t="n"/>
      <c r="BA93" s="22" t="n"/>
      <c r="BB93" s="22" t="n"/>
      <c r="BC93" s="22" t="n"/>
      <c r="BD93" s="22" t="n"/>
      <c r="BE93" s="22" t="n"/>
      <c r="BF93" s="22" t="n"/>
      <c r="BG93" s="22" t="n"/>
      <c r="BH93" s="22" t="n"/>
      <c r="BI93" s="22" t="n"/>
      <c r="BJ93" s="22" t="n"/>
      <c r="BK93" s="22" t="n"/>
      <c r="BL93" s="22" t="n"/>
    </row>
    <row r="94">
      <c r="A94" s="98" t="inlineStr">
        <is>
          <t>Gross receivables</t>
        </is>
      </c>
      <c r="B94" s="65" t="inlineStr">
        <is>
          <t>LCY</t>
        </is>
      </c>
      <c r="C94" s="105">
        <f>BL94</f>
        <v/>
      </c>
      <c r="E94" s="80">
        <f>IF(Credit_Assumptions!$C$5=1,E65,INDEX(Credit_Input!$D$72:$D$131,E$4))</f>
        <v/>
      </c>
      <c r="F94" s="80">
        <f>IF(Credit_Assumptions!$C$5=1,F65,INDEX(Credit_Input!$D$72:$D$131,F$4))</f>
        <v/>
      </c>
      <c r="G94" s="80">
        <f>IF(Credit_Assumptions!$C$5=1,G65,INDEX(Credit_Input!$D$72:$D$131,G$4))</f>
        <v/>
      </c>
      <c r="H94" s="80">
        <f>IF(Credit_Assumptions!$C$5=1,H65,INDEX(Credit_Input!$D$72:$D$131,H$4))</f>
        <v/>
      </c>
      <c r="I94" s="80">
        <f>IF(Credit_Assumptions!$C$5=1,I65,INDEX(Credit_Input!$D$72:$D$131,I$4))</f>
        <v/>
      </c>
      <c r="J94" s="80">
        <f>IF(Credit_Assumptions!$C$5=1,J65,INDEX(Credit_Input!$D$72:$D$131,J$4))</f>
        <v/>
      </c>
      <c r="K94" s="80">
        <f>IF(Credit_Assumptions!$C$5=1,K65,INDEX(Credit_Input!$D$72:$D$131,K$4))</f>
        <v/>
      </c>
      <c r="L94" s="80">
        <f>IF(Credit_Assumptions!$C$5=1,L65,INDEX(Credit_Input!$D$72:$D$131,L$4))</f>
        <v/>
      </c>
      <c r="M94" s="80">
        <f>IF(Credit_Assumptions!$C$5=1,M65,INDEX(Credit_Input!$D$72:$D$131,M$4))</f>
        <v/>
      </c>
      <c r="N94" s="80">
        <f>IF(Credit_Assumptions!$C$5=1,N65,INDEX(Credit_Input!$D$72:$D$131,N$4))</f>
        <v/>
      </c>
      <c r="O94" s="80">
        <f>IF(Credit_Assumptions!$C$5=1,O65,INDEX(Credit_Input!$D$72:$D$131,O$4))</f>
        <v/>
      </c>
      <c r="P94" s="80">
        <f>IF(Credit_Assumptions!$C$5=1,P65,INDEX(Credit_Input!$D$72:$D$131,P$4))</f>
        <v/>
      </c>
      <c r="Q94" s="80">
        <f>IF(Credit_Assumptions!$C$5=1,Q65,INDEX(Credit_Input!$D$72:$D$131,Q$4))</f>
        <v/>
      </c>
      <c r="R94" s="80">
        <f>IF(Credit_Assumptions!$C$5=1,R65,INDEX(Credit_Input!$D$72:$D$131,R$4))</f>
        <v/>
      </c>
      <c r="S94" s="80">
        <f>IF(Credit_Assumptions!$C$5=1,S65,INDEX(Credit_Input!$D$72:$D$131,S$4))</f>
        <v/>
      </c>
      <c r="T94" s="80">
        <f>IF(Credit_Assumptions!$C$5=1,T65,INDEX(Credit_Input!$D$72:$D$131,T$4))</f>
        <v/>
      </c>
      <c r="U94" s="80">
        <f>IF(Credit_Assumptions!$C$5=1,U65,INDEX(Credit_Input!$D$72:$D$131,U$4))</f>
        <v/>
      </c>
      <c r="V94" s="80">
        <f>IF(Credit_Assumptions!$C$5=1,V65,INDEX(Credit_Input!$D$72:$D$131,V$4))</f>
        <v/>
      </c>
      <c r="W94" s="80">
        <f>IF(Credit_Assumptions!$C$5=1,W65,INDEX(Credit_Input!$D$72:$D$131,W$4))</f>
        <v/>
      </c>
      <c r="X94" s="80">
        <f>IF(Credit_Assumptions!$C$5=1,X65,INDEX(Credit_Input!$D$72:$D$131,X$4))</f>
        <v/>
      </c>
      <c r="Y94" s="80">
        <f>IF(Credit_Assumptions!$C$5=1,Y65,INDEX(Credit_Input!$D$72:$D$131,Y$4))</f>
        <v/>
      </c>
      <c r="Z94" s="80">
        <f>IF(Credit_Assumptions!$C$5=1,Z65,INDEX(Credit_Input!$D$72:$D$131,Z$4))</f>
        <v/>
      </c>
      <c r="AA94" s="80">
        <f>IF(Credit_Assumptions!$C$5=1,AA65,INDEX(Credit_Input!$D$72:$D$131,AA$4))</f>
        <v/>
      </c>
      <c r="AB94" s="80">
        <f>IF(Credit_Assumptions!$C$5=1,AB65,INDEX(Credit_Input!$D$72:$D$131,AB$4))</f>
        <v/>
      </c>
      <c r="AC94" s="80">
        <f>IF(Credit_Assumptions!$C$5=1,AC65,INDEX(Credit_Input!$D$72:$D$131,AC$4))</f>
        <v/>
      </c>
      <c r="AD94" s="80">
        <f>IF(Credit_Assumptions!$C$5=1,AD65,INDEX(Credit_Input!$D$72:$D$131,AD$4))</f>
        <v/>
      </c>
      <c r="AE94" s="80">
        <f>IF(Credit_Assumptions!$C$5=1,AE65,INDEX(Credit_Input!$D$72:$D$131,AE$4))</f>
        <v/>
      </c>
      <c r="AF94" s="80">
        <f>IF(Credit_Assumptions!$C$5=1,AF65,INDEX(Credit_Input!$D$72:$D$131,AF$4))</f>
        <v/>
      </c>
      <c r="AG94" s="80">
        <f>IF(Credit_Assumptions!$C$5=1,AG65,INDEX(Credit_Input!$D$72:$D$131,AG$4))</f>
        <v/>
      </c>
      <c r="AH94" s="80">
        <f>IF(Credit_Assumptions!$C$5=1,AH65,INDEX(Credit_Input!$D$72:$D$131,AH$4))</f>
        <v/>
      </c>
      <c r="AI94" s="80">
        <f>IF(Credit_Assumptions!$C$5=1,AI65,INDEX(Credit_Input!$D$72:$D$131,AI$4))</f>
        <v/>
      </c>
      <c r="AJ94" s="80">
        <f>IF(Credit_Assumptions!$C$5=1,AJ65,INDEX(Credit_Input!$D$72:$D$131,AJ$4))</f>
        <v/>
      </c>
      <c r="AK94" s="80">
        <f>IF(Credit_Assumptions!$C$5=1,AK65,INDEX(Credit_Input!$D$72:$D$131,AK$4))</f>
        <v/>
      </c>
      <c r="AL94" s="80">
        <f>IF(Credit_Assumptions!$C$5=1,AL65,INDEX(Credit_Input!$D$72:$D$131,AL$4))</f>
        <v/>
      </c>
      <c r="AM94" s="80">
        <f>IF(Credit_Assumptions!$C$5=1,AM65,INDEX(Credit_Input!$D$72:$D$131,AM$4))</f>
        <v/>
      </c>
      <c r="AN94" s="80">
        <f>IF(Credit_Assumptions!$C$5=1,AN65,INDEX(Credit_Input!$D$72:$D$131,AN$4))</f>
        <v/>
      </c>
      <c r="AO94" s="80">
        <f>IF(Credit_Assumptions!$C$5=1,AO65,INDEX(Credit_Input!$D$72:$D$131,AO$4))</f>
        <v/>
      </c>
      <c r="AP94" s="80">
        <f>IF(Credit_Assumptions!$C$5=1,AP65,INDEX(Credit_Input!$D$72:$D$131,AP$4))</f>
        <v/>
      </c>
      <c r="AQ94" s="80">
        <f>IF(Credit_Assumptions!$C$5=1,AQ65,INDEX(Credit_Input!$D$72:$D$131,AQ$4))</f>
        <v/>
      </c>
      <c r="AR94" s="80">
        <f>IF(Credit_Assumptions!$C$5=1,AR65,INDEX(Credit_Input!$D$72:$D$131,AR$4))</f>
        <v/>
      </c>
      <c r="AS94" s="80">
        <f>IF(Credit_Assumptions!$C$5=1,AS65,INDEX(Credit_Input!$D$72:$D$131,AS$4))</f>
        <v/>
      </c>
      <c r="AT94" s="80">
        <f>IF(Credit_Assumptions!$C$5=1,AT65,INDEX(Credit_Input!$D$72:$D$131,AT$4))</f>
        <v/>
      </c>
      <c r="AU94" s="80">
        <f>IF(Credit_Assumptions!$C$5=1,AU65,INDEX(Credit_Input!$D$72:$D$131,AU$4))</f>
        <v/>
      </c>
      <c r="AV94" s="80">
        <f>IF(Credit_Assumptions!$C$5=1,AV65,INDEX(Credit_Input!$D$72:$D$131,AV$4))</f>
        <v/>
      </c>
      <c r="AW94" s="80">
        <f>IF(Credit_Assumptions!$C$5=1,AW65,INDEX(Credit_Input!$D$72:$D$131,AW$4))</f>
        <v/>
      </c>
      <c r="AX94" s="80">
        <f>IF(Credit_Assumptions!$C$5=1,AX65,INDEX(Credit_Input!$D$72:$D$131,AX$4))</f>
        <v/>
      </c>
      <c r="AY94" s="80">
        <f>IF(Credit_Assumptions!$C$5=1,AY65,INDEX(Credit_Input!$D$72:$D$131,AY$4))</f>
        <v/>
      </c>
      <c r="AZ94" s="80">
        <f>IF(Credit_Assumptions!$C$5=1,AZ65,INDEX(Credit_Input!$D$72:$D$131,AZ$4))</f>
        <v/>
      </c>
      <c r="BA94" s="80">
        <f>IF(Credit_Assumptions!$C$5=1,BA65,INDEX(Credit_Input!$D$72:$D$131,BA$4))</f>
        <v/>
      </c>
      <c r="BB94" s="80">
        <f>IF(Credit_Assumptions!$C$5=1,BB65,INDEX(Credit_Input!$D$72:$D$131,BB$4))</f>
        <v/>
      </c>
      <c r="BC94" s="80">
        <f>IF(Credit_Assumptions!$C$5=1,BC65,INDEX(Credit_Input!$D$72:$D$131,BC$4))</f>
        <v/>
      </c>
      <c r="BD94" s="80">
        <f>IF(Credit_Assumptions!$C$5=1,BD65,INDEX(Credit_Input!$D$72:$D$131,BD$4))</f>
        <v/>
      </c>
      <c r="BE94" s="80">
        <f>IF(Credit_Assumptions!$C$5=1,BE65,INDEX(Credit_Input!$D$72:$D$131,BE$4))</f>
        <v/>
      </c>
      <c r="BF94" s="80">
        <f>IF(Credit_Assumptions!$C$5=1,BF65,INDEX(Credit_Input!$D$72:$D$131,BF$4))</f>
        <v/>
      </c>
      <c r="BG94" s="80">
        <f>IF(Credit_Assumptions!$C$5=1,BG65,INDEX(Credit_Input!$D$72:$D$131,BG$4))</f>
        <v/>
      </c>
      <c r="BH94" s="80">
        <f>IF(Credit_Assumptions!$C$5=1,BH65,INDEX(Credit_Input!$D$72:$D$131,BH$4))</f>
        <v/>
      </c>
      <c r="BI94" s="80">
        <f>IF(Credit_Assumptions!$C$5=1,BI65,INDEX(Credit_Input!$D$72:$D$131,BI$4))</f>
        <v/>
      </c>
      <c r="BJ94" s="80">
        <f>IF(Credit_Assumptions!$C$5=1,BJ65,INDEX(Credit_Input!$D$72:$D$131,BJ$4))</f>
        <v/>
      </c>
      <c r="BK94" s="80">
        <f>IF(Credit_Assumptions!$C$5=1,BK65,INDEX(Credit_Input!$D$72:$D$131,BK$4))</f>
        <v/>
      </c>
      <c r="BL94" s="80">
        <f>IF(Credit_Assumptions!$C$5=1,BL65,INDEX(Credit_Input!$D$72:$D$131,BL$4))</f>
        <v/>
      </c>
    </row>
    <row r="95">
      <c r="A95" s="98" t="inlineStr">
        <is>
          <t>Current</t>
        </is>
      </c>
      <c r="B95" s="65" t="inlineStr">
        <is>
          <t>LCY</t>
        </is>
      </c>
      <c r="C95" s="105">
        <f>BL95</f>
        <v/>
      </c>
      <c r="E95" s="80">
        <f>IF(Credit_Assumptions!$C$5=1,E68,INDEX(Credit_Input!$E$72:$E$131,E$4))</f>
        <v/>
      </c>
      <c r="F95" s="80">
        <f>IF(Credit_Assumptions!$C$5=1,F68,INDEX(Credit_Input!$E$72:$E$131,F$4))</f>
        <v/>
      </c>
      <c r="G95" s="80">
        <f>IF(Credit_Assumptions!$C$5=1,G68,INDEX(Credit_Input!$E$72:$E$131,G$4))</f>
        <v/>
      </c>
      <c r="H95" s="80">
        <f>IF(Credit_Assumptions!$C$5=1,H68,INDEX(Credit_Input!$E$72:$E$131,H$4))</f>
        <v/>
      </c>
      <c r="I95" s="80">
        <f>IF(Credit_Assumptions!$C$5=1,I68,INDEX(Credit_Input!$E$72:$E$131,I$4))</f>
        <v/>
      </c>
      <c r="J95" s="80">
        <f>IF(Credit_Assumptions!$C$5=1,J68,INDEX(Credit_Input!$E$72:$E$131,J$4))</f>
        <v/>
      </c>
      <c r="K95" s="80">
        <f>IF(Credit_Assumptions!$C$5=1,K68,INDEX(Credit_Input!$E$72:$E$131,K$4))</f>
        <v/>
      </c>
      <c r="L95" s="80">
        <f>IF(Credit_Assumptions!$C$5=1,L68,INDEX(Credit_Input!$E$72:$E$131,L$4))</f>
        <v/>
      </c>
      <c r="M95" s="80">
        <f>IF(Credit_Assumptions!$C$5=1,M68,INDEX(Credit_Input!$E$72:$E$131,M$4))</f>
        <v/>
      </c>
      <c r="N95" s="80">
        <f>IF(Credit_Assumptions!$C$5=1,N68,INDEX(Credit_Input!$E$72:$E$131,N$4))</f>
        <v/>
      </c>
      <c r="O95" s="80">
        <f>IF(Credit_Assumptions!$C$5=1,O68,INDEX(Credit_Input!$E$72:$E$131,O$4))</f>
        <v/>
      </c>
      <c r="P95" s="80">
        <f>IF(Credit_Assumptions!$C$5=1,P68,INDEX(Credit_Input!$E$72:$E$131,P$4))</f>
        <v/>
      </c>
      <c r="Q95" s="80">
        <f>IF(Credit_Assumptions!$C$5=1,Q68,INDEX(Credit_Input!$E$72:$E$131,Q$4))</f>
        <v/>
      </c>
      <c r="R95" s="80">
        <f>IF(Credit_Assumptions!$C$5=1,R68,INDEX(Credit_Input!$E$72:$E$131,R$4))</f>
        <v/>
      </c>
      <c r="S95" s="80">
        <f>IF(Credit_Assumptions!$C$5=1,S68,INDEX(Credit_Input!$E$72:$E$131,S$4))</f>
        <v/>
      </c>
      <c r="T95" s="80">
        <f>IF(Credit_Assumptions!$C$5=1,T68,INDEX(Credit_Input!$E$72:$E$131,T$4))</f>
        <v/>
      </c>
      <c r="U95" s="80">
        <f>IF(Credit_Assumptions!$C$5=1,U68,INDEX(Credit_Input!$E$72:$E$131,U$4))</f>
        <v/>
      </c>
      <c r="V95" s="80">
        <f>IF(Credit_Assumptions!$C$5=1,V68,INDEX(Credit_Input!$E$72:$E$131,V$4))</f>
        <v/>
      </c>
      <c r="W95" s="80">
        <f>IF(Credit_Assumptions!$C$5=1,W68,INDEX(Credit_Input!$E$72:$E$131,W$4))</f>
        <v/>
      </c>
      <c r="X95" s="80">
        <f>IF(Credit_Assumptions!$C$5=1,X68,INDEX(Credit_Input!$E$72:$E$131,X$4))</f>
        <v/>
      </c>
      <c r="Y95" s="80">
        <f>IF(Credit_Assumptions!$C$5=1,Y68,INDEX(Credit_Input!$E$72:$E$131,Y$4))</f>
        <v/>
      </c>
      <c r="Z95" s="80">
        <f>IF(Credit_Assumptions!$C$5=1,Z68,INDEX(Credit_Input!$E$72:$E$131,Z$4))</f>
        <v/>
      </c>
      <c r="AA95" s="80">
        <f>IF(Credit_Assumptions!$C$5=1,AA68,INDEX(Credit_Input!$E$72:$E$131,AA$4))</f>
        <v/>
      </c>
      <c r="AB95" s="80">
        <f>IF(Credit_Assumptions!$C$5=1,AB68,INDEX(Credit_Input!$E$72:$E$131,AB$4))</f>
        <v/>
      </c>
      <c r="AC95" s="80">
        <f>IF(Credit_Assumptions!$C$5=1,AC68,INDEX(Credit_Input!$E$72:$E$131,AC$4))</f>
        <v/>
      </c>
      <c r="AD95" s="80">
        <f>IF(Credit_Assumptions!$C$5=1,AD68,INDEX(Credit_Input!$E$72:$E$131,AD$4))</f>
        <v/>
      </c>
      <c r="AE95" s="80">
        <f>IF(Credit_Assumptions!$C$5=1,AE68,INDEX(Credit_Input!$E$72:$E$131,AE$4))</f>
        <v/>
      </c>
      <c r="AF95" s="80">
        <f>IF(Credit_Assumptions!$C$5=1,AF68,INDEX(Credit_Input!$E$72:$E$131,AF$4))</f>
        <v/>
      </c>
      <c r="AG95" s="80">
        <f>IF(Credit_Assumptions!$C$5=1,AG68,INDEX(Credit_Input!$E$72:$E$131,AG$4))</f>
        <v/>
      </c>
      <c r="AH95" s="80">
        <f>IF(Credit_Assumptions!$C$5=1,AH68,INDEX(Credit_Input!$E$72:$E$131,AH$4))</f>
        <v/>
      </c>
      <c r="AI95" s="80">
        <f>IF(Credit_Assumptions!$C$5=1,AI68,INDEX(Credit_Input!$E$72:$E$131,AI$4))</f>
        <v/>
      </c>
      <c r="AJ95" s="80">
        <f>IF(Credit_Assumptions!$C$5=1,AJ68,INDEX(Credit_Input!$E$72:$E$131,AJ$4))</f>
        <v/>
      </c>
      <c r="AK95" s="80">
        <f>IF(Credit_Assumptions!$C$5=1,AK68,INDEX(Credit_Input!$E$72:$E$131,AK$4))</f>
        <v/>
      </c>
      <c r="AL95" s="80">
        <f>IF(Credit_Assumptions!$C$5=1,AL68,INDEX(Credit_Input!$E$72:$E$131,AL$4))</f>
        <v/>
      </c>
      <c r="AM95" s="80">
        <f>IF(Credit_Assumptions!$C$5=1,AM68,INDEX(Credit_Input!$E$72:$E$131,AM$4))</f>
        <v/>
      </c>
      <c r="AN95" s="80">
        <f>IF(Credit_Assumptions!$C$5=1,AN68,INDEX(Credit_Input!$E$72:$E$131,AN$4))</f>
        <v/>
      </c>
      <c r="AO95" s="80">
        <f>IF(Credit_Assumptions!$C$5=1,AO68,INDEX(Credit_Input!$E$72:$E$131,AO$4))</f>
        <v/>
      </c>
      <c r="AP95" s="80">
        <f>IF(Credit_Assumptions!$C$5=1,AP68,INDEX(Credit_Input!$E$72:$E$131,AP$4))</f>
        <v/>
      </c>
      <c r="AQ95" s="80">
        <f>IF(Credit_Assumptions!$C$5=1,AQ68,INDEX(Credit_Input!$E$72:$E$131,AQ$4))</f>
        <v/>
      </c>
      <c r="AR95" s="80">
        <f>IF(Credit_Assumptions!$C$5=1,AR68,INDEX(Credit_Input!$E$72:$E$131,AR$4))</f>
        <v/>
      </c>
      <c r="AS95" s="80">
        <f>IF(Credit_Assumptions!$C$5=1,AS68,INDEX(Credit_Input!$E$72:$E$131,AS$4))</f>
        <v/>
      </c>
      <c r="AT95" s="80">
        <f>IF(Credit_Assumptions!$C$5=1,AT68,INDEX(Credit_Input!$E$72:$E$131,AT$4))</f>
        <v/>
      </c>
      <c r="AU95" s="80">
        <f>IF(Credit_Assumptions!$C$5=1,AU68,INDEX(Credit_Input!$E$72:$E$131,AU$4))</f>
        <v/>
      </c>
      <c r="AV95" s="80">
        <f>IF(Credit_Assumptions!$C$5=1,AV68,INDEX(Credit_Input!$E$72:$E$131,AV$4))</f>
        <v/>
      </c>
      <c r="AW95" s="80">
        <f>IF(Credit_Assumptions!$C$5=1,AW68,INDEX(Credit_Input!$E$72:$E$131,AW$4))</f>
        <v/>
      </c>
      <c r="AX95" s="80">
        <f>IF(Credit_Assumptions!$C$5=1,AX68,INDEX(Credit_Input!$E$72:$E$131,AX$4))</f>
        <v/>
      </c>
      <c r="AY95" s="80">
        <f>IF(Credit_Assumptions!$C$5=1,AY68,INDEX(Credit_Input!$E$72:$E$131,AY$4))</f>
        <v/>
      </c>
      <c r="AZ95" s="80">
        <f>IF(Credit_Assumptions!$C$5=1,AZ68,INDEX(Credit_Input!$E$72:$E$131,AZ$4))</f>
        <v/>
      </c>
      <c r="BA95" s="80">
        <f>IF(Credit_Assumptions!$C$5=1,BA68,INDEX(Credit_Input!$E$72:$E$131,BA$4))</f>
        <v/>
      </c>
      <c r="BB95" s="80">
        <f>IF(Credit_Assumptions!$C$5=1,BB68,INDEX(Credit_Input!$E$72:$E$131,BB$4))</f>
        <v/>
      </c>
      <c r="BC95" s="80">
        <f>IF(Credit_Assumptions!$C$5=1,BC68,INDEX(Credit_Input!$E$72:$E$131,BC$4))</f>
        <v/>
      </c>
      <c r="BD95" s="80">
        <f>IF(Credit_Assumptions!$C$5=1,BD68,INDEX(Credit_Input!$E$72:$E$131,BD$4))</f>
        <v/>
      </c>
      <c r="BE95" s="80">
        <f>IF(Credit_Assumptions!$C$5=1,BE68,INDEX(Credit_Input!$E$72:$E$131,BE$4))</f>
        <v/>
      </c>
      <c r="BF95" s="80">
        <f>IF(Credit_Assumptions!$C$5=1,BF68,INDEX(Credit_Input!$E$72:$E$131,BF$4))</f>
        <v/>
      </c>
      <c r="BG95" s="80">
        <f>IF(Credit_Assumptions!$C$5=1,BG68,INDEX(Credit_Input!$E$72:$E$131,BG$4))</f>
        <v/>
      </c>
      <c r="BH95" s="80">
        <f>IF(Credit_Assumptions!$C$5=1,BH68,INDEX(Credit_Input!$E$72:$E$131,BH$4))</f>
        <v/>
      </c>
      <c r="BI95" s="80">
        <f>IF(Credit_Assumptions!$C$5=1,BI68,INDEX(Credit_Input!$E$72:$E$131,BI$4))</f>
        <v/>
      </c>
      <c r="BJ95" s="80">
        <f>IF(Credit_Assumptions!$C$5=1,BJ68,INDEX(Credit_Input!$E$72:$E$131,BJ$4))</f>
        <v/>
      </c>
      <c r="BK95" s="80">
        <f>IF(Credit_Assumptions!$C$5=1,BK68,INDEX(Credit_Input!$E$72:$E$131,BK$4))</f>
        <v/>
      </c>
      <c r="BL95" s="80">
        <f>IF(Credit_Assumptions!$C$5=1,BL68,INDEX(Credit_Input!$E$72:$E$131,BL$4))</f>
        <v/>
      </c>
    </row>
    <row r="96">
      <c r="A96" s="98" t="inlineStr">
        <is>
          <t>1-30 DPD</t>
        </is>
      </c>
      <c r="B96" s="65" t="inlineStr">
        <is>
          <t>LCY</t>
        </is>
      </c>
      <c r="C96" s="105">
        <f>BL96</f>
        <v/>
      </c>
      <c r="E96" s="80">
        <f>IF(Credit_Assumptions!$C$5=1,E69,INDEX(Credit_Input!$F$72:$F$131,E$4))</f>
        <v/>
      </c>
      <c r="F96" s="80">
        <f>IF(Credit_Assumptions!$C$5=1,F69,INDEX(Credit_Input!$F$72:$F$131,F$4))</f>
        <v/>
      </c>
      <c r="G96" s="80">
        <f>IF(Credit_Assumptions!$C$5=1,G69,INDEX(Credit_Input!$F$72:$F$131,G$4))</f>
        <v/>
      </c>
      <c r="H96" s="80">
        <f>IF(Credit_Assumptions!$C$5=1,H69,INDEX(Credit_Input!$F$72:$F$131,H$4))</f>
        <v/>
      </c>
      <c r="I96" s="80">
        <f>IF(Credit_Assumptions!$C$5=1,I69,INDEX(Credit_Input!$F$72:$F$131,I$4))</f>
        <v/>
      </c>
      <c r="J96" s="80">
        <f>IF(Credit_Assumptions!$C$5=1,J69,INDEX(Credit_Input!$F$72:$F$131,J$4))</f>
        <v/>
      </c>
      <c r="K96" s="80">
        <f>IF(Credit_Assumptions!$C$5=1,K69,INDEX(Credit_Input!$F$72:$F$131,K$4))</f>
        <v/>
      </c>
      <c r="L96" s="80">
        <f>IF(Credit_Assumptions!$C$5=1,L69,INDEX(Credit_Input!$F$72:$F$131,L$4))</f>
        <v/>
      </c>
      <c r="M96" s="80">
        <f>IF(Credit_Assumptions!$C$5=1,M69,INDEX(Credit_Input!$F$72:$F$131,M$4))</f>
        <v/>
      </c>
      <c r="N96" s="80">
        <f>IF(Credit_Assumptions!$C$5=1,N69,INDEX(Credit_Input!$F$72:$F$131,N$4))</f>
        <v/>
      </c>
      <c r="O96" s="80">
        <f>IF(Credit_Assumptions!$C$5=1,O69,INDEX(Credit_Input!$F$72:$F$131,O$4))</f>
        <v/>
      </c>
      <c r="P96" s="80">
        <f>IF(Credit_Assumptions!$C$5=1,P69,INDEX(Credit_Input!$F$72:$F$131,P$4))</f>
        <v/>
      </c>
      <c r="Q96" s="80">
        <f>IF(Credit_Assumptions!$C$5=1,Q69,INDEX(Credit_Input!$F$72:$F$131,Q$4))</f>
        <v/>
      </c>
      <c r="R96" s="80">
        <f>IF(Credit_Assumptions!$C$5=1,R69,INDEX(Credit_Input!$F$72:$F$131,R$4))</f>
        <v/>
      </c>
      <c r="S96" s="80">
        <f>IF(Credit_Assumptions!$C$5=1,S69,INDEX(Credit_Input!$F$72:$F$131,S$4))</f>
        <v/>
      </c>
      <c r="T96" s="80">
        <f>IF(Credit_Assumptions!$C$5=1,T69,INDEX(Credit_Input!$F$72:$F$131,T$4))</f>
        <v/>
      </c>
      <c r="U96" s="80">
        <f>IF(Credit_Assumptions!$C$5=1,U69,INDEX(Credit_Input!$F$72:$F$131,U$4))</f>
        <v/>
      </c>
      <c r="V96" s="80">
        <f>IF(Credit_Assumptions!$C$5=1,V69,INDEX(Credit_Input!$F$72:$F$131,V$4))</f>
        <v/>
      </c>
      <c r="W96" s="80">
        <f>IF(Credit_Assumptions!$C$5=1,W69,INDEX(Credit_Input!$F$72:$F$131,W$4))</f>
        <v/>
      </c>
      <c r="X96" s="80">
        <f>IF(Credit_Assumptions!$C$5=1,X69,INDEX(Credit_Input!$F$72:$F$131,X$4))</f>
        <v/>
      </c>
      <c r="Y96" s="80">
        <f>IF(Credit_Assumptions!$C$5=1,Y69,INDEX(Credit_Input!$F$72:$F$131,Y$4))</f>
        <v/>
      </c>
      <c r="Z96" s="80">
        <f>IF(Credit_Assumptions!$C$5=1,Z69,INDEX(Credit_Input!$F$72:$F$131,Z$4))</f>
        <v/>
      </c>
      <c r="AA96" s="80">
        <f>IF(Credit_Assumptions!$C$5=1,AA69,INDEX(Credit_Input!$F$72:$F$131,AA$4))</f>
        <v/>
      </c>
      <c r="AB96" s="80">
        <f>IF(Credit_Assumptions!$C$5=1,AB69,INDEX(Credit_Input!$F$72:$F$131,AB$4))</f>
        <v/>
      </c>
      <c r="AC96" s="80">
        <f>IF(Credit_Assumptions!$C$5=1,AC69,INDEX(Credit_Input!$F$72:$F$131,AC$4))</f>
        <v/>
      </c>
      <c r="AD96" s="80">
        <f>IF(Credit_Assumptions!$C$5=1,AD69,INDEX(Credit_Input!$F$72:$F$131,AD$4))</f>
        <v/>
      </c>
      <c r="AE96" s="80">
        <f>IF(Credit_Assumptions!$C$5=1,AE69,INDEX(Credit_Input!$F$72:$F$131,AE$4))</f>
        <v/>
      </c>
      <c r="AF96" s="80">
        <f>IF(Credit_Assumptions!$C$5=1,AF69,INDEX(Credit_Input!$F$72:$F$131,AF$4))</f>
        <v/>
      </c>
      <c r="AG96" s="80">
        <f>IF(Credit_Assumptions!$C$5=1,AG69,INDEX(Credit_Input!$F$72:$F$131,AG$4))</f>
        <v/>
      </c>
      <c r="AH96" s="80">
        <f>IF(Credit_Assumptions!$C$5=1,AH69,INDEX(Credit_Input!$F$72:$F$131,AH$4))</f>
        <v/>
      </c>
      <c r="AI96" s="80">
        <f>IF(Credit_Assumptions!$C$5=1,AI69,INDEX(Credit_Input!$F$72:$F$131,AI$4))</f>
        <v/>
      </c>
      <c r="AJ96" s="80">
        <f>IF(Credit_Assumptions!$C$5=1,AJ69,INDEX(Credit_Input!$F$72:$F$131,AJ$4))</f>
        <v/>
      </c>
      <c r="AK96" s="80">
        <f>IF(Credit_Assumptions!$C$5=1,AK69,INDEX(Credit_Input!$F$72:$F$131,AK$4))</f>
        <v/>
      </c>
      <c r="AL96" s="80">
        <f>IF(Credit_Assumptions!$C$5=1,AL69,INDEX(Credit_Input!$F$72:$F$131,AL$4))</f>
        <v/>
      </c>
      <c r="AM96" s="80">
        <f>IF(Credit_Assumptions!$C$5=1,AM69,INDEX(Credit_Input!$F$72:$F$131,AM$4))</f>
        <v/>
      </c>
      <c r="AN96" s="80">
        <f>IF(Credit_Assumptions!$C$5=1,AN69,INDEX(Credit_Input!$F$72:$F$131,AN$4))</f>
        <v/>
      </c>
      <c r="AO96" s="80">
        <f>IF(Credit_Assumptions!$C$5=1,AO69,INDEX(Credit_Input!$F$72:$F$131,AO$4))</f>
        <v/>
      </c>
      <c r="AP96" s="80">
        <f>IF(Credit_Assumptions!$C$5=1,AP69,INDEX(Credit_Input!$F$72:$F$131,AP$4))</f>
        <v/>
      </c>
      <c r="AQ96" s="80">
        <f>IF(Credit_Assumptions!$C$5=1,AQ69,INDEX(Credit_Input!$F$72:$F$131,AQ$4))</f>
        <v/>
      </c>
      <c r="AR96" s="80">
        <f>IF(Credit_Assumptions!$C$5=1,AR69,INDEX(Credit_Input!$F$72:$F$131,AR$4))</f>
        <v/>
      </c>
      <c r="AS96" s="80">
        <f>IF(Credit_Assumptions!$C$5=1,AS69,INDEX(Credit_Input!$F$72:$F$131,AS$4))</f>
        <v/>
      </c>
      <c r="AT96" s="80">
        <f>IF(Credit_Assumptions!$C$5=1,AT69,INDEX(Credit_Input!$F$72:$F$131,AT$4))</f>
        <v/>
      </c>
      <c r="AU96" s="80">
        <f>IF(Credit_Assumptions!$C$5=1,AU69,INDEX(Credit_Input!$F$72:$F$131,AU$4))</f>
        <v/>
      </c>
      <c r="AV96" s="80">
        <f>IF(Credit_Assumptions!$C$5=1,AV69,INDEX(Credit_Input!$F$72:$F$131,AV$4))</f>
        <v/>
      </c>
      <c r="AW96" s="80">
        <f>IF(Credit_Assumptions!$C$5=1,AW69,INDEX(Credit_Input!$F$72:$F$131,AW$4))</f>
        <v/>
      </c>
      <c r="AX96" s="80">
        <f>IF(Credit_Assumptions!$C$5=1,AX69,INDEX(Credit_Input!$F$72:$F$131,AX$4))</f>
        <v/>
      </c>
      <c r="AY96" s="80">
        <f>IF(Credit_Assumptions!$C$5=1,AY69,INDEX(Credit_Input!$F$72:$F$131,AY$4))</f>
        <v/>
      </c>
      <c r="AZ96" s="80">
        <f>IF(Credit_Assumptions!$C$5=1,AZ69,INDEX(Credit_Input!$F$72:$F$131,AZ$4))</f>
        <v/>
      </c>
      <c r="BA96" s="80">
        <f>IF(Credit_Assumptions!$C$5=1,BA69,INDEX(Credit_Input!$F$72:$F$131,BA$4))</f>
        <v/>
      </c>
      <c r="BB96" s="80">
        <f>IF(Credit_Assumptions!$C$5=1,BB69,INDEX(Credit_Input!$F$72:$F$131,BB$4))</f>
        <v/>
      </c>
      <c r="BC96" s="80">
        <f>IF(Credit_Assumptions!$C$5=1,BC69,INDEX(Credit_Input!$F$72:$F$131,BC$4))</f>
        <v/>
      </c>
      <c r="BD96" s="80">
        <f>IF(Credit_Assumptions!$C$5=1,BD69,INDEX(Credit_Input!$F$72:$F$131,BD$4))</f>
        <v/>
      </c>
      <c r="BE96" s="80">
        <f>IF(Credit_Assumptions!$C$5=1,BE69,INDEX(Credit_Input!$F$72:$F$131,BE$4))</f>
        <v/>
      </c>
      <c r="BF96" s="80">
        <f>IF(Credit_Assumptions!$C$5=1,BF69,INDEX(Credit_Input!$F$72:$F$131,BF$4))</f>
        <v/>
      </c>
      <c r="BG96" s="80">
        <f>IF(Credit_Assumptions!$C$5=1,BG69,INDEX(Credit_Input!$F$72:$F$131,BG$4))</f>
        <v/>
      </c>
      <c r="BH96" s="80">
        <f>IF(Credit_Assumptions!$C$5=1,BH69,INDEX(Credit_Input!$F$72:$F$131,BH$4))</f>
        <v/>
      </c>
      <c r="BI96" s="80">
        <f>IF(Credit_Assumptions!$C$5=1,BI69,INDEX(Credit_Input!$F$72:$F$131,BI$4))</f>
        <v/>
      </c>
      <c r="BJ96" s="80">
        <f>IF(Credit_Assumptions!$C$5=1,BJ69,INDEX(Credit_Input!$F$72:$F$131,BJ$4))</f>
        <v/>
      </c>
      <c r="BK96" s="80">
        <f>IF(Credit_Assumptions!$C$5=1,BK69,INDEX(Credit_Input!$F$72:$F$131,BK$4))</f>
        <v/>
      </c>
      <c r="BL96" s="80">
        <f>IF(Credit_Assumptions!$C$5=1,BL69,INDEX(Credit_Input!$F$72:$F$131,BL$4))</f>
        <v/>
      </c>
    </row>
    <row r="97">
      <c r="A97" s="98" t="inlineStr">
        <is>
          <t>31-60 DPD</t>
        </is>
      </c>
      <c r="B97" s="65" t="inlineStr">
        <is>
          <t>LCY</t>
        </is>
      </c>
      <c r="C97" s="105">
        <f>BL97</f>
        <v/>
      </c>
      <c r="E97" s="80">
        <f>IF(Credit_Assumptions!$C$5=1,E70,INDEX(Credit_Input!$G$72:$G$131,E$4))</f>
        <v/>
      </c>
      <c r="F97" s="80">
        <f>IF(Credit_Assumptions!$C$5=1,F70,INDEX(Credit_Input!$G$72:$G$131,F$4))</f>
        <v/>
      </c>
      <c r="G97" s="80">
        <f>IF(Credit_Assumptions!$C$5=1,G70,INDEX(Credit_Input!$G$72:$G$131,G$4))</f>
        <v/>
      </c>
      <c r="H97" s="80">
        <f>IF(Credit_Assumptions!$C$5=1,H70,INDEX(Credit_Input!$G$72:$G$131,H$4))</f>
        <v/>
      </c>
      <c r="I97" s="80">
        <f>IF(Credit_Assumptions!$C$5=1,I70,INDEX(Credit_Input!$G$72:$G$131,I$4))</f>
        <v/>
      </c>
      <c r="J97" s="80">
        <f>IF(Credit_Assumptions!$C$5=1,J70,INDEX(Credit_Input!$G$72:$G$131,J$4))</f>
        <v/>
      </c>
      <c r="K97" s="80">
        <f>IF(Credit_Assumptions!$C$5=1,K70,INDEX(Credit_Input!$G$72:$G$131,K$4))</f>
        <v/>
      </c>
      <c r="L97" s="80">
        <f>IF(Credit_Assumptions!$C$5=1,L70,INDEX(Credit_Input!$G$72:$G$131,L$4))</f>
        <v/>
      </c>
      <c r="M97" s="80">
        <f>IF(Credit_Assumptions!$C$5=1,M70,INDEX(Credit_Input!$G$72:$G$131,M$4))</f>
        <v/>
      </c>
      <c r="N97" s="80">
        <f>IF(Credit_Assumptions!$C$5=1,N70,INDEX(Credit_Input!$G$72:$G$131,N$4))</f>
        <v/>
      </c>
      <c r="O97" s="80">
        <f>IF(Credit_Assumptions!$C$5=1,O70,INDEX(Credit_Input!$G$72:$G$131,O$4))</f>
        <v/>
      </c>
      <c r="P97" s="80">
        <f>IF(Credit_Assumptions!$C$5=1,P70,INDEX(Credit_Input!$G$72:$G$131,P$4))</f>
        <v/>
      </c>
      <c r="Q97" s="80">
        <f>IF(Credit_Assumptions!$C$5=1,Q70,INDEX(Credit_Input!$G$72:$G$131,Q$4))</f>
        <v/>
      </c>
      <c r="R97" s="80">
        <f>IF(Credit_Assumptions!$C$5=1,R70,INDEX(Credit_Input!$G$72:$G$131,R$4))</f>
        <v/>
      </c>
      <c r="S97" s="80">
        <f>IF(Credit_Assumptions!$C$5=1,S70,INDEX(Credit_Input!$G$72:$G$131,S$4))</f>
        <v/>
      </c>
      <c r="T97" s="80">
        <f>IF(Credit_Assumptions!$C$5=1,T70,INDEX(Credit_Input!$G$72:$G$131,T$4))</f>
        <v/>
      </c>
      <c r="U97" s="80">
        <f>IF(Credit_Assumptions!$C$5=1,U70,INDEX(Credit_Input!$G$72:$G$131,U$4))</f>
        <v/>
      </c>
      <c r="V97" s="80">
        <f>IF(Credit_Assumptions!$C$5=1,V70,INDEX(Credit_Input!$G$72:$G$131,V$4))</f>
        <v/>
      </c>
      <c r="W97" s="80">
        <f>IF(Credit_Assumptions!$C$5=1,W70,INDEX(Credit_Input!$G$72:$G$131,W$4))</f>
        <v/>
      </c>
      <c r="X97" s="80">
        <f>IF(Credit_Assumptions!$C$5=1,X70,INDEX(Credit_Input!$G$72:$G$131,X$4))</f>
        <v/>
      </c>
      <c r="Y97" s="80">
        <f>IF(Credit_Assumptions!$C$5=1,Y70,INDEX(Credit_Input!$G$72:$G$131,Y$4))</f>
        <v/>
      </c>
      <c r="Z97" s="80">
        <f>IF(Credit_Assumptions!$C$5=1,Z70,INDEX(Credit_Input!$G$72:$G$131,Z$4))</f>
        <v/>
      </c>
      <c r="AA97" s="80">
        <f>IF(Credit_Assumptions!$C$5=1,AA70,INDEX(Credit_Input!$G$72:$G$131,AA$4))</f>
        <v/>
      </c>
      <c r="AB97" s="80">
        <f>IF(Credit_Assumptions!$C$5=1,AB70,INDEX(Credit_Input!$G$72:$G$131,AB$4))</f>
        <v/>
      </c>
      <c r="AC97" s="80">
        <f>IF(Credit_Assumptions!$C$5=1,AC70,INDEX(Credit_Input!$G$72:$G$131,AC$4))</f>
        <v/>
      </c>
      <c r="AD97" s="80">
        <f>IF(Credit_Assumptions!$C$5=1,AD70,INDEX(Credit_Input!$G$72:$G$131,AD$4))</f>
        <v/>
      </c>
      <c r="AE97" s="80">
        <f>IF(Credit_Assumptions!$C$5=1,AE70,INDEX(Credit_Input!$G$72:$G$131,AE$4))</f>
        <v/>
      </c>
      <c r="AF97" s="80">
        <f>IF(Credit_Assumptions!$C$5=1,AF70,INDEX(Credit_Input!$G$72:$G$131,AF$4))</f>
        <v/>
      </c>
      <c r="AG97" s="80">
        <f>IF(Credit_Assumptions!$C$5=1,AG70,INDEX(Credit_Input!$G$72:$G$131,AG$4))</f>
        <v/>
      </c>
      <c r="AH97" s="80">
        <f>IF(Credit_Assumptions!$C$5=1,AH70,INDEX(Credit_Input!$G$72:$G$131,AH$4))</f>
        <v/>
      </c>
      <c r="AI97" s="80">
        <f>IF(Credit_Assumptions!$C$5=1,AI70,INDEX(Credit_Input!$G$72:$G$131,AI$4))</f>
        <v/>
      </c>
      <c r="AJ97" s="80">
        <f>IF(Credit_Assumptions!$C$5=1,AJ70,INDEX(Credit_Input!$G$72:$G$131,AJ$4))</f>
        <v/>
      </c>
      <c r="AK97" s="80">
        <f>IF(Credit_Assumptions!$C$5=1,AK70,INDEX(Credit_Input!$G$72:$G$131,AK$4))</f>
        <v/>
      </c>
      <c r="AL97" s="80">
        <f>IF(Credit_Assumptions!$C$5=1,AL70,INDEX(Credit_Input!$G$72:$G$131,AL$4))</f>
        <v/>
      </c>
      <c r="AM97" s="80">
        <f>IF(Credit_Assumptions!$C$5=1,AM70,INDEX(Credit_Input!$G$72:$G$131,AM$4))</f>
        <v/>
      </c>
      <c r="AN97" s="80">
        <f>IF(Credit_Assumptions!$C$5=1,AN70,INDEX(Credit_Input!$G$72:$G$131,AN$4))</f>
        <v/>
      </c>
      <c r="AO97" s="80">
        <f>IF(Credit_Assumptions!$C$5=1,AO70,INDEX(Credit_Input!$G$72:$G$131,AO$4))</f>
        <v/>
      </c>
      <c r="AP97" s="80">
        <f>IF(Credit_Assumptions!$C$5=1,AP70,INDEX(Credit_Input!$G$72:$G$131,AP$4))</f>
        <v/>
      </c>
      <c r="AQ97" s="80">
        <f>IF(Credit_Assumptions!$C$5=1,AQ70,INDEX(Credit_Input!$G$72:$G$131,AQ$4))</f>
        <v/>
      </c>
      <c r="AR97" s="80">
        <f>IF(Credit_Assumptions!$C$5=1,AR70,INDEX(Credit_Input!$G$72:$G$131,AR$4))</f>
        <v/>
      </c>
      <c r="AS97" s="80">
        <f>IF(Credit_Assumptions!$C$5=1,AS70,INDEX(Credit_Input!$G$72:$G$131,AS$4))</f>
        <v/>
      </c>
      <c r="AT97" s="80">
        <f>IF(Credit_Assumptions!$C$5=1,AT70,INDEX(Credit_Input!$G$72:$G$131,AT$4))</f>
        <v/>
      </c>
      <c r="AU97" s="80">
        <f>IF(Credit_Assumptions!$C$5=1,AU70,INDEX(Credit_Input!$G$72:$G$131,AU$4))</f>
        <v/>
      </c>
      <c r="AV97" s="80">
        <f>IF(Credit_Assumptions!$C$5=1,AV70,INDEX(Credit_Input!$G$72:$G$131,AV$4))</f>
        <v/>
      </c>
      <c r="AW97" s="80">
        <f>IF(Credit_Assumptions!$C$5=1,AW70,INDEX(Credit_Input!$G$72:$G$131,AW$4))</f>
        <v/>
      </c>
      <c r="AX97" s="80">
        <f>IF(Credit_Assumptions!$C$5=1,AX70,INDEX(Credit_Input!$G$72:$G$131,AX$4))</f>
        <v/>
      </c>
      <c r="AY97" s="80">
        <f>IF(Credit_Assumptions!$C$5=1,AY70,INDEX(Credit_Input!$G$72:$G$131,AY$4))</f>
        <v/>
      </c>
      <c r="AZ97" s="80">
        <f>IF(Credit_Assumptions!$C$5=1,AZ70,INDEX(Credit_Input!$G$72:$G$131,AZ$4))</f>
        <v/>
      </c>
      <c r="BA97" s="80">
        <f>IF(Credit_Assumptions!$C$5=1,BA70,INDEX(Credit_Input!$G$72:$G$131,BA$4))</f>
        <v/>
      </c>
      <c r="BB97" s="80">
        <f>IF(Credit_Assumptions!$C$5=1,BB70,INDEX(Credit_Input!$G$72:$G$131,BB$4))</f>
        <v/>
      </c>
      <c r="BC97" s="80">
        <f>IF(Credit_Assumptions!$C$5=1,BC70,INDEX(Credit_Input!$G$72:$G$131,BC$4))</f>
        <v/>
      </c>
      <c r="BD97" s="80">
        <f>IF(Credit_Assumptions!$C$5=1,BD70,INDEX(Credit_Input!$G$72:$G$131,BD$4))</f>
        <v/>
      </c>
      <c r="BE97" s="80">
        <f>IF(Credit_Assumptions!$C$5=1,BE70,INDEX(Credit_Input!$G$72:$G$131,BE$4))</f>
        <v/>
      </c>
      <c r="BF97" s="80">
        <f>IF(Credit_Assumptions!$C$5=1,BF70,INDEX(Credit_Input!$G$72:$G$131,BF$4))</f>
        <v/>
      </c>
      <c r="BG97" s="80">
        <f>IF(Credit_Assumptions!$C$5=1,BG70,INDEX(Credit_Input!$G$72:$G$131,BG$4))</f>
        <v/>
      </c>
      <c r="BH97" s="80">
        <f>IF(Credit_Assumptions!$C$5=1,BH70,INDEX(Credit_Input!$G$72:$G$131,BH$4))</f>
        <v/>
      </c>
      <c r="BI97" s="80">
        <f>IF(Credit_Assumptions!$C$5=1,BI70,INDEX(Credit_Input!$G$72:$G$131,BI$4))</f>
        <v/>
      </c>
      <c r="BJ97" s="80">
        <f>IF(Credit_Assumptions!$C$5=1,BJ70,INDEX(Credit_Input!$G$72:$G$131,BJ$4))</f>
        <v/>
      </c>
      <c r="BK97" s="80">
        <f>IF(Credit_Assumptions!$C$5=1,BK70,INDEX(Credit_Input!$G$72:$G$131,BK$4))</f>
        <v/>
      </c>
      <c r="BL97" s="80">
        <f>IF(Credit_Assumptions!$C$5=1,BL70,INDEX(Credit_Input!$G$72:$G$131,BL$4))</f>
        <v/>
      </c>
    </row>
    <row r="98">
      <c r="A98" s="98" t="inlineStr">
        <is>
          <t>61-90 DPD</t>
        </is>
      </c>
      <c r="B98" s="65" t="inlineStr">
        <is>
          <t>LCY</t>
        </is>
      </c>
      <c r="C98" s="105">
        <f>BL98</f>
        <v/>
      </c>
      <c r="E98" s="80">
        <f>IF(Credit_Assumptions!$C$5=1,E71,INDEX(Credit_Input!$H$72:$H$131,E$4))</f>
        <v/>
      </c>
      <c r="F98" s="80">
        <f>IF(Credit_Assumptions!$C$5=1,F71,INDEX(Credit_Input!$H$72:$H$131,F$4))</f>
        <v/>
      </c>
      <c r="G98" s="80">
        <f>IF(Credit_Assumptions!$C$5=1,G71,INDEX(Credit_Input!$H$72:$H$131,G$4))</f>
        <v/>
      </c>
      <c r="H98" s="80">
        <f>IF(Credit_Assumptions!$C$5=1,H71,INDEX(Credit_Input!$H$72:$H$131,H$4))</f>
        <v/>
      </c>
      <c r="I98" s="80">
        <f>IF(Credit_Assumptions!$C$5=1,I71,INDEX(Credit_Input!$H$72:$H$131,I$4))</f>
        <v/>
      </c>
      <c r="J98" s="80">
        <f>IF(Credit_Assumptions!$C$5=1,J71,INDEX(Credit_Input!$H$72:$H$131,J$4))</f>
        <v/>
      </c>
      <c r="K98" s="80">
        <f>IF(Credit_Assumptions!$C$5=1,K71,INDEX(Credit_Input!$H$72:$H$131,K$4))</f>
        <v/>
      </c>
      <c r="L98" s="80">
        <f>IF(Credit_Assumptions!$C$5=1,L71,INDEX(Credit_Input!$H$72:$H$131,L$4))</f>
        <v/>
      </c>
      <c r="M98" s="80">
        <f>IF(Credit_Assumptions!$C$5=1,M71,INDEX(Credit_Input!$H$72:$H$131,M$4))</f>
        <v/>
      </c>
      <c r="N98" s="80">
        <f>IF(Credit_Assumptions!$C$5=1,N71,INDEX(Credit_Input!$H$72:$H$131,N$4))</f>
        <v/>
      </c>
      <c r="O98" s="80">
        <f>IF(Credit_Assumptions!$C$5=1,O71,INDEX(Credit_Input!$H$72:$H$131,O$4))</f>
        <v/>
      </c>
      <c r="P98" s="80">
        <f>IF(Credit_Assumptions!$C$5=1,P71,INDEX(Credit_Input!$H$72:$H$131,P$4))</f>
        <v/>
      </c>
      <c r="Q98" s="80">
        <f>IF(Credit_Assumptions!$C$5=1,Q71,INDEX(Credit_Input!$H$72:$H$131,Q$4))</f>
        <v/>
      </c>
      <c r="R98" s="80">
        <f>IF(Credit_Assumptions!$C$5=1,R71,INDEX(Credit_Input!$H$72:$H$131,R$4))</f>
        <v/>
      </c>
      <c r="S98" s="80">
        <f>IF(Credit_Assumptions!$C$5=1,S71,INDEX(Credit_Input!$H$72:$H$131,S$4))</f>
        <v/>
      </c>
      <c r="T98" s="80">
        <f>IF(Credit_Assumptions!$C$5=1,T71,INDEX(Credit_Input!$H$72:$H$131,T$4))</f>
        <v/>
      </c>
      <c r="U98" s="80">
        <f>IF(Credit_Assumptions!$C$5=1,U71,INDEX(Credit_Input!$H$72:$H$131,U$4))</f>
        <v/>
      </c>
      <c r="V98" s="80">
        <f>IF(Credit_Assumptions!$C$5=1,V71,INDEX(Credit_Input!$H$72:$H$131,V$4))</f>
        <v/>
      </c>
      <c r="W98" s="80">
        <f>IF(Credit_Assumptions!$C$5=1,W71,INDEX(Credit_Input!$H$72:$H$131,W$4))</f>
        <v/>
      </c>
      <c r="X98" s="80">
        <f>IF(Credit_Assumptions!$C$5=1,X71,INDEX(Credit_Input!$H$72:$H$131,X$4))</f>
        <v/>
      </c>
      <c r="Y98" s="80">
        <f>IF(Credit_Assumptions!$C$5=1,Y71,INDEX(Credit_Input!$H$72:$H$131,Y$4))</f>
        <v/>
      </c>
      <c r="Z98" s="80">
        <f>IF(Credit_Assumptions!$C$5=1,Z71,INDEX(Credit_Input!$H$72:$H$131,Z$4))</f>
        <v/>
      </c>
      <c r="AA98" s="80">
        <f>IF(Credit_Assumptions!$C$5=1,AA71,INDEX(Credit_Input!$H$72:$H$131,AA$4))</f>
        <v/>
      </c>
      <c r="AB98" s="80">
        <f>IF(Credit_Assumptions!$C$5=1,AB71,INDEX(Credit_Input!$H$72:$H$131,AB$4))</f>
        <v/>
      </c>
      <c r="AC98" s="80">
        <f>IF(Credit_Assumptions!$C$5=1,AC71,INDEX(Credit_Input!$H$72:$H$131,AC$4))</f>
        <v/>
      </c>
      <c r="AD98" s="80">
        <f>IF(Credit_Assumptions!$C$5=1,AD71,INDEX(Credit_Input!$H$72:$H$131,AD$4))</f>
        <v/>
      </c>
      <c r="AE98" s="80">
        <f>IF(Credit_Assumptions!$C$5=1,AE71,INDEX(Credit_Input!$H$72:$H$131,AE$4))</f>
        <v/>
      </c>
      <c r="AF98" s="80">
        <f>IF(Credit_Assumptions!$C$5=1,AF71,INDEX(Credit_Input!$H$72:$H$131,AF$4))</f>
        <v/>
      </c>
      <c r="AG98" s="80">
        <f>IF(Credit_Assumptions!$C$5=1,AG71,INDEX(Credit_Input!$H$72:$H$131,AG$4))</f>
        <v/>
      </c>
      <c r="AH98" s="80">
        <f>IF(Credit_Assumptions!$C$5=1,AH71,INDEX(Credit_Input!$H$72:$H$131,AH$4))</f>
        <v/>
      </c>
      <c r="AI98" s="80">
        <f>IF(Credit_Assumptions!$C$5=1,AI71,INDEX(Credit_Input!$H$72:$H$131,AI$4))</f>
        <v/>
      </c>
      <c r="AJ98" s="80">
        <f>IF(Credit_Assumptions!$C$5=1,AJ71,INDEX(Credit_Input!$H$72:$H$131,AJ$4))</f>
        <v/>
      </c>
      <c r="AK98" s="80">
        <f>IF(Credit_Assumptions!$C$5=1,AK71,INDEX(Credit_Input!$H$72:$H$131,AK$4))</f>
        <v/>
      </c>
      <c r="AL98" s="80">
        <f>IF(Credit_Assumptions!$C$5=1,AL71,INDEX(Credit_Input!$H$72:$H$131,AL$4))</f>
        <v/>
      </c>
      <c r="AM98" s="80">
        <f>IF(Credit_Assumptions!$C$5=1,AM71,INDEX(Credit_Input!$H$72:$H$131,AM$4))</f>
        <v/>
      </c>
      <c r="AN98" s="80">
        <f>IF(Credit_Assumptions!$C$5=1,AN71,INDEX(Credit_Input!$H$72:$H$131,AN$4))</f>
        <v/>
      </c>
      <c r="AO98" s="80">
        <f>IF(Credit_Assumptions!$C$5=1,AO71,INDEX(Credit_Input!$H$72:$H$131,AO$4))</f>
        <v/>
      </c>
      <c r="AP98" s="80">
        <f>IF(Credit_Assumptions!$C$5=1,AP71,INDEX(Credit_Input!$H$72:$H$131,AP$4))</f>
        <v/>
      </c>
      <c r="AQ98" s="80">
        <f>IF(Credit_Assumptions!$C$5=1,AQ71,INDEX(Credit_Input!$H$72:$H$131,AQ$4))</f>
        <v/>
      </c>
      <c r="AR98" s="80">
        <f>IF(Credit_Assumptions!$C$5=1,AR71,INDEX(Credit_Input!$H$72:$H$131,AR$4))</f>
        <v/>
      </c>
      <c r="AS98" s="80">
        <f>IF(Credit_Assumptions!$C$5=1,AS71,INDEX(Credit_Input!$H$72:$H$131,AS$4))</f>
        <v/>
      </c>
      <c r="AT98" s="80">
        <f>IF(Credit_Assumptions!$C$5=1,AT71,INDEX(Credit_Input!$H$72:$H$131,AT$4))</f>
        <v/>
      </c>
      <c r="AU98" s="80">
        <f>IF(Credit_Assumptions!$C$5=1,AU71,INDEX(Credit_Input!$H$72:$H$131,AU$4))</f>
        <v/>
      </c>
      <c r="AV98" s="80">
        <f>IF(Credit_Assumptions!$C$5=1,AV71,INDEX(Credit_Input!$H$72:$H$131,AV$4))</f>
        <v/>
      </c>
      <c r="AW98" s="80">
        <f>IF(Credit_Assumptions!$C$5=1,AW71,INDEX(Credit_Input!$H$72:$H$131,AW$4))</f>
        <v/>
      </c>
      <c r="AX98" s="80">
        <f>IF(Credit_Assumptions!$C$5=1,AX71,INDEX(Credit_Input!$H$72:$H$131,AX$4))</f>
        <v/>
      </c>
      <c r="AY98" s="80">
        <f>IF(Credit_Assumptions!$C$5=1,AY71,INDEX(Credit_Input!$H$72:$H$131,AY$4))</f>
        <v/>
      </c>
      <c r="AZ98" s="80">
        <f>IF(Credit_Assumptions!$C$5=1,AZ71,INDEX(Credit_Input!$H$72:$H$131,AZ$4))</f>
        <v/>
      </c>
      <c r="BA98" s="80">
        <f>IF(Credit_Assumptions!$C$5=1,BA71,INDEX(Credit_Input!$H$72:$H$131,BA$4))</f>
        <v/>
      </c>
      <c r="BB98" s="80">
        <f>IF(Credit_Assumptions!$C$5=1,BB71,INDEX(Credit_Input!$H$72:$H$131,BB$4))</f>
        <v/>
      </c>
      <c r="BC98" s="80">
        <f>IF(Credit_Assumptions!$C$5=1,BC71,INDEX(Credit_Input!$H$72:$H$131,BC$4))</f>
        <v/>
      </c>
      <c r="BD98" s="80">
        <f>IF(Credit_Assumptions!$C$5=1,BD71,INDEX(Credit_Input!$H$72:$H$131,BD$4))</f>
        <v/>
      </c>
      <c r="BE98" s="80">
        <f>IF(Credit_Assumptions!$C$5=1,BE71,INDEX(Credit_Input!$H$72:$H$131,BE$4))</f>
        <v/>
      </c>
      <c r="BF98" s="80">
        <f>IF(Credit_Assumptions!$C$5=1,BF71,INDEX(Credit_Input!$H$72:$H$131,BF$4))</f>
        <v/>
      </c>
      <c r="BG98" s="80">
        <f>IF(Credit_Assumptions!$C$5=1,BG71,INDEX(Credit_Input!$H$72:$H$131,BG$4))</f>
        <v/>
      </c>
      <c r="BH98" s="80">
        <f>IF(Credit_Assumptions!$C$5=1,BH71,INDEX(Credit_Input!$H$72:$H$131,BH$4))</f>
        <v/>
      </c>
      <c r="BI98" s="80">
        <f>IF(Credit_Assumptions!$C$5=1,BI71,INDEX(Credit_Input!$H$72:$H$131,BI$4))</f>
        <v/>
      </c>
      <c r="BJ98" s="80">
        <f>IF(Credit_Assumptions!$C$5=1,BJ71,INDEX(Credit_Input!$H$72:$H$131,BJ$4))</f>
        <v/>
      </c>
      <c r="BK98" s="80">
        <f>IF(Credit_Assumptions!$C$5=1,BK71,INDEX(Credit_Input!$H$72:$H$131,BK$4))</f>
        <v/>
      </c>
      <c r="BL98" s="80">
        <f>IF(Credit_Assumptions!$C$5=1,BL71,INDEX(Credit_Input!$H$72:$H$131,BL$4))</f>
        <v/>
      </c>
    </row>
    <row r="99">
      <c r="A99" s="98" t="inlineStr">
        <is>
          <t>91-180 DPD</t>
        </is>
      </c>
      <c r="B99" s="65" t="inlineStr">
        <is>
          <t>LCY</t>
        </is>
      </c>
      <c r="C99" s="105">
        <f>BL99</f>
        <v/>
      </c>
      <c r="E99" s="80">
        <f>IF(Credit_Assumptions!$C$5=1,E72,INDEX(Credit_Input!$I$72:$I$131,E$4))</f>
        <v/>
      </c>
      <c r="F99" s="80">
        <f>IF(Credit_Assumptions!$C$5=1,F72,INDEX(Credit_Input!$I$72:$I$131,F$4))</f>
        <v/>
      </c>
      <c r="G99" s="80">
        <f>IF(Credit_Assumptions!$C$5=1,G72,INDEX(Credit_Input!$I$72:$I$131,G$4))</f>
        <v/>
      </c>
      <c r="H99" s="80">
        <f>IF(Credit_Assumptions!$C$5=1,H72,INDEX(Credit_Input!$I$72:$I$131,H$4))</f>
        <v/>
      </c>
      <c r="I99" s="80">
        <f>IF(Credit_Assumptions!$C$5=1,I72,INDEX(Credit_Input!$I$72:$I$131,I$4))</f>
        <v/>
      </c>
      <c r="J99" s="80">
        <f>IF(Credit_Assumptions!$C$5=1,J72,INDEX(Credit_Input!$I$72:$I$131,J$4))</f>
        <v/>
      </c>
      <c r="K99" s="80">
        <f>IF(Credit_Assumptions!$C$5=1,K72,INDEX(Credit_Input!$I$72:$I$131,K$4))</f>
        <v/>
      </c>
      <c r="L99" s="80">
        <f>IF(Credit_Assumptions!$C$5=1,L72,INDEX(Credit_Input!$I$72:$I$131,L$4))</f>
        <v/>
      </c>
      <c r="M99" s="80">
        <f>IF(Credit_Assumptions!$C$5=1,M72,INDEX(Credit_Input!$I$72:$I$131,M$4))</f>
        <v/>
      </c>
      <c r="N99" s="80">
        <f>IF(Credit_Assumptions!$C$5=1,N72,INDEX(Credit_Input!$I$72:$I$131,N$4))</f>
        <v/>
      </c>
      <c r="O99" s="80">
        <f>IF(Credit_Assumptions!$C$5=1,O72,INDEX(Credit_Input!$I$72:$I$131,O$4))</f>
        <v/>
      </c>
      <c r="P99" s="80">
        <f>IF(Credit_Assumptions!$C$5=1,P72,INDEX(Credit_Input!$I$72:$I$131,P$4))</f>
        <v/>
      </c>
      <c r="Q99" s="80">
        <f>IF(Credit_Assumptions!$C$5=1,Q72,INDEX(Credit_Input!$I$72:$I$131,Q$4))</f>
        <v/>
      </c>
      <c r="R99" s="80">
        <f>IF(Credit_Assumptions!$C$5=1,R72,INDEX(Credit_Input!$I$72:$I$131,R$4))</f>
        <v/>
      </c>
      <c r="S99" s="80">
        <f>IF(Credit_Assumptions!$C$5=1,S72,INDEX(Credit_Input!$I$72:$I$131,S$4))</f>
        <v/>
      </c>
      <c r="T99" s="80">
        <f>IF(Credit_Assumptions!$C$5=1,T72,INDEX(Credit_Input!$I$72:$I$131,T$4))</f>
        <v/>
      </c>
      <c r="U99" s="80">
        <f>IF(Credit_Assumptions!$C$5=1,U72,INDEX(Credit_Input!$I$72:$I$131,U$4))</f>
        <v/>
      </c>
      <c r="V99" s="80">
        <f>IF(Credit_Assumptions!$C$5=1,V72,INDEX(Credit_Input!$I$72:$I$131,V$4))</f>
        <v/>
      </c>
      <c r="W99" s="80">
        <f>IF(Credit_Assumptions!$C$5=1,W72,INDEX(Credit_Input!$I$72:$I$131,W$4))</f>
        <v/>
      </c>
      <c r="X99" s="80">
        <f>IF(Credit_Assumptions!$C$5=1,X72,INDEX(Credit_Input!$I$72:$I$131,X$4))</f>
        <v/>
      </c>
      <c r="Y99" s="80">
        <f>IF(Credit_Assumptions!$C$5=1,Y72,INDEX(Credit_Input!$I$72:$I$131,Y$4))</f>
        <v/>
      </c>
      <c r="Z99" s="80">
        <f>IF(Credit_Assumptions!$C$5=1,Z72,INDEX(Credit_Input!$I$72:$I$131,Z$4))</f>
        <v/>
      </c>
      <c r="AA99" s="80">
        <f>IF(Credit_Assumptions!$C$5=1,AA72,INDEX(Credit_Input!$I$72:$I$131,AA$4))</f>
        <v/>
      </c>
      <c r="AB99" s="80">
        <f>IF(Credit_Assumptions!$C$5=1,AB72,INDEX(Credit_Input!$I$72:$I$131,AB$4))</f>
        <v/>
      </c>
      <c r="AC99" s="80">
        <f>IF(Credit_Assumptions!$C$5=1,AC72,INDEX(Credit_Input!$I$72:$I$131,AC$4))</f>
        <v/>
      </c>
      <c r="AD99" s="80">
        <f>IF(Credit_Assumptions!$C$5=1,AD72,INDEX(Credit_Input!$I$72:$I$131,AD$4))</f>
        <v/>
      </c>
      <c r="AE99" s="80">
        <f>IF(Credit_Assumptions!$C$5=1,AE72,INDEX(Credit_Input!$I$72:$I$131,AE$4))</f>
        <v/>
      </c>
      <c r="AF99" s="80">
        <f>IF(Credit_Assumptions!$C$5=1,AF72,INDEX(Credit_Input!$I$72:$I$131,AF$4))</f>
        <v/>
      </c>
      <c r="AG99" s="80">
        <f>IF(Credit_Assumptions!$C$5=1,AG72,INDEX(Credit_Input!$I$72:$I$131,AG$4))</f>
        <v/>
      </c>
      <c r="AH99" s="80">
        <f>IF(Credit_Assumptions!$C$5=1,AH72,INDEX(Credit_Input!$I$72:$I$131,AH$4))</f>
        <v/>
      </c>
      <c r="AI99" s="80">
        <f>IF(Credit_Assumptions!$C$5=1,AI72,INDEX(Credit_Input!$I$72:$I$131,AI$4))</f>
        <v/>
      </c>
      <c r="AJ99" s="80">
        <f>IF(Credit_Assumptions!$C$5=1,AJ72,INDEX(Credit_Input!$I$72:$I$131,AJ$4))</f>
        <v/>
      </c>
      <c r="AK99" s="80">
        <f>IF(Credit_Assumptions!$C$5=1,AK72,INDEX(Credit_Input!$I$72:$I$131,AK$4))</f>
        <v/>
      </c>
      <c r="AL99" s="80">
        <f>IF(Credit_Assumptions!$C$5=1,AL72,INDEX(Credit_Input!$I$72:$I$131,AL$4))</f>
        <v/>
      </c>
      <c r="AM99" s="80">
        <f>IF(Credit_Assumptions!$C$5=1,AM72,INDEX(Credit_Input!$I$72:$I$131,AM$4))</f>
        <v/>
      </c>
      <c r="AN99" s="80">
        <f>IF(Credit_Assumptions!$C$5=1,AN72,INDEX(Credit_Input!$I$72:$I$131,AN$4))</f>
        <v/>
      </c>
      <c r="AO99" s="80">
        <f>IF(Credit_Assumptions!$C$5=1,AO72,INDEX(Credit_Input!$I$72:$I$131,AO$4))</f>
        <v/>
      </c>
      <c r="AP99" s="80">
        <f>IF(Credit_Assumptions!$C$5=1,AP72,INDEX(Credit_Input!$I$72:$I$131,AP$4))</f>
        <v/>
      </c>
      <c r="AQ99" s="80">
        <f>IF(Credit_Assumptions!$C$5=1,AQ72,INDEX(Credit_Input!$I$72:$I$131,AQ$4))</f>
        <v/>
      </c>
      <c r="AR99" s="80">
        <f>IF(Credit_Assumptions!$C$5=1,AR72,INDEX(Credit_Input!$I$72:$I$131,AR$4))</f>
        <v/>
      </c>
      <c r="AS99" s="80">
        <f>IF(Credit_Assumptions!$C$5=1,AS72,INDEX(Credit_Input!$I$72:$I$131,AS$4))</f>
        <v/>
      </c>
      <c r="AT99" s="80">
        <f>IF(Credit_Assumptions!$C$5=1,AT72,INDEX(Credit_Input!$I$72:$I$131,AT$4))</f>
        <v/>
      </c>
      <c r="AU99" s="80">
        <f>IF(Credit_Assumptions!$C$5=1,AU72,INDEX(Credit_Input!$I$72:$I$131,AU$4))</f>
        <v/>
      </c>
      <c r="AV99" s="80">
        <f>IF(Credit_Assumptions!$C$5=1,AV72,INDEX(Credit_Input!$I$72:$I$131,AV$4))</f>
        <v/>
      </c>
      <c r="AW99" s="80">
        <f>IF(Credit_Assumptions!$C$5=1,AW72,INDEX(Credit_Input!$I$72:$I$131,AW$4))</f>
        <v/>
      </c>
      <c r="AX99" s="80">
        <f>IF(Credit_Assumptions!$C$5=1,AX72,INDEX(Credit_Input!$I$72:$I$131,AX$4))</f>
        <v/>
      </c>
      <c r="AY99" s="80">
        <f>IF(Credit_Assumptions!$C$5=1,AY72,INDEX(Credit_Input!$I$72:$I$131,AY$4))</f>
        <v/>
      </c>
      <c r="AZ99" s="80">
        <f>IF(Credit_Assumptions!$C$5=1,AZ72,INDEX(Credit_Input!$I$72:$I$131,AZ$4))</f>
        <v/>
      </c>
      <c r="BA99" s="80">
        <f>IF(Credit_Assumptions!$C$5=1,BA72,INDEX(Credit_Input!$I$72:$I$131,BA$4))</f>
        <v/>
      </c>
      <c r="BB99" s="80">
        <f>IF(Credit_Assumptions!$C$5=1,BB72,INDEX(Credit_Input!$I$72:$I$131,BB$4))</f>
        <v/>
      </c>
      <c r="BC99" s="80">
        <f>IF(Credit_Assumptions!$C$5=1,BC72,INDEX(Credit_Input!$I$72:$I$131,BC$4))</f>
        <v/>
      </c>
      <c r="BD99" s="80">
        <f>IF(Credit_Assumptions!$C$5=1,BD72,INDEX(Credit_Input!$I$72:$I$131,BD$4))</f>
        <v/>
      </c>
      <c r="BE99" s="80">
        <f>IF(Credit_Assumptions!$C$5=1,BE72,INDEX(Credit_Input!$I$72:$I$131,BE$4))</f>
        <v/>
      </c>
      <c r="BF99" s="80">
        <f>IF(Credit_Assumptions!$C$5=1,BF72,INDEX(Credit_Input!$I$72:$I$131,BF$4))</f>
        <v/>
      </c>
      <c r="BG99" s="80">
        <f>IF(Credit_Assumptions!$C$5=1,BG72,INDEX(Credit_Input!$I$72:$I$131,BG$4))</f>
        <v/>
      </c>
      <c r="BH99" s="80">
        <f>IF(Credit_Assumptions!$C$5=1,BH72,INDEX(Credit_Input!$I$72:$I$131,BH$4))</f>
        <v/>
      </c>
      <c r="BI99" s="80">
        <f>IF(Credit_Assumptions!$C$5=1,BI72,INDEX(Credit_Input!$I$72:$I$131,BI$4))</f>
        <v/>
      </c>
      <c r="BJ99" s="80">
        <f>IF(Credit_Assumptions!$C$5=1,BJ72,INDEX(Credit_Input!$I$72:$I$131,BJ$4))</f>
        <v/>
      </c>
      <c r="BK99" s="80">
        <f>IF(Credit_Assumptions!$C$5=1,BK72,INDEX(Credit_Input!$I$72:$I$131,BK$4))</f>
        <v/>
      </c>
      <c r="BL99" s="80">
        <f>IF(Credit_Assumptions!$C$5=1,BL72,INDEX(Credit_Input!$I$72:$I$131,BL$4))</f>
        <v/>
      </c>
    </row>
    <row r="100">
      <c r="A100" s="98" t="inlineStr">
        <is>
          <t>180+ DPD</t>
        </is>
      </c>
      <c r="B100" s="65" t="inlineStr">
        <is>
          <t>LCY</t>
        </is>
      </c>
      <c r="C100" s="105">
        <f>BL100</f>
        <v/>
      </c>
      <c r="E100" s="80">
        <f>IF(Credit_Assumptions!$C$5=1,E73,INDEX(Credit_Input!$J$72:$J$131,E$4))</f>
        <v/>
      </c>
      <c r="F100" s="80">
        <f>IF(Credit_Assumptions!$C$5=1,F73,INDEX(Credit_Input!$J$72:$J$131,F$4))</f>
        <v/>
      </c>
      <c r="G100" s="80">
        <f>IF(Credit_Assumptions!$C$5=1,G73,INDEX(Credit_Input!$J$72:$J$131,G$4))</f>
        <v/>
      </c>
      <c r="H100" s="80">
        <f>IF(Credit_Assumptions!$C$5=1,H73,INDEX(Credit_Input!$J$72:$J$131,H$4))</f>
        <v/>
      </c>
      <c r="I100" s="80">
        <f>IF(Credit_Assumptions!$C$5=1,I73,INDEX(Credit_Input!$J$72:$J$131,I$4))</f>
        <v/>
      </c>
      <c r="J100" s="80">
        <f>IF(Credit_Assumptions!$C$5=1,J73,INDEX(Credit_Input!$J$72:$J$131,J$4))</f>
        <v/>
      </c>
      <c r="K100" s="80">
        <f>IF(Credit_Assumptions!$C$5=1,K73,INDEX(Credit_Input!$J$72:$J$131,K$4))</f>
        <v/>
      </c>
      <c r="L100" s="80">
        <f>IF(Credit_Assumptions!$C$5=1,L73,INDEX(Credit_Input!$J$72:$J$131,L$4))</f>
        <v/>
      </c>
      <c r="M100" s="80">
        <f>IF(Credit_Assumptions!$C$5=1,M73,INDEX(Credit_Input!$J$72:$J$131,M$4))</f>
        <v/>
      </c>
      <c r="N100" s="80">
        <f>IF(Credit_Assumptions!$C$5=1,N73,INDEX(Credit_Input!$J$72:$J$131,N$4))</f>
        <v/>
      </c>
      <c r="O100" s="80">
        <f>IF(Credit_Assumptions!$C$5=1,O73,INDEX(Credit_Input!$J$72:$J$131,O$4))</f>
        <v/>
      </c>
      <c r="P100" s="80">
        <f>IF(Credit_Assumptions!$C$5=1,P73,INDEX(Credit_Input!$J$72:$J$131,P$4))</f>
        <v/>
      </c>
      <c r="Q100" s="80">
        <f>IF(Credit_Assumptions!$C$5=1,Q73,INDEX(Credit_Input!$J$72:$J$131,Q$4))</f>
        <v/>
      </c>
      <c r="R100" s="80">
        <f>IF(Credit_Assumptions!$C$5=1,R73,INDEX(Credit_Input!$J$72:$J$131,R$4))</f>
        <v/>
      </c>
      <c r="S100" s="80">
        <f>IF(Credit_Assumptions!$C$5=1,S73,INDEX(Credit_Input!$J$72:$J$131,S$4))</f>
        <v/>
      </c>
      <c r="T100" s="80">
        <f>IF(Credit_Assumptions!$C$5=1,T73,INDEX(Credit_Input!$J$72:$J$131,T$4))</f>
        <v/>
      </c>
      <c r="U100" s="80">
        <f>IF(Credit_Assumptions!$C$5=1,U73,INDEX(Credit_Input!$J$72:$J$131,U$4))</f>
        <v/>
      </c>
      <c r="V100" s="80">
        <f>IF(Credit_Assumptions!$C$5=1,V73,INDEX(Credit_Input!$J$72:$J$131,V$4))</f>
        <v/>
      </c>
      <c r="W100" s="80">
        <f>IF(Credit_Assumptions!$C$5=1,W73,INDEX(Credit_Input!$J$72:$J$131,W$4))</f>
        <v/>
      </c>
      <c r="X100" s="80">
        <f>IF(Credit_Assumptions!$C$5=1,X73,INDEX(Credit_Input!$J$72:$J$131,X$4))</f>
        <v/>
      </c>
      <c r="Y100" s="80">
        <f>IF(Credit_Assumptions!$C$5=1,Y73,INDEX(Credit_Input!$J$72:$J$131,Y$4))</f>
        <v/>
      </c>
      <c r="Z100" s="80">
        <f>IF(Credit_Assumptions!$C$5=1,Z73,INDEX(Credit_Input!$J$72:$J$131,Z$4))</f>
        <v/>
      </c>
      <c r="AA100" s="80">
        <f>IF(Credit_Assumptions!$C$5=1,AA73,INDEX(Credit_Input!$J$72:$J$131,AA$4))</f>
        <v/>
      </c>
      <c r="AB100" s="80">
        <f>IF(Credit_Assumptions!$C$5=1,AB73,INDEX(Credit_Input!$J$72:$J$131,AB$4))</f>
        <v/>
      </c>
      <c r="AC100" s="80">
        <f>IF(Credit_Assumptions!$C$5=1,AC73,INDEX(Credit_Input!$J$72:$J$131,AC$4))</f>
        <v/>
      </c>
      <c r="AD100" s="80">
        <f>IF(Credit_Assumptions!$C$5=1,AD73,INDEX(Credit_Input!$J$72:$J$131,AD$4))</f>
        <v/>
      </c>
      <c r="AE100" s="80">
        <f>IF(Credit_Assumptions!$C$5=1,AE73,INDEX(Credit_Input!$J$72:$J$131,AE$4))</f>
        <v/>
      </c>
      <c r="AF100" s="80">
        <f>IF(Credit_Assumptions!$C$5=1,AF73,INDEX(Credit_Input!$J$72:$J$131,AF$4))</f>
        <v/>
      </c>
      <c r="AG100" s="80">
        <f>IF(Credit_Assumptions!$C$5=1,AG73,INDEX(Credit_Input!$J$72:$J$131,AG$4))</f>
        <v/>
      </c>
      <c r="AH100" s="80">
        <f>IF(Credit_Assumptions!$C$5=1,AH73,INDEX(Credit_Input!$J$72:$J$131,AH$4))</f>
        <v/>
      </c>
      <c r="AI100" s="80">
        <f>IF(Credit_Assumptions!$C$5=1,AI73,INDEX(Credit_Input!$J$72:$J$131,AI$4))</f>
        <v/>
      </c>
      <c r="AJ100" s="80">
        <f>IF(Credit_Assumptions!$C$5=1,AJ73,INDEX(Credit_Input!$J$72:$J$131,AJ$4))</f>
        <v/>
      </c>
      <c r="AK100" s="80">
        <f>IF(Credit_Assumptions!$C$5=1,AK73,INDEX(Credit_Input!$J$72:$J$131,AK$4))</f>
        <v/>
      </c>
      <c r="AL100" s="80">
        <f>IF(Credit_Assumptions!$C$5=1,AL73,INDEX(Credit_Input!$J$72:$J$131,AL$4))</f>
        <v/>
      </c>
      <c r="AM100" s="80">
        <f>IF(Credit_Assumptions!$C$5=1,AM73,INDEX(Credit_Input!$J$72:$J$131,AM$4))</f>
        <v/>
      </c>
      <c r="AN100" s="80">
        <f>IF(Credit_Assumptions!$C$5=1,AN73,INDEX(Credit_Input!$J$72:$J$131,AN$4))</f>
        <v/>
      </c>
      <c r="AO100" s="80">
        <f>IF(Credit_Assumptions!$C$5=1,AO73,INDEX(Credit_Input!$J$72:$J$131,AO$4))</f>
        <v/>
      </c>
      <c r="AP100" s="80">
        <f>IF(Credit_Assumptions!$C$5=1,AP73,INDEX(Credit_Input!$J$72:$J$131,AP$4))</f>
        <v/>
      </c>
      <c r="AQ100" s="80">
        <f>IF(Credit_Assumptions!$C$5=1,AQ73,INDEX(Credit_Input!$J$72:$J$131,AQ$4))</f>
        <v/>
      </c>
      <c r="AR100" s="80">
        <f>IF(Credit_Assumptions!$C$5=1,AR73,INDEX(Credit_Input!$J$72:$J$131,AR$4))</f>
        <v/>
      </c>
      <c r="AS100" s="80">
        <f>IF(Credit_Assumptions!$C$5=1,AS73,INDEX(Credit_Input!$J$72:$J$131,AS$4))</f>
        <v/>
      </c>
      <c r="AT100" s="80">
        <f>IF(Credit_Assumptions!$C$5=1,AT73,INDEX(Credit_Input!$J$72:$J$131,AT$4))</f>
        <v/>
      </c>
      <c r="AU100" s="80">
        <f>IF(Credit_Assumptions!$C$5=1,AU73,INDEX(Credit_Input!$J$72:$J$131,AU$4))</f>
        <v/>
      </c>
      <c r="AV100" s="80">
        <f>IF(Credit_Assumptions!$C$5=1,AV73,INDEX(Credit_Input!$J$72:$J$131,AV$4))</f>
        <v/>
      </c>
      <c r="AW100" s="80">
        <f>IF(Credit_Assumptions!$C$5=1,AW73,INDEX(Credit_Input!$J$72:$J$131,AW$4))</f>
        <v/>
      </c>
      <c r="AX100" s="80">
        <f>IF(Credit_Assumptions!$C$5=1,AX73,INDEX(Credit_Input!$J$72:$J$131,AX$4))</f>
        <v/>
      </c>
      <c r="AY100" s="80">
        <f>IF(Credit_Assumptions!$C$5=1,AY73,INDEX(Credit_Input!$J$72:$J$131,AY$4))</f>
        <v/>
      </c>
      <c r="AZ100" s="80">
        <f>IF(Credit_Assumptions!$C$5=1,AZ73,INDEX(Credit_Input!$J$72:$J$131,AZ$4))</f>
        <v/>
      </c>
      <c r="BA100" s="80">
        <f>IF(Credit_Assumptions!$C$5=1,BA73,INDEX(Credit_Input!$J$72:$J$131,BA$4))</f>
        <v/>
      </c>
      <c r="BB100" s="80">
        <f>IF(Credit_Assumptions!$C$5=1,BB73,INDEX(Credit_Input!$J$72:$J$131,BB$4))</f>
        <v/>
      </c>
      <c r="BC100" s="80">
        <f>IF(Credit_Assumptions!$C$5=1,BC73,INDEX(Credit_Input!$J$72:$J$131,BC$4))</f>
        <v/>
      </c>
      <c r="BD100" s="80">
        <f>IF(Credit_Assumptions!$C$5=1,BD73,INDEX(Credit_Input!$J$72:$J$131,BD$4))</f>
        <v/>
      </c>
      <c r="BE100" s="80">
        <f>IF(Credit_Assumptions!$C$5=1,BE73,INDEX(Credit_Input!$J$72:$J$131,BE$4))</f>
        <v/>
      </c>
      <c r="BF100" s="80">
        <f>IF(Credit_Assumptions!$C$5=1,BF73,INDEX(Credit_Input!$J$72:$J$131,BF$4))</f>
        <v/>
      </c>
      <c r="BG100" s="80">
        <f>IF(Credit_Assumptions!$C$5=1,BG73,INDEX(Credit_Input!$J$72:$J$131,BG$4))</f>
        <v/>
      </c>
      <c r="BH100" s="80">
        <f>IF(Credit_Assumptions!$C$5=1,BH73,INDEX(Credit_Input!$J$72:$J$131,BH$4))</f>
        <v/>
      </c>
      <c r="BI100" s="80">
        <f>IF(Credit_Assumptions!$C$5=1,BI73,INDEX(Credit_Input!$J$72:$J$131,BI$4))</f>
        <v/>
      </c>
      <c r="BJ100" s="80">
        <f>IF(Credit_Assumptions!$C$5=1,BJ73,INDEX(Credit_Input!$J$72:$J$131,BJ$4))</f>
        <v/>
      </c>
      <c r="BK100" s="80">
        <f>IF(Credit_Assumptions!$C$5=1,BK73,INDEX(Credit_Input!$J$72:$J$131,BK$4))</f>
        <v/>
      </c>
      <c r="BL100" s="80">
        <f>IF(Credit_Assumptions!$C$5=1,BL73,INDEX(Credit_Input!$J$72:$J$131,BL$4))</f>
        <v/>
      </c>
    </row>
    <row r="101">
      <c r="A101" s="98" t="inlineStr">
        <is>
          <t>Default EAD (beyond default definition)</t>
        </is>
      </c>
      <c r="B101" s="65" t="inlineStr">
        <is>
          <t>LCY</t>
        </is>
      </c>
      <c r="C101" s="105">
        <f>BL101</f>
        <v/>
      </c>
      <c r="E101" s="80">
        <f>IF(Credit_Assumptions!$C$5=1,E74,INDEX(Credit_Input!$K$72:$K$131,E$4))</f>
        <v/>
      </c>
      <c r="F101" s="80">
        <f>IF(Credit_Assumptions!$C$5=1,F74,INDEX(Credit_Input!$K$72:$K$131,F$4))</f>
        <v/>
      </c>
      <c r="G101" s="80">
        <f>IF(Credit_Assumptions!$C$5=1,G74,INDEX(Credit_Input!$K$72:$K$131,G$4))</f>
        <v/>
      </c>
      <c r="H101" s="80">
        <f>IF(Credit_Assumptions!$C$5=1,H74,INDEX(Credit_Input!$K$72:$K$131,H$4))</f>
        <v/>
      </c>
      <c r="I101" s="80">
        <f>IF(Credit_Assumptions!$C$5=1,I74,INDEX(Credit_Input!$K$72:$K$131,I$4))</f>
        <v/>
      </c>
      <c r="J101" s="80">
        <f>IF(Credit_Assumptions!$C$5=1,J74,INDEX(Credit_Input!$K$72:$K$131,J$4))</f>
        <v/>
      </c>
      <c r="K101" s="80">
        <f>IF(Credit_Assumptions!$C$5=1,K74,INDEX(Credit_Input!$K$72:$K$131,K$4))</f>
        <v/>
      </c>
      <c r="L101" s="80">
        <f>IF(Credit_Assumptions!$C$5=1,L74,INDEX(Credit_Input!$K$72:$K$131,L$4))</f>
        <v/>
      </c>
      <c r="M101" s="80">
        <f>IF(Credit_Assumptions!$C$5=1,M74,INDEX(Credit_Input!$K$72:$K$131,M$4))</f>
        <v/>
      </c>
      <c r="N101" s="80">
        <f>IF(Credit_Assumptions!$C$5=1,N74,INDEX(Credit_Input!$K$72:$K$131,N$4))</f>
        <v/>
      </c>
      <c r="O101" s="80">
        <f>IF(Credit_Assumptions!$C$5=1,O74,INDEX(Credit_Input!$K$72:$K$131,O$4))</f>
        <v/>
      </c>
      <c r="P101" s="80">
        <f>IF(Credit_Assumptions!$C$5=1,P74,INDEX(Credit_Input!$K$72:$K$131,P$4))</f>
        <v/>
      </c>
      <c r="Q101" s="80">
        <f>IF(Credit_Assumptions!$C$5=1,Q74,INDEX(Credit_Input!$K$72:$K$131,Q$4))</f>
        <v/>
      </c>
      <c r="R101" s="80">
        <f>IF(Credit_Assumptions!$C$5=1,R74,INDEX(Credit_Input!$K$72:$K$131,R$4))</f>
        <v/>
      </c>
      <c r="S101" s="80">
        <f>IF(Credit_Assumptions!$C$5=1,S74,INDEX(Credit_Input!$K$72:$K$131,S$4))</f>
        <v/>
      </c>
      <c r="T101" s="80">
        <f>IF(Credit_Assumptions!$C$5=1,T74,INDEX(Credit_Input!$K$72:$K$131,T$4))</f>
        <v/>
      </c>
      <c r="U101" s="80">
        <f>IF(Credit_Assumptions!$C$5=1,U74,INDEX(Credit_Input!$K$72:$K$131,U$4))</f>
        <v/>
      </c>
      <c r="V101" s="80">
        <f>IF(Credit_Assumptions!$C$5=1,V74,INDEX(Credit_Input!$K$72:$K$131,V$4))</f>
        <v/>
      </c>
      <c r="W101" s="80">
        <f>IF(Credit_Assumptions!$C$5=1,W74,INDEX(Credit_Input!$K$72:$K$131,W$4))</f>
        <v/>
      </c>
      <c r="X101" s="80">
        <f>IF(Credit_Assumptions!$C$5=1,X74,INDEX(Credit_Input!$K$72:$K$131,X$4))</f>
        <v/>
      </c>
      <c r="Y101" s="80">
        <f>IF(Credit_Assumptions!$C$5=1,Y74,INDEX(Credit_Input!$K$72:$K$131,Y$4))</f>
        <v/>
      </c>
      <c r="Z101" s="80">
        <f>IF(Credit_Assumptions!$C$5=1,Z74,INDEX(Credit_Input!$K$72:$K$131,Z$4))</f>
        <v/>
      </c>
      <c r="AA101" s="80">
        <f>IF(Credit_Assumptions!$C$5=1,AA74,INDEX(Credit_Input!$K$72:$K$131,AA$4))</f>
        <v/>
      </c>
      <c r="AB101" s="80">
        <f>IF(Credit_Assumptions!$C$5=1,AB74,INDEX(Credit_Input!$K$72:$K$131,AB$4))</f>
        <v/>
      </c>
      <c r="AC101" s="80">
        <f>IF(Credit_Assumptions!$C$5=1,AC74,INDEX(Credit_Input!$K$72:$K$131,AC$4))</f>
        <v/>
      </c>
      <c r="AD101" s="80">
        <f>IF(Credit_Assumptions!$C$5=1,AD74,INDEX(Credit_Input!$K$72:$K$131,AD$4))</f>
        <v/>
      </c>
      <c r="AE101" s="80">
        <f>IF(Credit_Assumptions!$C$5=1,AE74,INDEX(Credit_Input!$K$72:$K$131,AE$4))</f>
        <v/>
      </c>
      <c r="AF101" s="80">
        <f>IF(Credit_Assumptions!$C$5=1,AF74,INDEX(Credit_Input!$K$72:$K$131,AF$4))</f>
        <v/>
      </c>
      <c r="AG101" s="80">
        <f>IF(Credit_Assumptions!$C$5=1,AG74,INDEX(Credit_Input!$K$72:$K$131,AG$4))</f>
        <v/>
      </c>
      <c r="AH101" s="80">
        <f>IF(Credit_Assumptions!$C$5=1,AH74,INDEX(Credit_Input!$K$72:$K$131,AH$4))</f>
        <v/>
      </c>
      <c r="AI101" s="80">
        <f>IF(Credit_Assumptions!$C$5=1,AI74,INDEX(Credit_Input!$K$72:$K$131,AI$4))</f>
        <v/>
      </c>
      <c r="AJ101" s="80">
        <f>IF(Credit_Assumptions!$C$5=1,AJ74,INDEX(Credit_Input!$K$72:$K$131,AJ$4))</f>
        <v/>
      </c>
      <c r="AK101" s="80">
        <f>IF(Credit_Assumptions!$C$5=1,AK74,INDEX(Credit_Input!$K$72:$K$131,AK$4))</f>
        <v/>
      </c>
      <c r="AL101" s="80">
        <f>IF(Credit_Assumptions!$C$5=1,AL74,INDEX(Credit_Input!$K$72:$K$131,AL$4))</f>
        <v/>
      </c>
      <c r="AM101" s="80">
        <f>IF(Credit_Assumptions!$C$5=1,AM74,INDEX(Credit_Input!$K$72:$K$131,AM$4))</f>
        <v/>
      </c>
      <c r="AN101" s="80">
        <f>IF(Credit_Assumptions!$C$5=1,AN74,INDEX(Credit_Input!$K$72:$K$131,AN$4))</f>
        <v/>
      </c>
      <c r="AO101" s="80">
        <f>IF(Credit_Assumptions!$C$5=1,AO74,INDEX(Credit_Input!$K$72:$K$131,AO$4))</f>
        <v/>
      </c>
      <c r="AP101" s="80">
        <f>IF(Credit_Assumptions!$C$5=1,AP74,INDEX(Credit_Input!$K$72:$K$131,AP$4))</f>
        <v/>
      </c>
      <c r="AQ101" s="80">
        <f>IF(Credit_Assumptions!$C$5=1,AQ74,INDEX(Credit_Input!$K$72:$K$131,AQ$4))</f>
        <v/>
      </c>
      <c r="AR101" s="80">
        <f>IF(Credit_Assumptions!$C$5=1,AR74,INDEX(Credit_Input!$K$72:$K$131,AR$4))</f>
        <v/>
      </c>
      <c r="AS101" s="80">
        <f>IF(Credit_Assumptions!$C$5=1,AS74,INDEX(Credit_Input!$K$72:$K$131,AS$4))</f>
        <v/>
      </c>
      <c r="AT101" s="80">
        <f>IF(Credit_Assumptions!$C$5=1,AT74,INDEX(Credit_Input!$K$72:$K$131,AT$4))</f>
        <v/>
      </c>
      <c r="AU101" s="80">
        <f>IF(Credit_Assumptions!$C$5=1,AU74,INDEX(Credit_Input!$K$72:$K$131,AU$4))</f>
        <v/>
      </c>
      <c r="AV101" s="80">
        <f>IF(Credit_Assumptions!$C$5=1,AV74,INDEX(Credit_Input!$K$72:$K$131,AV$4))</f>
        <v/>
      </c>
      <c r="AW101" s="80">
        <f>IF(Credit_Assumptions!$C$5=1,AW74,INDEX(Credit_Input!$K$72:$K$131,AW$4))</f>
        <v/>
      </c>
      <c r="AX101" s="80">
        <f>IF(Credit_Assumptions!$C$5=1,AX74,INDEX(Credit_Input!$K$72:$K$131,AX$4))</f>
        <v/>
      </c>
      <c r="AY101" s="80">
        <f>IF(Credit_Assumptions!$C$5=1,AY74,INDEX(Credit_Input!$K$72:$K$131,AY$4))</f>
        <v/>
      </c>
      <c r="AZ101" s="80">
        <f>IF(Credit_Assumptions!$C$5=1,AZ74,INDEX(Credit_Input!$K$72:$K$131,AZ$4))</f>
        <v/>
      </c>
      <c r="BA101" s="80">
        <f>IF(Credit_Assumptions!$C$5=1,BA74,INDEX(Credit_Input!$K$72:$K$131,BA$4))</f>
        <v/>
      </c>
      <c r="BB101" s="80">
        <f>IF(Credit_Assumptions!$C$5=1,BB74,INDEX(Credit_Input!$K$72:$K$131,BB$4))</f>
        <v/>
      </c>
      <c r="BC101" s="80">
        <f>IF(Credit_Assumptions!$C$5=1,BC74,INDEX(Credit_Input!$K$72:$K$131,BC$4))</f>
        <v/>
      </c>
      <c r="BD101" s="80">
        <f>IF(Credit_Assumptions!$C$5=1,BD74,INDEX(Credit_Input!$K$72:$K$131,BD$4))</f>
        <v/>
      </c>
      <c r="BE101" s="80">
        <f>IF(Credit_Assumptions!$C$5=1,BE74,INDEX(Credit_Input!$K$72:$K$131,BE$4))</f>
        <v/>
      </c>
      <c r="BF101" s="80">
        <f>IF(Credit_Assumptions!$C$5=1,BF74,INDEX(Credit_Input!$K$72:$K$131,BF$4))</f>
        <v/>
      </c>
      <c r="BG101" s="80">
        <f>IF(Credit_Assumptions!$C$5=1,BG74,INDEX(Credit_Input!$K$72:$K$131,BG$4))</f>
        <v/>
      </c>
      <c r="BH101" s="80">
        <f>IF(Credit_Assumptions!$C$5=1,BH74,INDEX(Credit_Input!$K$72:$K$131,BH$4))</f>
        <v/>
      </c>
      <c r="BI101" s="80">
        <f>IF(Credit_Assumptions!$C$5=1,BI74,INDEX(Credit_Input!$K$72:$K$131,BI$4))</f>
        <v/>
      </c>
      <c r="BJ101" s="80">
        <f>IF(Credit_Assumptions!$C$5=1,BJ74,INDEX(Credit_Input!$K$72:$K$131,BJ$4))</f>
        <v/>
      </c>
      <c r="BK101" s="80">
        <f>IF(Credit_Assumptions!$C$5=1,BK74,INDEX(Credit_Input!$K$72:$K$131,BK$4))</f>
        <v/>
      </c>
      <c r="BL101" s="80">
        <f>IF(Credit_Assumptions!$C$5=1,BL74,INDEX(Credit_Input!$K$72:$K$131,BL$4))</f>
        <v/>
      </c>
    </row>
    <row r="102">
      <c r="A102" s="98" t="inlineStr">
        <is>
          <t>30+ DPD receivables</t>
        </is>
      </c>
      <c r="B102" s="65" t="inlineStr">
        <is>
          <t>LCY</t>
        </is>
      </c>
      <c r="C102" s="105">
        <f>BL102</f>
        <v/>
      </c>
      <c r="E102" s="80">
        <f>E95*Credit_Assumptions!$G$28+E96*Credit_Assumptions!$G$29+E97*Credit_Assumptions!$G$30+E98*Credit_Assumptions!$G$31+E99*Credit_Assumptions!$G$32+E100*Credit_Assumptions!$G$33</f>
        <v/>
      </c>
      <c r="F102" s="80">
        <f>F95*Credit_Assumptions!$G$28+F96*Credit_Assumptions!$G$29+F97*Credit_Assumptions!$G$30+F98*Credit_Assumptions!$G$31+F99*Credit_Assumptions!$G$32+F100*Credit_Assumptions!$G$33</f>
        <v/>
      </c>
      <c r="G102" s="80">
        <f>G95*Credit_Assumptions!$G$28+G96*Credit_Assumptions!$G$29+G97*Credit_Assumptions!$G$30+G98*Credit_Assumptions!$G$31+G99*Credit_Assumptions!$G$32+G100*Credit_Assumptions!$G$33</f>
        <v/>
      </c>
      <c r="H102" s="80">
        <f>H95*Credit_Assumptions!$G$28+H96*Credit_Assumptions!$G$29+H97*Credit_Assumptions!$G$30+H98*Credit_Assumptions!$G$31+H99*Credit_Assumptions!$G$32+H100*Credit_Assumptions!$G$33</f>
        <v/>
      </c>
      <c r="I102" s="80">
        <f>I95*Credit_Assumptions!$G$28+I96*Credit_Assumptions!$G$29+I97*Credit_Assumptions!$G$30+I98*Credit_Assumptions!$G$31+I99*Credit_Assumptions!$G$32+I100*Credit_Assumptions!$G$33</f>
        <v/>
      </c>
      <c r="J102" s="80">
        <f>J95*Credit_Assumptions!$G$28+J96*Credit_Assumptions!$G$29+J97*Credit_Assumptions!$G$30+J98*Credit_Assumptions!$G$31+J99*Credit_Assumptions!$G$32+J100*Credit_Assumptions!$G$33</f>
        <v/>
      </c>
      <c r="K102" s="80">
        <f>K95*Credit_Assumptions!$G$28+K96*Credit_Assumptions!$G$29+K97*Credit_Assumptions!$G$30+K98*Credit_Assumptions!$G$31+K99*Credit_Assumptions!$G$32+K100*Credit_Assumptions!$G$33</f>
        <v/>
      </c>
      <c r="L102" s="80">
        <f>L95*Credit_Assumptions!$G$28+L96*Credit_Assumptions!$G$29+L97*Credit_Assumptions!$G$30+L98*Credit_Assumptions!$G$31+L99*Credit_Assumptions!$G$32+L100*Credit_Assumptions!$G$33</f>
        <v/>
      </c>
      <c r="M102" s="80">
        <f>M95*Credit_Assumptions!$G$28+M96*Credit_Assumptions!$G$29+M97*Credit_Assumptions!$G$30+M98*Credit_Assumptions!$G$31+M99*Credit_Assumptions!$G$32+M100*Credit_Assumptions!$G$33</f>
        <v/>
      </c>
      <c r="N102" s="80">
        <f>N95*Credit_Assumptions!$G$28+N96*Credit_Assumptions!$G$29+N97*Credit_Assumptions!$G$30+N98*Credit_Assumptions!$G$31+N99*Credit_Assumptions!$G$32+N100*Credit_Assumptions!$G$33</f>
        <v/>
      </c>
      <c r="O102" s="80">
        <f>O95*Credit_Assumptions!$G$28+O96*Credit_Assumptions!$G$29+O97*Credit_Assumptions!$G$30+O98*Credit_Assumptions!$G$31+O99*Credit_Assumptions!$G$32+O100*Credit_Assumptions!$G$33</f>
        <v/>
      </c>
      <c r="P102" s="80">
        <f>P95*Credit_Assumptions!$G$28+P96*Credit_Assumptions!$G$29+P97*Credit_Assumptions!$G$30+P98*Credit_Assumptions!$G$31+P99*Credit_Assumptions!$G$32+P100*Credit_Assumptions!$G$33</f>
        <v/>
      </c>
      <c r="Q102" s="80">
        <f>Q95*Credit_Assumptions!$G$28+Q96*Credit_Assumptions!$G$29+Q97*Credit_Assumptions!$G$30+Q98*Credit_Assumptions!$G$31+Q99*Credit_Assumptions!$G$32+Q100*Credit_Assumptions!$G$33</f>
        <v/>
      </c>
      <c r="R102" s="80">
        <f>R95*Credit_Assumptions!$G$28+R96*Credit_Assumptions!$G$29+R97*Credit_Assumptions!$G$30+R98*Credit_Assumptions!$G$31+R99*Credit_Assumptions!$G$32+R100*Credit_Assumptions!$G$33</f>
        <v/>
      </c>
      <c r="S102" s="80">
        <f>S95*Credit_Assumptions!$G$28+S96*Credit_Assumptions!$G$29+S97*Credit_Assumptions!$G$30+S98*Credit_Assumptions!$G$31+S99*Credit_Assumptions!$G$32+S100*Credit_Assumptions!$G$33</f>
        <v/>
      </c>
      <c r="T102" s="80">
        <f>T95*Credit_Assumptions!$G$28+T96*Credit_Assumptions!$G$29+T97*Credit_Assumptions!$G$30+T98*Credit_Assumptions!$G$31+T99*Credit_Assumptions!$G$32+T100*Credit_Assumptions!$G$33</f>
        <v/>
      </c>
      <c r="U102" s="80">
        <f>U95*Credit_Assumptions!$G$28+U96*Credit_Assumptions!$G$29+U97*Credit_Assumptions!$G$30+U98*Credit_Assumptions!$G$31+U99*Credit_Assumptions!$G$32+U100*Credit_Assumptions!$G$33</f>
        <v/>
      </c>
      <c r="V102" s="80">
        <f>V95*Credit_Assumptions!$G$28+V96*Credit_Assumptions!$G$29+V97*Credit_Assumptions!$G$30+V98*Credit_Assumptions!$G$31+V99*Credit_Assumptions!$G$32+V100*Credit_Assumptions!$G$33</f>
        <v/>
      </c>
      <c r="W102" s="80">
        <f>W95*Credit_Assumptions!$G$28+W96*Credit_Assumptions!$G$29+W97*Credit_Assumptions!$G$30+W98*Credit_Assumptions!$G$31+W99*Credit_Assumptions!$G$32+W100*Credit_Assumptions!$G$33</f>
        <v/>
      </c>
      <c r="X102" s="80">
        <f>X95*Credit_Assumptions!$G$28+X96*Credit_Assumptions!$G$29+X97*Credit_Assumptions!$G$30+X98*Credit_Assumptions!$G$31+X99*Credit_Assumptions!$G$32+X100*Credit_Assumptions!$G$33</f>
        <v/>
      </c>
      <c r="Y102" s="80">
        <f>Y95*Credit_Assumptions!$G$28+Y96*Credit_Assumptions!$G$29+Y97*Credit_Assumptions!$G$30+Y98*Credit_Assumptions!$G$31+Y99*Credit_Assumptions!$G$32+Y100*Credit_Assumptions!$G$33</f>
        <v/>
      </c>
      <c r="Z102" s="80">
        <f>Z95*Credit_Assumptions!$G$28+Z96*Credit_Assumptions!$G$29+Z97*Credit_Assumptions!$G$30+Z98*Credit_Assumptions!$G$31+Z99*Credit_Assumptions!$G$32+Z100*Credit_Assumptions!$G$33</f>
        <v/>
      </c>
      <c r="AA102" s="80">
        <f>AA95*Credit_Assumptions!$G$28+AA96*Credit_Assumptions!$G$29+AA97*Credit_Assumptions!$G$30+AA98*Credit_Assumptions!$G$31+AA99*Credit_Assumptions!$G$32+AA100*Credit_Assumptions!$G$33</f>
        <v/>
      </c>
      <c r="AB102" s="80">
        <f>AB95*Credit_Assumptions!$G$28+AB96*Credit_Assumptions!$G$29+AB97*Credit_Assumptions!$G$30+AB98*Credit_Assumptions!$G$31+AB99*Credit_Assumptions!$G$32+AB100*Credit_Assumptions!$G$33</f>
        <v/>
      </c>
      <c r="AC102" s="80">
        <f>AC95*Credit_Assumptions!$G$28+AC96*Credit_Assumptions!$G$29+AC97*Credit_Assumptions!$G$30+AC98*Credit_Assumptions!$G$31+AC99*Credit_Assumptions!$G$32+AC100*Credit_Assumptions!$G$33</f>
        <v/>
      </c>
      <c r="AD102" s="80">
        <f>AD95*Credit_Assumptions!$G$28+AD96*Credit_Assumptions!$G$29+AD97*Credit_Assumptions!$G$30+AD98*Credit_Assumptions!$G$31+AD99*Credit_Assumptions!$G$32+AD100*Credit_Assumptions!$G$33</f>
        <v/>
      </c>
      <c r="AE102" s="80">
        <f>AE95*Credit_Assumptions!$G$28+AE96*Credit_Assumptions!$G$29+AE97*Credit_Assumptions!$G$30+AE98*Credit_Assumptions!$G$31+AE99*Credit_Assumptions!$G$32+AE100*Credit_Assumptions!$G$33</f>
        <v/>
      </c>
      <c r="AF102" s="80">
        <f>AF95*Credit_Assumptions!$G$28+AF96*Credit_Assumptions!$G$29+AF97*Credit_Assumptions!$G$30+AF98*Credit_Assumptions!$G$31+AF99*Credit_Assumptions!$G$32+AF100*Credit_Assumptions!$G$33</f>
        <v/>
      </c>
      <c r="AG102" s="80">
        <f>AG95*Credit_Assumptions!$G$28+AG96*Credit_Assumptions!$G$29+AG97*Credit_Assumptions!$G$30+AG98*Credit_Assumptions!$G$31+AG99*Credit_Assumptions!$G$32+AG100*Credit_Assumptions!$G$33</f>
        <v/>
      </c>
      <c r="AH102" s="80">
        <f>AH95*Credit_Assumptions!$G$28+AH96*Credit_Assumptions!$G$29+AH97*Credit_Assumptions!$G$30+AH98*Credit_Assumptions!$G$31+AH99*Credit_Assumptions!$G$32+AH100*Credit_Assumptions!$G$33</f>
        <v/>
      </c>
      <c r="AI102" s="80">
        <f>AI95*Credit_Assumptions!$G$28+AI96*Credit_Assumptions!$G$29+AI97*Credit_Assumptions!$G$30+AI98*Credit_Assumptions!$G$31+AI99*Credit_Assumptions!$G$32+AI100*Credit_Assumptions!$G$33</f>
        <v/>
      </c>
      <c r="AJ102" s="80">
        <f>AJ95*Credit_Assumptions!$G$28+AJ96*Credit_Assumptions!$G$29+AJ97*Credit_Assumptions!$G$30+AJ98*Credit_Assumptions!$G$31+AJ99*Credit_Assumptions!$G$32+AJ100*Credit_Assumptions!$G$33</f>
        <v/>
      </c>
      <c r="AK102" s="80">
        <f>AK95*Credit_Assumptions!$G$28+AK96*Credit_Assumptions!$G$29+AK97*Credit_Assumptions!$G$30+AK98*Credit_Assumptions!$G$31+AK99*Credit_Assumptions!$G$32+AK100*Credit_Assumptions!$G$33</f>
        <v/>
      </c>
      <c r="AL102" s="80">
        <f>AL95*Credit_Assumptions!$G$28+AL96*Credit_Assumptions!$G$29+AL97*Credit_Assumptions!$G$30+AL98*Credit_Assumptions!$G$31+AL99*Credit_Assumptions!$G$32+AL100*Credit_Assumptions!$G$33</f>
        <v/>
      </c>
      <c r="AM102" s="80">
        <f>AM95*Credit_Assumptions!$G$28+AM96*Credit_Assumptions!$G$29+AM97*Credit_Assumptions!$G$30+AM98*Credit_Assumptions!$G$31+AM99*Credit_Assumptions!$G$32+AM100*Credit_Assumptions!$G$33</f>
        <v/>
      </c>
      <c r="AN102" s="80">
        <f>AN95*Credit_Assumptions!$G$28+AN96*Credit_Assumptions!$G$29+AN97*Credit_Assumptions!$G$30+AN98*Credit_Assumptions!$G$31+AN99*Credit_Assumptions!$G$32+AN100*Credit_Assumptions!$G$33</f>
        <v/>
      </c>
      <c r="AO102" s="80">
        <f>AO95*Credit_Assumptions!$G$28+AO96*Credit_Assumptions!$G$29+AO97*Credit_Assumptions!$G$30+AO98*Credit_Assumptions!$G$31+AO99*Credit_Assumptions!$G$32+AO100*Credit_Assumptions!$G$33</f>
        <v/>
      </c>
      <c r="AP102" s="80">
        <f>AP95*Credit_Assumptions!$G$28+AP96*Credit_Assumptions!$G$29+AP97*Credit_Assumptions!$G$30+AP98*Credit_Assumptions!$G$31+AP99*Credit_Assumptions!$G$32+AP100*Credit_Assumptions!$G$33</f>
        <v/>
      </c>
      <c r="AQ102" s="80">
        <f>AQ95*Credit_Assumptions!$G$28+AQ96*Credit_Assumptions!$G$29+AQ97*Credit_Assumptions!$G$30+AQ98*Credit_Assumptions!$G$31+AQ99*Credit_Assumptions!$G$32+AQ100*Credit_Assumptions!$G$33</f>
        <v/>
      </c>
      <c r="AR102" s="80">
        <f>AR95*Credit_Assumptions!$G$28+AR96*Credit_Assumptions!$G$29+AR97*Credit_Assumptions!$G$30+AR98*Credit_Assumptions!$G$31+AR99*Credit_Assumptions!$G$32+AR100*Credit_Assumptions!$G$33</f>
        <v/>
      </c>
      <c r="AS102" s="80">
        <f>AS95*Credit_Assumptions!$G$28+AS96*Credit_Assumptions!$G$29+AS97*Credit_Assumptions!$G$30+AS98*Credit_Assumptions!$G$31+AS99*Credit_Assumptions!$G$32+AS100*Credit_Assumptions!$G$33</f>
        <v/>
      </c>
      <c r="AT102" s="80">
        <f>AT95*Credit_Assumptions!$G$28+AT96*Credit_Assumptions!$G$29+AT97*Credit_Assumptions!$G$30+AT98*Credit_Assumptions!$G$31+AT99*Credit_Assumptions!$G$32+AT100*Credit_Assumptions!$G$33</f>
        <v/>
      </c>
      <c r="AU102" s="80">
        <f>AU95*Credit_Assumptions!$G$28+AU96*Credit_Assumptions!$G$29+AU97*Credit_Assumptions!$G$30+AU98*Credit_Assumptions!$G$31+AU99*Credit_Assumptions!$G$32+AU100*Credit_Assumptions!$G$33</f>
        <v/>
      </c>
      <c r="AV102" s="80">
        <f>AV95*Credit_Assumptions!$G$28+AV96*Credit_Assumptions!$G$29+AV97*Credit_Assumptions!$G$30+AV98*Credit_Assumptions!$G$31+AV99*Credit_Assumptions!$G$32+AV100*Credit_Assumptions!$G$33</f>
        <v/>
      </c>
      <c r="AW102" s="80">
        <f>AW95*Credit_Assumptions!$G$28+AW96*Credit_Assumptions!$G$29+AW97*Credit_Assumptions!$G$30+AW98*Credit_Assumptions!$G$31+AW99*Credit_Assumptions!$G$32+AW100*Credit_Assumptions!$G$33</f>
        <v/>
      </c>
      <c r="AX102" s="80">
        <f>AX95*Credit_Assumptions!$G$28+AX96*Credit_Assumptions!$G$29+AX97*Credit_Assumptions!$G$30+AX98*Credit_Assumptions!$G$31+AX99*Credit_Assumptions!$G$32+AX100*Credit_Assumptions!$G$33</f>
        <v/>
      </c>
      <c r="AY102" s="80">
        <f>AY95*Credit_Assumptions!$G$28+AY96*Credit_Assumptions!$G$29+AY97*Credit_Assumptions!$G$30+AY98*Credit_Assumptions!$G$31+AY99*Credit_Assumptions!$G$32+AY100*Credit_Assumptions!$G$33</f>
        <v/>
      </c>
      <c r="AZ102" s="80">
        <f>AZ95*Credit_Assumptions!$G$28+AZ96*Credit_Assumptions!$G$29+AZ97*Credit_Assumptions!$G$30+AZ98*Credit_Assumptions!$G$31+AZ99*Credit_Assumptions!$G$32+AZ100*Credit_Assumptions!$G$33</f>
        <v/>
      </c>
      <c r="BA102" s="80">
        <f>BA95*Credit_Assumptions!$G$28+BA96*Credit_Assumptions!$G$29+BA97*Credit_Assumptions!$G$30+BA98*Credit_Assumptions!$G$31+BA99*Credit_Assumptions!$G$32+BA100*Credit_Assumptions!$G$33</f>
        <v/>
      </c>
      <c r="BB102" s="80">
        <f>BB95*Credit_Assumptions!$G$28+BB96*Credit_Assumptions!$G$29+BB97*Credit_Assumptions!$G$30+BB98*Credit_Assumptions!$G$31+BB99*Credit_Assumptions!$G$32+BB100*Credit_Assumptions!$G$33</f>
        <v/>
      </c>
      <c r="BC102" s="80">
        <f>BC95*Credit_Assumptions!$G$28+BC96*Credit_Assumptions!$G$29+BC97*Credit_Assumptions!$G$30+BC98*Credit_Assumptions!$G$31+BC99*Credit_Assumptions!$G$32+BC100*Credit_Assumptions!$G$33</f>
        <v/>
      </c>
      <c r="BD102" s="80">
        <f>BD95*Credit_Assumptions!$G$28+BD96*Credit_Assumptions!$G$29+BD97*Credit_Assumptions!$G$30+BD98*Credit_Assumptions!$G$31+BD99*Credit_Assumptions!$G$32+BD100*Credit_Assumptions!$G$33</f>
        <v/>
      </c>
      <c r="BE102" s="80">
        <f>BE95*Credit_Assumptions!$G$28+BE96*Credit_Assumptions!$G$29+BE97*Credit_Assumptions!$G$30+BE98*Credit_Assumptions!$G$31+BE99*Credit_Assumptions!$G$32+BE100*Credit_Assumptions!$G$33</f>
        <v/>
      </c>
      <c r="BF102" s="80">
        <f>BF95*Credit_Assumptions!$G$28+BF96*Credit_Assumptions!$G$29+BF97*Credit_Assumptions!$G$30+BF98*Credit_Assumptions!$G$31+BF99*Credit_Assumptions!$G$32+BF100*Credit_Assumptions!$G$33</f>
        <v/>
      </c>
      <c r="BG102" s="80">
        <f>BG95*Credit_Assumptions!$G$28+BG96*Credit_Assumptions!$G$29+BG97*Credit_Assumptions!$G$30+BG98*Credit_Assumptions!$G$31+BG99*Credit_Assumptions!$G$32+BG100*Credit_Assumptions!$G$33</f>
        <v/>
      </c>
      <c r="BH102" s="80">
        <f>BH95*Credit_Assumptions!$G$28+BH96*Credit_Assumptions!$G$29+BH97*Credit_Assumptions!$G$30+BH98*Credit_Assumptions!$G$31+BH99*Credit_Assumptions!$G$32+BH100*Credit_Assumptions!$G$33</f>
        <v/>
      </c>
      <c r="BI102" s="80">
        <f>BI95*Credit_Assumptions!$G$28+BI96*Credit_Assumptions!$G$29+BI97*Credit_Assumptions!$G$30+BI98*Credit_Assumptions!$G$31+BI99*Credit_Assumptions!$G$32+BI100*Credit_Assumptions!$G$33</f>
        <v/>
      </c>
      <c r="BJ102" s="80">
        <f>BJ95*Credit_Assumptions!$G$28+BJ96*Credit_Assumptions!$G$29+BJ97*Credit_Assumptions!$G$30+BJ98*Credit_Assumptions!$G$31+BJ99*Credit_Assumptions!$G$32+BJ100*Credit_Assumptions!$G$33</f>
        <v/>
      </c>
      <c r="BK102" s="80">
        <f>BK95*Credit_Assumptions!$G$28+BK96*Credit_Assumptions!$G$29+BK97*Credit_Assumptions!$G$30+BK98*Credit_Assumptions!$G$31+BK99*Credit_Assumptions!$G$32+BK100*Credit_Assumptions!$G$33</f>
        <v/>
      </c>
      <c r="BL102" s="80">
        <f>BL95*Credit_Assumptions!$G$28+BL96*Credit_Assumptions!$G$29+BL97*Credit_Assumptions!$G$30+BL98*Credit_Assumptions!$G$31+BL99*Credit_Assumptions!$G$32+BL100*Credit_Assumptions!$G$33</f>
        <v/>
      </c>
    </row>
    <row r="103">
      <c r="A103" s="98" t="inlineStr">
        <is>
          <t>90+ DPD receivables</t>
        </is>
      </c>
      <c r="B103" s="65" t="inlineStr">
        <is>
          <t>LCY</t>
        </is>
      </c>
      <c r="C103" s="105">
        <f>BL103</f>
        <v/>
      </c>
      <c r="E103" s="80">
        <f>E95*Credit_Assumptions!$H$28+E96*Credit_Assumptions!$H$29+E97*Credit_Assumptions!$H$30+E98*Credit_Assumptions!$H$31+E99*Credit_Assumptions!$H$32+E100*Credit_Assumptions!$H$33</f>
        <v/>
      </c>
      <c r="F103" s="80">
        <f>F95*Credit_Assumptions!$H$28+F96*Credit_Assumptions!$H$29+F97*Credit_Assumptions!$H$30+F98*Credit_Assumptions!$H$31+F99*Credit_Assumptions!$H$32+F100*Credit_Assumptions!$H$33</f>
        <v/>
      </c>
      <c r="G103" s="80">
        <f>G95*Credit_Assumptions!$H$28+G96*Credit_Assumptions!$H$29+G97*Credit_Assumptions!$H$30+G98*Credit_Assumptions!$H$31+G99*Credit_Assumptions!$H$32+G100*Credit_Assumptions!$H$33</f>
        <v/>
      </c>
      <c r="H103" s="80">
        <f>H95*Credit_Assumptions!$H$28+H96*Credit_Assumptions!$H$29+H97*Credit_Assumptions!$H$30+H98*Credit_Assumptions!$H$31+H99*Credit_Assumptions!$H$32+H100*Credit_Assumptions!$H$33</f>
        <v/>
      </c>
      <c r="I103" s="80">
        <f>I95*Credit_Assumptions!$H$28+I96*Credit_Assumptions!$H$29+I97*Credit_Assumptions!$H$30+I98*Credit_Assumptions!$H$31+I99*Credit_Assumptions!$H$32+I100*Credit_Assumptions!$H$33</f>
        <v/>
      </c>
      <c r="J103" s="80">
        <f>J95*Credit_Assumptions!$H$28+J96*Credit_Assumptions!$H$29+J97*Credit_Assumptions!$H$30+J98*Credit_Assumptions!$H$31+J99*Credit_Assumptions!$H$32+J100*Credit_Assumptions!$H$33</f>
        <v/>
      </c>
      <c r="K103" s="80">
        <f>K95*Credit_Assumptions!$H$28+K96*Credit_Assumptions!$H$29+K97*Credit_Assumptions!$H$30+K98*Credit_Assumptions!$H$31+K99*Credit_Assumptions!$H$32+K100*Credit_Assumptions!$H$33</f>
        <v/>
      </c>
      <c r="L103" s="80">
        <f>L95*Credit_Assumptions!$H$28+L96*Credit_Assumptions!$H$29+L97*Credit_Assumptions!$H$30+L98*Credit_Assumptions!$H$31+L99*Credit_Assumptions!$H$32+L100*Credit_Assumptions!$H$33</f>
        <v/>
      </c>
      <c r="M103" s="80">
        <f>M95*Credit_Assumptions!$H$28+M96*Credit_Assumptions!$H$29+M97*Credit_Assumptions!$H$30+M98*Credit_Assumptions!$H$31+M99*Credit_Assumptions!$H$32+M100*Credit_Assumptions!$H$33</f>
        <v/>
      </c>
      <c r="N103" s="80">
        <f>N95*Credit_Assumptions!$H$28+N96*Credit_Assumptions!$H$29+N97*Credit_Assumptions!$H$30+N98*Credit_Assumptions!$H$31+N99*Credit_Assumptions!$H$32+N100*Credit_Assumptions!$H$33</f>
        <v/>
      </c>
      <c r="O103" s="80">
        <f>O95*Credit_Assumptions!$H$28+O96*Credit_Assumptions!$H$29+O97*Credit_Assumptions!$H$30+O98*Credit_Assumptions!$H$31+O99*Credit_Assumptions!$H$32+O100*Credit_Assumptions!$H$33</f>
        <v/>
      </c>
      <c r="P103" s="80">
        <f>P95*Credit_Assumptions!$H$28+P96*Credit_Assumptions!$H$29+P97*Credit_Assumptions!$H$30+P98*Credit_Assumptions!$H$31+P99*Credit_Assumptions!$H$32+P100*Credit_Assumptions!$H$33</f>
        <v/>
      </c>
      <c r="Q103" s="80">
        <f>Q95*Credit_Assumptions!$H$28+Q96*Credit_Assumptions!$H$29+Q97*Credit_Assumptions!$H$30+Q98*Credit_Assumptions!$H$31+Q99*Credit_Assumptions!$H$32+Q100*Credit_Assumptions!$H$33</f>
        <v/>
      </c>
      <c r="R103" s="80">
        <f>R95*Credit_Assumptions!$H$28+R96*Credit_Assumptions!$H$29+R97*Credit_Assumptions!$H$30+R98*Credit_Assumptions!$H$31+R99*Credit_Assumptions!$H$32+R100*Credit_Assumptions!$H$33</f>
        <v/>
      </c>
      <c r="S103" s="80">
        <f>S95*Credit_Assumptions!$H$28+S96*Credit_Assumptions!$H$29+S97*Credit_Assumptions!$H$30+S98*Credit_Assumptions!$H$31+S99*Credit_Assumptions!$H$32+S100*Credit_Assumptions!$H$33</f>
        <v/>
      </c>
      <c r="T103" s="80">
        <f>T95*Credit_Assumptions!$H$28+T96*Credit_Assumptions!$H$29+T97*Credit_Assumptions!$H$30+T98*Credit_Assumptions!$H$31+T99*Credit_Assumptions!$H$32+T100*Credit_Assumptions!$H$33</f>
        <v/>
      </c>
      <c r="U103" s="80">
        <f>U95*Credit_Assumptions!$H$28+U96*Credit_Assumptions!$H$29+U97*Credit_Assumptions!$H$30+U98*Credit_Assumptions!$H$31+U99*Credit_Assumptions!$H$32+U100*Credit_Assumptions!$H$33</f>
        <v/>
      </c>
      <c r="V103" s="80">
        <f>V95*Credit_Assumptions!$H$28+V96*Credit_Assumptions!$H$29+V97*Credit_Assumptions!$H$30+V98*Credit_Assumptions!$H$31+V99*Credit_Assumptions!$H$32+V100*Credit_Assumptions!$H$33</f>
        <v/>
      </c>
      <c r="W103" s="80">
        <f>W95*Credit_Assumptions!$H$28+W96*Credit_Assumptions!$H$29+W97*Credit_Assumptions!$H$30+W98*Credit_Assumptions!$H$31+W99*Credit_Assumptions!$H$32+W100*Credit_Assumptions!$H$33</f>
        <v/>
      </c>
      <c r="X103" s="80">
        <f>X95*Credit_Assumptions!$H$28+X96*Credit_Assumptions!$H$29+X97*Credit_Assumptions!$H$30+X98*Credit_Assumptions!$H$31+X99*Credit_Assumptions!$H$32+X100*Credit_Assumptions!$H$33</f>
        <v/>
      </c>
      <c r="Y103" s="80">
        <f>Y95*Credit_Assumptions!$H$28+Y96*Credit_Assumptions!$H$29+Y97*Credit_Assumptions!$H$30+Y98*Credit_Assumptions!$H$31+Y99*Credit_Assumptions!$H$32+Y100*Credit_Assumptions!$H$33</f>
        <v/>
      </c>
      <c r="Z103" s="80">
        <f>Z95*Credit_Assumptions!$H$28+Z96*Credit_Assumptions!$H$29+Z97*Credit_Assumptions!$H$30+Z98*Credit_Assumptions!$H$31+Z99*Credit_Assumptions!$H$32+Z100*Credit_Assumptions!$H$33</f>
        <v/>
      </c>
      <c r="AA103" s="80">
        <f>AA95*Credit_Assumptions!$H$28+AA96*Credit_Assumptions!$H$29+AA97*Credit_Assumptions!$H$30+AA98*Credit_Assumptions!$H$31+AA99*Credit_Assumptions!$H$32+AA100*Credit_Assumptions!$H$33</f>
        <v/>
      </c>
      <c r="AB103" s="80">
        <f>AB95*Credit_Assumptions!$H$28+AB96*Credit_Assumptions!$H$29+AB97*Credit_Assumptions!$H$30+AB98*Credit_Assumptions!$H$31+AB99*Credit_Assumptions!$H$32+AB100*Credit_Assumptions!$H$33</f>
        <v/>
      </c>
      <c r="AC103" s="80">
        <f>AC95*Credit_Assumptions!$H$28+AC96*Credit_Assumptions!$H$29+AC97*Credit_Assumptions!$H$30+AC98*Credit_Assumptions!$H$31+AC99*Credit_Assumptions!$H$32+AC100*Credit_Assumptions!$H$33</f>
        <v/>
      </c>
      <c r="AD103" s="80">
        <f>AD95*Credit_Assumptions!$H$28+AD96*Credit_Assumptions!$H$29+AD97*Credit_Assumptions!$H$30+AD98*Credit_Assumptions!$H$31+AD99*Credit_Assumptions!$H$32+AD100*Credit_Assumptions!$H$33</f>
        <v/>
      </c>
      <c r="AE103" s="80">
        <f>AE95*Credit_Assumptions!$H$28+AE96*Credit_Assumptions!$H$29+AE97*Credit_Assumptions!$H$30+AE98*Credit_Assumptions!$H$31+AE99*Credit_Assumptions!$H$32+AE100*Credit_Assumptions!$H$33</f>
        <v/>
      </c>
      <c r="AF103" s="80">
        <f>AF95*Credit_Assumptions!$H$28+AF96*Credit_Assumptions!$H$29+AF97*Credit_Assumptions!$H$30+AF98*Credit_Assumptions!$H$31+AF99*Credit_Assumptions!$H$32+AF100*Credit_Assumptions!$H$33</f>
        <v/>
      </c>
      <c r="AG103" s="80">
        <f>AG95*Credit_Assumptions!$H$28+AG96*Credit_Assumptions!$H$29+AG97*Credit_Assumptions!$H$30+AG98*Credit_Assumptions!$H$31+AG99*Credit_Assumptions!$H$32+AG100*Credit_Assumptions!$H$33</f>
        <v/>
      </c>
      <c r="AH103" s="80">
        <f>AH95*Credit_Assumptions!$H$28+AH96*Credit_Assumptions!$H$29+AH97*Credit_Assumptions!$H$30+AH98*Credit_Assumptions!$H$31+AH99*Credit_Assumptions!$H$32+AH100*Credit_Assumptions!$H$33</f>
        <v/>
      </c>
      <c r="AI103" s="80">
        <f>AI95*Credit_Assumptions!$H$28+AI96*Credit_Assumptions!$H$29+AI97*Credit_Assumptions!$H$30+AI98*Credit_Assumptions!$H$31+AI99*Credit_Assumptions!$H$32+AI100*Credit_Assumptions!$H$33</f>
        <v/>
      </c>
      <c r="AJ103" s="80">
        <f>AJ95*Credit_Assumptions!$H$28+AJ96*Credit_Assumptions!$H$29+AJ97*Credit_Assumptions!$H$30+AJ98*Credit_Assumptions!$H$31+AJ99*Credit_Assumptions!$H$32+AJ100*Credit_Assumptions!$H$33</f>
        <v/>
      </c>
      <c r="AK103" s="80">
        <f>AK95*Credit_Assumptions!$H$28+AK96*Credit_Assumptions!$H$29+AK97*Credit_Assumptions!$H$30+AK98*Credit_Assumptions!$H$31+AK99*Credit_Assumptions!$H$32+AK100*Credit_Assumptions!$H$33</f>
        <v/>
      </c>
      <c r="AL103" s="80">
        <f>AL95*Credit_Assumptions!$H$28+AL96*Credit_Assumptions!$H$29+AL97*Credit_Assumptions!$H$30+AL98*Credit_Assumptions!$H$31+AL99*Credit_Assumptions!$H$32+AL100*Credit_Assumptions!$H$33</f>
        <v/>
      </c>
      <c r="AM103" s="80">
        <f>AM95*Credit_Assumptions!$H$28+AM96*Credit_Assumptions!$H$29+AM97*Credit_Assumptions!$H$30+AM98*Credit_Assumptions!$H$31+AM99*Credit_Assumptions!$H$32+AM100*Credit_Assumptions!$H$33</f>
        <v/>
      </c>
      <c r="AN103" s="80">
        <f>AN95*Credit_Assumptions!$H$28+AN96*Credit_Assumptions!$H$29+AN97*Credit_Assumptions!$H$30+AN98*Credit_Assumptions!$H$31+AN99*Credit_Assumptions!$H$32+AN100*Credit_Assumptions!$H$33</f>
        <v/>
      </c>
      <c r="AO103" s="80">
        <f>AO95*Credit_Assumptions!$H$28+AO96*Credit_Assumptions!$H$29+AO97*Credit_Assumptions!$H$30+AO98*Credit_Assumptions!$H$31+AO99*Credit_Assumptions!$H$32+AO100*Credit_Assumptions!$H$33</f>
        <v/>
      </c>
      <c r="AP103" s="80">
        <f>AP95*Credit_Assumptions!$H$28+AP96*Credit_Assumptions!$H$29+AP97*Credit_Assumptions!$H$30+AP98*Credit_Assumptions!$H$31+AP99*Credit_Assumptions!$H$32+AP100*Credit_Assumptions!$H$33</f>
        <v/>
      </c>
      <c r="AQ103" s="80">
        <f>AQ95*Credit_Assumptions!$H$28+AQ96*Credit_Assumptions!$H$29+AQ97*Credit_Assumptions!$H$30+AQ98*Credit_Assumptions!$H$31+AQ99*Credit_Assumptions!$H$32+AQ100*Credit_Assumptions!$H$33</f>
        <v/>
      </c>
      <c r="AR103" s="80">
        <f>AR95*Credit_Assumptions!$H$28+AR96*Credit_Assumptions!$H$29+AR97*Credit_Assumptions!$H$30+AR98*Credit_Assumptions!$H$31+AR99*Credit_Assumptions!$H$32+AR100*Credit_Assumptions!$H$33</f>
        <v/>
      </c>
      <c r="AS103" s="80">
        <f>AS95*Credit_Assumptions!$H$28+AS96*Credit_Assumptions!$H$29+AS97*Credit_Assumptions!$H$30+AS98*Credit_Assumptions!$H$31+AS99*Credit_Assumptions!$H$32+AS100*Credit_Assumptions!$H$33</f>
        <v/>
      </c>
      <c r="AT103" s="80">
        <f>AT95*Credit_Assumptions!$H$28+AT96*Credit_Assumptions!$H$29+AT97*Credit_Assumptions!$H$30+AT98*Credit_Assumptions!$H$31+AT99*Credit_Assumptions!$H$32+AT100*Credit_Assumptions!$H$33</f>
        <v/>
      </c>
      <c r="AU103" s="80">
        <f>AU95*Credit_Assumptions!$H$28+AU96*Credit_Assumptions!$H$29+AU97*Credit_Assumptions!$H$30+AU98*Credit_Assumptions!$H$31+AU99*Credit_Assumptions!$H$32+AU100*Credit_Assumptions!$H$33</f>
        <v/>
      </c>
      <c r="AV103" s="80">
        <f>AV95*Credit_Assumptions!$H$28+AV96*Credit_Assumptions!$H$29+AV97*Credit_Assumptions!$H$30+AV98*Credit_Assumptions!$H$31+AV99*Credit_Assumptions!$H$32+AV100*Credit_Assumptions!$H$33</f>
        <v/>
      </c>
      <c r="AW103" s="80">
        <f>AW95*Credit_Assumptions!$H$28+AW96*Credit_Assumptions!$H$29+AW97*Credit_Assumptions!$H$30+AW98*Credit_Assumptions!$H$31+AW99*Credit_Assumptions!$H$32+AW100*Credit_Assumptions!$H$33</f>
        <v/>
      </c>
      <c r="AX103" s="80">
        <f>AX95*Credit_Assumptions!$H$28+AX96*Credit_Assumptions!$H$29+AX97*Credit_Assumptions!$H$30+AX98*Credit_Assumptions!$H$31+AX99*Credit_Assumptions!$H$32+AX100*Credit_Assumptions!$H$33</f>
        <v/>
      </c>
      <c r="AY103" s="80">
        <f>AY95*Credit_Assumptions!$H$28+AY96*Credit_Assumptions!$H$29+AY97*Credit_Assumptions!$H$30+AY98*Credit_Assumptions!$H$31+AY99*Credit_Assumptions!$H$32+AY100*Credit_Assumptions!$H$33</f>
        <v/>
      </c>
      <c r="AZ103" s="80">
        <f>AZ95*Credit_Assumptions!$H$28+AZ96*Credit_Assumptions!$H$29+AZ97*Credit_Assumptions!$H$30+AZ98*Credit_Assumptions!$H$31+AZ99*Credit_Assumptions!$H$32+AZ100*Credit_Assumptions!$H$33</f>
        <v/>
      </c>
      <c r="BA103" s="80">
        <f>BA95*Credit_Assumptions!$H$28+BA96*Credit_Assumptions!$H$29+BA97*Credit_Assumptions!$H$30+BA98*Credit_Assumptions!$H$31+BA99*Credit_Assumptions!$H$32+BA100*Credit_Assumptions!$H$33</f>
        <v/>
      </c>
      <c r="BB103" s="80">
        <f>BB95*Credit_Assumptions!$H$28+BB96*Credit_Assumptions!$H$29+BB97*Credit_Assumptions!$H$30+BB98*Credit_Assumptions!$H$31+BB99*Credit_Assumptions!$H$32+BB100*Credit_Assumptions!$H$33</f>
        <v/>
      </c>
      <c r="BC103" s="80">
        <f>BC95*Credit_Assumptions!$H$28+BC96*Credit_Assumptions!$H$29+BC97*Credit_Assumptions!$H$30+BC98*Credit_Assumptions!$H$31+BC99*Credit_Assumptions!$H$32+BC100*Credit_Assumptions!$H$33</f>
        <v/>
      </c>
      <c r="BD103" s="80">
        <f>BD95*Credit_Assumptions!$H$28+BD96*Credit_Assumptions!$H$29+BD97*Credit_Assumptions!$H$30+BD98*Credit_Assumptions!$H$31+BD99*Credit_Assumptions!$H$32+BD100*Credit_Assumptions!$H$33</f>
        <v/>
      </c>
      <c r="BE103" s="80">
        <f>BE95*Credit_Assumptions!$H$28+BE96*Credit_Assumptions!$H$29+BE97*Credit_Assumptions!$H$30+BE98*Credit_Assumptions!$H$31+BE99*Credit_Assumptions!$H$32+BE100*Credit_Assumptions!$H$33</f>
        <v/>
      </c>
      <c r="BF103" s="80">
        <f>BF95*Credit_Assumptions!$H$28+BF96*Credit_Assumptions!$H$29+BF97*Credit_Assumptions!$H$30+BF98*Credit_Assumptions!$H$31+BF99*Credit_Assumptions!$H$32+BF100*Credit_Assumptions!$H$33</f>
        <v/>
      </c>
      <c r="BG103" s="80">
        <f>BG95*Credit_Assumptions!$H$28+BG96*Credit_Assumptions!$H$29+BG97*Credit_Assumptions!$H$30+BG98*Credit_Assumptions!$H$31+BG99*Credit_Assumptions!$H$32+BG100*Credit_Assumptions!$H$33</f>
        <v/>
      </c>
      <c r="BH103" s="80">
        <f>BH95*Credit_Assumptions!$H$28+BH96*Credit_Assumptions!$H$29+BH97*Credit_Assumptions!$H$30+BH98*Credit_Assumptions!$H$31+BH99*Credit_Assumptions!$H$32+BH100*Credit_Assumptions!$H$33</f>
        <v/>
      </c>
      <c r="BI103" s="80">
        <f>BI95*Credit_Assumptions!$H$28+BI96*Credit_Assumptions!$H$29+BI97*Credit_Assumptions!$H$30+BI98*Credit_Assumptions!$H$31+BI99*Credit_Assumptions!$H$32+BI100*Credit_Assumptions!$H$33</f>
        <v/>
      </c>
      <c r="BJ103" s="80">
        <f>BJ95*Credit_Assumptions!$H$28+BJ96*Credit_Assumptions!$H$29+BJ97*Credit_Assumptions!$H$30+BJ98*Credit_Assumptions!$H$31+BJ99*Credit_Assumptions!$H$32+BJ100*Credit_Assumptions!$H$33</f>
        <v/>
      </c>
      <c r="BK103" s="80">
        <f>BK95*Credit_Assumptions!$H$28+BK96*Credit_Assumptions!$H$29+BK97*Credit_Assumptions!$H$30+BK98*Credit_Assumptions!$H$31+BK99*Credit_Assumptions!$H$32+BK100*Credit_Assumptions!$H$33</f>
        <v/>
      </c>
      <c r="BL103" s="80">
        <f>BL95*Credit_Assumptions!$H$28+BL96*Credit_Assumptions!$H$29+BL97*Credit_Assumptions!$H$30+BL98*Credit_Assumptions!$H$31+BL99*Credit_Assumptions!$H$32+BL100*Credit_Assumptions!$H$33</f>
        <v/>
      </c>
    </row>
    <row r="104">
      <c r="A104" s="98" t="inlineStr">
        <is>
          <t>Gross resale proceeds</t>
        </is>
      </c>
      <c r="B104" s="65" t="inlineStr">
        <is>
          <t>LCY</t>
        </is>
      </c>
      <c r="C104" s="105">
        <f>SUM(E104:BL104)</f>
        <v/>
      </c>
      <c r="E104" s="80">
        <f>IF(Credit_Assumptions!$C$5=1,E77,INDEX(Credit_Input!$M$72:$M$131,E$4))</f>
        <v/>
      </c>
      <c r="F104" s="80">
        <f>IF(Credit_Assumptions!$C$5=1,F77,INDEX(Credit_Input!$M$72:$M$131,F$4))</f>
        <v/>
      </c>
      <c r="G104" s="80">
        <f>IF(Credit_Assumptions!$C$5=1,G77,INDEX(Credit_Input!$M$72:$M$131,G$4))</f>
        <v/>
      </c>
      <c r="H104" s="80">
        <f>IF(Credit_Assumptions!$C$5=1,H77,INDEX(Credit_Input!$M$72:$M$131,H$4))</f>
        <v/>
      </c>
      <c r="I104" s="80">
        <f>IF(Credit_Assumptions!$C$5=1,I77,INDEX(Credit_Input!$M$72:$M$131,I$4))</f>
        <v/>
      </c>
      <c r="J104" s="80">
        <f>IF(Credit_Assumptions!$C$5=1,J77,INDEX(Credit_Input!$M$72:$M$131,J$4))</f>
        <v/>
      </c>
      <c r="K104" s="80">
        <f>IF(Credit_Assumptions!$C$5=1,K77,INDEX(Credit_Input!$M$72:$M$131,K$4))</f>
        <v/>
      </c>
      <c r="L104" s="80">
        <f>IF(Credit_Assumptions!$C$5=1,L77,INDEX(Credit_Input!$M$72:$M$131,L$4))</f>
        <v/>
      </c>
      <c r="M104" s="80">
        <f>IF(Credit_Assumptions!$C$5=1,M77,INDEX(Credit_Input!$M$72:$M$131,M$4))</f>
        <v/>
      </c>
      <c r="N104" s="80">
        <f>IF(Credit_Assumptions!$C$5=1,N77,INDEX(Credit_Input!$M$72:$M$131,N$4))</f>
        <v/>
      </c>
      <c r="O104" s="80">
        <f>IF(Credit_Assumptions!$C$5=1,O77,INDEX(Credit_Input!$M$72:$M$131,O$4))</f>
        <v/>
      </c>
      <c r="P104" s="80">
        <f>IF(Credit_Assumptions!$C$5=1,P77,INDEX(Credit_Input!$M$72:$M$131,P$4))</f>
        <v/>
      </c>
      <c r="Q104" s="80">
        <f>IF(Credit_Assumptions!$C$5=1,Q77,INDEX(Credit_Input!$M$72:$M$131,Q$4))</f>
        <v/>
      </c>
      <c r="R104" s="80">
        <f>IF(Credit_Assumptions!$C$5=1,R77,INDEX(Credit_Input!$M$72:$M$131,R$4))</f>
        <v/>
      </c>
      <c r="S104" s="80">
        <f>IF(Credit_Assumptions!$C$5=1,S77,INDEX(Credit_Input!$M$72:$M$131,S$4))</f>
        <v/>
      </c>
      <c r="T104" s="80">
        <f>IF(Credit_Assumptions!$C$5=1,T77,INDEX(Credit_Input!$M$72:$M$131,T$4))</f>
        <v/>
      </c>
      <c r="U104" s="80">
        <f>IF(Credit_Assumptions!$C$5=1,U77,INDEX(Credit_Input!$M$72:$M$131,U$4))</f>
        <v/>
      </c>
      <c r="V104" s="80">
        <f>IF(Credit_Assumptions!$C$5=1,V77,INDEX(Credit_Input!$M$72:$M$131,V$4))</f>
        <v/>
      </c>
      <c r="W104" s="80">
        <f>IF(Credit_Assumptions!$C$5=1,W77,INDEX(Credit_Input!$M$72:$M$131,W$4))</f>
        <v/>
      </c>
      <c r="X104" s="80">
        <f>IF(Credit_Assumptions!$C$5=1,X77,INDEX(Credit_Input!$M$72:$M$131,X$4))</f>
        <v/>
      </c>
      <c r="Y104" s="80">
        <f>IF(Credit_Assumptions!$C$5=1,Y77,INDEX(Credit_Input!$M$72:$M$131,Y$4))</f>
        <v/>
      </c>
      <c r="Z104" s="80">
        <f>IF(Credit_Assumptions!$C$5=1,Z77,INDEX(Credit_Input!$M$72:$M$131,Z$4))</f>
        <v/>
      </c>
      <c r="AA104" s="80">
        <f>IF(Credit_Assumptions!$C$5=1,AA77,INDEX(Credit_Input!$M$72:$M$131,AA$4))</f>
        <v/>
      </c>
      <c r="AB104" s="80">
        <f>IF(Credit_Assumptions!$C$5=1,AB77,INDEX(Credit_Input!$M$72:$M$131,AB$4))</f>
        <v/>
      </c>
      <c r="AC104" s="80">
        <f>IF(Credit_Assumptions!$C$5=1,AC77,INDEX(Credit_Input!$M$72:$M$131,AC$4))</f>
        <v/>
      </c>
      <c r="AD104" s="80">
        <f>IF(Credit_Assumptions!$C$5=1,AD77,INDEX(Credit_Input!$M$72:$M$131,AD$4))</f>
        <v/>
      </c>
      <c r="AE104" s="80">
        <f>IF(Credit_Assumptions!$C$5=1,AE77,INDEX(Credit_Input!$M$72:$M$131,AE$4))</f>
        <v/>
      </c>
      <c r="AF104" s="80">
        <f>IF(Credit_Assumptions!$C$5=1,AF77,INDEX(Credit_Input!$M$72:$M$131,AF$4))</f>
        <v/>
      </c>
      <c r="AG104" s="80">
        <f>IF(Credit_Assumptions!$C$5=1,AG77,INDEX(Credit_Input!$M$72:$M$131,AG$4))</f>
        <v/>
      </c>
      <c r="AH104" s="80">
        <f>IF(Credit_Assumptions!$C$5=1,AH77,INDEX(Credit_Input!$M$72:$M$131,AH$4))</f>
        <v/>
      </c>
      <c r="AI104" s="80">
        <f>IF(Credit_Assumptions!$C$5=1,AI77,INDEX(Credit_Input!$M$72:$M$131,AI$4))</f>
        <v/>
      </c>
      <c r="AJ104" s="80">
        <f>IF(Credit_Assumptions!$C$5=1,AJ77,INDEX(Credit_Input!$M$72:$M$131,AJ$4))</f>
        <v/>
      </c>
      <c r="AK104" s="80">
        <f>IF(Credit_Assumptions!$C$5=1,AK77,INDEX(Credit_Input!$M$72:$M$131,AK$4))</f>
        <v/>
      </c>
      <c r="AL104" s="80">
        <f>IF(Credit_Assumptions!$C$5=1,AL77,INDEX(Credit_Input!$M$72:$M$131,AL$4))</f>
        <v/>
      </c>
      <c r="AM104" s="80">
        <f>IF(Credit_Assumptions!$C$5=1,AM77,INDEX(Credit_Input!$M$72:$M$131,AM$4))</f>
        <v/>
      </c>
      <c r="AN104" s="80">
        <f>IF(Credit_Assumptions!$C$5=1,AN77,INDEX(Credit_Input!$M$72:$M$131,AN$4))</f>
        <v/>
      </c>
      <c r="AO104" s="80">
        <f>IF(Credit_Assumptions!$C$5=1,AO77,INDEX(Credit_Input!$M$72:$M$131,AO$4))</f>
        <v/>
      </c>
      <c r="AP104" s="80">
        <f>IF(Credit_Assumptions!$C$5=1,AP77,INDEX(Credit_Input!$M$72:$M$131,AP$4))</f>
        <v/>
      </c>
      <c r="AQ104" s="80">
        <f>IF(Credit_Assumptions!$C$5=1,AQ77,INDEX(Credit_Input!$M$72:$M$131,AQ$4))</f>
        <v/>
      </c>
      <c r="AR104" s="80">
        <f>IF(Credit_Assumptions!$C$5=1,AR77,INDEX(Credit_Input!$M$72:$M$131,AR$4))</f>
        <v/>
      </c>
      <c r="AS104" s="80">
        <f>IF(Credit_Assumptions!$C$5=1,AS77,INDEX(Credit_Input!$M$72:$M$131,AS$4))</f>
        <v/>
      </c>
      <c r="AT104" s="80">
        <f>IF(Credit_Assumptions!$C$5=1,AT77,INDEX(Credit_Input!$M$72:$M$131,AT$4))</f>
        <v/>
      </c>
      <c r="AU104" s="80">
        <f>IF(Credit_Assumptions!$C$5=1,AU77,INDEX(Credit_Input!$M$72:$M$131,AU$4))</f>
        <v/>
      </c>
      <c r="AV104" s="80">
        <f>IF(Credit_Assumptions!$C$5=1,AV77,INDEX(Credit_Input!$M$72:$M$131,AV$4))</f>
        <v/>
      </c>
      <c r="AW104" s="80">
        <f>IF(Credit_Assumptions!$C$5=1,AW77,INDEX(Credit_Input!$M$72:$M$131,AW$4))</f>
        <v/>
      </c>
      <c r="AX104" s="80">
        <f>IF(Credit_Assumptions!$C$5=1,AX77,INDEX(Credit_Input!$M$72:$M$131,AX$4))</f>
        <v/>
      </c>
      <c r="AY104" s="80">
        <f>IF(Credit_Assumptions!$C$5=1,AY77,INDEX(Credit_Input!$M$72:$M$131,AY$4))</f>
        <v/>
      </c>
      <c r="AZ104" s="80">
        <f>IF(Credit_Assumptions!$C$5=1,AZ77,INDEX(Credit_Input!$M$72:$M$131,AZ$4))</f>
        <v/>
      </c>
      <c r="BA104" s="80">
        <f>IF(Credit_Assumptions!$C$5=1,BA77,INDEX(Credit_Input!$M$72:$M$131,BA$4))</f>
        <v/>
      </c>
      <c r="BB104" s="80">
        <f>IF(Credit_Assumptions!$C$5=1,BB77,INDEX(Credit_Input!$M$72:$M$131,BB$4))</f>
        <v/>
      </c>
      <c r="BC104" s="80">
        <f>IF(Credit_Assumptions!$C$5=1,BC77,INDEX(Credit_Input!$M$72:$M$131,BC$4))</f>
        <v/>
      </c>
      <c r="BD104" s="80">
        <f>IF(Credit_Assumptions!$C$5=1,BD77,INDEX(Credit_Input!$M$72:$M$131,BD$4))</f>
        <v/>
      </c>
      <c r="BE104" s="80">
        <f>IF(Credit_Assumptions!$C$5=1,BE77,INDEX(Credit_Input!$M$72:$M$131,BE$4))</f>
        <v/>
      </c>
      <c r="BF104" s="80">
        <f>IF(Credit_Assumptions!$C$5=1,BF77,INDEX(Credit_Input!$M$72:$M$131,BF$4))</f>
        <v/>
      </c>
      <c r="BG104" s="80">
        <f>IF(Credit_Assumptions!$C$5=1,BG77,INDEX(Credit_Input!$M$72:$M$131,BG$4))</f>
        <v/>
      </c>
      <c r="BH104" s="80">
        <f>IF(Credit_Assumptions!$C$5=1,BH77,INDEX(Credit_Input!$M$72:$M$131,BH$4))</f>
        <v/>
      </c>
      <c r="BI104" s="80">
        <f>IF(Credit_Assumptions!$C$5=1,BI77,INDEX(Credit_Input!$M$72:$M$131,BI$4))</f>
        <v/>
      </c>
      <c r="BJ104" s="80">
        <f>IF(Credit_Assumptions!$C$5=1,BJ77,INDEX(Credit_Input!$M$72:$M$131,BJ$4))</f>
        <v/>
      </c>
      <c r="BK104" s="80">
        <f>IF(Credit_Assumptions!$C$5=1,BK77,INDEX(Credit_Input!$M$72:$M$131,BK$4))</f>
        <v/>
      </c>
      <c r="BL104" s="80">
        <f>IF(Credit_Assumptions!$C$5=1,BL77,INDEX(Credit_Input!$M$72:$M$131,BL$4))</f>
        <v/>
      </c>
    </row>
    <row r="105">
      <c r="A105" s="98" t="inlineStr">
        <is>
          <t>Recovery costs</t>
        </is>
      </c>
      <c r="B105" s="65" t="inlineStr">
        <is>
          <t>LCY</t>
        </is>
      </c>
      <c r="C105" s="105">
        <f>SUM(E105:BL105)</f>
        <v/>
      </c>
      <c r="E105" s="80">
        <f>IF(Credit_Assumptions!$C$5=1,E78,INDEX(Credit_Input!$N$72:$N$131,E$4))</f>
        <v/>
      </c>
      <c r="F105" s="80">
        <f>IF(Credit_Assumptions!$C$5=1,F78,INDEX(Credit_Input!$N$72:$N$131,F$4))</f>
        <v/>
      </c>
      <c r="G105" s="80">
        <f>IF(Credit_Assumptions!$C$5=1,G78,INDEX(Credit_Input!$N$72:$N$131,G$4))</f>
        <v/>
      </c>
      <c r="H105" s="80">
        <f>IF(Credit_Assumptions!$C$5=1,H78,INDEX(Credit_Input!$N$72:$N$131,H$4))</f>
        <v/>
      </c>
      <c r="I105" s="80">
        <f>IF(Credit_Assumptions!$C$5=1,I78,INDEX(Credit_Input!$N$72:$N$131,I$4))</f>
        <v/>
      </c>
      <c r="J105" s="80">
        <f>IF(Credit_Assumptions!$C$5=1,J78,INDEX(Credit_Input!$N$72:$N$131,J$4))</f>
        <v/>
      </c>
      <c r="K105" s="80">
        <f>IF(Credit_Assumptions!$C$5=1,K78,INDEX(Credit_Input!$N$72:$N$131,K$4))</f>
        <v/>
      </c>
      <c r="L105" s="80">
        <f>IF(Credit_Assumptions!$C$5=1,L78,INDEX(Credit_Input!$N$72:$N$131,L$4))</f>
        <v/>
      </c>
      <c r="M105" s="80">
        <f>IF(Credit_Assumptions!$C$5=1,M78,INDEX(Credit_Input!$N$72:$N$131,M$4))</f>
        <v/>
      </c>
      <c r="N105" s="80">
        <f>IF(Credit_Assumptions!$C$5=1,N78,INDEX(Credit_Input!$N$72:$N$131,N$4))</f>
        <v/>
      </c>
      <c r="O105" s="80">
        <f>IF(Credit_Assumptions!$C$5=1,O78,INDEX(Credit_Input!$N$72:$N$131,O$4))</f>
        <v/>
      </c>
      <c r="P105" s="80">
        <f>IF(Credit_Assumptions!$C$5=1,P78,INDEX(Credit_Input!$N$72:$N$131,P$4))</f>
        <v/>
      </c>
      <c r="Q105" s="80">
        <f>IF(Credit_Assumptions!$C$5=1,Q78,INDEX(Credit_Input!$N$72:$N$131,Q$4))</f>
        <v/>
      </c>
      <c r="R105" s="80">
        <f>IF(Credit_Assumptions!$C$5=1,R78,INDEX(Credit_Input!$N$72:$N$131,R$4))</f>
        <v/>
      </c>
      <c r="S105" s="80">
        <f>IF(Credit_Assumptions!$C$5=1,S78,INDEX(Credit_Input!$N$72:$N$131,S$4))</f>
        <v/>
      </c>
      <c r="T105" s="80">
        <f>IF(Credit_Assumptions!$C$5=1,T78,INDEX(Credit_Input!$N$72:$N$131,T$4))</f>
        <v/>
      </c>
      <c r="U105" s="80">
        <f>IF(Credit_Assumptions!$C$5=1,U78,INDEX(Credit_Input!$N$72:$N$131,U$4))</f>
        <v/>
      </c>
      <c r="V105" s="80">
        <f>IF(Credit_Assumptions!$C$5=1,V78,INDEX(Credit_Input!$N$72:$N$131,V$4))</f>
        <v/>
      </c>
      <c r="W105" s="80">
        <f>IF(Credit_Assumptions!$C$5=1,W78,INDEX(Credit_Input!$N$72:$N$131,W$4))</f>
        <v/>
      </c>
      <c r="X105" s="80">
        <f>IF(Credit_Assumptions!$C$5=1,X78,INDEX(Credit_Input!$N$72:$N$131,X$4))</f>
        <v/>
      </c>
      <c r="Y105" s="80">
        <f>IF(Credit_Assumptions!$C$5=1,Y78,INDEX(Credit_Input!$N$72:$N$131,Y$4))</f>
        <v/>
      </c>
      <c r="Z105" s="80">
        <f>IF(Credit_Assumptions!$C$5=1,Z78,INDEX(Credit_Input!$N$72:$N$131,Z$4))</f>
        <v/>
      </c>
      <c r="AA105" s="80">
        <f>IF(Credit_Assumptions!$C$5=1,AA78,INDEX(Credit_Input!$N$72:$N$131,AA$4))</f>
        <v/>
      </c>
      <c r="AB105" s="80">
        <f>IF(Credit_Assumptions!$C$5=1,AB78,INDEX(Credit_Input!$N$72:$N$131,AB$4))</f>
        <v/>
      </c>
      <c r="AC105" s="80">
        <f>IF(Credit_Assumptions!$C$5=1,AC78,INDEX(Credit_Input!$N$72:$N$131,AC$4))</f>
        <v/>
      </c>
      <c r="AD105" s="80">
        <f>IF(Credit_Assumptions!$C$5=1,AD78,INDEX(Credit_Input!$N$72:$N$131,AD$4))</f>
        <v/>
      </c>
      <c r="AE105" s="80">
        <f>IF(Credit_Assumptions!$C$5=1,AE78,INDEX(Credit_Input!$N$72:$N$131,AE$4))</f>
        <v/>
      </c>
      <c r="AF105" s="80">
        <f>IF(Credit_Assumptions!$C$5=1,AF78,INDEX(Credit_Input!$N$72:$N$131,AF$4))</f>
        <v/>
      </c>
      <c r="AG105" s="80">
        <f>IF(Credit_Assumptions!$C$5=1,AG78,INDEX(Credit_Input!$N$72:$N$131,AG$4))</f>
        <v/>
      </c>
      <c r="AH105" s="80">
        <f>IF(Credit_Assumptions!$C$5=1,AH78,INDEX(Credit_Input!$N$72:$N$131,AH$4))</f>
        <v/>
      </c>
      <c r="AI105" s="80">
        <f>IF(Credit_Assumptions!$C$5=1,AI78,INDEX(Credit_Input!$N$72:$N$131,AI$4))</f>
        <v/>
      </c>
      <c r="AJ105" s="80">
        <f>IF(Credit_Assumptions!$C$5=1,AJ78,INDEX(Credit_Input!$N$72:$N$131,AJ$4))</f>
        <v/>
      </c>
      <c r="AK105" s="80">
        <f>IF(Credit_Assumptions!$C$5=1,AK78,INDEX(Credit_Input!$N$72:$N$131,AK$4))</f>
        <v/>
      </c>
      <c r="AL105" s="80">
        <f>IF(Credit_Assumptions!$C$5=1,AL78,INDEX(Credit_Input!$N$72:$N$131,AL$4))</f>
        <v/>
      </c>
      <c r="AM105" s="80">
        <f>IF(Credit_Assumptions!$C$5=1,AM78,INDEX(Credit_Input!$N$72:$N$131,AM$4))</f>
        <v/>
      </c>
      <c r="AN105" s="80">
        <f>IF(Credit_Assumptions!$C$5=1,AN78,INDEX(Credit_Input!$N$72:$N$131,AN$4))</f>
        <v/>
      </c>
      <c r="AO105" s="80">
        <f>IF(Credit_Assumptions!$C$5=1,AO78,INDEX(Credit_Input!$N$72:$N$131,AO$4))</f>
        <v/>
      </c>
      <c r="AP105" s="80">
        <f>IF(Credit_Assumptions!$C$5=1,AP78,INDEX(Credit_Input!$N$72:$N$131,AP$4))</f>
        <v/>
      </c>
      <c r="AQ105" s="80">
        <f>IF(Credit_Assumptions!$C$5=1,AQ78,INDEX(Credit_Input!$N$72:$N$131,AQ$4))</f>
        <v/>
      </c>
      <c r="AR105" s="80">
        <f>IF(Credit_Assumptions!$C$5=1,AR78,INDEX(Credit_Input!$N$72:$N$131,AR$4))</f>
        <v/>
      </c>
      <c r="AS105" s="80">
        <f>IF(Credit_Assumptions!$C$5=1,AS78,INDEX(Credit_Input!$N$72:$N$131,AS$4))</f>
        <v/>
      </c>
      <c r="AT105" s="80">
        <f>IF(Credit_Assumptions!$C$5=1,AT78,INDEX(Credit_Input!$N$72:$N$131,AT$4))</f>
        <v/>
      </c>
      <c r="AU105" s="80">
        <f>IF(Credit_Assumptions!$C$5=1,AU78,INDEX(Credit_Input!$N$72:$N$131,AU$4))</f>
        <v/>
      </c>
      <c r="AV105" s="80">
        <f>IF(Credit_Assumptions!$C$5=1,AV78,INDEX(Credit_Input!$N$72:$N$131,AV$4))</f>
        <v/>
      </c>
      <c r="AW105" s="80">
        <f>IF(Credit_Assumptions!$C$5=1,AW78,INDEX(Credit_Input!$N$72:$N$131,AW$4))</f>
        <v/>
      </c>
      <c r="AX105" s="80">
        <f>IF(Credit_Assumptions!$C$5=1,AX78,INDEX(Credit_Input!$N$72:$N$131,AX$4))</f>
        <v/>
      </c>
      <c r="AY105" s="80">
        <f>IF(Credit_Assumptions!$C$5=1,AY78,INDEX(Credit_Input!$N$72:$N$131,AY$4))</f>
        <v/>
      </c>
      <c r="AZ105" s="80">
        <f>IF(Credit_Assumptions!$C$5=1,AZ78,INDEX(Credit_Input!$N$72:$N$131,AZ$4))</f>
        <v/>
      </c>
      <c r="BA105" s="80">
        <f>IF(Credit_Assumptions!$C$5=1,BA78,INDEX(Credit_Input!$N$72:$N$131,BA$4))</f>
        <v/>
      </c>
      <c r="BB105" s="80">
        <f>IF(Credit_Assumptions!$C$5=1,BB78,INDEX(Credit_Input!$N$72:$N$131,BB$4))</f>
        <v/>
      </c>
      <c r="BC105" s="80">
        <f>IF(Credit_Assumptions!$C$5=1,BC78,INDEX(Credit_Input!$N$72:$N$131,BC$4))</f>
        <v/>
      </c>
      <c r="BD105" s="80">
        <f>IF(Credit_Assumptions!$C$5=1,BD78,INDEX(Credit_Input!$N$72:$N$131,BD$4))</f>
        <v/>
      </c>
      <c r="BE105" s="80">
        <f>IF(Credit_Assumptions!$C$5=1,BE78,INDEX(Credit_Input!$N$72:$N$131,BE$4))</f>
        <v/>
      </c>
      <c r="BF105" s="80">
        <f>IF(Credit_Assumptions!$C$5=1,BF78,INDEX(Credit_Input!$N$72:$N$131,BF$4))</f>
        <v/>
      </c>
      <c r="BG105" s="80">
        <f>IF(Credit_Assumptions!$C$5=1,BG78,INDEX(Credit_Input!$N$72:$N$131,BG$4))</f>
        <v/>
      </c>
      <c r="BH105" s="80">
        <f>IF(Credit_Assumptions!$C$5=1,BH78,INDEX(Credit_Input!$N$72:$N$131,BH$4))</f>
        <v/>
      </c>
      <c r="BI105" s="80">
        <f>IF(Credit_Assumptions!$C$5=1,BI78,INDEX(Credit_Input!$N$72:$N$131,BI$4))</f>
        <v/>
      </c>
      <c r="BJ105" s="80">
        <f>IF(Credit_Assumptions!$C$5=1,BJ78,INDEX(Credit_Input!$N$72:$N$131,BJ$4))</f>
        <v/>
      </c>
      <c r="BK105" s="80">
        <f>IF(Credit_Assumptions!$C$5=1,BK78,INDEX(Credit_Input!$N$72:$N$131,BK$4))</f>
        <v/>
      </c>
      <c r="BL105" s="80">
        <f>IF(Credit_Assumptions!$C$5=1,BL78,INDEX(Credit_Input!$N$72:$N$131,BL$4))</f>
        <v/>
      </c>
    </row>
    <row r="106">
      <c r="A106" s="98" t="inlineStr">
        <is>
          <t>Repossessions (units, approx.)</t>
        </is>
      </c>
      <c r="B106" s="65" t="inlineStr">
        <is>
          <t>LCY</t>
        </is>
      </c>
      <c r="C106" s="105">
        <f>SUM(E106:BL106)</f>
        <v/>
      </c>
      <c r="E106" s="80">
        <f>IF(Credit_Assumptions!$C$5=1,E79,INDEX(Credit_Input!$L$72:$L$131,E$4))</f>
        <v/>
      </c>
      <c r="F106" s="80">
        <f>IF(Credit_Assumptions!$C$5=1,F79,INDEX(Credit_Input!$L$72:$L$131,F$4))</f>
        <v/>
      </c>
      <c r="G106" s="80">
        <f>IF(Credit_Assumptions!$C$5=1,G79,INDEX(Credit_Input!$L$72:$L$131,G$4))</f>
        <v/>
      </c>
      <c r="H106" s="80">
        <f>IF(Credit_Assumptions!$C$5=1,H79,INDEX(Credit_Input!$L$72:$L$131,H$4))</f>
        <v/>
      </c>
      <c r="I106" s="80">
        <f>IF(Credit_Assumptions!$C$5=1,I79,INDEX(Credit_Input!$L$72:$L$131,I$4))</f>
        <v/>
      </c>
      <c r="J106" s="80">
        <f>IF(Credit_Assumptions!$C$5=1,J79,INDEX(Credit_Input!$L$72:$L$131,J$4))</f>
        <v/>
      </c>
      <c r="K106" s="80">
        <f>IF(Credit_Assumptions!$C$5=1,K79,INDEX(Credit_Input!$L$72:$L$131,K$4))</f>
        <v/>
      </c>
      <c r="L106" s="80">
        <f>IF(Credit_Assumptions!$C$5=1,L79,INDEX(Credit_Input!$L$72:$L$131,L$4))</f>
        <v/>
      </c>
      <c r="M106" s="80">
        <f>IF(Credit_Assumptions!$C$5=1,M79,INDEX(Credit_Input!$L$72:$L$131,M$4))</f>
        <v/>
      </c>
      <c r="N106" s="80">
        <f>IF(Credit_Assumptions!$C$5=1,N79,INDEX(Credit_Input!$L$72:$L$131,N$4))</f>
        <v/>
      </c>
      <c r="O106" s="80">
        <f>IF(Credit_Assumptions!$C$5=1,O79,INDEX(Credit_Input!$L$72:$L$131,O$4))</f>
        <v/>
      </c>
      <c r="P106" s="80">
        <f>IF(Credit_Assumptions!$C$5=1,P79,INDEX(Credit_Input!$L$72:$L$131,P$4))</f>
        <v/>
      </c>
      <c r="Q106" s="80">
        <f>IF(Credit_Assumptions!$C$5=1,Q79,INDEX(Credit_Input!$L$72:$L$131,Q$4))</f>
        <v/>
      </c>
      <c r="R106" s="80">
        <f>IF(Credit_Assumptions!$C$5=1,R79,INDEX(Credit_Input!$L$72:$L$131,R$4))</f>
        <v/>
      </c>
      <c r="S106" s="80">
        <f>IF(Credit_Assumptions!$C$5=1,S79,INDEX(Credit_Input!$L$72:$L$131,S$4))</f>
        <v/>
      </c>
      <c r="T106" s="80">
        <f>IF(Credit_Assumptions!$C$5=1,T79,INDEX(Credit_Input!$L$72:$L$131,T$4))</f>
        <v/>
      </c>
      <c r="U106" s="80">
        <f>IF(Credit_Assumptions!$C$5=1,U79,INDEX(Credit_Input!$L$72:$L$131,U$4))</f>
        <v/>
      </c>
      <c r="V106" s="80">
        <f>IF(Credit_Assumptions!$C$5=1,V79,INDEX(Credit_Input!$L$72:$L$131,V$4))</f>
        <v/>
      </c>
      <c r="W106" s="80">
        <f>IF(Credit_Assumptions!$C$5=1,W79,INDEX(Credit_Input!$L$72:$L$131,W$4))</f>
        <v/>
      </c>
      <c r="X106" s="80">
        <f>IF(Credit_Assumptions!$C$5=1,X79,INDEX(Credit_Input!$L$72:$L$131,X$4))</f>
        <v/>
      </c>
      <c r="Y106" s="80">
        <f>IF(Credit_Assumptions!$C$5=1,Y79,INDEX(Credit_Input!$L$72:$L$131,Y$4))</f>
        <v/>
      </c>
      <c r="Z106" s="80">
        <f>IF(Credit_Assumptions!$C$5=1,Z79,INDEX(Credit_Input!$L$72:$L$131,Z$4))</f>
        <v/>
      </c>
      <c r="AA106" s="80">
        <f>IF(Credit_Assumptions!$C$5=1,AA79,INDEX(Credit_Input!$L$72:$L$131,AA$4))</f>
        <v/>
      </c>
      <c r="AB106" s="80">
        <f>IF(Credit_Assumptions!$C$5=1,AB79,INDEX(Credit_Input!$L$72:$L$131,AB$4))</f>
        <v/>
      </c>
      <c r="AC106" s="80">
        <f>IF(Credit_Assumptions!$C$5=1,AC79,INDEX(Credit_Input!$L$72:$L$131,AC$4))</f>
        <v/>
      </c>
      <c r="AD106" s="80">
        <f>IF(Credit_Assumptions!$C$5=1,AD79,INDEX(Credit_Input!$L$72:$L$131,AD$4))</f>
        <v/>
      </c>
      <c r="AE106" s="80">
        <f>IF(Credit_Assumptions!$C$5=1,AE79,INDEX(Credit_Input!$L$72:$L$131,AE$4))</f>
        <v/>
      </c>
      <c r="AF106" s="80">
        <f>IF(Credit_Assumptions!$C$5=1,AF79,INDEX(Credit_Input!$L$72:$L$131,AF$4))</f>
        <v/>
      </c>
      <c r="AG106" s="80">
        <f>IF(Credit_Assumptions!$C$5=1,AG79,INDEX(Credit_Input!$L$72:$L$131,AG$4))</f>
        <v/>
      </c>
      <c r="AH106" s="80">
        <f>IF(Credit_Assumptions!$C$5=1,AH79,INDEX(Credit_Input!$L$72:$L$131,AH$4))</f>
        <v/>
      </c>
      <c r="AI106" s="80">
        <f>IF(Credit_Assumptions!$C$5=1,AI79,INDEX(Credit_Input!$L$72:$L$131,AI$4))</f>
        <v/>
      </c>
      <c r="AJ106" s="80">
        <f>IF(Credit_Assumptions!$C$5=1,AJ79,INDEX(Credit_Input!$L$72:$L$131,AJ$4))</f>
        <v/>
      </c>
      <c r="AK106" s="80">
        <f>IF(Credit_Assumptions!$C$5=1,AK79,INDEX(Credit_Input!$L$72:$L$131,AK$4))</f>
        <v/>
      </c>
      <c r="AL106" s="80">
        <f>IF(Credit_Assumptions!$C$5=1,AL79,INDEX(Credit_Input!$L$72:$L$131,AL$4))</f>
        <v/>
      </c>
      <c r="AM106" s="80">
        <f>IF(Credit_Assumptions!$C$5=1,AM79,INDEX(Credit_Input!$L$72:$L$131,AM$4))</f>
        <v/>
      </c>
      <c r="AN106" s="80">
        <f>IF(Credit_Assumptions!$C$5=1,AN79,INDEX(Credit_Input!$L$72:$L$131,AN$4))</f>
        <v/>
      </c>
      <c r="AO106" s="80">
        <f>IF(Credit_Assumptions!$C$5=1,AO79,INDEX(Credit_Input!$L$72:$L$131,AO$4))</f>
        <v/>
      </c>
      <c r="AP106" s="80">
        <f>IF(Credit_Assumptions!$C$5=1,AP79,INDEX(Credit_Input!$L$72:$L$131,AP$4))</f>
        <v/>
      </c>
      <c r="AQ106" s="80">
        <f>IF(Credit_Assumptions!$C$5=1,AQ79,INDEX(Credit_Input!$L$72:$L$131,AQ$4))</f>
        <v/>
      </c>
      <c r="AR106" s="80">
        <f>IF(Credit_Assumptions!$C$5=1,AR79,INDEX(Credit_Input!$L$72:$L$131,AR$4))</f>
        <v/>
      </c>
      <c r="AS106" s="80">
        <f>IF(Credit_Assumptions!$C$5=1,AS79,INDEX(Credit_Input!$L$72:$L$131,AS$4))</f>
        <v/>
      </c>
      <c r="AT106" s="80">
        <f>IF(Credit_Assumptions!$C$5=1,AT79,INDEX(Credit_Input!$L$72:$L$131,AT$4))</f>
        <v/>
      </c>
      <c r="AU106" s="80">
        <f>IF(Credit_Assumptions!$C$5=1,AU79,INDEX(Credit_Input!$L$72:$L$131,AU$4))</f>
        <v/>
      </c>
      <c r="AV106" s="80">
        <f>IF(Credit_Assumptions!$C$5=1,AV79,INDEX(Credit_Input!$L$72:$L$131,AV$4))</f>
        <v/>
      </c>
      <c r="AW106" s="80">
        <f>IF(Credit_Assumptions!$C$5=1,AW79,INDEX(Credit_Input!$L$72:$L$131,AW$4))</f>
        <v/>
      </c>
      <c r="AX106" s="80">
        <f>IF(Credit_Assumptions!$C$5=1,AX79,INDEX(Credit_Input!$L$72:$L$131,AX$4))</f>
        <v/>
      </c>
      <c r="AY106" s="80">
        <f>IF(Credit_Assumptions!$C$5=1,AY79,INDEX(Credit_Input!$L$72:$L$131,AY$4))</f>
        <v/>
      </c>
      <c r="AZ106" s="80">
        <f>IF(Credit_Assumptions!$C$5=1,AZ79,INDEX(Credit_Input!$L$72:$L$131,AZ$4))</f>
        <v/>
      </c>
      <c r="BA106" s="80">
        <f>IF(Credit_Assumptions!$C$5=1,BA79,INDEX(Credit_Input!$L$72:$L$131,BA$4))</f>
        <v/>
      </c>
      <c r="BB106" s="80">
        <f>IF(Credit_Assumptions!$C$5=1,BB79,INDEX(Credit_Input!$L$72:$L$131,BB$4))</f>
        <v/>
      </c>
      <c r="BC106" s="80">
        <f>IF(Credit_Assumptions!$C$5=1,BC79,INDEX(Credit_Input!$L$72:$L$131,BC$4))</f>
        <v/>
      </c>
      <c r="BD106" s="80">
        <f>IF(Credit_Assumptions!$C$5=1,BD79,INDEX(Credit_Input!$L$72:$L$131,BD$4))</f>
        <v/>
      </c>
      <c r="BE106" s="80">
        <f>IF(Credit_Assumptions!$C$5=1,BE79,INDEX(Credit_Input!$L$72:$L$131,BE$4))</f>
        <v/>
      </c>
      <c r="BF106" s="80">
        <f>IF(Credit_Assumptions!$C$5=1,BF79,INDEX(Credit_Input!$L$72:$L$131,BF$4))</f>
        <v/>
      </c>
      <c r="BG106" s="80">
        <f>IF(Credit_Assumptions!$C$5=1,BG79,INDEX(Credit_Input!$L$72:$L$131,BG$4))</f>
        <v/>
      </c>
      <c r="BH106" s="80">
        <f>IF(Credit_Assumptions!$C$5=1,BH79,INDEX(Credit_Input!$L$72:$L$131,BH$4))</f>
        <v/>
      </c>
      <c r="BI106" s="80">
        <f>IF(Credit_Assumptions!$C$5=1,BI79,INDEX(Credit_Input!$L$72:$L$131,BI$4))</f>
        <v/>
      </c>
      <c r="BJ106" s="80">
        <f>IF(Credit_Assumptions!$C$5=1,BJ79,INDEX(Credit_Input!$L$72:$L$131,BJ$4))</f>
        <v/>
      </c>
      <c r="BK106" s="80">
        <f>IF(Credit_Assumptions!$C$5=1,BK79,INDEX(Credit_Input!$L$72:$L$131,BK$4))</f>
        <v/>
      </c>
      <c r="BL106" s="80">
        <f>IF(Credit_Assumptions!$C$5=1,BL79,INDEX(Credit_Input!$L$72:$L$131,BL$4))</f>
        <v/>
      </c>
    </row>
    <row r="107">
      <c r="A107" s="98" t="inlineStr">
        <is>
          <t>Cures (proxy engine: none)</t>
        </is>
      </c>
      <c r="B107" s="65" t="inlineStr">
        <is>
          <t>LCY</t>
        </is>
      </c>
      <c r="C107" s="105">
        <f>SUM(E107:BL107)</f>
        <v/>
      </c>
      <c r="E107" s="80">
        <f>IF(Credit_Assumptions!$C$5=1,E80,INDEX(Credit_Input!$O$72:$O$131,E$4))</f>
        <v/>
      </c>
      <c r="F107" s="80">
        <f>IF(Credit_Assumptions!$C$5=1,F80,INDEX(Credit_Input!$O$72:$O$131,F$4))</f>
        <v/>
      </c>
      <c r="G107" s="80">
        <f>IF(Credit_Assumptions!$C$5=1,G80,INDEX(Credit_Input!$O$72:$O$131,G$4))</f>
        <v/>
      </c>
      <c r="H107" s="80">
        <f>IF(Credit_Assumptions!$C$5=1,H80,INDEX(Credit_Input!$O$72:$O$131,H$4))</f>
        <v/>
      </c>
      <c r="I107" s="80">
        <f>IF(Credit_Assumptions!$C$5=1,I80,INDEX(Credit_Input!$O$72:$O$131,I$4))</f>
        <v/>
      </c>
      <c r="J107" s="80">
        <f>IF(Credit_Assumptions!$C$5=1,J80,INDEX(Credit_Input!$O$72:$O$131,J$4))</f>
        <v/>
      </c>
      <c r="K107" s="80">
        <f>IF(Credit_Assumptions!$C$5=1,K80,INDEX(Credit_Input!$O$72:$O$131,K$4))</f>
        <v/>
      </c>
      <c r="L107" s="80">
        <f>IF(Credit_Assumptions!$C$5=1,L80,INDEX(Credit_Input!$O$72:$O$131,L$4))</f>
        <v/>
      </c>
      <c r="M107" s="80">
        <f>IF(Credit_Assumptions!$C$5=1,M80,INDEX(Credit_Input!$O$72:$O$131,M$4))</f>
        <v/>
      </c>
      <c r="N107" s="80">
        <f>IF(Credit_Assumptions!$C$5=1,N80,INDEX(Credit_Input!$O$72:$O$131,N$4))</f>
        <v/>
      </c>
      <c r="O107" s="80">
        <f>IF(Credit_Assumptions!$C$5=1,O80,INDEX(Credit_Input!$O$72:$O$131,O$4))</f>
        <v/>
      </c>
      <c r="P107" s="80">
        <f>IF(Credit_Assumptions!$C$5=1,P80,INDEX(Credit_Input!$O$72:$O$131,P$4))</f>
        <v/>
      </c>
      <c r="Q107" s="80">
        <f>IF(Credit_Assumptions!$C$5=1,Q80,INDEX(Credit_Input!$O$72:$O$131,Q$4))</f>
        <v/>
      </c>
      <c r="R107" s="80">
        <f>IF(Credit_Assumptions!$C$5=1,R80,INDEX(Credit_Input!$O$72:$O$131,R$4))</f>
        <v/>
      </c>
      <c r="S107" s="80">
        <f>IF(Credit_Assumptions!$C$5=1,S80,INDEX(Credit_Input!$O$72:$O$131,S$4))</f>
        <v/>
      </c>
      <c r="T107" s="80">
        <f>IF(Credit_Assumptions!$C$5=1,T80,INDEX(Credit_Input!$O$72:$O$131,T$4))</f>
        <v/>
      </c>
      <c r="U107" s="80">
        <f>IF(Credit_Assumptions!$C$5=1,U80,INDEX(Credit_Input!$O$72:$O$131,U$4))</f>
        <v/>
      </c>
      <c r="V107" s="80">
        <f>IF(Credit_Assumptions!$C$5=1,V80,INDEX(Credit_Input!$O$72:$O$131,V$4))</f>
        <v/>
      </c>
      <c r="W107" s="80">
        <f>IF(Credit_Assumptions!$C$5=1,W80,INDEX(Credit_Input!$O$72:$O$131,W$4))</f>
        <v/>
      </c>
      <c r="X107" s="80">
        <f>IF(Credit_Assumptions!$C$5=1,X80,INDEX(Credit_Input!$O$72:$O$131,X$4))</f>
        <v/>
      </c>
      <c r="Y107" s="80">
        <f>IF(Credit_Assumptions!$C$5=1,Y80,INDEX(Credit_Input!$O$72:$O$131,Y$4))</f>
        <v/>
      </c>
      <c r="Z107" s="80">
        <f>IF(Credit_Assumptions!$C$5=1,Z80,INDEX(Credit_Input!$O$72:$O$131,Z$4))</f>
        <v/>
      </c>
      <c r="AA107" s="80">
        <f>IF(Credit_Assumptions!$C$5=1,AA80,INDEX(Credit_Input!$O$72:$O$131,AA$4))</f>
        <v/>
      </c>
      <c r="AB107" s="80">
        <f>IF(Credit_Assumptions!$C$5=1,AB80,INDEX(Credit_Input!$O$72:$O$131,AB$4))</f>
        <v/>
      </c>
      <c r="AC107" s="80">
        <f>IF(Credit_Assumptions!$C$5=1,AC80,INDEX(Credit_Input!$O$72:$O$131,AC$4))</f>
        <v/>
      </c>
      <c r="AD107" s="80">
        <f>IF(Credit_Assumptions!$C$5=1,AD80,INDEX(Credit_Input!$O$72:$O$131,AD$4))</f>
        <v/>
      </c>
      <c r="AE107" s="80">
        <f>IF(Credit_Assumptions!$C$5=1,AE80,INDEX(Credit_Input!$O$72:$O$131,AE$4))</f>
        <v/>
      </c>
      <c r="AF107" s="80">
        <f>IF(Credit_Assumptions!$C$5=1,AF80,INDEX(Credit_Input!$O$72:$O$131,AF$4))</f>
        <v/>
      </c>
      <c r="AG107" s="80">
        <f>IF(Credit_Assumptions!$C$5=1,AG80,INDEX(Credit_Input!$O$72:$O$131,AG$4))</f>
        <v/>
      </c>
      <c r="AH107" s="80">
        <f>IF(Credit_Assumptions!$C$5=1,AH80,INDEX(Credit_Input!$O$72:$O$131,AH$4))</f>
        <v/>
      </c>
      <c r="AI107" s="80">
        <f>IF(Credit_Assumptions!$C$5=1,AI80,INDEX(Credit_Input!$O$72:$O$131,AI$4))</f>
        <v/>
      </c>
      <c r="AJ107" s="80">
        <f>IF(Credit_Assumptions!$C$5=1,AJ80,INDEX(Credit_Input!$O$72:$O$131,AJ$4))</f>
        <v/>
      </c>
      <c r="AK107" s="80">
        <f>IF(Credit_Assumptions!$C$5=1,AK80,INDEX(Credit_Input!$O$72:$O$131,AK$4))</f>
        <v/>
      </c>
      <c r="AL107" s="80">
        <f>IF(Credit_Assumptions!$C$5=1,AL80,INDEX(Credit_Input!$O$72:$O$131,AL$4))</f>
        <v/>
      </c>
      <c r="AM107" s="80">
        <f>IF(Credit_Assumptions!$C$5=1,AM80,INDEX(Credit_Input!$O$72:$O$131,AM$4))</f>
        <v/>
      </c>
      <c r="AN107" s="80">
        <f>IF(Credit_Assumptions!$C$5=1,AN80,INDEX(Credit_Input!$O$72:$O$131,AN$4))</f>
        <v/>
      </c>
      <c r="AO107" s="80">
        <f>IF(Credit_Assumptions!$C$5=1,AO80,INDEX(Credit_Input!$O$72:$O$131,AO$4))</f>
        <v/>
      </c>
      <c r="AP107" s="80">
        <f>IF(Credit_Assumptions!$C$5=1,AP80,INDEX(Credit_Input!$O$72:$O$131,AP$4))</f>
        <v/>
      </c>
      <c r="AQ107" s="80">
        <f>IF(Credit_Assumptions!$C$5=1,AQ80,INDEX(Credit_Input!$O$72:$O$131,AQ$4))</f>
        <v/>
      </c>
      <c r="AR107" s="80">
        <f>IF(Credit_Assumptions!$C$5=1,AR80,INDEX(Credit_Input!$O$72:$O$131,AR$4))</f>
        <v/>
      </c>
      <c r="AS107" s="80">
        <f>IF(Credit_Assumptions!$C$5=1,AS80,INDEX(Credit_Input!$O$72:$O$131,AS$4))</f>
        <v/>
      </c>
      <c r="AT107" s="80">
        <f>IF(Credit_Assumptions!$C$5=1,AT80,INDEX(Credit_Input!$O$72:$O$131,AT$4))</f>
        <v/>
      </c>
      <c r="AU107" s="80">
        <f>IF(Credit_Assumptions!$C$5=1,AU80,INDEX(Credit_Input!$O$72:$O$131,AU$4))</f>
        <v/>
      </c>
      <c r="AV107" s="80">
        <f>IF(Credit_Assumptions!$C$5=1,AV80,INDEX(Credit_Input!$O$72:$O$131,AV$4))</f>
        <v/>
      </c>
      <c r="AW107" s="80">
        <f>IF(Credit_Assumptions!$C$5=1,AW80,INDEX(Credit_Input!$O$72:$O$131,AW$4))</f>
        <v/>
      </c>
      <c r="AX107" s="80">
        <f>IF(Credit_Assumptions!$C$5=1,AX80,INDEX(Credit_Input!$O$72:$O$131,AX$4))</f>
        <v/>
      </c>
      <c r="AY107" s="80">
        <f>IF(Credit_Assumptions!$C$5=1,AY80,INDEX(Credit_Input!$O$72:$O$131,AY$4))</f>
        <v/>
      </c>
      <c r="AZ107" s="80">
        <f>IF(Credit_Assumptions!$C$5=1,AZ80,INDEX(Credit_Input!$O$72:$O$131,AZ$4))</f>
        <v/>
      </c>
      <c r="BA107" s="80">
        <f>IF(Credit_Assumptions!$C$5=1,BA80,INDEX(Credit_Input!$O$72:$O$131,BA$4))</f>
        <v/>
      </c>
      <c r="BB107" s="80">
        <f>IF(Credit_Assumptions!$C$5=1,BB80,INDEX(Credit_Input!$O$72:$O$131,BB$4))</f>
        <v/>
      </c>
      <c r="BC107" s="80">
        <f>IF(Credit_Assumptions!$C$5=1,BC80,INDEX(Credit_Input!$O$72:$O$131,BC$4))</f>
        <v/>
      </c>
      <c r="BD107" s="80">
        <f>IF(Credit_Assumptions!$C$5=1,BD80,INDEX(Credit_Input!$O$72:$O$131,BD$4))</f>
        <v/>
      </c>
      <c r="BE107" s="80">
        <f>IF(Credit_Assumptions!$C$5=1,BE80,INDEX(Credit_Input!$O$72:$O$131,BE$4))</f>
        <v/>
      </c>
      <c r="BF107" s="80">
        <f>IF(Credit_Assumptions!$C$5=1,BF80,INDEX(Credit_Input!$O$72:$O$131,BF$4))</f>
        <v/>
      </c>
      <c r="BG107" s="80">
        <f>IF(Credit_Assumptions!$C$5=1,BG80,INDEX(Credit_Input!$O$72:$O$131,BG$4))</f>
        <v/>
      </c>
      <c r="BH107" s="80">
        <f>IF(Credit_Assumptions!$C$5=1,BH80,INDEX(Credit_Input!$O$72:$O$131,BH$4))</f>
        <v/>
      </c>
      <c r="BI107" s="80">
        <f>IF(Credit_Assumptions!$C$5=1,BI80,INDEX(Credit_Input!$O$72:$O$131,BI$4))</f>
        <v/>
      </c>
      <c r="BJ107" s="80">
        <f>IF(Credit_Assumptions!$C$5=1,BJ80,INDEX(Credit_Input!$O$72:$O$131,BJ$4))</f>
        <v/>
      </c>
      <c r="BK107" s="80">
        <f>IF(Credit_Assumptions!$C$5=1,BK80,INDEX(Credit_Input!$O$72:$O$131,BK$4))</f>
        <v/>
      </c>
      <c r="BL107" s="80">
        <f>IF(Credit_Assumptions!$C$5=1,BL80,INDEX(Credit_Input!$O$72:$O$131,BL$4))</f>
        <v/>
      </c>
    </row>
    <row r="108">
      <c r="A108" s="98" t="inlineStr">
        <is>
          <t>Write-offs</t>
        </is>
      </c>
      <c r="B108" s="65" t="inlineStr">
        <is>
          <t>LCY</t>
        </is>
      </c>
      <c r="C108" s="105">
        <f>SUM(E108:BL108)</f>
        <v/>
      </c>
      <c r="E108" s="80">
        <f>IF(Credit_Assumptions!$C$5=1,E81,INDEX(Credit_Input!$P$72:$P$131,E$4))</f>
        <v/>
      </c>
      <c r="F108" s="80">
        <f>IF(Credit_Assumptions!$C$5=1,F81,INDEX(Credit_Input!$P$72:$P$131,F$4))</f>
        <v/>
      </c>
      <c r="G108" s="80">
        <f>IF(Credit_Assumptions!$C$5=1,G81,INDEX(Credit_Input!$P$72:$P$131,G$4))</f>
        <v/>
      </c>
      <c r="H108" s="80">
        <f>IF(Credit_Assumptions!$C$5=1,H81,INDEX(Credit_Input!$P$72:$P$131,H$4))</f>
        <v/>
      </c>
      <c r="I108" s="80">
        <f>IF(Credit_Assumptions!$C$5=1,I81,INDEX(Credit_Input!$P$72:$P$131,I$4))</f>
        <v/>
      </c>
      <c r="J108" s="80">
        <f>IF(Credit_Assumptions!$C$5=1,J81,INDEX(Credit_Input!$P$72:$P$131,J$4))</f>
        <v/>
      </c>
      <c r="K108" s="80">
        <f>IF(Credit_Assumptions!$C$5=1,K81,INDEX(Credit_Input!$P$72:$P$131,K$4))</f>
        <v/>
      </c>
      <c r="L108" s="80">
        <f>IF(Credit_Assumptions!$C$5=1,L81,INDEX(Credit_Input!$P$72:$P$131,L$4))</f>
        <v/>
      </c>
      <c r="M108" s="80">
        <f>IF(Credit_Assumptions!$C$5=1,M81,INDEX(Credit_Input!$P$72:$P$131,M$4))</f>
        <v/>
      </c>
      <c r="N108" s="80">
        <f>IF(Credit_Assumptions!$C$5=1,N81,INDEX(Credit_Input!$P$72:$P$131,N$4))</f>
        <v/>
      </c>
      <c r="O108" s="80">
        <f>IF(Credit_Assumptions!$C$5=1,O81,INDEX(Credit_Input!$P$72:$P$131,O$4))</f>
        <v/>
      </c>
      <c r="P108" s="80">
        <f>IF(Credit_Assumptions!$C$5=1,P81,INDEX(Credit_Input!$P$72:$P$131,P$4))</f>
        <v/>
      </c>
      <c r="Q108" s="80">
        <f>IF(Credit_Assumptions!$C$5=1,Q81,INDEX(Credit_Input!$P$72:$P$131,Q$4))</f>
        <v/>
      </c>
      <c r="R108" s="80">
        <f>IF(Credit_Assumptions!$C$5=1,R81,INDEX(Credit_Input!$P$72:$P$131,R$4))</f>
        <v/>
      </c>
      <c r="S108" s="80">
        <f>IF(Credit_Assumptions!$C$5=1,S81,INDEX(Credit_Input!$P$72:$P$131,S$4))</f>
        <v/>
      </c>
      <c r="T108" s="80">
        <f>IF(Credit_Assumptions!$C$5=1,T81,INDEX(Credit_Input!$P$72:$P$131,T$4))</f>
        <v/>
      </c>
      <c r="U108" s="80">
        <f>IF(Credit_Assumptions!$C$5=1,U81,INDEX(Credit_Input!$P$72:$P$131,U$4))</f>
        <v/>
      </c>
      <c r="V108" s="80">
        <f>IF(Credit_Assumptions!$C$5=1,V81,INDEX(Credit_Input!$P$72:$P$131,V$4))</f>
        <v/>
      </c>
      <c r="W108" s="80">
        <f>IF(Credit_Assumptions!$C$5=1,W81,INDEX(Credit_Input!$P$72:$P$131,W$4))</f>
        <v/>
      </c>
      <c r="X108" s="80">
        <f>IF(Credit_Assumptions!$C$5=1,X81,INDEX(Credit_Input!$P$72:$P$131,X$4))</f>
        <v/>
      </c>
      <c r="Y108" s="80">
        <f>IF(Credit_Assumptions!$C$5=1,Y81,INDEX(Credit_Input!$P$72:$P$131,Y$4))</f>
        <v/>
      </c>
      <c r="Z108" s="80">
        <f>IF(Credit_Assumptions!$C$5=1,Z81,INDEX(Credit_Input!$P$72:$P$131,Z$4))</f>
        <v/>
      </c>
      <c r="AA108" s="80">
        <f>IF(Credit_Assumptions!$C$5=1,AA81,INDEX(Credit_Input!$P$72:$P$131,AA$4))</f>
        <v/>
      </c>
      <c r="AB108" s="80">
        <f>IF(Credit_Assumptions!$C$5=1,AB81,INDEX(Credit_Input!$P$72:$P$131,AB$4))</f>
        <v/>
      </c>
      <c r="AC108" s="80">
        <f>IF(Credit_Assumptions!$C$5=1,AC81,INDEX(Credit_Input!$P$72:$P$131,AC$4))</f>
        <v/>
      </c>
      <c r="AD108" s="80">
        <f>IF(Credit_Assumptions!$C$5=1,AD81,INDEX(Credit_Input!$P$72:$P$131,AD$4))</f>
        <v/>
      </c>
      <c r="AE108" s="80">
        <f>IF(Credit_Assumptions!$C$5=1,AE81,INDEX(Credit_Input!$P$72:$P$131,AE$4))</f>
        <v/>
      </c>
      <c r="AF108" s="80">
        <f>IF(Credit_Assumptions!$C$5=1,AF81,INDEX(Credit_Input!$P$72:$P$131,AF$4))</f>
        <v/>
      </c>
      <c r="AG108" s="80">
        <f>IF(Credit_Assumptions!$C$5=1,AG81,INDEX(Credit_Input!$P$72:$P$131,AG$4))</f>
        <v/>
      </c>
      <c r="AH108" s="80">
        <f>IF(Credit_Assumptions!$C$5=1,AH81,INDEX(Credit_Input!$P$72:$P$131,AH$4))</f>
        <v/>
      </c>
      <c r="AI108" s="80">
        <f>IF(Credit_Assumptions!$C$5=1,AI81,INDEX(Credit_Input!$P$72:$P$131,AI$4))</f>
        <v/>
      </c>
      <c r="AJ108" s="80">
        <f>IF(Credit_Assumptions!$C$5=1,AJ81,INDEX(Credit_Input!$P$72:$P$131,AJ$4))</f>
        <v/>
      </c>
      <c r="AK108" s="80">
        <f>IF(Credit_Assumptions!$C$5=1,AK81,INDEX(Credit_Input!$P$72:$P$131,AK$4))</f>
        <v/>
      </c>
      <c r="AL108" s="80">
        <f>IF(Credit_Assumptions!$C$5=1,AL81,INDEX(Credit_Input!$P$72:$P$131,AL$4))</f>
        <v/>
      </c>
      <c r="AM108" s="80">
        <f>IF(Credit_Assumptions!$C$5=1,AM81,INDEX(Credit_Input!$P$72:$P$131,AM$4))</f>
        <v/>
      </c>
      <c r="AN108" s="80">
        <f>IF(Credit_Assumptions!$C$5=1,AN81,INDEX(Credit_Input!$P$72:$P$131,AN$4))</f>
        <v/>
      </c>
      <c r="AO108" s="80">
        <f>IF(Credit_Assumptions!$C$5=1,AO81,INDEX(Credit_Input!$P$72:$P$131,AO$4))</f>
        <v/>
      </c>
      <c r="AP108" s="80">
        <f>IF(Credit_Assumptions!$C$5=1,AP81,INDEX(Credit_Input!$P$72:$P$131,AP$4))</f>
        <v/>
      </c>
      <c r="AQ108" s="80">
        <f>IF(Credit_Assumptions!$C$5=1,AQ81,INDEX(Credit_Input!$P$72:$P$131,AQ$4))</f>
        <v/>
      </c>
      <c r="AR108" s="80">
        <f>IF(Credit_Assumptions!$C$5=1,AR81,INDEX(Credit_Input!$P$72:$P$131,AR$4))</f>
        <v/>
      </c>
      <c r="AS108" s="80">
        <f>IF(Credit_Assumptions!$C$5=1,AS81,INDEX(Credit_Input!$P$72:$P$131,AS$4))</f>
        <v/>
      </c>
      <c r="AT108" s="80">
        <f>IF(Credit_Assumptions!$C$5=1,AT81,INDEX(Credit_Input!$P$72:$P$131,AT$4))</f>
        <v/>
      </c>
      <c r="AU108" s="80">
        <f>IF(Credit_Assumptions!$C$5=1,AU81,INDEX(Credit_Input!$P$72:$P$131,AU$4))</f>
        <v/>
      </c>
      <c r="AV108" s="80">
        <f>IF(Credit_Assumptions!$C$5=1,AV81,INDEX(Credit_Input!$P$72:$P$131,AV$4))</f>
        <v/>
      </c>
      <c r="AW108" s="80">
        <f>IF(Credit_Assumptions!$C$5=1,AW81,INDEX(Credit_Input!$P$72:$P$131,AW$4))</f>
        <v/>
      </c>
      <c r="AX108" s="80">
        <f>IF(Credit_Assumptions!$C$5=1,AX81,INDEX(Credit_Input!$P$72:$P$131,AX$4))</f>
        <v/>
      </c>
      <c r="AY108" s="80">
        <f>IF(Credit_Assumptions!$C$5=1,AY81,INDEX(Credit_Input!$P$72:$P$131,AY$4))</f>
        <v/>
      </c>
      <c r="AZ108" s="80">
        <f>IF(Credit_Assumptions!$C$5=1,AZ81,INDEX(Credit_Input!$P$72:$P$131,AZ$4))</f>
        <v/>
      </c>
      <c r="BA108" s="80">
        <f>IF(Credit_Assumptions!$C$5=1,BA81,INDEX(Credit_Input!$P$72:$P$131,BA$4))</f>
        <v/>
      </c>
      <c r="BB108" s="80">
        <f>IF(Credit_Assumptions!$C$5=1,BB81,INDEX(Credit_Input!$P$72:$P$131,BB$4))</f>
        <v/>
      </c>
      <c r="BC108" s="80">
        <f>IF(Credit_Assumptions!$C$5=1,BC81,INDEX(Credit_Input!$P$72:$P$131,BC$4))</f>
        <v/>
      </c>
      <c r="BD108" s="80">
        <f>IF(Credit_Assumptions!$C$5=1,BD81,INDEX(Credit_Input!$P$72:$P$131,BD$4))</f>
        <v/>
      </c>
      <c r="BE108" s="80">
        <f>IF(Credit_Assumptions!$C$5=1,BE81,INDEX(Credit_Input!$P$72:$P$131,BE$4))</f>
        <v/>
      </c>
      <c r="BF108" s="80">
        <f>IF(Credit_Assumptions!$C$5=1,BF81,INDEX(Credit_Input!$P$72:$P$131,BF$4))</f>
        <v/>
      </c>
      <c r="BG108" s="80">
        <f>IF(Credit_Assumptions!$C$5=1,BG81,INDEX(Credit_Input!$P$72:$P$131,BG$4))</f>
        <v/>
      </c>
      <c r="BH108" s="80">
        <f>IF(Credit_Assumptions!$C$5=1,BH81,INDEX(Credit_Input!$P$72:$P$131,BH$4))</f>
        <v/>
      </c>
      <c r="BI108" s="80">
        <f>IF(Credit_Assumptions!$C$5=1,BI81,INDEX(Credit_Input!$P$72:$P$131,BI$4))</f>
        <v/>
      </c>
      <c r="BJ108" s="80">
        <f>IF(Credit_Assumptions!$C$5=1,BJ81,INDEX(Credit_Input!$P$72:$P$131,BJ$4))</f>
        <v/>
      </c>
      <c r="BK108" s="80">
        <f>IF(Credit_Assumptions!$C$5=1,BK81,INDEX(Credit_Input!$P$72:$P$131,BK$4))</f>
        <v/>
      </c>
      <c r="BL108" s="80">
        <f>IF(Credit_Assumptions!$C$5=1,BL81,INDEX(Credit_Input!$P$72:$P$131,BL$4))</f>
        <v/>
      </c>
    </row>
    <row r="109">
      <c r="A109" s="98" t="inlineStr">
        <is>
          <t>Collections</t>
        </is>
      </c>
      <c r="B109" s="65" t="inlineStr">
        <is>
          <t>LCY</t>
        </is>
      </c>
      <c r="C109" s="105">
        <f>SUM(E109:BL109)</f>
        <v/>
      </c>
      <c r="E109" s="80">
        <f>IF(Credit_Assumptions!$C$5=1,E82,INDEX(Credit_Input!$Q$72:$Q$131,E$4))</f>
        <v/>
      </c>
      <c r="F109" s="80">
        <f>IF(Credit_Assumptions!$C$5=1,F82,INDEX(Credit_Input!$Q$72:$Q$131,F$4))</f>
        <v/>
      </c>
      <c r="G109" s="80">
        <f>IF(Credit_Assumptions!$C$5=1,G82,INDEX(Credit_Input!$Q$72:$Q$131,G$4))</f>
        <v/>
      </c>
      <c r="H109" s="80">
        <f>IF(Credit_Assumptions!$C$5=1,H82,INDEX(Credit_Input!$Q$72:$Q$131,H$4))</f>
        <v/>
      </c>
      <c r="I109" s="80">
        <f>IF(Credit_Assumptions!$C$5=1,I82,INDEX(Credit_Input!$Q$72:$Q$131,I$4))</f>
        <v/>
      </c>
      <c r="J109" s="80">
        <f>IF(Credit_Assumptions!$C$5=1,J82,INDEX(Credit_Input!$Q$72:$Q$131,J$4))</f>
        <v/>
      </c>
      <c r="K109" s="80">
        <f>IF(Credit_Assumptions!$C$5=1,K82,INDEX(Credit_Input!$Q$72:$Q$131,K$4))</f>
        <v/>
      </c>
      <c r="L109" s="80">
        <f>IF(Credit_Assumptions!$C$5=1,L82,INDEX(Credit_Input!$Q$72:$Q$131,L$4))</f>
        <v/>
      </c>
      <c r="M109" s="80">
        <f>IF(Credit_Assumptions!$C$5=1,M82,INDEX(Credit_Input!$Q$72:$Q$131,M$4))</f>
        <v/>
      </c>
      <c r="N109" s="80">
        <f>IF(Credit_Assumptions!$C$5=1,N82,INDEX(Credit_Input!$Q$72:$Q$131,N$4))</f>
        <v/>
      </c>
      <c r="O109" s="80">
        <f>IF(Credit_Assumptions!$C$5=1,O82,INDEX(Credit_Input!$Q$72:$Q$131,O$4))</f>
        <v/>
      </c>
      <c r="P109" s="80">
        <f>IF(Credit_Assumptions!$C$5=1,P82,INDEX(Credit_Input!$Q$72:$Q$131,P$4))</f>
        <v/>
      </c>
      <c r="Q109" s="80">
        <f>IF(Credit_Assumptions!$C$5=1,Q82,INDEX(Credit_Input!$Q$72:$Q$131,Q$4))</f>
        <v/>
      </c>
      <c r="R109" s="80">
        <f>IF(Credit_Assumptions!$C$5=1,R82,INDEX(Credit_Input!$Q$72:$Q$131,R$4))</f>
        <v/>
      </c>
      <c r="S109" s="80">
        <f>IF(Credit_Assumptions!$C$5=1,S82,INDEX(Credit_Input!$Q$72:$Q$131,S$4))</f>
        <v/>
      </c>
      <c r="T109" s="80">
        <f>IF(Credit_Assumptions!$C$5=1,T82,INDEX(Credit_Input!$Q$72:$Q$131,T$4))</f>
        <v/>
      </c>
      <c r="U109" s="80">
        <f>IF(Credit_Assumptions!$C$5=1,U82,INDEX(Credit_Input!$Q$72:$Q$131,U$4))</f>
        <v/>
      </c>
      <c r="V109" s="80">
        <f>IF(Credit_Assumptions!$C$5=1,V82,INDEX(Credit_Input!$Q$72:$Q$131,V$4))</f>
        <v/>
      </c>
      <c r="W109" s="80">
        <f>IF(Credit_Assumptions!$C$5=1,W82,INDEX(Credit_Input!$Q$72:$Q$131,W$4))</f>
        <v/>
      </c>
      <c r="X109" s="80">
        <f>IF(Credit_Assumptions!$C$5=1,X82,INDEX(Credit_Input!$Q$72:$Q$131,X$4))</f>
        <v/>
      </c>
      <c r="Y109" s="80">
        <f>IF(Credit_Assumptions!$C$5=1,Y82,INDEX(Credit_Input!$Q$72:$Q$131,Y$4))</f>
        <v/>
      </c>
      <c r="Z109" s="80">
        <f>IF(Credit_Assumptions!$C$5=1,Z82,INDEX(Credit_Input!$Q$72:$Q$131,Z$4))</f>
        <v/>
      </c>
      <c r="AA109" s="80">
        <f>IF(Credit_Assumptions!$C$5=1,AA82,INDEX(Credit_Input!$Q$72:$Q$131,AA$4))</f>
        <v/>
      </c>
      <c r="AB109" s="80">
        <f>IF(Credit_Assumptions!$C$5=1,AB82,INDEX(Credit_Input!$Q$72:$Q$131,AB$4))</f>
        <v/>
      </c>
      <c r="AC109" s="80">
        <f>IF(Credit_Assumptions!$C$5=1,AC82,INDEX(Credit_Input!$Q$72:$Q$131,AC$4))</f>
        <v/>
      </c>
      <c r="AD109" s="80">
        <f>IF(Credit_Assumptions!$C$5=1,AD82,INDEX(Credit_Input!$Q$72:$Q$131,AD$4))</f>
        <v/>
      </c>
      <c r="AE109" s="80">
        <f>IF(Credit_Assumptions!$C$5=1,AE82,INDEX(Credit_Input!$Q$72:$Q$131,AE$4))</f>
        <v/>
      </c>
      <c r="AF109" s="80">
        <f>IF(Credit_Assumptions!$C$5=1,AF82,INDEX(Credit_Input!$Q$72:$Q$131,AF$4))</f>
        <v/>
      </c>
      <c r="AG109" s="80">
        <f>IF(Credit_Assumptions!$C$5=1,AG82,INDEX(Credit_Input!$Q$72:$Q$131,AG$4))</f>
        <v/>
      </c>
      <c r="AH109" s="80">
        <f>IF(Credit_Assumptions!$C$5=1,AH82,INDEX(Credit_Input!$Q$72:$Q$131,AH$4))</f>
        <v/>
      </c>
      <c r="AI109" s="80">
        <f>IF(Credit_Assumptions!$C$5=1,AI82,INDEX(Credit_Input!$Q$72:$Q$131,AI$4))</f>
        <v/>
      </c>
      <c r="AJ109" s="80">
        <f>IF(Credit_Assumptions!$C$5=1,AJ82,INDEX(Credit_Input!$Q$72:$Q$131,AJ$4))</f>
        <v/>
      </c>
      <c r="AK109" s="80">
        <f>IF(Credit_Assumptions!$C$5=1,AK82,INDEX(Credit_Input!$Q$72:$Q$131,AK$4))</f>
        <v/>
      </c>
      <c r="AL109" s="80">
        <f>IF(Credit_Assumptions!$C$5=1,AL82,INDEX(Credit_Input!$Q$72:$Q$131,AL$4))</f>
        <v/>
      </c>
      <c r="AM109" s="80">
        <f>IF(Credit_Assumptions!$C$5=1,AM82,INDEX(Credit_Input!$Q$72:$Q$131,AM$4))</f>
        <v/>
      </c>
      <c r="AN109" s="80">
        <f>IF(Credit_Assumptions!$C$5=1,AN82,INDEX(Credit_Input!$Q$72:$Q$131,AN$4))</f>
        <v/>
      </c>
      <c r="AO109" s="80">
        <f>IF(Credit_Assumptions!$C$5=1,AO82,INDEX(Credit_Input!$Q$72:$Q$131,AO$4))</f>
        <v/>
      </c>
      <c r="AP109" s="80">
        <f>IF(Credit_Assumptions!$C$5=1,AP82,INDEX(Credit_Input!$Q$72:$Q$131,AP$4))</f>
        <v/>
      </c>
      <c r="AQ109" s="80">
        <f>IF(Credit_Assumptions!$C$5=1,AQ82,INDEX(Credit_Input!$Q$72:$Q$131,AQ$4))</f>
        <v/>
      </c>
      <c r="AR109" s="80">
        <f>IF(Credit_Assumptions!$C$5=1,AR82,INDEX(Credit_Input!$Q$72:$Q$131,AR$4))</f>
        <v/>
      </c>
      <c r="AS109" s="80">
        <f>IF(Credit_Assumptions!$C$5=1,AS82,INDEX(Credit_Input!$Q$72:$Q$131,AS$4))</f>
        <v/>
      </c>
      <c r="AT109" s="80">
        <f>IF(Credit_Assumptions!$C$5=1,AT82,INDEX(Credit_Input!$Q$72:$Q$131,AT$4))</f>
        <v/>
      </c>
      <c r="AU109" s="80">
        <f>IF(Credit_Assumptions!$C$5=1,AU82,INDEX(Credit_Input!$Q$72:$Q$131,AU$4))</f>
        <v/>
      </c>
      <c r="AV109" s="80">
        <f>IF(Credit_Assumptions!$C$5=1,AV82,INDEX(Credit_Input!$Q$72:$Q$131,AV$4))</f>
        <v/>
      </c>
      <c r="AW109" s="80">
        <f>IF(Credit_Assumptions!$C$5=1,AW82,INDEX(Credit_Input!$Q$72:$Q$131,AW$4))</f>
        <v/>
      </c>
      <c r="AX109" s="80">
        <f>IF(Credit_Assumptions!$C$5=1,AX82,INDEX(Credit_Input!$Q$72:$Q$131,AX$4))</f>
        <v/>
      </c>
      <c r="AY109" s="80">
        <f>IF(Credit_Assumptions!$C$5=1,AY82,INDEX(Credit_Input!$Q$72:$Q$131,AY$4))</f>
        <v/>
      </c>
      <c r="AZ109" s="80">
        <f>IF(Credit_Assumptions!$C$5=1,AZ82,INDEX(Credit_Input!$Q$72:$Q$131,AZ$4))</f>
        <v/>
      </c>
      <c r="BA109" s="80">
        <f>IF(Credit_Assumptions!$C$5=1,BA82,INDEX(Credit_Input!$Q$72:$Q$131,BA$4))</f>
        <v/>
      </c>
      <c r="BB109" s="80">
        <f>IF(Credit_Assumptions!$C$5=1,BB82,INDEX(Credit_Input!$Q$72:$Q$131,BB$4))</f>
        <v/>
      </c>
      <c r="BC109" s="80">
        <f>IF(Credit_Assumptions!$C$5=1,BC82,INDEX(Credit_Input!$Q$72:$Q$131,BC$4))</f>
        <v/>
      </c>
      <c r="BD109" s="80">
        <f>IF(Credit_Assumptions!$C$5=1,BD82,INDEX(Credit_Input!$Q$72:$Q$131,BD$4))</f>
        <v/>
      </c>
      <c r="BE109" s="80">
        <f>IF(Credit_Assumptions!$C$5=1,BE82,INDEX(Credit_Input!$Q$72:$Q$131,BE$4))</f>
        <v/>
      </c>
      <c r="BF109" s="80">
        <f>IF(Credit_Assumptions!$C$5=1,BF82,INDEX(Credit_Input!$Q$72:$Q$131,BF$4))</f>
        <v/>
      </c>
      <c r="BG109" s="80">
        <f>IF(Credit_Assumptions!$C$5=1,BG82,INDEX(Credit_Input!$Q$72:$Q$131,BG$4))</f>
        <v/>
      </c>
      <c r="BH109" s="80">
        <f>IF(Credit_Assumptions!$C$5=1,BH82,INDEX(Credit_Input!$Q$72:$Q$131,BH$4))</f>
        <v/>
      </c>
      <c r="BI109" s="80">
        <f>IF(Credit_Assumptions!$C$5=1,BI82,INDEX(Credit_Input!$Q$72:$Q$131,BI$4))</f>
        <v/>
      </c>
      <c r="BJ109" s="80">
        <f>IF(Credit_Assumptions!$C$5=1,BJ82,INDEX(Credit_Input!$Q$72:$Q$131,BJ$4))</f>
        <v/>
      </c>
      <c r="BK109" s="80">
        <f>IF(Credit_Assumptions!$C$5=1,BK82,INDEX(Credit_Input!$Q$72:$Q$131,BK$4))</f>
        <v/>
      </c>
      <c r="BL109" s="80">
        <f>IF(Credit_Assumptions!$C$5=1,BL82,INDEX(Credit_Input!$Q$72:$Q$131,BL$4))</f>
        <v/>
      </c>
    </row>
    <row r="110">
      <c r="A110" s="98" t="inlineStr">
        <is>
          <t>Instalments due</t>
        </is>
      </c>
      <c r="B110" s="65" t="inlineStr">
        <is>
          <t>LCY</t>
        </is>
      </c>
      <c r="C110" s="105">
        <f>SUM(E110:BL110)</f>
        <v/>
      </c>
      <c r="E110" s="80">
        <f>IF(Credit_Assumptions!$C$5=1,E83,INDEX(Credit_Input!$R$72:$R$131,E$4))</f>
        <v/>
      </c>
      <c r="F110" s="80">
        <f>IF(Credit_Assumptions!$C$5=1,F83,INDEX(Credit_Input!$R$72:$R$131,F$4))</f>
        <v/>
      </c>
      <c r="G110" s="80">
        <f>IF(Credit_Assumptions!$C$5=1,G83,INDEX(Credit_Input!$R$72:$R$131,G$4))</f>
        <v/>
      </c>
      <c r="H110" s="80">
        <f>IF(Credit_Assumptions!$C$5=1,H83,INDEX(Credit_Input!$R$72:$R$131,H$4))</f>
        <v/>
      </c>
      <c r="I110" s="80">
        <f>IF(Credit_Assumptions!$C$5=1,I83,INDEX(Credit_Input!$R$72:$R$131,I$4))</f>
        <v/>
      </c>
      <c r="J110" s="80">
        <f>IF(Credit_Assumptions!$C$5=1,J83,INDEX(Credit_Input!$R$72:$R$131,J$4))</f>
        <v/>
      </c>
      <c r="K110" s="80">
        <f>IF(Credit_Assumptions!$C$5=1,K83,INDEX(Credit_Input!$R$72:$R$131,K$4))</f>
        <v/>
      </c>
      <c r="L110" s="80">
        <f>IF(Credit_Assumptions!$C$5=1,L83,INDEX(Credit_Input!$R$72:$R$131,L$4))</f>
        <v/>
      </c>
      <c r="M110" s="80">
        <f>IF(Credit_Assumptions!$C$5=1,M83,INDEX(Credit_Input!$R$72:$R$131,M$4))</f>
        <v/>
      </c>
      <c r="N110" s="80">
        <f>IF(Credit_Assumptions!$C$5=1,N83,INDEX(Credit_Input!$R$72:$R$131,N$4))</f>
        <v/>
      </c>
      <c r="O110" s="80">
        <f>IF(Credit_Assumptions!$C$5=1,O83,INDEX(Credit_Input!$R$72:$R$131,O$4))</f>
        <v/>
      </c>
      <c r="P110" s="80">
        <f>IF(Credit_Assumptions!$C$5=1,P83,INDEX(Credit_Input!$R$72:$R$131,P$4))</f>
        <v/>
      </c>
      <c r="Q110" s="80">
        <f>IF(Credit_Assumptions!$C$5=1,Q83,INDEX(Credit_Input!$R$72:$R$131,Q$4))</f>
        <v/>
      </c>
      <c r="R110" s="80">
        <f>IF(Credit_Assumptions!$C$5=1,R83,INDEX(Credit_Input!$R$72:$R$131,R$4))</f>
        <v/>
      </c>
      <c r="S110" s="80">
        <f>IF(Credit_Assumptions!$C$5=1,S83,INDEX(Credit_Input!$R$72:$R$131,S$4))</f>
        <v/>
      </c>
      <c r="T110" s="80">
        <f>IF(Credit_Assumptions!$C$5=1,T83,INDEX(Credit_Input!$R$72:$R$131,T$4))</f>
        <v/>
      </c>
      <c r="U110" s="80">
        <f>IF(Credit_Assumptions!$C$5=1,U83,INDEX(Credit_Input!$R$72:$R$131,U$4))</f>
        <v/>
      </c>
      <c r="V110" s="80">
        <f>IF(Credit_Assumptions!$C$5=1,V83,INDEX(Credit_Input!$R$72:$R$131,V$4))</f>
        <v/>
      </c>
      <c r="W110" s="80">
        <f>IF(Credit_Assumptions!$C$5=1,W83,INDEX(Credit_Input!$R$72:$R$131,W$4))</f>
        <v/>
      </c>
      <c r="X110" s="80">
        <f>IF(Credit_Assumptions!$C$5=1,X83,INDEX(Credit_Input!$R$72:$R$131,X$4))</f>
        <v/>
      </c>
      <c r="Y110" s="80">
        <f>IF(Credit_Assumptions!$C$5=1,Y83,INDEX(Credit_Input!$R$72:$R$131,Y$4))</f>
        <v/>
      </c>
      <c r="Z110" s="80">
        <f>IF(Credit_Assumptions!$C$5=1,Z83,INDEX(Credit_Input!$R$72:$R$131,Z$4))</f>
        <v/>
      </c>
      <c r="AA110" s="80">
        <f>IF(Credit_Assumptions!$C$5=1,AA83,INDEX(Credit_Input!$R$72:$R$131,AA$4))</f>
        <v/>
      </c>
      <c r="AB110" s="80">
        <f>IF(Credit_Assumptions!$C$5=1,AB83,INDEX(Credit_Input!$R$72:$R$131,AB$4))</f>
        <v/>
      </c>
      <c r="AC110" s="80">
        <f>IF(Credit_Assumptions!$C$5=1,AC83,INDEX(Credit_Input!$R$72:$R$131,AC$4))</f>
        <v/>
      </c>
      <c r="AD110" s="80">
        <f>IF(Credit_Assumptions!$C$5=1,AD83,INDEX(Credit_Input!$R$72:$R$131,AD$4))</f>
        <v/>
      </c>
      <c r="AE110" s="80">
        <f>IF(Credit_Assumptions!$C$5=1,AE83,INDEX(Credit_Input!$R$72:$R$131,AE$4))</f>
        <v/>
      </c>
      <c r="AF110" s="80">
        <f>IF(Credit_Assumptions!$C$5=1,AF83,INDEX(Credit_Input!$R$72:$R$131,AF$4))</f>
        <v/>
      </c>
      <c r="AG110" s="80">
        <f>IF(Credit_Assumptions!$C$5=1,AG83,INDEX(Credit_Input!$R$72:$R$131,AG$4))</f>
        <v/>
      </c>
      <c r="AH110" s="80">
        <f>IF(Credit_Assumptions!$C$5=1,AH83,INDEX(Credit_Input!$R$72:$R$131,AH$4))</f>
        <v/>
      </c>
      <c r="AI110" s="80">
        <f>IF(Credit_Assumptions!$C$5=1,AI83,INDEX(Credit_Input!$R$72:$R$131,AI$4))</f>
        <v/>
      </c>
      <c r="AJ110" s="80">
        <f>IF(Credit_Assumptions!$C$5=1,AJ83,INDEX(Credit_Input!$R$72:$R$131,AJ$4))</f>
        <v/>
      </c>
      <c r="AK110" s="80">
        <f>IF(Credit_Assumptions!$C$5=1,AK83,INDEX(Credit_Input!$R$72:$R$131,AK$4))</f>
        <v/>
      </c>
      <c r="AL110" s="80">
        <f>IF(Credit_Assumptions!$C$5=1,AL83,INDEX(Credit_Input!$R$72:$R$131,AL$4))</f>
        <v/>
      </c>
      <c r="AM110" s="80">
        <f>IF(Credit_Assumptions!$C$5=1,AM83,INDEX(Credit_Input!$R$72:$R$131,AM$4))</f>
        <v/>
      </c>
      <c r="AN110" s="80">
        <f>IF(Credit_Assumptions!$C$5=1,AN83,INDEX(Credit_Input!$R$72:$R$131,AN$4))</f>
        <v/>
      </c>
      <c r="AO110" s="80">
        <f>IF(Credit_Assumptions!$C$5=1,AO83,INDEX(Credit_Input!$R$72:$R$131,AO$4))</f>
        <v/>
      </c>
      <c r="AP110" s="80">
        <f>IF(Credit_Assumptions!$C$5=1,AP83,INDEX(Credit_Input!$R$72:$R$131,AP$4))</f>
        <v/>
      </c>
      <c r="AQ110" s="80">
        <f>IF(Credit_Assumptions!$C$5=1,AQ83,INDEX(Credit_Input!$R$72:$R$131,AQ$4))</f>
        <v/>
      </c>
      <c r="AR110" s="80">
        <f>IF(Credit_Assumptions!$C$5=1,AR83,INDEX(Credit_Input!$R$72:$R$131,AR$4))</f>
        <v/>
      </c>
      <c r="AS110" s="80">
        <f>IF(Credit_Assumptions!$C$5=1,AS83,INDEX(Credit_Input!$R$72:$R$131,AS$4))</f>
        <v/>
      </c>
      <c r="AT110" s="80">
        <f>IF(Credit_Assumptions!$C$5=1,AT83,INDEX(Credit_Input!$R$72:$R$131,AT$4))</f>
        <v/>
      </c>
      <c r="AU110" s="80">
        <f>IF(Credit_Assumptions!$C$5=1,AU83,INDEX(Credit_Input!$R$72:$R$131,AU$4))</f>
        <v/>
      </c>
      <c r="AV110" s="80">
        <f>IF(Credit_Assumptions!$C$5=1,AV83,INDEX(Credit_Input!$R$72:$R$131,AV$4))</f>
        <v/>
      </c>
      <c r="AW110" s="80">
        <f>IF(Credit_Assumptions!$C$5=1,AW83,INDEX(Credit_Input!$R$72:$R$131,AW$4))</f>
        <v/>
      </c>
      <c r="AX110" s="80">
        <f>IF(Credit_Assumptions!$C$5=1,AX83,INDEX(Credit_Input!$R$72:$R$131,AX$4))</f>
        <v/>
      </c>
      <c r="AY110" s="80">
        <f>IF(Credit_Assumptions!$C$5=1,AY83,INDEX(Credit_Input!$R$72:$R$131,AY$4))</f>
        <v/>
      </c>
      <c r="AZ110" s="80">
        <f>IF(Credit_Assumptions!$C$5=1,AZ83,INDEX(Credit_Input!$R$72:$R$131,AZ$4))</f>
        <v/>
      </c>
      <c r="BA110" s="80">
        <f>IF(Credit_Assumptions!$C$5=1,BA83,INDEX(Credit_Input!$R$72:$R$131,BA$4))</f>
        <v/>
      </c>
      <c r="BB110" s="80">
        <f>IF(Credit_Assumptions!$C$5=1,BB83,INDEX(Credit_Input!$R$72:$R$131,BB$4))</f>
        <v/>
      </c>
      <c r="BC110" s="80">
        <f>IF(Credit_Assumptions!$C$5=1,BC83,INDEX(Credit_Input!$R$72:$R$131,BC$4))</f>
        <v/>
      </c>
      <c r="BD110" s="80">
        <f>IF(Credit_Assumptions!$C$5=1,BD83,INDEX(Credit_Input!$R$72:$R$131,BD$4))</f>
        <v/>
      </c>
      <c r="BE110" s="80">
        <f>IF(Credit_Assumptions!$C$5=1,BE83,INDEX(Credit_Input!$R$72:$R$131,BE$4))</f>
        <v/>
      </c>
      <c r="BF110" s="80">
        <f>IF(Credit_Assumptions!$C$5=1,BF83,INDEX(Credit_Input!$R$72:$R$131,BF$4))</f>
        <v/>
      </c>
      <c r="BG110" s="80">
        <f>IF(Credit_Assumptions!$C$5=1,BG83,INDEX(Credit_Input!$R$72:$R$131,BG$4))</f>
        <v/>
      </c>
      <c r="BH110" s="80">
        <f>IF(Credit_Assumptions!$C$5=1,BH83,INDEX(Credit_Input!$R$72:$R$131,BH$4))</f>
        <v/>
      </c>
      <c r="BI110" s="80">
        <f>IF(Credit_Assumptions!$C$5=1,BI83,INDEX(Credit_Input!$R$72:$R$131,BI$4))</f>
        <v/>
      </c>
      <c r="BJ110" s="80">
        <f>IF(Credit_Assumptions!$C$5=1,BJ83,INDEX(Credit_Input!$R$72:$R$131,BJ$4))</f>
        <v/>
      </c>
      <c r="BK110" s="80">
        <f>IF(Credit_Assumptions!$C$5=1,BK83,INDEX(Credit_Input!$R$72:$R$131,BK$4))</f>
        <v/>
      </c>
      <c r="BL110" s="80">
        <f>IF(Credit_Assumptions!$C$5=1,BL83,INDEX(Credit_Input!$R$72:$R$131,BL$4))</f>
        <v/>
      </c>
    </row>
    <row r="111">
      <c r="A111" s="98" t="inlineStr">
        <is>
          <t>Ownership events (unlocks)</t>
        </is>
      </c>
      <c r="B111" s="65" t="inlineStr">
        <is>
          <t>LCY</t>
        </is>
      </c>
      <c r="C111" s="105">
        <f>SUM(E111:BL111)</f>
        <v/>
      </c>
      <c r="E111" s="80">
        <f>IF(Credit_Assumptions!$C$5=1,E84,INDEX(Credit_Input!$S$72:$S$131,E$4))</f>
        <v/>
      </c>
      <c r="F111" s="80">
        <f>IF(Credit_Assumptions!$C$5=1,F84,INDEX(Credit_Input!$S$72:$S$131,F$4))</f>
        <v/>
      </c>
      <c r="G111" s="80">
        <f>IF(Credit_Assumptions!$C$5=1,G84,INDEX(Credit_Input!$S$72:$S$131,G$4))</f>
        <v/>
      </c>
      <c r="H111" s="80">
        <f>IF(Credit_Assumptions!$C$5=1,H84,INDEX(Credit_Input!$S$72:$S$131,H$4))</f>
        <v/>
      </c>
      <c r="I111" s="80">
        <f>IF(Credit_Assumptions!$C$5=1,I84,INDEX(Credit_Input!$S$72:$S$131,I$4))</f>
        <v/>
      </c>
      <c r="J111" s="80">
        <f>IF(Credit_Assumptions!$C$5=1,J84,INDEX(Credit_Input!$S$72:$S$131,J$4))</f>
        <v/>
      </c>
      <c r="K111" s="80">
        <f>IF(Credit_Assumptions!$C$5=1,K84,INDEX(Credit_Input!$S$72:$S$131,K$4))</f>
        <v/>
      </c>
      <c r="L111" s="80">
        <f>IF(Credit_Assumptions!$C$5=1,L84,INDEX(Credit_Input!$S$72:$S$131,L$4))</f>
        <v/>
      </c>
      <c r="M111" s="80">
        <f>IF(Credit_Assumptions!$C$5=1,M84,INDEX(Credit_Input!$S$72:$S$131,M$4))</f>
        <v/>
      </c>
      <c r="N111" s="80">
        <f>IF(Credit_Assumptions!$C$5=1,N84,INDEX(Credit_Input!$S$72:$S$131,N$4))</f>
        <v/>
      </c>
      <c r="O111" s="80">
        <f>IF(Credit_Assumptions!$C$5=1,O84,INDEX(Credit_Input!$S$72:$S$131,O$4))</f>
        <v/>
      </c>
      <c r="P111" s="80">
        <f>IF(Credit_Assumptions!$C$5=1,P84,INDEX(Credit_Input!$S$72:$S$131,P$4))</f>
        <v/>
      </c>
      <c r="Q111" s="80">
        <f>IF(Credit_Assumptions!$C$5=1,Q84,INDEX(Credit_Input!$S$72:$S$131,Q$4))</f>
        <v/>
      </c>
      <c r="R111" s="80">
        <f>IF(Credit_Assumptions!$C$5=1,R84,INDEX(Credit_Input!$S$72:$S$131,R$4))</f>
        <v/>
      </c>
      <c r="S111" s="80">
        <f>IF(Credit_Assumptions!$C$5=1,S84,INDEX(Credit_Input!$S$72:$S$131,S$4))</f>
        <v/>
      </c>
      <c r="T111" s="80">
        <f>IF(Credit_Assumptions!$C$5=1,T84,INDEX(Credit_Input!$S$72:$S$131,T$4))</f>
        <v/>
      </c>
      <c r="U111" s="80">
        <f>IF(Credit_Assumptions!$C$5=1,U84,INDEX(Credit_Input!$S$72:$S$131,U$4))</f>
        <v/>
      </c>
      <c r="V111" s="80">
        <f>IF(Credit_Assumptions!$C$5=1,V84,INDEX(Credit_Input!$S$72:$S$131,V$4))</f>
        <v/>
      </c>
      <c r="W111" s="80">
        <f>IF(Credit_Assumptions!$C$5=1,W84,INDEX(Credit_Input!$S$72:$S$131,W$4))</f>
        <v/>
      </c>
      <c r="X111" s="80">
        <f>IF(Credit_Assumptions!$C$5=1,X84,INDEX(Credit_Input!$S$72:$S$131,X$4))</f>
        <v/>
      </c>
      <c r="Y111" s="80">
        <f>IF(Credit_Assumptions!$C$5=1,Y84,INDEX(Credit_Input!$S$72:$S$131,Y$4))</f>
        <v/>
      </c>
      <c r="Z111" s="80">
        <f>IF(Credit_Assumptions!$C$5=1,Z84,INDEX(Credit_Input!$S$72:$S$131,Z$4))</f>
        <v/>
      </c>
      <c r="AA111" s="80">
        <f>IF(Credit_Assumptions!$C$5=1,AA84,INDEX(Credit_Input!$S$72:$S$131,AA$4))</f>
        <v/>
      </c>
      <c r="AB111" s="80">
        <f>IF(Credit_Assumptions!$C$5=1,AB84,INDEX(Credit_Input!$S$72:$S$131,AB$4))</f>
        <v/>
      </c>
      <c r="AC111" s="80">
        <f>IF(Credit_Assumptions!$C$5=1,AC84,INDEX(Credit_Input!$S$72:$S$131,AC$4))</f>
        <v/>
      </c>
      <c r="AD111" s="80">
        <f>IF(Credit_Assumptions!$C$5=1,AD84,INDEX(Credit_Input!$S$72:$S$131,AD$4))</f>
        <v/>
      </c>
      <c r="AE111" s="80">
        <f>IF(Credit_Assumptions!$C$5=1,AE84,INDEX(Credit_Input!$S$72:$S$131,AE$4))</f>
        <v/>
      </c>
      <c r="AF111" s="80">
        <f>IF(Credit_Assumptions!$C$5=1,AF84,INDEX(Credit_Input!$S$72:$S$131,AF$4))</f>
        <v/>
      </c>
      <c r="AG111" s="80">
        <f>IF(Credit_Assumptions!$C$5=1,AG84,INDEX(Credit_Input!$S$72:$S$131,AG$4))</f>
        <v/>
      </c>
      <c r="AH111" s="80">
        <f>IF(Credit_Assumptions!$C$5=1,AH84,INDEX(Credit_Input!$S$72:$S$131,AH$4))</f>
        <v/>
      </c>
      <c r="AI111" s="80">
        <f>IF(Credit_Assumptions!$C$5=1,AI84,INDEX(Credit_Input!$S$72:$S$131,AI$4))</f>
        <v/>
      </c>
      <c r="AJ111" s="80">
        <f>IF(Credit_Assumptions!$C$5=1,AJ84,INDEX(Credit_Input!$S$72:$S$131,AJ$4))</f>
        <v/>
      </c>
      <c r="AK111" s="80">
        <f>IF(Credit_Assumptions!$C$5=1,AK84,INDEX(Credit_Input!$S$72:$S$131,AK$4))</f>
        <v/>
      </c>
      <c r="AL111" s="80">
        <f>IF(Credit_Assumptions!$C$5=1,AL84,INDEX(Credit_Input!$S$72:$S$131,AL$4))</f>
        <v/>
      </c>
      <c r="AM111" s="80">
        <f>IF(Credit_Assumptions!$C$5=1,AM84,INDEX(Credit_Input!$S$72:$S$131,AM$4))</f>
        <v/>
      </c>
      <c r="AN111" s="80">
        <f>IF(Credit_Assumptions!$C$5=1,AN84,INDEX(Credit_Input!$S$72:$S$131,AN$4))</f>
        <v/>
      </c>
      <c r="AO111" s="80">
        <f>IF(Credit_Assumptions!$C$5=1,AO84,INDEX(Credit_Input!$S$72:$S$131,AO$4))</f>
        <v/>
      </c>
      <c r="AP111" s="80">
        <f>IF(Credit_Assumptions!$C$5=1,AP84,INDEX(Credit_Input!$S$72:$S$131,AP$4))</f>
        <v/>
      </c>
      <c r="AQ111" s="80">
        <f>IF(Credit_Assumptions!$C$5=1,AQ84,INDEX(Credit_Input!$S$72:$S$131,AQ$4))</f>
        <v/>
      </c>
      <c r="AR111" s="80">
        <f>IF(Credit_Assumptions!$C$5=1,AR84,INDEX(Credit_Input!$S$72:$S$131,AR$4))</f>
        <v/>
      </c>
      <c r="AS111" s="80">
        <f>IF(Credit_Assumptions!$C$5=1,AS84,INDEX(Credit_Input!$S$72:$S$131,AS$4))</f>
        <v/>
      </c>
      <c r="AT111" s="80">
        <f>IF(Credit_Assumptions!$C$5=1,AT84,INDEX(Credit_Input!$S$72:$S$131,AT$4))</f>
        <v/>
      </c>
      <c r="AU111" s="80">
        <f>IF(Credit_Assumptions!$C$5=1,AU84,INDEX(Credit_Input!$S$72:$S$131,AU$4))</f>
        <v/>
      </c>
      <c r="AV111" s="80">
        <f>IF(Credit_Assumptions!$C$5=1,AV84,INDEX(Credit_Input!$S$72:$S$131,AV$4))</f>
        <v/>
      </c>
      <c r="AW111" s="80">
        <f>IF(Credit_Assumptions!$C$5=1,AW84,INDEX(Credit_Input!$S$72:$S$131,AW$4))</f>
        <v/>
      </c>
      <c r="AX111" s="80">
        <f>IF(Credit_Assumptions!$C$5=1,AX84,INDEX(Credit_Input!$S$72:$S$131,AX$4))</f>
        <v/>
      </c>
      <c r="AY111" s="80">
        <f>IF(Credit_Assumptions!$C$5=1,AY84,INDEX(Credit_Input!$S$72:$S$131,AY$4))</f>
        <v/>
      </c>
      <c r="AZ111" s="80">
        <f>IF(Credit_Assumptions!$C$5=1,AZ84,INDEX(Credit_Input!$S$72:$S$131,AZ$4))</f>
        <v/>
      </c>
      <c r="BA111" s="80">
        <f>IF(Credit_Assumptions!$C$5=1,BA84,INDEX(Credit_Input!$S$72:$S$131,BA$4))</f>
        <v/>
      </c>
      <c r="BB111" s="80">
        <f>IF(Credit_Assumptions!$C$5=1,BB84,INDEX(Credit_Input!$S$72:$S$131,BB$4))</f>
        <v/>
      </c>
      <c r="BC111" s="80">
        <f>IF(Credit_Assumptions!$C$5=1,BC84,INDEX(Credit_Input!$S$72:$S$131,BC$4))</f>
        <v/>
      </c>
      <c r="BD111" s="80">
        <f>IF(Credit_Assumptions!$C$5=1,BD84,INDEX(Credit_Input!$S$72:$S$131,BD$4))</f>
        <v/>
      </c>
      <c r="BE111" s="80">
        <f>IF(Credit_Assumptions!$C$5=1,BE84,INDEX(Credit_Input!$S$72:$S$131,BE$4))</f>
        <v/>
      </c>
      <c r="BF111" s="80">
        <f>IF(Credit_Assumptions!$C$5=1,BF84,INDEX(Credit_Input!$S$72:$S$131,BF$4))</f>
        <v/>
      </c>
      <c r="BG111" s="80">
        <f>IF(Credit_Assumptions!$C$5=1,BG84,INDEX(Credit_Input!$S$72:$S$131,BG$4))</f>
        <v/>
      </c>
      <c r="BH111" s="80">
        <f>IF(Credit_Assumptions!$C$5=1,BH84,INDEX(Credit_Input!$S$72:$S$131,BH$4))</f>
        <v/>
      </c>
      <c r="BI111" s="80">
        <f>IF(Credit_Assumptions!$C$5=1,BI84,INDEX(Credit_Input!$S$72:$S$131,BI$4))</f>
        <v/>
      </c>
      <c r="BJ111" s="80">
        <f>IF(Credit_Assumptions!$C$5=1,BJ84,INDEX(Credit_Input!$S$72:$S$131,BJ$4))</f>
        <v/>
      </c>
      <c r="BK111" s="80">
        <f>IF(Credit_Assumptions!$C$5=1,BK84,INDEX(Credit_Input!$S$72:$S$131,BK$4))</f>
        <v/>
      </c>
      <c r="BL111" s="80">
        <f>IF(Credit_Assumptions!$C$5=1,BL84,INDEX(Credit_Input!$S$72:$S$131,BL$4))</f>
        <v/>
      </c>
    </row>
    <row r="112">
      <c r="A112" s="98" t="inlineStr">
        <is>
          <t>Observed repayment rate (collections / due)</t>
        </is>
      </c>
      <c r="B112" s="65" t="inlineStr">
        <is>
          <t>%</t>
        </is>
      </c>
      <c r="E112" s="81">
        <f>IF(E110=0,0,E109/E110)</f>
        <v/>
      </c>
      <c r="F112" s="81">
        <f>IF(F110=0,0,F109/F110)</f>
        <v/>
      </c>
      <c r="G112" s="81">
        <f>IF(G110=0,0,G109/G110)</f>
        <v/>
      </c>
      <c r="H112" s="81">
        <f>IF(H110=0,0,H109/H110)</f>
        <v/>
      </c>
      <c r="I112" s="81">
        <f>IF(I110=0,0,I109/I110)</f>
        <v/>
      </c>
      <c r="J112" s="81">
        <f>IF(J110=0,0,J109/J110)</f>
        <v/>
      </c>
      <c r="K112" s="81">
        <f>IF(K110=0,0,K109/K110)</f>
        <v/>
      </c>
      <c r="L112" s="81">
        <f>IF(L110=0,0,L109/L110)</f>
        <v/>
      </c>
      <c r="M112" s="81">
        <f>IF(M110=0,0,M109/M110)</f>
        <v/>
      </c>
      <c r="N112" s="81">
        <f>IF(N110=0,0,N109/N110)</f>
        <v/>
      </c>
      <c r="O112" s="81">
        <f>IF(O110=0,0,O109/O110)</f>
        <v/>
      </c>
      <c r="P112" s="81">
        <f>IF(P110=0,0,P109/P110)</f>
        <v/>
      </c>
      <c r="Q112" s="81">
        <f>IF(Q110=0,0,Q109/Q110)</f>
        <v/>
      </c>
      <c r="R112" s="81">
        <f>IF(R110=0,0,R109/R110)</f>
        <v/>
      </c>
      <c r="S112" s="81">
        <f>IF(S110=0,0,S109/S110)</f>
        <v/>
      </c>
      <c r="T112" s="81">
        <f>IF(T110=0,0,T109/T110)</f>
        <v/>
      </c>
      <c r="U112" s="81">
        <f>IF(U110=0,0,U109/U110)</f>
        <v/>
      </c>
      <c r="V112" s="81">
        <f>IF(V110=0,0,V109/V110)</f>
        <v/>
      </c>
      <c r="W112" s="81">
        <f>IF(W110=0,0,W109/W110)</f>
        <v/>
      </c>
      <c r="X112" s="81">
        <f>IF(X110=0,0,X109/X110)</f>
        <v/>
      </c>
      <c r="Y112" s="81">
        <f>IF(Y110=0,0,Y109/Y110)</f>
        <v/>
      </c>
      <c r="Z112" s="81">
        <f>IF(Z110=0,0,Z109/Z110)</f>
        <v/>
      </c>
      <c r="AA112" s="81">
        <f>IF(AA110=0,0,AA109/AA110)</f>
        <v/>
      </c>
      <c r="AB112" s="81">
        <f>IF(AB110=0,0,AB109/AB110)</f>
        <v/>
      </c>
      <c r="AC112" s="81">
        <f>IF(AC110=0,0,AC109/AC110)</f>
        <v/>
      </c>
      <c r="AD112" s="81">
        <f>IF(AD110=0,0,AD109/AD110)</f>
        <v/>
      </c>
      <c r="AE112" s="81">
        <f>IF(AE110=0,0,AE109/AE110)</f>
        <v/>
      </c>
      <c r="AF112" s="81">
        <f>IF(AF110=0,0,AF109/AF110)</f>
        <v/>
      </c>
      <c r="AG112" s="81">
        <f>IF(AG110=0,0,AG109/AG110)</f>
        <v/>
      </c>
      <c r="AH112" s="81">
        <f>IF(AH110=0,0,AH109/AH110)</f>
        <v/>
      </c>
      <c r="AI112" s="81">
        <f>IF(AI110=0,0,AI109/AI110)</f>
        <v/>
      </c>
      <c r="AJ112" s="81">
        <f>IF(AJ110=0,0,AJ109/AJ110)</f>
        <v/>
      </c>
      <c r="AK112" s="81">
        <f>IF(AK110=0,0,AK109/AK110)</f>
        <v/>
      </c>
      <c r="AL112" s="81">
        <f>IF(AL110=0,0,AL109/AL110)</f>
        <v/>
      </c>
      <c r="AM112" s="81">
        <f>IF(AM110=0,0,AM109/AM110)</f>
        <v/>
      </c>
      <c r="AN112" s="81">
        <f>IF(AN110=0,0,AN109/AN110)</f>
        <v/>
      </c>
      <c r="AO112" s="81">
        <f>IF(AO110=0,0,AO109/AO110)</f>
        <v/>
      </c>
      <c r="AP112" s="81">
        <f>IF(AP110=0,0,AP109/AP110)</f>
        <v/>
      </c>
      <c r="AQ112" s="81">
        <f>IF(AQ110=0,0,AQ109/AQ110)</f>
        <v/>
      </c>
      <c r="AR112" s="81">
        <f>IF(AR110=0,0,AR109/AR110)</f>
        <v/>
      </c>
      <c r="AS112" s="81">
        <f>IF(AS110=0,0,AS109/AS110)</f>
        <v/>
      </c>
      <c r="AT112" s="81">
        <f>IF(AT110=0,0,AT109/AT110)</f>
        <v/>
      </c>
      <c r="AU112" s="81">
        <f>IF(AU110=0,0,AU109/AU110)</f>
        <v/>
      </c>
      <c r="AV112" s="81">
        <f>IF(AV110=0,0,AV109/AV110)</f>
        <v/>
      </c>
      <c r="AW112" s="81">
        <f>IF(AW110=0,0,AW109/AW110)</f>
        <v/>
      </c>
      <c r="AX112" s="81">
        <f>IF(AX110=0,0,AX109/AX110)</f>
        <v/>
      </c>
      <c r="AY112" s="81">
        <f>IF(AY110=0,0,AY109/AY110)</f>
        <v/>
      </c>
      <c r="AZ112" s="81">
        <f>IF(AZ110=0,0,AZ109/AZ110)</f>
        <v/>
      </c>
      <c r="BA112" s="81">
        <f>IF(BA110=0,0,BA109/BA110)</f>
        <v/>
      </c>
      <c r="BB112" s="81">
        <f>IF(BB110=0,0,BB109/BB110)</f>
        <v/>
      </c>
      <c r="BC112" s="81">
        <f>IF(BC110=0,0,BC109/BC110)</f>
        <v/>
      </c>
      <c r="BD112" s="81">
        <f>IF(BD110=0,0,BD109/BD110)</f>
        <v/>
      </c>
      <c r="BE112" s="81">
        <f>IF(BE110=0,0,BE109/BE110)</f>
        <v/>
      </c>
      <c r="BF112" s="81">
        <f>IF(BF110=0,0,BF109/BF110)</f>
        <v/>
      </c>
      <c r="BG112" s="81">
        <f>IF(BG110=0,0,BG109/BG110)</f>
        <v/>
      </c>
      <c r="BH112" s="81">
        <f>IF(BH110=0,0,BH109/BH110)</f>
        <v/>
      </c>
      <c r="BI112" s="81">
        <f>IF(BI110=0,0,BI109/BI110)</f>
        <v/>
      </c>
      <c r="BJ112" s="81">
        <f>IF(BJ110=0,0,BJ109/BJ110)</f>
        <v/>
      </c>
      <c r="BK112" s="81">
        <f>IF(BK110=0,0,BK109/BK110)</f>
        <v/>
      </c>
      <c r="BL112" s="81">
        <f>IF(BL110=0,0,BL109/BL110)</f>
        <v/>
      </c>
    </row>
    <row r="113">
      <c r="A113" s="98" t="inlineStr">
        <is>
          <t>12-month PD proxy (NOT an audited IFRS 9 PD)</t>
        </is>
      </c>
      <c r="B113" s="65" t="inlineStr">
        <is>
          <t>%</t>
        </is>
      </c>
      <c r="E113" s="81">
        <f>IF(Credit_Assumptions!$C$5=1,E86,IFERROR(SUM(E108:E108)/AVERAGE(E94:E94),0))</f>
        <v/>
      </c>
      <c r="F113" s="81">
        <f>IF(Credit_Assumptions!$C$5=1,F86,IFERROR(SUM(E108:F108)/AVERAGE(E94:F94),0))</f>
        <v/>
      </c>
      <c r="G113" s="81">
        <f>IF(Credit_Assumptions!$C$5=1,G86,IFERROR(SUM(E108:G108)/AVERAGE(E94:G94),0))</f>
        <v/>
      </c>
      <c r="H113" s="81">
        <f>IF(Credit_Assumptions!$C$5=1,H86,IFERROR(SUM(E108:H108)/AVERAGE(E94:H94),0))</f>
        <v/>
      </c>
      <c r="I113" s="81">
        <f>IF(Credit_Assumptions!$C$5=1,I86,IFERROR(SUM(E108:I108)/AVERAGE(E94:I94),0))</f>
        <v/>
      </c>
      <c r="J113" s="81">
        <f>IF(Credit_Assumptions!$C$5=1,J86,IFERROR(SUM(E108:J108)/AVERAGE(E94:J94),0))</f>
        <v/>
      </c>
      <c r="K113" s="81">
        <f>IF(Credit_Assumptions!$C$5=1,K86,IFERROR(SUM(E108:K108)/AVERAGE(E94:K94),0))</f>
        <v/>
      </c>
      <c r="L113" s="81">
        <f>IF(Credit_Assumptions!$C$5=1,L86,IFERROR(SUM(E108:L108)/AVERAGE(E94:L94),0))</f>
        <v/>
      </c>
      <c r="M113" s="81">
        <f>IF(Credit_Assumptions!$C$5=1,M86,IFERROR(SUM(E108:M108)/AVERAGE(E94:M94),0))</f>
        <v/>
      </c>
      <c r="N113" s="81">
        <f>IF(Credit_Assumptions!$C$5=1,N86,IFERROR(SUM(E108:N108)/AVERAGE(E94:N94),0))</f>
        <v/>
      </c>
      <c r="O113" s="81">
        <f>IF(Credit_Assumptions!$C$5=1,O86,IFERROR(SUM(E108:O108)/AVERAGE(E94:O94),0))</f>
        <v/>
      </c>
      <c r="P113" s="81">
        <f>IF(Credit_Assumptions!$C$5=1,P86,IFERROR(SUM(E108:P108)/AVERAGE(E94:P94),0))</f>
        <v/>
      </c>
      <c r="Q113" s="81">
        <f>IF(Credit_Assumptions!$C$5=1,Q86,IFERROR(SUM(F108:Q108)/AVERAGE(F94:Q94),0))</f>
        <v/>
      </c>
      <c r="R113" s="81">
        <f>IF(Credit_Assumptions!$C$5=1,R86,IFERROR(SUM(G108:R108)/AVERAGE(G94:R94),0))</f>
        <v/>
      </c>
      <c r="S113" s="81">
        <f>IF(Credit_Assumptions!$C$5=1,S86,IFERROR(SUM(H108:S108)/AVERAGE(H94:S94),0))</f>
        <v/>
      </c>
      <c r="T113" s="81">
        <f>IF(Credit_Assumptions!$C$5=1,T86,IFERROR(SUM(I108:T108)/AVERAGE(I94:T94),0))</f>
        <v/>
      </c>
      <c r="U113" s="81">
        <f>IF(Credit_Assumptions!$C$5=1,U86,IFERROR(SUM(J108:U108)/AVERAGE(J94:U94),0))</f>
        <v/>
      </c>
      <c r="V113" s="81">
        <f>IF(Credit_Assumptions!$C$5=1,V86,IFERROR(SUM(K108:V108)/AVERAGE(K94:V94),0))</f>
        <v/>
      </c>
      <c r="W113" s="81">
        <f>IF(Credit_Assumptions!$C$5=1,W86,IFERROR(SUM(L108:W108)/AVERAGE(L94:W94),0))</f>
        <v/>
      </c>
      <c r="X113" s="81">
        <f>IF(Credit_Assumptions!$C$5=1,X86,IFERROR(SUM(M108:X108)/AVERAGE(M94:X94),0))</f>
        <v/>
      </c>
      <c r="Y113" s="81">
        <f>IF(Credit_Assumptions!$C$5=1,Y86,IFERROR(SUM(N108:Y108)/AVERAGE(N94:Y94),0))</f>
        <v/>
      </c>
      <c r="Z113" s="81">
        <f>IF(Credit_Assumptions!$C$5=1,Z86,IFERROR(SUM(O108:Z108)/AVERAGE(O94:Z94),0))</f>
        <v/>
      </c>
      <c r="AA113" s="81">
        <f>IF(Credit_Assumptions!$C$5=1,AA86,IFERROR(SUM(P108:AA108)/AVERAGE(P94:AA94),0))</f>
        <v/>
      </c>
      <c r="AB113" s="81">
        <f>IF(Credit_Assumptions!$C$5=1,AB86,IFERROR(SUM(Q108:AB108)/AVERAGE(Q94:AB94),0))</f>
        <v/>
      </c>
      <c r="AC113" s="81">
        <f>IF(Credit_Assumptions!$C$5=1,AC86,IFERROR(SUM(R108:AC108)/AVERAGE(R94:AC94),0))</f>
        <v/>
      </c>
      <c r="AD113" s="81">
        <f>IF(Credit_Assumptions!$C$5=1,AD86,IFERROR(SUM(S108:AD108)/AVERAGE(S94:AD94),0))</f>
        <v/>
      </c>
      <c r="AE113" s="81">
        <f>IF(Credit_Assumptions!$C$5=1,AE86,IFERROR(SUM(T108:AE108)/AVERAGE(T94:AE94),0))</f>
        <v/>
      </c>
      <c r="AF113" s="81">
        <f>IF(Credit_Assumptions!$C$5=1,AF86,IFERROR(SUM(U108:AF108)/AVERAGE(U94:AF94),0))</f>
        <v/>
      </c>
      <c r="AG113" s="81">
        <f>IF(Credit_Assumptions!$C$5=1,AG86,IFERROR(SUM(V108:AG108)/AVERAGE(V94:AG94),0))</f>
        <v/>
      </c>
      <c r="AH113" s="81">
        <f>IF(Credit_Assumptions!$C$5=1,AH86,IFERROR(SUM(W108:AH108)/AVERAGE(W94:AH94),0))</f>
        <v/>
      </c>
      <c r="AI113" s="81">
        <f>IF(Credit_Assumptions!$C$5=1,AI86,IFERROR(SUM(X108:AI108)/AVERAGE(X94:AI94),0))</f>
        <v/>
      </c>
      <c r="AJ113" s="81">
        <f>IF(Credit_Assumptions!$C$5=1,AJ86,IFERROR(SUM(Y108:AJ108)/AVERAGE(Y94:AJ94),0))</f>
        <v/>
      </c>
      <c r="AK113" s="81">
        <f>IF(Credit_Assumptions!$C$5=1,AK86,IFERROR(SUM(Z108:AK108)/AVERAGE(Z94:AK94),0))</f>
        <v/>
      </c>
      <c r="AL113" s="81">
        <f>IF(Credit_Assumptions!$C$5=1,AL86,IFERROR(SUM(AA108:AL108)/AVERAGE(AA94:AL94),0))</f>
        <v/>
      </c>
      <c r="AM113" s="81">
        <f>IF(Credit_Assumptions!$C$5=1,AM86,IFERROR(SUM(AB108:AM108)/AVERAGE(AB94:AM94),0))</f>
        <v/>
      </c>
      <c r="AN113" s="81">
        <f>IF(Credit_Assumptions!$C$5=1,AN86,IFERROR(SUM(AC108:AN108)/AVERAGE(AC94:AN94),0))</f>
        <v/>
      </c>
      <c r="AO113" s="81">
        <f>IF(Credit_Assumptions!$C$5=1,AO86,IFERROR(SUM(AD108:AO108)/AVERAGE(AD94:AO94),0))</f>
        <v/>
      </c>
      <c r="AP113" s="81">
        <f>IF(Credit_Assumptions!$C$5=1,AP86,IFERROR(SUM(AE108:AP108)/AVERAGE(AE94:AP94),0))</f>
        <v/>
      </c>
      <c r="AQ113" s="81">
        <f>IF(Credit_Assumptions!$C$5=1,AQ86,IFERROR(SUM(AF108:AQ108)/AVERAGE(AF94:AQ94),0))</f>
        <v/>
      </c>
      <c r="AR113" s="81">
        <f>IF(Credit_Assumptions!$C$5=1,AR86,IFERROR(SUM(AG108:AR108)/AVERAGE(AG94:AR94),0))</f>
        <v/>
      </c>
      <c r="AS113" s="81">
        <f>IF(Credit_Assumptions!$C$5=1,AS86,IFERROR(SUM(AH108:AS108)/AVERAGE(AH94:AS94),0))</f>
        <v/>
      </c>
      <c r="AT113" s="81">
        <f>IF(Credit_Assumptions!$C$5=1,AT86,IFERROR(SUM(AI108:AT108)/AVERAGE(AI94:AT94),0))</f>
        <v/>
      </c>
      <c r="AU113" s="81">
        <f>IF(Credit_Assumptions!$C$5=1,AU86,IFERROR(SUM(AJ108:AU108)/AVERAGE(AJ94:AU94),0))</f>
        <v/>
      </c>
      <c r="AV113" s="81">
        <f>IF(Credit_Assumptions!$C$5=1,AV86,IFERROR(SUM(AK108:AV108)/AVERAGE(AK94:AV94),0))</f>
        <v/>
      </c>
      <c r="AW113" s="81">
        <f>IF(Credit_Assumptions!$C$5=1,AW86,IFERROR(SUM(AL108:AW108)/AVERAGE(AL94:AW94),0))</f>
        <v/>
      </c>
      <c r="AX113" s="81">
        <f>IF(Credit_Assumptions!$C$5=1,AX86,IFERROR(SUM(AM108:AX108)/AVERAGE(AM94:AX94),0))</f>
        <v/>
      </c>
      <c r="AY113" s="81">
        <f>IF(Credit_Assumptions!$C$5=1,AY86,IFERROR(SUM(AN108:AY108)/AVERAGE(AN94:AY94),0))</f>
        <v/>
      </c>
      <c r="AZ113" s="81">
        <f>IF(Credit_Assumptions!$C$5=1,AZ86,IFERROR(SUM(AO108:AZ108)/AVERAGE(AO94:AZ94),0))</f>
        <v/>
      </c>
      <c r="BA113" s="81">
        <f>IF(Credit_Assumptions!$C$5=1,BA86,IFERROR(SUM(AP108:BA108)/AVERAGE(AP94:BA94),0))</f>
        <v/>
      </c>
      <c r="BB113" s="81">
        <f>IF(Credit_Assumptions!$C$5=1,BB86,IFERROR(SUM(AQ108:BB108)/AVERAGE(AQ94:BB94),0))</f>
        <v/>
      </c>
      <c r="BC113" s="81">
        <f>IF(Credit_Assumptions!$C$5=1,BC86,IFERROR(SUM(AR108:BC108)/AVERAGE(AR94:BC94),0))</f>
        <v/>
      </c>
      <c r="BD113" s="81">
        <f>IF(Credit_Assumptions!$C$5=1,BD86,IFERROR(SUM(AS108:BD108)/AVERAGE(AS94:BD94),0))</f>
        <v/>
      </c>
      <c r="BE113" s="81">
        <f>IF(Credit_Assumptions!$C$5=1,BE86,IFERROR(SUM(AT108:BE108)/AVERAGE(AT94:BE94),0))</f>
        <v/>
      </c>
      <c r="BF113" s="81">
        <f>IF(Credit_Assumptions!$C$5=1,BF86,IFERROR(SUM(AU108:BF108)/AVERAGE(AU94:BF94),0))</f>
        <v/>
      </c>
      <c r="BG113" s="81">
        <f>IF(Credit_Assumptions!$C$5=1,BG86,IFERROR(SUM(AV108:BG108)/AVERAGE(AV94:BG94),0))</f>
        <v/>
      </c>
      <c r="BH113" s="81">
        <f>IF(Credit_Assumptions!$C$5=1,BH86,IFERROR(SUM(AW108:BH108)/AVERAGE(AW94:BH94),0))</f>
        <v/>
      </c>
      <c r="BI113" s="81">
        <f>IF(Credit_Assumptions!$C$5=1,BI86,IFERROR(SUM(AX108:BI108)/AVERAGE(AX94:BI94),0))</f>
        <v/>
      </c>
      <c r="BJ113" s="81">
        <f>IF(Credit_Assumptions!$C$5=1,BJ86,IFERROR(SUM(AY108:BJ108)/AVERAGE(AY94:BJ94),0))</f>
        <v/>
      </c>
      <c r="BK113" s="81">
        <f>IF(Credit_Assumptions!$C$5=1,BK86,IFERROR(SUM(AZ108:BK108)/AVERAGE(AZ94:BK94),0))</f>
        <v/>
      </c>
      <c r="BL113" s="81">
        <f>IF(Credit_Assumptions!$C$5=1,BL86,IFERROR(SUM(BA108:BL108)/AVERAGE(BA94:BL94),0))</f>
        <v/>
      </c>
    </row>
    <row r="114">
      <c r="A114" s="98" t="inlineStr">
        <is>
          <t>LGD proxy</t>
        </is>
      </c>
      <c r="B114" s="65" t="inlineStr">
        <is>
          <t>%</t>
        </is>
      </c>
      <c r="E114" s="81">
        <f>IF(Credit_Assumptions!$C$5=1,E87,IFERROR(MAX(0,MIN(1,1-(SUM(E104:E104)-SUM(E105:E105))/SUM(E108:E108))),E87))</f>
        <v/>
      </c>
      <c r="F114" s="81">
        <f>IF(Credit_Assumptions!$C$5=1,F87,IFERROR(MAX(0,MIN(1,1-(SUM(E104:F104)-SUM(E105:F105))/SUM(E108:F108))),F87))</f>
        <v/>
      </c>
      <c r="G114" s="81">
        <f>IF(Credit_Assumptions!$C$5=1,G87,IFERROR(MAX(0,MIN(1,1-(SUM(E104:G104)-SUM(E105:G105))/SUM(E108:G108))),G87))</f>
        <v/>
      </c>
      <c r="H114" s="81">
        <f>IF(Credit_Assumptions!$C$5=1,H87,IFERROR(MAX(0,MIN(1,1-(SUM(E104:H104)-SUM(E105:H105))/SUM(E108:H108))),H87))</f>
        <v/>
      </c>
      <c r="I114" s="81">
        <f>IF(Credit_Assumptions!$C$5=1,I87,IFERROR(MAX(0,MIN(1,1-(SUM(E104:I104)-SUM(E105:I105))/SUM(E108:I108))),I87))</f>
        <v/>
      </c>
      <c r="J114" s="81">
        <f>IF(Credit_Assumptions!$C$5=1,J87,IFERROR(MAX(0,MIN(1,1-(SUM(E104:J104)-SUM(E105:J105))/SUM(E108:J108))),J87))</f>
        <v/>
      </c>
      <c r="K114" s="81">
        <f>IF(Credit_Assumptions!$C$5=1,K87,IFERROR(MAX(0,MIN(1,1-(SUM(E104:K104)-SUM(E105:K105))/SUM(E108:K108))),K87))</f>
        <v/>
      </c>
      <c r="L114" s="81">
        <f>IF(Credit_Assumptions!$C$5=1,L87,IFERROR(MAX(0,MIN(1,1-(SUM(E104:L104)-SUM(E105:L105))/SUM(E108:L108))),L87))</f>
        <v/>
      </c>
      <c r="M114" s="81">
        <f>IF(Credit_Assumptions!$C$5=1,M87,IFERROR(MAX(0,MIN(1,1-(SUM(E104:M104)-SUM(E105:M105))/SUM(E108:M108))),M87))</f>
        <v/>
      </c>
      <c r="N114" s="81">
        <f>IF(Credit_Assumptions!$C$5=1,N87,IFERROR(MAX(0,MIN(1,1-(SUM(E104:N104)-SUM(E105:N105))/SUM(E108:N108))),N87))</f>
        <v/>
      </c>
      <c r="O114" s="81">
        <f>IF(Credit_Assumptions!$C$5=1,O87,IFERROR(MAX(0,MIN(1,1-(SUM(E104:O104)-SUM(E105:O105))/SUM(E108:O108))),O87))</f>
        <v/>
      </c>
      <c r="P114" s="81">
        <f>IF(Credit_Assumptions!$C$5=1,P87,IFERROR(MAX(0,MIN(1,1-(SUM(E104:P104)-SUM(E105:P105))/SUM(E108:P108))),P87))</f>
        <v/>
      </c>
      <c r="Q114" s="81">
        <f>IF(Credit_Assumptions!$C$5=1,Q87,IFERROR(MAX(0,MIN(1,1-(SUM(F104:Q104)-SUM(F105:Q105))/SUM(F108:Q108))),Q87))</f>
        <v/>
      </c>
      <c r="R114" s="81">
        <f>IF(Credit_Assumptions!$C$5=1,R87,IFERROR(MAX(0,MIN(1,1-(SUM(G104:R104)-SUM(G105:R105))/SUM(G108:R108))),R87))</f>
        <v/>
      </c>
      <c r="S114" s="81">
        <f>IF(Credit_Assumptions!$C$5=1,S87,IFERROR(MAX(0,MIN(1,1-(SUM(H104:S104)-SUM(H105:S105))/SUM(H108:S108))),S87))</f>
        <v/>
      </c>
      <c r="T114" s="81">
        <f>IF(Credit_Assumptions!$C$5=1,T87,IFERROR(MAX(0,MIN(1,1-(SUM(I104:T104)-SUM(I105:T105))/SUM(I108:T108))),T87))</f>
        <v/>
      </c>
      <c r="U114" s="81">
        <f>IF(Credit_Assumptions!$C$5=1,U87,IFERROR(MAX(0,MIN(1,1-(SUM(J104:U104)-SUM(J105:U105))/SUM(J108:U108))),U87))</f>
        <v/>
      </c>
      <c r="V114" s="81">
        <f>IF(Credit_Assumptions!$C$5=1,V87,IFERROR(MAX(0,MIN(1,1-(SUM(K104:V104)-SUM(K105:V105))/SUM(K108:V108))),V87))</f>
        <v/>
      </c>
      <c r="W114" s="81">
        <f>IF(Credit_Assumptions!$C$5=1,W87,IFERROR(MAX(0,MIN(1,1-(SUM(L104:W104)-SUM(L105:W105))/SUM(L108:W108))),W87))</f>
        <v/>
      </c>
      <c r="X114" s="81">
        <f>IF(Credit_Assumptions!$C$5=1,X87,IFERROR(MAX(0,MIN(1,1-(SUM(M104:X104)-SUM(M105:X105))/SUM(M108:X108))),X87))</f>
        <v/>
      </c>
      <c r="Y114" s="81">
        <f>IF(Credit_Assumptions!$C$5=1,Y87,IFERROR(MAX(0,MIN(1,1-(SUM(N104:Y104)-SUM(N105:Y105))/SUM(N108:Y108))),Y87))</f>
        <v/>
      </c>
      <c r="Z114" s="81">
        <f>IF(Credit_Assumptions!$C$5=1,Z87,IFERROR(MAX(0,MIN(1,1-(SUM(O104:Z104)-SUM(O105:Z105))/SUM(O108:Z108))),Z87))</f>
        <v/>
      </c>
      <c r="AA114" s="81">
        <f>IF(Credit_Assumptions!$C$5=1,AA87,IFERROR(MAX(0,MIN(1,1-(SUM(P104:AA104)-SUM(P105:AA105))/SUM(P108:AA108))),AA87))</f>
        <v/>
      </c>
      <c r="AB114" s="81">
        <f>IF(Credit_Assumptions!$C$5=1,AB87,IFERROR(MAX(0,MIN(1,1-(SUM(Q104:AB104)-SUM(Q105:AB105))/SUM(Q108:AB108))),AB87))</f>
        <v/>
      </c>
      <c r="AC114" s="81">
        <f>IF(Credit_Assumptions!$C$5=1,AC87,IFERROR(MAX(0,MIN(1,1-(SUM(R104:AC104)-SUM(R105:AC105))/SUM(R108:AC108))),AC87))</f>
        <v/>
      </c>
      <c r="AD114" s="81">
        <f>IF(Credit_Assumptions!$C$5=1,AD87,IFERROR(MAX(0,MIN(1,1-(SUM(S104:AD104)-SUM(S105:AD105))/SUM(S108:AD108))),AD87))</f>
        <v/>
      </c>
      <c r="AE114" s="81">
        <f>IF(Credit_Assumptions!$C$5=1,AE87,IFERROR(MAX(0,MIN(1,1-(SUM(T104:AE104)-SUM(T105:AE105))/SUM(T108:AE108))),AE87))</f>
        <v/>
      </c>
      <c r="AF114" s="81">
        <f>IF(Credit_Assumptions!$C$5=1,AF87,IFERROR(MAX(0,MIN(1,1-(SUM(U104:AF104)-SUM(U105:AF105))/SUM(U108:AF108))),AF87))</f>
        <v/>
      </c>
      <c r="AG114" s="81">
        <f>IF(Credit_Assumptions!$C$5=1,AG87,IFERROR(MAX(0,MIN(1,1-(SUM(V104:AG104)-SUM(V105:AG105))/SUM(V108:AG108))),AG87))</f>
        <v/>
      </c>
      <c r="AH114" s="81">
        <f>IF(Credit_Assumptions!$C$5=1,AH87,IFERROR(MAX(0,MIN(1,1-(SUM(W104:AH104)-SUM(W105:AH105))/SUM(W108:AH108))),AH87))</f>
        <v/>
      </c>
      <c r="AI114" s="81">
        <f>IF(Credit_Assumptions!$C$5=1,AI87,IFERROR(MAX(0,MIN(1,1-(SUM(X104:AI104)-SUM(X105:AI105))/SUM(X108:AI108))),AI87))</f>
        <v/>
      </c>
      <c r="AJ114" s="81">
        <f>IF(Credit_Assumptions!$C$5=1,AJ87,IFERROR(MAX(0,MIN(1,1-(SUM(Y104:AJ104)-SUM(Y105:AJ105))/SUM(Y108:AJ108))),AJ87))</f>
        <v/>
      </c>
      <c r="AK114" s="81">
        <f>IF(Credit_Assumptions!$C$5=1,AK87,IFERROR(MAX(0,MIN(1,1-(SUM(Z104:AK104)-SUM(Z105:AK105))/SUM(Z108:AK108))),AK87))</f>
        <v/>
      </c>
      <c r="AL114" s="81">
        <f>IF(Credit_Assumptions!$C$5=1,AL87,IFERROR(MAX(0,MIN(1,1-(SUM(AA104:AL104)-SUM(AA105:AL105))/SUM(AA108:AL108))),AL87))</f>
        <v/>
      </c>
      <c r="AM114" s="81">
        <f>IF(Credit_Assumptions!$C$5=1,AM87,IFERROR(MAX(0,MIN(1,1-(SUM(AB104:AM104)-SUM(AB105:AM105))/SUM(AB108:AM108))),AM87))</f>
        <v/>
      </c>
      <c r="AN114" s="81">
        <f>IF(Credit_Assumptions!$C$5=1,AN87,IFERROR(MAX(0,MIN(1,1-(SUM(AC104:AN104)-SUM(AC105:AN105))/SUM(AC108:AN108))),AN87))</f>
        <v/>
      </c>
      <c r="AO114" s="81">
        <f>IF(Credit_Assumptions!$C$5=1,AO87,IFERROR(MAX(0,MIN(1,1-(SUM(AD104:AO104)-SUM(AD105:AO105))/SUM(AD108:AO108))),AO87))</f>
        <v/>
      </c>
      <c r="AP114" s="81">
        <f>IF(Credit_Assumptions!$C$5=1,AP87,IFERROR(MAX(0,MIN(1,1-(SUM(AE104:AP104)-SUM(AE105:AP105))/SUM(AE108:AP108))),AP87))</f>
        <v/>
      </c>
      <c r="AQ114" s="81">
        <f>IF(Credit_Assumptions!$C$5=1,AQ87,IFERROR(MAX(0,MIN(1,1-(SUM(AF104:AQ104)-SUM(AF105:AQ105))/SUM(AF108:AQ108))),AQ87))</f>
        <v/>
      </c>
      <c r="AR114" s="81">
        <f>IF(Credit_Assumptions!$C$5=1,AR87,IFERROR(MAX(0,MIN(1,1-(SUM(AG104:AR104)-SUM(AG105:AR105))/SUM(AG108:AR108))),AR87))</f>
        <v/>
      </c>
      <c r="AS114" s="81">
        <f>IF(Credit_Assumptions!$C$5=1,AS87,IFERROR(MAX(0,MIN(1,1-(SUM(AH104:AS104)-SUM(AH105:AS105))/SUM(AH108:AS108))),AS87))</f>
        <v/>
      </c>
      <c r="AT114" s="81">
        <f>IF(Credit_Assumptions!$C$5=1,AT87,IFERROR(MAX(0,MIN(1,1-(SUM(AI104:AT104)-SUM(AI105:AT105))/SUM(AI108:AT108))),AT87))</f>
        <v/>
      </c>
      <c r="AU114" s="81">
        <f>IF(Credit_Assumptions!$C$5=1,AU87,IFERROR(MAX(0,MIN(1,1-(SUM(AJ104:AU104)-SUM(AJ105:AU105))/SUM(AJ108:AU108))),AU87))</f>
        <v/>
      </c>
      <c r="AV114" s="81">
        <f>IF(Credit_Assumptions!$C$5=1,AV87,IFERROR(MAX(0,MIN(1,1-(SUM(AK104:AV104)-SUM(AK105:AV105))/SUM(AK108:AV108))),AV87))</f>
        <v/>
      </c>
      <c r="AW114" s="81">
        <f>IF(Credit_Assumptions!$C$5=1,AW87,IFERROR(MAX(0,MIN(1,1-(SUM(AL104:AW104)-SUM(AL105:AW105))/SUM(AL108:AW108))),AW87))</f>
        <v/>
      </c>
      <c r="AX114" s="81">
        <f>IF(Credit_Assumptions!$C$5=1,AX87,IFERROR(MAX(0,MIN(1,1-(SUM(AM104:AX104)-SUM(AM105:AX105))/SUM(AM108:AX108))),AX87))</f>
        <v/>
      </c>
      <c r="AY114" s="81">
        <f>IF(Credit_Assumptions!$C$5=1,AY87,IFERROR(MAX(0,MIN(1,1-(SUM(AN104:AY104)-SUM(AN105:AY105))/SUM(AN108:AY108))),AY87))</f>
        <v/>
      </c>
      <c r="AZ114" s="81">
        <f>IF(Credit_Assumptions!$C$5=1,AZ87,IFERROR(MAX(0,MIN(1,1-(SUM(AO104:AZ104)-SUM(AO105:AZ105))/SUM(AO108:AZ108))),AZ87))</f>
        <v/>
      </c>
      <c r="BA114" s="81">
        <f>IF(Credit_Assumptions!$C$5=1,BA87,IFERROR(MAX(0,MIN(1,1-(SUM(AP104:BA104)-SUM(AP105:BA105))/SUM(AP108:BA108))),BA87))</f>
        <v/>
      </c>
      <c r="BB114" s="81">
        <f>IF(Credit_Assumptions!$C$5=1,BB87,IFERROR(MAX(0,MIN(1,1-(SUM(AQ104:BB104)-SUM(AQ105:BB105))/SUM(AQ108:BB108))),BB87))</f>
        <v/>
      </c>
      <c r="BC114" s="81">
        <f>IF(Credit_Assumptions!$C$5=1,BC87,IFERROR(MAX(0,MIN(1,1-(SUM(AR104:BC104)-SUM(AR105:BC105))/SUM(AR108:BC108))),BC87))</f>
        <v/>
      </c>
      <c r="BD114" s="81">
        <f>IF(Credit_Assumptions!$C$5=1,BD87,IFERROR(MAX(0,MIN(1,1-(SUM(AS104:BD104)-SUM(AS105:BD105))/SUM(AS108:BD108))),BD87))</f>
        <v/>
      </c>
      <c r="BE114" s="81">
        <f>IF(Credit_Assumptions!$C$5=1,BE87,IFERROR(MAX(0,MIN(1,1-(SUM(AT104:BE104)-SUM(AT105:BE105))/SUM(AT108:BE108))),BE87))</f>
        <v/>
      </c>
      <c r="BF114" s="81">
        <f>IF(Credit_Assumptions!$C$5=1,BF87,IFERROR(MAX(0,MIN(1,1-(SUM(AU104:BF104)-SUM(AU105:BF105))/SUM(AU108:BF108))),BF87))</f>
        <v/>
      </c>
      <c r="BG114" s="81">
        <f>IF(Credit_Assumptions!$C$5=1,BG87,IFERROR(MAX(0,MIN(1,1-(SUM(AV104:BG104)-SUM(AV105:BG105))/SUM(AV108:BG108))),BG87))</f>
        <v/>
      </c>
      <c r="BH114" s="81">
        <f>IF(Credit_Assumptions!$C$5=1,BH87,IFERROR(MAX(0,MIN(1,1-(SUM(AW104:BH104)-SUM(AW105:BH105))/SUM(AW108:BH108))),BH87))</f>
        <v/>
      </c>
      <c r="BI114" s="81">
        <f>IF(Credit_Assumptions!$C$5=1,BI87,IFERROR(MAX(0,MIN(1,1-(SUM(AX104:BI104)-SUM(AX105:BI105))/SUM(AX108:BI108))),BI87))</f>
        <v/>
      </c>
      <c r="BJ114" s="81">
        <f>IF(Credit_Assumptions!$C$5=1,BJ87,IFERROR(MAX(0,MIN(1,1-(SUM(AY104:BJ104)-SUM(AY105:BJ105))/SUM(AY108:BJ108))),BJ87))</f>
        <v/>
      </c>
      <c r="BK114" s="81">
        <f>IF(Credit_Assumptions!$C$5=1,BK87,IFERROR(MAX(0,MIN(1,1-(SUM(AZ104:BK104)-SUM(AZ105:BK105))/SUM(AZ108:BK108))),BK87))</f>
        <v/>
      </c>
      <c r="BL114" s="81">
        <f>IF(Credit_Assumptions!$C$5=1,BL87,IFERROR(MAX(0,MIN(1,1-(SUM(BA104:BL104)-SUM(BA105:BL105))/SUM(BA108:BL108))),BL87))</f>
        <v/>
      </c>
    </row>
    <row r="115">
      <c r="A115" s="98" t="inlineStr">
        <is>
          <t>Indicative stage-based ECL (diagnostic, not booked)</t>
        </is>
      </c>
      <c r="B115" s="65" t="inlineStr">
        <is>
          <t>LCY</t>
        </is>
      </c>
      <c r="C115" s="105">
        <f>BL115</f>
        <v/>
      </c>
      <c r="E115" s="80">
        <f>E95*CHOOSE(Credit_Assumptions!$D$28,E113*E114*(1+Credit_Assumptions!$C$17)^-0.5,(1-Credit_Assumptions!$C$16)*E114*(1+Credit_Assumptions!$C$17)^-0.5,E114)+E96*CHOOSE(Credit_Assumptions!$D$29,E113*E114*(1+Credit_Assumptions!$C$17)^-0.5,(1-Credit_Assumptions!$C$16)*E114*(1+Credit_Assumptions!$C$17)^-0.5,E114)+E97*CHOOSE(Credit_Assumptions!$D$30,E113*E114*(1+Credit_Assumptions!$C$17)^-0.5,(1-Credit_Assumptions!$C$16)*E114*(1+Credit_Assumptions!$C$17)^-0.5,E114)+E98*CHOOSE(Credit_Assumptions!$D$31,E113*E114*(1+Credit_Assumptions!$C$17)^-0.5,(1-Credit_Assumptions!$C$16)*E114*(1+Credit_Assumptions!$C$17)^-0.5,E114)+E99*CHOOSE(Credit_Assumptions!$D$32,E113*E114*(1+Credit_Assumptions!$C$17)^-0.5,(1-Credit_Assumptions!$C$16)*E114*(1+Credit_Assumptions!$C$17)^-0.5,E114)+E100*CHOOSE(Credit_Assumptions!$D$33,E113*E114*(1+Credit_Assumptions!$C$17)^-0.5,(1-Credit_Assumptions!$C$16)*E114*(1+Credit_Assumptions!$C$17)^-0.5,E114)</f>
        <v/>
      </c>
      <c r="F115" s="80">
        <f>F95*CHOOSE(Credit_Assumptions!$D$28,F113*F114*(1+Credit_Assumptions!$C$17)^-0.5,(1-Credit_Assumptions!$C$16)*F114*(1+Credit_Assumptions!$C$17)^-0.5,F114)+F96*CHOOSE(Credit_Assumptions!$D$29,F113*F114*(1+Credit_Assumptions!$C$17)^-0.5,(1-Credit_Assumptions!$C$16)*F114*(1+Credit_Assumptions!$C$17)^-0.5,F114)+F97*CHOOSE(Credit_Assumptions!$D$30,F113*F114*(1+Credit_Assumptions!$C$17)^-0.5,(1-Credit_Assumptions!$C$16)*F114*(1+Credit_Assumptions!$C$17)^-0.5,F114)+F98*CHOOSE(Credit_Assumptions!$D$31,F113*F114*(1+Credit_Assumptions!$C$17)^-0.5,(1-Credit_Assumptions!$C$16)*F114*(1+Credit_Assumptions!$C$17)^-0.5,F114)+F99*CHOOSE(Credit_Assumptions!$D$32,F113*F114*(1+Credit_Assumptions!$C$17)^-0.5,(1-Credit_Assumptions!$C$16)*F114*(1+Credit_Assumptions!$C$17)^-0.5,F114)+F100*CHOOSE(Credit_Assumptions!$D$33,F113*F114*(1+Credit_Assumptions!$C$17)^-0.5,(1-Credit_Assumptions!$C$16)*F114*(1+Credit_Assumptions!$C$17)^-0.5,F114)</f>
        <v/>
      </c>
      <c r="G115" s="80">
        <f>G95*CHOOSE(Credit_Assumptions!$D$28,G113*G114*(1+Credit_Assumptions!$C$17)^-0.5,(1-Credit_Assumptions!$C$16)*G114*(1+Credit_Assumptions!$C$17)^-0.5,G114)+G96*CHOOSE(Credit_Assumptions!$D$29,G113*G114*(1+Credit_Assumptions!$C$17)^-0.5,(1-Credit_Assumptions!$C$16)*G114*(1+Credit_Assumptions!$C$17)^-0.5,G114)+G97*CHOOSE(Credit_Assumptions!$D$30,G113*G114*(1+Credit_Assumptions!$C$17)^-0.5,(1-Credit_Assumptions!$C$16)*G114*(1+Credit_Assumptions!$C$17)^-0.5,G114)+G98*CHOOSE(Credit_Assumptions!$D$31,G113*G114*(1+Credit_Assumptions!$C$17)^-0.5,(1-Credit_Assumptions!$C$16)*G114*(1+Credit_Assumptions!$C$17)^-0.5,G114)+G99*CHOOSE(Credit_Assumptions!$D$32,G113*G114*(1+Credit_Assumptions!$C$17)^-0.5,(1-Credit_Assumptions!$C$16)*G114*(1+Credit_Assumptions!$C$17)^-0.5,G114)+G100*CHOOSE(Credit_Assumptions!$D$33,G113*G114*(1+Credit_Assumptions!$C$17)^-0.5,(1-Credit_Assumptions!$C$16)*G114*(1+Credit_Assumptions!$C$17)^-0.5,G114)</f>
        <v/>
      </c>
      <c r="H115" s="80">
        <f>H95*CHOOSE(Credit_Assumptions!$D$28,H113*H114*(1+Credit_Assumptions!$C$17)^-0.5,(1-Credit_Assumptions!$C$16)*H114*(1+Credit_Assumptions!$C$17)^-0.5,H114)+H96*CHOOSE(Credit_Assumptions!$D$29,H113*H114*(1+Credit_Assumptions!$C$17)^-0.5,(1-Credit_Assumptions!$C$16)*H114*(1+Credit_Assumptions!$C$17)^-0.5,H114)+H97*CHOOSE(Credit_Assumptions!$D$30,H113*H114*(1+Credit_Assumptions!$C$17)^-0.5,(1-Credit_Assumptions!$C$16)*H114*(1+Credit_Assumptions!$C$17)^-0.5,H114)+H98*CHOOSE(Credit_Assumptions!$D$31,H113*H114*(1+Credit_Assumptions!$C$17)^-0.5,(1-Credit_Assumptions!$C$16)*H114*(1+Credit_Assumptions!$C$17)^-0.5,H114)+H99*CHOOSE(Credit_Assumptions!$D$32,H113*H114*(1+Credit_Assumptions!$C$17)^-0.5,(1-Credit_Assumptions!$C$16)*H114*(1+Credit_Assumptions!$C$17)^-0.5,H114)+H100*CHOOSE(Credit_Assumptions!$D$33,H113*H114*(1+Credit_Assumptions!$C$17)^-0.5,(1-Credit_Assumptions!$C$16)*H114*(1+Credit_Assumptions!$C$17)^-0.5,H114)</f>
        <v/>
      </c>
      <c r="I115" s="80">
        <f>I95*CHOOSE(Credit_Assumptions!$D$28,I113*I114*(1+Credit_Assumptions!$C$17)^-0.5,(1-Credit_Assumptions!$C$16)*I114*(1+Credit_Assumptions!$C$17)^-0.5,I114)+I96*CHOOSE(Credit_Assumptions!$D$29,I113*I114*(1+Credit_Assumptions!$C$17)^-0.5,(1-Credit_Assumptions!$C$16)*I114*(1+Credit_Assumptions!$C$17)^-0.5,I114)+I97*CHOOSE(Credit_Assumptions!$D$30,I113*I114*(1+Credit_Assumptions!$C$17)^-0.5,(1-Credit_Assumptions!$C$16)*I114*(1+Credit_Assumptions!$C$17)^-0.5,I114)+I98*CHOOSE(Credit_Assumptions!$D$31,I113*I114*(1+Credit_Assumptions!$C$17)^-0.5,(1-Credit_Assumptions!$C$16)*I114*(1+Credit_Assumptions!$C$17)^-0.5,I114)+I99*CHOOSE(Credit_Assumptions!$D$32,I113*I114*(1+Credit_Assumptions!$C$17)^-0.5,(1-Credit_Assumptions!$C$16)*I114*(1+Credit_Assumptions!$C$17)^-0.5,I114)+I100*CHOOSE(Credit_Assumptions!$D$33,I113*I114*(1+Credit_Assumptions!$C$17)^-0.5,(1-Credit_Assumptions!$C$16)*I114*(1+Credit_Assumptions!$C$17)^-0.5,I114)</f>
        <v/>
      </c>
      <c r="J115" s="80">
        <f>J95*CHOOSE(Credit_Assumptions!$D$28,J113*J114*(1+Credit_Assumptions!$C$17)^-0.5,(1-Credit_Assumptions!$C$16)*J114*(1+Credit_Assumptions!$C$17)^-0.5,J114)+J96*CHOOSE(Credit_Assumptions!$D$29,J113*J114*(1+Credit_Assumptions!$C$17)^-0.5,(1-Credit_Assumptions!$C$16)*J114*(1+Credit_Assumptions!$C$17)^-0.5,J114)+J97*CHOOSE(Credit_Assumptions!$D$30,J113*J114*(1+Credit_Assumptions!$C$17)^-0.5,(1-Credit_Assumptions!$C$16)*J114*(1+Credit_Assumptions!$C$17)^-0.5,J114)+J98*CHOOSE(Credit_Assumptions!$D$31,J113*J114*(1+Credit_Assumptions!$C$17)^-0.5,(1-Credit_Assumptions!$C$16)*J114*(1+Credit_Assumptions!$C$17)^-0.5,J114)+J99*CHOOSE(Credit_Assumptions!$D$32,J113*J114*(1+Credit_Assumptions!$C$17)^-0.5,(1-Credit_Assumptions!$C$16)*J114*(1+Credit_Assumptions!$C$17)^-0.5,J114)+J100*CHOOSE(Credit_Assumptions!$D$33,J113*J114*(1+Credit_Assumptions!$C$17)^-0.5,(1-Credit_Assumptions!$C$16)*J114*(1+Credit_Assumptions!$C$17)^-0.5,J114)</f>
        <v/>
      </c>
      <c r="K115" s="80">
        <f>K95*CHOOSE(Credit_Assumptions!$D$28,K113*K114*(1+Credit_Assumptions!$C$17)^-0.5,(1-Credit_Assumptions!$C$16)*K114*(1+Credit_Assumptions!$C$17)^-0.5,K114)+K96*CHOOSE(Credit_Assumptions!$D$29,K113*K114*(1+Credit_Assumptions!$C$17)^-0.5,(1-Credit_Assumptions!$C$16)*K114*(1+Credit_Assumptions!$C$17)^-0.5,K114)+K97*CHOOSE(Credit_Assumptions!$D$30,K113*K114*(1+Credit_Assumptions!$C$17)^-0.5,(1-Credit_Assumptions!$C$16)*K114*(1+Credit_Assumptions!$C$17)^-0.5,K114)+K98*CHOOSE(Credit_Assumptions!$D$31,K113*K114*(1+Credit_Assumptions!$C$17)^-0.5,(1-Credit_Assumptions!$C$16)*K114*(1+Credit_Assumptions!$C$17)^-0.5,K114)+K99*CHOOSE(Credit_Assumptions!$D$32,K113*K114*(1+Credit_Assumptions!$C$17)^-0.5,(1-Credit_Assumptions!$C$16)*K114*(1+Credit_Assumptions!$C$17)^-0.5,K114)+K100*CHOOSE(Credit_Assumptions!$D$33,K113*K114*(1+Credit_Assumptions!$C$17)^-0.5,(1-Credit_Assumptions!$C$16)*K114*(1+Credit_Assumptions!$C$17)^-0.5,K114)</f>
        <v/>
      </c>
      <c r="L115" s="80">
        <f>L95*CHOOSE(Credit_Assumptions!$D$28,L113*L114*(1+Credit_Assumptions!$C$17)^-0.5,(1-Credit_Assumptions!$C$16)*L114*(1+Credit_Assumptions!$C$17)^-0.5,L114)+L96*CHOOSE(Credit_Assumptions!$D$29,L113*L114*(1+Credit_Assumptions!$C$17)^-0.5,(1-Credit_Assumptions!$C$16)*L114*(1+Credit_Assumptions!$C$17)^-0.5,L114)+L97*CHOOSE(Credit_Assumptions!$D$30,L113*L114*(1+Credit_Assumptions!$C$17)^-0.5,(1-Credit_Assumptions!$C$16)*L114*(1+Credit_Assumptions!$C$17)^-0.5,L114)+L98*CHOOSE(Credit_Assumptions!$D$31,L113*L114*(1+Credit_Assumptions!$C$17)^-0.5,(1-Credit_Assumptions!$C$16)*L114*(1+Credit_Assumptions!$C$17)^-0.5,L114)+L99*CHOOSE(Credit_Assumptions!$D$32,L113*L114*(1+Credit_Assumptions!$C$17)^-0.5,(1-Credit_Assumptions!$C$16)*L114*(1+Credit_Assumptions!$C$17)^-0.5,L114)+L100*CHOOSE(Credit_Assumptions!$D$33,L113*L114*(1+Credit_Assumptions!$C$17)^-0.5,(1-Credit_Assumptions!$C$16)*L114*(1+Credit_Assumptions!$C$17)^-0.5,L114)</f>
        <v/>
      </c>
      <c r="M115" s="80">
        <f>M95*CHOOSE(Credit_Assumptions!$D$28,M113*M114*(1+Credit_Assumptions!$C$17)^-0.5,(1-Credit_Assumptions!$C$16)*M114*(1+Credit_Assumptions!$C$17)^-0.5,M114)+M96*CHOOSE(Credit_Assumptions!$D$29,M113*M114*(1+Credit_Assumptions!$C$17)^-0.5,(1-Credit_Assumptions!$C$16)*M114*(1+Credit_Assumptions!$C$17)^-0.5,M114)+M97*CHOOSE(Credit_Assumptions!$D$30,M113*M114*(1+Credit_Assumptions!$C$17)^-0.5,(1-Credit_Assumptions!$C$16)*M114*(1+Credit_Assumptions!$C$17)^-0.5,M114)+M98*CHOOSE(Credit_Assumptions!$D$31,M113*M114*(1+Credit_Assumptions!$C$17)^-0.5,(1-Credit_Assumptions!$C$16)*M114*(1+Credit_Assumptions!$C$17)^-0.5,M114)+M99*CHOOSE(Credit_Assumptions!$D$32,M113*M114*(1+Credit_Assumptions!$C$17)^-0.5,(1-Credit_Assumptions!$C$16)*M114*(1+Credit_Assumptions!$C$17)^-0.5,M114)+M100*CHOOSE(Credit_Assumptions!$D$33,M113*M114*(1+Credit_Assumptions!$C$17)^-0.5,(1-Credit_Assumptions!$C$16)*M114*(1+Credit_Assumptions!$C$17)^-0.5,M114)</f>
        <v/>
      </c>
      <c r="N115" s="80">
        <f>N95*CHOOSE(Credit_Assumptions!$D$28,N113*N114*(1+Credit_Assumptions!$C$17)^-0.5,(1-Credit_Assumptions!$C$16)*N114*(1+Credit_Assumptions!$C$17)^-0.5,N114)+N96*CHOOSE(Credit_Assumptions!$D$29,N113*N114*(1+Credit_Assumptions!$C$17)^-0.5,(1-Credit_Assumptions!$C$16)*N114*(1+Credit_Assumptions!$C$17)^-0.5,N114)+N97*CHOOSE(Credit_Assumptions!$D$30,N113*N114*(1+Credit_Assumptions!$C$17)^-0.5,(1-Credit_Assumptions!$C$16)*N114*(1+Credit_Assumptions!$C$17)^-0.5,N114)+N98*CHOOSE(Credit_Assumptions!$D$31,N113*N114*(1+Credit_Assumptions!$C$17)^-0.5,(1-Credit_Assumptions!$C$16)*N114*(1+Credit_Assumptions!$C$17)^-0.5,N114)+N99*CHOOSE(Credit_Assumptions!$D$32,N113*N114*(1+Credit_Assumptions!$C$17)^-0.5,(1-Credit_Assumptions!$C$16)*N114*(1+Credit_Assumptions!$C$17)^-0.5,N114)+N100*CHOOSE(Credit_Assumptions!$D$33,N113*N114*(1+Credit_Assumptions!$C$17)^-0.5,(1-Credit_Assumptions!$C$16)*N114*(1+Credit_Assumptions!$C$17)^-0.5,N114)</f>
        <v/>
      </c>
      <c r="O115" s="80">
        <f>O95*CHOOSE(Credit_Assumptions!$D$28,O113*O114*(1+Credit_Assumptions!$C$17)^-0.5,(1-Credit_Assumptions!$C$16)*O114*(1+Credit_Assumptions!$C$17)^-0.5,O114)+O96*CHOOSE(Credit_Assumptions!$D$29,O113*O114*(1+Credit_Assumptions!$C$17)^-0.5,(1-Credit_Assumptions!$C$16)*O114*(1+Credit_Assumptions!$C$17)^-0.5,O114)+O97*CHOOSE(Credit_Assumptions!$D$30,O113*O114*(1+Credit_Assumptions!$C$17)^-0.5,(1-Credit_Assumptions!$C$16)*O114*(1+Credit_Assumptions!$C$17)^-0.5,O114)+O98*CHOOSE(Credit_Assumptions!$D$31,O113*O114*(1+Credit_Assumptions!$C$17)^-0.5,(1-Credit_Assumptions!$C$16)*O114*(1+Credit_Assumptions!$C$17)^-0.5,O114)+O99*CHOOSE(Credit_Assumptions!$D$32,O113*O114*(1+Credit_Assumptions!$C$17)^-0.5,(1-Credit_Assumptions!$C$16)*O114*(1+Credit_Assumptions!$C$17)^-0.5,O114)+O100*CHOOSE(Credit_Assumptions!$D$33,O113*O114*(1+Credit_Assumptions!$C$17)^-0.5,(1-Credit_Assumptions!$C$16)*O114*(1+Credit_Assumptions!$C$17)^-0.5,O114)</f>
        <v/>
      </c>
      <c r="P115" s="80">
        <f>P95*CHOOSE(Credit_Assumptions!$D$28,P113*P114*(1+Credit_Assumptions!$C$17)^-0.5,(1-Credit_Assumptions!$C$16)*P114*(1+Credit_Assumptions!$C$17)^-0.5,P114)+P96*CHOOSE(Credit_Assumptions!$D$29,P113*P114*(1+Credit_Assumptions!$C$17)^-0.5,(1-Credit_Assumptions!$C$16)*P114*(1+Credit_Assumptions!$C$17)^-0.5,P114)+P97*CHOOSE(Credit_Assumptions!$D$30,P113*P114*(1+Credit_Assumptions!$C$17)^-0.5,(1-Credit_Assumptions!$C$16)*P114*(1+Credit_Assumptions!$C$17)^-0.5,P114)+P98*CHOOSE(Credit_Assumptions!$D$31,P113*P114*(1+Credit_Assumptions!$C$17)^-0.5,(1-Credit_Assumptions!$C$16)*P114*(1+Credit_Assumptions!$C$17)^-0.5,P114)+P99*CHOOSE(Credit_Assumptions!$D$32,P113*P114*(1+Credit_Assumptions!$C$17)^-0.5,(1-Credit_Assumptions!$C$16)*P114*(1+Credit_Assumptions!$C$17)^-0.5,P114)+P100*CHOOSE(Credit_Assumptions!$D$33,P113*P114*(1+Credit_Assumptions!$C$17)^-0.5,(1-Credit_Assumptions!$C$16)*P114*(1+Credit_Assumptions!$C$17)^-0.5,P114)</f>
        <v/>
      </c>
      <c r="Q115" s="80">
        <f>Q95*CHOOSE(Credit_Assumptions!$D$28,Q113*Q114*(1+Credit_Assumptions!$C$17)^-0.5,(1-Credit_Assumptions!$C$16)*Q114*(1+Credit_Assumptions!$C$17)^-0.5,Q114)+Q96*CHOOSE(Credit_Assumptions!$D$29,Q113*Q114*(1+Credit_Assumptions!$C$17)^-0.5,(1-Credit_Assumptions!$C$16)*Q114*(1+Credit_Assumptions!$C$17)^-0.5,Q114)+Q97*CHOOSE(Credit_Assumptions!$D$30,Q113*Q114*(1+Credit_Assumptions!$C$17)^-0.5,(1-Credit_Assumptions!$C$16)*Q114*(1+Credit_Assumptions!$C$17)^-0.5,Q114)+Q98*CHOOSE(Credit_Assumptions!$D$31,Q113*Q114*(1+Credit_Assumptions!$C$17)^-0.5,(1-Credit_Assumptions!$C$16)*Q114*(1+Credit_Assumptions!$C$17)^-0.5,Q114)+Q99*CHOOSE(Credit_Assumptions!$D$32,Q113*Q114*(1+Credit_Assumptions!$C$17)^-0.5,(1-Credit_Assumptions!$C$16)*Q114*(1+Credit_Assumptions!$C$17)^-0.5,Q114)+Q100*CHOOSE(Credit_Assumptions!$D$33,Q113*Q114*(1+Credit_Assumptions!$C$17)^-0.5,(1-Credit_Assumptions!$C$16)*Q114*(1+Credit_Assumptions!$C$17)^-0.5,Q114)</f>
        <v/>
      </c>
      <c r="R115" s="80">
        <f>R95*CHOOSE(Credit_Assumptions!$D$28,R113*R114*(1+Credit_Assumptions!$C$17)^-0.5,(1-Credit_Assumptions!$C$16)*R114*(1+Credit_Assumptions!$C$17)^-0.5,R114)+R96*CHOOSE(Credit_Assumptions!$D$29,R113*R114*(1+Credit_Assumptions!$C$17)^-0.5,(1-Credit_Assumptions!$C$16)*R114*(1+Credit_Assumptions!$C$17)^-0.5,R114)+R97*CHOOSE(Credit_Assumptions!$D$30,R113*R114*(1+Credit_Assumptions!$C$17)^-0.5,(1-Credit_Assumptions!$C$16)*R114*(1+Credit_Assumptions!$C$17)^-0.5,R114)+R98*CHOOSE(Credit_Assumptions!$D$31,R113*R114*(1+Credit_Assumptions!$C$17)^-0.5,(1-Credit_Assumptions!$C$16)*R114*(1+Credit_Assumptions!$C$17)^-0.5,R114)+R99*CHOOSE(Credit_Assumptions!$D$32,R113*R114*(1+Credit_Assumptions!$C$17)^-0.5,(1-Credit_Assumptions!$C$16)*R114*(1+Credit_Assumptions!$C$17)^-0.5,R114)+R100*CHOOSE(Credit_Assumptions!$D$33,R113*R114*(1+Credit_Assumptions!$C$17)^-0.5,(1-Credit_Assumptions!$C$16)*R114*(1+Credit_Assumptions!$C$17)^-0.5,R114)</f>
        <v/>
      </c>
      <c r="S115" s="80">
        <f>S95*CHOOSE(Credit_Assumptions!$D$28,S113*S114*(1+Credit_Assumptions!$C$17)^-0.5,(1-Credit_Assumptions!$C$16)*S114*(1+Credit_Assumptions!$C$17)^-0.5,S114)+S96*CHOOSE(Credit_Assumptions!$D$29,S113*S114*(1+Credit_Assumptions!$C$17)^-0.5,(1-Credit_Assumptions!$C$16)*S114*(1+Credit_Assumptions!$C$17)^-0.5,S114)+S97*CHOOSE(Credit_Assumptions!$D$30,S113*S114*(1+Credit_Assumptions!$C$17)^-0.5,(1-Credit_Assumptions!$C$16)*S114*(1+Credit_Assumptions!$C$17)^-0.5,S114)+S98*CHOOSE(Credit_Assumptions!$D$31,S113*S114*(1+Credit_Assumptions!$C$17)^-0.5,(1-Credit_Assumptions!$C$16)*S114*(1+Credit_Assumptions!$C$17)^-0.5,S114)+S99*CHOOSE(Credit_Assumptions!$D$32,S113*S114*(1+Credit_Assumptions!$C$17)^-0.5,(1-Credit_Assumptions!$C$16)*S114*(1+Credit_Assumptions!$C$17)^-0.5,S114)+S100*CHOOSE(Credit_Assumptions!$D$33,S113*S114*(1+Credit_Assumptions!$C$17)^-0.5,(1-Credit_Assumptions!$C$16)*S114*(1+Credit_Assumptions!$C$17)^-0.5,S114)</f>
        <v/>
      </c>
      <c r="T115" s="80">
        <f>T95*CHOOSE(Credit_Assumptions!$D$28,T113*T114*(1+Credit_Assumptions!$C$17)^-0.5,(1-Credit_Assumptions!$C$16)*T114*(1+Credit_Assumptions!$C$17)^-0.5,T114)+T96*CHOOSE(Credit_Assumptions!$D$29,T113*T114*(1+Credit_Assumptions!$C$17)^-0.5,(1-Credit_Assumptions!$C$16)*T114*(1+Credit_Assumptions!$C$17)^-0.5,T114)+T97*CHOOSE(Credit_Assumptions!$D$30,T113*T114*(1+Credit_Assumptions!$C$17)^-0.5,(1-Credit_Assumptions!$C$16)*T114*(1+Credit_Assumptions!$C$17)^-0.5,T114)+T98*CHOOSE(Credit_Assumptions!$D$31,T113*T114*(1+Credit_Assumptions!$C$17)^-0.5,(1-Credit_Assumptions!$C$16)*T114*(1+Credit_Assumptions!$C$17)^-0.5,T114)+T99*CHOOSE(Credit_Assumptions!$D$32,T113*T114*(1+Credit_Assumptions!$C$17)^-0.5,(1-Credit_Assumptions!$C$16)*T114*(1+Credit_Assumptions!$C$17)^-0.5,T114)+T100*CHOOSE(Credit_Assumptions!$D$33,T113*T114*(1+Credit_Assumptions!$C$17)^-0.5,(1-Credit_Assumptions!$C$16)*T114*(1+Credit_Assumptions!$C$17)^-0.5,T114)</f>
        <v/>
      </c>
      <c r="U115" s="80">
        <f>U95*CHOOSE(Credit_Assumptions!$D$28,U113*U114*(1+Credit_Assumptions!$C$17)^-0.5,(1-Credit_Assumptions!$C$16)*U114*(1+Credit_Assumptions!$C$17)^-0.5,U114)+U96*CHOOSE(Credit_Assumptions!$D$29,U113*U114*(1+Credit_Assumptions!$C$17)^-0.5,(1-Credit_Assumptions!$C$16)*U114*(1+Credit_Assumptions!$C$17)^-0.5,U114)+U97*CHOOSE(Credit_Assumptions!$D$30,U113*U114*(1+Credit_Assumptions!$C$17)^-0.5,(1-Credit_Assumptions!$C$16)*U114*(1+Credit_Assumptions!$C$17)^-0.5,U114)+U98*CHOOSE(Credit_Assumptions!$D$31,U113*U114*(1+Credit_Assumptions!$C$17)^-0.5,(1-Credit_Assumptions!$C$16)*U114*(1+Credit_Assumptions!$C$17)^-0.5,U114)+U99*CHOOSE(Credit_Assumptions!$D$32,U113*U114*(1+Credit_Assumptions!$C$17)^-0.5,(1-Credit_Assumptions!$C$16)*U114*(1+Credit_Assumptions!$C$17)^-0.5,U114)+U100*CHOOSE(Credit_Assumptions!$D$33,U113*U114*(1+Credit_Assumptions!$C$17)^-0.5,(1-Credit_Assumptions!$C$16)*U114*(1+Credit_Assumptions!$C$17)^-0.5,U114)</f>
        <v/>
      </c>
      <c r="V115" s="80">
        <f>V95*CHOOSE(Credit_Assumptions!$D$28,V113*V114*(1+Credit_Assumptions!$C$17)^-0.5,(1-Credit_Assumptions!$C$16)*V114*(1+Credit_Assumptions!$C$17)^-0.5,V114)+V96*CHOOSE(Credit_Assumptions!$D$29,V113*V114*(1+Credit_Assumptions!$C$17)^-0.5,(1-Credit_Assumptions!$C$16)*V114*(1+Credit_Assumptions!$C$17)^-0.5,V114)+V97*CHOOSE(Credit_Assumptions!$D$30,V113*V114*(1+Credit_Assumptions!$C$17)^-0.5,(1-Credit_Assumptions!$C$16)*V114*(1+Credit_Assumptions!$C$17)^-0.5,V114)+V98*CHOOSE(Credit_Assumptions!$D$31,V113*V114*(1+Credit_Assumptions!$C$17)^-0.5,(1-Credit_Assumptions!$C$16)*V114*(1+Credit_Assumptions!$C$17)^-0.5,V114)+V99*CHOOSE(Credit_Assumptions!$D$32,V113*V114*(1+Credit_Assumptions!$C$17)^-0.5,(1-Credit_Assumptions!$C$16)*V114*(1+Credit_Assumptions!$C$17)^-0.5,V114)+V100*CHOOSE(Credit_Assumptions!$D$33,V113*V114*(1+Credit_Assumptions!$C$17)^-0.5,(1-Credit_Assumptions!$C$16)*V114*(1+Credit_Assumptions!$C$17)^-0.5,V114)</f>
        <v/>
      </c>
      <c r="W115" s="80">
        <f>W95*CHOOSE(Credit_Assumptions!$D$28,W113*W114*(1+Credit_Assumptions!$C$17)^-0.5,(1-Credit_Assumptions!$C$16)*W114*(1+Credit_Assumptions!$C$17)^-0.5,W114)+W96*CHOOSE(Credit_Assumptions!$D$29,W113*W114*(1+Credit_Assumptions!$C$17)^-0.5,(1-Credit_Assumptions!$C$16)*W114*(1+Credit_Assumptions!$C$17)^-0.5,W114)+W97*CHOOSE(Credit_Assumptions!$D$30,W113*W114*(1+Credit_Assumptions!$C$17)^-0.5,(1-Credit_Assumptions!$C$16)*W114*(1+Credit_Assumptions!$C$17)^-0.5,W114)+W98*CHOOSE(Credit_Assumptions!$D$31,W113*W114*(1+Credit_Assumptions!$C$17)^-0.5,(1-Credit_Assumptions!$C$16)*W114*(1+Credit_Assumptions!$C$17)^-0.5,W114)+W99*CHOOSE(Credit_Assumptions!$D$32,W113*W114*(1+Credit_Assumptions!$C$17)^-0.5,(1-Credit_Assumptions!$C$16)*W114*(1+Credit_Assumptions!$C$17)^-0.5,W114)+W100*CHOOSE(Credit_Assumptions!$D$33,W113*W114*(1+Credit_Assumptions!$C$17)^-0.5,(1-Credit_Assumptions!$C$16)*W114*(1+Credit_Assumptions!$C$17)^-0.5,W114)</f>
        <v/>
      </c>
      <c r="X115" s="80">
        <f>X95*CHOOSE(Credit_Assumptions!$D$28,X113*X114*(1+Credit_Assumptions!$C$17)^-0.5,(1-Credit_Assumptions!$C$16)*X114*(1+Credit_Assumptions!$C$17)^-0.5,X114)+X96*CHOOSE(Credit_Assumptions!$D$29,X113*X114*(1+Credit_Assumptions!$C$17)^-0.5,(1-Credit_Assumptions!$C$16)*X114*(1+Credit_Assumptions!$C$17)^-0.5,X114)+X97*CHOOSE(Credit_Assumptions!$D$30,X113*X114*(1+Credit_Assumptions!$C$17)^-0.5,(1-Credit_Assumptions!$C$16)*X114*(1+Credit_Assumptions!$C$17)^-0.5,X114)+X98*CHOOSE(Credit_Assumptions!$D$31,X113*X114*(1+Credit_Assumptions!$C$17)^-0.5,(1-Credit_Assumptions!$C$16)*X114*(1+Credit_Assumptions!$C$17)^-0.5,X114)+X99*CHOOSE(Credit_Assumptions!$D$32,X113*X114*(1+Credit_Assumptions!$C$17)^-0.5,(1-Credit_Assumptions!$C$16)*X114*(1+Credit_Assumptions!$C$17)^-0.5,X114)+X100*CHOOSE(Credit_Assumptions!$D$33,X113*X114*(1+Credit_Assumptions!$C$17)^-0.5,(1-Credit_Assumptions!$C$16)*X114*(1+Credit_Assumptions!$C$17)^-0.5,X114)</f>
        <v/>
      </c>
      <c r="Y115" s="80">
        <f>Y95*CHOOSE(Credit_Assumptions!$D$28,Y113*Y114*(1+Credit_Assumptions!$C$17)^-0.5,(1-Credit_Assumptions!$C$16)*Y114*(1+Credit_Assumptions!$C$17)^-0.5,Y114)+Y96*CHOOSE(Credit_Assumptions!$D$29,Y113*Y114*(1+Credit_Assumptions!$C$17)^-0.5,(1-Credit_Assumptions!$C$16)*Y114*(1+Credit_Assumptions!$C$17)^-0.5,Y114)+Y97*CHOOSE(Credit_Assumptions!$D$30,Y113*Y114*(1+Credit_Assumptions!$C$17)^-0.5,(1-Credit_Assumptions!$C$16)*Y114*(1+Credit_Assumptions!$C$17)^-0.5,Y114)+Y98*CHOOSE(Credit_Assumptions!$D$31,Y113*Y114*(1+Credit_Assumptions!$C$17)^-0.5,(1-Credit_Assumptions!$C$16)*Y114*(1+Credit_Assumptions!$C$17)^-0.5,Y114)+Y99*CHOOSE(Credit_Assumptions!$D$32,Y113*Y114*(1+Credit_Assumptions!$C$17)^-0.5,(1-Credit_Assumptions!$C$16)*Y114*(1+Credit_Assumptions!$C$17)^-0.5,Y114)+Y100*CHOOSE(Credit_Assumptions!$D$33,Y113*Y114*(1+Credit_Assumptions!$C$17)^-0.5,(1-Credit_Assumptions!$C$16)*Y114*(1+Credit_Assumptions!$C$17)^-0.5,Y114)</f>
        <v/>
      </c>
      <c r="Z115" s="80">
        <f>Z95*CHOOSE(Credit_Assumptions!$D$28,Z113*Z114*(1+Credit_Assumptions!$C$17)^-0.5,(1-Credit_Assumptions!$C$16)*Z114*(1+Credit_Assumptions!$C$17)^-0.5,Z114)+Z96*CHOOSE(Credit_Assumptions!$D$29,Z113*Z114*(1+Credit_Assumptions!$C$17)^-0.5,(1-Credit_Assumptions!$C$16)*Z114*(1+Credit_Assumptions!$C$17)^-0.5,Z114)+Z97*CHOOSE(Credit_Assumptions!$D$30,Z113*Z114*(1+Credit_Assumptions!$C$17)^-0.5,(1-Credit_Assumptions!$C$16)*Z114*(1+Credit_Assumptions!$C$17)^-0.5,Z114)+Z98*CHOOSE(Credit_Assumptions!$D$31,Z113*Z114*(1+Credit_Assumptions!$C$17)^-0.5,(1-Credit_Assumptions!$C$16)*Z114*(1+Credit_Assumptions!$C$17)^-0.5,Z114)+Z99*CHOOSE(Credit_Assumptions!$D$32,Z113*Z114*(1+Credit_Assumptions!$C$17)^-0.5,(1-Credit_Assumptions!$C$16)*Z114*(1+Credit_Assumptions!$C$17)^-0.5,Z114)+Z100*CHOOSE(Credit_Assumptions!$D$33,Z113*Z114*(1+Credit_Assumptions!$C$17)^-0.5,(1-Credit_Assumptions!$C$16)*Z114*(1+Credit_Assumptions!$C$17)^-0.5,Z114)</f>
        <v/>
      </c>
      <c r="AA115" s="80">
        <f>AA95*CHOOSE(Credit_Assumptions!$D$28,AA113*AA114*(1+Credit_Assumptions!$C$17)^-0.5,(1-Credit_Assumptions!$C$16)*AA114*(1+Credit_Assumptions!$C$17)^-0.5,AA114)+AA96*CHOOSE(Credit_Assumptions!$D$29,AA113*AA114*(1+Credit_Assumptions!$C$17)^-0.5,(1-Credit_Assumptions!$C$16)*AA114*(1+Credit_Assumptions!$C$17)^-0.5,AA114)+AA97*CHOOSE(Credit_Assumptions!$D$30,AA113*AA114*(1+Credit_Assumptions!$C$17)^-0.5,(1-Credit_Assumptions!$C$16)*AA114*(1+Credit_Assumptions!$C$17)^-0.5,AA114)+AA98*CHOOSE(Credit_Assumptions!$D$31,AA113*AA114*(1+Credit_Assumptions!$C$17)^-0.5,(1-Credit_Assumptions!$C$16)*AA114*(1+Credit_Assumptions!$C$17)^-0.5,AA114)+AA99*CHOOSE(Credit_Assumptions!$D$32,AA113*AA114*(1+Credit_Assumptions!$C$17)^-0.5,(1-Credit_Assumptions!$C$16)*AA114*(1+Credit_Assumptions!$C$17)^-0.5,AA114)+AA100*CHOOSE(Credit_Assumptions!$D$33,AA113*AA114*(1+Credit_Assumptions!$C$17)^-0.5,(1-Credit_Assumptions!$C$16)*AA114*(1+Credit_Assumptions!$C$17)^-0.5,AA114)</f>
        <v/>
      </c>
      <c r="AB115" s="80">
        <f>AB95*CHOOSE(Credit_Assumptions!$D$28,AB113*AB114*(1+Credit_Assumptions!$C$17)^-0.5,(1-Credit_Assumptions!$C$16)*AB114*(1+Credit_Assumptions!$C$17)^-0.5,AB114)+AB96*CHOOSE(Credit_Assumptions!$D$29,AB113*AB114*(1+Credit_Assumptions!$C$17)^-0.5,(1-Credit_Assumptions!$C$16)*AB114*(1+Credit_Assumptions!$C$17)^-0.5,AB114)+AB97*CHOOSE(Credit_Assumptions!$D$30,AB113*AB114*(1+Credit_Assumptions!$C$17)^-0.5,(1-Credit_Assumptions!$C$16)*AB114*(1+Credit_Assumptions!$C$17)^-0.5,AB114)+AB98*CHOOSE(Credit_Assumptions!$D$31,AB113*AB114*(1+Credit_Assumptions!$C$17)^-0.5,(1-Credit_Assumptions!$C$16)*AB114*(1+Credit_Assumptions!$C$17)^-0.5,AB114)+AB99*CHOOSE(Credit_Assumptions!$D$32,AB113*AB114*(1+Credit_Assumptions!$C$17)^-0.5,(1-Credit_Assumptions!$C$16)*AB114*(1+Credit_Assumptions!$C$17)^-0.5,AB114)+AB100*CHOOSE(Credit_Assumptions!$D$33,AB113*AB114*(1+Credit_Assumptions!$C$17)^-0.5,(1-Credit_Assumptions!$C$16)*AB114*(1+Credit_Assumptions!$C$17)^-0.5,AB114)</f>
        <v/>
      </c>
      <c r="AC115" s="80">
        <f>AC95*CHOOSE(Credit_Assumptions!$D$28,AC113*AC114*(1+Credit_Assumptions!$C$17)^-0.5,(1-Credit_Assumptions!$C$16)*AC114*(1+Credit_Assumptions!$C$17)^-0.5,AC114)+AC96*CHOOSE(Credit_Assumptions!$D$29,AC113*AC114*(1+Credit_Assumptions!$C$17)^-0.5,(1-Credit_Assumptions!$C$16)*AC114*(1+Credit_Assumptions!$C$17)^-0.5,AC114)+AC97*CHOOSE(Credit_Assumptions!$D$30,AC113*AC114*(1+Credit_Assumptions!$C$17)^-0.5,(1-Credit_Assumptions!$C$16)*AC114*(1+Credit_Assumptions!$C$17)^-0.5,AC114)+AC98*CHOOSE(Credit_Assumptions!$D$31,AC113*AC114*(1+Credit_Assumptions!$C$17)^-0.5,(1-Credit_Assumptions!$C$16)*AC114*(1+Credit_Assumptions!$C$17)^-0.5,AC114)+AC99*CHOOSE(Credit_Assumptions!$D$32,AC113*AC114*(1+Credit_Assumptions!$C$17)^-0.5,(1-Credit_Assumptions!$C$16)*AC114*(1+Credit_Assumptions!$C$17)^-0.5,AC114)+AC100*CHOOSE(Credit_Assumptions!$D$33,AC113*AC114*(1+Credit_Assumptions!$C$17)^-0.5,(1-Credit_Assumptions!$C$16)*AC114*(1+Credit_Assumptions!$C$17)^-0.5,AC114)</f>
        <v/>
      </c>
      <c r="AD115" s="80">
        <f>AD95*CHOOSE(Credit_Assumptions!$D$28,AD113*AD114*(1+Credit_Assumptions!$C$17)^-0.5,(1-Credit_Assumptions!$C$16)*AD114*(1+Credit_Assumptions!$C$17)^-0.5,AD114)+AD96*CHOOSE(Credit_Assumptions!$D$29,AD113*AD114*(1+Credit_Assumptions!$C$17)^-0.5,(1-Credit_Assumptions!$C$16)*AD114*(1+Credit_Assumptions!$C$17)^-0.5,AD114)+AD97*CHOOSE(Credit_Assumptions!$D$30,AD113*AD114*(1+Credit_Assumptions!$C$17)^-0.5,(1-Credit_Assumptions!$C$16)*AD114*(1+Credit_Assumptions!$C$17)^-0.5,AD114)+AD98*CHOOSE(Credit_Assumptions!$D$31,AD113*AD114*(1+Credit_Assumptions!$C$17)^-0.5,(1-Credit_Assumptions!$C$16)*AD114*(1+Credit_Assumptions!$C$17)^-0.5,AD114)+AD99*CHOOSE(Credit_Assumptions!$D$32,AD113*AD114*(1+Credit_Assumptions!$C$17)^-0.5,(1-Credit_Assumptions!$C$16)*AD114*(1+Credit_Assumptions!$C$17)^-0.5,AD114)+AD100*CHOOSE(Credit_Assumptions!$D$33,AD113*AD114*(1+Credit_Assumptions!$C$17)^-0.5,(1-Credit_Assumptions!$C$16)*AD114*(1+Credit_Assumptions!$C$17)^-0.5,AD114)</f>
        <v/>
      </c>
      <c r="AE115" s="80">
        <f>AE95*CHOOSE(Credit_Assumptions!$D$28,AE113*AE114*(1+Credit_Assumptions!$C$17)^-0.5,(1-Credit_Assumptions!$C$16)*AE114*(1+Credit_Assumptions!$C$17)^-0.5,AE114)+AE96*CHOOSE(Credit_Assumptions!$D$29,AE113*AE114*(1+Credit_Assumptions!$C$17)^-0.5,(1-Credit_Assumptions!$C$16)*AE114*(1+Credit_Assumptions!$C$17)^-0.5,AE114)+AE97*CHOOSE(Credit_Assumptions!$D$30,AE113*AE114*(1+Credit_Assumptions!$C$17)^-0.5,(1-Credit_Assumptions!$C$16)*AE114*(1+Credit_Assumptions!$C$17)^-0.5,AE114)+AE98*CHOOSE(Credit_Assumptions!$D$31,AE113*AE114*(1+Credit_Assumptions!$C$17)^-0.5,(1-Credit_Assumptions!$C$16)*AE114*(1+Credit_Assumptions!$C$17)^-0.5,AE114)+AE99*CHOOSE(Credit_Assumptions!$D$32,AE113*AE114*(1+Credit_Assumptions!$C$17)^-0.5,(1-Credit_Assumptions!$C$16)*AE114*(1+Credit_Assumptions!$C$17)^-0.5,AE114)+AE100*CHOOSE(Credit_Assumptions!$D$33,AE113*AE114*(1+Credit_Assumptions!$C$17)^-0.5,(1-Credit_Assumptions!$C$16)*AE114*(1+Credit_Assumptions!$C$17)^-0.5,AE114)</f>
        <v/>
      </c>
      <c r="AF115" s="80">
        <f>AF95*CHOOSE(Credit_Assumptions!$D$28,AF113*AF114*(1+Credit_Assumptions!$C$17)^-0.5,(1-Credit_Assumptions!$C$16)*AF114*(1+Credit_Assumptions!$C$17)^-0.5,AF114)+AF96*CHOOSE(Credit_Assumptions!$D$29,AF113*AF114*(1+Credit_Assumptions!$C$17)^-0.5,(1-Credit_Assumptions!$C$16)*AF114*(1+Credit_Assumptions!$C$17)^-0.5,AF114)+AF97*CHOOSE(Credit_Assumptions!$D$30,AF113*AF114*(1+Credit_Assumptions!$C$17)^-0.5,(1-Credit_Assumptions!$C$16)*AF114*(1+Credit_Assumptions!$C$17)^-0.5,AF114)+AF98*CHOOSE(Credit_Assumptions!$D$31,AF113*AF114*(1+Credit_Assumptions!$C$17)^-0.5,(1-Credit_Assumptions!$C$16)*AF114*(1+Credit_Assumptions!$C$17)^-0.5,AF114)+AF99*CHOOSE(Credit_Assumptions!$D$32,AF113*AF114*(1+Credit_Assumptions!$C$17)^-0.5,(1-Credit_Assumptions!$C$16)*AF114*(1+Credit_Assumptions!$C$17)^-0.5,AF114)+AF100*CHOOSE(Credit_Assumptions!$D$33,AF113*AF114*(1+Credit_Assumptions!$C$17)^-0.5,(1-Credit_Assumptions!$C$16)*AF114*(1+Credit_Assumptions!$C$17)^-0.5,AF114)</f>
        <v/>
      </c>
      <c r="AG115" s="80">
        <f>AG95*CHOOSE(Credit_Assumptions!$D$28,AG113*AG114*(1+Credit_Assumptions!$C$17)^-0.5,(1-Credit_Assumptions!$C$16)*AG114*(1+Credit_Assumptions!$C$17)^-0.5,AG114)+AG96*CHOOSE(Credit_Assumptions!$D$29,AG113*AG114*(1+Credit_Assumptions!$C$17)^-0.5,(1-Credit_Assumptions!$C$16)*AG114*(1+Credit_Assumptions!$C$17)^-0.5,AG114)+AG97*CHOOSE(Credit_Assumptions!$D$30,AG113*AG114*(1+Credit_Assumptions!$C$17)^-0.5,(1-Credit_Assumptions!$C$16)*AG114*(1+Credit_Assumptions!$C$17)^-0.5,AG114)+AG98*CHOOSE(Credit_Assumptions!$D$31,AG113*AG114*(1+Credit_Assumptions!$C$17)^-0.5,(1-Credit_Assumptions!$C$16)*AG114*(1+Credit_Assumptions!$C$17)^-0.5,AG114)+AG99*CHOOSE(Credit_Assumptions!$D$32,AG113*AG114*(1+Credit_Assumptions!$C$17)^-0.5,(1-Credit_Assumptions!$C$16)*AG114*(1+Credit_Assumptions!$C$17)^-0.5,AG114)+AG100*CHOOSE(Credit_Assumptions!$D$33,AG113*AG114*(1+Credit_Assumptions!$C$17)^-0.5,(1-Credit_Assumptions!$C$16)*AG114*(1+Credit_Assumptions!$C$17)^-0.5,AG114)</f>
        <v/>
      </c>
      <c r="AH115" s="80">
        <f>AH95*CHOOSE(Credit_Assumptions!$D$28,AH113*AH114*(1+Credit_Assumptions!$C$17)^-0.5,(1-Credit_Assumptions!$C$16)*AH114*(1+Credit_Assumptions!$C$17)^-0.5,AH114)+AH96*CHOOSE(Credit_Assumptions!$D$29,AH113*AH114*(1+Credit_Assumptions!$C$17)^-0.5,(1-Credit_Assumptions!$C$16)*AH114*(1+Credit_Assumptions!$C$17)^-0.5,AH114)+AH97*CHOOSE(Credit_Assumptions!$D$30,AH113*AH114*(1+Credit_Assumptions!$C$17)^-0.5,(1-Credit_Assumptions!$C$16)*AH114*(1+Credit_Assumptions!$C$17)^-0.5,AH114)+AH98*CHOOSE(Credit_Assumptions!$D$31,AH113*AH114*(1+Credit_Assumptions!$C$17)^-0.5,(1-Credit_Assumptions!$C$16)*AH114*(1+Credit_Assumptions!$C$17)^-0.5,AH114)+AH99*CHOOSE(Credit_Assumptions!$D$32,AH113*AH114*(1+Credit_Assumptions!$C$17)^-0.5,(1-Credit_Assumptions!$C$16)*AH114*(1+Credit_Assumptions!$C$17)^-0.5,AH114)+AH100*CHOOSE(Credit_Assumptions!$D$33,AH113*AH114*(1+Credit_Assumptions!$C$17)^-0.5,(1-Credit_Assumptions!$C$16)*AH114*(1+Credit_Assumptions!$C$17)^-0.5,AH114)</f>
        <v/>
      </c>
      <c r="AI115" s="80">
        <f>AI95*CHOOSE(Credit_Assumptions!$D$28,AI113*AI114*(1+Credit_Assumptions!$C$17)^-0.5,(1-Credit_Assumptions!$C$16)*AI114*(1+Credit_Assumptions!$C$17)^-0.5,AI114)+AI96*CHOOSE(Credit_Assumptions!$D$29,AI113*AI114*(1+Credit_Assumptions!$C$17)^-0.5,(1-Credit_Assumptions!$C$16)*AI114*(1+Credit_Assumptions!$C$17)^-0.5,AI114)+AI97*CHOOSE(Credit_Assumptions!$D$30,AI113*AI114*(1+Credit_Assumptions!$C$17)^-0.5,(1-Credit_Assumptions!$C$16)*AI114*(1+Credit_Assumptions!$C$17)^-0.5,AI114)+AI98*CHOOSE(Credit_Assumptions!$D$31,AI113*AI114*(1+Credit_Assumptions!$C$17)^-0.5,(1-Credit_Assumptions!$C$16)*AI114*(1+Credit_Assumptions!$C$17)^-0.5,AI114)+AI99*CHOOSE(Credit_Assumptions!$D$32,AI113*AI114*(1+Credit_Assumptions!$C$17)^-0.5,(1-Credit_Assumptions!$C$16)*AI114*(1+Credit_Assumptions!$C$17)^-0.5,AI114)+AI100*CHOOSE(Credit_Assumptions!$D$33,AI113*AI114*(1+Credit_Assumptions!$C$17)^-0.5,(1-Credit_Assumptions!$C$16)*AI114*(1+Credit_Assumptions!$C$17)^-0.5,AI114)</f>
        <v/>
      </c>
      <c r="AJ115" s="80">
        <f>AJ95*CHOOSE(Credit_Assumptions!$D$28,AJ113*AJ114*(1+Credit_Assumptions!$C$17)^-0.5,(1-Credit_Assumptions!$C$16)*AJ114*(1+Credit_Assumptions!$C$17)^-0.5,AJ114)+AJ96*CHOOSE(Credit_Assumptions!$D$29,AJ113*AJ114*(1+Credit_Assumptions!$C$17)^-0.5,(1-Credit_Assumptions!$C$16)*AJ114*(1+Credit_Assumptions!$C$17)^-0.5,AJ114)+AJ97*CHOOSE(Credit_Assumptions!$D$30,AJ113*AJ114*(1+Credit_Assumptions!$C$17)^-0.5,(1-Credit_Assumptions!$C$16)*AJ114*(1+Credit_Assumptions!$C$17)^-0.5,AJ114)+AJ98*CHOOSE(Credit_Assumptions!$D$31,AJ113*AJ114*(1+Credit_Assumptions!$C$17)^-0.5,(1-Credit_Assumptions!$C$16)*AJ114*(1+Credit_Assumptions!$C$17)^-0.5,AJ114)+AJ99*CHOOSE(Credit_Assumptions!$D$32,AJ113*AJ114*(1+Credit_Assumptions!$C$17)^-0.5,(1-Credit_Assumptions!$C$16)*AJ114*(1+Credit_Assumptions!$C$17)^-0.5,AJ114)+AJ100*CHOOSE(Credit_Assumptions!$D$33,AJ113*AJ114*(1+Credit_Assumptions!$C$17)^-0.5,(1-Credit_Assumptions!$C$16)*AJ114*(1+Credit_Assumptions!$C$17)^-0.5,AJ114)</f>
        <v/>
      </c>
      <c r="AK115" s="80">
        <f>AK95*CHOOSE(Credit_Assumptions!$D$28,AK113*AK114*(1+Credit_Assumptions!$C$17)^-0.5,(1-Credit_Assumptions!$C$16)*AK114*(1+Credit_Assumptions!$C$17)^-0.5,AK114)+AK96*CHOOSE(Credit_Assumptions!$D$29,AK113*AK114*(1+Credit_Assumptions!$C$17)^-0.5,(1-Credit_Assumptions!$C$16)*AK114*(1+Credit_Assumptions!$C$17)^-0.5,AK114)+AK97*CHOOSE(Credit_Assumptions!$D$30,AK113*AK114*(1+Credit_Assumptions!$C$17)^-0.5,(1-Credit_Assumptions!$C$16)*AK114*(1+Credit_Assumptions!$C$17)^-0.5,AK114)+AK98*CHOOSE(Credit_Assumptions!$D$31,AK113*AK114*(1+Credit_Assumptions!$C$17)^-0.5,(1-Credit_Assumptions!$C$16)*AK114*(1+Credit_Assumptions!$C$17)^-0.5,AK114)+AK99*CHOOSE(Credit_Assumptions!$D$32,AK113*AK114*(1+Credit_Assumptions!$C$17)^-0.5,(1-Credit_Assumptions!$C$16)*AK114*(1+Credit_Assumptions!$C$17)^-0.5,AK114)+AK100*CHOOSE(Credit_Assumptions!$D$33,AK113*AK114*(1+Credit_Assumptions!$C$17)^-0.5,(1-Credit_Assumptions!$C$16)*AK114*(1+Credit_Assumptions!$C$17)^-0.5,AK114)</f>
        <v/>
      </c>
      <c r="AL115" s="80">
        <f>AL95*CHOOSE(Credit_Assumptions!$D$28,AL113*AL114*(1+Credit_Assumptions!$C$17)^-0.5,(1-Credit_Assumptions!$C$16)*AL114*(1+Credit_Assumptions!$C$17)^-0.5,AL114)+AL96*CHOOSE(Credit_Assumptions!$D$29,AL113*AL114*(1+Credit_Assumptions!$C$17)^-0.5,(1-Credit_Assumptions!$C$16)*AL114*(1+Credit_Assumptions!$C$17)^-0.5,AL114)+AL97*CHOOSE(Credit_Assumptions!$D$30,AL113*AL114*(1+Credit_Assumptions!$C$17)^-0.5,(1-Credit_Assumptions!$C$16)*AL114*(1+Credit_Assumptions!$C$17)^-0.5,AL114)+AL98*CHOOSE(Credit_Assumptions!$D$31,AL113*AL114*(1+Credit_Assumptions!$C$17)^-0.5,(1-Credit_Assumptions!$C$16)*AL114*(1+Credit_Assumptions!$C$17)^-0.5,AL114)+AL99*CHOOSE(Credit_Assumptions!$D$32,AL113*AL114*(1+Credit_Assumptions!$C$17)^-0.5,(1-Credit_Assumptions!$C$16)*AL114*(1+Credit_Assumptions!$C$17)^-0.5,AL114)+AL100*CHOOSE(Credit_Assumptions!$D$33,AL113*AL114*(1+Credit_Assumptions!$C$17)^-0.5,(1-Credit_Assumptions!$C$16)*AL114*(1+Credit_Assumptions!$C$17)^-0.5,AL114)</f>
        <v/>
      </c>
      <c r="AM115" s="80">
        <f>AM95*CHOOSE(Credit_Assumptions!$D$28,AM113*AM114*(1+Credit_Assumptions!$C$17)^-0.5,(1-Credit_Assumptions!$C$16)*AM114*(1+Credit_Assumptions!$C$17)^-0.5,AM114)+AM96*CHOOSE(Credit_Assumptions!$D$29,AM113*AM114*(1+Credit_Assumptions!$C$17)^-0.5,(1-Credit_Assumptions!$C$16)*AM114*(1+Credit_Assumptions!$C$17)^-0.5,AM114)+AM97*CHOOSE(Credit_Assumptions!$D$30,AM113*AM114*(1+Credit_Assumptions!$C$17)^-0.5,(1-Credit_Assumptions!$C$16)*AM114*(1+Credit_Assumptions!$C$17)^-0.5,AM114)+AM98*CHOOSE(Credit_Assumptions!$D$31,AM113*AM114*(1+Credit_Assumptions!$C$17)^-0.5,(1-Credit_Assumptions!$C$16)*AM114*(1+Credit_Assumptions!$C$17)^-0.5,AM114)+AM99*CHOOSE(Credit_Assumptions!$D$32,AM113*AM114*(1+Credit_Assumptions!$C$17)^-0.5,(1-Credit_Assumptions!$C$16)*AM114*(1+Credit_Assumptions!$C$17)^-0.5,AM114)+AM100*CHOOSE(Credit_Assumptions!$D$33,AM113*AM114*(1+Credit_Assumptions!$C$17)^-0.5,(1-Credit_Assumptions!$C$16)*AM114*(1+Credit_Assumptions!$C$17)^-0.5,AM114)</f>
        <v/>
      </c>
      <c r="AN115" s="80">
        <f>AN95*CHOOSE(Credit_Assumptions!$D$28,AN113*AN114*(1+Credit_Assumptions!$C$17)^-0.5,(1-Credit_Assumptions!$C$16)*AN114*(1+Credit_Assumptions!$C$17)^-0.5,AN114)+AN96*CHOOSE(Credit_Assumptions!$D$29,AN113*AN114*(1+Credit_Assumptions!$C$17)^-0.5,(1-Credit_Assumptions!$C$16)*AN114*(1+Credit_Assumptions!$C$17)^-0.5,AN114)+AN97*CHOOSE(Credit_Assumptions!$D$30,AN113*AN114*(1+Credit_Assumptions!$C$17)^-0.5,(1-Credit_Assumptions!$C$16)*AN114*(1+Credit_Assumptions!$C$17)^-0.5,AN114)+AN98*CHOOSE(Credit_Assumptions!$D$31,AN113*AN114*(1+Credit_Assumptions!$C$17)^-0.5,(1-Credit_Assumptions!$C$16)*AN114*(1+Credit_Assumptions!$C$17)^-0.5,AN114)+AN99*CHOOSE(Credit_Assumptions!$D$32,AN113*AN114*(1+Credit_Assumptions!$C$17)^-0.5,(1-Credit_Assumptions!$C$16)*AN114*(1+Credit_Assumptions!$C$17)^-0.5,AN114)+AN100*CHOOSE(Credit_Assumptions!$D$33,AN113*AN114*(1+Credit_Assumptions!$C$17)^-0.5,(1-Credit_Assumptions!$C$16)*AN114*(1+Credit_Assumptions!$C$17)^-0.5,AN114)</f>
        <v/>
      </c>
      <c r="AO115" s="80">
        <f>AO95*CHOOSE(Credit_Assumptions!$D$28,AO113*AO114*(1+Credit_Assumptions!$C$17)^-0.5,(1-Credit_Assumptions!$C$16)*AO114*(1+Credit_Assumptions!$C$17)^-0.5,AO114)+AO96*CHOOSE(Credit_Assumptions!$D$29,AO113*AO114*(1+Credit_Assumptions!$C$17)^-0.5,(1-Credit_Assumptions!$C$16)*AO114*(1+Credit_Assumptions!$C$17)^-0.5,AO114)+AO97*CHOOSE(Credit_Assumptions!$D$30,AO113*AO114*(1+Credit_Assumptions!$C$17)^-0.5,(1-Credit_Assumptions!$C$16)*AO114*(1+Credit_Assumptions!$C$17)^-0.5,AO114)+AO98*CHOOSE(Credit_Assumptions!$D$31,AO113*AO114*(1+Credit_Assumptions!$C$17)^-0.5,(1-Credit_Assumptions!$C$16)*AO114*(1+Credit_Assumptions!$C$17)^-0.5,AO114)+AO99*CHOOSE(Credit_Assumptions!$D$32,AO113*AO114*(1+Credit_Assumptions!$C$17)^-0.5,(1-Credit_Assumptions!$C$16)*AO114*(1+Credit_Assumptions!$C$17)^-0.5,AO114)+AO100*CHOOSE(Credit_Assumptions!$D$33,AO113*AO114*(1+Credit_Assumptions!$C$17)^-0.5,(1-Credit_Assumptions!$C$16)*AO114*(1+Credit_Assumptions!$C$17)^-0.5,AO114)</f>
        <v/>
      </c>
      <c r="AP115" s="80">
        <f>AP95*CHOOSE(Credit_Assumptions!$D$28,AP113*AP114*(1+Credit_Assumptions!$C$17)^-0.5,(1-Credit_Assumptions!$C$16)*AP114*(1+Credit_Assumptions!$C$17)^-0.5,AP114)+AP96*CHOOSE(Credit_Assumptions!$D$29,AP113*AP114*(1+Credit_Assumptions!$C$17)^-0.5,(1-Credit_Assumptions!$C$16)*AP114*(1+Credit_Assumptions!$C$17)^-0.5,AP114)+AP97*CHOOSE(Credit_Assumptions!$D$30,AP113*AP114*(1+Credit_Assumptions!$C$17)^-0.5,(1-Credit_Assumptions!$C$16)*AP114*(1+Credit_Assumptions!$C$17)^-0.5,AP114)+AP98*CHOOSE(Credit_Assumptions!$D$31,AP113*AP114*(1+Credit_Assumptions!$C$17)^-0.5,(1-Credit_Assumptions!$C$16)*AP114*(1+Credit_Assumptions!$C$17)^-0.5,AP114)+AP99*CHOOSE(Credit_Assumptions!$D$32,AP113*AP114*(1+Credit_Assumptions!$C$17)^-0.5,(1-Credit_Assumptions!$C$16)*AP114*(1+Credit_Assumptions!$C$17)^-0.5,AP114)+AP100*CHOOSE(Credit_Assumptions!$D$33,AP113*AP114*(1+Credit_Assumptions!$C$17)^-0.5,(1-Credit_Assumptions!$C$16)*AP114*(1+Credit_Assumptions!$C$17)^-0.5,AP114)</f>
        <v/>
      </c>
      <c r="AQ115" s="80">
        <f>AQ95*CHOOSE(Credit_Assumptions!$D$28,AQ113*AQ114*(1+Credit_Assumptions!$C$17)^-0.5,(1-Credit_Assumptions!$C$16)*AQ114*(1+Credit_Assumptions!$C$17)^-0.5,AQ114)+AQ96*CHOOSE(Credit_Assumptions!$D$29,AQ113*AQ114*(1+Credit_Assumptions!$C$17)^-0.5,(1-Credit_Assumptions!$C$16)*AQ114*(1+Credit_Assumptions!$C$17)^-0.5,AQ114)+AQ97*CHOOSE(Credit_Assumptions!$D$30,AQ113*AQ114*(1+Credit_Assumptions!$C$17)^-0.5,(1-Credit_Assumptions!$C$16)*AQ114*(1+Credit_Assumptions!$C$17)^-0.5,AQ114)+AQ98*CHOOSE(Credit_Assumptions!$D$31,AQ113*AQ114*(1+Credit_Assumptions!$C$17)^-0.5,(1-Credit_Assumptions!$C$16)*AQ114*(1+Credit_Assumptions!$C$17)^-0.5,AQ114)+AQ99*CHOOSE(Credit_Assumptions!$D$32,AQ113*AQ114*(1+Credit_Assumptions!$C$17)^-0.5,(1-Credit_Assumptions!$C$16)*AQ114*(1+Credit_Assumptions!$C$17)^-0.5,AQ114)+AQ100*CHOOSE(Credit_Assumptions!$D$33,AQ113*AQ114*(1+Credit_Assumptions!$C$17)^-0.5,(1-Credit_Assumptions!$C$16)*AQ114*(1+Credit_Assumptions!$C$17)^-0.5,AQ114)</f>
        <v/>
      </c>
      <c r="AR115" s="80">
        <f>AR95*CHOOSE(Credit_Assumptions!$D$28,AR113*AR114*(1+Credit_Assumptions!$C$17)^-0.5,(1-Credit_Assumptions!$C$16)*AR114*(1+Credit_Assumptions!$C$17)^-0.5,AR114)+AR96*CHOOSE(Credit_Assumptions!$D$29,AR113*AR114*(1+Credit_Assumptions!$C$17)^-0.5,(1-Credit_Assumptions!$C$16)*AR114*(1+Credit_Assumptions!$C$17)^-0.5,AR114)+AR97*CHOOSE(Credit_Assumptions!$D$30,AR113*AR114*(1+Credit_Assumptions!$C$17)^-0.5,(1-Credit_Assumptions!$C$16)*AR114*(1+Credit_Assumptions!$C$17)^-0.5,AR114)+AR98*CHOOSE(Credit_Assumptions!$D$31,AR113*AR114*(1+Credit_Assumptions!$C$17)^-0.5,(1-Credit_Assumptions!$C$16)*AR114*(1+Credit_Assumptions!$C$17)^-0.5,AR114)+AR99*CHOOSE(Credit_Assumptions!$D$32,AR113*AR114*(1+Credit_Assumptions!$C$17)^-0.5,(1-Credit_Assumptions!$C$16)*AR114*(1+Credit_Assumptions!$C$17)^-0.5,AR114)+AR100*CHOOSE(Credit_Assumptions!$D$33,AR113*AR114*(1+Credit_Assumptions!$C$17)^-0.5,(1-Credit_Assumptions!$C$16)*AR114*(1+Credit_Assumptions!$C$17)^-0.5,AR114)</f>
        <v/>
      </c>
      <c r="AS115" s="80">
        <f>AS95*CHOOSE(Credit_Assumptions!$D$28,AS113*AS114*(1+Credit_Assumptions!$C$17)^-0.5,(1-Credit_Assumptions!$C$16)*AS114*(1+Credit_Assumptions!$C$17)^-0.5,AS114)+AS96*CHOOSE(Credit_Assumptions!$D$29,AS113*AS114*(1+Credit_Assumptions!$C$17)^-0.5,(1-Credit_Assumptions!$C$16)*AS114*(1+Credit_Assumptions!$C$17)^-0.5,AS114)+AS97*CHOOSE(Credit_Assumptions!$D$30,AS113*AS114*(1+Credit_Assumptions!$C$17)^-0.5,(1-Credit_Assumptions!$C$16)*AS114*(1+Credit_Assumptions!$C$17)^-0.5,AS114)+AS98*CHOOSE(Credit_Assumptions!$D$31,AS113*AS114*(1+Credit_Assumptions!$C$17)^-0.5,(1-Credit_Assumptions!$C$16)*AS114*(1+Credit_Assumptions!$C$17)^-0.5,AS114)+AS99*CHOOSE(Credit_Assumptions!$D$32,AS113*AS114*(1+Credit_Assumptions!$C$17)^-0.5,(1-Credit_Assumptions!$C$16)*AS114*(1+Credit_Assumptions!$C$17)^-0.5,AS114)+AS100*CHOOSE(Credit_Assumptions!$D$33,AS113*AS114*(1+Credit_Assumptions!$C$17)^-0.5,(1-Credit_Assumptions!$C$16)*AS114*(1+Credit_Assumptions!$C$17)^-0.5,AS114)</f>
        <v/>
      </c>
      <c r="AT115" s="80">
        <f>AT95*CHOOSE(Credit_Assumptions!$D$28,AT113*AT114*(1+Credit_Assumptions!$C$17)^-0.5,(1-Credit_Assumptions!$C$16)*AT114*(1+Credit_Assumptions!$C$17)^-0.5,AT114)+AT96*CHOOSE(Credit_Assumptions!$D$29,AT113*AT114*(1+Credit_Assumptions!$C$17)^-0.5,(1-Credit_Assumptions!$C$16)*AT114*(1+Credit_Assumptions!$C$17)^-0.5,AT114)+AT97*CHOOSE(Credit_Assumptions!$D$30,AT113*AT114*(1+Credit_Assumptions!$C$17)^-0.5,(1-Credit_Assumptions!$C$16)*AT114*(1+Credit_Assumptions!$C$17)^-0.5,AT114)+AT98*CHOOSE(Credit_Assumptions!$D$31,AT113*AT114*(1+Credit_Assumptions!$C$17)^-0.5,(1-Credit_Assumptions!$C$16)*AT114*(1+Credit_Assumptions!$C$17)^-0.5,AT114)+AT99*CHOOSE(Credit_Assumptions!$D$32,AT113*AT114*(1+Credit_Assumptions!$C$17)^-0.5,(1-Credit_Assumptions!$C$16)*AT114*(1+Credit_Assumptions!$C$17)^-0.5,AT114)+AT100*CHOOSE(Credit_Assumptions!$D$33,AT113*AT114*(1+Credit_Assumptions!$C$17)^-0.5,(1-Credit_Assumptions!$C$16)*AT114*(1+Credit_Assumptions!$C$17)^-0.5,AT114)</f>
        <v/>
      </c>
      <c r="AU115" s="80">
        <f>AU95*CHOOSE(Credit_Assumptions!$D$28,AU113*AU114*(1+Credit_Assumptions!$C$17)^-0.5,(1-Credit_Assumptions!$C$16)*AU114*(1+Credit_Assumptions!$C$17)^-0.5,AU114)+AU96*CHOOSE(Credit_Assumptions!$D$29,AU113*AU114*(1+Credit_Assumptions!$C$17)^-0.5,(1-Credit_Assumptions!$C$16)*AU114*(1+Credit_Assumptions!$C$17)^-0.5,AU114)+AU97*CHOOSE(Credit_Assumptions!$D$30,AU113*AU114*(1+Credit_Assumptions!$C$17)^-0.5,(1-Credit_Assumptions!$C$16)*AU114*(1+Credit_Assumptions!$C$17)^-0.5,AU114)+AU98*CHOOSE(Credit_Assumptions!$D$31,AU113*AU114*(1+Credit_Assumptions!$C$17)^-0.5,(1-Credit_Assumptions!$C$16)*AU114*(1+Credit_Assumptions!$C$17)^-0.5,AU114)+AU99*CHOOSE(Credit_Assumptions!$D$32,AU113*AU114*(1+Credit_Assumptions!$C$17)^-0.5,(1-Credit_Assumptions!$C$16)*AU114*(1+Credit_Assumptions!$C$17)^-0.5,AU114)+AU100*CHOOSE(Credit_Assumptions!$D$33,AU113*AU114*(1+Credit_Assumptions!$C$17)^-0.5,(1-Credit_Assumptions!$C$16)*AU114*(1+Credit_Assumptions!$C$17)^-0.5,AU114)</f>
        <v/>
      </c>
      <c r="AV115" s="80">
        <f>AV95*CHOOSE(Credit_Assumptions!$D$28,AV113*AV114*(1+Credit_Assumptions!$C$17)^-0.5,(1-Credit_Assumptions!$C$16)*AV114*(1+Credit_Assumptions!$C$17)^-0.5,AV114)+AV96*CHOOSE(Credit_Assumptions!$D$29,AV113*AV114*(1+Credit_Assumptions!$C$17)^-0.5,(1-Credit_Assumptions!$C$16)*AV114*(1+Credit_Assumptions!$C$17)^-0.5,AV114)+AV97*CHOOSE(Credit_Assumptions!$D$30,AV113*AV114*(1+Credit_Assumptions!$C$17)^-0.5,(1-Credit_Assumptions!$C$16)*AV114*(1+Credit_Assumptions!$C$17)^-0.5,AV114)+AV98*CHOOSE(Credit_Assumptions!$D$31,AV113*AV114*(1+Credit_Assumptions!$C$17)^-0.5,(1-Credit_Assumptions!$C$16)*AV114*(1+Credit_Assumptions!$C$17)^-0.5,AV114)+AV99*CHOOSE(Credit_Assumptions!$D$32,AV113*AV114*(1+Credit_Assumptions!$C$17)^-0.5,(1-Credit_Assumptions!$C$16)*AV114*(1+Credit_Assumptions!$C$17)^-0.5,AV114)+AV100*CHOOSE(Credit_Assumptions!$D$33,AV113*AV114*(1+Credit_Assumptions!$C$17)^-0.5,(1-Credit_Assumptions!$C$16)*AV114*(1+Credit_Assumptions!$C$17)^-0.5,AV114)</f>
        <v/>
      </c>
      <c r="AW115" s="80">
        <f>AW95*CHOOSE(Credit_Assumptions!$D$28,AW113*AW114*(1+Credit_Assumptions!$C$17)^-0.5,(1-Credit_Assumptions!$C$16)*AW114*(1+Credit_Assumptions!$C$17)^-0.5,AW114)+AW96*CHOOSE(Credit_Assumptions!$D$29,AW113*AW114*(1+Credit_Assumptions!$C$17)^-0.5,(1-Credit_Assumptions!$C$16)*AW114*(1+Credit_Assumptions!$C$17)^-0.5,AW114)+AW97*CHOOSE(Credit_Assumptions!$D$30,AW113*AW114*(1+Credit_Assumptions!$C$17)^-0.5,(1-Credit_Assumptions!$C$16)*AW114*(1+Credit_Assumptions!$C$17)^-0.5,AW114)+AW98*CHOOSE(Credit_Assumptions!$D$31,AW113*AW114*(1+Credit_Assumptions!$C$17)^-0.5,(1-Credit_Assumptions!$C$16)*AW114*(1+Credit_Assumptions!$C$17)^-0.5,AW114)+AW99*CHOOSE(Credit_Assumptions!$D$32,AW113*AW114*(1+Credit_Assumptions!$C$17)^-0.5,(1-Credit_Assumptions!$C$16)*AW114*(1+Credit_Assumptions!$C$17)^-0.5,AW114)+AW100*CHOOSE(Credit_Assumptions!$D$33,AW113*AW114*(1+Credit_Assumptions!$C$17)^-0.5,(1-Credit_Assumptions!$C$16)*AW114*(1+Credit_Assumptions!$C$17)^-0.5,AW114)</f>
        <v/>
      </c>
      <c r="AX115" s="80">
        <f>AX95*CHOOSE(Credit_Assumptions!$D$28,AX113*AX114*(1+Credit_Assumptions!$C$17)^-0.5,(1-Credit_Assumptions!$C$16)*AX114*(1+Credit_Assumptions!$C$17)^-0.5,AX114)+AX96*CHOOSE(Credit_Assumptions!$D$29,AX113*AX114*(1+Credit_Assumptions!$C$17)^-0.5,(1-Credit_Assumptions!$C$16)*AX114*(1+Credit_Assumptions!$C$17)^-0.5,AX114)+AX97*CHOOSE(Credit_Assumptions!$D$30,AX113*AX114*(1+Credit_Assumptions!$C$17)^-0.5,(1-Credit_Assumptions!$C$16)*AX114*(1+Credit_Assumptions!$C$17)^-0.5,AX114)+AX98*CHOOSE(Credit_Assumptions!$D$31,AX113*AX114*(1+Credit_Assumptions!$C$17)^-0.5,(1-Credit_Assumptions!$C$16)*AX114*(1+Credit_Assumptions!$C$17)^-0.5,AX114)+AX99*CHOOSE(Credit_Assumptions!$D$32,AX113*AX114*(1+Credit_Assumptions!$C$17)^-0.5,(1-Credit_Assumptions!$C$16)*AX114*(1+Credit_Assumptions!$C$17)^-0.5,AX114)+AX100*CHOOSE(Credit_Assumptions!$D$33,AX113*AX114*(1+Credit_Assumptions!$C$17)^-0.5,(1-Credit_Assumptions!$C$16)*AX114*(1+Credit_Assumptions!$C$17)^-0.5,AX114)</f>
        <v/>
      </c>
      <c r="AY115" s="80">
        <f>AY95*CHOOSE(Credit_Assumptions!$D$28,AY113*AY114*(1+Credit_Assumptions!$C$17)^-0.5,(1-Credit_Assumptions!$C$16)*AY114*(1+Credit_Assumptions!$C$17)^-0.5,AY114)+AY96*CHOOSE(Credit_Assumptions!$D$29,AY113*AY114*(1+Credit_Assumptions!$C$17)^-0.5,(1-Credit_Assumptions!$C$16)*AY114*(1+Credit_Assumptions!$C$17)^-0.5,AY114)+AY97*CHOOSE(Credit_Assumptions!$D$30,AY113*AY114*(1+Credit_Assumptions!$C$17)^-0.5,(1-Credit_Assumptions!$C$16)*AY114*(1+Credit_Assumptions!$C$17)^-0.5,AY114)+AY98*CHOOSE(Credit_Assumptions!$D$31,AY113*AY114*(1+Credit_Assumptions!$C$17)^-0.5,(1-Credit_Assumptions!$C$16)*AY114*(1+Credit_Assumptions!$C$17)^-0.5,AY114)+AY99*CHOOSE(Credit_Assumptions!$D$32,AY113*AY114*(1+Credit_Assumptions!$C$17)^-0.5,(1-Credit_Assumptions!$C$16)*AY114*(1+Credit_Assumptions!$C$17)^-0.5,AY114)+AY100*CHOOSE(Credit_Assumptions!$D$33,AY113*AY114*(1+Credit_Assumptions!$C$17)^-0.5,(1-Credit_Assumptions!$C$16)*AY114*(1+Credit_Assumptions!$C$17)^-0.5,AY114)</f>
        <v/>
      </c>
      <c r="AZ115" s="80">
        <f>AZ95*CHOOSE(Credit_Assumptions!$D$28,AZ113*AZ114*(1+Credit_Assumptions!$C$17)^-0.5,(1-Credit_Assumptions!$C$16)*AZ114*(1+Credit_Assumptions!$C$17)^-0.5,AZ114)+AZ96*CHOOSE(Credit_Assumptions!$D$29,AZ113*AZ114*(1+Credit_Assumptions!$C$17)^-0.5,(1-Credit_Assumptions!$C$16)*AZ114*(1+Credit_Assumptions!$C$17)^-0.5,AZ114)+AZ97*CHOOSE(Credit_Assumptions!$D$30,AZ113*AZ114*(1+Credit_Assumptions!$C$17)^-0.5,(1-Credit_Assumptions!$C$16)*AZ114*(1+Credit_Assumptions!$C$17)^-0.5,AZ114)+AZ98*CHOOSE(Credit_Assumptions!$D$31,AZ113*AZ114*(1+Credit_Assumptions!$C$17)^-0.5,(1-Credit_Assumptions!$C$16)*AZ114*(1+Credit_Assumptions!$C$17)^-0.5,AZ114)+AZ99*CHOOSE(Credit_Assumptions!$D$32,AZ113*AZ114*(1+Credit_Assumptions!$C$17)^-0.5,(1-Credit_Assumptions!$C$16)*AZ114*(1+Credit_Assumptions!$C$17)^-0.5,AZ114)+AZ100*CHOOSE(Credit_Assumptions!$D$33,AZ113*AZ114*(1+Credit_Assumptions!$C$17)^-0.5,(1-Credit_Assumptions!$C$16)*AZ114*(1+Credit_Assumptions!$C$17)^-0.5,AZ114)</f>
        <v/>
      </c>
      <c r="BA115" s="80">
        <f>BA95*CHOOSE(Credit_Assumptions!$D$28,BA113*BA114*(1+Credit_Assumptions!$C$17)^-0.5,(1-Credit_Assumptions!$C$16)*BA114*(1+Credit_Assumptions!$C$17)^-0.5,BA114)+BA96*CHOOSE(Credit_Assumptions!$D$29,BA113*BA114*(1+Credit_Assumptions!$C$17)^-0.5,(1-Credit_Assumptions!$C$16)*BA114*(1+Credit_Assumptions!$C$17)^-0.5,BA114)+BA97*CHOOSE(Credit_Assumptions!$D$30,BA113*BA114*(1+Credit_Assumptions!$C$17)^-0.5,(1-Credit_Assumptions!$C$16)*BA114*(1+Credit_Assumptions!$C$17)^-0.5,BA114)+BA98*CHOOSE(Credit_Assumptions!$D$31,BA113*BA114*(1+Credit_Assumptions!$C$17)^-0.5,(1-Credit_Assumptions!$C$16)*BA114*(1+Credit_Assumptions!$C$17)^-0.5,BA114)+BA99*CHOOSE(Credit_Assumptions!$D$32,BA113*BA114*(1+Credit_Assumptions!$C$17)^-0.5,(1-Credit_Assumptions!$C$16)*BA114*(1+Credit_Assumptions!$C$17)^-0.5,BA114)+BA100*CHOOSE(Credit_Assumptions!$D$33,BA113*BA114*(1+Credit_Assumptions!$C$17)^-0.5,(1-Credit_Assumptions!$C$16)*BA114*(1+Credit_Assumptions!$C$17)^-0.5,BA114)</f>
        <v/>
      </c>
      <c r="BB115" s="80">
        <f>BB95*CHOOSE(Credit_Assumptions!$D$28,BB113*BB114*(1+Credit_Assumptions!$C$17)^-0.5,(1-Credit_Assumptions!$C$16)*BB114*(1+Credit_Assumptions!$C$17)^-0.5,BB114)+BB96*CHOOSE(Credit_Assumptions!$D$29,BB113*BB114*(1+Credit_Assumptions!$C$17)^-0.5,(1-Credit_Assumptions!$C$16)*BB114*(1+Credit_Assumptions!$C$17)^-0.5,BB114)+BB97*CHOOSE(Credit_Assumptions!$D$30,BB113*BB114*(1+Credit_Assumptions!$C$17)^-0.5,(1-Credit_Assumptions!$C$16)*BB114*(1+Credit_Assumptions!$C$17)^-0.5,BB114)+BB98*CHOOSE(Credit_Assumptions!$D$31,BB113*BB114*(1+Credit_Assumptions!$C$17)^-0.5,(1-Credit_Assumptions!$C$16)*BB114*(1+Credit_Assumptions!$C$17)^-0.5,BB114)+BB99*CHOOSE(Credit_Assumptions!$D$32,BB113*BB114*(1+Credit_Assumptions!$C$17)^-0.5,(1-Credit_Assumptions!$C$16)*BB114*(1+Credit_Assumptions!$C$17)^-0.5,BB114)+BB100*CHOOSE(Credit_Assumptions!$D$33,BB113*BB114*(1+Credit_Assumptions!$C$17)^-0.5,(1-Credit_Assumptions!$C$16)*BB114*(1+Credit_Assumptions!$C$17)^-0.5,BB114)</f>
        <v/>
      </c>
      <c r="BC115" s="80">
        <f>BC95*CHOOSE(Credit_Assumptions!$D$28,BC113*BC114*(1+Credit_Assumptions!$C$17)^-0.5,(1-Credit_Assumptions!$C$16)*BC114*(1+Credit_Assumptions!$C$17)^-0.5,BC114)+BC96*CHOOSE(Credit_Assumptions!$D$29,BC113*BC114*(1+Credit_Assumptions!$C$17)^-0.5,(1-Credit_Assumptions!$C$16)*BC114*(1+Credit_Assumptions!$C$17)^-0.5,BC114)+BC97*CHOOSE(Credit_Assumptions!$D$30,BC113*BC114*(1+Credit_Assumptions!$C$17)^-0.5,(1-Credit_Assumptions!$C$16)*BC114*(1+Credit_Assumptions!$C$17)^-0.5,BC114)+BC98*CHOOSE(Credit_Assumptions!$D$31,BC113*BC114*(1+Credit_Assumptions!$C$17)^-0.5,(1-Credit_Assumptions!$C$16)*BC114*(1+Credit_Assumptions!$C$17)^-0.5,BC114)+BC99*CHOOSE(Credit_Assumptions!$D$32,BC113*BC114*(1+Credit_Assumptions!$C$17)^-0.5,(1-Credit_Assumptions!$C$16)*BC114*(1+Credit_Assumptions!$C$17)^-0.5,BC114)+BC100*CHOOSE(Credit_Assumptions!$D$33,BC113*BC114*(1+Credit_Assumptions!$C$17)^-0.5,(1-Credit_Assumptions!$C$16)*BC114*(1+Credit_Assumptions!$C$17)^-0.5,BC114)</f>
        <v/>
      </c>
      <c r="BD115" s="80">
        <f>BD95*CHOOSE(Credit_Assumptions!$D$28,BD113*BD114*(1+Credit_Assumptions!$C$17)^-0.5,(1-Credit_Assumptions!$C$16)*BD114*(1+Credit_Assumptions!$C$17)^-0.5,BD114)+BD96*CHOOSE(Credit_Assumptions!$D$29,BD113*BD114*(1+Credit_Assumptions!$C$17)^-0.5,(1-Credit_Assumptions!$C$16)*BD114*(1+Credit_Assumptions!$C$17)^-0.5,BD114)+BD97*CHOOSE(Credit_Assumptions!$D$30,BD113*BD114*(1+Credit_Assumptions!$C$17)^-0.5,(1-Credit_Assumptions!$C$16)*BD114*(1+Credit_Assumptions!$C$17)^-0.5,BD114)+BD98*CHOOSE(Credit_Assumptions!$D$31,BD113*BD114*(1+Credit_Assumptions!$C$17)^-0.5,(1-Credit_Assumptions!$C$16)*BD114*(1+Credit_Assumptions!$C$17)^-0.5,BD114)+BD99*CHOOSE(Credit_Assumptions!$D$32,BD113*BD114*(1+Credit_Assumptions!$C$17)^-0.5,(1-Credit_Assumptions!$C$16)*BD114*(1+Credit_Assumptions!$C$17)^-0.5,BD114)+BD100*CHOOSE(Credit_Assumptions!$D$33,BD113*BD114*(1+Credit_Assumptions!$C$17)^-0.5,(1-Credit_Assumptions!$C$16)*BD114*(1+Credit_Assumptions!$C$17)^-0.5,BD114)</f>
        <v/>
      </c>
      <c r="BE115" s="80">
        <f>BE95*CHOOSE(Credit_Assumptions!$D$28,BE113*BE114*(1+Credit_Assumptions!$C$17)^-0.5,(1-Credit_Assumptions!$C$16)*BE114*(1+Credit_Assumptions!$C$17)^-0.5,BE114)+BE96*CHOOSE(Credit_Assumptions!$D$29,BE113*BE114*(1+Credit_Assumptions!$C$17)^-0.5,(1-Credit_Assumptions!$C$16)*BE114*(1+Credit_Assumptions!$C$17)^-0.5,BE114)+BE97*CHOOSE(Credit_Assumptions!$D$30,BE113*BE114*(1+Credit_Assumptions!$C$17)^-0.5,(1-Credit_Assumptions!$C$16)*BE114*(1+Credit_Assumptions!$C$17)^-0.5,BE114)+BE98*CHOOSE(Credit_Assumptions!$D$31,BE113*BE114*(1+Credit_Assumptions!$C$17)^-0.5,(1-Credit_Assumptions!$C$16)*BE114*(1+Credit_Assumptions!$C$17)^-0.5,BE114)+BE99*CHOOSE(Credit_Assumptions!$D$32,BE113*BE114*(1+Credit_Assumptions!$C$17)^-0.5,(1-Credit_Assumptions!$C$16)*BE114*(1+Credit_Assumptions!$C$17)^-0.5,BE114)+BE100*CHOOSE(Credit_Assumptions!$D$33,BE113*BE114*(1+Credit_Assumptions!$C$17)^-0.5,(1-Credit_Assumptions!$C$16)*BE114*(1+Credit_Assumptions!$C$17)^-0.5,BE114)</f>
        <v/>
      </c>
      <c r="BF115" s="80">
        <f>BF95*CHOOSE(Credit_Assumptions!$D$28,BF113*BF114*(1+Credit_Assumptions!$C$17)^-0.5,(1-Credit_Assumptions!$C$16)*BF114*(1+Credit_Assumptions!$C$17)^-0.5,BF114)+BF96*CHOOSE(Credit_Assumptions!$D$29,BF113*BF114*(1+Credit_Assumptions!$C$17)^-0.5,(1-Credit_Assumptions!$C$16)*BF114*(1+Credit_Assumptions!$C$17)^-0.5,BF114)+BF97*CHOOSE(Credit_Assumptions!$D$30,BF113*BF114*(1+Credit_Assumptions!$C$17)^-0.5,(1-Credit_Assumptions!$C$16)*BF114*(1+Credit_Assumptions!$C$17)^-0.5,BF114)+BF98*CHOOSE(Credit_Assumptions!$D$31,BF113*BF114*(1+Credit_Assumptions!$C$17)^-0.5,(1-Credit_Assumptions!$C$16)*BF114*(1+Credit_Assumptions!$C$17)^-0.5,BF114)+BF99*CHOOSE(Credit_Assumptions!$D$32,BF113*BF114*(1+Credit_Assumptions!$C$17)^-0.5,(1-Credit_Assumptions!$C$16)*BF114*(1+Credit_Assumptions!$C$17)^-0.5,BF114)+BF100*CHOOSE(Credit_Assumptions!$D$33,BF113*BF114*(1+Credit_Assumptions!$C$17)^-0.5,(1-Credit_Assumptions!$C$16)*BF114*(1+Credit_Assumptions!$C$17)^-0.5,BF114)</f>
        <v/>
      </c>
      <c r="BG115" s="80">
        <f>BG95*CHOOSE(Credit_Assumptions!$D$28,BG113*BG114*(1+Credit_Assumptions!$C$17)^-0.5,(1-Credit_Assumptions!$C$16)*BG114*(1+Credit_Assumptions!$C$17)^-0.5,BG114)+BG96*CHOOSE(Credit_Assumptions!$D$29,BG113*BG114*(1+Credit_Assumptions!$C$17)^-0.5,(1-Credit_Assumptions!$C$16)*BG114*(1+Credit_Assumptions!$C$17)^-0.5,BG114)+BG97*CHOOSE(Credit_Assumptions!$D$30,BG113*BG114*(1+Credit_Assumptions!$C$17)^-0.5,(1-Credit_Assumptions!$C$16)*BG114*(1+Credit_Assumptions!$C$17)^-0.5,BG114)+BG98*CHOOSE(Credit_Assumptions!$D$31,BG113*BG114*(1+Credit_Assumptions!$C$17)^-0.5,(1-Credit_Assumptions!$C$16)*BG114*(1+Credit_Assumptions!$C$17)^-0.5,BG114)+BG99*CHOOSE(Credit_Assumptions!$D$32,BG113*BG114*(1+Credit_Assumptions!$C$17)^-0.5,(1-Credit_Assumptions!$C$16)*BG114*(1+Credit_Assumptions!$C$17)^-0.5,BG114)+BG100*CHOOSE(Credit_Assumptions!$D$33,BG113*BG114*(1+Credit_Assumptions!$C$17)^-0.5,(1-Credit_Assumptions!$C$16)*BG114*(1+Credit_Assumptions!$C$17)^-0.5,BG114)</f>
        <v/>
      </c>
      <c r="BH115" s="80">
        <f>BH95*CHOOSE(Credit_Assumptions!$D$28,BH113*BH114*(1+Credit_Assumptions!$C$17)^-0.5,(1-Credit_Assumptions!$C$16)*BH114*(1+Credit_Assumptions!$C$17)^-0.5,BH114)+BH96*CHOOSE(Credit_Assumptions!$D$29,BH113*BH114*(1+Credit_Assumptions!$C$17)^-0.5,(1-Credit_Assumptions!$C$16)*BH114*(1+Credit_Assumptions!$C$17)^-0.5,BH114)+BH97*CHOOSE(Credit_Assumptions!$D$30,BH113*BH114*(1+Credit_Assumptions!$C$17)^-0.5,(1-Credit_Assumptions!$C$16)*BH114*(1+Credit_Assumptions!$C$17)^-0.5,BH114)+BH98*CHOOSE(Credit_Assumptions!$D$31,BH113*BH114*(1+Credit_Assumptions!$C$17)^-0.5,(1-Credit_Assumptions!$C$16)*BH114*(1+Credit_Assumptions!$C$17)^-0.5,BH114)+BH99*CHOOSE(Credit_Assumptions!$D$32,BH113*BH114*(1+Credit_Assumptions!$C$17)^-0.5,(1-Credit_Assumptions!$C$16)*BH114*(1+Credit_Assumptions!$C$17)^-0.5,BH114)+BH100*CHOOSE(Credit_Assumptions!$D$33,BH113*BH114*(1+Credit_Assumptions!$C$17)^-0.5,(1-Credit_Assumptions!$C$16)*BH114*(1+Credit_Assumptions!$C$17)^-0.5,BH114)</f>
        <v/>
      </c>
      <c r="BI115" s="80">
        <f>BI95*CHOOSE(Credit_Assumptions!$D$28,BI113*BI114*(1+Credit_Assumptions!$C$17)^-0.5,(1-Credit_Assumptions!$C$16)*BI114*(1+Credit_Assumptions!$C$17)^-0.5,BI114)+BI96*CHOOSE(Credit_Assumptions!$D$29,BI113*BI114*(1+Credit_Assumptions!$C$17)^-0.5,(1-Credit_Assumptions!$C$16)*BI114*(1+Credit_Assumptions!$C$17)^-0.5,BI114)+BI97*CHOOSE(Credit_Assumptions!$D$30,BI113*BI114*(1+Credit_Assumptions!$C$17)^-0.5,(1-Credit_Assumptions!$C$16)*BI114*(1+Credit_Assumptions!$C$17)^-0.5,BI114)+BI98*CHOOSE(Credit_Assumptions!$D$31,BI113*BI114*(1+Credit_Assumptions!$C$17)^-0.5,(1-Credit_Assumptions!$C$16)*BI114*(1+Credit_Assumptions!$C$17)^-0.5,BI114)+BI99*CHOOSE(Credit_Assumptions!$D$32,BI113*BI114*(1+Credit_Assumptions!$C$17)^-0.5,(1-Credit_Assumptions!$C$16)*BI114*(1+Credit_Assumptions!$C$17)^-0.5,BI114)+BI100*CHOOSE(Credit_Assumptions!$D$33,BI113*BI114*(1+Credit_Assumptions!$C$17)^-0.5,(1-Credit_Assumptions!$C$16)*BI114*(1+Credit_Assumptions!$C$17)^-0.5,BI114)</f>
        <v/>
      </c>
      <c r="BJ115" s="80">
        <f>BJ95*CHOOSE(Credit_Assumptions!$D$28,BJ113*BJ114*(1+Credit_Assumptions!$C$17)^-0.5,(1-Credit_Assumptions!$C$16)*BJ114*(1+Credit_Assumptions!$C$17)^-0.5,BJ114)+BJ96*CHOOSE(Credit_Assumptions!$D$29,BJ113*BJ114*(1+Credit_Assumptions!$C$17)^-0.5,(1-Credit_Assumptions!$C$16)*BJ114*(1+Credit_Assumptions!$C$17)^-0.5,BJ114)+BJ97*CHOOSE(Credit_Assumptions!$D$30,BJ113*BJ114*(1+Credit_Assumptions!$C$17)^-0.5,(1-Credit_Assumptions!$C$16)*BJ114*(1+Credit_Assumptions!$C$17)^-0.5,BJ114)+BJ98*CHOOSE(Credit_Assumptions!$D$31,BJ113*BJ114*(1+Credit_Assumptions!$C$17)^-0.5,(1-Credit_Assumptions!$C$16)*BJ114*(1+Credit_Assumptions!$C$17)^-0.5,BJ114)+BJ99*CHOOSE(Credit_Assumptions!$D$32,BJ113*BJ114*(1+Credit_Assumptions!$C$17)^-0.5,(1-Credit_Assumptions!$C$16)*BJ114*(1+Credit_Assumptions!$C$17)^-0.5,BJ114)+BJ100*CHOOSE(Credit_Assumptions!$D$33,BJ113*BJ114*(1+Credit_Assumptions!$C$17)^-0.5,(1-Credit_Assumptions!$C$16)*BJ114*(1+Credit_Assumptions!$C$17)^-0.5,BJ114)</f>
        <v/>
      </c>
      <c r="BK115" s="80">
        <f>BK95*CHOOSE(Credit_Assumptions!$D$28,BK113*BK114*(1+Credit_Assumptions!$C$17)^-0.5,(1-Credit_Assumptions!$C$16)*BK114*(1+Credit_Assumptions!$C$17)^-0.5,BK114)+BK96*CHOOSE(Credit_Assumptions!$D$29,BK113*BK114*(1+Credit_Assumptions!$C$17)^-0.5,(1-Credit_Assumptions!$C$16)*BK114*(1+Credit_Assumptions!$C$17)^-0.5,BK114)+BK97*CHOOSE(Credit_Assumptions!$D$30,BK113*BK114*(1+Credit_Assumptions!$C$17)^-0.5,(1-Credit_Assumptions!$C$16)*BK114*(1+Credit_Assumptions!$C$17)^-0.5,BK114)+BK98*CHOOSE(Credit_Assumptions!$D$31,BK113*BK114*(1+Credit_Assumptions!$C$17)^-0.5,(1-Credit_Assumptions!$C$16)*BK114*(1+Credit_Assumptions!$C$17)^-0.5,BK114)+BK99*CHOOSE(Credit_Assumptions!$D$32,BK113*BK114*(1+Credit_Assumptions!$C$17)^-0.5,(1-Credit_Assumptions!$C$16)*BK114*(1+Credit_Assumptions!$C$17)^-0.5,BK114)+BK100*CHOOSE(Credit_Assumptions!$D$33,BK113*BK114*(1+Credit_Assumptions!$C$17)^-0.5,(1-Credit_Assumptions!$C$16)*BK114*(1+Credit_Assumptions!$C$17)^-0.5,BK114)</f>
        <v/>
      </c>
      <c r="BL115" s="80">
        <f>BL95*CHOOSE(Credit_Assumptions!$D$28,BL113*BL114*(1+Credit_Assumptions!$C$17)^-0.5,(1-Credit_Assumptions!$C$16)*BL114*(1+Credit_Assumptions!$C$17)^-0.5,BL114)+BL96*CHOOSE(Credit_Assumptions!$D$29,BL113*BL114*(1+Credit_Assumptions!$C$17)^-0.5,(1-Credit_Assumptions!$C$16)*BL114*(1+Credit_Assumptions!$C$17)^-0.5,BL114)+BL97*CHOOSE(Credit_Assumptions!$D$30,BL113*BL114*(1+Credit_Assumptions!$C$17)^-0.5,(1-Credit_Assumptions!$C$16)*BL114*(1+Credit_Assumptions!$C$17)^-0.5,BL114)+BL98*CHOOSE(Credit_Assumptions!$D$31,BL113*BL114*(1+Credit_Assumptions!$C$17)^-0.5,(1-Credit_Assumptions!$C$16)*BL114*(1+Credit_Assumptions!$C$17)^-0.5,BL114)+BL99*CHOOSE(Credit_Assumptions!$D$32,BL113*BL114*(1+Credit_Assumptions!$C$17)^-0.5,(1-Credit_Assumptions!$C$16)*BL114*(1+Credit_Assumptions!$C$17)^-0.5,BL114)+BL100*CHOOSE(Credit_Assumptions!$D$33,BL113*BL114*(1+Credit_Assumptions!$C$17)^-0.5,(1-Credit_Assumptions!$C$16)*BL114*(1+Credit_Assumptions!$C$17)^-0.5,BL114)</f>
        <v/>
      </c>
    </row>
    <row r="116">
      <c r="A116" s="98" t="inlineStr">
        <is>
          <t>Eligible receivables (borrowing base)</t>
        </is>
      </c>
      <c r="B116" s="65" t="inlineStr">
        <is>
          <t>LCY</t>
        </is>
      </c>
      <c r="C116" s="105">
        <f>BL116</f>
        <v/>
      </c>
      <c r="E116" s="80">
        <f>E95*Credit_Assumptions!$E$28+E96*Credit_Assumptions!$E$29+E97*Credit_Assumptions!$E$30+E98*Credit_Assumptions!$E$31+E99*Credit_Assumptions!$E$32+E100*Credit_Assumptions!$E$33</f>
        <v/>
      </c>
      <c r="F116" s="80">
        <f>F95*Credit_Assumptions!$E$28+F96*Credit_Assumptions!$E$29+F97*Credit_Assumptions!$E$30+F98*Credit_Assumptions!$E$31+F99*Credit_Assumptions!$E$32+F100*Credit_Assumptions!$E$33</f>
        <v/>
      </c>
      <c r="G116" s="80">
        <f>G95*Credit_Assumptions!$E$28+G96*Credit_Assumptions!$E$29+G97*Credit_Assumptions!$E$30+G98*Credit_Assumptions!$E$31+G99*Credit_Assumptions!$E$32+G100*Credit_Assumptions!$E$33</f>
        <v/>
      </c>
      <c r="H116" s="80">
        <f>H95*Credit_Assumptions!$E$28+H96*Credit_Assumptions!$E$29+H97*Credit_Assumptions!$E$30+H98*Credit_Assumptions!$E$31+H99*Credit_Assumptions!$E$32+H100*Credit_Assumptions!$E$33</f>
        <v/>
      </c>
      <c r="I116" s="80">
        <f>I95*Credit_Assumptions!$E$28+I96*Credit_Assumptions!$E$29+I97*Credit_Assumptions!$E$30+I98*Credit_Assumptions!$E$31+I99*Credit_Assumptions!$E$32+I100*Credit_Assumptions!$E$33</f>
        <v/>
      </c>
      <c r="J116" s="80">
        <f>J95*Credit_Assumptions!$E$28+J96*Credit_Assumptions!$E$29+J97*Credit_Assumptions!$E$30+J98*Credit_Assumptions!$E$31+J99*Credit_Assumptions!$E$32+J100*Credit_Assumptions!$E$33</f>
        <v/>
      </c>
      <c r="K116" s="80">
        <f>K95*Credit_Assumptions!$E$28+K96*Credit_Assumptions!$E$29+K97*Credit_Assumptions!$E$30+K98*Credit_Assumptions!$E$31+K99*Credit_Assumptions!$E$32+K100*Credit_Assumptions!$E$33</f>
        <v/>
      </c>
      <c r="L116" s="80">
        <f>L95*Credit_Assumptions!$E$28+L96*Credit_Assumptions!$E$29+L97*Credit_Assumptions!$E$30+L98*Credit_Assumptions!$E$31+L99*Credit_Assumptions!$E$32+L100*Credit_Assumptions!$E$33</f>
        <v/>
      </c>
      <c r="M116" s="80">
        <f>M95*Credit_Assumptions!$E$28+M96*Credit_Assumptions!$E$29+M97*Credit_Assumptions!$E$30+M98*Credit_Assumptions!$E$31+M99*Credit_Assumptions!$E$32+M100*Credit_Assumptions!$E$33</f>
        <v/>
      </c>
      <c r="N116" s="80">
        <f>N95*Credit_Assumptions!$E$28+N96*Credit_Assumptions!$E$29+N97*Credit_Assumptions!$E$30+N98*Credit_Assumptions!$E$31+N99*Credit_Assumptions!$E$32+N100*Credit_Assumptions!$E$33</f>
        <v/>
      </c>
      <c r="O116" s="80">
        <f>O95*Credit_Assumptions!$E$28+O96*Credit_Assumptions!$E$29+O97*Credit_Assumptions!$E$30+O98*Credit_Assumptions!$E$31+O99*Credit_Assumptions!$E$32+O100*Credit_Assumptions!$E$33</f>
        <v/>
      </c>
      <c r="P116" s="80">
        <f>P95*Credit_Assumptions!$E$28+P96*Credit_Assumptions!$E$29+P97*Credit_Assumptions!$E$30+P98*Credit_Assumptions!$E$31+P99*Credit_Assumptions!$E$32+P100*Credit_Assumptions!$E$33</f>
        <v/>
      </c>
      <c r="Q116" s="80">
        <f>Q95*Credit_Assumptions!$E$28+Q96*Credit_Assumptions!$E$29+Q97*Credit_Assumptions!$E$30+Q98*Credit_Assumptions!$E$31+Q99*Credit_Assumptions!$E$32+Q100*Credit_Assumptions!$E$33</f>
        <v/>
      </c>
      <c r="R116" s="80">
        <f>R95*Credit_Assumptions!$E$28+R96*Credit_Assumptions!$E$29+R97*Credit_Assumptions!$E$30+R98*Credit_Assumptions!$E$31+R99*Credit_Assumptions!$E$32+R100*Credit_Assumptions!$E$33</f>
        <v/>
      </c>
      <c r="S116" s="80">
        <f>S95*Credit_Assumptions!$E$28+S96*Credit_Assumptions!$E$29+S97*Credit_Assumptions!$E$30+S98*Credit_Assumptions!$E$31+S99*Credit_Assumptions!$E$32+S100*Credit_Assumptions!$E$33</f>
        <v/>
      </c>
      <c r="T116" s="80">
        <f>T95*Credit_Assumptions!$E$28+T96*Credit_Assumptions!$E$29+T97*Credit_Assumptions!$E$30+T98*Credit_Assumptions!$E$31+T99*Credit_Assumptions!$E$32+T100*Credit_Assumptions!$E$33</f>
        <v/>
      </c>
      <c r="U116" s="80">
        <f>U95*Credit_Assumptions!$E$28+U96*Credit_Assumptions!$E$29+U97*Credit_Assumptions!$E$30+U98*Credit_Assumptions!$E$31+U99*Credit_Assumptions!$E$32+U100*Credit_Assumptions!$E$33</f>
        <v/>
      </c>
      <c r="V116" s="80">
        <f>V95*Credit_Assumptions!$E$28+V96*Credit_Assumptions!$E$29+V97*Credit_Assumptions!$E$30+V98*Credit_Assumptions!$E$31+V99*Credit_Assumptions!$E$32+V100*Credit_Assumptions!$E$33</f>
        <v/>
      </c>
      <c r="W116" s="80">
        <f>W95*Credit_Assumptions!$E$28+W96*Credit_Assumptions!$E$29+W97*Credit_Assumptions!$E$30+W98*Credit_Assumptions!$E$31+W99*Credit_Assumptions!$E$32+W100*Credit_Assumptions!$E$33</f>
        <v/>
      </c>
      <c r="X116" s="80">
        <f>X95*Credit_Assumptions!$E$28+X96*Credit_Assumptions!$E$29+X97*Credit_Assumptions!$E$30+X98*Credit_Assumptions!$E$31+X99*Credit_Assumptions!$E$32+X100*Credit_Assumptions!$E$33</f>
        <v/>
      </c>
      <c r="Y116" s="80">
        <f>Y95*Credit_Assumptions!$E$28+Y96*Credit_Assumptions!$E$29+Y97*Credit_Assumptions!$E$30+Y98*Credit_Assumptions!$E$31+Y99*Credit_Assumptions!$E$32+Y100*Credit_Assumptions!$E$33</f>
        <v/>
      </c>
      <c r="Z116" s="80">
        <f>Z95*Credit_Assumptions!$E$28+Z96*Credit_Assumptions!$E$29+Z97*Credit_Assumptions!$E$30+Z98*Credit_Assumptions!$E$31+Z99*Credit_Assumptions!$E$32+Z100*Credit_Assumptions!$E$33</f>
        <v/>
      </c>
      <c r="AA116" s="80">
        <f>AA95*Credit_Assumptions!$E$28+AA96*Credit_Assumptions!$E$29+AA97*Credit_Assumptions!$E$30+AA98*Credit_Assumptions!$E$31+AA99*Credit_Assumptions!$E$32+AA100*Credit_Assumptions!$E$33</f>
        <v/>
      </c>
      <c r="AB116" s="80">
        <f>AB95*Credit_Assumptions!$E$28+AB96*Credit_Assumptions!$E$29+AB97*Credit_Assumptions!$E$30+AB98*Credit_Assumptions!$E$31+AB99*Credit_Assumptions!$E$32+AB100*Credit_Assumptions!$E$33</f>
        <v/>
      </c>
      <c r="AC116" s="80">
        <f>AC95*Credit_Assumptions!$E$28+AC96*Credit_Assumptions!$E$29+AC97*Credit_Assumptions!$E$30+AC98*Credit_Assumptions!$E$31+AC99*Credit_Assumptions!$E$32+AC100*Credit_Assumptions!$E$33</f>
        <v/>
      </c>
      <c r="AD116" s="80">
        <f>AD95*Credit_Assumptions!$E$28+AD96*Credit_Assumptions!$E$29+AD97*Credit_Assumptions!$E$30+AD98*Credit_Assumptions!$E$31+AD99*Credit_Assumptions!$E$32+AD100*Credit_Assumptions!$E$33</f>
        <v/>
      </c>
      <c r="AE116" s="80">
        <f>AE95*Credit_Assumptions!$E$28+AE96*Credit_Assumptions!$E$29+AE97*Credit_Assumptions!$E$30+AE98*Credit_Assumptions!$E$31+AE99*Credit_Assumptions!$E$32+AE100*Credit_Assumptions!$E$33</f>
        <v/>
      </c>
      <c r="AF116" s="80">
        <f>AF95*Credit_Assumptions!$E$28+AF96*Credit_Assumptions!$E$29+AF97*Credit_Assumptions!$E$30+AF98*Credit_Assumptions!$E$31+AF99*Credit_Assumptions!$E$32+AF100*Credit_Assumptions!$E$33</f>
        <v/>
      </c>
      <c r="AG116" s="80">
        <f>AG95*Credit_Assumptions!$E$28+AG96*Credit_Assumptions!$E$29+AG97*Credit_Assumptions!$E$30+AG98*Credit_Assumptions!$E$31+AG99*Credit_Assumptions!$E$32+AG100*Credit_Assumptions!$E$33</f>
        <v/>
      </c>
      <c r="AH116" s="80">
        <f>AH95*Credit_Assumptions!$E$28+AH96*Credit_Assumptions!$E$29+AH97*Credit_Assumptions!$E$30+AH98*Credit_Assumptions!$E$31+AH99*Credit_Assumptions!$E$32+AH100*Credit_Assumptions!$E$33</f>
        <v/>
      </c>
      <c r="AI116" s="80">
        <f>AI95*Credit_Assumptions!$E$28+AI96*Credit_Assumptions!$E$29+AI97*Credit_Assumptions!$E$30+AI98*Credit_Assumptions!$E$31+AI99*Credit_Assumptions!$E$32+AI100*Credit_Assumptions!$E$33</f>
        <v/>
      </c>
      <c r="AJ116" s="80">
        <f>AJ95*Credit_Assumptions!$E$28+AJ96*Credit_Assumptions!$E$29+AJ97*Credit_Assumptions!$E$30+AJ98*Credit_Assumptions!$E$31+AJ99*Credit_Assumptions!$E$32+AJ100*Credit_Assumptions!$E$33</f>
        <v/>
      </c>
      <c r="AK116" s="80">
        <f>AK95*Credit_Assumptions!$E$28+AK96*Credit_Assumptions!$E$29+AK97*Credit_Assumptions!$E$30+AK98*Credit_Assumptions!$E$31+AK99*Credit_Assumptions!$E$32+AK100*Credit_Assumptions!$E$33</f>
        <v/>
      </c>
      <c r="AL116" s="80">
        <f>AL95*Credit_Assumptions!$E$28+AL96*Credit_Assumptions!$E$29+AL97*Credit_Assumptions!$E$30+AL98*Credit_Assumptions!$E$31+AL99*Credit_Assumptions!$E$32+AL100*Credit_Assumptions!$E$33</f>
        <v/>
      </c>
      <c r="AM116" s="80">
        <f>AM95*Credit_Assumptions!$E$28+AM96*Credit_Assumptions!$E$29+AM97*Credit_Assumptions!$E$30+AM98*Credit_Assumptions!$E$31+AM99*Credit_Assumptions!$E$32+AM100*Credit_Assumptions!$E$33</f>
        <v/>
      </c>
      <c r="AN116" s="80">
        <f>AN95*Credit_Assumptions!$E$28+AN96*Credit_Assumptions!$E$29+AN97*Credit_Assumptions!$E$30+AN98*Credit_Assumptions!$E$31+AN99*Credit_Assumptions!$E$32+AN100*Credit_Assumptions!$E$33</f>
        <v/>
      </c>
      <c r="AO116" s="80">
        <f>AO95*Credit_Assumptions!$E$28+AO96*Credit_Assumptions!$E$29+AO97*Credit_Assumptions!$E$30+AO98*Credit_Assumptions!$E$31+AO99*Credit_Assumptions!$E$32+AO100*Credit_Assumptions!$E$33</f>
        <v/>
      </c>
      <c r="AP116" s="80">
        <f>AP95*Credit_Assumptions!$E$28+AP96*Credit_Assumptions!$E$29+AP97*Credit_Assumptions!$E$30+AP98*Credit_Assumptions!$E$31+AP99*Credit_Assumptions!$E$32+AP100*Credit_Assumptions!$E$33</f>
        <v/>
      </c>
      <c r="AQ116" s="80">
        <f>AQ95*Credit_Assumptions!$E$28+AQ96*Credit_Assumptions!$E$29+AQ97*Credit_Assumptions!$E$30+AQ98*Credit_Assumptions!$E$31+AQ99*Credit_Assumptions!$E$32+AQ100*Credit_Assumptions!$E$33</f>
        <v/>
      </c>
      <c r="AR116" s="80">
        <f>AR95*Credit_Assumptions!$E$28+AR96*Credit_Assumptions!$E$29+AR97*Credit_Assumptions!$E$30+AR98*Credit_Assumptions!$E$31+AR99*Credit_Assumptions!$E$32+AR100*Credit_Assumptions!$E$33</f>
        <v/>
      </c>
      <c r="AS116" s="80">
        <f>AS95*Credit_Assumptions!$E$28+AS96*Credit_Assumptions!$E$29+AS97*Credit_Assumptions!$E$30+AS98*Credit_Assumptions!$E$31+AS99*Credit_Assumptions!$E$32+AS100*Credit_Assumptions!$E$33</f>
        <v/>
      </c>
      <c r="AT116" s="80">
        <f>AT95*Credit_Assumptions!$E$28+AT96*Credit_Assumptions!$E$29+AT97*Credit_Assumptions!$E$30+AT98*Credit_Assumptions!$E$31+AT99*Credit_Assumptions!$E$32+AT100*Credit_Assumptions!$E$33</f>
        <v/>
      </c>
      <c r="AU116" s="80">
        <f>AU95*Credit_Assumptions!$E$28+AU96*Credit_Assumptions!$E$29+AU97*Credit_Assumptions!$E$30+AU98*Credit_Assumptions!$E$31+AU99*Credit_Assumptions!$E$32+AU100*Credit_Assumptions!$E$33</f>
        <v/>
      </c>
      <c r="AV116" s="80">
        <f>AV95*Credit_Assumptions!$E$28+AV96*Credit_Assumptions!$E$29+AV97*Credit_Assumptions!$E$30+AV98*Credit_Assumptions!$E$31+AV99*Credit_Assumptions!$E$32+AV100*Credit_Assumptions!$E$33</f>
        <v/>
      </c>
      <c r="AW116" s="80">
        <f>AW95*Credit_Assumptions!$E$28+AW96*Credit_Assumptions!$E$29+AW97*Credit_Assumptions!$E$30+AW98*Credit_Assumptions!$E$31+AW99*Credit_Assumptions!$E$32+AW100*Credit_Assumptions!$E$33</f>
        <v/>
      </c>
      <c r="AX116" s="80">
        <f>AX95*Credit_Assumptions!$E$28+AX96*Credit_Assumptions!$E$29+AX97*Credit_Assumptions!$E$30+AX98*Credit_Assumptions!$E$31+AX99*Credit_Assumptions!$E$32+AX100*Credit_Assumptions!$E$33</f>
        <v/>
      </c>
      <c r="AY116" s="80">
        <f>AY95*Credit_Assumptions!$E$28+AY96*Credit_Assumptions!$E$29+AY97*Credit_Assumptions!$E$30+AY98*Credit_Assumptions!$E$31+AY99*Credit_Assumptions!$E$32+AY100*Credit_Assumptions!$E$33</f>
        <v/>
      </c>
      <c r="AZ116" s="80">
        <f>AZ95*Credit_Assumptions!$E$28+AZ96*Credit_Assumptions!$E$29+AZ97*Credit_Assumptions!$E$30+AZ98*Credit_Assumptions!$E$31+AZ99*Credit_Assumptions!$E$32+AZ100*Credit_Assumptions!$E$33</f>
        <v/>
      </c>
      <c r="BA116" s="80">
        <f>BA95*Credit_Assumptions!$E$28+BA96*Credit_Assumptions!$E$29+BA97*Credit_Assumptions!$E$30+BA98*Credit_Assumptions!$E$31+BA99*Credit_Assumptions!$E$32+BA100*Credit_Assumptions!$E$33</f>
        <v/>
      </c>
      <c r="BB116" s="80">
        <f>BB95*Credit_Assumptions!$E$28+BB96*Credit_Assumptions!$E$29+BB97*Credit_Assumptions!$E$30+BB98*Credit_Assumptions!$E$31+BB99*Credit_Assumptions!$E$32+BB100*Credit_Assumptions!$E$33</f>
        <v/>
      </c>
      <c r="BC116" s="80">
        <f>BC95*Credit_Assumptions!$E$28+BC96*Credit_Assumptions!$E$29+BC97*Credit_Assumptions!$E$30+BC98*Credit_Assumptions!$E$31+BC99*Credit_Assumptions!$E$32+BC100*Credit_Assumptions!$E$33</f>
        <v/>
      </c>
      <c r="BD116" s="80">
        <f>BD95*Credit_Assumptions!$E$28+BD96*Credit_Assumptions!$E$29+BD97*Credit_Assumptions!$E$30+BD98*Credit_Assumptions!$E$31+BD99*Credit_Assumptions!$E$32+BD100*Credit_Assumptions!$E$33</f>
        <v/>
      </c>
      <c r="BE116" s="80">
        <f>BE95*Credit_Assumptions!$E$28+BE96*Credit_Assumptions!$E$29+BE97*Credit_Assumptions!$E$30+BE98*Credit_Assumptions!$E$31+BE99*Credit_Assumptions!$E$32+BE100*Credit_Assumptions!$E$33</f>
        <v/>
      </c>
      <c r="BF116" s="80">
        <f>BF95*Credit_Assumptions!$E$28+BF96*Credit_Assumptions!$E$29+BF97*Credit_Assumptions!$E$30+BF98*Credit_Assumptions!$E$31+BF99*Credit_Assumptions!$E$32+BF100*Credit_Assumptions!$E$33</f>
        <v/>
      </c>
      <c r="BG116" s="80">
        <f>BG95*Credit_Assumptions!$E$28+BG96*Credit_Assumptions!$E$29+BG97*Credit_Assumptions!$E$30+BG98*Credit_Assumptions!$E$31+BG99*Credit_Assumptions!$E$32+BG100*Credit_Assumptions!$E$33</f>
        <v/>
      </c>
      <c r="BH116" s="80">
        <f>BH95*Credit_Assumptions!$E$28+BH96*Credit_Assumptions!$E$29+BH97*Credit_Assumptions!$E$30+BH98*Credit_Assumptions!$E$31+BH99*Credit_Assumptions!$E$32+BH100*Credit_Assumptions!$E$33</f>
        <v/>
      </c>
      <c r="BI116" s="80">
        <f>BI95*Credit_Assumptions!$E$28+BI96*Credit_Assumptions!$E$29+BI97*Credit_Assumptions!$E$30+BI98*Credit_Assumptions!$E$31+BI99*Credit_Assumptions!$E$32+BI100*Credit_Assumptions!$E$33</f>
        <v/>
      </c>
      <c r="BJ116" s="80">
        <f>BJ95*Credit_Assumptions!$E$28+BJ96*Credit_Assumptions!$E$29+BJ97*Credit_Assumptions!$E$30+BJ98*Credit_Assumptions!$E$31+BJ99*Credit_Assumptions!$E$32+BJ100*Credit_Assumptions!$E$33</f>
        <v/>
      </c>
      <c r="BK116" s="80">
        <f>BK95*Credit_Assumptions!$E$28+BK96*Credit_Assumptions!$E$29+BK97*Credit_Assumptions!$E$30+BK98*Credit_Assumptions!$E$31+BK99*Credit_Assumptions!$E$32+BK100*Credit_Assumptions!$E$33</f>
        <v/>
      </c>
      <c r="BL116" s="80">
        <f>BL95*Credit_Assumptions!$E$28+BL96*Credit_Assumptions!$E$29+BL97*Credit_Assumptions!$E$30+BL98*Credit_Assumptions!$E$31+BL99*Credit_Assumptions!$E$32+BL100*Credit_Assumptions!$E$33</f>
        <v/>
      </c>
    </row>
    <row r="117">
      <c r="A117" s="98" t="inlineStr">
        <is>
          <t>Borrowing-base contribution (advance rate x eligible)</t>
        </is>
      </c>
      <c r="B117" s="65" t="inlineStr">
        <is>
          <t>LCY</t>
        </is>
      </c>
      <c r="C117" s="105">
        <f>BL117</f>
        <v/>
      </c>
      <c r="E117" s="80">
        <f>E116*Products!$D$31</f>
        <v/>
      </c>
      <c r="F117" s="80">
        <f>F116*Products!$D$31</f>
        <v/>
      </c>
      <c r="G117" s="80">
        <f>G116*Products!$D$31</f>
        <v/>
      </c>
      <c r="H117" s="80">
        <f>H116*Products!$D$31</f>
        <v/>
      </c>
      <c r="I117" s="80">
        <f>I116*Products!$D$31</f>
        <v/>
      </c>
      <c r="J117" s="80">
        <f>J116*Products!$D$31</f>
        <v/>
      </c>
      <c r="K117" s="80">
        <f>K116*Products!$D$31</f>
        <v/>
      </c>
      <c r="L117" s="80">
        <f>L116*Products!$D$31</f>
        <v/>
      </c>
      <c r="M117" s="80">
        <f>M116*Products!$D$31</f>
        <v/>
      </c>
      <c r="N117" s="80">
        <f>N116*Products!$D$31</f>
        <v/>
      </c>
      <c r="O117" s="80">
        <f>O116*Products!$D$31</f>
        <v/>
      </c>
      <c r="P117" s="80">
        <f>P116*Products!$D$31</f>
        <v/>
      </c>
      <c r="Q117" s="80">
        <f>Q116*Products!$D$31</f>
        <v/>
      </c>
      <c r="R117" s="80">
        <f>R116*Products!$D$31</f>
        <v/>
      </c>
      <c r="S117" s="80">
        <f>S116*Products!$D$31</f>
        <v/>
      </c>
      <c r="T117" s="80">
        <f>T116*Products!$D$31</f>
        <v/>
      </c>
      <c r="U117" s="80">
        <f>U116*Products!$D$31</f>
        <v/>
      </c>
      <c r="V117" s="80">
        <f>V116*Products!$D$31</f>
        <v/>
      </c>
      <c r="W117" s="80">
        <f>W116*Products!$D$31</f>
        <v/>
      </c>
      <c r="X117" s="80">
        <f>X116*Products!$D$31</f>
        <v/>
      </c>
      <c r="Y117" s="80">
        <f>Y116*Products!$D$31</f>
        <v/>
      </c>
      <c r="Z117" s="80">
        <f>Z116*Products!$D$31</f>
        <v/>
      </c>
      <c r="AA117" s="80">
        <f>AA116*Products!$D$31</f>
        <v/>
      </c>
      <c r="AB117" s="80">
        <f>AB116*Products!$D$31</f>
        <v/>
      </c>
      <c r="AC117" s="80">
        <f>AC116*Products!$D$31</f>
        <v/>
      </c>
      <c r="AD117" s="80">
        <f>AD116*Products!$D$31</f>
        <v/>
      </c>
      <c r="AE117" s="80">
        <f>AE116*Products!$D$31</f>
        <v/>
      </c>
      <c r="AF117" s="80">
        <f>AF116*Products!$D$31</f>
        <v/>
      </c>
      <c r="AG117" s="80">
        <f>AG116*Products!$D$31</f>
        <v/>
      </c>
      <c r="AH117" s="80">
        <f>AH116*Products!$D$31</f>
        <v/>
      </c>
      <c r="AI117" s="80">
        <f>AI116*Products!$D$31</f>
        <v/>
      </c>
      <c r="AJ117" s="80">
        <f>AJ116*Products!$D$31</f>
        <v/>
      </c>
      <c r="AK117" s="80">
        <f>AK116*Products!$D$31</f>
        <v/>
      </c>
      <c r="AL117" s="80">
        <f>AL116*Products!$D$31</f>
        <v/>
      </c>
      <c r="AM117" s="80">
        <f>AM116*Products!$D$31</f>
        <v/>
      </c>
      <c r="AN117" s="80">
        <f>AN116*Products!$D$31</f>
        <v/>
      </c>
      <c r="AO117" s="80">
        <f>AO116*Products!$D$31</f>
        <v/>
      </c>
      <c r="AP117" s="80">
        <f>AP116*Products!$D$31</f>
        <v/>
      </c>
      <c r="AQ117" s="80">
        <f>AQ116*Products!$D$31</f>
        <v/>
      </c>
      <c r="AR117" s="80">
        <f>AR116*Products!$D$31</f>
        <v/>
      </c>
      <c r="AS117" s="80">
        <f>AS116*Products!$D$31</f>
        <v/>
      </c>
      <c r="AT117" s="80">
        <f>AT116*Products!$D$31</f>
        <v/>
      </c>
      <c r="AU117" s="80">
        <f>AU116*Products!$D$31</f>
        <v/>
      </c>
      <c r="AV117" s="80">
        <f>AV116*Products!$D$31</f>
        <v/>
      </c>
      <c r="AW117" s="80">
        <f>AW116*Products!$D$31</f>
        <v/>
      </c>
      <c r="AX117" s="80">
        <f>AX116*Products!$D$31</f>
        <v/>
      </c>
      <c r="AY117" s="80">
        <f>AY116*Products!$D$31</f>
        <v/>
      </c>
      <c r="AZ117" s="80">
        <f>AZ116*Products!$D$31</f>
        <v/>
      </c>
      <c r="BA117" s="80">
        <f>BA116*Products!$D$31</f>
        <v/>
      </c>
      <c r="BB117" s="80">
        <f>BB116*Products!$D$31</f>
        <v/>
      </c>
      <c r="BC117" s="80">
        <f>BC116*Products!$D$31</f>
        <v/>
      </c>
      <c r="BD117" s="80">
        <f>BD116*Products!$D$31</f>
        <v/>
      </c>
      <c r="BE117" s="80">
        <f>BE116*Products!$D$31</f>
        <v/>
      </c>
      <c r="BF117" s="80">
        <f>BF116*Products!$D$31</f>
        <v/>
      </c>
      <c r="BG117" s="80">
        <f>BG116*Products!$D$31</f>
        <v/>
      </c>
      <c r="BH117" s="80">
        <f>BH116*Products!$D$31</f>
        <v/>
      </c>
      <c r="BI117" s="80">
        <f>BI116*Products!$D$31</f>
        <v/>
      </c>
      <c r="BJ117" s="80">
        <f>BJ116*Products!$D$31</f>
        <v/>
      </c>
      <c r="BK117" s="80">
        <f>BK116*Products!$D$31</f>
        <v/>
      </c>
      <c r="BL117" s="80">
        <f>BL116*Products!$D$31</f>
        <v/>
      </c>
    </row>
    <row r="118">
      <c r="A118" s="98" t="inlineStr">
        <is>
          <t>Reconciliation: buckets: gross (should be 0)</t>
        </is>
      </c>
      <c r="B118" s="65" t="inlineStr">
        <is>
          <t>LCY</t>
        </is>
      </c>
      <c r="C118" s="105">
        <f>BL118</f>
        <v/>
      </c>
      <c r="E118" s="80">
        <f>ROUND(SUM(E95:E100)-E94,0)</f>
        <v/>
      </c>
      <c r="F118" s="80">
        <f>ROUND(SUM(F95:F100)-F94,0)</f>
        <v/>
      </c>
      <c r="G118" s="80">
        <f>ROUND(SUM(G95:G100)-G94,0)</f>
        <v/>
      </c>
      <c r="H118" s="80">
        <f>ROUND(SUM(H95:H100)-H94,0)</f>
        <v/>
      </c>
      <c r="I118" s="80">
        <f>ROUND(SUM(I95:I100)-I94,0)</f>
        <v/>
      </c>
      <c r="J118" s="80">
        <f>ROUND(SUM(J95:J100)-J94,0)</f>
        <v/>
      </c>
      <c r="K118" s="80">
        <f>ROUND(SUM(K95:K100)-K94,0)</f>
        <v/>
      </c>
      <c r="L118" s="80">
        <f>ROUND(SUM(L95:L100)-L94,0)</f>
        <v/>
      </c>
      <c r="M118" s="80">
        <f>ROUND(SUM(M95:M100)-M94,0)</f>
        <v/>
      </c>
      <c r="N118" s="80">
        <f>ROUND(SUM(N95:N100)-N94,0)</f>
        <v/>
      </c>
      <c r="O118" s="80">
        <f>ROUND(SUM(O95:O100)-O94,0)</f>
        <v/>
      </c>
      <c r="P118" s="80">
        <f>ROUND(SUM(P95:P100)-P94,0)</f>
        <v/>
      </c>
      <c r="Q118" s="80">
        <f>ROUND(SUM(Q95:Q100)-Q94,0)</f>
        <v/>
      </c>
      <c r="R118" s="80">
        <f>ROUND(SUM(R95:R100)-R94,0)</f>
        <v/>
      </c>
      <c r="S118" s="80">
        <f>ROUND(SUM(S95:S100)-S94,0)</f>
        <v/>
      </c>
      <c r="T118" s="80">
        <f>ROUND(SUM(T95:T100)-T94,0)</f>
        <v/>
      </c>
      <c r="U118" s="80">
        <f>ROUND(SUM(U95:U100)-U94,0)</f>
        <v/>
      </c>
      <c r="V118" s="80">
        <f>ROUND(SUM(V95:V100)-V94,0)</f>
        <v/>
      </c>
      <c r="W118" s="80">
        <f>ROUND(SUM(W95:W100)-W94,0)</f>
        <v/>
      </c>
      <c r="X118" s="80">
        <f>ROUND(SUM(X95:X100)-X94,0)</f>
        <v/>
      </c>
      <c r="Y118" s="80">
        <f>ROUND(SUM(Y95:Y100)-Y94,0)</f>
        <v/>
      </c>
      <c r="Z118" s="80">
        <f>ROUND(SUM(Z95:Z100)-Z94,0)</f>
        <v/>
      </c>
      <c r="AA118" s="80">
        <f>ROUND(SUM(AA95:AA100)-AA94,0)</f>
        <v/>
      </c>
      <c r="AB118" s="80">
        <f>ROUND(SUM(AB95:AB100)-AB94,0)</f>
        <v/>
      </c>
      <c r="AC118" s="80">
        <f>ROUND(SUM(AC95:AC100)-AC94,0)</f>
        <v/>
      </c>
      <c r="AD118" s="80">
        <f>ROUND(SUM(AD95:AD100)-AD94,0)</f>
        <v/>
      </c>
      <c r="AE118" s="80">
        <f>ROUND(SUM(AE95:AE100)-AE94,0)</f>
        <v/>
      </c>
      <c r="AF118" s="80">
        <f>ROUND(SUM(AF95:AF100)-AF94,0)</f>
        <v/>
      </c>
      <c r="AG118" s="80">
        <f>ROUND(SUM(AG95:AG100)-AG94,0)</f>
        <v/>
      </c>
      <c r="AH118" s="80">
        <f>ROUND(SUM(AH95:AH100)-AH94,0)</f>
        <v/>
      </c>
      <c r="AI118" s="80">
        <f>ROUND(SUM(AI95:AI100)-AI94,0)</f>
        <v/>
      </c>
      <c r="AJ118" s="80">
        <f>ROUND(SUM(AJ95:AJ100)-AJ94,0)</f>
        <v/>
      </c>
      <c r="AK118" s="80">
        <f>ROUND(SUM(AK95:AK100)-AK94,0)</f>
        <v/>
      </c>
      <c r="AL118" s="80">
        <f>ROUND(SUM(AL95:AL100)-AL94,0)</f>
        <v/>
      </c>
      <c r="AM118" s="80">
        <f>ROUND(SUM(AM95:AM100)-AM94,0)</f>
        <v/>
      </c>
      <c r="AN118" s="80">
        <f>ROUND(SUM(AN95:AN100)-AN94,0)</f>
        <v/>
      </c>
      <c r="AO118" s="80">
        <f>ROUND(SUM(AO95:AO100)-AO94,0)</f>
        <v/>
      </c>
      <c r="AP118" s="80">
        <f>ROUND(SUM(AP95:AP100)-AP94,0)</f>
        <v/>
      </c>
      <c r="AQ118" s="80">
        <f>ROUND(SUM(AQ95:AQ100)-AQ94,0)</f>
        <v/>
      </c>
      <c r="AR118" s="80">
        <f>ROUND(SUM(AR95:AR100)-AR94,0)</f>
        <v/>
      </c>
      <c r="AS118" s="80">
        <f>ROUND(SUM(AS95:AS100)-AS94,0)</f>
        <v/>
      </c>
      <c r="AT118" s="80">
        <f>ROUND(SUM(AT95:AT100)-AT94,0)</f>
        <v/>
      </c>
      <c r="AU118" s="80">
        <f>ROUND(SUM(AU95:AU100)-AU94,0)</f>
        <v/>
      </c>
      <c r="AV118" s="80">
        <f>ROUND(SUM(AV95:AV100)-AV94,0)</f>
        <v/>
      </c>
      <c r="AW118" s="80">
        <f>ROUND(SUM(AW95:AW100)-AW94,0)</f>
        <v/>
      </c>
      <c r="AX118" s="80">
        <f>ROUND(SUM(AX95:AX100)-AX94,0)</f>
        <v/>
      </c>
      <c r="AY118" s="80">
        <f>ROUND(SUM(AY95:AY100)-AY94,0)</f>
        <v/>
      </c>
      <c r="AZ118" s="80">
        <f>ROUND(SUM(AZ95:AZ100)-AZ94,0)</f>
        <v/>
      </c>
      <c r="BA118" s="80">
        <f>ROUND(SUM(BA95:BA100)-BA94,0)</f>
        <v/>
      </c>
      <c r="BB118" s="80">
        <f>ROUND(SUM(BB95:BB100)-BB94,0)</f>
        <v/>
      </c>
      <c r="BC118" s="80">
        <f>ROUND(SUM(BC95:BC100)-BC94,0)</f>
        <v/>
      </c>
      <c r="BD118" s="80">
        <f>ROUND(SUM(BD95:BD100)-BD94,0)</f>
        <v/>
      </c>
      <c r="BE118" s="80">
        <f>ROUND(SUM(BE95:BE100)-BE94,0)</f>
        <v/>
      </c>
      <c r="BF118" s="80">
        <f>ROUND(SUM(BF95:BF100)-BF94,0)</f>
        <v/>
      </c>
      <c r="BG118" s="80">
        <f>ROUND(SUM(BG95:BG100)-BG94,0)</f>
        <v/>
      </c>
      <c r="BH118" s="80">
        <f>ROUND(SUM(BH95:BH100)-BH94,0)</f>
        <v/>
      </c>
      <c r="BI118" s="80">
        <f>ROUND(SUM(BI95:BI100)-BI94,0)</f>
        <v/>
      </c>
      <c r="BJ118" s="80">
        <f>ROUND(SUM(BJ95:BJ100)-BJ94,0)</f>
        <v/>
      </c>
      <c r="BK118" s="80">
        <f>ROUND(SUM(BK95:BK100)-BK94,0)</f>
        <v/>
      </c>
      <c r="BL118" s="80">
        <f>ROUND(SUM(BL95:BL100)-BL94,0)</f>
        <v/>
      </c>
    </row>
    <row r="119"/>
    <row r="120">
      <c r="A120" s="21" t="inlineStr">
        <is>
          <t>Tier 3: Large SHS + DC fridge: PROXY (projection)</t>
        </is>
      </c>
      <c r="B120" s="22" t="n"/>
      <c r="C120" s="22" t="n"/>
      <c r="D120" s="22" t="n"/>
      <c r="E120" s="22" t="n"/>
      <c r="F120" s="22"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c r="AA120" s="22" t="n"/>
      <c r="AB120" s="22" t="n"/>
      <c r="AC120" s="22" t="n"/>
      <c r="AD120" s="22" t="n"/>
      <c r="AE120" s="22" t="n"/>
      <c r="AF120" s="22" t="n"/>
      <c r="AG120" s="22" t="n"/>
      <c r="AH120" s="22" t="n"/>
      <c r="AI120" s="22" t="n"/>
      <c r="AJ120" s="22" t="n"/>
      <c r="AK120" s="22" t="n"/>
      <c r="AL120" s="22" t="n"/>
      <c r="AM120" s="22" t="n"/>
      <c r="AN120" s="22" t="n"/>
      <c r="AO120" s="22" t="n"/>
      <c r="AP120" s="22" t="n"/>
      <c r="AQ120" s="22" t="n"/>
      <c r="AR120" s="22" t="n"/>
      <c r="AS120" s="22" t="n"/>
      <c r="AT120" s="22" t="n"/>
      <c r="AU120" s="22" t="n"/>
      <c r="AV120" s="22" t="n"/>
      <c r="AW120" s="22" t="n"/>
      <c r="AX120" s="22" t="n"/>
      <c r="AY120" s="22" t="n"/>
      <c r="AZ120" s="22" t="n"/>
      <c r="BA120" s="22" t="n"/>
      <c r="BB120" s="22" t="n"/>
      <c r="BC120" s="22" t="n"/>
      <c r="BD120" s="22" t="n"/>
      <c r="BE120" s="22" t="n"/>
      <c r="BF120" s="22" t="n"/>
      <c r="BG120" s="22" t="n"/>
      <c r="BH120" s="22" t="n"/>
      <c r="BI120" s="22" t="n"/>
      <c r="BJ120" s="22" t="n"/>
      <c r="BK120" s="22" t="n"/>
      <c r="BL120" s="22" t="n"/>
    </row>
    <row r="121">
      <c r="A121" s="98" t="inlineStr">
        <is>
          <t>Gross receivables</t>
        </is>
      </c>
      <c r="B121" s="65" t="inlineStr">
        <is>
          <t>LCY</t>
        </is>
      </c>
      <c r="C121" s="105">
        <f>BL121</f>
        <v/>
      </c>
      <c r="E121" s="41">
        <f>Ops!E$74</f>
        <v/>
      </c>
      <c r="F121" s="41">
        <f>Ops!F$74</f>
        <v/>
      </c>
      <c r="G121" s="41">
        <f>Ops!G$74</f>
        <v/>
      </c>
      <c r="H121" s="41">
        <f>Ops!H$74</f>
        <v/>
      </c>
      <c r="I121" s="41">
        <f>Ops!I$74</f>
        <v/>
      </c>
      <c r="J121" s="41">
        <f>Ops!J$74</f>
        <v/>
      </c>
      <c r="K121" s="41">
        <f>Ops!K$74</f>
        <v/>
      </c>
      <c r="L121" s="41">
        <f>Ops!L$74</f>
        <v/>
      </c>
      <c r="M121" s="41">
        <f>Ops!M$74</f>
        <v/>
      </c>
      <c r="N121" s="41">
        <f>Ops!N$74</f>
        <v/>
      </c>
      <c r="O121" s="41">
        <f>Ops!O$74</f>
        <v/>
      </c>
      <c r="P121" s="41">
        <f>Ops!P$74</f>
        <v/>
      </c>
      <c r="Q121" s="41">
        <f>Ops!Q$74</f>
        <v/>
      </c>
      <c r="R121" s="41">
        <f>Ops!R$74</f>
        <v/>
      </c>
      <c r="S121" s="41">
        <f>Ops!S$74</f>
        <v/>
      </c>
      <c r="T121" s="41">
        <f>Ops!T$74</f>
        <v/>
      </c>
      <c r="U121" s="41">
        <f>Ops!U$74</f>
        <v/>
      </c>
      <c r="V121" s="41">
        <f>Ops!V$74</f>
        <v/>
      </c>
      <c r="W121" s="41">
        <f>Ops!W$74</f>
        <v/>
      </c>
      <c r="X121" s="41">
        <f>Ops!X$74</f>
        <v/>
      </c>
      <c r="Y121" s="41">
        <f>Ops!Y$74</f>
        <v/>
      </c>
      <c r="Z121" s="41">
        <f>Ops!Z$74</f>
        <v/>
      </c>
      <c r="AA121" s="41">
        <f>Ops!AA$74</f>
        <v/>
      </c>
      <c r="AB121" s="41">
        <f>Ops!AB$74</f>
        <v/>
      </c>
      <c r="AC121" s="41">
        <f>Ops!AC$74</f>
        <v/>
      </c>
      <c r="AD121" s="41">
        <f>Ops!AD$74</f>
        <v/>
      </c>
      <c r="AE121" s="41">
        <f>Ops!AE$74</f>
        <v/>
      </c>
      <c r="AF121" s="41">
        <f>Ops!AF$74</f>
        <v/>
      </c>
      <c r="AG121" s="41">
        <f>Ops!AG$74</f>
        <v/>
      </c>
      <c r="AH121" s="41">
        <f>Ops!AH$74</f>
        <v/>
      </c>
      <c r="AI121" s="41">
        <f>Ops!AI$74</f>
        <v/>
      </c>
      <c r="AJ121" s="41">
        <f>Ops!AJ$74</f>
        <v/>
      </c>
      <c r="AK121" s="41">
        <f>Ops!AK$74</f>
        <v/>
      </c>
      <c r="AL121" s="41">
        <f>Ops!AL$74</f>
        <v/>
      </c>
      <c r="AM121" s="41">
        <f>Ops!AM$74</f>
        <v/>
      </c>
      <c r="AN121" s="41">
        <f>Ops!AN$74</f>
        <v/>
      </c>
      <c r="AO121" s="41">
        <f>Ops!AO$74</f>
        <v/>
      </c>
      <c r="AP121" s="41">
        <f>Ops!AP$74</f>
        <v/>
      </c>
      <c r="AQ121" s="41">
        <f>Ops!AQ$74</f>
        <v/>
      </c>
      <c r="AR121" s="41">
        <f>Ops!AR$74</f>
        <v/>
      </c>
      <c r="AS121" s="41">
        <f>Ops!AS$74</f>
        <v/>
      </c>
      <c r="AT121" s="41">
        <f>Ops!AT$74</f>
        <v/>
      </c>
      <c r="AU121" s="41">
        <f>Ops!AU$74</f>
        <v/>
      </c>
      <c r="AV121" s="41">
        <f>Ops!AV$74</f>
        <v/>
      </c>
      <c r="AW121" s="41">
        <f>Ops!AW$74</f>
        <v/>
      </c>
      <c r="AX121" s="41">
        <f>Ops!AX$74</f>
        <v/>
      </c>
      <c r="AY121" s="41">
        <f>Ops!AY$74</f>
        <v/>
      </c>
      <c r="AZ121" s="41">
        <f>Ops!AZ$74</f>
        <v/>
      </c>
      <c r="BA121" s="41">
        <f>Ops!BA$74</f>
        <v/>
      </c>
      <c r="BB121" s="41">
        <f>Ops!BB$74</f>
        <v/>
      </c>
      <c r="BC121" s="41">
        <f>Ops!BC$74</f>
        <v/>
      </c>
      <c r="BD121" s="41">
        <f>Ops!BD$74</f>
        <v/>
      </c>
      <c r="BE121" s="41">
        <f>Ops!BE$74</f>
        <v/>
      </c>
      <c r="BF121" s="41">
        <f>Ops!BF$74</f>
        <v/>
      </c>
      <c r="BG121" s="41">
        <f>Ops!BG$74</f>
        <v/>
      </c>
      <c r="BH121" s="41">
        <f>Ops!BH$74</f>
        <v/>
      </c>
      <c r="BI121" s="41">
        <f>Ops!BI$74</f>
        <v/>
      </c>
      <c r="BJ121" s="41">
        <f>Ops!BJ$74</f>
        <v/>
      </c>
      <c r="BK121" s="41">
        <f>Ops!BK$74</f>
        <v/>
      </c>
      <c r="BL121" s="41">
        <f>Ops!BL$74</f>
        <v/>
      </c>
    </row>
    <row r="122">
      <c r="A122" s="98" t="inlineStr">
        <is>
          <t>Receivables at risk (stopped paying)</t>
        </is>
      </c>
      <c r="B122" s="65" t="inlineStr">
        <is>
          <t>LCY</t>
        </is>
      </c>
      <c r="C122" s="105">
        <f>BL122</f>
        <v/>
      </c>
      <c r="E122" s="41">
        <f>Ops!E$73</f>
        <v/>
      </c>
      <c r="F122" s="41">
        <f>Ops!F$73</f>
        <v/>
      </c>
      <c r="G122" s="41">
        <f>Ops!G$73</f>
        <v/>
      </c>
      <c r="H122" s="41">
        <f>Ops!H$73</f>
        <v/>
      </c>
      <c r="I122" s="41">
        <f>Ops!I$73</f>
        <v/>
      </c>
      <c r="J122" s="41">
        <f>Ops!J$73</f>
        <v/>
      </c>
      <c r="K122" s="41">
        <f>Ops!K$73</f>
        <v/>
      </c>
      <c r="L122" s="41">
        <f>Ops!L$73</f>
        <v/>
      </c>
      <c r="M122" s="41">
        <f>Ops!M$73</f>
        <v/>
      </c>
      <c r="N122" s="41">
        <f>Ops!N$73</f>
        <v/>
      </c>
      <c r="O122" s="41">
        <f>Ops!O$73</f>
        <v/>
      </c>
      <c r="P122" s="41">
        <f>Ops!P$73</f>
        <v/>
      </c>
      <c r="Q122" s="41">
        <f>Ops!Q$73</f>
        <v/>
      </c>
      <c r="R122" s="41">
        <f>Ops!R$73</f>
        <v/>
      </c>
      <c r="S122" s="41">
        <f>Ops!S$73</f>
        <v/>
      </c>
      <c r="T122" s="41">
        <f>Ops!T$73</f>
        <v/>
      </c>
      <c r="U122" s="41">
        <f>Ops!U$73</f>
        <v/>
      </c>
      <c r="V122" s="41">
        <f>Ops!V$73</f>
        <v/>
      </c>
      <c r="W122" s="41">
        <f>Ops!W$73</f>
        <v/>
      </c>
      <c r="X122" s="41">
        <f>Ops!X$73</f>
        <v/>
      </c>
      <c r="Y122" s="41">
        <f>Ops!Y$73</f>
        <v/>
      </c>
      <c r="Z122" s="41">
        <f>Ops!Z$73</f>
        <v/>
      </c>
      <c r="AA122" s="41">
        <f>Ops!AA$73</f>
        <v/>
      </c>
      <c r="AB122" s="41">
        <f>Ops!AB$73</f>
        <v/>
      </c>
      <c r="AC122" s="41">
        <f>Ops!AC$73</f>
        <v/>
      </c>
      <c r="AD122" s="41">
        <f>Ops!AD$73</f>
        <v/>
      </c>
      <c r="AE122" s="41">
        <f>Ops!AE$73</f>
        <v/>
      </c>
      <c r="AF122" s="41">
        <f>Ops!AF$73</f>
        <v/>
      </c>
      <c r="AG122" s="41">
        <f>Ops!AG$73</f>
        <v/>
      </c>
      <c r="AH122" s="41">
        <f>Ops!AH$73</f>
        <v/>
      </c>
      <c r="AI122" s="41">
        <f>Ops!AI$73</f>
        <v/>
      </c>
      <c r="AJ122" s="41">
        <f>Ops!AJ$73</f>
        <v/>
      </c>
      <c r="AK122" s="41">
        <f>Ops!AK$73</f>
        <v/>
      </c>
      <c r="AL122" s="41">
        <f>Ops!AL$73</f>
        <v/>
      </c>
      <c r="AM122" s="41">
        <f>Ops!AM$73</f>
        <v/>
      </c>
      <c r="AN122" s="41">
        <f>Ops!AN$73</f>
        <v/>
      </c>
      <c r="AO122" s="41">
        <f>Ops!AO$73</f>
        <v/>
      </c>
      <c r="AP122" s="41">
        <f>Ops!AP$73</f>
        <v/>
      </c>
      <c r="AQ122" s="41">
        <f>Ops!AQ$73</f>
        <v/>
      </c>
      <c r="AR122" s="41">
        <f>Ops!AR$73</f>
        <v/>
      </c>
      <c r="AS122" s="41">
        <f>Ops!AS$73</f>
        <v/>
      </c>
      <c r="AT122" s="41">
        <f>Ops!AT$73</f>
        <v/>
      </c>
      <c r="AU122" s="41">
        <f>Ops!AU$73</f>
        <v/>
      </c>
      <c r="AV122" s="41">
        <f>Ops!AV$73</f>
        <v/>
      </c>
      <c r="AW122" s="41">
        <f>Ops!AW$73</f>
        <v/>
      </c>
      <c r="AX122" s="41">
        <f>Ops!AX$73</f>
        <v/>
      </c>
      <c r="AY122" s="41">
        <f>Ops!AY$73</f>
        <v/>
      </c>
      <c r="AZ122" s="41">
        <f>Ops!AZ$73</f>
        <v/>
      </c>
      <c r="BA122" s="41">
        <f>Ops!BA$73</f>
        <v/>
      </c>
      <c r="BB122" s="41">
        <f>Ops!BB$73</f>
        <v/>
      </c>
      <c r="BC122" s="41">
        <f>Ops!BC$73</f>
        <v/>
      </c>
      <c r="BD122" s="41">
        <f>Ops!BD$73</f>
        <v/>
      </c>
      <c r="BE122" s="41">
        <f>Ops!BE$73</f>
        <v/>
      </c>
      <c r="BF122" s="41">
        <f>Ops!BF$73</f>
        <v/>
      </c>
      <c r="BG122" s="41">
        <f>Ops!BG$73</f>
        <v/>
      </c>
      <c r="BH122" s="41">
        <f>Ops!BH$73</f>
        <v/>
      </c>
      <c r="BI122" s="41">
        <f>Ops!BI$73</f>
        <v/>
      </c>
      <c r="BJ122" s="41">
        <f>Ops!BJ$73</f>
        <v/>
      </c>
      <c r="BK122" s="41">
        <f>Ops!BK$73</f>
        <v/>
      </c>
      <c r="BL122" s="41">
        <f>Ops!BL$73</f>
        <v/>
      </c>
    </row>
    <row r="123">
      <c r="A123" s="98" t="inlineStr">
        <is>
          <t>Receivables of paying accounts</t>
        </is>
      </c>
      <c r="B123" s="65" t="inlineStr">
        <is>
          <t>LCY</t>
        </is>
      </c>
      <c r="C123" s="105">
        <f>BL123</f>
        <v/>
      </c>
      <c r="E123" s="80">
        <f>E121-E122</f>
        <v/>
      </c>
      <c r="F123" s="80">
        <f>F121-F122</f>
        <v/>
      </c>
      <c r="G123" s="80">
        <f>G121-G122</f>
        <v/>
      </c>
      <c r="H123" s="80">
        <f>H121-H122</f>
        <v/>
      </c>
      <c r="I123" s="80">
        <f>I121-I122</f>
        <v/>
      </c>
      <c r="J123" s="80">
        <f>J121-J122</f>
        <v/>
      </c>
      <c r="K123" s="80">
        <f>K121-K122</f>
        <v/>
      </c>
      <c r="L123" s="80">
        <f>L121-L122</f>
        <v/>
      </c>
      <c r="M123" s="80">
        <f>M121-M122</f>
        <v/>
      </c>
      <c r="N123" s="80">
        <f>N121-N122</f>
        <v/>
      </c>
      <c r="O123" s="80">
        <f>O121-O122</f>
        <v/>
      </c>
      <c r="P123" s="80">
        <f>P121-P122</f>
        <v/>
      </c>
      <c r="Q123" s="80">
        <f>Q121-Q122</f>
        <v/>
      </c>
      <c r="R123" s="80">
        <f>R121-R122</f>
        <v/>
      </c>
      <c r="S123" s="80">
        <f>S121-S122</f>
        <v/>
      </c>
      <c r="T123" s="80">
        <f>T121-T122</f>
        <v/>
      </c>
      <c r="U123" s="80">
        <f>U121-U122</f>
        <v/>
      </c>
      <c r="V123" s="80">
        <f>V121-V122</f>
        <v/>
      </c>
      <c r="W123" s="80">
        <f>W121-W122</f>
        <v/>
      </c>
      <c r="X123" s="80">
        <f>X121-X122</f>
        <v/>
      </c>
      <c r="Y123" s="80">
        <f>Y121-Y122</f>
        <v/>
      </c>
      <c r="Z123" s="80">
        <f>Z121-Z122</f>
        <v/>
      </c>
      <c r="AA123" s="80">
        <f>AA121-AA122</f>
        <v/>
      </c>
      <c r="AB123" s="80">
        <f>AB121-AB122</f>
        <v/>
      </c>
      <c r="AC123" s="80">
        <f>AC121-AC122</f>
        <v/>
      </c>
      <c r="AD123" s="80">
        <f>AD121-AD122</f>
        <v/>
      </c>
      <c r="AE123" s="80">
        <f>AE121-AE122</f>
        <v/>
      </c>
      <c r="AF123" s="80">
        <f>AF121-AF122</f>
        <v/>
      </c>
      <c r="AG123" s="80">
        <f>AG121-AG122</f>
        <v/>
      </c>
      <c r="AH123" s="80">
        <f>AH121-AH122</f>
        <v/>
      </c>
      <c r="AI123" s="80">
        <f>AI121-AI122</f>
        <v/>
      </c>
      <c r="AJ123" s="80">
        <f>AJ121-AJ122</f>
        <v/>
      </c>
      <c r="AK123" s="80">
        <f>AK121-AK122</f>
        <v/>
      </c>
      <c r="AL123" s="80">
        <f>AL121-AL122</f>
        <v/>
      </c>
      <c r="AM123" s="80">
        <f>AM121-AM122</f>
        <v/>
      </c>
      <c r="AN123" s="80">
        <f>AN121-AN122</f>
        <v/>
      </c>
      <c r="AO123" s="80">
        <f>AO121-AO122</f>
        <v/>
      </c>
      <c r="AP123" s="80">
        <f>AP121-AP122</f>
        <v/>
      </c>
      <c r="AQ123" s="80">
        <f>AQ121-AQ122</f>
        <v/>
      </c>
      <c r="AR123" s="80">
        <f>AR121-AR122</f>
        <v/>
      </c>
      <c r="AS123" s="80">
        <f>AS121-AS122</f>
        <v/>
      </c>
      <c r="AT123" s="80">
        <f>AT121-AT122</f>
        <v/>
      </c>
      <c r="AU123" s="80">
        <f>AU121-AU122</f>
        <v/>
      </c>
      <c r="AV123" s="80">
        <f>AV121-AV122</f>
        <v/>
      </c>
      <c r="AW123" s="80">
        <f>AW121-AW122</f>
        <v/>
      </c>
      <c r="AX123" s="80">
        <f>AX121-AX122</f>
        <v/>
      </c>
      <c r="AY123" s="80">
        <f>AY121-AY122</f>
        <v/>
      </c>
      <c r="AZ123" s="80">
        <f>AZ121-AZ122</f>
        <v/>
      </c>
      <c r="BA123" s="80">
        <f>BA121-BA122</f>
        <v/>
      </c>
      <c r="BB123" s="80">
        <f>BB121-BB122</f>
        <v/>
      </c>
      <c r="BC123" s="80">
        <f>BC121-BC122</f>
        <v/>
      </c>
      <c r="BD123" s="80">
        <f>BD121-BD122</f>
        <v/>
      </c>
      <c r="BE123" s="80">
        <f>BE121-BE122</f>
        <v/>
      </c>
      <c r="BF123" s="80">
        <f>BF121-BF122</f>
        <v/>
      </c>
      <c r="BG123" s="80">
        <f>BG121-BG122</f>
        <v/>
      </c>
      <c r="BH123" s="80">
        <f>BH121-BH122</f>
        <v/>
      </c>
      <c r="BI123" s="80">
        <f>BI121-BI122</f>
        <v/>
      </c>
      <c r="BJ123" s="80">
        <f>BJ121-BJ122</f>
        <v/>
      </c>
      <c r="BK123" s="80">
        <f>BK121-BK122</f>
        <v/>
      </c>
      <c r="BL123" s="80">
        <f>BL121-BL122</f>
        <v/>
      </c>
    </row>
    <row r="124">
      <c r="A124" s="98" t="inlineStr">
        <is>
          <t>Current</t>
        </is>
      </c>
      <c r="B124" s="65" t="inlineStr">
        <is>
          <t>LCY</t>
        </is>
      </c>
      <c r="C124" s="105">
        <f>BL124</f>
        <v/>
      </c>
      <c r="E124" s="80">
        <f>E123*Credit_Assumptions!$I$28</f>
        <v/>
      </c>
      <c r="F124" s="80">
        <f>F123*Credit_Assumptions!$I$28</f>
        <v/>
      </c>
      <c r="G124" s="80">
        <f>G123*Credit_Assumptions!$I$28</f>
        <v/>
      </c>
      <c r="H124" s="80">
        <f>H123*Credit_Assumptions!$I$28</f>
        <v/>
      </c>
      <c r="I124" s="80">
        <f>I123*Credit_Assumptions!$I$28</f>
        <v/>
      </c>
      <c r="J124" s="80">
        <f>J123*Credit_Assumptions!$I$28</f>
        <v/>
      </c>
      <c r="K124" s="80">
        <f>K123*Credit_Assumptions!$I$28</f>
        <v/>
      </c>
      <c r="L124" s="80">
        <f>L123*Credit_Assumptions!$I$28</f>
        <v/>
      </c>
      <c r="M124" s="80">
        <f>M123*Credit_Assumptions!$I$28</f>
        <v/>
      </c>
      <c r="N124" s="80">
        <f>N123*Credit_Assumptions!$I$28</f>
        <v/>
      </c>
      <c r="O124" s="80">
        <f>O123*Credit_Assumptions!$I$28</f>
        <v/>
      </c>
      <c r="P124" s="80">
        <f>P123*Credit_Assumptions!$I$28</f>
        <v/>
      </c>
      <c r="Q124" s="80">
        <f>Q123*Credit_Assumptions!$I$28</f>
        <v/>
      </c>
      <c r="R124" s="80">
        <f>R123*Credit_Assumptions!$I$28</f>
        <v/>
      </c>
      <c r="S124" s="80">
        <f>S123*Credit_Assumptions!$I$28</f>
        <v/>
      </c>
      <c r="T124" s="80">
        <f>T123*Credit_Assumptions!$I$28</f>
        <v/>
      </c>
      <c r="U124" s="80">
        <f>U123*Credit_Assumptions!$I$28</f>
        <v/>
      </c>
      <c r="V124" s="80">
        <f>V123*Credit_Assumptions!$I$28</f>
        <v/>
      </c>
      <c r="W124" s="80">
        <f>W123*Credit_Assumptions!$I$28</f>
        <v/>
      </c>
      <c r="X124" s="80">
        <f>X123*Credit_Assumptions!$I$28</f>
        <v/>
      </c>
      <c r="Y124" s="80">
        <f>Y123*Credit_Assumptions!$I$28</f>
        <v/>
      </c>
      <c r="Z124" s="80">
        <f>Z123*Credit_Assumptions!$I$28</f>
        <v/>
      </c>
      <c r="AA124" s="80">
        <f>AA123*Credit_Assumptions!$I$28</f>
        <v/>
      </c>
      <c r="AB124" s="80">
        <f>AB123*Credit_Assumptions!$I$28</f>
        <v/>
      </c>
      <c r="AC124" s="80">
        <f>AC123*Credit_Assumptions!$I$28</f>
        <v/>
      </c>
      <c r="AD124" s="80">
        <f>AD123*Credit_Assumptions!$I$28</f>
        <v/>
      </c>
      <c r="AE124" s="80">
        <f>AE123*Credit_Assumptions!$I$28</f>
        <v/>
      </c>
      <c r="AF124" s="80">
        <f>AF123*Credit_Assumptions!$I$28</f>
        <v/>
      </c>
      <c r="AG124" s="80">
        <f>AG123*Credit_Assumptions!$I$28</f>
        <v/>
      </c>
      <c r="AH124" s="80">
        <f>AH123*Credit_Assumptions!$I$28</f>
        <v/>
      </c>
      <c r="AI124" s="80">
        <f>AI123*Credit_Assumptions!$I$28</f>
        <v/>
      </c>
      <c r="AJ124" s="80">
        <f>AJ123*Credit_Assumptions!$I$28</f>
        <v/>
      </c>
      <c r="AK124" s="80">
        <f>AK123*Credit_Assumptions!$I$28</f>
        <v/>
      </c>
      <c r="AL124" s="80">
        <f>AL123*Credit_Assumptions!$I$28</f>
        <v/>
      </c>
      <c r="AM124" s="80">
        <f>AM123*Credit_Assumptions!$I$28</f>
        <v/>
      </c>
      <c r="AN124" s="80">
        <f>AN123*Credit_Assumptions!$I$28</f>
        <v/>
      </c>
      <c r="AO124" s="80">
        <f>AO123*Credit_Assumptions!$I$28</f>
        <v/>
      </c>
      <c r="AP124" s="80">
        <f>AP123*Credit_Assumptions!$I$28</f>
        <v/>
      </c>
      <c r="AQ124" s="80">
        <f>AQ123*Credit_Assumptions!$I$28</f>
        <v/>
      </c>
      <c r="AR124" s="80">
        <f>AR123*Credit_Assumptions!$I$28</f>
        <v/>
      </c>
      <c r="AS124" s="80">
        <f>AS123*Credit_Assumptions!$I$28</f>
        <v/>
      </c>
      <c r="AT124" s="80">
        <f>AT123*Credit_Assumptions!$I$28</f>
        <v/>
      </c>
      <c r="AU124" s="80">
        <f>AU123*Credit_Assumptions!$I$28</f>
        <v/>
      </c>
      <c r="AV124" s="80">
        <f>AV123*Credit_Assumptions!$I$28</f>
        <v/>
      </c>
      <c r="AW124" s="80">
        <f>AW123*Credit_Assumptions!$I$28</f>
        <v/>
      </c>
      <c r="AX124" s="80">
        <f>AX123*Credit_Assumptions!$I$28</f>
        <v/>
      </c>
      <c r="AY124" s="80">
        <f>AY123*Credit_Assumptions!$I$28</f>
        <v/>
      </c>
      <c r="AZ124" s="80">
        <f>AZ123*Credit_Assumptions!$I$28</f>
        <v/>
      </c>
      <c r="BA124" s="80">
        <f>BA123*Credit_Assumptions!$I$28</f>
        <v/>
      </c>
      <c r="BB124" s="80">
        <f>BB123*Credit_Assumptions!$I$28</f>
        <v/>
      </c>
      <c r="BC124" s="80">
        <f>BC123*Credit_Assumptions!$I$28</f>
        <v/>
      </c>
      <c r="BD124" s="80">
        <f>BD123*Credit_Assumptions!$I$28</f>
        <v/>
      </c>
      <c r="BE124" s="80">
        <f>BE123*Credit_Assumptions!$I$28</f>
        <v/>
      </c>
      <c r="BF124" s="80">
        <f>BF123*Credit_Assumptions!$I$28</f>
        <v/>
      </c>
      <c r="BG124" s="80">
        <f>BG123*Credit_Assumptions!$I$28</f>
        <v/>
      </c>
      <c r="BH124" s="80">
        <f>BH123*Credit_Assumptions!$I$28</f>
        <v/>
      </c>
      <c r="BI124" s="80">
        <f>BI123*Credit_Assumptions!$I$28</f>
        <v/>
      </c>
      <c r="BJ124" s="80">
        <f>BJ123*Credit_Assumptions!$I$28</f>
        <v/>
      </c>
      <c r="BK124" s="80">
        <f>BK123*Credit_Assumptions!$I$28</f>
        <v/>
      </c>
      <c r="BL124" s="80">
        <f>BL123*Credit_Assumptions!$I$28</f>
        <v/>
      </c>
    </row>
    <row r="125">
      <c r="A125" s="98" t="inlineStr">
        <is>
          <t>1-30 DPD</t>
        </is>
      </c>
      <c r="B125" s="65" t="inlineStr">
        <is>
          <t>LCY</t>
        </is>
      </c>
      <c r="C125" s="105">
        <f>BL125</f>
        <v/>
      </c>
      <c r="E125" s="80">
        <f>E123*Credit_Assumptions!$I$29</f>
        <v/>
      </c>
      <c r="F125" s="80">
        <f>F123*Credit_Assumptions!$I$29</f>
        <v/>
      </c>
      <c r="G125" s="80">
        <f>G123*Credit_Assumptions!$I$29</f>
        <v/>
      </c>
      <c r="H125" s="80">
        <f>H123*Credit_Assumptions!$I$29</f>
        <v/>
      </c>
      <c r="I125" s="80">
        <f>I123*Credit_Assumptions!$I$29</f>
        <v/>
      </c>
      <c r="J125" s="80">
        <f>J123*Credit_Assumptions!$I$29</f>
        <v/>
      </c>
      <c r="K125" s="80">
        <f>K123*Credit_Assumptions!$I$29</f>
        <v/>
      </c>
      <c r="L125" s="80">
        <f>L123*Credit_Assumptions!$I$29</f>
        <v/>
      </c>
      <c r="M125" s="80">
        <f>M123*Credit_Assumptions!$I$29</f>
        <v/>
      </c>
      <c r="N125" s="80">
        <f>N123*Credit_Assumptions!$I$29</f>
        <v/>
      </c>
      <c r="O125" s="80">
        <f>O123*Credit_Assumptions!$I$29</f>
        <v/>
      </c>
      <c r="P125" s="80">
        <f>P123*Credit_Assumptions!$I$29</f>
        <v/>
      </c>
      <c r="Q125" s="80">
        <f>Q123*Credit_Assumptions!$I$29</f>
        <v/>
      </c>
      <c r="R125" s="80">
        <f>R123*Credit_Assumptions!$I$29</f>
        <v/>
      </c>
      <c r="S125" s="80">
        <f>S123*Credit_Assumptions!$I$29</f>
        <v/>
      </c>
      <c r="T125" s="80">
        <f>T123*Credit_Assumptions!$I$29</f>
        <v/>
      </c>
      <c r="U125" s="80">
        <f>U123*Credit_Assumptions!$I$29</f>
        <v/>
      </c>
      <c r="V125" s="80">
        <f>V123*Credit_Assumptions!$I$29</f>
        <v/>
      </c>
      <c r="W125" s="80">
        <f>W123*Credit_Assumptions!$I$29</f>
        <v/>
      </c>
      <c r="X125" s="80">
        <f>X123*Credit_Assumptions!$I$29</f>
        <v/>
      </c>
      <c r="Y125" s="80">
        <f>Y123*Credit_Assumptions!$I$29</f>
        <v/>
      </c>
      <c r="Z125" s="80">
        <f>Z123*Credit_Assumptions!$I$29</f>
        <v/>
      </c>
      <c r="AA125" s="80">
        <f>AA123*Credit_Assumptions!$I$29</f>
        <v/>
      </c>
      <c r="AB125" s="80">
        <f>AB123*Credit_Assumptions!$I$29</f>
        <v/>
      </c>
      <c r="AC125" s="80">
        <f>AC123*Credit_Assumptions!$I$29</f>
        <v/>
      </c>
      <c r="AD125" s="80">
        <f>AD123*Credit_Assumptions!$I$29</f>
        <v/>
      </c>
      <c r="AE125" s="80">
        <f>AE123*Credit_Assumptions!$I$29</f>
        <v/>
      </c>
      <c r="AF125" s="80">
        <f>AF123*Credit_Assumptions!$I$29</f>
        <v/>
      </c>
      <c r="AG125" s="80">
        <f>AG123*Credit_Assumptions!$I$29</f>
        <v/>
      </c>
      <c r="AH125" s="80">
        <f>AH123*Credit_Assumptions!$I$29</f>
        <v/>
      </c>
      <c r="AI125" s="80">
        <f>AI123*Credit_Assumptions!$I$29</f>
        <v/>
      </c>
      <c r="AJ125" s="80">
        <f>AJ123*Credit_Assumptions!$I$29</f>
        <v/>
      </c>
      <c r="AK125" s="80">
        <f>AK123*Credit_Assumptions!$I$29</f>
        <v/>
      </c>
      <c r="AL125" s="80">
        <f>AL123*Credit_Assumptions!$I$29</f>
        <v/>
      </c>
      <c r="AM125" s="80">
        <f>AM123*Credit_Assumptions!$I$29</f>
        <v/>
      </c>
      <c r="AN125" s="80">
        <f>AN123*Credit_Assumptions!$I$29</f>
        <v/>
      </c>
      <c r="AO125" s="80">
        <f>AO123*Credit_Assumptions!$I$29</f>
        <v/>
      </c>
      <c r="AP125" s="80">
        <f>AP123*Credit_Assumptions!$I$29</f>
        <v/>
      </c>
      <c r="AQ125" s="80">
        <f>AQ123*Credit_Assumptions!$I$29</f>
        <v/>
      </c>
      <c r="AR125" s="80">
        <f>AR123*Credit_Assumptions!$I$29</f>
        <v/>
      </c>
      <c r="AS125" s="80">
        <f>AS123*Credit_Assumptions!$I$29</f>
        <v/>
      </c>
      <c r="AT125" s="80">
        <f>AT123*Credit_Assumptions!$I$29</f>
        <v/>
      </c>
      <c r="AU125" s="80">
        <f>AU123*Credit_Assumptions!$I$29</f>
        <v/>
      </c>
      <c r="AV125" s="80">
        <f>AV123*Credit_Assumptions!$I$29</f>
        <v/>
      </c>
      <c r="AW125" s="80">
        <f>AW123*Credit_Assumptions!$I$29</f>
        <v/>
      </c>
      <c r="AX125" s="80">
        <f>AX123*Credit_Assumptions!$I$29</f>
        <v/>
      </c>
      <c r="AY125" s="80">
        <f>AY123*Credit_Assumptions!$I$29</f>
        <v/>
      </c>
      <c r="AZ125" s="80">
        <f>AZ123*Credit_Assumptions!$I$29</f>
        <v/>
      </c>
      <c r="BA125" s="80">
        <f>BA123*Credit_Assumptions!$I$29</f>
        <v/>
      </c>
      <c r="BB125" s="80">
        <f>BB123*Credit_Assumptions!$I$29</f>
        <v/>
      </c>
      <c r="BC125" s="80">
        <f>BC123*Credit_Assumptions!$I$29</f>
        <v/>
      </c>
      <c r="BD125" s="80">
        <f>BD123*Credit_Assumptions!$I$29</f>
        <v/>
      </c>
      <c r="BE125" s="80">
        <f>BE123*Credit_Assumptions!$I$29</f>
        <v/>
      </c>
      <c r="BF125" s="80">
        <f>BF123*Credit_Assumptions!$I$29</f>
        <v/>
      </c>
      <c r="BG125" s="80">
        <f>BG123*Credit_Assumptions!$I$29</f>
        <v/>
      </c>
      <c r="BH125" s="80">
        <f>BH123*Credit_Assumptions!$I$29</f>
        <v/>
      </c>
      <c r="BI125" s="80">
        <f>BI123*Credit_Assumptions!$I$29</f>
        <v/>
      </c>
      <c r="BJ125" s="80">
        <f>BJ123*Credit_Assumptions!$I$29</f>
        <v/>
      </c>
      <c r="BK125" s="80">
        <f>BK123*Credit_Assumptions!$I$29</f>
        <v/>
      </c>
      <c r="BL125" s="80">
        <f>BL123*Credit_Assumptions!$I$29</f>
        <v/>
      </c>
    </row>
    <row r="126">
      <c r="A126" s="98" t="inlineStr">
        <is>
          <t>31-60 DPD</t>
        </is>
      </c>
      <c r="B126" s="65" t="inlineStr">
        <is>
          <t>LCY</t>
        </is>
      </c>
      <c r="C126" s="105">
        <f>BL126</f>
        <v/>
      </c>
      <c r="E126" s="80">
        <f>E122*Credit_Assumptions!$I$30</f>
        <v/>
      </c>
      <c r="F126" s="80">
        <f>F122*Credit_Assumptions!$I$30</f>
        <v/>
      </c>
      <c r="G126" s="80">
        <f>G122*Credit_Assumptions!$I$30</f>
        <v/>
      </c>
      <c r="H126" s="80">
        <f>H122*Credit_Assumptions!$I$30</f>
        <v/>
      </c>
      <c r="I126" s="80">
        <f>I122*Credit_Assumptions!$I$30</f>
        <v/>
      </c>
      <c r="J126" s="80">
        <f>J122*Credit_Assumptions!$I$30</f>
        <v/>
      </c>
      <c r="K126" s="80">
        <f>K122*Credit_Assumptions!$I$30</f>
        <v/>
      </c>
      <c r="L126" s="80">
        <f>L122*Credit_Assumptions!$I$30</f>
        <v/>
      </c>
      <c r="M126" s="80">
        <f>M122*Credit_Assumptions!$I$30</f>
        <v/>
      </c>
      <c r="N126" s="80">
        <f>N122*Credit_Assumptions!$I$30</f>
        <v/>
      </c>
      <c r="O126" s="80">
        <f>O122*Credit_Assumptions!$I$30</f>
        <v/>
      </c>
      <c r="P126" s="80">
        <f>P122*Credit_Assumptions!$I$30</f>
        <v/>
      </c>
      <c r="Q126" s="80">
        <f>Q122*Credit_Assumptions!$I$30</f>
        <v/>
      </c>
      <c r="R126" s="80">
        <f>R122*Credit_Assumptions!$I$30</f>
        <v/>
      </c>
      <c r="S126" s="80">
        <f>S122*Credit_Assumptions!$I$30</f>
        <v/>
      </c>
      <c r="T126" s="80">
        <f>T122*Credit_Assumptions!$I$30</f>
        <v/>
      </c>
      <c r="U126" s="80">
        <f>U122*Credit_Assumptions!$I$30</f>
        <v/>
      </c>
      <c r="V126" s="80">
        <f>V122*Credit_Assumptions!$I$30</f>
        <v/>
      </c>
      <c r="W126" s="80">
        <f>W122*Credit_Assumptions!$I$30</f>
        <v/>
      </c>
      <c r="X126" s="80">
        <f>X122*Credit_Assumptions!$I$30</f>
        <v/>
      </c>
      <c r="Y126" s="80">
        <f>Y122*Credit_Assumptions!$I$30</f>
        <v/>
      </c>
      <c r="Z126" s="80">
        <f>Z122*Credit_Assumptions!$I$30</f>
        <v/>
      </c>
      <c r="AA126" s="80">
        <f>AA122*Credit_Assumptions!$I$30</f>
        <v/>
      </c>
      <c r="AB126" s="80">
        <f>AB122*Credit_Assumptions!$I$30</f>
        <v/>
      </c>
      <c r="AC126" s="80">
        <f>AC122*Credit_Assumptions!$I$30</f>
        <v/>
      </c>
      <c r="AD126" s="80">
        <f>AD122*Credit_Assumptions!$I$30</f>
        <v/>
      </c>
      <c r="AE126" s="80">
        <f>AE122*Credit_Assumptions!$I$30</f>
        <v/>
      </c>
      <c r="AF126" s="80">
        <f>AF122*Credit_Assumptions!$I$30</f>
        <v/>
      </c>
      <c r="AG126" s="80">
        <f>AG122*Credit_Assumptions!$I$30</f>
        <v/>
      </c>
      <c r="AH126" s="80">
        <f>AH122*Credit_Assumptions!$I$30</f>
        <v/>
      </c>
      <c r="AI126" s="80">
        <f>AI122*Credit_Assumptions!$I$30</f>
        <v/>
      </c>
      <c r="AJ126" s="80">
        <f>AJ122*Credit_Assumptions!$I$30</f>
        <v/>
      </c>
      <c r="AK126" s="80">
        <f>AK122*Credit_Assumptions!$I$30</f>
        <v/>
      </c>
      <c r="AL126" s="80">
        <f>AL122*Credit_Assumptions!$I$30</f>
        <v/>
      </c>
      <c r="AM126" s="80">
        <f>AM122*Credit_Assumptions!$I$30</f>
        <v/>
      </c>
      <c r="AN126" s="80">
        <f>AN122*Credit_Assumptions!$I$30</f>
        <v/>
      </c>
      <c r="AO126" s="80">
        <f>AO122*Credit_Assumptions!$I$30</f>
        <v/>
      </c>
      <c r="AP126" s="80">
        <f>AP122*Credit_Assumptions!$I$30</f>
        <v/>
      </c>
      <c r="AQ126" s="80">
        <f>AQ122*Credit_Assumptions!$I$30</f>
        <v/>
      </c>
      <c r="AR126" s="80">
        <f>AR122*Credit_Assumptions!$I$30</f>
        <v/>
      </c>
      <c r="AS126" s="80">
        <f>AS122*Credit_Assumptions!$I$30</f>
        <v/>
      </c>
      <c r="AT126" s="80">
        <f>AT122*Credit_Assumptions!$I$30</f>
        <v/>
      </c>
      <c r="AU126" s="80">
        <f>AU122*Credit_Assumptions!$I$30</f>
        <v/>
      </c>
      <c r="AV126" s="80">
        <f>AV122*Credit_Assumptions!$I$30</f>
        <v/>
      </c>
      <c r="AW126" s="80">
        <f>AW122*Credit_Assumptions!$I$30</f>
        <v/>
      </c>
      <c r="AX126" s="80">
        <f>AX122*Credit_Assumptions!$I$30</f>
        <v/>
      </c>
      <c r="AY126" s="80">
        <f>AY122*Credit_Assumptions!$I$30</f>
        <v/>
      </c>
      <c r="AZ126" s="80">
        <f>AZ122*Credit_Assumptions!$I$30</f>
        <v/>
      </c>
      <c r="BA126" s="80">
        <f>BA122*Credit_Assumptions!$I$30</f>
        <v/>
      </c>
      <c r="BB126" s="80">
        <f>BB122*Credit_Assumptions!$I$30</f>
        <v/>
      </c>
      <c r="BC126" s="80">
        <f>BC122*Credit_Assumptions!$I$30</f>
        <v/>
      </c>
      <c r="BD126" s="80">
        <f>BD122*Credit_Assumptions!$I$30</f>
        <v/>
      </c>
      <c r="BE126" s="80">
        <f>BE122*Credit_Assumptions!$I$30</f>
        <v/>
      </c>
      <c r="BF126" s="80">
        <f>BF122*Credit_Assumptions!$I$30</f>
        <v/>
      </c>
      <c r="BG126" s="80">
        <f>BG122*Credit_Assumptions!$I$30</f>
        <v/>
      </c>
      <c r="BH126" s="80">
        <f>BH122*Credit_Assumptions!$I$30</f>
        <v/>
      </c>
      <c r="BI126" s="80">
        <f>BI122*Credit_Assumptions!$I$30</f>
        <v/>
      </c>
      <c r="BJ126" s="80">
        <f>BJ122*Credit_Assumptions!$I$30</f>
        <v/>
      </c>
      <c r="BK126" s="80">
        <f>BK122*Credit_Assumptions!$I$30</f>
        <v/>
      </c>
      <c r="BL126" s="80">
        <f>BL122*Credit_Assumptions!$I$30</f>
        <v/>
      </c>
    </row>
    <row r="127">
      <c r="A127" s="98" t="inlineStr">
        <is>
          <t>61-90 DPD</t>
        </is>
      </c>
      <c r="B127" s="65" t="inlineStr">
        <is>
          <t>LCY</t>
        </is>
      </c>
      <c r="C127" s="105">
        <f>BL127</f>
        <v/>
      </c>
      <c r="E127" s="80">
        <f>E122*Credit_Assumptions!$I$31</f>
        <v/>
      </c>
      <c r="F127" s="80">
        <f>F122*Credit_Assumptions!$I$31</f>
        <v/>
      </c>
      <c r="G127" s="80">
        <f>G122*Credit_Assumptions!$I$31</f>
        <v/>
      </c>
      <c r="H127" s="80">
        <f>H122*Credit_Assumptions!$I$31</f>
        <v/>
      </c>
      <c r="I127" s="80">
        <f>I122*Credit_Assumptions!$I$31</f>
        <v/>
      </c>
      <c r="J127" s="80">
        <f>J122*Credit_Assumptions!$I$31</f>
        <v/>
      </c>
      <c r="K127" s="80">
        <f>K122*Credit_Assumptions!$I$31</f>
        <v/>
      </c>
      <c r="L127" s="80">
        <f>L122*Credit_Assumptions!$I$31</f>
        <v/>
      </c>
      <c r="M127" s="80">
        <f>M122*Credit_Assumptions!$I$31</f>
        <v/>
      </c>
      <c r="N127" s="80">
        <f>N122*Credit_Assumptions!$I$31</f>
        <v/>
      </c>
      <c r="O127" s="80">
        <f>O122*Credit_Assumptions!$I$31</f>
        <v/>
      </c>
      <c r="P127" s="80">
        <f>P122*Credit_Assumptions!$I$31</f>
        <v/>
      </c>
      <c r="Q127" s="80">
        <f>Q122*Credit_Assumptions!$I$31</f>
        <v/>
      </c>
      <c r="R127" s="80">
        <f>R122*Credit_Assumptions!$I$31</f>
        <v/>
      </c>
      <c r="S127" s="80">
        <f>S122*Credit_Assumptions!$I$31</f>
        <v/>
      </c>
      <c r="T127" s="80">
        <f>T122*Credit_Assumptions!$I$31</f>
        <v/>
      </c>
      <c r="U127" s="80">
        <f>U122*Credit_Assumptions!$I$31</f>
        <v/>
      </c>
      <c r="V127" s="80">
        <f>V122*Credit_Assumptions!$I$31</f>
        <v/>
      </c>
      <c r="W127" s="80">
        <f>W122*Credit_Assumptions!$I$31</f>
        <v/>
      </c>
      <c r="X127" s="80">
        <f>X122*Credit_Assumptions!$I$31</f>
        <v/>
      </c>
      <c r="Y127" s="80">
        <f>Y122*Credit_Assumptions!$I$31</f>
        <v/>
      </c>
      <c r="Z127" s="80">
        <f>Z122*Credit_Assumptions!$I$31</f>
        <v/>
      </c>
      <c r="AA127" s="80">
        <f>AA122*Credit_Assumptions!$I$31</f>
        <v/>
      </c>
      <c r="AB127" s="80">
        <f>AB122*Credit_Assumptions!$I$31</f>
        <v/>
      </c>
      <c r="AC127" s="80">
        <f>AC122*Credit_Assumptions!$I$31</f>
        <v/>
      </c>
      <c r="AD127" s="80">
        <f>AD122*Credit_Assumptions!$I$31</f>
        <v/>
      </c>
      <c r="AE127" s="80">
        <f>AE122*Credit_Assumptions!$I$31</f>
        <v/>
      </c>
      <c r="AF127" s="80">
        <f>AF122*Credit_Assumptions!$I$31</f>
        <v/>
      </c>
      <c r="AG127" s="80">
        <f>AG122*Credit_Assumptions!$I$31</f>
        <v/>
      </c>
      <c r="AH127" s="80">
        <f>AH122*Credit_Assumptions!$I$31</f>
        <v/>
      </c>
      <c r="AI127" s="80">
        <f>AI122*Credit_Assumptions!$I$31</f>
        <v/>
      </c>
      <c r="AJ127" s="80">
        <f>AJ122*Credit_Assumptions!$I$31</f>
        <v/>
      </c>
      <c r="AK127" s="80">
        <f>AK122*Credit_Assumptions!$I$31</f>
        <v/>
      </c>
      <c r="AL127" s="80">
        <f>AL122*Credit_Assumptions!$I$31</f>
        <v/>
      </c>
      <c r="AM127" s="80">
        <f>AM122*Credit_Assumptions!$I$31</f>
        <v/>
      </c>
      <c r="AN127" s="80">
        <f>AN122*Credit_Assumptions!$I$31</f>
        <v/>
      </c>
      <c r="AO127" s="80">
        <f>AO122*Credit_Assumptions!$I$31</f>
        <v/>
      </c>
      <c r="AP127" s="80">
        <f>AP122*Credit_Assumptions!$I$31</f>
        <v/>
      </c>
      <c r="AQ127" s="80">
        <f>AQ122*Credit_Assumptions!$I$31</f>
        <v/>
      </c>
      <c r="AR127" s="80">
        <f>AR122*Credit_Assumptions!$I$31</f>
        <v/>
      </c>
      <c r="AS127" s="80">
        <f>AS122*Credit_Assumptions!$I$31</f>
        <v/>
      </c>
      <c r="AT127" s="80">
        <f>AT122*Credit_Assumptions!$I$31</f>
        <v/>
      </c>
      <c r="AU127" s="80">
        <f>AU122*Credit_Assumptions!$I$31</f>
        <v/>
      </c>
      <c r="AV127" s="80">
        <f>AV122*Credit_Assumptions!$I$31</f>
        <v/>
      </c>
      <c r="AW127" s="80">
        <f>AW122*Credit_Assumptions!$I$31</f>
        <v/>
      </c>
      <c r="AX127" s="80">
        <f>AX122*Credit_Assumptions!$I$31</f>
        <v/>
      </c>
      <c r="AY127" s="80">
        <f>AY122*Credit_Assumptions!$I$31</f>
        <v/>
      </c>
      <c r="AZ127" s="80">
        <f>AZ122*Credit_Assumptions!$I$31</f>
        <v/>
      </c>
      <c r="BA127" s="80">
        <f>BA122*Credit_Assumptions!$I$31</f>
        <v/>
      </c>
      <c r="BB127" s="80">
        <f>BB122*Credit_Assumptions!$I$31</f>
        <v/>
      </c>
      <c r="BC127" s="80">
        <f>BC122*Credit_Assumptions!$I$31</f>
        <v/>
      </c>
      <c r="BD127" s="80">
        <f>BD122*Credit_Assumptions!$I$31</f>
        <v/>
      </c>
      <c r="BE127" s="80">
        <f>BE122*Credit_Assumptions!$I$31</f>
        <v/>
      </c>
      <c r="BF127" s="80">
        <f>BF122*Credit_Assumptions!$I$31</f>
        <v/>
      </c>
      <c r="BG127" s="80">
        <f>BG122*Credit_Assumptions!$I$31</f>
        <v/>
      </c>
      <c r="BH127" s="80">
        <f>BH122*Credit_Assumptions!$I$31</f>
        <v/>
      </c>
      <c r="BI127" s="80">
        <f>BI122*Credit_Assumptions!$I$31</f>
        <v/>
      </c>
      <c r="BJ127" s="80">
        <f>BJ122*Credit_Assumptions!$I$31</f>
        <v/>
      </c>
      <c r="BK127" s="80">
        <f>BK122*Credit_Assumptions!$I$31</f>
        <v/>
      </c>
      <c r="BL127" s="80">
        <f>BL122*Credit_Assumptions!$I$31</f>
        <v/>
      </c>
    </row>
    <row r="128">
      <c r="A128" s="98" t="inlineStr">
        <is>
          <t>91-180 DPD</t>
        </is>
      </c>
      <c r="B128" s="65" t="inlineStr">
        <is>
          <t>LCY</t>
        </is>
      </c>
      <c r="C128" s="105">
        <f>BL128</f>
        <v/>
      </c>
      <c r="E128" s="80">
        <f>E122*Credit_Assumptions!$I$32</f>
        <v/>
      </c>
      <c r="F128" s="80">
        <f>F122*Credit_Assumptions!$I$32</f>
        <v/>
      </c>
      <c r="G128" s="80">
        <f>G122*Credit_Assumptions!$I$32</f>
        <v/>
      </c>
      <c r="H128" s="80">
        <f>H122*Credit_Assumptions!$I$32</f>
        <v/>
      </c>
      <c r="I128" s="80">
        <f>I122*Credit_Assumptions!$I$32</f>
        <v/>
      </c>
      <c r="J128" s="80">
        <f>J122*Credit_Assumptions!$I$32</f>
        <v/>
      </c>
      <c r="K128" s="80">
        <f>K122*Credit_Assumptions!$I$32</f>
        <v/>
      </c>
      <c r="L128" s="80">
        <f>L122*Credit_Assumptions!$I$32</f>
        <v/>
      </c>
      <c r="M128" s="80">
        <f>M122*Credit_Assumptions!$I$32</f>
        <v/>
      </c>
      <c r="N128" s="80">
        <f>N122*Credit_Assumptions!$I$32</f>
        <v/>
      </c>
      <c r="O128" s="80">
        <f>O122*Credit_Assumptions!$I$32</f>
        <v/>
      </c>
      <c r="P128" s="80">
        <f>P122*Credit_Assumptions!$I$32</f>
        <v/>
      </c>
      <c r="Q128" s="80">
        <f>Q122*Credit_Assumptions!$I$32</f>
        <v/>
      </c>
      <c r="R128" s="80">
        <f>R122*Credit_Assumptions!$I$32</f>
        <v/>
      </c>
      <c r="S128" s="80">
        <f>S122*Credit_Assumptions!$I$32</f>
        <v/>
      </c>
      <c r="T128" s="80">
        <f>T122*Credit_Assumptions!$I$32</f>
        <v/>
      </c>
      <c r="U128" s="80">
        <f>U122*Credit_Assumptions!$I$32</f>
        <v/>
      </c>
      <c r="V128" s="80">
        <f>V122*Credit_Assumptions!$I$32</f>
        <v/>
      </c>
      <c r="W128" s="80">
        <f>W122*Credit_Assumptions!$I$32</f>
        <v/>
      </c>
      <c r="X128" s="80">
        <f>X122*Credit_Assumptions!$I$32</f>
        <v/>
      </c>
      <c r="Y128" s="80">
        <f>Y122*Credit_Assumptions!$I$32</f>
        <v/>
      </c>
      <c r="Z128" s="80">
        <f>Z122*Credit_Assumptions!$I$32</f>
        <v/>
      </c>
      <c r="AA128" s="80">
        <f>AA122*Credit_Assumptions!$I$32</f>
        <v/>
      </c>
      <c r="AB128" s="80">
        <f>AB122*Credit_Assumptions!$I$32</f>
        <v/>
      </c>
      <c r="AC128" s="80">
        <f>AC122*Credit_Assumptions!$I$32</f>
        <v/>
      </c>
      <c r="AD128" s="80">
        <f>AD122*Credit_Assumptions!$I$32</f>
        <v/>
      </c>
      <c r="AE128" s="80">
        <f>AE122*Credit_Assumptions!$I$32</f>
        <v/>
      </c>
      <c r="AF128" s="80">
        <f>AF122*Credit_Assumptions!$I$32</f>
        <v/>
      </c>
      <c r="AG128" s="80">
        <f>AG122*Credit_Assumptions!$I$32</f>
        <v/>
      </c>
      <c r="AH128" s="80">
        <f>AH122*Credit_Assumptions!$I$32</f>
        <v/>
      </c>
      <c r="AI128" s="80">
        <f>AI122*Credit_Assumptions!$I$32</f>
        <v/>
      </c>
      <c r="AJ128" s="80">
        <f>AJ122*Credit_Assumptions!$I$32</f>
        <v/>
      </c>
      <c r="AK128" s="80">
        <f>AK122*Credit_Assumptions!$I$32</f>
        <v/>
      </c>
      <c r="AL128" s="80">
        <f>AL122*Credit_Assumptions!$I$32</f>
        <v/>
      </c>
      <c r="AM128" s="80">
        <f>AM122*Credit_Assumptions!$I$32</f>
        <v/>
      </c>
      <c r="AN128" s="80">
        <f>AN122*Credit_Assumptions!$I$32</f>
        <v/>
      </c>
      <c r="AO128" s="80">
        <f>AO122*Credit_Assumptions!$I$32</f>
        <v/>
      </c>
      <c r="AP128" s="80">
        <f>AP122*Credit_Assumptions!$I$32</f>
        <v/>
      </c>
      <c r="AQ128" s="80">
        <f>AQ122*Credit_Assumptions!$I$32</f>
        <v/>
      </c>
      <c r="AR128" s="80">
        <f>AR122*Credit_Assumptions!$I$32</f>
        <v/>
      </c>
      <c r="AS128" s="80">
        <f>AS122*Credit_Assumptions!$I$32</f>
        <v/>
      </c>
      <c r="AT128" s="80">
        <f>AT122*Credit_Assumptions!$I$32</f>
        <v/>
      </c>
      <c r="AU128" s="80">
        <f>AU122*Credit_Assumptions!$I$32</f>
        <v/>
      </c>
      <c r="AV128" s="80">
        <f>AV122*Credit_Assumptions!$I$32</f>
        <v/>
      </c>
      <c r="AW128" s="80">
        <f>AW122*Credit_Assumptions!$I$32</f>
        <v/>
      </c>
      <c r="AX128" s="80">
        <f>AX122*Credit_Assumptions!$I$32</f>
        <v/>
      </c>
      <c r="AY128" s="80">
        <f>AY122*Credit_Assumptions!$I$32</f>
        <v/>
      </c>
      <c r="AZ128" s="80">
        <f>AZ122*Credit_Assumptions!$I$32</f>
        <v/>
      </c>
      <c r="BA128" s="80">
        <f>BA122*Credit_Assumptions!$I$32</f>
        <v/>
      </c>
      <c r="BB128" s="80">
        <f>BB122*Credit_Assumptions!$I$32</f>
        <v/>
      </c>
      <c r="BC128" s="80">
        <f>BC122*Credit_Assumptions!$I$32</f>
        <v/>
      </c>
      <c r="BD128" s="80">
        <f>BD122*Credit_Assumptions!$I$32</f>
        <v/>
      </c>
      <c r="BE128" s="80">
        <f>BE122*Credit_Assumptions!$I$32</f>
        <v/>
      </c>
      <c r="BF128" s="80">
        <f>BF122*Credit_Assumptions!$I$32</f>
        <v/>
      </c>
      <c r="BG128" s="80">
        <f>BG122*Credit_Assumptions!$I$32</f>
        <v/>
      </c>
      <c r="BH128" s="80">
        <f>BH122*Credit_Assumptions!$I$32</f>
        <v/>
      </c>
      <c r="BI128" s="80">
        <f>BI122*Credit_Assumptions!$I$32</f>
        <v/>
      </c>
      <c r="BJ128" s="80">
        <f>BJ122*Credit_Assumptions!$I$32</f>
        <v/>
      </c>
      <c r="BK128" s="80">
        <f>BK122*Credit_Assumptions!$I$32</f>
        <v/>
      </c>
      <c r="BL128" s="80">
        <f>BL122*Credit_Assumptions!$I$32</f>
        <v/>
      </c>
    </row>
    <row r="129">
      <c r="A129" s="98" t="inlineStr">
        <is>
          <t>180+ DPD</t>
        </is>
      </c>
      <c r="B129" s="65" t="inlineStr">
        <is>
          <t>LCY</t>
        </is>
      </c>
      <c r="C129" s="105">
        <f>BL129</f>
        <v/>
      </c>
      <c r="E129" s="80">
        <f>E122*Credit_Assumptions!$I$33</f>
        <v/>
      </c>
      <c r="F129" s="80">
        <f>F122*Credit_Assumptions!$I$33</f>
        <v/>
      </c>
      <c r="G129" s="80">
        <f>G122*Credit_Assumptions!$I$33</f>
        <v/>
      </c>
      <c r="H129" s="80">
        <f>H122*Credit_Assumptions!$I$33</f>
        <v/>
      </c>
      <c r="I129" s="80">
        <f>I122*Credit_Assumptions!$I$33</f>
        <v/>
      </c>
      <c r="J129" s="80">
        <f>J122*Credit_Assumptions!$I$33</f>
        <v/>
      </c>
      <c r="K129" s="80">
        <f>K122*Credit_Assumptions!$I$33</f>
        <v/>
      </c>
      <c r="L129" s="80">
        <f>L122*Credit_Assumptions!$I$33</f>
        <v/>
      </c>
      <c r="M129" s="80">
        <f>M122*Credit_Assumptions!$I$33</f>
        <v/>
      </c>
      <c r="N129" s="80">
        <f>N122*Credit_Assumptions!$I$33</f>
        <v/>
      </c>
      <c r="O129" s="80">
        <f>O122*Credit_Assumptions!$I$33</f>
        <v/>
      </c>
      <c r="P129" s="80">
        <f>P122*Credit_Assumptions!$I$33</f>
        <v/>
      </c>
      <c r="Q129" s="80">
        <f>Q122*Credit_Assumptions!$I$33</f>
        <v/>
      </c>
      <c r="R129" s="80">
        <f>R122*Credit_Assumptions!$I$33</f>
        <v/>
      </c>
      <c r="S129" s="80">
        <f>S122*Credit_Assumptions!$I$33</f>
        <v/>
      </c>
      <c r="T129" s="80">
        <f>T122*Credit_Assumptions!$I$33</f>
        <v/>
      </c>
      <c r="U129" s="80">
        <f>U122*Credit_Assumptions!$I$33</f>
        <v/>
      </c>
      <c r="V129" s="80">
        <f>V122*Credit_Assumptions!$I$33</f>
        <v/>
      </c>
      <c r="W129" s="80">
        <f>W122*Credit_Assumptions!$I$33</f>
        <v/>
      </c>
      <c r="X129" s="80">
        <f>X122*Credit_Assumptions!$I$33</f>
        <v/>
      </c>
      <c r="Y129" s="80">
        <f>Y122*Credit_Assumptions!$I$33</f>
        <v/>
      </c>
      <c r="Z129" s="80">
        <f>Z122*Credit_Assumptions!$I$33</f>
        <v/>
      </c>
      <c r="AA129" s="80">
        <f>AA122*Credit_Assumptions!$I$33</f>
        <v/>
      </c>
      <c r="AB129" s="80">
        <f>AB122*Credit_Assumptions!$I$33</f>
        <v/>
      </c>
      <c r="AC129" s="80">
        <f>AC122*Credit_Assumptions!$I$33</f>
        <v/>
      </c>
      <c r="AD129" s="80">
        <f>AD122*Credit_Assumptions!$I$33</f>
        <v/>
      </c>
      <c r="AE129" s="80">
        <f>AE122*Credit_Assumptions!$I$33</f>
        <v/>
      </c>
      <c r="AF129" s="80">
        <f>AF122*Credit_Assumptions!$I$33</f>
        <v/>
      </c>
      <c r="AG129" s="80">
        <f>AG122*Credit_Assumptions!$I$33</f>
        <v/>
      </c>
      <c r="AH129" s="80">
        <f>AH122*Credit_Assumptions!$I$33</f>
        <v/>
      </c>
      <c r="AI129" s="80">
        <f>AI122*Credit_Assumptions!$I$33</f>
        <v/>
      </c>
      <c r="AJ129" s="80">
        <f>AJ122*Credit_Assumptions!$I$33</f>
        <v/>
      </c>
      <c r="AK129" s="80">
        <f>AK122*Credit_Assumptions!$I$33</f>
        <v/>
      </c>
      <c r="AL129" s="80">
        <f>AL122*Credit_Assumptions!$I$33</f>
        <v/>
      </c>
      <c r="AM129" s="80">
        <f>AM122*Credit_Assumptions!$I$33</f>
        <v/>
      </c>
      <c r="AN129" s="80">
        <f>AN122*Credit_Assumptions!$I$33</f>
        <v/>
      </c>
      <c r="AO129" s="80">
        <f>AO122*Credit_Assumptions!$I$33</f>
        <v/>
      </c>
      <c r="AP129" s="80">
        <f>AP122*Credit_Assumptions!$I$33</f>
        <v/>
      </c>
      <c r="AQ129" s="80">
        <f>AQ122*Credit_Assumptions!$I$33</f>
        <v/>
      </c>
      <c r="AR129" s="80">
        <f>AR122*Credit_Assumptions!$I$33</f>
        <v/>
      </c>
      <c r="AS129" s="80">
        <f>AS122*Credit_Assumptions!$I$33</f>
        <v/>
      </c>
      <c r="AT129" s="80">
        <f>AT122*Credit_Assumptions!$I$33</f>
        <v/>
      </c>
      <c r="AU129" s="80">
        <f>AU122*Credit_Assumptions!$I$33</f>
        <v/>
      </c>
      <c r="AV129" s="80">
        <f>AV122*Credit_Assumptions!$I$33</f>
        <v/>
      </c>
      <c r="AW129" s="80">
        <f>AW122*Credit_Assumptions!$I$33</f>
        <v/>
      </c>
      <c r="AX129" s="80">
        <f>AX122*Credit_Assumptions!$I$33</f>
        <v/>
      </c>
      <c r="AY129" s="80">
        <f>AY122*Credit_Assumptions!$I$33</f>
        <v/>
      </c>
      <c r="AZ129" s="80">
        <f>AZ122*Credit_Assumptions!$I$33</f>
        <v/>
      </c>
      <c r="BA129" s="80">
        <f>BA122*Credit_Assumptions!$I$33</f>
        <v/>
      </c>
      <c r="BB129" s="80">
        <f>BB122*Credit_Assumptions!$I$33</f>
        <v/>
      </c>
      <c r="BC129" s="80">
        <f>BC122*Credit_Assumptions!$I$33</f>
        <v/>
      </c>
      <c r="BD129" s="80">
        <f>BD122*Credit_Assumptions!$I$33</f>
        <v/>
      </c>
      <c r="BE129" s="80">
        <f>BE122*Credit_Assumptions!$I$33</f>
        <v/>
      </c>
      <c r="BF129" s="80">
        <f>BF122*Credit_Assumptions!$I$33</f>
        <v/>
      </c>
      <c r="BG129" s="80">
        <f>BG122*Credit_Assumptions!$I$33</f>
        <v/>
      </c>
      <c r="BH129" s="80">
        <f>BH122*Credit_Assumptions!$I$33</f>
        <v/>
      </c>
      <c r="BI129" s="80">
        <f>BI122*Credit_Assumptions!$I$33</f>
        <v/>
      </c>
      <c r="BJ129" s="80">
        <f>BJ122*Credit_Assumptions!$I$33</f>
        <v/>
      </c>
      <c r="BK129" s="80">
        <f>BK122*Credit_Assumptions!$I$33</f>
        <v/>
      </c>
      <c r="BL129" s="80">
        <f>BL122*Credit_Assumptions!$I$33</f>
        <v/>
      </c>
    </row>
    <row r="130">
      <c r="A130" s="98" t="inlineStr">
        <is>
          <t>Default EAD (beyond default definition)</t>
        </is>
      </c>
      <c r="B130" s="65" t="inlineStr">
        <is>
          <t>LCY</t>
        </is>
      </c>
      <c r="C130" s="105">
        <f>BL130</f>
        <v/>
      </c>
      <c r="E130" s="80">
        <f>E124*Credit_Assumptions!$F$28+E125*Credit_Assumptions!$F$29+E126*Credit_Assumptions!$F$30+E127*Credit_Assumptions!$F$31+E128*Credit_Assumptions!$F$32+E129*Credit_Assumptions!$F$33</f>
        <v/>
      </c>
      <c r="F130" s="80">
        <f>F124*Credit_Assumptions!$F$28+F125*Credit_Assumptions!$F$29+F126*Credit_Assumptions!$F$30+F127*Credit_Assumptions!$F$31+F128*Credit_Assumptions!$F$32+F129*Credit_Assumptions!$F$33</f>
        <v/>
      </c>
      <c r="G130" s="80">
        <f>G124*Credit_Assumptions!$F$28+G125*Credit_Assumptions!$F$29+G126*Credit_Assumptions!$F$30+G127*Credit_Assumptions!$F$31+G128*Credit_Assumptions!$F$32+G129*Credit_Assumptions!$F$33</f>
        <v/>
      </c>
      <c r="H130" s="80">
        <f>H124*Credit_Assumptions!$F$28+H125*Credit_Assumptions!$F$29+H126*Credit_Assumptions!$F$30+H127*Credit_Assumptions!$F$31+H128*Credit_Assumptions!$F$32+H129*Credit_Assumptions!$F$33</f>
        <v/>
      </c>
      <c r="I130" s="80">
        <f>I124*Credit_Assumptions!$F$28+I125*Credit_Assumptions!$F$29+I126*Credit_Assumptions!$F$30+I127*Credit_Assumptions!$F$31+I128*Credit_Assumptions!$F$32+I129*Credit_Assumptions!$F$33</f>
        <v/>
      </c>
      <c r="J130" s="80">
        <f>J124*Credit_Assumptions!$F$28+J125*Credit_Assumptions!$F$29+J126*Credit_Assumptions!$F$30+J127*Credit_Assumptions!$F$31+J128*Credit_Assumptions!$F$32+J129*Credit_Assumptions!$F$33</f>
        <v/>
      </c>
      <c r="K130" s="80">
        <f>K124*Credit_Assumptions!$F$28+K125*Credit_Assumptions!$F$29+K126*Credit_Assumptions!$F$30+K127*Credit_Assumptions!$F$31+K128*Credit_Assumptions!$F$32+K129*Credit_Assumptions!$F$33</f>
        <v/>
      </c>
      <c r="L130" s="80">
        <f>L124*Credit_Assumptions!$F$28+L125*Credit_Assumptions!$F$29+L126*Credit_Assumptions!$F$30+L127*Credit_Assumptions!$F$31+L128*Credit_Assumptions!$F$32+L129*Credit_Assumptions!$F$33</f>
        <v/>
      </c>
      <c r="M130" s="80">
        <f>M124*Credit_Assumptions!$F$28+M125*Credit_Assumptions!$F$29+M126*Credit_Assumptions!$F$30+M127*Credit_Assumptions!$F$31+M128*Credit_Assumptions!$F$32+M129*Credit_Assumptions!$F$33</f>
        <v/>
      </c>
      <c r="N130" s="80">
        <f>N124*Credit_Assumptions!$F$28+N125*Credit_Assumptions!$F$29+N126*Credit_Assumptions!$F$30+N127*Credit_Assumptions!$F$31+N128*Credit_Assumptions!$F$32+N129*Credit_Assumptions!$F$33</f>
        <v/>
      </c>
      <c r="O130" s="80">
        <f>O124*Credit_Assumptions!$F$28+O125*Credit_Assumptions!$F$29+O126*Credit_Assumptions!$F$30+O127*Credit_Assumptions!$F$31+O128*Credit_Assumptions!$F$32+O129*Credit_Assumptions!$F$33</f>
        <v/>
      </c>
      <c r="P130" s="80">
        <f>P124*Credit_Assumptions!$F$28+P125*Credit_Assumptions!$F$29+P126*Credit_Assumptions!$F$30+P127*Credit_Assumptions!$F$31+P128*Credit_Assumptions!$F$32+P129*Credit_Assumptions!$F$33</f>
        <v/>
      </c>
      <c r="Q130" s="80">
        <f>Q124*Credit_Assumptions!$F$28+Q125*Credit_Assumptions!$F$29+Q126*Credit_Assumptions!$F$30+Q127*Credit_Assumptions!$F$31+Q128*Credit_Assumptions!$F$32+Q129*Credit_Assumptions!$F$33</f>
        <v/>
      </c>
      <c r="R130" s="80">
        <f>R124*Credit_Assumptions!$F$28+R125*Credit_Assumptions!$F$29+R126*Credit_Assumptions!$F$30+R127*Credit_Assumptions!$F$31+R128*Credit_Assumptions!$F$32+R129*Credit_Assumptions!$F$33</f>
        <v/>
      </c>
      <c r="S130" s="80">
        <f>S124*Credit_Assumptions!$F$28+S125*Credit_Assumptions!$F$29+S126*Credit_Assumptions!$F$30+S127*Credit_Assumptions!$F$31+S128*Credit_Assumptions!$F$32+S129*Credit_Assumptions!$F$33</f>
        <v/>
      </c>
      <c r="T130" s="80">
        <f>T124*Credit_Assumptions!$F$28+T125*Credit_Assumptions!$F$29+T126*Credit_Assumptions!$F$30+T127*Credit_Assumptions!$F$31+T128*Credit_Assumptions!$F$32+T129*Credit_Assumptions!$F$33</f>
        <v/>
      </c>
      <c r="U130" s="80">
        <f>U124*Credit_Assumptions!$F$28+U125*Credit_Assumptions!$F$29+U126*Credit_Assumptions!$F$30+U127*Credit_Assumptions!$F$31+U128*Credit_Assumptions!$F$32+U129*Credit_Assumptions!$F$33</f>
        <v/>
      </c>
      <c r="V130" s="80">
        <f>V124*Credit_Assumptions!$F$28+V125*Credit_Assumptions!$F$29+V126*Credit_Assumptions!$F$30+V127*Credit_Assumptions!$F$31+V128*Credit_Assumptions!$F$32+V129*Credit_Assumptions!$F$33</f>
        <v/>
      </c>
      <c r="W130" s="80">
        <f>W124*Credit_Assumptions!$F$28+W125*Credit_Assumptions!$F$29+W126*Credit_Assumptions!$F$30+W127*Credit_Assumptions!$F$31+W128*Credit_Assumptions!$F$32+W129*Credit_Assumptions!$F$33</f>
        <v/>
      </c>
      <c r="X130" s="80">
        <f>X124*Credit_Assumptions!$F$28+X125*Credit_Assumptions!$F$29+X126*Credit_Assumptions!$F$30+X127*Credit_Assumptions!$F$31+X128*Credit_Assumptions!$F$32+X129*Credit_Assumptions!$F$33</f>
        <v/>
      </c>
      <c r="Y130" s="80">
        <f>Y124*Credit_Assumptions!$F$28+Y125*Credit_Assumptions!$F$29+Y126*Credit_Assumptions!$F$30+Y127*Credit_Assumptions!$F$31+Y128*Credit_Assumptions!$F$32+Y129*Credit_Assumptions!$F$33</f>
        <v/>
      </c>
      <c r="Z130" s="80">
        <f>Z124*Credit_Assumptions!$F$28+Z125*Credit_Assumptions!$F$29+Z126*Credit_Assumptions!$F$30+Z127*Credit_Assumptions!$F$31+Z128*Credit_Assumptions!$F$32+Z129*Credit_Assumptions!$F$33</f>
        <v/>
      </c>
      <c r="AA130" s="80">
        <f>AA124*Credit_Assumptions!$F$28+AA125*Credit_Assumptions!$F$29+AA126*Credit_Assumptions!$F$30+AA127*Credit_Assumptions!$F$31+AA128*Credit_Assumptions!$F$32+AA129*Credit_Assumptions!$F$33</f>
        <v/>
      </c>
      <c r="AB130" s="80">
        <f>AB124*Credit_Assumptions!$F$28+AB125*Credit_Assumptions!$F$29+AB126*Credit_Assumptions!$F$30+AB127*Credit_Assumptions!$F$31+AB128*Credit_Assumptions!$F$32+AB129*Credit_Assumptions!$F$33</f>
        <v/>
      </c>
      <c r="AC130" s="80">
        <f>AC124*Credit_Assumptions!$F$28+AC125*Credit_Assumptions!$F$29+AC126*Credit_Assumptions!$F$30+AC127*Credit_Assumptions!$F$31+AC128*Credit_Assumptions!$F$32+AC129*Credit_Assumptions!$F$33</f>
        <v/>
      </c>
      <c r="AD130" s="80">
        <f>AD124*Credit_Assumptions!$F$28+AD125*Credit_Assumptions!$F$29+AD126*Credit_Assumptions!$F$30+AD127*Credit_Assumptions!$F$31+AD128*Credit_Assumptions!$F$32+AD129*Credit_Assumptions!$F$33</f>
        <v/>
      </c>
      <c r="AE130" s="80">
        <f>AE124*Credit_Assumptions!$F$28+AE125*Credit_Assumptions!$F$29+AE126*Credit_Assumptions!$F$30+AE127*Credit_Assumptions!$F$31+AE128*Credit_Assumptions!$F$32+AE129*Credit_Assumptions!$F$33</f>
        <v/>
      </c>
      <c r="AF130" s="80">
        <f>AF124*Credit_Assumptions!$F$28+AF125*Credit_Assumptions!$F$29+AF126*Credit_Assumptions!$F$30+AF127*Credit_Assumptions!$F$31+AF128*Credit_Assumptions!$F$32+AF129*Credit_Assumptions!$F$33</f>
        <v/>
      </c>
      <c r="AG130" s="80">
        <f>AG124*Credit_Assumptions!$F$28+AG125*Credit_Assumptions!$F$29+AG126*Credit_Assumptions!$F$30+AG127*Credit_Assumptions!$F$31+AG128*Credit_Assumptions!$F$32+AG129*Credit_Assumptions!$F$33</f>
        <v/>
      </c>
      <c r="AH130" s="80">
        <f>AH124*Credit_Assumptions!$F$28+AH125*Credit_Assumptions!$F$29+AH126*Credit_Assumptions!$F$30+AH127*Credit_Assumptions!$F$31+AH128*Credit_Assumptions!$F$32+AH129*Credit_Assumptions!$F$33</f>
        <v/>
      </c>
      <c r="AI130" s="80">
        <f>AI124*Credit_Assumptions!$F$28+AI125*Credit_Assumptions!$F$29+AI126*Credit_Assumptions!$F$30+AI127*Credit_Assumptions!$F$31+AI128*Credit_Assumptions!$F$32+AI129*Credit_Assumptions!$F$33</f>
        <v/>
      </c>
      <c r="AJ130" s="80">
        <f>AJ124*Credit_Assumptions!$F$28+AJ125*Credit_Assumptions!$F$29+AJ126*Credit_Assumptions!$F$30+AJ127*Credit_Assumptions!$F$31+AJ128*Credit_Assumptions!$F$32+AJ129*Credit_Assumptions!$F$33</f>
        <v/>
      </c>
      <c r="AK130" s="80">
        <f>AK124*Credit_Assumptions!$F$28+AK125*Credit_Assumptions!$F$29+AK126*Credit_Assumptions!$F$30+AK127*Credit_Assumptions!$F$31+AK128*Credit_Assumptions!$F$32+AK129*Credit_Assumptions!$F$33</f>
        <v/>
      </c>
      <c r="AL130" s="80">
        <f>AL124*Credit_Assumptions!$F$28+AL125*Credit_Assumptions!$F$29+AL126*Credit_Assumptions!$F$30+AL127*Credit_Assumptions!$F$31+AL128*Credit_Assumptions!$F$32+AL129*Credit_Assumptions!$F$33</f>
        <v/>
      </c>
      <c r="AM130" s="80">
        <f>AM124*Credit_Assumptions!$F$28+AM125*Credit_Assumptions!$F$29+AM126*Credit_Assumptions!$F$30+AM127*Credit_Assumptions!$F$31+AM128*Credit_Assumptions!$F$32+AM129*Credit_Assumptions!$F$33</f>
        <v/>
      </c>
      <c r="AN130" s="80">
        <f>AN124*Credit_Assumptions!$F$28+AN125*Credit_Assumptions!$F$29+AN126*Credit_Assumptions!$F$30+AN127*Credit_Assumptions!$F$31+AN128*Credit_Assumptions!$F$32+AN129*Credit_Assumptions!$F$33</f>
        <v/>
      </c>
      <c r="AO130" s="80">
        <f>AO124*Credit_Assumptions!$F$28+AO125*Credit_Assumptions!$F$29+AO126*Credit_Assumptions!$F$30+AO127*Credit_Assumptions!$F$31+AO128*Credit_Assumptions!$F$32+AO129*Credit_Assumptions!$F$33</f>
        <v/>
      </c>
      <c r="AP130" s="80">
        <f>AP124*Credit_Assumptions!$F$28+AP125*Credit_Assumptions!$F$29+AP126*Credit_Assumptions!$F$30+AP127*Credit_Assumptions!$F$31+AP128*Credit_Assumptions!$F$32+AP129*Credit_Assumptions!$F$33</f>
        <v/>
      </c>
      <c r="AQ130" s="80">
        <f>AQ124*Credit_Assumptions!$F$28+AQ125*Credit_Assumptions!$F$29+AQ126*Credit_Assumptions!$F$30+AQ127*Credit_Assumptions!$F$31+AQ128*Credit_Assumptions!$F$32+AQ129*Credit_Assumptions!$F$33</f>
        <v/>
      </c>
      <c r="AR130" s="80">
        <f>AR124*Credit_Assumptions!$F$28+AR125*Credit_Assumptions!$F$29+AR126*Credit_Assumptions!$F$30+AR127*Credit_Assumptions!$F$31+AR128*Credit_Assumptions!$F$32+AR129*Credit_Assumptions!$F$33</f>
        <v/>
      </c>
      <c r="AS130" s="80">
        <f>AS124*Credit_Assumptions!$F$28+AS125*Credit_Assumptions!$F$29+AS126*Credit_Assumptions!$F$30+AS127*Credit_Assumptions!$F$31+AS128*Credit_Assumptions!$F$32+AS129*Credit_Assumptions!$F$33</f>
        <v/>
      </c>
      <c r="AT130" s="80">
        <f>AT124*Credit_Assumptions!$F$28+AT125*Credit_Assumptions!$F$29+AT126*Credit_Assumptions!$F$30+AT127*Credit_Assumptions!$F$31+AT128*Credit_Assumptions!$F$32+AT129*Credit_Assumptions!$F$33</f>
        <v/>
      </c>
      <c r="AU130" s="80">
        <f>AU124*Credit_Assumptions!$F$28+AU125*Credit_Assumptions!$F$29+AU126*Credit_Assumptions!$F$30+AU127*Credit_Assumptions!$F$31+AU128*Credit_Assumptions!$F$32+AU129*Credit_Assumptions!$F$33</f>
        <v/>
      </c>
      <c r="AV130" s="80">
        <f>AV124*Credit_Assumptions!$F$28+AV125*Credit_Assumptions!$F$29+AV126*Credit_Assumptions!$F$30+AV127*Credit_Assumptions!$F$31+AV128*Credit_Assumptions!$F$32+AV129*Credit_Assumptions!$F$33</f>
        <v/>
      </c>
      <c r="AW130" s="80">
        <f>AW124*Credit_Assumptions!$F$28+AW125*Credit_Assumptions!$F$29+AW126*Credit_Assumptions!$F$30+AW127*Credit_Assumptions!$F$31+AW128*Credit_Assumptions!$F$32+AW129*Credit_Assumptions!$F$33</f>
        <v/>
      </c>
      <c r="AX130" s="80">
        <f>AX124*Credit_Assumptions!$F$28+AX125*Credit_Assumptions!$F$29+AX126*Credit_Assumptions!$F$30+AX127*Credit_Assumptions!$F$31+AX128*Credit_Assumptions!$F$32+AX129*Credit_Assumptions!$F$33</f>
        <v/>
      </c>
      <c r="AY130" s="80">
        <f>AY124*Credit_Assumptions!$F$28+AY125*Credit_Assumptions!$F$29+AY126*Credit_Assumptions!$F$30+AY127*Credit_Assumptions!$F$31+AY128*Credit_Assumptions!$F$32+AY129*Credit_Assumptions!$F$33</f>
        <v/>
      </c>
      <c r="AZ130" s="80">
        <f>AZ124*Credit_Assumptions!$F$28+AZ125*Credit_Assumptions!$F$29+AZ126*Credit_Assumptions!$F$30+AZ127*Credit_Assumptions!$F$31+AZ128*Credit_Assumptions!$F$32+AZ129*Credit_Assumptions!$F$33</f>
        <v/>
      </c>
      <c r="BA130" s="80">
        <f>BA124*Credit_Assumptions!$F$28+BA125*Credit_Assumptions!$F$29+BA126*Credit_Assumptions!$F$30+BA127*Credit_Assumptions!$F$31+BA128*Credit_Assumptions!$F$32+BA129*Credit_Assumptions!$F$33</f>
        <v/>
      </c>
      <c r="BB130" s="80">
        <f>BB124*Credit_Assumptions!$F$28+BB125*Credit_Assumptions!$F$29+BB126*Credit_Assumptions!$F$30+BB127*Credit_Assumptions!$F$31+BB128*Credit_Assumptions!$F$32+BB129*Credit_Assumptions!$F$33</f>
        <v/>
      </c>
      <c r="BC130" s="80">
        <f>BC124*Credit_Assumptions!$F$28+BC125*Credit_Assumptions!$F$29+BC126*Credit_Assumptions!$F$30+BC127*Credit_Assumptions!$F$31+BC128*Credit_Assumptions!$F$32+BC129*Credit_Assumptions!$F$33</f>
        <v/>
      </c>
      <c r="BD130" s="80">
        <f>BD124*Credit_Assumptions!$F$28+BD125*Credit_Assumptions!$F$29+BD126*Credit_Assumptions!$F$30+BD127*Credit_Assumptions!$F$31+BD128*Credit_Assumptions!$F$32+BD129*Credit_Assumptions!$F$33</f>
        <v/>
      </c>
      <c r="BE130" s="80">
        <f>BE124*Credit_Assumptions!$F$28+BE125*Credit_Assumptions!$F$29+BE126*Credit_Assumptions!$F$30+BE127*Credit_Assumptions!$F$31+BE128*Credit_Assumptions!$F$32+BE129*Credit_Assumptions!$F$33</f>
        <v/>
      </c>
      <c r="BF130" s="80">
        <f>BF124*Credit_Assumptions!$F$28+BF125*Credit_Assumptions!$F$29+BF126*Credit_Assumptions!$F$30+BF127*Credit_Assumptions!$F$31+BF128*Credit_Assumptions!$F$32+BF129*Credit_Assumptions!$F$33</f>
        <v/>
      </c>
      <c r="BG130" s="80">
        <f>BG124*Credit_Assumptions!$F$28+BG125*Credit_Assumptions!$F$29+BG126*Credit_Assumptions!$F$30+BG127*Credit_Assumptions!$F$31+BG128*Credit_Assumptions!$F$32+BG129*Credit_Assumptions!$F$33</f>
        <v/>
      </c>
      <c r="BH130" s="80">
        <f>BH124*Credit_Assumptions!$F$28+BH125*Credit_Assumptions!$F$29+BH126*Credit_Assumptions!$F$30+BH127*Credit_Assumptions!$F$31+BH128*Credit_Assumptions!$F$32+BH129*Credit_Assumptions!$F$33</f>
        <v/>
      </c>
      <c r="BI130" s="80">
        <f>BI124*Credit_Assumptions!$F$28+BI125*Credit_Assumptions!$F$29+BI126*Credit_Assumptions!$F$30+BI127*Credit_Assumptions!$F$31+BI128*Credit_Assumptions!$F$32+BI129*Credit_Assumptions!$F$33</f>
        <v/>
      </c>
      <c r="BJ130" s="80">
        <f>BJ124*Credit_Assumptions!$F$28+BJ125*Credit_Assumptions!$F$29+BJ126*Credit_Assumptions!$F$30+BJ127*Credit_Assumptions!$F$31+BJ128*Credit_Assumptions!$F$32+BJ129*Credit_Assumptions!$F$33</f>
        <v/>
      </c>
      <c r="BK130" s="80">
        <f>BK124*Credit_Assumptions!$F$28+BK125*Credit_Assumptions!$F$29+BK126*Credit_Assumptions!$F$30+BK127*Credit_Assumptions!$F$31+BK128*Credit_Assumptions!$F$32+BK129*Credit_Assumptions!$F$33</f>
        <v/>
      </c>
      <c r="BL130" s="80">
        <f>BL124*Credit_Assumptions!$F$28+BL125*Credit_Assumptions!$F$29+BL126*Credit_Assumptions!$F$30+BL127*Credit_Assumptions!$F$31+BL128*Credit_Assumptions!$F$32+BL129*Credit_Assumptions!$F$33</f>
        <v/>
      </c>
    </row>
    <row r="131">
      <c r="A131" s="98" t="inlineStr">
        <is>
          <t>30+ DPD receivables</t>
        </is>
      </c>
      <c r="B131" s="65" t="inlineStr">
        <is>
          <t>LCY</t>
        </is>
      </c>
      <c r="C131" s="105">
        <f>BL131</f>
        <v/>
      </c>
      <c r="E131" s="80">
        <f>E124*Credit_Assumptions!$G$28+E125*Credit_Assumptions!$G$29+E126*Credit_Assumptions!$G$30+E127*Credit_Assumptions!$G$31+E128*Credit_Assumptions!$G$32+E129*Credit_Assumptions!$G$33</f>
        <v/>
      </c>
      <c r="F131" s="80">
        <f>F124*Credit_Assumptions!$G$28+F125*Credit_Assumptions!$G$29+F126*Credit_Assumptions!$G$30+F127*Credit_Assumptions!$G$31+F128*Credit_Assumptions!$G$32+F129*Credit_Assumptions!$G$33</f>
        <v/>
      </c>
      <c r="G131" s="80">
        <f>G124*Credit_Assumptions!$G$28+G125*Credit_Assumptions!$G$29+G126*Credit_Assumptions!$G$30+G127*Credit_Assumptions!$G$31+G128*Credit_Assumptions!$G$32+G129*Credit_Assumptions!$G$33</f>
        <v/>
      </c>
      <c r="H131" s="80">
        <f>H124*Credit_Assumptions!$G$28+H125*Credit_Assumptions!$G$29+H126*Credit_Assumptions!$G$30+H127*Credit_Assumptions!$G$31+H128*Credit_Assumptions!$G$32+H129*Credit_Assumptions!$G$33</f>
        <v/>
      </c>
      <c r="I131" s="80">
        <f>I124*Credit_Assumptions!$G$28+I125*Credit_Assumptions!$G$29+I126*Credit_Assumptions!$G$30+I127*Credit_Assumptions!$G$31+I128*Credit_Assumptions!$G$32+I129*Credit_Assumptions!$G$33</f>
        <v/>
      </c>
      <c r="J131" s="80">
        <f>J124*Credit_Assumptions!$G$28+J125*Credit_Assumptions!$G$29+J126*Credit_Assumptions!$G$30+J127*Credit_Assumptions!$G$31+J128*Credit_Assumptions!$G$32+J129*Credit_Assumptions!$G$33</f>
        <v/>
      </c>
      <c r="K131" s="80">
        <f>K124*Credit_Assumptions!$G$28+K125*Credit_Assumptions!$G$29+K126*Credit_Assumptions!$G$30+K127*Credit_Assumptions!$G$31+K128*Credit_Assumptions!$G$32+K129*Credit_Assumptions!$G$33</f>
        <v/>
      </c>
      <c r="L131" s="80">
        <f>L124*Credit_Assumptions!$G$28+L125*Credit_Assumptions!$G$29+L126*Credit_Assumptions!$G$30+L127*Credit_Assumptions!$G$31+L128*Credit_Assumptions!$G$32+L129*Credit_Assumptions!$G$33</f>
        <v/>
      </c>
      <c r="M131" s="80">
        <f>M124*Credit_Assumptions!$G$28+M125*Credit_Assumptions!$G$29+M126*Credit_Assumptions!$G$30+M127*Credit_Assumptions!$G$31+M128*Credit_Assumptions!$G$32+M129*Credit_Assumptions!$G$33</f>
        <v/>
      </c>
      <c r="N131" s="80">
        <f>N124*Credit_Assumptions!$G$28+N125*Credit_Assumptions!$G$29+N126*Credit_Assumptions!$G$30+N127*Credit_Assumptions!$G$31+N128*Credit_Assumptions!$G$32+N129*Credit_Assumptions!$G$33</f>
        <v/>
      </c>
      <c r="O131" s="80">
        <f>O124*Credit_Assumptions!$G$28+O125*Credit_Assumptions!$G$29+O126*Credit_Assumptions!$G$30+O127*Credit_Assumptions!$G$31+O128*Credit_Assumptions!$G$32+O129*Credit_Assumptions!$G$33</f>
        <v/>
      </c>
      <c r="P131" s="80">
        <f>P124*Credit_Assumptions!$G$28+P125*Credit_Assumptions!$G$29+P126*Credit_Assumptions!$G$30+P127*Credit_Assumptions!$G$31+P128*Credit_Assumptions!$G$32+P129*Credit_Assumptions!$G$33</f>
        <v/>
      </c>
      <c r="Q131" s="80">
        <f>Q124*Credit_Assumptions!$G$28+Q125*Credit_Assumptions!$G$29+Q126*Credit_Assumptions!$G$30+Q127*Credit_Assumptions!$G$31+Q128*Credit_Assumptions!$G$32+Q129*Credit_Assumptions!$G$33</f>
        <v/>
      </c>
      <c r="R131" s="80">
        <f>R124*Credit_Assumptions!$G$28+R125*Credit_Assumptions!$G$29+R126*Credit_Assumptions!$G$30+R127*Credit_Assumptions!$G$31+R128*Credit_Assumptions!$G$32+R129*Credit_Assumptions!$G$33</f>
        <v/>
      </c>
      <c r="S131" s="80">
        <f>S124*Credit_Assumptions!$G$28+S125*Credit_Assumptions!$G$29+S126*Credit_Assumptions!$G$30+S127*Credit_Assumptions!$G$31+S128*Credit_Assumptions!$G$32+S129*Credit_Assumptions!$G$33</f>
        <v/>
      </c>
      <c r="T131" s="80">
        <f>T124*Credit_Assumptions!$G$28+T125*Credit_Assumptions!$G$29+T126*Credit_Assumptions!$G$30+T127*Credit_Assumptions!$G$31+T128*Credit_Assumptions!$G$32+T129*Credit_Assumptions!$G$33</f>
        <v/>
      </c>
      <c r="U131" s="80">
        <f>U124*Credit_Assumptions!$G$28+U125*Credit_Assumptions!$G$29+U126*Credit_Assumptions!$G$30+U127*Credit_Assumptions!$G$31+U128*Credit_Assumptions!$G$32+U129*Credit_Assumptions!$G$33</f>
        <v/>
      </c>
      <c r="V131" s="80">
        <f>V124*Credit_Assumptions!$G$28+V125*Credit_Assumptions!$G$29+V126*Credit_Assumptions!$G$30+V127*Credit_Assumptions!$G$31+V128*Credit_Assumptions!$G$32+V129*Credit_Assumptions!$G$33</f>
        <v/>
      </c>
      <c r="W131" s="80">
        <f>W124*Credit_Assumptions!$G$28+W125*Credit_Assumptions!$G$29+W126*Credit_Assumptions!$G$30+W127*Credit_Assumptions!$G$31+W128*Credit_Assumptions!$G$32+W129*Credit_Assumptions!$G$33</f>
        <v/>
      </c>
      <c r="X131" s="80">
        <f>X124*Credit_Assumptions!$G$28+X125*Credit_Assumptions!$G$29+X126*Credit_Assumptions!$G$30+X127*Credit_Assumptions!$G$31+X128*Credit_Assumptions!$G$32+X129*Credit_Assumptions!$G$33</f>
        <v/>
      </c>
      <c r="Y131" s="80">
        <f>Y124*Credit_Assumptions!$G$28+Y125*Credit_Assumptions!$G$29+Y126*Credit_Assumptions!$G$30+Y127*Credit_Assumptions!$G$31+Y128*Credit_Assumptions!$G$32+Y129*Credit_Assumptions!$G$33</f>
        <v/>
      </c>
      <c r="Z131" s="80">
        <f>Z124*Credit_Assumptions!$G$28+Z125*Credit_Assumptions!$G$29+Z126*Credit_Assumptions!$G$30+Z127*Credit_Assumptions!$G$31+Z128*Credit_Assumptions!$G$32+Z129*Credit_Assumptions!$G$33</f>
        <v/>
      </c>
      <c r="AA131" s="80">
        <f>AA124*Credit_Assumptions!$G$28+AA125*Credit_Assumptions!$G$29+AA126*Credit_Assumptions!$G$30+AA127*Credit_Assumptions!$G$31+AA128*Credit_Assumptions!$G$32+AA129*Credit_Assumptions!$G$33</f>
        <v/>
      </c>
      <c r="AB131" s="80">
        <f>AB124*Credit_Assumptions!$G$28+AB125*Credit_Assumptions!$G$29+AB126*Credit_Assumptions!$G$30+AB127*Credit_Assumptions!$G$31+AB128*Credit_Assumptions!$G$32+AB129*Credit_Assumptions!$G$33</f>
        <v/>
      </c>
      <c r="AC131" s="80">
        <f>AC124*Credit_Assumptions!$G$28+AC125*Credit_Assumptions!$G$29+AC126*Credit_Assumptions!$G$30+AC127*Credit_Assumptions!$G$31+AC128*Credit_Assumptions!$G$32+AC129*Credit_Assumptions!$G$33</f>
        <v/>
      </c>
      <c r="AD131" s="80">
        <f>AD124*Credit_Assumptions!$G$28+AD125*Credit_Assumptions!$G$29+AD126*Credit_Assumptions!$G$30+AD127*Credit_Assumptions!$G$31+AD128*Credit_Assumptions!$G$32+AD129*Credit_Assumptions!$G$33</f>
        <v/>
      </c>
      <c r="AE131" s="80">
        <f>AE124*Credit_Assumptions!$G$28+AE125*Credit_Assumptions!$G$29+AE126*Credit_Assumptions!$G$30+AE127*Credit_Assumptions!$G$31+AE128*Credit_Assumptions!$G$32+AE129*Credit_Assumptions!$G$33</f>
        <v/>
      </c>
      <c r="AF131" s="80">
        <f>AF124*Credit_Assumptions!$G$28+AF125*Credit_Assumptions!$G$29+AF126*Credit_Assumptions!$G$30+AF127*Credit_Assumptions!$G$31+AF128*Credit_Assumptions!$G$32+AF129*Credit_Assumptions!$G$33</f>
        <v/>
      </c>
      <c r="AG131" s="80">
        <f>AG124*Credit_Assumptions!$G$28+AG125*Credit_Assumptions!$G$29+AG126*Credit_Assumptions!$G$30+AG127*Credit_Assumptions!$G$31+AG128*Credit_Assumptions!$G$32+AG129*Credit_Assumptions!$G$33</f>
        <v/>
      </c>
      <c r="AH131" s="80">
        <f>AH124*Credit_Assumptions!$G$28+AH125*Credit_Assumptions!$G$29+AH126*Credit_Assumptions!$G$30+AH127*Credit_Assumptions!$G$31+AH128*Credit_Assumptions!$G$32+AH129*Credit_Assumptions!$G$33</f>
        <v/>
      </c>
      <c r="AI131" s="80">
        <f>AI124*Credit_Assumptions!$G$28+AI125*Credit_Assumptions!$G$29+AI126*Credit_Assumptions!$G$30+AI127*Credit_Assumptions!$G$31+AI128*Credit_Assumptions!$G$32+AI129*Credit_Assumptions!$G$33</f>
        <v/>
      </c>
      <c r="AJ131" s="80">
        <f>AJ124*Credit_Assumptions!$G$28+AJ125*Credit_Assumptions!$G$29+AJ126*Credit_Assumptions!$G$30+AJ127*Credit_Assumptions!$G$31+AJ128*Credit_Assumptions!$G$32+AJ129*Credit_Assumptions!$G$33</f>
        <v/>
      </c>
      <c r="AK131" s="80">
        <f>AK124*Credit_Assumptions!$G$28+AK125*Credit_Assumptions!$G$29+AK126*Credit_Assumptions!$G$30+AK127*Credit_Assumptions!$G$31+AK128*Credit_Assumptions!$G$32+AK129*Credit_Assumptions!$G$33</f>
        <v/>
      </c>
      <c r="AL131" s="80">
        <f>AL124*Credit_Assumptions!$G$28+AL125*Credit_Assumptions!$G$29+AL126*Credit_Assumptions!$G$30+AL127*Credit_Assumptions!$G$31+AL128*Credit_Assumptions!$G$32+AL129*Credit_Assumptions!$G$33</f>
        <v/>
      </c>
      <c r="AM131" s="80">
        <f>AM124*Credit_Assumptions!$G$28+AM125*Credit_Assumptions!$G$29+AM126*Credit_Assumptions!$G$30+AM127*Credit_Assumptions!$G$31+AM128*Credit_Assumptions!$G$32+AM129*Credit_Assumptions!$G$33</f>
        <v/>
      </c>
      <c r="AN131" s="80">
        <f>AN124*Credit_Assumptions!$G$28+AN125*Credit_Assumptions!$G$29+AN126*Credit_Assumptions!$G$30+AN127*Credit_Assumptions!$G$31+AN128*Credit_Assumptions!$G$32+AN129*Credit_Assumptions!$G$33</f>
        <v/>
      </c>
      <c r="AO131" s="80">
        <f>AO124*Credit_Assumptions!$G$28+AO125*Credit_Assumptions!$G$29+AO126*Credit_Assumptions!$G$30+AO127*Credit_Assumptions!$G$31+AO128*Credit_Assumptions!$G$32+AO129*Credit_Assumptions!$G$33</f>
        <v/>
      </c>
      <c r="AP131" s="80">
        <f>AP124*Credit_Assumptions!$G$28+AP125*Credit_Assumptions!$G$29+AP126*Credit_Assumptions!$G$30+AP127*Credit_Assumptions!$G$31+AP128*Credit_Assumptions!$G$32+AP129*Credit_Assumptions!$G$33</f>
        <v/>
      </c>
      <c r="AQ131" s="80">
        <f>AQ124*Credit_Assumptions!$G$28+AQ125*Credit_Assumptions!$G$29+AQ126*Credit_Assumptions!$G$30+AQ127*Credit_Assumptions!$G$31+AQ128*Credit_Assumptions!$G$32+AQ129*Credit_Assumptions!$G$33</f>
        <v/>
      </c>
      <c r="AR131" s="80">
        <f>AR124*Credit_Assumptions!$G$28+AR125*Credit_Assumptions!$G$29+AR126*Credit_Assumptions!$G$30+AR127*Credit_Assumptions!$G$31+AR128*Credit_Assumptions!$G$32+AR129*Credit_Assumptions!$G$33</f>
        <v/>
      </c>
      <c r="AS131" s="80">
        <f>AS124*Credit_Assumptions!$G$28+AS125*Credit_Assumptions!$G$29+AS126*Credit_Assumptions!$G$30+AS127*Credit_Assumptions!$G$31+AS128*Credit_Assumptions!$G$32+AS129*Credit_Assumptions!$G$33</f>
        <v/>
      </c>
      <c r="AT131" s="80">
        <f>AT124*Credit_Assumptions!$G$28+AT125*Credit_Assumptions!$G$29+AT126*Credit_Assumptions!$G$30+AT127*Credit_Assumptions!$G$31+AT128*Credit_Assumptions!$G$32+AT129*Credit_Assumptions!$G$33</f>
        <v/>
      </c>
      <c r="AU131" s="80">
        <f>AU124*Credit_Assumptions!$G$28+AU125*Credit_Assumptions!$G$29+AU126*Credit_Assumptions!$G$30+AU127*Credit_Assumptions!$G$31+AU128*Credit_Assumptions!$G$32+AU129*Credit_Assumptions!$G$33</f>
        <v/>
      </c>
      <c r="AV131" s="80">
        <f>AV124*Credit_Assumptions!$G$28+AV125*Credit_Assumptions!$G$29+AV126*Credit_Assumptions!$G$30+AV127*Credit_Assumptions!$G$31+AV128*Credit_Assumptions!$G$32+AV129*Credit_Assumptions!$G$33</f>
        <v/>
      </c>
      <c r="AW131" s="80">
        <f>AW124*Credit_Assumptions!$G$28+AW125*Credit_Assumptions!$G$29+AW126*Credit_Assumptions!$G$30+AW127*Credit_Assumptions!$G$31+AW128*Credit_Assumptions!$G$32+AW129*Credit_Assumptions!$G$33</f>
        <v/>
      </c>
      <c r="AX131" s="80">
        <f>AX124*Credit_Assumptions!$G$28+AX125*Credit_Assumptions!$G$29+AX126*Credit_Assumptions!$G$30+AX127*Credit_Assumptions!$G$31+AX128*Credit_Assumptions!$G$32+AX129*Credit_Assumptions!$G$33</f>
        <v/>
      </c>
      <c r="AY131" s="80">
        <f>AY124*Credit_Assumptions!$G$28+AY125*Credit_Assumptions!$G$29+AY126*Credit_Assumptions!$G$30+AY127*Credit_Assumptions!$G$31+AY128*Credit_Assumptions!$G$32+AY129*Credit_Assumptions!$G$33</f>
        <v/>
      </c>
      <c r="AZ131" s="80">
        <f>AZ124*Credit_Assumptions!$G$28+AZ125*Credit_Assumptions!$G$29+AZ126*Credit_Assumptions!$G$30+AZ127*Credit_Assumptions!$G$31+AZ128*Credit_Assumptions!$G$32+AZ129*Credit_Assumptions!$G$33</f>
        <v/>
      </c>
      <c r="BA131" s="80">
        <f>BA124*Credit_Assumptions!$G$28+BA125*Credit_Assumptions!$G$29+BA126*Credit_Assumptions!$G$30+BA127*Credit_Assumptions!$G$31+BA128*Credit_Assumptions!$G$32+BA129*Credit_Assumptions!$G$33</f>
        <v/>
      </c>
      <c r="BB131" s="80">
        <f>BB124*Credit_Assumptions!$G$28+BB125*Credit_Assumptions!$G$29+BB126*Credit_Assumptions!$G$30+BB127*Credit_Assumptions!$G$31+BB128*Credit_Assumptions!$G$32+BB129*Credit_Assumptions!$G$33</f>
        <v/>
      </c>
      <c r="BC131" s="80">
        <f>BC124*Credit_Assumptions!$G$28+BC125*Credit_Assumptions!$G$29+BC126*Credit_Assumptions!$G$30+BC127*Credit_Assumptions!$G$31+BC128*Credit_Assumptions!$G$32+BC129*Credit_Assumptions!$G$33</f>
        <v/>
      </c>
      <c r="BD131" s="80">
        <f>BD124*Credit_Assumptions!$G$28+BD125*Credit_Assumptions!$G$29+BD126*Credit_Assumptions!$G$30+BD127*Credit_Assumptions!$G$31+BD128*Credit_Assumptions!$G$32+BD129*Credit_Assumptions!$G$33</f>
        <v/>
      </c>
      <c r="BE131" s="80">
        <f>BE124*Credit_Assumptions!$G$28+BE125*Credit_Assumptions!$G$29+BE126*Credit_Assumptions!$G$30+BE127*Credit_Assumptions!$G$31+BE128*Credit_Assumptions!$G$32+BE129*Credit_Assumptions!$G$33</f>
        <v/>
      </c>
      <c r="BF131" s="80">
        <f>BF124*Credit_Assumptions!$G$28+BF125*Credit_Assumptions!$G$29+BF126*Credit_Assumptions!$G$30+BF127*Credit_Assumptions!$G$31+BF128*Credit_Assumptions!$G$32+BF129*Credit_Assumptions!$G$33</f>
        <v/>
      </c>
      <c r="BG131" s="80">
        <f>BG124*Credit_Assumptions!$G$28+BG125*Credit_Assumptions!$G$29+BG126*Credit_Assumptions!$G$30+BG127*Credit_Assumptions!$G$31+BG128*Credit_Assumptions!$G$32+BG129*Credit_Assumptions!$G$33</f>
        <v/>
      </c>
      <c r="BH131" s="80">
        <f>BH124*Credit_Assumptions!$G$28+BH125*Credit_Assumptions!$G$29+BH126*Credit_Assumptions!$G$30+BH127*Credit_Assumptions!$G$31+BH128*Credit_Assumptions!$G$32+BH129*Credit_Assumptions!$G$33</f>
        <v/>
      </c>
      <c r="BI131" s="80">
        <f>BI124*Credit_Assumptions!$G$28+BI125*Credit_Assumptions!$G$29+BI126*Credit_Assumptions!$G$30+BI127*Credit_Assumptions!$G$31+BI128*Credit_Assumptions!$G$32+BI129*Credit_Assumptions!$G$33</f>
        <v/>
      </c>
      <c r="BJ131" s="80">
        <f>BJ124*Credit_Assumptions!$G$28+BJ125*Credit_Assumptions!$G$29+BJ126*Credit_Assumptions!$G$30+BJ127*Credit_Assumptions!$G$31+BJ128*Credit_Assumptions!$G$32+BJ129*Credit_Assumptions!$G$33</f>
        <v/>
      </c>
      <c r="BK131" s="80">
        <f>BK124*Credit_Assumptions!$G$28+BK125*Credit_Assumptions!$G$29+BK126*Credit_Assumptions!$G$30+BK127*Credit_Assumptions!$G$31+BK128*Credit_Assumptions!$G$32+BK129*Credit_Assumptions!$G$33</f>
        <v/>
      </c>
      <c r="BL131" s="80">
        <f>BL124*Credit_Assumptions!$G$28+BL125*Credit_Assumptions!$G$29+BL126*Credit_Assumptions!$G$30+BL127*Credit_Assumptions!$G$31+BL128*Credit_Assumptions!$G$32+BL129*Credit_Assumptions!$G$33</f>
        <v/>
      </c>
    </row>
    <row r="132">
      <c r="A132" s="98" t="inlineStr">
        <is>
          <t>90+ DPD receivables</t>
        </is>
      </c>
      <c r="B132" s="65" t="inlineStr">
        <is>
          <t>LCY</t>
        </is>
      </c>
      <c r="C132" s="105">
        <f>BL132</f>
        <v/>
      </c>
      <c r="E132" s="80">
        <f>E124*Credit_Assumptions!$H$28+E125*Credit_Assumptions!$H$29+E126*Credit_Assumptions!$H$30+E127*Credit_Assumptions!$H$31+E128*Credit_Assumptions!$H$32+E129*Credit_Assumptions!$H$33</f>
        <v/>
      </c>
      <c r="F132" s="80">
        <f>F124*Credit_Assumptions!$H$28+F125*Credit_Assumptions!$H$29+F126*Credit_Assumptions!$H$30+F127*Credit_Assumptions!$H$31+F128*Credit_Assumptions!$H$32+F129*Credit_Assumptions!$H$33</f>
        <v/>
      </c>
      <c r="G132" s="80">
        <f>G124*Credit_Assumptions!$H$28+G125*Credit_Assumptions!$H$29+G126*Credit_Assumptions!$H$30+G127*Credit_Assumptions!$H$31+G128*Credit_Assumptions!$H$32+G129*Credit_Assumptions!$H$33</f>
        <v/>
      </c>
      <c r="H132" s="80">
        <f>H124*Credit_Assumptions!$H$28+H125*Credit_Assumptions!$H$29+H126*Credit_Assumptions!$H$30+H127*Credit_Assumptions!$H$31+H128*Credit_Assumptions!$H$32+H129*Credit_Assumptions!$H$33</f>
        <v/>
      </c>
      <c r="I132" s="80">
        <f>I124*Credit_Assumptions!$H$28+I125*Credit_Assumptions!$H$29+I126*Credit_Assumptions!$H$30+I127*Credit_Assumptions!$H$31+I128*Credit_Assumptions!$H$32+I129*Credit_Assumptions!$H$33</f>
        <v/>
      </c>
      <c r="J132" s="80">
        <f>J124*Credit_Assumptions!$H$28+J125*Credit_Assumptions!$H$29+J126*Credit_Assumptions!$H$30+J127*Credit_Assumptions!$H$31+J128*Credit_Assumptions!$H$32+J129*Credit_Assumptions!$H$33</f>
        <v/>
      </c>
      <c r="K132" s="80">
        <f>K124*Credit_Assumptions!$H$28+K125*Credit_Assumptions!$H$29+K126*Credit_Assumptions!$H$30+K127*Credit_Assumptions!$H$31+K128*Credit_Assumptions!$H$32+K129*Credit_Assumptions!$H$33</f>
        <v/>
      </c>
      <c r="L132" s="80">
        <f>L124*Credit_Assumptions!$H$28+L125*Credit_Assumptions!$H$29+L126*Credit_Assumptions!$H$30+L127*Credit_Assumptions!$H$31+L128*Credit_Assumptions!$H$32+L129*Credit_Assumptions!$H$33</f>
        <v/>
      </c>
      <c r="M132" s="80">
        <f>M124*Credit_Assumptions!$H$28+M125*Credit_Assumptions!$H$29+M126*Credit_Assumptions!$H$30+M127*Credit_Assumptions!$H$31+M128*Credit_Assumptions!$H$32+M129*Credit_Assumptions!$H$33</f>
        <v/>
      </c>
      <c r="N132" s="80">
        <f>N124*Credit_Assumptions!$H$28+N125*Credit_Assumptions!$H$29+N126*Credit_Assumptions!$H$30+N127*Credit_Assumptions!$H$31+N128*Credit_Assumptions!$H$32+N129*Credit_Assumptions!$H$33</f>
        <v/>
      </c>
      <c r="O132" s="80">
        <f>O124*Credit_Assumptions!$H$28+O125*Credit_Assumptions!$H$29+O126*Credit_Assumptions!$H$30+O127*Credit_Assumptions!$H$31+O128*Credit_Assumptions!$H$32+O129*Credit_Assumptions!$H$33</f>
        <v/>
      </c>
      <c r="P132" s="80">
        <f>P124*Credit_Assumptions!$H$28+P125*Credit_Assumptions!$H$29+P126*Credit_Assumptions!$H$30+P127*Credit_Assumptions!$H$31+P128*Credit_Assumptions!$H$32+P129*Credit_Assumptions!$H$33</f>
        <v/>
      </c>
      <c r="Q132" s="80">
        <f>Q124*Credit_Assumptions!$H$28+Q125*Credit_Assumptions!$H$29+Q126*Credit_Assumptions!$H$30+Q127*Credit_Assumptions!$H$31+Q128*Credit_Assumptions!$H$32+Q129*Credit_Assumptions!$H$33</f>
        <v/>
      </c>
      <c r="R132" s="80">
        <f>R124*Credit_Assumptions!$H$28+R125*Credit_Assumptions!$H$29+R126*Credit_Assumptions!$H$30+R127*Credit_Assumptions!$H$31+R128*Credit_Assumptions!$H$32+R129*Credit_Assumptions!$H$33</f>
        <v/>
      </c>
      <c r="S132" s="80">
        <f>S124*Credit_Assumptions!$H$28+S125*Credit_Assumptions!$H$29+S126*Credit_Assumptions!$H$30+S127*Credit_Assumptions!$H$31+S128*Credit_Assumptions!$H$32+S129*Credit_Assumptions!$H$33</f>
        <v/>
      </c>
      <c r="T132" s="80">
        <f>T124*Credit_Assumptions!$H$28+T125*Credit_Assumptions!$H$29+T126*Credit_Assumptions!$H$30+T127*Credit_Assumptions!$H$31+T128*Credit_Assumptions!$H$32+T129*Credit_Assumptions!$H$33</f>
        <v/>
      </c>
      <c r="U132" s="80">
        <f>U124*Credit_Assumptions!$H$28+U125*Credit_Assumptions!$H$29+U126*Credit_Assumptions!$H$30+U127*Credit_Assumptions!$H$31+U128*Credit_Assumptions!$H$32+U129*Credit_Assumptions!$H$33</f>
        <v/>
      </c>
      <c r="V132" s="80">
        <f>V124*Credit_Assumptions!$H$28+V125*Credit_Assumptions!$H$29+V126*Credit_Assumptions!$H$30+V127*Credit_Assumptions!$H$31+V128*Credit_Assumptions!$H$32+V129*Credit_Assumptions!$H$33</f>
        <v/>
      </c>
      <c r="W132" s="80">
        <f>W124*Credit_Assumptions!$H$28+W125*Credit_Assumptions!$H$29+W126*Credit_Assumptions!$H$30+W127*Credit_Assumptions!$H$31+W128*Credit_Assumptions!$H$32+W129*Credit_Assumptions!$H$33</f>
        <v/>
      </c>
      <c r="X132" s="80">
        <f>X124*Credit_Assumptions!$H$28+X125*Credit_Assumptions!$H$29+X126*Credit_Assumptions!$H$30+X127*Credit_Assumptions!$H$31+X128*Credit_Assumptions!$H$32+X129*Credit_Assumptions!$H$33</f>
        <v/>
      </c>
      <c r="Y132" s="80">
        <f>Y124*Credit_Assumptions!$H$28+Y125*Credit_Assumptions!$H$29+Y126*Credit_Assumptions!$H$30+Y127*Credit_Assumptions!$H$31+Y128*Credit_Assumptions!$H$32+Y129*Credit_Assumptions!$H$33</f>
        <v/>
      </c>
      <c r="Z132" s="80">
        <f>Z124*Credit_Assumptions!$H$28+Z125*Credit_Assumptions!$H$29+Z126*Credit_Assumptions!$H$30+Z127*Credit_Assumptions!$H$31+Z128*Credit_Assumptions!$H$32+Z129*Credit_Assumptions!$H$33</f>
        <v/>
      </c>
      <c r="AA132" s="80">
        <f>AA124*Credit_Assumptions!$H$28+AA125*Credit_Assumptions!$H$29+AA126*Credit_Assumptions!$H$30+AA127*Credit_Assumptions!$H$31+AA128*Credit_Assumptions!$H$32+AA129*Credit_Assumptions!$H$33</f>
        <v/>
      </c>
      <c r="AB132" s="80">
        <f>AB124*Credit_Assumptions!$H$28+AB125*Credit_Assumptions!$H$29+AB126*Credit_Assumptions!$H$30+AB127*Credit_Assumptions!$H$31+AB128*Credit_Assumptions!$H$32+AB129*Credit_Assumptions!$H$33</f>
        <v/>
      </c>
      <c r="AC132" s="80">
        <f>AC124*Credit_Assumptions!$H$28+AC125*Credit_Assumptions!$H$29+AC126*Credit_Assumptions!$H$30+AC127*Credit_Assumptions!$H$31+AC128*Credit_Assumptions!$H$32+AC129*Credit_Assumptions!$H$33</f>
        <v/>
      </c>
      <c r="AD132" s="80">
        <f>AD124*Credit_Assumptions!$H$28+AD125*Credit_Assumptions!$H$29+AD126*Credit_Assumptions!$H$30+AD127*Credit_Assumptions!$H$31+AD128*Credit_Assumptions!$H$32+AD129*Credit_Assumptions!$H$33</f>
        <v/>
      </c>
      <c r="AE132" s="80">
        <f>AE124*Credit_Assumptions!$H$28+AE125*Credit_Assumptions!$H$29+AE126*Credit_Assumptions!$H$30+AE127*Credit_Assumptions!$H$31+AE128*Credit_Assumptions!$H$32+AE129*Credit_Assumptions!$H$33</f>
        <v/>
      </c>
      <c r="AF132" s="80">
        <f>AF124*Credit_Assumptions!$H$28+AF125*Credit_Assumptions!$H$29+AF126*Credit_Assumptions!$H$30+AF127*Credit_Assumptions!$H$31+AF128*Credit_Assumptions!$H$32+AF129*Credit_Assumptions!$H$33</f>
        <v/>
      </c>
      <c r="AG132" s="80">
        <f>AG124*Credit_Assumptions!$H$28+AG125*Credit_Assumptions!$H$29+AG126*Credit_Assumptions!$H$30+AG127*Credit_Assumptions!$H$31+AG128*Credit_Assumptions!$H$32+AG129*Credit_Assumptions!$H$33</f>
        <v/>
      </c>
      <c r="AH132" s="80">
        <f>AH124*Credit_Assumptions!$H$28+AH125*Credit_Assumptions!$H$29+AH126*Credit_Assumptions!$H$30+AH127*Credit_Assumptions!$H$31+AH128*Credit_Assumptions!$H$32+AH129*Credit_Assumptions!$H$33</f>
        <v/>
      </c>
      <c r="AI132" s="80">
        <f>AI124*Credit_Assumptions!$H$28+AI125*Credit_Assumptions!$H$29+AI126*Credit_Assumptions!$H$30+AI127*Credit_Assumptions!$H$31+AI128*Credit_Assumptions!$H$32+AI129*Credit_Assumptions!$H$33</f>
        <v/>
      </c>
      <c r="AJ132" s="80">
        <f>AJ124*Credit_Assumptions!$H$28+AJ125*Credit_Assumptions!$H$29+AJ126*Credit_Assumptions!$H$30+AJ127*Credit_Assumptions!$H$31+AJ128*Credit_Assumptions!$H$32+AJ129*Credit_Assumptions!$H$33</f>
        <v/>
      </c>
      <c r="AK132" s="80">
        <f>AK124*Credit_Assumptions!$H$28+AK125*Credit_Assumptions!$H$29+AK126*Credit_Assumptions!$H$30+AK127*Credit_Assumptions!$H$31+AK128*Credit_Assumptions!$H$32+AK129*Credit_Assumptions!$H$33</f>
        <v/>
      </c>
      <c r="AL132" s="80">
        <f>AL124*Credit_Assumptions!$H$28+AL125*Credit_Assumptions!$H$29+AL126*Credit_Assumptions!$H$30+AL127*Credit_Assumptions!$H$31+AL128*Credit_Assumptions!$H$32+AL129*Credit_Assumptions!$H$33</f>
        <v/>
      </c>
      <c r="AM132" s="80">
        <f>AM124*Credit_Assumptions!$H$28+AM125*Credit_Assumptions!$H$29+AM126*Credit_Assumptions!$H$30+AM127*Credit_Assumptions!$H$31+AM128*Credit_Assumptions!$H$32+AM129*Credit_Assumptions!$H$33</f>
        <v/>
      </c>
      <c r="AN132" s="80">
        <f>AN124*Credit_Assumptions!$H$28+AN125*Credit_Assumptions!$H$29+AN126*Credit_Assumptions!$H$30+AN127*Credit_Assumptions!$H$31+AN128*Credit_Assumptions!$H$32+AN129*Credit_Assumptions!$H$33</f>
        <v/>
      </c>
      <c r="AO132" s="80">
        <f>AO124*Credit_Assumptions!$H$28+AO125*Credit_Assumptions!$H$29+AO126*Credit_Assumptions!$H$30+AO127*Credit_Assumptions!$H$31+AO128*Credit_Assumptions!$H$32+AO129*Credit_Assumptions!$H$33</f>
        <v/>
      </c>
      <c r="AP132" s="80">
        <f>AP124*Credit_Assumptions!$H$28+AP125*Credit_Assumptions!$H$29+AP126*Credit_Assumptions!$H$30+AP127*Credit_Assumptions!$H$31+AP128*Credit_Assumptions!$H$32+AP129*Credit_Assumptions!$H$33</f>
        <v/>
      </c>
      <c r="AQ132" s="80">
        <f>AQ124*Credit_Assumptions!$H$28+AQ125*Credit_Assumptions!$H$29+AQ126*Credit_Assumptions!$H$30+AQ127*Credit_Assumptions!$H$31+AQ128*Credit_Assumptions!$H$32+AQ129*Credit_Assumptions!$H$33</f>
        <v/>
      </c>
      <c r="AR132" s="80">
        <f>AR124*Credit_Assumptions!$H$28+AR125*Credit_Assumptions!$H$29+AR126*Credit_Assumptions!$H$30+AR127*Credit_Assumptions!$H$31+AR128*Credit_Assumptions!$H$32+AR129*Credit_Assumptions!$H$33</f>
        <v/>
      </c>
      <c r="AS132" s="80">
        <f>AS124*Credit_Assumptions!$H$28+AS125*Credit_Assumptions!$H$29+AS126*Credit_Assumptions!$H$30+AS127*Credit_Assumptions!$H$31+AS128*Credit_Assumptions!$H$32+AS129*Credit_Assumptions!$H$33</f>
        <v/>
      </c>
      <c r="AT132" s="80">
        <f>AT124*Credit_Assumptions!$H$28+AT125*Credit_Assumptions!$H$29+AT126*Credit_Assumptions!$H$30+AT127*Credit_Assumptions!$H$31+AT128*Credit_Assumptions!$H$32+AT129*Credit_Assumptions!$H$33</f>
        <v/>
      </c>
      <c r="AU132" s="80">
        <f>AU124*Credit_Assumptions!$H$28+AU125*Credit_Assumptions!$H$29+AU126*Credit_Assumptions!$H$30+AU127*Credit_Assumptions!$H$31+AU128*Credit_Assumptions!$H$32+AU129*Credit_Assumptions!$H$33</f>
        <v/>
      </c>
      <c r="AV132" s="80">
        <f>AV124*Credit_Assumptions!$H$28+AV125*Credit_Assumptions!$H$29+AV126*Credit_Assumptions!$H$30+AV127*Credit_Assumptions!$H$31+AV128*Credit_Assumptions!$H$32+AV129*Credit_Assumptions!$H$33</f>
        <v/>
      </c>
      <c r="AW132" s="80">
        <f>AW124*Credit_Assumptions!$H$28+AW125*Credit_Assumptions!$H$29+AW126*Credit_Assumptions!$H$30+AW127*Credit_Assumptions!$H$31+AW128*Credit_Assumptions!$H$32+AW129*Credit_Assumptions!$H$33</f>
        <v/>
      </c>
      <c r="AX132" s="80">
        <f>AX124*Credit_Assumptions!$H$28+AX125*Credit_Assumptions!$H$29+AX126*Credit_Assumptions!$H$30+AX127*Credit_Assumptions!$H$31+AX128*Credit_Assumptions!$H$32+AX129*Credit_Assumptions!$H$33</f>
        <v/>
      </c>
      <c r="AY132" s="80">
        <f>AY124*Credit_Assumptions!$H$28+AY125*Credit_Assumptions!$H$29+AY126*Credit_Assumptions!$H$30+AY127*Credit_Assumptions!$H$31+AY128*Credit_Assumptions!$H$32+AY129*Credit_Assumptions!$H$33</f>
        <v/>
      </c>
      <c r="AZ132" s="80">
        <f>AZ124*Credit_Assumptions!$H$28+AZ125*Credit_Assumptions!$H$29+AZ126*Credit_Assumptions!$H$30+AZ127*Credit_Assumptions!$H$31+AZ128*Credit_Assumptions!$H$32+AZ129*Credit_Assumptions!$H$33</f>
        <v/>
      </c>
      <c r="BA132" s="80">
        <f>BA124*Credit_Assumptions!$H$28+BA125*Credit_Assumptions!$H$29+BA126*Credit_Assumptions!$H$30+BA127*Credit_Assumptions!$H$31+BA128*Credit_Assumptions!$H$32+BA129*Credit_Assumptions!$H$33</f>
        <v/>
      </c>
      <c r="BB132" s="80">
        <f>BB124*Credit_Assumptions!$H$28+BB125*Credit_Assumptions!$H$29+BB126*Credit_Assumptions!$H$30+BB127*Credit_Assumptions!$H$31+BB128*Credit_Assumptions!$H$32+BB129*Credit_Assumptions!$H$33</f>
        <v/>
      </c>
      <c r="BC132" s="80">
        <f>BC124*Credit_Assumptions!$H$28+BC125*Credit_Assumptions!$H$29+BC126*Credit_Assumptions!$H$30+BC127*Credit_Assumptions!$H$31+BC128*Credit_Assumptions!$H$32+BC129*Credit_Assumptions!$H$33</f>
        <v/>
      </c>
      <c r="BD132" s="80">
        <f>BD124*Credit_Assumptions!$H$28+BD125*Credit_Assumptions!$H$29+BD126*Credit_Assumptions!$H$30+BD127*Credit_Assumptions!$H$31+BD128*Credit_Assumptions!$H$32+BD129*Credit_Assumptions!$H$33</f>
        <v/>
      </c>
      <c r="BE132" s="80">
        <f>BE124*Credit_Assumptions!$H$28+BE125*Credit_Assumptions!$H$29+BE126*Credit_Assumptions!$H$30+BE127*Credit_Assumptions!$H$31+BE128*Credit_Assumptions!$H$32+BE129*Credit_Assumptions!$H$33</f>
        <v/>
      </c>
      <c r="BF132" s="80">
        <f>BF124*Credit_Assumptions!$H$28+BF125*Credit_Assumptions!$H$29+BF126*Credit_Assumptions!$H$30+BF127*Credit_Assumptions!$H$31+BF128*Credit_Assumptions!$H$32+BF129*Credit_Assumptions!$H$33</f>
        <v/>
      </c>
      <c r="BG132" s="80">
        <f>BG124*Credit_Assumptions!$H$28+BG125*Credit_Assumptions!$H$29+BG126*Credit_Assumptions!$H$30+BG127*Credit_Assumptions!$H$31+BG128*Credit_Assumptions!$H$32+BG129*Credit_Assumptions!$H$33</f>
        <v/>
      </c>
      <c r="BH132" s="80">
        <f>BH124*Credit_Assumptions!$H$28+BH125*Credit_Assumptions!$H$29+BH126*Credit_Assumptions!$H$30+BH127*Credit_Assumptions!$H$31+BH128*Credit_Assumptions!$H$32+BH129*Credit_Assumptions!$H$33</f>
        <v/>
      </c>
      <c r="BI132" s="80">
        <f>BI124*Credit_Assumptions!$H$28+BI125*Credit_Assumptions!$H$29+BI126*Credit_Assumptions!$H$30+BI127*Credit_Assumptions!$H$31+BI128*Credit_Assumptions!$H$32+BI129*Credit_Assumptions!$H$33</f>
        <v/>
      </c>
      <c r="BJ132" s="80">
        <f>BJ124*Credit_Assumptions!$H$28+BJ125*Credit_Assumptions!$H$29+BJ126*Credit_Assumptions!$H$30+BJ127*Credit_Assumptions!$H$31+BJ128*Credit_Assumptions!$H$32+BJ129*Credit_Assumptions!$H$33</f>
        <v/>
      </c>
      <c r="BK132" s="80">
        <f>BK124*Credit_Assumptions!$H$28+BK125*Credit_Assumptions!$H$29+BK126*Credit_Assumptions!$H$30+BK127*Credit_Assumptions!$H$31+BK128*Credit_Assumptions!$H$32+BK129*Credit_Assumptions!$H$33</f>
        <v/>
      </c>
      <c r="BL132" s="80">
        <f>BL124*Credit_Assumptions!$H$28+BL125*Credit_Assumptions!$H$29+BL126*Credit_Assumptions!$H$30+BL127*Credit_Assumptions!$H$31+BL128*Credit_Assumptions!$H$32+BL129*Credit_Assumptions!$H$33</f>
        <v/>
      </c>
    </row>
    <row r="133">
      <c r="A133" s="98" t="inlineStr">
        <is>
          <t>Gross resale proceeds</t>
        </is>
      </c>
      <c r="B133" s="65" t="inlineStr">
        <is>
          <t>LCY</t>
        </is>
      </c>
      <c r="C133" s="105">
        <f>SUM(E133:BL133)</f>
        <v/>
      </c>
      <c r="E133" s="80">
        <f>IF(Credit_Assumptions!$C$15&gt;=1,0,Ops!E$69/(1-Credit_Assumptions!$C$15))</f>
        <v/>
      </c>
      <c r="F133" s="80">
        <f>IF(Credit_Assumptions!$C$15&gt;=1,0,Ops!F$69/(1-Credit_Assumptions!$C$15))</f>
        <v/>
      </c>
      <c r="G133" s="80">
        <f>IF(Credit_Assumptions!$C$15&gt;=1,0,Ops!G$69/(1-Credit_Assumptions!$C$15))</f>
        <v/>
      </c>
      <c r="H133" s="80">
        <f>IF(Credit_Assumptions!$C$15&gt;=1,0,Ops!H$69/(1-Credit_Assumptions!$C$15))</f>
        <v/>
      </c>
      <c r="I133" s="80">
        <f>IF(Credit_Assumptions!$C$15&gt;=1,0,Ops!I$69/(1-Credit_Assumptions!$C$15))</f>
        <v/>
      </c>
      <c r="J133" s="80">
        <f>IF(Credit_Assumptions!$C$15&gt;=1,0,Ops!J$69/(1-Credit_Assumptions!$C$15))</f>
        <v/>
      </c>
      <c r="K133" s="80">
        <f>IF(Credit_Assumptions!$C$15&gt;=1,0,Ops!K$69/(1-Credit_Assumptions!$C$15))</f>
        <v/>
      </c>
      <c r="L133" s="80">
        <f>IF(Credit_Assumptions!$C$15&gt;=1,0,Ops!L$69/(1-Credit_Assumptions!$C$15))</f>
        <v/>
      </c>
      <c r="M133" s="80">
        <f>IF(Credit_Assumptions!$C$15&gt;=1,0,Ops!M$69/(1-Credit_Assumptions!$C$15))</f>
        <v/>
      </c>
      <c r="N133" s="80">
        <f>IF(Credit_Assumptions!$C$15&gt;=1,0,Ops!N$69/(1-Credit_Assumptions!$C$15))</f>
        <v/>
      </c>
      <c r="O133" s="80">
        <f>IF(Credit_Assumptions!$C$15&gt;=1,0,Ops!O$69/(1-Credit_Assumptions!$C$15))</f>
        <v/>
      </c>
      <c r="P133" s="80">
        <f>IF(Credit_Assumptions!$C$15&gt;=1,0,Ops!P$69/(1-Credit_Assumptions!$C$15))</f>
        <v/>
      </c>
      <c r="Q133" s="80">
        <f>IF(Credit_Assumptions!$C$15&gt;=1,0,Ops!Q$69/(1-Credit_Assumptions!$C$15))</f>
        <v/>
      </c>
      <c r="R133" s="80">
        <f>IF(Credit_Assumptions!$C$15&gt;=1,0,Ops!R$69/(1-Credit_Assumptions!$C$15))</f>
        <v/>
      </c>
      <c r="S133" s="80">
        <f>IF(Credit_Assumptions!$C$15&gt;=1,0,Ops!S$69/(1-Credit_Assumptions!$C$15))</f>
        <v/>
      </c>
      <c r="T133" s="80">
        <f>IF(Credit_Assumptions!$C$15&gt;=1,0,Ops!T$69/(1-Credit_Assumptions!$C$15))</f>
        <v/>
      </c>
      <c r="U133" s="80">
        <f>IF(Credit_Assumptions!$C$15&gt;=1,0,Ops!U$69/(1-Credit_Assumptions!$C$15))</f>
        <v/>
      </c>
      <c r="V133" s="80">
        <f>IF(Credit_Assumptions!$C$15&gt;=1,0,Ops!V$69/(1-Credit_Assumptions!$C$15))</f>
        <v/>
      </c>
      <c r="W133" s="80">
        <f>IF(Credit_Assumptions!$C$15&gt;=1,0,Ops!W$69/(1-Credit_Assumptions!$C$15))</f>
        <v/>
      </c>
      <c r="X133" s="80">
        <f>IF(Credit_Assumptions!$C$15&gt;=1,0,Ops!X$69/(1-Credit_Assumptions!$C$15))</f>
        <v/>
      </c>
      <c r="Y133" s="80">
        <f>IF(Credit_Assumptions!$C$15&gt;=1,0,Ops!Y$69/(1-Credit_Assumptions!$C$15))</f>
        <v/>
      </c>
      <c r="Z133" s="80">
        <f>IF(Credit_Assumptions!$C$15&gt;=1,0,Ops!Z$69/(1-Credit_Assumptions!$C$15))</f>
        <v/>
      </c>
      <c r="AA133" s="80">
        <f>IF(Credit_Assumptions!$C$15&gt;=1,0,Ops!AA$69/(1-Credit_Assumptions!$C$15))</f>
        <v/>
      </c>
      <c r="AB133" s="80">
        <f>IF(Credit_Assumptions!$C$15&gt;=1,0,Ops!AB$69/(1-Credit_Assumptions!$C$15))</f>
        <v/>
      </c>
      <c r="AC133" s="80">
        <f>IF(Credit_Assumptions!$C$15&gt;=1,0,Ops!AC$69/(1-Credit_Assumptions!$C$15))</f>
        <v/>
      </c>
      <c r="AD133" s="80">
        <f>IF(Credit_Assumptions!$C$15&gt;=1,0,Ops!AD$69/(1-Credit_Assumptions!$C$15))</f>
        <v/>
      </c>
      <c r="AE133" s="80">
        <f>IF(Credit_Assumptions!$C$15&gt;=1,0,Ops!AE$69/(1-Credit_Assumptions!$C$15))</f>
        <v/>
      </c>
      <c r="AF133" s="80">
        <f>IF(Credit_Assumptions!$C$15&gt;=1,0,Ops!AF$69/(1-Credit_Assumptions!$C$15))</f>
        <v/>
      </c>
      <c r="AG133" s="80">
        <f>IF(Credit_Assumptions!$C$15&gt;=1,0,Ops!AG$69/(1-Credit_Assumptions!$C$15))</f>
        <v/>
      </c>
      <c r="AH133" s="80">
        <f>IF(Credit_Assumptions!$C$15&gt;=1,0,Ops!AH$69/(1-Credit_Assumptions!$C$15))</f>
        <v/>
      </c>
      <c r="AI133" s="80">
        <f>IF(Credit_Assumptions!$C$15&gt;=1,0,Ops!AI$69/(1-Credit_Assumptions!$C$15))</f>
        <v/>
      </c>
      <c r="AJ133" s="80">
        <f>IF(Credit_Assumptions!$C$15&gt;=1,0,Ops!AJ$69/(1-Credit_Assumptions!$C$15))</f>
        <v/>
      </c>
      <c r="AK133" s="80">
        <f>IF(Credit_Assumptions!$C$15&gt;=1,0,Ops!AK$69/(1-Credit_Assumptions!$C$15))</f>
        <v/>
      </c>
      <c r="AL133" s="80">
        <f>IF(Credit_Assumptions!$C$15&gt;=1,0,Ops!AL$69/(1-Credit_Assumptions!$C$15))</f>
        <v/>
      </c>
      <c r="AM133" s="80">
        <f>IF(Credit_Assumptions!$C$15&gt;=1,0,Ops!AM$69/(1-Credit_Assumptions!$C$15))</f>
        <v/>
      </c>
      <c r="AN133" s="80">
        <f>IF(Credit_Assumptions!$C$15&gt;=1,0,Ops!AN$69/(1-Credit_Assumptions!$C$15))</f>
        <v/>
      </c>
      <c r="AO133" s="80">
        <f>IF(Credit_Assumptions!$C$15&gt;=1,0,Ops!AO$69/(1-Credit_Assumptions!$C$15))</f>
        <v/>
      </c>
      <c r="AP133" s="80">
        <f>IF(Credit_Assumptions!$C$15&gt;=1,0,Ops!AP$69/(1-Credit_Assumptions!$C$15))</f>
        <v/>
      </c>
      <c r="AQ133" s="80">
        <f>IF(Credit_Assumptions!$C$15&gt;=1,0,Ops!AQ$69/(1-Credit_Assumptions!$C$15))</f>
        <v/>
      </c>
      <c r="AR133" s="80">
        <f>IF(Credit_Assumptions!$C$15&gt;=1,0,Ops!AR$69/(1-Credit_Assumptions!$C$15))</f>
        <v/>
      </c>
      <c r="AS133" s="80">
        <f>IF(Credit_Assumptions!$C$15&gt;=1,0,Ops!AS$69/(1-Credit_Assumptions!$C$15))</f>
        <v/>
      </c>
      <c r="AT133" s="80">
        <f>IF(Credit_Assumptions!$C$15&gt;=1,0,Ops!AT$69/(1-Credit_Assumptions!$C$15))</f>
        <v/>
      </c>
      <c r="AU133" s="80">
        <f>IF(Credit_Assumptions!$C$15&gt;=1,0,Ops!AU$69/(1-Credit_Assumptions!$C$15))</f>
        <v/>
      </c>
      <c r="AV133" s="80">
        <f>IF(Credit_Assumptions!$C$15&gt;=1,0,Ops!AV$69/(1-Credit_Assumptions!$C$15))</f>
        <v/>
      </c>
      <c r="AW133" s="80">
        <f>IF(Credit_Assumptions!$C$15&gt;=1,0,Ops!AW$69/(1-Credit_Assumptions!$C$15))</f>
        <v/>
      </c>
      <c r="AX133" s="80">
        <f>IF(Credit_Assumptions!$C$15&gt;=1,0,Ops!AX$69/(1-Credit_Assumptions!$C$15))</f>
        <v/>
      </c>
      <c r="AY133" s="80">
        <f>IF(Credit_Assumptions!$C$15&gt;=1,0,Ops!AY$69/(1-Credit_Assumptions!$C$15))</f>
        <v/>
      </c>
      <c r="AZ133" s="80">
        <f>IF(Credit_Assumptions!$C$15&gt;=1,0,Ops!AZ$69/(1-Credit_Assumptions!$C$15))</f>
        <v/>
      </c>
      <c r="BA133" s="80">
        <f>IF(Credit_Assumptions!$C$15&gt;=1,0,Ops!BA$69/(1-Credit_Assumptions!$C$15))</f>
        <v/>
      </c>
      <c r="BB133" s="80">
        <f>IF(Credit_Assumptions!$C$15&gt;=1,0,Ops!BB$69/(1-Credit_Assumptions!$C$15))</f>
        <v/>
      </c>
      <c r="BC133" s="80">
        <f>IF(Credit_Assumptions!$C$15&gt;=1,0,Ops!BC$69/(1-Credit_Assumptions!$C$15))</f>
        <v/>
      </c>
      <c r="BD133" s="80">
        <f>IF(Credit_Assumptions!$C$15&gt;=1,0,Ops!BD$69/(1-Credit_Assumptions!$C$15))</f>
        <v/>
      </c>
      <c r="BE133" s="80">
        <f>IF(Credit_Assumptions!$C$15&gt;=1,0,Ops!BE$69/(1-Credit_Assumptions!$C$15))</f>
        <v/>
      </c>
      <c r="BF133" s="80">
        <f>IF(Credit_Assumptions!$C$15&gt;=1,0,Ops!BF$69/(1-Credit_Assumptions!$C$15))</f>
        <v/>
      </c>
      <c r="BG133" s="80">
        <f>IF(Credit_Assumptions!$C$15&gt;=1,0,Ops!BG$69/(1-Credit_Assumptions!$C$15))</f>
        <v/>
      </c>
      <c r="BH133" s="80">
        <f>IF(Credit_Assumptions!$C$15&gt;=1,0,Ops!BH$69/(1-Credit_Assumptions!$C$15))</f>
        <v/>
      </c>
      <c r="BI133" s="80">
        <f>IF(Credit_Assumptions!$C$15&gt;=1,0,Ops!BI$69/(1-Credit_Assumptions!$C$15))</f>
        <v/>
      </c>
      <c r="BJ133" s="80">
        <f>IF(Credit_Assumptions!$C$15&gt;=1,0,Ops!BJ$69/(1-Credit_Assumptions!$C$15))</f>
        <v/>
      </c>
      <c r="BK133" s="80">
        <f>IF(Credit_Assumptions!$C$15&gt;=1,0,Ops!BK$69/(1-Credit_Assumptions!$C$15))</f>
        <v/>
      </c>
      <c r="BL133" s="80">
        <f>IF(Credit_Assumptions!$C$15&gt;=1,0,Ops!BL$69/(1-Credit_Assumptions!$C$15))</f>
        <v/>
      </c>
    </row>
    <row r="134">
      <c r="A134" s="98" t="inlineStr">
        <is>
          <t>Recovery costs</t>
        </is>
      </c>
      <c r="B134" s="65" t="inlineStr">
        <is>
          <t>LCY</t>
        </is>
      </c>
      <c r="C134" s="105">
        <f>SUM(E134:BL134)</f>
        <v/>
      </c>
      <c r="E134" s="80">
        <f>E133-Ops!E$69</f>
        <v/>
      </c>
      <c r="F134" s="80">
        <f>F133-Ops!F$69</f>
        <v/>
      </c>
      <c r="G134" s="80">
        <f>G133-Ops!G$69</f>
        <v/>
      </c>
      <c r="H134" s="80">
        <f>H133-Ops!H$69</f>
        <v/>
      </c>
      <c r="I134" s="80">
        <f>I133-Ops!I$69</f>
        <v/>
      </c>
      <c r="J134" s="80">
        <f>J133-Ops!J$69</f>
        <v/>
      </c>
      <c r="K134" s="80">
        <f>K133-Ops!K$69</f>
        <v/>
      </c>
      <c r="L134" s="80">
        <f>L133-Ops!L$69</f>
        <v/>
      </c>
      <c r="M134" s="80">
        <f>M133-Ops!M$69</f>
        <v/>
      </c>
      <c r="N134" s="80">
        <f>N133-Ops!N$69</f>
        <v/>
      </c>
      <c r="O134" s="80">
        <f>O133-Ops!O$69</f>
        <v/>
      </c>
      <c r="P134" s="80">
        <f>P133-Ops!P$69</f>
        <v/>
      </c>
      <c r="Q134" s="80">
        <f>Q133-Ops!Q$69</f>
        <v/>
      </c>
      <c r="R134" s="80">
        <f>R133-Ops!R$69</f>
        <v/>
      </c>
      <c r="S134" s="80">
        <f>S133-Ops!S$69</f>
        <v/>
      </c>
      <c r="T134" s="80">
        <f>T133-Ops!T$69</f>
        <v/>
      </c>
      <c r="U134" s="80">
        <f>U133-Ops!U$69</f>
        <v/>
      </c>
      <c r="V134" s="80">
        <f>V133-Ops!V$69</f>
        <v/>
      </c>
      <c r="W134" s="80">
        <f>W133-Ops!W$69</f>
        <v/>
      </c>
      <c r="X134" s="80">
        <f>X133-Ops!X$69</f>
        <v/>
      </c>
      <c r="Y134" s="80">
        <f>Y133-Ops!Y$69</f>
        <v/>
      </c>
      <c r="Z134" s="80">
        <f>Z133-Ops!Z$69</f>
        <v/>
      </c>
      <c r="AA134" s="80">
        <f>AA133-Ops!AA$69</f>
        <v/>
      </c>
      <c r="AB134" s="80">
        <f>AB133-Ops!AB$69</f>
        <v/>
      </c>
      <c r="AC134" s="80">
        <f>AC133-Ops!AC$69</f>
        <v/>
      </c>
      <c r="AD134" s="80">
        <f>AD133-Ops!AD$69</f>
        <v/>
      </c>
      <c r="AE134" s="80">
        <f>AE133-Ops!AE$69</f>
        <v/>
      </c>
      <c r="AF134" s="80">
        <f>AF133-Ops!AF$69</f>
        <v/>
      </c>
      <c r="AG134" s="80">
        <f>AG133-Ops!AG$69</f>
        <v/>
      </c>
      <c r="AH134" s="80">
        <f>AH133-Ops!AH$69</f>
        <v/>
      </c>
      <c r="AI134" s="80">
        <f>AI133-Ops!AI$69</f>
        <v/>
      </c>
      <c r="AJ134" s="80">
        <f>AJ133-Ops!AJ$69</f>
        <v/>
      </c>
      <c r="AK134" s="80">
        <f>AK133-Ops!AK$69</f>
        <v/>
      </c>
      <c r="AL134" s="80">
        <f>AL133-Ops!AL$69</f>
        <v/>
      </c>
      <c r="AM134" s="80">
        <f>AM133-Ops!AM$69</f>
        <v/>
      </c>
      <c r="AN134" s="80">
        <f>AN133-Ops!AN$69</f>
        <v/>
      </c>
      <c r="AO134" s="80">
        <f>AO133-Ops!AO$69</f>
        <v/>
      </c>
      <c r="AP134" s="80">
        <f>AP133-Ops!AP$69</f>
        <v/>
      </c>
      <c r="AQ134" s="80">
        <f>AQ133-Ops!AQ$69</f>
        <v/>
      </c>
      <c r="AR134" s="80">
        <f>AR133-Ops!AR$69</f>
        <v/>
      </c>
      <c r="AS134" s="80">
        <f>AS133-Ops!AS$69</f>
        <v/>
      </c>
      <c r="AT134" s="80">
        <f>AT133-Ops!AT$69</f>
        <v/>
      </c>
      <c r="AU134" s="80">
        <f>AU133-Ops!AU$69</f>
        <v/>
      </c>
      <c r="AV134" s="80">
        <f>AV133-Ops!AV$69</f>
        <v/>
      </c>
      <c r="AW134" s="80">
        <f>AW133-Ops!AW$69</f>
        <v/>
      </c>
      <c r="AX134" s="80">
        <f>AX133-Ops!AX$69</f>
        <v/>
      </c>
      <c r="AY134" s="80">
        <f>AY133-Ops!AY$69</f>
        <v/>
      </c>
      <c r="AZ134" s="80">
        <f>AZ133-Ops!AZ$69</f>
        <v/>
      </c>
      <c r="BA134" s="80">
        <f>BA133-Ops!BA$69</f>
        <v/>
      </c>
      <c r="BB134" s="80">
        <f>BB133-Ops!BB$69</f>
        <v/>
      </c>
      <c r="BC134" s="80">
        <f>BC133-Ops!BC$69</f>
        <v/>
      </c>
      <c r="BD134" s="80">
        <f>BD133-Ops!BD$69</f>
        <v/>
      </c>
      <c r="BE134" s="80">
        <f>BE133-Ops!BE$69</f>
        <v/>
      </c>
      <c r="BF134" s="80">
        <f>BF133-Ops!BF$69</f>
        <v/>
      </c>
      <c r="BG134" s="80">
        <f>BG133-Ops!BG$69</f>
        <v/>
      </c>
      <c r="BH134" s="80">
        <f>BH133-Ops!BH$69</f>
        <v/>
      </c>
      <c r="BI134" s="80">
        <f>BI133-Ops!BI$69</f>
        <v/>
      </c>
      <c r="BJ134" s="80">
        <f>BJ133-Ops!BJ$69</f>
        <v/>
      </c>
      <c r="BK134" s="80">
        <f>BK133-Ops!BK$69</f>
        <v/>
      </c>
      <c r="BL134" s="80">
        <f>BL133-Ops!BL$69</f>
        <v/>
      </c>
    </row>
    <row r="135">
      <c r="A135" s="98" t="inlineStr">
        <is>
          <t>Repossessions (units, approx.)</t>
        </is>
      </c>
      <c r="B135" s="65" t="inlineStr">
        <is>
          <t>LCY</t>
        </is>
      </c>
      <c r="C135" s="105">
        <f>SUM(E135:BL135)</f>
        <v/>
      </c>
      <c r="E135" s="80">
        <f>IFERROR(E133/(Products!$E$28*Products!$E$13*Timeline!E$10),0)</f>
        <v/>
      </c>
      <c r="F135" s="80">
        <f>IFERROR(F133/(Products!$E$28*Products!$E$13*Timeline!F$10),0)</f>
        <v/>
      </c>
      <c r="G135" s="80">
        <f>IFERROR(G133/(Products!$E$28*Products!$E$13*Timeline!G$10),0)</f>
        <v/>
      </c>
      <c r="H135" s="80">
        <f>IFERROR(H133/(Products!$E$28*Products!$E$13*Timeline!H$10),0)</f>
        <v/>
      </c>
      <c r="I135" s="80">
        <f>IFERROR(I133/(Products!$E$28*Products!$E$13*Timeline!I$10),0)</f>
        <v/>
      </c>
      <c r="J135" s="80">
        <f>IFERROR(J133/(Products!$E$28*Products!$E$13*Timeline!J$10),0)</f>
        <v/>
      </c>
      <c r="K135" s="80">
        <f>IFERROR(K133/(Products!$E$28*Products!$E$13*Timeline!K$10),0)</f>
        <v/>
      </c>
      <c r="L135" s="80">
        <f>IFERROR(L133/(Products!$E$28*Products!$E$13*Timeline!L$10),0)</f>
        <v/>
      </c>
      <c r="M135" s="80">
        <f>IFERROR(M133/(Products!$E$28*Products!$E$13*Timeline!M$10),0)</f>
        <v/>
      </c>
      <c r="N135" s="80">
        <f>IFERROR(N133/(Products!$E$28*Products!$E$13*Timeline!N$10),0)</f>
        <v/>
      </c>
      <c r="O135" s="80">
        <f>IFERROR(O133/(Products!$E$28*Products!$E$13*Timeline!O$10),0)</f>
        <v/>
      </c>
      <c r="P135" s="80">
        <f>IFERROR(P133/(Products!$E$28*Products!$E$13*Timeline!P$10),0)</f>
        <v/>
      </c>
      <c r="Q135" s="80">
        <f>IFERROR(Q133/(Products!$E$28*Products!$E$13*Timeline!Q$10),0)</f>
        <v/>
      </c>
      <c r="R135" s="80">
        <f>IFERROR(R133/(Products!$E$28*Products!$E$13*Timeline!R$10),0)</f>
        <v/>
      </c>
      <c r="S135" s="80">
        <f>IFERROR(S133/(Products!$E$28*Products!$E$13*Timeline!S$10),0)</f>
        <v/>
      </c>
      <c r="T135" s="80">
        <f>IFERROR(T133/(Products!$E$28*Products!$E$13*Timeline!T$10),0)</f>
        <v/>
      </c>
      <c r="U135" s="80">
        <f>IFERROR(U133/(Products!$E$28*Products!$E$13*Timeline!U$10),0)</f>
        <v/>
      </c>
      <c r="V135" s="80">
        <f>IFERROR(V133/(Products!$E$28*Products!$E$13*Timeline!V$10),0)</f>
        <v/>
      </c>
      <c r="W135" s="80">
        <f>IFERROR(W133/(Products!$E$28*Products!$E$13*Timeline!W$10),0)</f>
        <v/>
      </c>
      <c r="X135" s="80">
        <f>IFERROR(X133/(Products!$E$28*Products!$E$13*Timeline!X$10),0)</f>
        <v/>
      </c>
      <c r="Y135" s="80">
        <f>IFERROR(Y133/(Products!$E$28*Products!$E$13*Timeline!Y$10),0)</f>
        <v/>
      </c>
      <c r="Z135" s="80">
        <f>IFERROR(Z133/(Products!$E$28*Products!$E$13*Timeline!Z$10),0)</f>
        <v/>
      </c>
      <c r="AA135" s="80">
        <f>IFERROR(AA133/(Products!$E$28*Products!$E$13*Timeline!AA$10),0)</f>
        <v/>
      </c>
      <c r="AB135" s="80">
        <f>IFERROR(AB133/(Products!$E$28*Products!$E$13*Timeline!AB$10),0)</f>
        <v/>
      </c>
      <c r="AC135" s="80">
        <f>IFERROR(AC133/(Products!$E$28*Products!$E$13*Timeline!AC$10),0)</f>
        <v/>
      </c>
      <c r="AD135" s="80">
        <f>IFERROR(AD133/(Products!$E$28*Products!$E$13*Timeline!AD$10),0)</f>
        <v/>
      </c>
      <c r="AE135" s="80">
        <f>IFERROR(AE133/(Products!$E$28*Products!$E$13*Timeline!AE$10),0)</f>
        <v/>
      </c>
      <c r="AF135" s="80">
        <f>IFERROR(AF133/(Products!$E$28*Products!$E$13*Timeline!AF$10),0)</f>
        <v/>
      </c>
      <c r="AG135" s="80">
        <f>IFERROR(AG133/(Products!$E$28*Products!$E$13*Timeline!AG$10),0)</f>
        <v/>
      </c>
      <c r="AH135" s="80">
        <f>IFERROR(AH133/(Products!$E$28*Products!$E$13*Timeline!AH$10),0)</f>
        <v/>
      </c>
      <c r="AI135" s="80">
        <f>IFERROR(AI133/(Products!$E$28*Products!$E$13*Timeline!AI$10),0)</f>
        <v/>
      </c>
      <c r="AJ135" s="80">
        <f>IFERROR(AJ133/(Products!$E$28*Products!$E$13*Timeline!AJ$10),0)</f>
        <v/>
      </c>
      <c r="AK135" s="80">
        <f>IFERROR(AK133/(Products!$E$28*Products!$E$13*Timeline!AK$10),0)</f>
        <v/>
      </c>
      <c r="AL135" s="80">
        <f>IFERROR(AL133/(Products!$E$28*Products!$E$13*Timeline!AL$10),0)</f>
        <v/>
      </c>
      <c r="AM135" s="80">
        <f>IFERROR(AM133/(Products!$E$28*Products!$E$13*Timeline!AM$10),0)</f>
        <v/>
      </c>
      <c r="AN135" s="80">
        <f>IFERROR(AN133/(Products!$E$28*Products!$E$13*Timeline!AN$10),0)</f>
        <v/>
      </c>
      <c r="AO135" s="80">
        <f>IFERROR(AO133/(Products!$E$28*Products!$E$13*Timeline!AO$10),0)</f>
        <v/>
      </c>
      <c r="AP135" s="80">
        <f>IFERROR(AP133/(Products!$E$28*Products!$E$13*Timeline!AP$10),0)</f>
        <v/>
      </c>
      <c r="AQ135" s="80">
        <f>IFERROR(AQ133/(Products!$E$28*Products!$E$13*Timeline!AQ$10),0)</f>
        <v/>
      </c>
      <c r="AR135" s="80">
        <f>IFERROR(AR133/(Products!$E$28*Products!$E$13*Timeline!AR$10),0)</f>
        <v/>
      </c>
      <c r="AS135" s="80">
        <f>IFERROR(AS133/(Products!$E$28*Products!$E$13*Timeline!AS$10),0)</f>
        <v/>
      </c>
      <c r="AT135" s="80">
        <f>IFERROR(AT133/(Products!$E$28*Products!$E$13*Timeline!AT$10),0)</f>
        <v/>
      </c>
      <c r="AU135" s="80">
        <f>IFERROR(AU133/(Products!$E$28*Products!$E$13*Timeline!AU$10),0)</f>
        <v/>
      </c>
      <c r="AV135" s="80">
        <f>IFERROR(AV133/(Products!$E$28*Products!$E$13*Timeline!AV$10),0)</f>
        <v/>
      </c>
      <c r="AW135" s="80">
        <f>IFERROR(AW133/(Products!$E$28*Products!$E$13*Timeline!AW$10),0)</f>
        <v/>
      </c>
      <c r="AX135" s="80">
        <f>IFERROR(AX133/(Products!$E$28*Products!$E$13*Timeline!AX$10),0)</f>
        <v/>
      </c>
      <c r="AY135" s="80">
        <f>IFERROR(AY133/(Products!$E$28*Products!$E$13*Timeline!AY$10),0)</f>
        <v/>
      </c>
      <c r="AZ135" s="80">
        <f>IFERROR(AZ133/(Products!$E$28*Products!$E$13*Timeline!AZ$10),0)</f>
        <v/>
      </c>
      <c r="BA135" s="80">
        <f>IFERROR(BA133/(Products!$E$28*Products!$E$13*Timeline!BA$10),0)</f>
        <v/>
      </c>
      <c r="BB135" s="80">
        <f>IFERROR(BB133/(Products!$E$28*Products!$E$13*Timeline!BB$10),0)</f>
        <v/>
      </c>
      <c r="BC135" s="80">
        <f>IFERROR(BC133/(Products!$E$28*Products!$E$13*Timeline!BC$10),0)</f>
        <v/>
      </c>
      <c r="BD135" s="80">
        <f>IFERROR(BD133/(Products!$E$28*Products!$E$13*Timeline!BD$10),0)</f>
        <v/>
      </c>
      <c r="BE135" s="80">
        <f>IFERROR(BE133/(Products!$E$28*Products!$E$13*Timeline!BE$10),0)</f>
        <v/>
      </c>
      <c r="BF135" s="80">
        <f>IFERROR(BF133/(Products!$E$28*Products!$E$13*Timeline!BF$10),0)</f>
        <v/>
      </c>
      <c r="BG135" s="80">
        <f>IFERROR(BG133/(Products!$E$28*Products!$E$13*Timeline!BG$10),0)</f>
        <v/>
      </c>
      <c r="BH135" s="80">
        <f>IFERROR(BH133/(Products!$E$28*Products!$E$13*Timeline!BH$10),0)</f>
        <v/>
      </c>
      <c r="BI135" s="80">
        <f>IFERROR(BI133/(Products!$E$28*Products!$E$13*Timeline!BI$10),0)</f>
        <v/>
      </c>
      <c r="BJ135" s="80">
        <f>IFERROR(BJ133/(Products!$E$28*Products!$E$13*Timeline!BJ$10),0)</f>
        <v/>
      </c>
      <c r="BK135" s="80">
        <f>IFERROR(BK133/(Products!$E$28*Products!$E$13*Timeline!BK$10),0)</f>
        <v/>
      </c>
      <c r="BL135" s="80">
        <f>IFERROR(BL133/(Products!$E$28*Products!$E$13*Timeline!BL$10),0)</f>
        <v/>
      </c>
    </row>
    <row r="136">
      <c r="A136" s="98" t="inlineStr">
        <is>
          <t>Cures (proxy engine: none)</t>
        </is>
      </c>
      <c r="B136" s="65" t="inlineStr">
        <is>
          <t>LCY</t>
        </is>
      </c>
      <c r="C136" s="105">
        <f>SUM(E136:BL136)</f>
        <v/>
      </c>
      <c r="E136" s="80">
        <f>0</f>
        <v/>
      </c>
      <c r="F136" s="80">
        <f>0</f>
        <v/>
      </c>
      <c r="G136" s="80">
        <f>0</f>
        <v/>
      </c>
      <c r="H136" s="80">
        <f>0</f>
        <v/>
      </c>
      <c r="I136" s="80">
        <f>0</f>
        <v/>
      </c>
      <c r="J136" s="80">
        <f>0</f>
        <v/>
      </c>
      <c r="K136" s="80">
        <f>0</f>
        <v/>
      </c>
      <c r="L136" s="80">
        <f>0</f>
        <v/>
      </c>
      <c r="M136" s="80">
        <f>0</f>
        <v/>
      </c>
      <c r="N136" s="80">
        <f>0</f>
        <v/>
      </c>
      <c r="O136" s="80">
        <f>0</f>
        <v/>
      </c>
      <c r="P136" s="80">
        <f>0</f>
        <v/>
      </c>
      <c r="Q136" s="80">
        <f>0</f>
        <v/>
      </c>
      <c r="R136" s="80">
        <f>0</f>
        <v/>
      </c>
      <c r="S136" s="80">
        <f>0</f>
        <v/>
      </c>
      <c r="T136" s="80">
        <f>0</f>
        <v/>
      </c>
      <c r="U136" s="80">
        <f>0</f>
        <v/>
      </c>
      <c r="V136" s="80">
        <f>0</f>
        <v/>
      </c>
      <c r="W136" s="80">
        <f>0</f>
        <v/>
      </c>
      <c r="X136" s="80">
        <f>0</f>
        <v/>
      </c>
      <c r="Y136" s="80">
        <f>0</f>
        <v/>
      </c>
      <c r="Z136" s="80">
        <f>0</f>
        <v/>
      </c>
      <c r="AA136" s="80">
        <f>0</f>
        <v/>
      </c>
      <c r="AB136" s="80">
        <f>0</f>
        <v/>
      </c>
      <c r="AC136" s="80">
        <f>0</f>
        <v/>
      </c>
      <c r="AD136" s="80">
        <f>0</f>
        <v/>
      </c>
      <c r="AE136" s="80">
        <f>0</f>
        <v/>
      </c>
      <c r="AF136" s="80">
        <f>0</f>
        <v/>
      </c>
      <c r="AG136" s="80">
        <f>0</f>
        <v/>
      </c>
      <c r="AH136" s="80">
        <f>0</f>
        <v/>
      </c>
      <c r="AI136" s="80">
        <f>0</f>
        <v/>
      </c>
      <c r="AJ136" s="80">
        <f>0</f>
        <v/>
      </c>
      <c r="AK136" s="80">
        <f>0</f>
        <v/>
      </c>
      <c r="AL136" s="80">
        <f>0</f>
        <v/>
      </c>
      <c r="AM136" s="80">
        <f>0</f>
        <v/>
      </c>
      <c r="AN136" s="80">
        <f>0</f>
        <v/>
      </c>
      <c r="AO136" s="80">
        <f>0</f>
        <v/>
      </c>
      <c r="AP136" s="80">
        <f>0</f>
        <v/>
      </c>
      <c r="AQ136" s="80">
        <f>0</f>
        <v/>
      </c>
      <c r="AR136" s="80">
        <f>0</f>
        <v/>
      </c>
      <c r="AS136" s="80">
        <f>0</f>
        <v/>
      </c>
      <c r="AT136" s="80">
        <f>0</f>
        <v/>
      </c>
      <c r="AU136" s="80">
        <f>0</f>
        <v/>
      </c>
      <c r="AV136" s="80">
        <f>0</f>
        <v/>
      </c>
      <c r="AW136" s="80">
        <f>0</f>
        <v/>
      </c>
      <c r="AX136" s="80">
        <f>0</f>
        <v/>
      </c>
      <c r="AY136" s="80">
        <f>0</f>
        <v/>
      </c>
      <c r="AZ136" s="80">
        <f>0</f>
        <v/>
      </c>
      <c r="BA136" s="80">
        <f>0</f>
        <v/>
      </c>
      <c r="BB136" s="80">
        <f>0</f>
        <v/>
      </c>
      <c r="BC136" s="80">
        <f>0</f>
        <v/>
      </c>
      <c r="BD136" s="80">
        <f>0</f>
        <v/>
      </c>
      <c r="BE136" s="80">
        <f>0</f>
        <v/>
      </c>
      <c r="BF136" s="80">
        <f>0</f>
        <v/>
      </c>
      <c r="BG136" s="80">
        <f>0</f>
        <v/>
      </c>
      <c r="BH136" s="80">
        <f>0</f>
        <v/>
      </c>
      <c r="BI136" s="80">
        <f>0</f>
        <v/>
      </c>
      <c r="BJ136" s="80">
        <f>0</f>
        <v/>
      </c>
      <c r="BK136" s="80">
        <f>0</f>
        <v/>
      </c>
      <c r="BL136" s="80">
        <f>0</f>
        <v/>
      </c>
    </row>
    <row r="137">
      <c r="A137" s="98" t="inlineStr">
        <is>
          <t>Write-offs</t>
        </is>
      </c>
      <c r="B137" s="65" t="inlineStr">
        <is>
          <t>LCY</t>
        </is>
      </c>
      <c r="C137" s="105">
        <f>SUM(E137:BL137)</f>
        <v/>
      </c>
      <c r="E137" s="41">
        <f>Ops!E$66</f>
        <v/>
      </c>
      <c r="F137" s="41">
        <f>Ops!F$66</f>
        <v/>
      </c>
      <c r="G137" s="41">
        <f>Ops!G$66</f>
        <v/>
      </c>
      <c r="H137" s="41">
        <f>Ops!H$66</f>
        <v/>
      </c>
      <c r="I137" s="41">
        <f>Ops!I$66</f>
        <v/>
      </c>
      <c r="J137" s="41">
        <f>Ops!J$66</f>
        <v/>
      </c>
      <c r="K137" s="41">
        <f>Ops!K$66</f>
        <v/>
      </c>
      <c r="L137" s="41">
        <f>Ops!L$66</f>
        <v/>
      </c>
      <c r="M137" s="41">
        <f>Ops!M$66</f>
        <v/>
      </c>
      <c r="N137" s="41">
        <f>Ops!N$66</f>
        <v/>
      </c>
      <c r="O137" s="41">
        <f>Ops!O$66</f>
        <v/>
      </c>
      <c r="P137" s="41">
        <f>Ops!P$66</f>
        <v/>
      </c>
      <c r="Q137" s="41">
        <f>Ops!Q$66</f>
        <v/>
      </c>
      <c r="R137" s="41">
        <f>Ops!R$66</f>
        <v/>
      </c>
      <c r="S137" s="41">
        <f>Ops!S$66</f>
        <v/>
      </c>
      <c r="T137" s="41">
        <f>Ops!T$66</f>
        <v/>
      </c>
      <c r="U137" s="41">
        <f>Ops!U$66</f>
        <v/>
      </c>
      <c r="V137" s="41">
        <f>Ops!V$66</f>
        <v/>
      </c>
      <c r="W137" s="41">
        <f>Ops!W$66</f>
        <v/>
      </c>
      <c r="X137" s="41">
        <f>Ops!X$66</f>
        <v/>
      </c>
      <c r="Y137" s="41">
        <f>Ops!Y$66</f>
        <v/>
      </c>
      <c r="Z137" s="41">
        <f>Ops!Z$66</f>
        <v/>
      </c>
      <c r="AA137" s="41">
        <f>Ops!AA$66</f>
        <v/>
      </c>
      <c r="AB137" s="41">
        <f>Ops!AB$66</f>
        <v/>
      </c>
      <c r="AC137" s="41">
        <f>Ops!AC$66</f>
        <v/>
      </c>
      <c r="AD137" s="41">
        <f>Ops!AD$66</f>
        <v/>
      </c>
      <c r="AE137" s="41">
        <f>Ops!AE$66</f>
        <v/>
      </c>
      <c r="AF137" s="41">
        <f>Ops!AF$66</f>
        <v/>
      </c>
      <c r="AG137" s="41">
        <f>Ops!AG$66</f>
        <v/>
      </c>
      <c r="AH137" s="41">
        <f>Ops!AH$66</f>
        <v/>
      </c>
      <c r="AI137" s="41">
        <f>Ops!AI$66</f>
        <v/>
      </c>
      <c r="AJ137" s="41">
        <f>Ops!AJ$66</f>
        <v/>
      </c>
      <c r="AK137" s="41">
        <f>Ops!AK$66</f>
        <v/>
      </c>
      <c r="AL137" s="41">
        <f>Ops!AL$66</f>
        <v/>
      </c>
      <c r="AM137" s="41">
        <f>Ops!AM$66</f>
        <v/>
      </c>
      <c r="AN137" s="41">
        <f>Ops!AN$66</f>
        <v/>
      </c>
      <c r="AO137" s="41">
        <f>Ops!AO$66</f>
        <v/>
      </c>
      <c r="AP137" s="41">
        <f>Ops!AP$66</f>
        <v/>
      </c>
      <c r="AQ137" s="41">
        <f>Ops!AQ$66</f>
        <v/>
      </c>
      <c r="AR137" s="41">
        <f>Ops!AR$66</f>
        <v/>
      </c>
      <c r="AS137" s="41">
        <f>Ops!AS$66</f>
        <v/>
      </c>
      <c r="AT137" s="41">
        <f>Ops!AT$66</f>
        <v/>
      </c>
      <c r="AU137" s="41">
        <f>Ops!AU$66</f>
        <v/>
      </c>
      <c r="AV137" s="41">
        <f>Ops!AV$66</f>
        <v/>
      </c>
      <c r="AW137" s="41">
        <f>Ops!AW$66</f>
        <v/>
      </c>
      <c r="AX137" s="41">
        <f>Ops!AX$66</f>
        <v/>
      </c>
      <c r="AY137" s="41">
        <f>Ops!AY$66</f>
        <v/>
      </c>
      <c r="AZ137" s="41">
        <f>Ops!AZ$66</f>
        <v/>
      </c>
      <c r="BA137" s="41">
        <f>Ops!BA$66</f>
        <v/>
      </c>
      <c r="BB137" s="41">
        <f>Ops!BB$66</f>
        <v/>
      </c>
      <c r="BC137" s="41">
        <f>Ops!BC$66</f>
        <v/>
      </c>
      <c r="BD137" s="41">
        <f>Ops!BD$66</f>
        <v/>
      </c>
      <c r="BE137" s="41">
        <f>Ops!BE$66</f>
        <v/>
      </c>
      <c r="BF137" s="41">
        <f>Ops!BF$66</f>
        <v/>
      </c>
      <c r="BG137" s="41">
        <f>Ops!BG$66</f>
        <v/>
      </c>
      <c r="BH137" s="41">
        <f>Ops!BH$66</f>
        <v/>
      </c>
      <c r="BI137" s="41">
        <f>Ops!BI$66</f>
        <v/>
      </c>
      <c r="BJ137" s="41">
        <f>Ops!BJ$66</f>
        <v/>
      </c>
      <c r="BK137" s="41">
        <f>Ops!BK$66</f>
        <v/>
      </c>
      <c r="BL137" s="41">
        <f>Ops!BL$66</f>
        <v/>
      </c>
    </row>
    <row r="138">
      <c r="A138" s="98" t="inlineStr">
        <is>
          <t>Collections</t>
        </is>
      </c>
      <c r="B138" s="65" t="inlineStr">
        <is>
          <t>LCY</t>
        </is>
      </c>
      <c r="C138" s="105">
        <f>SUM(E138:BL138)</f>
        <v/>
      </c>
      <c r="E138" s="41">
        <f>Ops!E$65</f>
        <v/>
      </c>
      <c r="F138" s="41">
        <f>Ops!F$65</f>
        <v/>
      </c>
      <c r="G138" s="41">
        <f>Ops!G$65</f>
        <v/>
      </c>
      <c r="H138" s="41">
        <f>Ops!H$65</f>
        <v/>
      </c>
      <c r="I138" s="41">
        <f>Ops!I$65</f>
        <v/>
      </c>
      <c r="J138" s="41">
        <f>Ops!J$65</f>
        <v/>
      </c>
      <c r="K138" s="41">
        <f>Ops!K$65</f>
        <v/>
      </c>
      <c r="L138" s="41">
        <f>Ops!L$65</f>
        <v/>
      </c>
      <c r="M138" s="41">
        <f>Ops!M$65</f>
        <v/>
      </c>
      <c r="N138" s="41">
        <f>Ops!N$65</f>
        <v/>
      </c>
      <c r="O138" s="41">
        <f>Ops!O$65</f>
        <v/>
      </c>
      <c r="P138" s="41">
        <f>Ops!P$65</f>
        <v/>
      </c>
      <c r="Q138" s="41">
        <f>Ops!Q$65</f>
        <v/>
      </c>
      <c r="R138" s="41">
        <f>Ops!R$65</f>
        <v/>
      </c>
      <c r="S138" s="41">
        <f>Ops!S$65</f>
        <v/>
      </c>
      <c r="T138" s="41">
        <f>Ops!T$65</f>
        <v/>
      </c>
      <c r="U138" s="41">
        <f>Ops!U$65</f>
        <v/>
      </c>
      <c r="V138" s="41">
        <f>Ops!V$65</f>
        <v/>
      </c>
      <c r="W138" s="41">
        <f>Ops!W$65</f>
        <v/>
      </c>
      <c r="X138" s="41">
        <f>Ops!X$65</f>
        <v/>
      </c>
      <c r="Y138" s="41">
        <f>Ops!Y$65</f>
        <v/>
      </c>
      <c r="Z138" s="41">
        <f>Ops!Z$65</f>
        <v/>
      </c>
      <c r="AA138" s="41">
        <f>Ops!AA$65</f>
        <v/>
      </c>
      <c r="AB138" s="41">
        <f>Ops!AB$65</f>
        <v/>
      </c>
      <c r="AC138" s="41">
        <f>Ops!AC$65</f>
        <v/>
      </c>
      <c r="AD138" s="41">
        <f>Ops!AD$65</f>
        <v/>
      </c>
      <c r="AE138" s="41">
        <f>Ops!AE$65</f>
        <v/>
      </c>
      <c r="AF138" s="41">
        <f>Ops!AF$65</f>
        <v/>
      </c>
      <c r="AG138" s="41">
        <f>Ops!AG$65</f>
        <v/>
      </c>
      <c r="AH138" s="41">
        <f>Ops!AH$65</f>
        <v/>
      </c>
      <c r="AI138" s="41">
        <f>Ops!AI$65</f>
        <v/>
      </c>
      <c r="AJ138" s="41">
        <f>Ops!AJ$65</f>
        <v/>
      </c>
      <c r="AK138" s="41">
        <f>Ops!AK$65</f>
        <v/>
      </c>
      <c r="AL138" s="41">
        <f>Ops!AL$65</f>
        <v/>
      </c>
      <c r="AM138" s="41">
        <f>Ops!AM$65</f>
        <v/>
      </c>
      <c r="AN138" s="41">
        <f>Ops!AN$65</f>
        <v/>
      </c>
      <c r="AO138" s="41">
        <f>Ops!AO$65</f>
        <v/>
      </c>
      <c r="AP138" s="41">
        <f>Ops!AP$65</f>
        <v/>
      </c>
      <c r="AQ138" s="41">
        <f>Ops!AQ$65</f>
        <v/>
      </c>
      <c r="AR138" s="41">
        <f>Ops!AR$65</f>
        <v/>
      </c>
      <c r="AS138" s="41">
        <f>Ops!AS$65</f>
        <v/>
      </c>
      <c r="AT138" s="41">
        <f>Ops!AT$65</f>
        <v/>
      </c>
      <c r="AU138" s="41">
        <f>Ops!AU$65</f>
        <v/>
      </c>
      <c r="AV138" s="41">
        <f>Ops!AV$65</f>
        <v/>
      </c>
      <c r="AW138" s="41">
        <f>Ops!AW$65</f>
        <v/>
      </c>
      <c r="AX138" s="41">
        <f>Ops!AX$65</f>
        <v/>
      </c>
      <c r="AY138" s="41">
        <f>Ops!AY$65</f>
        <v/>
      </c>
      <c r="AZ138" s="41">
        <f>Ops!AZ$65</f>
        <v/>
      </c>
      <c r="BA138" s="41">
        <f>Ops!BA$65</f>
        <v/>
      </c>
      <c r="BB138" s="41">
        <f>Ops!BB$65</f>
        <v/>
      </c>
      <c r="BC138" s="41">
        <f>Ops!BC$65</f>
        <v/>
      </c>
      <c r="BD138" s="41">
        <f>Ops!BD$65</f>
        <v/>
      </c>
      <c r="BE138" s="41">
        <f>Ops!BE$65</f>
        <v/>
      </c>
      <c r="BF138" s="41">
        <f>Ops!BF$65</f>
        <v/>
      </c>
      <c r="BG138" s="41">
        <f>Ops!BG$65</f>
        <v/>
      </c>
      <c r="BH138" s="41">
        <f>Ops!BH$65</f>
        <v/>
      </c>
      <c r="BI138" s="41">
        <f>Ops!BI$65</f>
        <v/>
      </c>
      <c r="BJ138" s="41">
        <f>Ops!BJ$65</f>
        <v/>
      </c>
      <c r="BK138" s="41">
        <f>Ops!BK$65</f>
        <v/>
      </c>
      <c r="BL138" s="41">
        <f>Ops!BL$65</f>
        <v/>
      </c>
    </row>
    <row r="139">
      <c r="A139" s="98" t="inlineStr">
        <is>
          <t>Instalments due</t>
        </is>
      </c>
      <c r="B139" s="65" t="inlineStr">
        <is>
          <t>LCY</t>
        </is>
      </c>
      <c r="C139" s="105">
        <f>SUM(E139:BL139)</f>
        <v/>
      </c>
      <c r="E139" s="41">
        <f>Ops!E$64</f>
        <v/>
      </c>
      <c r="F139" s="41">
        <f>Ops!F$64</f>
        <v/>
      </c>
      <c r="G139" s="41">
        <f>Ops!G$64</f>
        <v/>
      </c>
      <c r="H139" s="41">
        <f>Ops!H$64</f>
        <v/>
      </c>
      <c r="I139" s="41">
        <f>Ops!I$64</f>
        <v/>
      </c>
      <c r="J139" s="41">
        <f>Ops!J$64</f>
        <v/>
      </c>
      <c r="K139" s="41">
        <f>Ops!K$64</f>
        <v/>
      </c>
      <c r="L139" s="41">
        <f>Ops!L$64</f>
        <v/>
      </c>
      <c r="M139" s="41">
        <f>Ops!M$64</f>
        <v/>
      </c>
      <c r="N139" s="41">
        <f>Ops!N$64</f>
        <v/>
      </c>
      <c r="O139" s="41">
        <f>Ops!O$64</f>
        <v/>
      </c>
      <c r="P139" s="41">
        <f>Ops!P$64</f>
        <v/>
      </c>
      <c r="Q139" s="41">
        <f>Ops!Q$64</f>
        <v/>
      </c>
      <c r="R139" s="41">
        <f>Ops!R$64</f>
        <v/>
      </c>
      <c r="S139" s="41">
        <f>Ops!S$64</f>
        <v/>
      </c>
      <c r="T139" s="41">
        <f>Ops!T$64</f>
        <v/>
      </c>
      <c r="U139" s="41">
        <f>Ops!U$64</f>
        <v/>
      </c>
      <c r="V139" s="41">
        <f>Ops!V$64</f>
        <v/>
      </c>
      <c r="W139" s="41">
        <f>Ops!W$64</f>
        <v/>
      </c>
      <c r="X139" s="41">
        <f>Ops!X$64</f>
        <v/>
      </c>
      <c r="Y139" s="41">
        <f>Ops!Y$64</f>
        <v/>
      </c>
      <c r="Z139" s="41">
        <f>Ops!Z$64</f>
        <v/>
      </c>
      <c r="AA139" s="41">
        <f>Ops!AA$64</f>
        <v/>
      </c>
      <c r="AB139" s="41">
        <f>Ops!AB$64</f>
        <v/>
      </c>
      <c r="AC139" s="41">
        <f>Ops!AC$64</f>
        <v/>
      </c>
      <c r="AD139" s="41">
        <f>Ops!AD$64</f>
        <v/>
      </c>
      <c r="AE139" s="41">
        <f>Ops!AE$64</f>
        <v/>
      </c>
      <c r="AF139" s="41">
        <f>Ops!AF$64</f>
        <v/>
      </c>
      <c r="AG139" s="41">
        <f>Ops!AG$64</f>
        <v/>
      </c>
      <c r="AH139" s="41">
        <f>Ops!AH$64</f>
        <v/>
      </c>
      <c r="AI139" s="41">
        <f>Ops!AI$64</f>
        <v/>
      </c>
      <c r="AJ139" s="41">
        <f>Ops!AJ$64</f>
        <v/>
      </c>
      <c r="AK139" s="41">
        <f>Ops!AK$64</f>
        <v/>
      </c>
      <c r="AL139" s="41">
        <f>Ops!AL$64</f>
        <v/>
      </c>
      <c r="AM139" s="41">
        <f>Ops!AM$64</f>
        <v/>
      </c>
      <c r="AN139" s="41">
        <f>Ops!AN$64</f>
        <v/>
      </c>
      <c r="AO139" s="41">
        <f>Ops!AO$64</f>
        <v/>
      </c>
      <c r="AP139" s="41">
        <f>Ops!AP$64</f>
        <v/>
      </c>
      <c r="AQ139" s="41">
        <f>Ops!AQ$64</f>
        <v/>
      </c>
      <c r="AR139" s="41">
        <f>Ops!AR$64</f>
        <v/>
      </c>
      <c r="AS139" s="41">
        <f>Ops!AS$64</f>
        <v/>
      </c>
      <c r="AT139" s="41">
        <f>Ops!AT$64</f>
        <v/>
      </c>
      <c r="AU139" s="41">
        <f>Ops!AU$64</f>
        <v/>
      </c>
      <c r="AV139" s="41">
        <f>Ops!AV$64</f>
        <v/>
      </c>
      <c r="AW139" s="41">
        <f>Ops!AW$64</f>
        <v/>
      </c>
      <c r="AX139" s="41">
        <f>Ops!AX$64</f>
        <v/>
      </c>
      <c r="AY139" s="41">
        <f>Ops!AY$64</f>
        <v/>
      </c>
      <c r="AZ139" s="41">
        <f>Ops!AZ$64</f>
        <v/>
      </c>
      <c r="BA139" s="41">
        <f>Ops!BA$64</f>
        <v/>
      </c>
      <c r="BB139" s="41">
        <f>Ops!BB$64</f>
        <v/>
      </c>
      <c r="BC139" s="41">
        <f>Ops!BC$64</f>
        <v/>
      </c>
      <c r="BD139" s="41">
        <f>Ops!BD$64</f>
        <v/>
      </c>
      <c r="BE139" s="41">
        <f>Ops!BE$64</f>
        <v/>
      </c>
      <c r="BF139" s="41">
        <f>Ops!BF$64</f>
        <v/>
      </c>
      <c r="BG139" s="41">
        <f>Ops!BG$64</f>
        <v/>
      </c>
      <c r="BH139" s="41">
        <f>Ops!BH$64</f>
        <v/>
      </c>
      <c r="BI139" s="41">
        <f>Ops!BI$64</f>
        <v/>
      </c>
      <c r="BJ139" s="41">
        <f>Ops!BJ$64</f>
        <v/>
      </c>
      <c r="BK139" s="41">
        <f>Ops!BK$64</f>
        <v/>
      </c>
      <c r="BL139" s="41">
        <f>Ops!BL$64</f>
        <v/>
      </c>
    </row>
    <row r="140">
      <c r="A140" s="98" t="inlineStr">
        <is>
          <t>Ownership events (unlocks)</t>
        </is>
      </c>
      <c r="B140" s="65" t="inlineStr">
        <is>
          <t>LCY</t>
        </is>
      </c>
      <c r="C140" s="105">
        <f>SUM(E140:BL140)</f>
        <v/>
      </c>
      <c r="E140" s="41">
        <f>Ops!E$72</f>
        <v/>
      </c>
      <c r="F140" s="41">
        <f>Ops!F$72</f>
        <v/>
      </c>
      <c r="G140" s="41">
        <f>Ops!G$72</f>
        <v/>
      </c>
      <c r="H140" s="41">
        <f>Ops!H$72</f>
        <v/>
      </c>
      <c r="I140" s="41">
        <f>Ops!I$72</f>
        <v/>
      </c>
      <c r="J140" s="41">
        <f>Ops!J$72</f>
        <v/>
      </c>
      <c r="K140" s="41">
        <f>Ops!K$72</f>
        <v/>
      </c>
      <c r="L140" s="41">
        <f>Ops!L$72</f>
        <v/>
      </c>
      <c r="M140" s="41">
        <f>Ops!M$72</f>
        <v/>
      </c>
      <c r="N140" s="41">
        <f>Ops!N$72</f>
        <v/>
      </c>
      <c r="O140" s="41">
        <f>Ops!O$72</f>
        <v/>
      </c>
      <c r="P140" s="41">
        <f>Ops!P$72</f>
        <v/>
      </c>
      <c r="Q140" s="41">
        <f>Ops!Q$72</f>
        <v/>
      </c>
      <c r="R140" s="41">
        <f>Ops!R$72</f>
        <v/>
      </c>
      <c r="S140" s="41">
        <f>Ops!S$72</f>
        <v/>
      </c>
      <c r="T140" s="41">
        <f>Ops!T$72</f>
        <v/>
      </c>
      <c r="U140" s="41">
        <f>Ops!U$72</f>
        <v/>
      </c>
      <c r="V140" s="41">
        <f>Ops!V$72</f>
        <v/>
      </c>
      <c r="W140" s="41">
        <f>Ops!W$72</f>
        <v/>
      </c>
      <c r="X140" s="41">
        <f>Ops!X$72</f>
        <v/>
      </c>
      <c r="Y140" s="41">
        <f>Ops!Y$72</f>
        <v/>
      </c>
      <c r="Z140" s="41">
        <f>Ops!Z$72</f>
        <v/>
      </c>
      <c r="AA140" s="41">
        <f>Ops!AA$72</f>
        <v/>
      </c>
      <c r="AB140" s="41">
        <f>Ops!AB$72</f>
        <v/>
      </c>
      <c r="AC140" s="41">
        <f>Ops!AC$72</f>
        <v/>
      </c>
      <c r="AD140" s="41">
        <f>Ops!AD$72</f>
        <v/>
      </c>
      <c r="AE140" s="41">
        <f>Ops!AE$72</f>
        <v/>
      </c>
      <c r="AF140" s="41">
        <f>Ops!AF$72</f>
        <v/>
      </c>
      <c r="AG140" s="41">
        <f>Ops!AG$72</f>
        <v/>
      </c>
      <c r="AH140" s="41">
        <f>Ops!AH$72</f>
        <v/>
      </c>
      <c r="AI140" s="41">
        <f>Ops!AI$72</f>
        <v/>
      </c>
      <c r="AJ140" s="41">
        <f>Ops!AJ$72</f>
        <v/>
      </c>
      <c r="AK140" s="41">
        <f>Ops!AK$72</f>
        <v/>
      </c>
      <c r="AL140" s="41">
        <f>Ops!AL$72</f>
        <v/>
      </c>
      <c r="AM140" s="41">
        <f>Ops!AM$72</f>
        <v/>
      </c>
      <c r="AN140" s="41">
        <f>Ops!AN$72</f>
        <v/>
      </c>
      <c r="AO140" s="41">
        <f>Ops!AO$72</f>
        <v/>
      </c>
      <c r="AP140" s="41">
        <f>Ops!AP$72</f>
        <v/>
      </c>
      <c r="AQ140" s="41">
        <f>Ops!AQ$72</f>
        <v/>
      </c>
      <c r="AR140" s="41">
        <f>Ops!AR$72</f>
        <v/>
      </c>
      <c r="AS140" s="41">
        <f>Ops!AS$72</f>
        <v/>
      </c>
      <c r="AT140" s="41">
        <f>Ops!AT$72</f>
        <v/>
      </c>
      <c r="AU140" s="41">
        <f>Ops!AU$72</f>
        <v/>
      </c>
      <c r="AV140" s="41">
        <f>Ops!AV$72</f>
        <v/>
      </c>
      <c r="AW140" s="41">
        <f>Ops!AW$72</f>
        <v/>
      </c>
      <c r="AX140" s="41">
        <f>Ops!AX$72</f>
        <v/>
      </c>
      <c r="AY140" s="41">
        <f>Ops!AY$72</f>
        <v/>
      </c>
      <c r="AZ140" s="41">
        <f>Ops!AZ$72</f>
        <v/>
      </c>
      <c r="BA140" s="41">
        <f>Ops!BA$72</f>
        <v/>
      </c>
      <c r="BB140" s="41">
        <f>Ops!BB$72</f>
        <v/>
      </c>
      <c r="BC140" s="41">
        <f>Ops!BC$72</f>
        <v/>
      </c>
      <c r="BD140" s="41">
        <f>Ops!BD$72</f>
        <v/>
      </c>
      <c r="BE140" s="41">
        <f>Ops!BE$72</f>
        <v/>
      </c>
      <c r="BF140" s="41">
        <f>Ops!BF$72</f>
        <v/>
      </c>
      <c r="BG140" s="41">
        <f>Ops!BG$72</f>
        <v/>
      </c>
      <c r="BH140" s="41">
        <f>Ops!BH$72</f>
        <v/>
      </c>
      <c r="BI140" s="41">
        <f>Ops!BI$72</f>
        <v/>
      </c>
      <c r="BJ140" s="41">
        <f>Ops!BJ$72</f>
        <v/>
      </c>
      <c r="BK140" s="41">
        <f>Ops!BK$72</f>
        <v/>
      </c>
      <c r="BL140" s="41">
        <f>Ops!BL$72</f>
        <v/>
      </c>
    </row>
    <row r="141">
      <c r="A141" s="98" t="inlineStr">
        <is>
          <t>Observed repayment rate (collections / due)</t>
        </is>
      </c>
      <c r="B141" s="65" t="inlineStr">
        <is>
          <t>%</t>
        </is>
      </c>
      <c r="E141" s="81">
        <f>IF(E139=0,0,E138/E139)</f>
        <v/>
      </c>
      <c r="F141" s="81">
        <f>IF(F139=0,0,F138/F139)</f>
        <v/>
      </c>
      <c r="G141" s="81">
        <f>IF(G139=0,0,G138/G139)</f>
        <v/>
      </c>
      <c r="H141" s="81">
        <f>IF(H139=0,0,H138/H139)</f>
        <v/>
      </c>
      <c r="I141" s="81">
        <f>IF(I139=0,0,I138/I139)</f>
        <v/>
      </c>
      <c r="J141" s="81">
        <f>IF(J139=0,0,J138/J139)</f>
        <v/>
      </c>
      <c r="K141" s="81">
        <f>IF(K139=0,0,K138/K139)</f>
        <v/>
      </c>
      <c r="L141" s="81">
        <f>IF(L139=0,0,L138/L139)</f>
        <v/>
      </c>
      <c r="M141" s="81">
        <f>IF(M139=0,0,M138/M139)</f>
        <v/>
      </c>
      <c r="N141" s="81">
        <f>IF(N139=0,0,N138/N139)</f>
        <v/>
      </c>
      <c r="O141" s="81">
        <f>IF(O139=0,0,O138/O139)</f>
        <v/>
      </c>
      <c r="P141" s="81">
        <f>IF(P139=0,0,P138/P139)</f>
        <v/>
      </c>
      <c r="Q141" s="81">
        <f>IF(Q139=0,0,Q138/Q139)</f>
        <v/>
      </c>
      <c r="R141" s="81">
        <f>IF(R139=0,0,R138/R139)</f>
        <v/>
      </c>
      <c r="S141" s="81">
        <f>IF(S139=0,0,S138/S139)</f>
        <v/>
      </c>
      <c r="T141" s="81">
        <f>IF(T139=0,0,T138/T139)</f>
        <v/>
      </c>
      <c r="U141" s="81">
        <f>IF(U139=0,0,U138/U139)</f>
        <v/>
      </c>
      <c r="V141" s="81">
        <f>IF(V139=0,0,V138/V139)</f>
        <v/>
      </c>
      <c r="W141" s="81">
        <f>IF(W139=0,0,W138/W139)</f>
        <v/>
      </c>
      <c r="X141" s="81">
        <f>IF(X139=0,0,X138/X139)</f>
        <v/>
      </c>
      <c r="Y141" s="81">
        <f>IF(Y139=0,0,Y138/Y139)</f>
        <v/>
      </c>
      <c r="Z141" s="81">
        <f>IF(Z139=0,0,Z138/Z139)</f>
        <v/>
      </c>
      <c r="AA141" s="81">
        <f>IF(AA139=0,0,AA138/AA139)</f>
        <v/>
      </c>
      <c r="AB141" s="81">
        <f>IF(AB139=0,0,AB138/AB139)</f>
        <v/>
      </c>
      <c r="AC141" s="81">
        <f>IF(AC139=0,0,AC138/AC139)</f>
        <v/>
      </c>
      <c r="AD141" s="81">
        <f>IF(AD139=0,0,AD138/AD139)</f>
        <v/>
      </c>
      <c r="AE141" s="81">
        <f>IF(AE139=0,0,AE138/AE139)</f>
        <v/>
      </c>
      <c r="AF141" s="81">
        <f>IF(AF139=0,0,AF138/AF139)</f>
        <v/>
      </c>
      <c r="AG141" s="81">
        <f>IF(AG139=0,0,AG138/AG139)</f>
        <v/>
      </c>
      <c r="AH141" s="81">
        <f>IF(AH139=0,0,AH138/AH139)</f>
        <v/>
      </c>
      <c r="AI141" s="81">
        <f>IF(AI139=0,0,AI138/AI139)</f>
        <v/>
      </c>
      <c r="AJ141" s="81">
        <f>IF(AJ139=0,0,AJ138/AJ139)</f>
        <v/>
      </c>
      <c r="AK141" s="81">
        <f>IF(AK139=0,0,AK138/AK139)</f>
        <v/>
      </c>
      <c r="AL141" s="81">
        <f>IF(AL139=0,0,AL138/AL139)</f>
        <v/>
      </c>
      <c r="AM141" s="81">
        <f>IF(AM139=0,0,AM138/AM139)</f>
        <v/>
      </c>
      <c r="AN141" s="81">
        <f>IF(AN139=0,0,AN138/AN139)</f>
        <v/>
      </c>
      <c r="AO141" s="81">
        <f>IF(AO139=0,0,AO138/AO139)</f>
        <v/>
      </c>
      <c r="AP141" s="81">
        <f>IF(AP139=0,0,AP138/AP139)</f>
        <v/>
      </c>
      <c r="AQ141" s="81">
        <f>IF(AQ139=0,0,AQ138/AQ139)</f>
        <v/>
      </c>
      <c r="AR141" s="81">
        <f>IF(AR139=0,0,AR138/AR139)</f>
        <v/>
      </c>
      <c r="AS141" s="81">
        <f>IF(AS139=0,0,AS138/AS139)</f>
        <v/>
      </c>
      <c r="AT141" s="81">
        <f>IF(AT139=0,0,AT138/AT139)</f>
        <v/>
      </c>
      <c r="AU141" s="81">
        <f>IF(AU139=0,0,AU138/AU139)</f>
        <v/>
      </c>
      <c r="AV141" s="81">
        <f>IF(AV139=0,0,AV138/AV139)</f>
        <v/>
      </c>
      <c r="AW141" s="81">
        <f>IF(AW139=0,0,AW138/AW139)</f>
        <v/>
      </c>
      <c r="AX141" s="81">
        <f>IF(AX139=0,0,AX138/AX139)</f>
        <v/>
      </c>
      <c r="AY141" s="81">
        <f>IF(AY139=0,0,AY138/AY139)</f>
        <v/>
      </c>
      <c r="AZ141" s="81">
        <f>IF(AZ139=0,0,AZ138/AZ139)</f>
        <v/>
      </c>
      <c r="BA141" s="81">
        <f>IF(BA139=0,0,BA138/BA139)</f>
        <v/>
      </c>
      <c r="BB141" s="81">
        <f>IF(BB139=0,0,BB138/BB139)</f>
        <v/>
      </c>
      <c r="BC141" s="81">
        <f>IF(BC139=0,0,BC138/BC139)</f>
        <v/>
      </c>
      <c r="BD141" s="81">
        <f>IF(BD139=0,0,BD138/BD139)</f>
        <v/>
      </c>
      <c r="BE141" s="81">
        <f>IF(BE139=0,0,BE138/BE139)</f>
        <v/>
      </c>
      <c r="BF141" s="81">
        <f>IF(BF139=0,0,BF138/BF139)</f>
        <v/>
      </c>
      <c r="BG141" s="81">
        <f>IF(BG139=0,0,BG138/BG139)</f>
        <v/>
      </c>
      <c r="BH141" s="81">
        <f>IF(BH139=0,0,BH138/BH139)</f>
        <v/>
      </c>
      <c r="BI141" s="81">
        <f>IF(BI139=0,0,BI138/BI139)</f>
        <v/>
      </c>
      <c r="BJ141" s="81">
        <f>IF(BJ139=0,0,BJ138/BJ139)</f>
        <v/>
      </c>
      <c r="BK141" s="81">
        <f>IF(BK139=0,0,BK138/BK139)</f>
        <v/>
      </c>
      <c r="BL141" s="81">
        <f>IF(BL139=0,0,BL138/BL139)</f>
        <v/>
      </c>
    </row>
    <row r="142">
      <c r="A142" s="98" t="inlineStr">
        <is>
          <t>12-month PD proxy (NOT an audited IFRS 9 PD)</t>
        </is>
      </c>
      <c r="B142" s="65" t="inlineStr">
        <is>
          <t>%</t>
        </is>
      </c>
      <c r="E142" s="81">
        <f>1-(1-Products!$E$41)^12</f>
        <v/>
      </c>
      <c r="F142" s="81">
        <f>1-(1-Products!$E$41)^12</f>
        <v/>
      </c>
      <c r="G142" s="81">
        <f>1-(1-Products!$E$41)^12</f>
        <v/>
      </c>
      <c r="H142" s="81">
        <f>1-(1-Products!$E$41)^12</f>
        <v/>
      </c>
      <c r="I142" s="81">
        <f>1-(1-Products!$E$41)^12</f>
        <v/>
      </c>
      <c r="J142" s="81">
        <f>1-(1-Products!$E$41)^12</f>
        <v/>
      </c>
      <c r="K142" s="81">
        <f>1-(1-Products!$E$41)^12</f>
        <v/>
      </c>
      <c r="L142" s="81">
        <f>1-(1-Products!$E$41)^12</f>
        <v/>
      </c>
      <c r="M142" s="81">
        <f>1-(1-Products!$E$41)^12</f>
        <v/>
      </c>
      <c r="N142" s="81">
        <f>1-(1-Products!$E$41)^12</f>
        <v/>
      </c>
      <c r="O142" s="81">
        <f>1-(1-Products!$E$41)^12</f>
        <v/>
      </c>
      <c r="P142" s="81">
        <f>1-(1-Products!$E$41)^12</f>
        <v/>
      </c>
      <c r="Q142" s="81">
        <f>1-(1-Products!$E$41)^12</f>
        <v/>
      </c>
      <c r="R142" s="81">
        <f>1-(1-Products!$E$41)^12</f>
        <v/>
      </c>
      <c r="S142" s="81">
        <f>1-(1-Products!$E$41)^12</f>
        <v/>
      </c>
      <c r="T142" s="81">
        <f>1-(1-Products!$E$41)^12</f>
        <v/>
      </c>
      <c r="U142" s="81">
        <f>1-(1-Products!$E$41)^12</f>
        <v/>
      </c>
      <c r="V142" s="81">
        <f>1-(1-Products!$E$41)^12</f>
        <v/>
      </c>
      <c r="W142" s="81">
        <f>1-(1-Products!$E$41)^12</f>
        <v/>
      </c>
      <c r="X142" s="81">
        <f>1-(1-Products!$E$41)^12</f>
        <v/>
      </c>
      <c r="Y142" s="81">
        <f>1-(1-Products!$E$41)^12</f>
        <v/>
      </c>
      <c r="Z142" s="81">
        <f>1-(1-Products!$E$41)^12</f>
        <v/>
      </c>
      <c r="AA142" s="81">
        <f>1-(1-Products!$E$41)^12</f>
        <v/>
      </c>
      <c r="AB142" s="81">
        <f>1-(1-Products!$E$41)^12</f>
        <v/>
      </c>
      <c r="AC142" s="81">
        <f>1-(1-Products!$E$41)^12</f>
        <v/>
      </c>
      <c r="AD142" s="81">
        <f>1-(1-Products!$E$41)^12</f>
        <v/>
      </c>
      <c r="AE142" s="81">
        <f>1-(1-Products!$E$41)^12</f>
        <v/>
      </c>
      <c r="AF142" s="81">
        <f>1-(1-Products!$E$41)^12</f>
        <v/>
      </c>
      <c r="AG142" s="81">
        <f>1-(1-Products!$E$41)^12</f>
        <v/>
      </c>
      <c r="AH142" s="81">
        <f>1-(1-Products!$E$41)^12</f>
        <v/>
      </c>
      <c r="AI142" s="81">
        <f>1-(1-Products!$E$41)^12</f>
        <v/>
      </c>
      <c r="AJ142" s="81">
        <f>1-(1-Products!$E$41)^12</f>
        <v/>
      </c>
      <c r="AK142" s="81">
        <f>1-(1-Products!$E$41)^12</f>
        <v/>
      </c>
      <c r="AL142" s="81">
        <f>1-(1-Products!$E$41)^12</f>
        <v/>
      </c>
      <c r="AM142" s="81">
        <f>1-(1-Products!$E$41)^12</f>
        <v/>
      </c>
      <c r="AN142" s="81">
        <f>1-(1-Products!$E$41)^12</f>
        <v/>
      </c>
      <c r="AO142" s="81">
        <f>1-(1-Products!$E$41)^12</f>
        <v/>
      </c>
      <c r="AP142" s="81">
        <f>1-(1-Products!$E$41)^12</f>
        <v/>
      </c>
      <c r="AQ142" s="81">
        <f>1-(1-Products!$E$41)^12</f>
        <v/>
      </c>
      <c r="AR142" s="81">
        <f>1-(1-Products!$E$41)^12</f>
        <v/>
      </c>
      <c r="AS142" s="81">
        <f>1-(1-Products!$E$41)^12</f>
        <v/>
      </c>
      <c r="AT142" s="81">
        <f>1-(1-Products!$E$41)^12</f>
        <v/>
      </c>
      <c r="AU142" s="81">
        <f>1-(1-Products!$E$41)^12</f>
        <v/>
      </c>
      <c r="AV142" s="81">
        <f>1-(1-Products!$E$41)^12</f>
        <v/>
      </c>
      <c r="AW142" s="81">
        <f>1-(1-Products!$E$41)^12</f>
        <v/>
      </c>
      <c r="AX142" s="81">
        <f>1-(1-Products!$E$41)^12</f>
        <v/>
      </c>
      <c r="AY142" s="81">
        <f>1-(1-Products!$E$41)^12</f>
        <v/>
      </c>
      <c r="AZ142" s="81">
        <f>1-(1-Products!$E$41)^12</f>
        <v/>
      </c>
      <c r="BA142" s="81">
        <f>1-(1-Products!$E$41)^12</f>
        <v/>
      </c>
      <c r="BB142" s="81">
        <f>1-(1-Products!$E$41)^12</f>
        <v/>
      </c>
      <c r="BC142" s="81">
        <f>1-(1-Products!$E$41)^12</f>
        <v/>
      </c>
      <c r="BD142" s="81">
        <f>1-(1-Products!$E$41)^12</f>
        <v/>
      </c>
      <c r="BE142" s="81">
        <f>1-(1-Products!$E$41)^12</f>
        <v/>
      </c>
      <c r="BF142" s="81">
        <f>1-(1-Products!$E$41)^12</f>
        <v/>
      </c>
      <c r="BG142" s="81">
        <f>1-(1-Products!$E$41)^12</f>
        <v/>
      </c>
      <c r="BH142" s="81">
        <f>1-(1-Products!$E$41)^12</f>
        <v/>
      </c>
      <c r="BI142" s="81">
        <f>1-(1-Products!$E$41)^12</f>
        <v/>
      </c>
      <c r="BJ142" s="81">
        <f>1-(1-Products!$E$41)^12</f>
        <v/>
      </c>
      <c r="BK142" s="81">
        <f>1-(1-Products!$E$41)^12</f>
        <v/>
      </c>
      <c r="BL142" s="81">
        <f>1-(1-Products!$E$41)^12</f>
        <v/>
      </c>
    </row>
    <row r="143">
      <c r="A143" s="98" t="inlineStr">
        <is>
          <t>LGD proxy</t>
        </is>
      </c>
      <c r="B143" s="65" t="inlineStr">
        <is>
          <t>%</t>
        </is>
      </c>
      <c r="E143" s="81">
        <f>MAX(0,MIN(1,1-Products!$E$27*Products!$E$28*(1-Credit_Assumptions!$C$15)*Products!$E$13/Products!$E$38))</f>
        <v/>
      </c>
      <c r="F143" s="81">
        <f>MAX(0,MIN(1,1-Products!$E$27*Products!$E$28*(1-Credit_Assumptions!$C$15)*Products!$E$13/Products!$E$38))</f>
        <v/>
      </c>
      <c r="G143" s="81">
        <f>MAX(0,MIN(1,1-Products!$E$27*Products!$E$28*(1-Credit_Assumptions!$C$15)*Products!$E$13/Products!$E$38))</f>
        <v/>
      </c>
      <c r="H143" s="81">
        <f>MAX(0,MIN(1,1-Products!$E$27*Products!$E$28*(1-Credit_Assumptions!$C$15)*Products!$E$13/Products!$E$38))</f>
        <v/>
      </c>
      <c r="I143" s="81">
        <f>MAX(0,MIN(1,1-Products!$E$27*Products!$E$28*(1-Credit_Assumptions!$C$15)*Products!$E$13/Products!$E$38))</f>
        <v/>
      </c>
      <c r="J143" s="81">
        <f>MAX(0,MIN(1,1-Products!$E$27*Products!$E$28*(1-Credit_Assumptions!$C$15)*Products!$E$13/Products!$E$38))</f>
        <v/>
      </c>
      <c r="K143" s="81">
        <f>MAX(0,MIN(1,1-Products!$E$27*Products!$E$28*(1-Credit_Assumptions!$C$15)*Products!$E$13/Products!$E$38))</f>
        <v/>
      </c>
      <c r="L143" s="81">
        <f>MAX(0,MIN(1,1-Products!$E$27*Products!$E$28*(1-Credit_Assumptions!$C$15)*Products!$E$13/Products!$E$38))</f>
        <v/>
      </c>
      <c r="M143" s="81">
        <f>MAX(0,MIN(1,1-Products!$E$27*Products!$E$28*(1-Credit_Assumptions!$C$15)*Products!$E$13/Products!$E$38))</f>
        <v/>
      </c>
      <c r="N143" s="81">
        <f>MAX(0,MIN(1,1-Products!$E$27*Products!$E$28*(1-Credit_Assumptions!$C$15)*Products!$E$13/Products!$E$38))</f>
        <v/>
      </c>
      <c r="O143" s="81">
        <f>MAX(0,MIN(1,1-Products!$E$27*Products!$E$28*(1-Credit_Assumptions!$C$15)*Products!$E$13/Products!$E$38))</f>
        <v/>
      </c>
      <c r="P143" s="81">
        <f>MAX(0,MIN(1,1-Products!$E$27*Products!$E$28*(1-Credit_Assumptions!$C$15)*Products!$E$13/Products!$E$38))</f>
        <v/>
      </c>
      <c r="Q143" s="81">
        <f>MAX(0,MIN(1,1-Products!$E$27*Products!$E$28*(1-Credit_Assumptions!$C$15)*Products!$E$13/Products!$E$38))</f>
        <v/>
      </c>
      <c r="R143" s="81">
        <f>MAX(0,MIN(1,1-Products!$E$27*Products!$E$28*(1-Credit_Assumptions!$C$15)*Products!$E$13/Products!$E$38))</f>
        <v/>
      </c>
      <c r="S143" s="81">
        <f>MAX(0,MIN(1,1-Products!$E$27*Products!$E$28*(1-Credit_Assumptions!$C$15)*Products!$E$13/Products!$E$38))</f>
        <v/>
      </c>
      <c r="T143" s="81">
        <f>MAX(0,MIN(1,1-Products!$E$27*Products!$E$28*(1-Credit_Assumptions!$C$15)*Products!$E$13/Products!$E$38))</f>
        <v/>
      </c>
      <c r="U143" s="81">
        <f>MAX(0,MIN(1,1-Products!$E$27*Products!$E$28*(1-Credit_Assumptions!$C$15)*Products!$E$13/Products!$E$38))</f>
        <v/>
      </c>
      <c r="V143" s="81">
        <f>MAX(0,MIN(1,1-Products!$E$27*Products!$E$28*(1-Credit_Assumptions!$C$15)*Products!$E$13/Products!$E$38))</f>
        <v/>
      </c>
      <c r="W143" s="81">
        <f>MAX(0,MIN(1,1-Products!$E$27*Products!$E$28*(1-Credit_Assumptions!$C$15)*Products!$E$13/Products!$E$38))</f>
        <v/>
      </c>
      <c r="X143" s="81">
        <f>MAX(0,MIN(1,1-Products!$E$27*Products!$E$28*(1-Credit_Assumptions!$C$15)*Products!$E$13/Products!$E$38))</f>
        <v/>
      </c>
      <c r="Y143" s="81">
        <f>MAX(0,MIN(1,1-Products!$E$27*Products!$E$28*(1-Credit_Assumptions!$C$15)*Products!$E$13/Products!$E$38))</f>
        <v/>
      </c>
      <c r="Z143" s="81">
        <f>MAX(0,MIN(1,1-Products!$E$27*Products!$E$28*(1-Credit_Assumptions!$C$15)*Products!$E$13/Products!$E$38))</f>
        <v/>
      </c>
      <c r="AA143" s="81">
        <f>MAX(0,MIN(1,1-Products!$E$27*Products!$E$28*(1-Credit_Assumptions!$C$15)*Products!$E$13/Products!$E$38))</f>
        <v/>
      </c>
      <c r="AB143" s="81">
        <f>MAX(0,MIN(1,1-Products!$E$27*Products!$E$28*(1-Credit_Assumptions!$C$15)*Products!$E$13/Products!$E$38))</f>
        <v/>
      </c>
      <c r="AC143" s="81">
        <f>MAX(0,MIN(1,1-Products!$E$27*Products!$E$28*(1-Credit_Assumptions!$C$15)*Products!$E$13/Products!$E$38))</f>
        <v/>
      </c>
      <c r="AD143" s="81">
        <f>MAX(0,MIN(1,1-Products!$E$27*Products!$E$28*(1-Credit_Assumptions!$C$15)*Products!$E$13/Products!$E$38))</f>
        <v/>
      </c>
      <c r="AE143" s="81">
        <f>MAX(0,MIN(1,1-Products!$E$27*Products!$E$28*(1-Credit_Assumptions!$C$15)*Products!$E$13/Products!$E$38))</f>
        <v/>
      </c>
      <c r="AF143" s="81">
        <f>MAX(0,MIN(1,1-Products!$E$27*Products!$E$28*(1-Credit_Assumptions!$C$15)*Products!$E$13/Products!$E$38))</f>
        <v/>
      </c>
      <c r="AG143" s="81">
        <f>MAX(0,MIN(1,1-Products!$E$27*Products!$E$28*(1-Credit_Assumptions!$C$15)*Products!$E$13/Products!$E$38))</f>
        <v/>
      </c>
      <c r="AH143" s="81">
        <f>MAX(0,MIN(1,1-Products!$E$27*Products!$E$28*(1-Credit_Assumptions!$C$15)*Products!$E$13/Products!$E$38))</f>
        <v/>
      </c>
      <c r="AI143" s="81">
        <f>MAX(0,MIN(1,1-Products!$E$27*Products!$E$28*(1-Credit_Assumptions!$C$15)*Products!$E$13/Products!$E$38))</f>
        <v/>
      </c>
      <c r="AJ143" s="81">
        <f>MAX(0,MIN(1,1-Products!$E$27*Products!$E$28*(1-Credit_Assumptions!$C$15)*Products!$E$13/Products!$E$38))</f>
        <v/>
      </c>
      <c r="AK143" s="81">
        <f>MAX(0,MIN(1,1-Products!$E$27*Products!$E$28*(1-Credit_Assumptions!$C$15)*Products!$E$13/Products!$E$38))</f>
        <v/>
      </c>
      <c r="AL143" s="81">
        <f>MAX(0,MIN(1,1-Products!$E$27*Products!$E$28*(1-Credit_Assumptions!$C$15)*Products!$E$13/Products!$E$38))</f>
        <v/>
      </c>
      <c r="AM143" s="81">
        <f>MAX(0,MIN(1,1-Products!$E$27*Products!$E$28*(1-Credit_Assumptions!$C$15)*Products!$E$13/Products!$E$38))</f>
        <v/>
      </c>
      <c r="AN143" s="81">
        <f>MAX(0,MIN(1,1-Products!$E$27*Products!$E$28*(1-Credit_Assumptions!$C$15)*Products!$E$13/Products!$E$38))</f>
        <v/>
      </c>
      <c r="AO143" s="81">
        <f>MAX(0,MIN(1,1-Products!$E$27*Products!$E$28*(1-Credit_Assumptions!$C$15)*Products!$E$13/Products!$E$38))</f>
        <v/>
      </c>
      <c r="AP143" s="81">
        <f>MAX(0,MIN(1,1-Products!$E$27*Products!$E$28*(1-Credit_Assumptions!$C$15)*Products!$E$13/Products!$E$38))</f>
        <v/>
      </c>
      <c r="AQ143" s="81">
        <f>MAX(0,MIN(1,1-Products!$E$27*Products!$E$28*(1-Credit_Assumptions!$C$15)*Products!$E$13/Products!$E$38))</f>
        <v/>
      </c>
      <c r="AR143" s="81">
        <f>MAX(0,MIN(1,1-Products!$E$27*Products!$E$28*(1-Credit_Assumptions!$C$15)*Products!$E$13/Products!$E$38))</f>
        <v/>
      </c>
      <c r="AS143" s="81">
        <f>MAX(0,MIN(1,1-Products!$E$27*Products!$E$28*(1-Credit_Assumptions!$C$15)*Products!$E$13/Products!$E$38))</f>
        <v/>
      </c>
      <c r="AT143" s="81">
        <f>MAX(0,MIN(1,1-Products!$E$27*Products!$E$28*(1-Credit_Assumptions!$C$15)*Products!$E$13/Products!$E$38))</f>
        <v/>
      </c>
      <c r="AU143" s="81">
        <f>MAX(0,MIN(1,1-Products!$E$27*Products!$E$28*(1-Credit_Assumptions!$C$15)*Products!$E$13/Products!$E$38))</f>
        <v/>
      </c>
      <c r="AV143" s="81">
        <f>MAX(0,MIN(1,1-Products!$E$27*Products!$E$28*(1-Credit_Assumptions!$C$15)*Products!$E$13/Products!$E$38))</f>
        <v/>
      </c>
      <c r="AW143" s="81">
        <f>MAX(0,MIN(1,1-Products!$E$27*Products!$E$28*(1-Credit_Assumptions!$C$15)*Products!$E$13/Products!$E$38))</f>
        <v/>
      </c>
      <c r="AX143" s="81">
        <f>MAX(0,MIN(1,1-Products!$E$27*Products!$E$28*(1-Credit_Assumptions!$C$15)*Products!$E$13/Products!$E$38))</f>
        <v/>
      </c>
      <c r="AY143" s="81">
        <f>MAX(0,MIN(1,1-Products!$E$27*Products!$E$28*(1-Credit_Assumptions!$C$15)*Products!$E$13/Products!$E$38))</f>
        <v/>
      </c>
      <c r="AZ143" s="81">
        <f>MAX(0,MIN(1,1-Products!$E$27*Products!$E$28*(1-Credit_Assumptions!$C$15)*Products!$E$13/Products!$E$38))</f>
        <v/>
      </c>
      <c r="BA143" s="81">
        <f>MAX(0,MIN(1,1-Products!$E$27*Products!$E$28*(1-Credit_Assumptions!$C$15)*Products!$E$13/Products!$E$38))</f>
        <v/>
      </c>
      <c r="BB143" s="81">
        <f>MAX(0,MIN(1,1-Products!$E$27*Products!$E$28*(1-Credit_Assumptions!$C$15)*Products!$E$13/Products!$E$38))</f>
        <v/>
      </c>
      <c r="BC143" s="81">
        <f>MAX(0,MIN(1,1-Products!$E$27*Products!$E$28*(1-Credit_Assumptions!$C$15)*Products!$E$13/Products!$E$38))</f>
        <v/>
      </c>
      <c r="BD143" s="81">
        <f>MAX(0,MIN(1,1-Products!$E$27*Products!$E$28*(1-Credit_Assumptions!$C$15)*Products!$E$13/Products!$E$38))</f>
        <v/>
      </c>
      <c r="BE143" s="81">
        <f>MAX(0,MIN(1,1-Products!$E$27*Products!$E$28*(1-Credit_Assumptions!$C$15)*Products!$E$13/Products!$E$38))</f>
        <v/>
      </c>
      <c r="BF143" s="81">
        <f>MAX(0,MIN(1,1-Products!$E$27*Products!$E$28*(1-Credit_Assumptions!$C$15)*Products!$E$13/Products!$E$38))</f>
        <v/>
      </c>
      <c r="BG143" s="81">
        <f>MAX(0,MIN(1,1-Products!$E$27*Products!$E$28*(1-Credit_Assumptions!$C$15)*Products!$E$13/Products!$E$38))</f>
        <v/>
      </c>
      <c r="BH143" s="81">
        <f>MAX(0,MIN(1,1-Products!$E$27*Products!$E$28*(1-Credit_Assumptions!$C$15)*Products!$E$13/Products!$E$38))</f>
        <v/>
      </c>
      <c r="BI143" s="81">
        <f>MAX(0,MIN(1,1-Products!$E$27*Products!$E$28*(1-Credit_Assumptions!$C$15)*Products!$E$13/Products!$E$38))</f>
        <v/>
      </c>
      <c r="BJ143" s="81">
        <f>MAX(0,MIN(1,1-Products!$E$27*Products!$E$28*(1-Credit_Assumptions!$C$15)*Products!$E$13/Products!$E$38))</f>
        <v/>
      </c>
      <c r="BK143" s="81">
        <f>MAX(0,MIN(1,1-Products!$E$27*Products!$E$28*(1-Credit_Assumptions!$C$15)*Products!$E$13/Products!$E$38))</f>
        <v/>
      </c>
      <c r="BL143" s="81">
        <f>MAX(0,MIN(1,1-Products!$E$27*Products!$E$28*(1-Credit_Assumptions!$C$15)*Products!$E$13/Products!$E$38))</f>
        <v/>
      </c>
    </row>
    <row r="144">
      <c r="A144" s="98" t="inlineStr">
        <is>
          <t>Indicative stage-based ECL (diagnostic, not booked)</t>
        </is>
      </c>
      <c r="B144" s="65" t="inlineStr">
        <is>
          <t>LCY</t>
        </is>
      </c>
      <c r="C144" s="105">
        <f>BL144</f>
        <v/>
      </c>
      <c r="E144" s="80">
        <f>E124*CHOOSE(Credit_Assumptions!$D$28,E142*E143*(1+Credit_Assumptions!$C$17)^-0.5,(1-Credit_Assumptions!$C$16)*E143*(1+Credit_Assumptions!$C$17)^-0.5,E143)+E125*CHOOSE(Credit_Assumptions!$D$29,E142*E143*(1+Credit_Assumptions!$C$17)^-0.5,(1-Credit_Assumptions!$C$16)*E143*(1+Credit_Assumptions!$C$17)^-0.5,E143)+E126*CHOOSE(Credit_Assumptions!$D$30,E142*E143*(1+Credit_Assumptions!$C$17)^-0.5,(1-Credit_Assumptions!$C$16)*E143*(1+Credit_Assumptions!$C$17)^-0.5,E143)+E127*CHOOSE(Credit_Assumptions!$D$31,E142*E143*(1+Credit_Assumptions!$C$17)^-0.5,(1-Credit_Assumptions!$C$16)*E143*(1+Credit_Assumptions!$C$17)^-0.5,E143)+E128*CHOOSE(Credit_Assumptions!$D$32,E142*E143*(1+Credit_Assumptions!$C$17)^-0.5,(1-Credit_Assumptions!$C$16)*E143*(1+Credit_Assumptions!$C$17)^-0.5,E143)+E129*CHOOSE(Credit_Assumptions!$D$33,E142*E143*(1+Credit_Assumptions!$C$17)^-0.5,(1-Credit_Assumptions!$C$16)*E143*(1+Credit_Assumptions!$C$17)^-0.5,E143)</f>
        <v/>
      </c>
      <c r="F144" s="80">
        <f>F124*CHOOSE(Credit_Assumptions!$D$28,F142*F143*(1+Credit_Assumptions!$C$17)^-0.5,(1-Credit_Assumptions!$C$16)*F143*(1+Credit_Assumptions!$C$17)^-0.5,F143)+F125*CHOOSE(Credit_Assumptions!$D$29,F142*F143*(1+Credit_Assumptions!$C$17)^-0.5,(1-Credit_Assumptions!$C$16)*F143*(1+Credit_Assumptions!$C$17)^-0.5,F143)+F126*CHOOSE(Credit_Assumptions!$D$30,F142*F143*(1+Credit_Assumptions!$C$17)^-0.5,(1-Credit_Assumptions!$C$16)*F143*(1+Credit_Assumptions!$C$17)^-0.5,F143)+F127*CHOOSE(Credit_Assumptions!$D$31,F142*F143*(1+Credit_Assumptions!$C$17)^-0.5,(1-Credit_Assumptions!$C$16)*F143*(1+Credit_Assumptions!$C$17)^-0.5,F143)+F128*CHOOSE(Credit_Assumptions!$D$32,F142*F143*(1+Credit_Assumptions!$C$17)^-0.5,(1-Credit_Assumptions!$C$16)*F143*(1+Credit_Assumptions!$C$17)^-0.5,F143)+F129*CHOOSE(Credit_Assumptions!$D$33,F142*F143*(1+Credit_Assumptions!$C$17)^-0.5,(1-Credit_Assumptions!$C$16)*F143*(1+Credit_Assumptions!$C$17)^-0.5,F143)</f>
        <v/>
      </c>
      <c r="G144" s="80">
        <f>G124*CHOOSE(Credit_Assumptions!$D$28,G142*G143*(1+Credit_Assumptions!$C$17)^-0.5,(1-Credit_Assumptions!$C$16)*G143*(1+Credit_Assumptions!$C$17)^-0.5,G143)+G125*CHOOSE(Credit_Assumptions!$D$29,G142*G143*(1+Credit_Assumptions!$C$17)^-0.5,(1-Credit_Assumptions!$C$16)*G143*(1+Credit_Assumptions!$C$17)^-0.5,G143)+G126*CHOOSE(Credit_Assumptions!$D$30,G142*G143*(1+Credit_Assumptions!$C$17)^-0.5,(1-Credit_Assumptions!$C$16)*G143*(1+Credit_Assumptions!$C$17)^-0.5,G143)+G127*CHOOSE(Credit_Assumptions!$D$31,G142*G143*(1+Credit_Assumptions!$C$17)^-0.5,(1-Credit_Assumptions!$C$16)*G143*(1+Credit_Assumptions!$C$17)^-0.5,G143)+G128*CHOOSE(Credit_Assumptions!$D$32,G142*G143*(1+Credit_Assumptions!$C$17)^-0.5,(1-Credit_Assumptions!$C$16)*G143*(1+Credit_Assumptions!$C$17)^-0.5,G143)+G129*CHOOSE(Credit_Assumptions!$D$33,G142*G143*(1+Credit_Assumptions!$C$17)^-0.5,(1-Credit_Assumptions!$C$16)*G143*(1+Credit_Assumptions!$C$17)^-0.5,G143)</f>
        <v/>
      </c>
      <c r="H144" s="80">
        <f>H124*CHOOSE(Credit_Assumptions!$D$28,H142*H143*(1+Credit_Assumptions!$C$17)^-0.5,(1-Credit_Assumptions!$C$16)*H143*(1+Credit_Assumptions!$C$17)^-0.5,H143)+H125*CHOOSE(Credit_Assumptions!$D$29,H142*H143*(1+Credit_Assumptions!$C$17)^-0.5,(1-Credit_Assumptions!$C$16)*H143*(1+Credit_Assumptions!$C$17)^-0.5,H143)+H126*CHOOSE(Credit_Assumptions!$D$30,H142*H143*(1+Credit_Assumptions!$C$17)^-0.5,(1-Credit_Assumptions!$C$16)*H143*(1+Credit_Assumptions!$C$17)^-0.5,H143)+H127*CHOOSE(Credit_Assumptions!$D$31,H142*H143*(1+Credit_Assumptions!$C$17)^-0.5,(1-Credit_Assumptions!$C$16)*H143*(1+Credit_Assumptions!$C$17)^-0.5,H143)+H128*CHOOSE(Credit_Assumptions!$D$32,H142*H143*(1+Credit_Assumptions!$C$17)^-0.5,(1-Credit_Assumptions!$C$16)*H143*(1+Credit_Assumptions!$C$17)^-0.5,H143)+H129*CHOOSE(Credit_Assumptions!$D$33,H142*H143*(1+Credit_Assumptions!$C$17)^-0.5,(1-Credit_Assumptions!$C$16)*H143*(1+Credit_Assumptions!$C$17)^-0.5,H143)</f>
        <v/>
      </c>
      <c r="I144" s="80">
        <f>I124*CHOOSE(Credit_Assumptions!$D$28,I142*I143*(1+Credit_Assumptions!$C$17)^-0.5,(1-Credit_Assumptions!$C$16)*I143*(1+Credit_Assumptions!$C$17)^-0.5,I143)+I125*CHOOSE(Credit_Assumptions!$D$29,I142*I143*(1+Credit_Assumptions!$C$17)^-0.5,(1-Credit_Assumptions!$C$16)*I143*(1+Credit_Assumptions!$C$17)^-0.5,I143)+I126*CHOOSE(Credit_Assumptions!$D$30,I142*I143*(1+Credit_Assumptions!$C$17)^-0.5,(1-Credit_Assumptions!$C$16)*I143*(1+Credit_Assumptions!$C$17)^-0.5,I143)+I127*CHOOSE(Credit_Assumptions!$D$31,I142*I143*(1+Credit_Assumptions!$C$17)^-0.5,(1-Credit_Assumptions!$C$16)*I143*(1+Credit_Assumptions!$C$17)^-0.5,I143)+I128*CHOOSE(Credit_Assumptions!$D$32,I142*I143*(1+Credit_Assumptions!$C$17)^-0.5,(1-Credit_Assumptions!$C$16)*I143*(1+Credit_Assumptions!$C$17)^-0.5,I143)+I129*CHOOSE(Credit_Assumptions!$D$33,I142*I143*(1+Credit_Assumptions!$C$17)^-0.5,(1-Credit_Assumptions!$C$16)*I143*(1+Credit_Assumptions!$C$17)^-0.5,I143)</f>
        <v/>
      </c>
      <c r="J144" s="80">
        <f>J124*CHOOSE(Credit_Assumptions!$D$28,J142*J143*(1+Credit_Assumptions!$C$17)^-0.5,(1-Credit_Assumptions!$C$16)*J143*(1+Credit_Assumptions!$C$17)^-0.5,J143)+J125*CHOOSE(Credit_Assumptions!$D$29,J142*J143*(1+Credit_Assumptions!$C$17)^-0.5,(1-Credit_Assumptions!$C$16)*J143*(1+Credit_Assumptions!$C$17)^-0.5,J143)+J126*CHOOSE(Credit_Assumptions!$D$30,J142*J143*(1+Credit_Assumptions!$C$17)^-0.5,(1-Credit_Assumptions!$C$16)*J143*(1+Credit_Assumptions!$C$17)^-0.5,J143)+J127*CHOOSE(Credit_Assumptions!$D$31,J142*J143*(1+Credit_Assumptions!$C$17)^-0.5,(1-Credit_Assumptions!$C$16)*J143*(1+Credit_Assumptions!$C$17)^-0.5,J143)+J128*CHOOSE(Credit_Assumptions!$D$32,J142*J143*(1+Credit_Assumptions!$C$17)^-0.5,(1-Credit_Assumptions!$C$16)*J143*(1+Credit_Assumptions!$C$17)^-0.5,J143)+J129*CHOOSE(Credit_Assumptions!$D$33,J142*J143*(1+Credit_Assumptions!$C$17)^-0.5,(1-Credit_Assumptions!$C$16)*J143*(1+Credit_Assumptions!$C$17)^-0.5,J143)</f>
        <v/>
      </c>
      <c r="K144" s="80">
        <f>K124*CHOOSE(Credit_Assumptions!$D$28,K142*K143*(1+Credit_Assumptions!$C$17)^-0.5,(1-Credit_Assumptions!$C$16)*K143*(1+Credit_Assumptions!$C$17)^-0.5,K143)+K125*CHOOSE(Credit_Assumptions!$D$29,K142*K143*(1+Credit_Assumptions!$C$17)^-0.5,(1-Credit_Assumptions!$C$16)*K143*(1+Credit_Assumptions!$C$17)^-0.5,K143)+K126*CHOOSE(Credit_Assumptions!$D$30,K142*K143*(1+Credit_Assumptions!$C$17)^-0.5,(1-Credit_Assumptions!$C$16)*K143*(1+Credit_Assumptions!$C$17)^-0.5,K143)+K127*CHOOSE(Credit_Assumptions!$D$31,K142*K143*(1+Credit_Assumptions!$C$17)^-0.5,(1-Credit_Assumptions!$C$16)*K143*(1+Credit_Assumptions!$C$17)^-0.5,K143)+K128*CHOOSE(Credit_Assumptions!$D$32,K142*K143*(1+Credit_Assumptions!$C$17)^-0.5,(1-Credit_Assumptions!$C$16)*K143*(1+Credit_Assumptions!$C$17)^-0.5,K143)+K129*CHOOSE(Credit_Assumptions!$D$33,K142*K143*(1+Credit_Assumptions!$C$17)^-0.5,(1-Credit_Assumptions!$C$16)*K143*(1+Credit_Assumptions!$C$17)^-0.5,K143)</f>
        <v/>
      </c>
      <c r="L144" s="80">
        <f>L124*CHOOSE(Credit_Assumptions!$D$28,L142*L143*(1+Credit_Assumptions!$C$17)^-0.5,(1-Credit_Assumptions!$C$16)*L143*(1+Credit_Assumptions!$C$17)^-0.5,L143)+L125*CHOOSE(Credit_Assumptions!$D$29,L142*L143*(1+Credit_Assumptions!$C$17)^-0.5,(1-Credit_Assumptions!$C$16)*L143*(1+Credit_Assumptions!$C$17)^-0.5,L143)+L126*CHOOSE(Credit_Assumptions!$D$30,L142*L143*(1+Credit_Assumptions!$C$17)^-0.5,(1-Credit_Assumptions!$C$16)*L143*(1+Credit_Assumptions!$C$17)^-0.5,L143)+L127*CHOOSE(Credit_Assumptions!$D$31,L142*L143*(1+Credit_Assumptions!$C$17)^-0.5,(1-Credit_Assumptions!$C$16)*L143*(1+Credit_Assumptions!$C$17)^-0.5,L143)+L128*CHOOSE(Credit_Assumptions!$D$32,L142*L143*(1+Credit_Assumptions!$C$17)^-0.5,(1-Credit_Assumptions!$C$16)*L143*(1+Credit_Assumptions!$C$17)^-0.5,L143)+L129*CHOOSE(Credit_Assumptions!$D$33,L142*L143*(1+Credit_Assumptions!$C$17)^-0.5,(1-Credit_Assumptions!$C$16)*L143*(1+Credit_Assumptions!$C$17)^-0.5,L143)</f>
        <v/>
      </c>
      <c r="M144" s="80">
        <f>M124*CHOOSE(Credit_Assumptions!$D$28,M142*M143*(1+Credit_Assumptions!$C$17)^-0.5,(1-Credit_Assumptions!$C$16)*M143*(1+Credit_Assumptions!$C$17)^-0.5,M143)+M125*CHOOSE(Credit_Assumptions!$D$29,M142*M143*(1+Credit_Assumptions!$C$17)^-0.5,(1-Credit_Assumptions!$C$16)*M143*(1+Credit_Assumptions!$C$17)^-0.5,M143)+M126*CHOOSE(Credit_Assumptions!$D$30,M142*M143*(1+Credit_Assumptions!$C$17)^-0.5,(1-Credit_Assumptions!$C$16)*M143*(1+Credit_Assumptions!$C$17)^-0.5,M143)+M127*CHOOSE(Credit_Assumptions!$D$31,M142*M143*(1+Credit_Assumptions!$C$17)^-0.5,(1-Credit_Assumptions!$C$16)*M143*(1+Credit_Assumptions!$C$17)^-0.5,M143)+M128*CHOOSE(Credit_Assumptions!$D$32,M142*M143*(1+Credit_Assumptions!$C$17)^-0.5,(1-Credit_Assumptions!$C$16)*M143*(1+Credit_Assumptions!$C$17)^-0.5,M143)+M129*CHOOSE(Credit_Assumptions!$D$33,M142*M143*(1+Credit_Assumptions!$C$17)^-0.5,(1-Credit_Assumptions!$C$16)*M143*(1+Credit_Assumptions!$C$17)^-0.5,M143)</f>
        <v/>
      </c>
      <c r="N144" s="80">
        <f>N124*CHOOSE(Credit_Assumptions!$D$28,N142*N143*(1+Credit_Assumptions!$C$17)^-0.5,(1-Credit_Assumptions!$C$16)*N143*(1+Credit_Assumptions!$C$17)^-0.5,N143)+N125*CHOOSE(Credit_Assumptions!$D$29,N142*N143*(1+Credit_Assumptions!$C$17)^-0.5,(1-Credit_Assumptions!$C$16)*N143*(1+Credit_Assumptions!$C$17)^-0.5,N143)+N126*CHOOSE(Credit_Assumptions!$D$30,N142*N143*(1+Credit_Assumptions!$C$17)^-0.5,(1-Credit_Assumptions!$C$16)*N143*(1+Credit_Assumptions!$C$17)^-0.5,N143)+N127*CHOOSE(Credit_Assumptions!$D$31,N142*N143*(1+Credit_Assumptions!$C$17)^-0.5,(1-Credit_Assumptions!$C$16)*N143*(1+Credit_Assumptions!$C$17)^-0.5,N143)+N128*CHOOSE(Credit_Assumptions!$D$32,N142*N143*(1+Credit_Assumptions!$C$17)^-0.5,(1-Credit_Assumptions!$C$16)*N143*(1+Credit_Assumptions!$C$17)^-0.5,N143)+N129*CHOOSE(Credit_Assumptions!$D$33,N142*N143*(1+Credit_Assumptions!$C$17)^-0.5,(1-Credit_Assumptions!$C$16)*N143*(1+Credit_Assumptions!$C$17)^-0.5,N143)</f>
        <v/>
      </c>
      <c r="O144" s="80">
        <f>O124*CHOOSE(Credit_Assumptions!$D$28,O142*O143*(1+Credit_Assumptions!$C$17)^-0.5,(1-Credit_Assumptions!$C$16)*O143*(1+Credit_Assumptions!$C$17)^-0.5,O143)+O125*CHOOSE(Credit_Assumptions!$D$29,O142*O143*(1+Credit_Assumptions!$C$17)^-0.5,(1-Credit_Assumptions!$C$16)*O143*(1+Credit_Assumptions!$C$17)^-0.5,O143)+O126*CHOOSE(Credit_Assumptions!$D$30,O142*O143*(1+Credit_Assumptions!$C$17)^-0.5,(1-Credit_Assumptions!$C$16)*O143*(1+Credit_Assumptions!$C$17)^-0.5,O143)+O127*CHOOSE(Credit_Assumptions!$D$31,O142*O143*(1+Credit_Assumptions!$C$17)^-0.5,(1-Credit_Assumptions!$C$16)*O143*(1+Credit_Assumptions!$C$17)^-0.5,O143)+O128*CHOOSE(Credit_Assumptions!$D$32,O142*O143*(1+Credit_Assumptions!$C$17)^-0.5,(1-Credit_Assumptions!$C$16)*O143*(1+Credit_Assumptions!$C$17)^-0.5,O143)+O129*CHOOSE(Credit_Assumptions!$D$33,O142*O143*(1+Credit_Assumptions!$C$17)^-0.5,(1-Credit_Assumptions!$C$16)*O143*(1+Credit_Assumptions!$C$17)^-0.5,O143)</f>
        <v/>
      </c>
      <c r="P144" s="80">
        <f>P124*CHOOSE(Credit_Assumptions!$D$28,P142*P143*(1+Credit_Assumptions!$C$17)^-0.5,(1-Credit_Assumptions!$C$16)*P143*(1+Credit_Assumptions!$C$17)^-0.5,P143)+P125*CHOOSE(Credit_Assumptions!$D$29,P142*P143*(1+Credit_Assumptions!$C$17)^-0.5,(1-Credit_Assumptions!$C$16)*P143*(1+Credit_Assumptions!$C$17)^-0.5,P143)+P126*CHOOSE(Credit_Assumptions!$D$30,P142*P143*(1+Credit_Assumptions!$C$17)^-0.5,(1-Credit_Assumptions!$C$16)*P143*(1+Credit_Assumptions!$C$17)^-0.5,P143)+P127*CHOOSE(Credit_Assumptions!$D$31,P142*P143*(1+Credit_Assumptions!$C$17)^-0.5,(1-Credit_Assumptions!$C$16)*P143*(1+Credit_Assumptions!$C$17)^-0.5,P143)+P128*CHOOSE(Credit_Assumptions!$D$32,P142*P143*(1+Credit_Assumptions!$C$17)^-0.5,(1-Credit_Assumptions!$C$16)*P143*(1+Credit_Assumptions!$C$17)^-0.5,P143)+P129*CHOOSE(Credit_Assumptions!$D$33,P142*P143*(1+Credit_Assumptions!$C$17)^-0.5,(1-Credit_Assumptions!$C$16)*P143*(1+Credit_Assumptions!$C$17)^-0.5,P143)</f>
        <v/>
      </c>
      <c r="Q144" s="80">
        <f>Q124*CHOOSE(Credit_Assumptions!$D$28,Q142*Q143*(1+Credit_Assumptions!$C$17)^-0.5,(1-Credit_Assumptions!$C$16)*Q143*(1+Credit_Assumptions!$C$17)^-0.5,Q143)+Q125*CHOOSE(Credit_Assumptions!$D$29,Q142*Q143*(1+Credit_Assumptions!$C$17)^-0.5,(1-Credit_Assumptions!$C$16)*Q143*(1+Credit_Assumptions!$C$17)^-0.5,Q143)+Q126*CHOOSE(Credit_Assumptions!$D$30,Q142*Q143*(1+Credit_Assumptions!$C$17)^-0.5,(1-Credit_Assumptions!$C$16)*Q143*(1+Credit_Assumptions!$C$17)^-0.5,Q143)+Q127*CHOOSE(Credit_Assumptions!$D$31,Q142*Q143*(1+Credit_Assumptions!$C$17)^-0.5,(1-Credit_Assumptions!$C$16)*Q143*(1+Credit_Assumptions!$C$17)^-0.5,Q143)+Q128*CHOOSE(Credit_Assumptions!$D$32,Q142*Q143*(1+Credit_Assumptions!$C$17)^-0.5,(1-Credit_Assumptions!$C$16)*Q143*(1+Credit_Assumptions!$C$17)^-0.5,Q143)+Q129*CHOOSE(Credit_Assumptions!$D$33,Q142*Q143*(1+Credit_Assumptions!$C$17)^-0.5,(1-Credit_Assumptions!$C$16)*Q143*(1+Credit_Assumptions!$C$17)^-0.5,Q143)</f>
        <v/>
      </c>
      <c r="R144" s="80">
        <f>R124*CHOOSE(Credit_Assumptions!$D$28,R142*R143*(1+Credit_Assumptions!$C$17)^-0.5,(1-Credit_Assumptions!$C$16)*R143*(1+Credit_Assumptions!$C$17)^-0.5,R143)+R125*CHOOSE(Credit_Assumptions!$D$29,R142*R143*(1+Credit_Assumptions!$C$17)^-0.5,(1-Credit_Assumptions!$C$16)*R143*(1+Credit_Assumptions!$C$17)^-0.5,R143)+R126*CHOOSE(Credit_Assumptions!$D$30,R142*R143*(1+Credit_Assumptions!$C$17)^-0.5,(1-Credit_Assumptions!$C$16)*R143*(1+Credit_Assumptions!$C$17)^-0.5,R143)+R127*CHOOSE(Credit_Assumptions!$D$31,R142*R143*(1+Credit_Assumptions!$C$17)^-0.5,(1-Credit_Assumptions!$C$16)*R143*(1+Credit_Assumptions!$C$17)^-0.5,R143)+R128*CHOOSE(Credit_Assumptions!$D$32,R142*R143*(1+Credit_Assumptions!$C$17)^-0.5,(1-Credit_Assumptions!$C$16)*R143*(1+Credit_Assumptions!$C$17)^-0.5,R143)+R129*CHOOSE(Credit_Assumptions!$D$33,R142*R143*(1+Credit_Assumptions!$C$17)^-0.5,(1-Credit_Assumptions!$C$16)*R143*(1+Credit_Assumptions!$C$17)^-0.5,R143)</f>
        <v/>
      </c>
      <c r="S144" s="80">
        <f>S124*CHOOSE(Credit_Assumptions!$D$28,S142*S143*(1+Credit_Assumptions!$C$17)^-0.5,(1-Credit_Assumptions!$C$16)*S143*(1+Credit_Assumptions!$C$17)^-0.5,S143)+S125*CHOOSE(Credit_Assumptions!$D$29,S142*S143*(1+Credit_Assumptions!$C$17)^-0.5,(1-Credit_Assumptions!$C$16)*S143*(1+Credit_Assumptions!$C$17)^-0.5,S143)+S126*CHOOSE(Credit_Assumptions!$D$30,S142*S143*(1+Credit_Assumptions!$C$17)^-0.5,(1-Credit_Assumptions!$C$16)*S143*(1+Credit_Assumptions!$C$17)^-0.5,S143)+S127*CHOOSE(Credit_Assumptions!$D$31,S142*S143*(1+Credit_Assumptions!$C$17)^-0.5,(1-Credit_Assumptions!$C$16)*S143*(1+Credit_Assumptions!$C$17)^-0.5,S143)+S128*CHOOSE(Credit_Assumptions!$D$32,S142*S143*(1+Credit_Assumptions!$C$17)^-0.5,(1-Credit_Assumptions!$C$16)*S143*(1+Credit_Assumptions!$C$17)^-0.5,S143)+S129*CHOOSE(Credit_Assumptions!$D$33,S142*S143*(1+Credit_Assumptions!$C$17)^-0.5,(1-Credit_Assumptions!$C$16)*S143*(1+Credit_Assumptions!$C$17)^-0.5,S143)</f>
        <v/>
      </c>
      <c r="T144" s="80">
        <f>T124*CHOOSE(Credit_Assumptions!$D$28,T142*T143*(1+Credit_Assumptions!$C$17)^-0.5,(1-Credit_Assumptions!$C$16)*T143*(1+Credit_Assumptions!$C$17)^-0.5,T143)+T125*CHOOSE(Credit_Assumptions!$D$29,T142*T143*(1+Credit_Assumptions!$C$17)^-0.5,(1-Credit_Assumptions!$C$16)*T143*(1+Credit_Assumptions!$C$17)^-0.5,T143)+T126*CHOOSE(Credit_Assumptions!$D$30,T142*T143*(1+Credit_Assumptions!$C$17)^-0.5,(1-Credit_Assumptions!$C$16)*T143*(1+Credit_Assumptions!$C$17)^-0.5,T143)+T127*CHOOSE(Credit_Assumptions!$D$31,T142*T143*(1+Credit_Assumptions!$C$17)^-0.5,(1-Credit_Assumptions!$C$16)*T143*(1+Credit_Assumptions!$C$17)^-0.5,T143)+T128*CHOOSE(Credit_Assumptions!$D$32,T142*T143*(1+Credit_Assumptions!$C$17)^-0.5,(1-Credit_Assumptions!$C$16)*T143*(1+Credit_Assumptions!$C$17)^-0.5,T143)+T129*CHOOSE(Credit_Assumptions!$D$33,T142*T143*(1+Credit_Assumptions!$C$17)^-0.5,(1-Credit_Assumptions!$C$16)*T143*(1+Credit_Assumptions!$C$17)^-0.5,T143)</f>
        <v/>
      </c>
      <c r="U144" s="80">
        <f>U124*CHOOSE(Credit_Assumptions!$D$28,U142*U143*(1+Credit_Assumptions!$C$17)^-0.5,(1-Credit_Assumptions!$C$16)*U143*(1+Credit_Assumptions!$C$17)^-0.5,U143)+U125*CHOOSE(Credit_Assumptions!$D$29,U142*U143*(1+Credit_Assumptions!$C$17)^-0.5,(1-Credit_Assumptions!$C$16)*U143*(1+Credit_Assumptions!$C$17)^-0.5,U143)+U126*CHOOSE(Credit_Assumptions!$D$30,U142*U143*(1+Credit_Assumptions!$C$17)^-0.5,(1-Credit_Assumptions!$C$16)*U143*(1+Credit_Assumptions!$C$17)^-0.5,U143)+U127*CHOOSE(Credit_Assumptions!$D$31,U142*U143*(1+Credit_Assumptions!$C$17)^-0.5,(1-Credit_Assumptions!$C$16)*U143*(1+Credit_Assumptions!$C$17)^-0.5,U143)+U128*CHOOSE(Credit_Assumptions!$D$32,U142*U143*(1+Credit_Assumptions!$C$17)^-0.5,(1-Credit_Assumptions!$C$16)*U143*(1+Credit_Assumptions!$C$17)^-0.5,U143)+U129*CHOOSE(Credit_Assumptions!$D$33,U142*U143*(1+Credit_Assumptions!$C$17)^-0.5,(1-Credit_Assumptions!$C$16)*U143*(1+Credit_Assumptions!$C$17)^-0.5,U143)</f>
        <v/>
      </c>
      <c r="V144" s="80">
        <f>V124*CHOOSE(Credit_Assumptions!$D$28,V142*V143*(1+Credit_Assumptions!$C$17)^-0.5,(1-Credit_Assumptions!$C$16)*V143*(1+Credit_Assumptions!$C$17)^-0.5,V143)+V125*CHOOSE(Credit_Assumptions!$D$29,V142*V143*(1+Credit_Assumptions!$C$17)^-0.5,(1-Credit_Assumptions!$C$16)*V143*(1+Credit_Assumptions!$C$17)^-0.5,V143)+V126*CHOOSE(Credit_Assumptions!$D$30,V142*V143*(1+Credit_Assumptions!$C$17)^-0.5,(1-Credit_Assumptions!$C$16)*V143*(1+Credit_Assumptions!$C$17)^-0.5,V143)+V127*CHOOSE(Credit_Assumptions!$D$31,V142*V143*(1+Credit_Assumptions!$C$17)^-0.5,(1-Credit_Assumptions!$C$16)*V143*(1+Credit_Assumptions!$C$17)^-0.5,V143)+V128*CHOOSE(Credit_Assumptions!$D$32,V142*V143*(1+Credit_Assumptions!$C$17)^-0.5,(1-Credit_Assumptions!$C$16)*V143*(1+Credit_Assumptions!$C$17)^-0.5,V143)+V129*CHOOSE(Credit_Assumptions!$D$33,V142*V143*(1+Credit_Assumptions!$C$17)^-0.5,(1-Credit_Assumptions!$C$16)*V143*(1+Credit_Assumptions!$C$17)^-0.5,V143)</f>
        <v/>
      </c>
      <c r="W144" s="80">
        <f>W124*CHOOSE(Credit_Assumptions!$D$28,W142*W143*(1+Credit_Assumptions!$C$17)^-0.5,(1-Credit_Assumptions!$C$16)*W143*(1+Credit_Assumptions!$C$17)^-0.5,W143)+W125*CHOOSE(Credit_Assumptions!$D$29,W142*W143*(1+Credit_Assumptions!$C$17)^-0.5,(1-Credit_Assumptions!$C$16)*W143*(1+Credit_Assumptions!$C$17)^-0.5,W143)+W126*CHOOSE(Credit_Assumptions!$D$30,W142*W143*(1+Credit_Assumptions!$C$17)^-0.5,(1-Credit_Assumptions!$C$16)*W143*(1+Credit_Assumptions!$C$17)^-0.5,W143)+W127*CHOOSE(Credit_Assumptions!$D$31,W142*W143*(1+Credit_Assumptions!$C$17)^-0.5,(1-Credit_Assumptions!$C$16)*W143*(1+Credit_Assumptions!$C$17)^-0.5,W143)+W128*CHOOSE(Credit_Assumptions!$D$32,W142*W143*(1+Credit_Assumptions!$C$17)^-0.5,(1-Credit_Assumptions!$C$16)*W143*(1+Credit_Assumptions!$C$17)^-0.5,W143)+W129*CHOOSE(Credit_Assumptions!$D$33,W142*W143*(1+Credit_Assumptions!$C$17)^-0.5,(1-Credit_Assumptions!$C$16)*W143*(1+Credit_Assumptions!$C$17)^-0.5,W143)</f>
        <v/>
      </c>
      <c r="X144" s="80">
        <f>X124*CHOOSE(Credit_Assumptions!$D$28,X142*X143*(1+Credit_Assumptions!$C$17)^-0.5,(1-Credit_Assumptions!$C$16)*X143*(1+Credit_Assumptions!$C$17)^-0.5,X143)+X125*CHOOSE(Credit_Assumptions!$D$29,X142*X143*(1+Credit_Assumptions!$C$17)^-0.5,(1-Credit_Assumptions!$C$16)*X143*(1+Credit_Assumptions!$C$17)^-0.5,X143)+X126*CHOOSE(Credit_Assumptions!$D$30,X142*X143*(1+Credit_Assumptions!$C$17)^-0.5,(1-Credit_Assumptions!$C$16)*X143*(1+Credit_Assumptions!$C$17)^-0.5,X143)+X127*CHOOSE(Credit_Assumptions!$D$31,X142*X143*(1+Credit_Assumptions!$C$17)^-0.5,(1-Credit_Assumptions!$C$16)*X143*(1+Credit_Assumptions!$C$17)^-0.5,X143)+X128*CHOOSE(Credit_Assumptions!$D$32,X142*X143*(1+Credit_Assumptions!$C$17)^-0.5,(1-Credit_Assumptions!$C$16)*X143*(1+Credit_Assumptions!$C$17)^-0.5,X143)+X129*CHOOSE(Credit_Assumptions!$D$33,X142*X143*(1+Credit_Assumptions!$C$17)^-0.5,(1-Credit_Assumptions!$C$16)*X143*(1+Credit_Assumptions!$C$17)^-0.5,X143)</f>
        <v/>
      </c>
      <c r="Y144" s="80">
        <f>Y124*CHOOSE(Credit_Assumptions!$D$28,Y142*Y143*(1+Credit_Assumptions!$C$17)^-0.5,(1-Credit_Assumptions!$C$16)*Y143*(1+Credit_Assumptions!$C$17)^-0.5,Y143)+Y125*CHOOSE(Credit_Assumptions!$D$29,Y142*Y143*(1+Credit_Assumptions!$C$17)^-0.5,(1-Credit_Assumptions!$C$16)*Y143*(1+Credit_Assumptions!$C$17)^-0.5,Y143)+Y126*CHOOSE(Credit_Assumptions!$D$30,Y142*Y143*(1+Credit_Assumptions!$C$17)^-0.5,(1-Credit_Assumptions!$C$16)*Y143*(1+Credit_Assumptions!$C$17)^-0.5,Y143)+Y127*CHOOSE(Credit_Assumptions!$D$31,Y142*Y143*(1+Credit_Assumptions!$C$17)^-0.5,(1-Credit_Assumptions!$C$16)*Y143*(1+Credit_Assumptions!$C$17)^-0.5,Y143)+Y128*CHOOSE(Credit_Assumptions!$D$32,Y142*Y143*(1+Credit_Assumptions!$C$17)^-0.5,(1-Credit_Assumptions!$C$16)*Y143*(1+Credit_Assumptions!$C$17)^-0.5,Y143)+Y129*CHOOSE(Credit_Assumptions!$D$33,Y142*Y143*(1+Credit_Assumptions!$C$17)^-0.5,(1-Credit_Assumptions!$C$16)*Y143*(1+Credit_Assumptions!$C$17)^-0.5,Y143)</f>
        <v/>
      </c>
      <c r="Z144" s="80">
        <f>Z124*CHOOSE(Credit_Assumptions!$D$28,Z142*Z143*(1+Credit_Assumptions!$C$17)^-0.5,(1-Credit_Assumptions!$C$16)*Z143*(1+Credit_Assumptions!$C$17)^-0.5,Z143)+Z125*CHOOSE(Credit_Assumptions!$D$29,Z142*Z143*(1+Credit_Assumptions!$C$17)^-0.5,(1-Credit_Assumptions!$C$16)*Z143*(1+Credit_Assumptions!$C$17)^-0.5,Z143)+Z126*CHOOSE(Credit_Assumptions!$D$30,Z142*Z143*(1+Credit_Assumptions!$C$17)^-0.5,(1-Credit_Assumptions!$C$16)*Z143*(1+Credit_Assumptions!$C$17)^-0.5,Z143)+Z127*CHOOSE(Credit_Assumptions!$D$31,Z142*Z143*(1+Credit_Assumptions!$C$17)^-0.5,(1-Credit_Assumptions!$C$16)*Z143*(1+Credit_Assumptions!$C$17)^-0.5,Z143)+Z128*CHOOSE(Credit_Assumptions!$D$32,Z142*Z143*(1+Credit_Assumptions!$C$17)^-0.5,(1-Credit_Assumptions!$C$16)*Z143*(1+Credit_Assumptions!$C$17)^-0.5,Z143)+Z129*CHOOSE(Credit_Assumptions!$D$33,Z142*Z143*(1+Credit_Assumptions!$C$17)^-0.5,(1-Credit_Assumptions!$C$16)*Z143*(1+Credit_Assumptions!$C$17)^-0.5,Z143)</f>
        <v/>
      </c>
      <c r="AA144" s="80">
        <f>AA124*CHOOSE(Credit_Assumptions!$D$28,AA142*AA143*(1+Credit_Assumptions!$C$17)^-0.5,(1-Credit_Assumptions!$C$16)*AA143*(1+Credit_Assumptions!$C$17)^-0.5,AA143)+AA125*CHOOSE(Credit_Assumptions!$D$29,AA142*AA143*(1+Credit_Assumptions!$C$17)^-0.5,(1-Credit_Assumptions!$C$16)*AA143*(1+Credit_Assumptions!$C$17)^-0.5,AA143)+AA126*CHOOSE(Credit_Assumptions!$D$30,AA142*AA143*(1+Credit_Assumptions!$C$17)^-0.5,(1-Credit_Assumptions!$C$16)*AA143*(1+Credit_Assumptions!$C$17)^-0.5,AA143)+AA127*CHOOSE(Credit_Assumptions!$D$31,AA142*AA143*(1+Credit_Assumptions!$C$17)^-0.5,(1-Credit_Assumptions!$C$16)*AA143*(1+Credit_Assumptions!$C$17)^-0.5,AA143)+AA128*CHOOSE(Credit_Assumptions!$D$32,AA142*AA143*(1+Credit_Assumptions!$C$17)^-0.5,(1-Credit_Assumptions!$C$16)*AA143*(1+Credit_Assumptions!$C$17)^-0.5,AA143)+AA129*CHOOSE(Credit_Assumptions!$D$33,AA142*AA143*(1+Credit_Assumptions!$C$17)^-0.5,(1-Credit_Assumptions!$C$16)*AA143*(1+Credit_Assumptions!$C$17)^-0.5,AA143)</f>
        <v/>
      </c>
      <c r="AB144" s="80">
        <f>AB124*CHOOSE(Credit_Assumptions!$D$28,AB142*AB143*(1+Credit_Assumptions!$C$17)^-0.5,(1-Credit_Assumptions!$C$16)*AB143*(1+Credit_Assumptions!$C$17)^-0.5,AB143)+AB125*CHOOSE(Credit_Assumptions!$D$29,AB142*AB143*(1+Credit_Assumptions!$C$17)^-0.5,(1-Credit_Assumptions!$C$16)*AB143*(1+Credit_Assumptions!$C$17)^-0.5,AB143)+AB126*CHOOSE(Credit_Assumptions!$D$30,AB142*AB143*(1+Credit_Assumptions!$C$17)^-0.5,(1-Credit_Assumptions!$C$16)*AB143*(1+Credit_Assumptions!$C$17)^-0.5,AB143)+AB127*CHOOSE(Credit_Assumptions!$D$31,AB142*AB143*(1+Credit_Assumptions!$C$17)^-0.5,(1-Credit_Assumptions!$C$16)*AB143*(1+Credit_Assumptions!$C$17)^-0.5,AB143)+AB128*CHOOSE(Credit_Assumptions!$D$32,AB142*AB143*(1+Credit_Assumptions!$C$17)^-0.5,(1-Credit_Assumptions!$C$16)*AB143*(1+Credit_Assumptions!$C$17)^-0.5,AB143)+AB129*CHOOSE(Credit_Assumptions!$D$33,AB142*AB143*(1+Credit_Assumptions!$C$17)^-0.5,(1-Credit_Assumptions!$C$16)*AB143*(1+Credit_Assumptions!$C$17)^-0.5,AB143)</f>
        <v/>
      </c>
      <c r="AC144" s="80">
        <f>AC124*CHOOSE(Credit_Assumptions!$D$28,AC142*AC143*(1+Credit_Assumptions!$C$17)^-0.5,(1-Credit_Assumptions!$C$16)*AC143*(1+Credit_Assumptions!$C$17)^-0.5,AC143)+AC125*CHOOSE(Credit_Assumptions!$D$29,AC142*AC143*(1+Credit_Assumptions!$C$17)^-0.5,(1-Credit_Assumptions!$C$16)*AC143*(1+Credit_Assumptions!$C$17)^-0.5,AC143)+AC126*CHOOSE(Credit_Assumptions!$D$30,AC142*AC143*(1+Credit_Assumptions!$C$17)^-0.5,(1-Credit_Assumptions!$C$16)*AC143*(1+Credit_Assumptions!$C$17)^-0.5,AC143)+AC127*CHOOSE(Credit_Assumptions!$D$31,AC142*AC143*(1+Credit_Assumptions!$C$17)^-0.5,(1-Credit_Assumptions!$C$16)*AC143*(1+Credit_Assumptions!$C$17)^-0.5,AC143)+AC128*CHOOSE(Credit_Assumptions!$D$32,AC142*AC143*(1+Credit_Assumptions!$C$17)^-0.5,(1-Credit_Assumptions!$C$16)*AC143*(1+Credit_Assumptions!$C$17)^-0.5,AC143)+AC129*CHOOSE(Credit_Assumptions!$D$33,AC142*AC143*(1+Credit_Assumptions!$C$17)^-0.5,(1-Credit_Assumptions!$C$16)*AC143*(1+Credit_Assumptions!$C$17)^-0.5,AC143)</f>
        <v/>
      </c>
      <c r="AD144" s="80">
        <f>AD124*CHOOSE(Credit_Assumptions!$D$28,AD142*AD143*(1+Credit_Assumptions!$C$17)^-0.5,(1-Credit_Assumptions!$C$16)*AD143*(1+Credit_Assumptions!$C$17)^-0.5,AD143)+AD125*CHOOSE(Credit_Assumptions!$D$29,AD142*AD143*(1+Credit_Assumptions!$C$17)^-0.5,(1-Credit_Assumptions!$C$16)*AD143*(1+Credit_Assumptions!$C$17)^-0.5,AD143)+AD126*CHOOSE(Credit_Assumptions!$D$30,AD142*AD143*(1+Credit_Assumptions!$C$17)^-0.5,(1-Credit_Assumptions!$C$16)*AD143*(1+Credit_Assumptions!$C$17)^-0.5,AD143)+AD127*CHOOSE(Credit_Assumptions!$D$31,AD142*AD143*(1+Credit_Assumptions!$C$17)^-0.5,(1-Credit_Assumptions!$C$16)*AD143*(1+Credit_Assumptions!$C$17)^-0.5,AD143)+AD128*CHOOSE(Credit_Assumptions!$D$32,AD142*AD143*(1+Credit_Assumptions!$C$17)^-0.5,(1-Credit_Assumptions!$C$16)*AD143*(1+Credit_Assumptions!$C$17)^-0.5,AD143)+AD129*CHOOSE(Credit_Assumptions!$D$33,AD142*AD143*(1+Credit_Assumptions!$C$17)^-0.5,(1-Credit_Assumptions!$C$16)*AD143*(1+Credit_Assumptions!$C$17)^-0.5,AD143)</f>
        <v/>
      </c>
      <c r="AE144" s="80">
        <f>AE124*CHOOSE(Credit_Assumptions!$D$28,AE142*AE143*(1+Credit_Assumptions!$C$17)^-0.5,(1-Credit_Assumptions!$C$16)*AE143*(1+Credit_Assumptions!$C$17)^-0.5,AE143)+AE125*CHOOSE(Credit_Assumptions!$D$29,AE142*AE143*(1+Credit_Assumptions!$C$17)^-0.5,(1-Credit_Assumptions!$C$16)*AE143*(1+Credit_Assumptions!$C$17)^-0.5,AE143)+AE126*CHOOSE(Credit_Assumptions!$D$30,AE142*AE143*(1+Credit_Assumptions!$C$17)^-0.5,(1-Credit_Assumptions!$C$16)*AE143*(1+Credit_Assumptions!$C$17)^-0.5,AE143)+AE127*CHOOSE(Credit_Assumptions!$D$31,AE142*AE143*(1+Credit_Assumptions!$C$17)^-0.5,(1-Credit_Assumptions!$C$16)*AE143*(1+Credit_Assumptions!$C$17)^-0.5,AE143)+AE128*CHOOSE(Credit_Assumptions!$D$32,AE142*AE143*(1+Credit_Assumptions!$C$17)^-0.5,(1-Credit_Assumptions!$C$16)*AE143*(1+Credit_Assumptions!$C$17)^-0.5,AE143)+AE129*CHOOSE(Credit_Assumptions!$D$33,AE142*AE143*(1+Credit_Assumptions!$C$17)^-0.5,(1-Credit_Assumptions!$C$16)*AE143*(1+Credit_Assumptions!$C$17)^-0.5,AE143)</f>
        <v/>
      </c>
      <c r="AF144" s="80">
        <f>AF124*CHOOSE(Credit_Assumptions!$D$28,AF142*AF143*(1+Credit_Assumptions!$C$17)^-0.5,(1-Credit_Assumptions!$C$16)*AF143*(1+Credit_Assumptions!$C$17)^-0.5,AF143)+AF125*CHOOSE(Credit_Assumptions!$D$29,AF142*AF143*(1+Credit_Assumptions!$C$17)^-0.5,(1-Credit_Assumptions!$C$16)*AF143*(1+Credit_Assumptions!$C$17)^-0.5,AF143)+AF126*CHOOSE(Credit_Assumptions!$D$30,AF142*AF143*(1+Credit_Assumptions!$C$17)^-0.5,(1-Credit_Assumptions!$C$16)*AF143*(1+Credit_Assumptions!$C$17)^-0.5,AF143)+AF127*CHOOSE(Credit_Assumptions!$D$31,AF142*AF143*(1+Credit_Assumptions!$C$17)^-0.5,(1-Credit_Assumptions!$C$16)*AF143*(1+Credit_Assumptions!$C$17)^-0.5,AF143)+AF128*CHOOSE(Credit_Assumptions!$D$32,AF142*AF143*(1+Credit_Assumptions!$C$17)^-0.5,(1-Credit_Assumptions!$C$16)*AF143*(1+Credit_Assumptions!$C$17)^-0.5,AF143)+AF129*CHOOSE(Credit_Assumptions!$D$33,AF142*AF143*(1+Credit_Assumptions!$C$17)^-0.5,(1-Credit_Assumptions!$C$16)*AF143*(1+Credit_Assumptions!$C$17)^-0.5,AF143)</f>
        <v/>
      </c>
      <c r="AG144" s="80">
        <f>AG124*CHOOSE(Credit_Assumptions!$D$28,AG142*AG143*(1+Credit_Assumptions!$C$17)^-0.5,(1-Credit_Assumptions!$C$16)*AG143*(1+Credit_Assumptions!$C$17)^-0.5,AG143)+AG125*CHOOSE(Credit_Assumptions!$D$29,AG142*AG143*(1+Credit_Assumptions!$C$17)^-0.5,(1-Credit_Assumptions!$C$16)*AG143*(1+Credit_Assumptions!$C$17)^-0.5,AG143)+AG126*CHOOSE(Credit_Assumptions!$D$30,AG142*AG143*(1+Credit_Assumptions!$C$17)^-0.5,(1-Credit_Assumptions!$C$16)*AG143*(1+Credit_Assumptions!$C$17)^-0.5,AG143)+AG127*CHOOSE(Credit_Assumptions!$D$31,AG142*AG143*(1+Credit_Assumptions!$C$17)^-0.5,(1-Credit_Assumptions!$C$16)*AG143*(1+Credit_Assumptions!$C$17)^-0.5,AG143)+AG128*CHOOSE(Credit_Assumptions!$D$32,AG142*AG143*(1+Credit_Assumptions!$C$17)^-0.5,(1-Credit_Assumptions!$C$16)*AG143*(1+Credit_Assumptions!$C$17)^-0.5,AG143)+AG129*CHOOSE(Credit_Assumptions!$D$33,AG142*AG143*(1+Credit_Assumptions!$C$17)^-0.5,(1-Credit_Assumptions!$C$16)*AG143*(1+Credit_Assumptions!$C$17)^-0.5,AG143)</f>
        <v/>
      </c>
      <c r="AH144" s="80">
        <f>AH124*CHOOSE(Credit_Assumptions!$D$28,AH142*AH143*(1+Credit_Assumptions!$C$17)^-0.5,(1-Credit_Assumptions!$C$16)*AH143*(1+Credit_Assumptions!$C$17)^-0.5,AH143)+AH125*CHOOSE(Credit_Assumptions!$D$29,AH142*AH143*(1+Credit_Assumptions!$C$17)^-0.5,(1-Credit_Assumptions!$C$16)*AH143*(1+Credit_Assumptions!$C$17)^-0.5,AH143)+AH126*CHOOSE(Credit_Assumptions!$D$30,AH142*AH143*(1+Credit_Assumptions!$C$17)^-0.5,(1-Credit_Assumptions!$C$16)*AH143*(1+Credit_Assumptions!$C$17)^-0.5,AH143)+AH127*CHOOSE(Credit_Assumptions!$D$31,AH142*AH143*(1+Credit_Assumptions!$C$17)^-0.5,(1-Credit_Assumptions!$C$16)*AH143*(1+Credit_Assumptions!$C$17)^-0.5,AH143)+AH128*CHOOSE(Credit_Assumptions!$D$32,AH142*AH143*(1+Credit_Assumptions!$C$17)^-0.5,(1-Credit_Assumptions!$C$16)*AH143*(1+Credit_Assumptions!$C$17)^-0.5,AH143)+AH129*CHOOSE(Credit_Assumptions!$D$33,AH142*AH143*(1+Credit_Assumptions!$C$17)^-0.5,(1-Credit_Assumptions!$C$16)*AH143*(1+Credit_Assumptions!$C$17)^-0.5,AH143)</f>
        <v/>
      </c>
      <c r="AI144" s="80">
        <f>AI124*CHOOSE(Credit_Assumptions!$D$28,AI142*AI143*(1+Credit_Assumptions!$C$17)^-0.5,(1-Credit_Assumptions!$C$16)*AI143*(1+Credit_Assumptions!$C$17)^-0.5,AI143)+AI125*CHOOSE(Credit_Assumptions!$D$29,AI142*AI143*(1+Credit_Assumptions!$C$17)^-0.5,(1-Credit_Assumptions!$C$16)*AI143*(1+Credit_Assumptions!$C$17)^-0.5,AI143)+AI126*CHOOSE(Credit_Assumptions!$D$30,AI142*AI143*(1+Credit_Assumptions!$C$17)^-0.5,(1-Credit_Assumptions!$C$16)*AI143*(1+Credit_Assumptions!$C$17)^-0.5,AI143)+AI127*CHOOSE(Credit_Assumptions!$D$31,AI142*AI143*(1+Credit_Assumptions!$C$17)^-0.5,(1-Credit_Assumptions!$C$16)*AI143*(1+Credit_Assumptions!$C$17)^-0.5,AI143)+AI128*CHOOSE(Credit_Assumptions!$D$32,AI142*AI143*(1+Credit_Assumptions!$C$17)^-0.5,(1-Credit_Assumptions!$C$16)*AI143*(1+Credit_Assumptions!$C$17)^-0.5,AI143)+AI129*CHOOSE(Credit_Assumptions!$D$33,AI142*AI143*(1+Credit_Assumptions!$C$17)^-0.5,(1-Credit_Assumptions!$C$16)*AI143*(1+Credit_Assumptions!$C$17)^-0.5,AI143)</f>
        <v/>
      </c>
      <c r="AJ144" s="80">
        <f>AJ124*CHOOSE(Credit_Assumptions!$D$28,AJ142*AJ143*(1+Credit_Assumptions!$C$17)^-0.5,(1-Credit_Assumptions!$C$16)*AJ143*(1+Credit_Assumptions!$C$17)^-0.5,AJ143)+AJ125*CHOOSE(Credit_Assumptions!$D$29,AJ142*AJ143*(1+Credit_Assumptions!$C$17)^-0.5,(1-Credit_Assumptions!$C$16)*AJ143*(1+Credit_Assumptions!$C$17)^-0.5,AJ143)+AJ126*CHOOSE(Credit_Assumptions!$D$30,AJ142*AJ143*(1+Credit_Assumptions!$C$17)^-0.5,(1-Credit_Assumptions!$C$16)*AJ143*(1+Credit_Assumptions!$C$17)^-0.5,AJ143)+AJ127*CHOOSE(Credit_Assumptions!$D$31,AJ142*AJ143*(1+Credit_Assumptions!$C$17)^-0.5,(1-Credit_Assumptions!$C$16)*AJ143*(1+Credit_Assumptions!$C$17)^-0.5,AJ143)+AJ128*CHOOSE(Credit_Assumptions!$D$32,AJ142*AJ143*(1+Credit_Assumptions!$C$17)^-0.5,(1-Credit_Assumptions!$C$16)*AJ143*(1+Credit_Assumptions!$C$17)^-0.5,AJ143)+AJ129*CHOOSE(Credit_Assumptions!$D$33,AJ142*AJ143*(1+Credit_Assumptions!$C$17)^-0.5,(1-Credit_Assumptions!$C$16)*AJ143*(1+Credit_Assumptions!$C$17)^-0.5,AJ143)</f>
        <v/>
      </c>
      <c r="AK144" s="80">
        <f>AK124*CHOOSE(Credit_Assumptions!$D$28,AK142*AK143*(1+Credit_Assumptions!$C$17)^-0.5,(1-Credit_Assumptions!$C$16)*AK143*(1+Credit_Assumptions!$C$17)^-0.5,AK143)+AK125*CHOOSE(Credit_Assumptions!$D$29,AK142*AK143*(1+Credit_Assumptions!$C$17)^-0.5,(1-Credit_Assumptions!$C$16)*AK143*(1+Credit_Assumptions!$C$17)^-0.5,AK143)+AK126*CHOOSE(Credit_Assumptions!$D$30,AK142*AK143*(1+Credit_Assumptions!$C$17)^-0.5,(1-Credit_Assumptions!$C$16)*AK143*(1+Credit_Assumptions!$C$17)^-0.5,AK143)+AK127*CHOOSE(Credit_Assumptions!$D$31,AK142*AK143*(1+Credit_Assumptions!$C$17)^-0.5,(1-Credit_Assumptions!$C$16)*AK143*(1+Credit_Assumptions!$C$17)^-0.5,AK143)+AK128*CHOOSE(Credit_Assumptions!$D$32,AK142*AK143*(1+Credit_Assumptions!$C$17)^-0.5,(1-Credit_Assumptions!$C$16)*AK143*(1+Credit_Assumptions!$C$17)^-0.5,AK143)+AK129*CHOOSE(Credit_Assumptions!$D$33,AK142*AK143*(1+Credit_Assumptions!$C$17)^-0.5,(1-Credit_Assumptions!$C$16)*AK143*(1+Credit_Assumptions!$C$17)^-0.5,AK143)</f>
        <v/>
      </c>
      <c r="AL144" s="80">
        <f>AL124*CHOOSE(Credit_Assumptions!$D$28,AL142*AL143*(1+Credit_Assumptions!$C$17)^-0.5,(1-Credit_Assumptions!$C$16)*AL143*(1+Credit_Assumptions!$C$17)^-0.5,AL143)+AL125*CHOOSE(Credit_Assumptions!$D$29,AL142*AL143*(1+Credit_Assumptions!$C$17)^-0.5,(1-Credit_Assumptions!$C$16)*AL143*(1+Credit_Assumptions!$C$17)^-0.5,AL143)+AL126*CHOOSE(Credit_Assumptions!$D$30,AL142*AL143*(1+Credit_Assumptions!$C$17)^-0.5,(1-Credit_Assumptions!$C$16)*AL143*(1+Credit_Assumptions!$C$17)^-0.5,AL143)+AL127*CHOOSE(Credit_Assumptions!$D$31,AL142*AL143*(1+Credit_Assumptions!$C$17)^-0.5,(1-Credit_Assumptions!$C$16)*AL143*(1+Credit_Assumptions!$C$17)^-0.5,AL143)+AL128*CHOOSE(Credit_Assumptions!$D$32,AL142*AL143*(1+Credit_Assumptions!$C$17)^-0.5,(1-Credit_Assumptions!$C$16)*AL143*(1+Credit_Assumptions!$C$17)^-0.5,AL143)+AL129*CHOOSE(Credit_Assumptions!$D$33,AL142*AL143*(1+Credit_Assumptions!$C$17)^-0.5,(1-Credit_Assumptions!$C$16)*AL143*(1+Credit_Assumptions!$C$17)^-0.5,AL143)</f>
        <v/>
      </c>
      <c r="AM144" s="80">
        <f>AM124*CHOOSE(Credit_Assumptions!$D$28,AM142*AM143*(1+Credit_Assumptions!$C$17)^-0.5,(1-Credit_Assumptions!$C$16)*AM143*(1+Credit_Assumptions!$C$17)^-0.5,AM143)+AM125*CHOOSE(Credit_Assumptions!$D$29,AM142*AM143*(1+Credit_Assumptions!$C$17)^-0.5,(1-Credit_Assumptions!$C$16)*AM143*(1+Credit_Assumptions!$C$17)^-0.5,AM143)+AM126*CHOOSE(Credit_Assumptions!$D$30,AM142*AM143*(1+Credit_Assumptions!$C$17)^-0.5,(1-Credit_Assumptions!$C$16)*AM143*(1+Credit_Assumptions!$C$17)^-0.5,AM143)+AM127*CHOOSE(Credit_Assumptions!$D$31,AM142*AM143*(1+Credit_Assumptions!$C$17)^-0.5,(1-Credit_Assumptions!$C$16)*AM143*(1+Credit_Assumptions!$C$17)^-0.5,AM143)+AM128*CHOOSE(Credit_Assumptions!$D$32,AM142*AM143*(1+Credit_Assumptions!$C$17)^-0.5,(1-Credit_Assumptions!$C$16)*AM143*(1+Credit_Assumptions!$C$17)^-0.5,AM143)+AM129*CHOOSE(Credit_Assumptions!$D$33,AM142*AM143*(1+Credit_Assumptions!$C$17)^-0.5,(1-Credit_Assumptions!$C$16)*AM143*(1+Credit_Assumptions!$C$17)^-0.5,AM143)</f>
        <v/>
      </c>
      <c r="AN144" s="80">
        <f>AN124*CHOOSE(Credit_Assumptions!$D$28,AN142*AN143*(1+Credit_Assumptions!$C$17)^-0.5,(1-Credit_Assumptions!$C$16)*AN143*(1+Credit_Assumptions!$C$17)^-0.5,AN143)+AN125*CHOOSE(Credit_Assumptions!$D$29,AN142*AN143*(1+Credit_Assumptions!$C$17)^-0.5,(1-Credit_Assumptions!$C$16)*AN143*(1+Credit_Assumptions!$C$17)^-0.5,AN143)+AN126*CHOOSE(Credit_Assumptions!$D$30,AN142*AN143*(1+Credit_Assumptions!$C$17)^-0.5,(1-Credit_Assumptions!$C$16)*AN143*(1+Credit_Assumptions!$C$17)^-0.5,AN143)+AN127*CHOOSE(Credit_Assumptions!$D$31,AN142*AN143*(1+Credit_Assumptions!$C$17)^-0.5,(1-Credit_Assumptions!$C$16)*AN143*(1+Credit_Assumptions!$C$17)^-0.5,AN143)+AN128*CHOOSE(Credit_Assumptions!$D$32,AN142*AN143*(1+Credit_Assumptions!$C$17)^-0.5,(1-Credit_Assumptions!$C$16)*AN143*(1+Credit_Assumptions!$C$17)^-0.5,AN143)+AN129*CHOOSE(Credit_Assumptions!$D$33,AN142*AN143*(1+Credit_Assumptions!$C$17)^-0.5,(1-Credit_Assumptions!$C$16)*AN143*(1+Credit_Assumptions!$C$17)^-0.5,AN143)</f>
        <v/>
      </c>
      <c r="AO144" s="80">
        <f>AO124*CHOOSE(Credit_Assumptions!$D$28,AO142*AO143*(1+Credit_Assumptions!$C$17)^-0.5,(1-Credit_Assumptions!$C$16)*AO143*(1+Credit_Assumptions!$C$17)^-0.5,AO143)+AO125*CHOOSE(Credit_Assumptions!$D$29,AO142*AO143*(1+Credit_Assumptions!$C$17)^-0.5,(1-Credit_Assumptions!$C$16)*AO143*(1+Credit_Assumptions!$C$17)^-0.5,AO143)+AO126*CHOOSE(Credit_Assumptions!$D$30,AO142*AO143*(1+Credit_Assumptions!$C$17)^-0.5,(1-Credit_Assumptions!$C$16)*AO143*(1+Credit_Assumptions!$C$17)^-0.5,AO143)+AO127*CHOOSE(Credit_Assumptions!$D$31,AO142*AO143*(1+Credit_Assumptions!$C$17)^-0.5,(1-Credit_Assumptions!$C$16)*AO143*(1+Credit_Assumptions!$C$17)^-0.5,AO143)+AO128*CHOOSE(Credit_Assumptions!$D$32,AO142*AO143*(1+Credit_Assumptions!$C$17)^-0.5,(1-Credit_Assumptions!$C$16)*AO143*(1+Credit_Assumptions!$C$17)^-0.5,AO143)+AO129*CHOOSE(Credit_Assumptions!$D$33,AO142*AO143*(1+Credit_Assumptions!$C$17)^-0.5,(1-Credit_Assumptions!$C$16)*AO143*(1+Credit_Assumptions!$C$17)^-0.5,AO143)</f>
        <v/>
      </c>
      <c r="AP144" s="80">
        <f>AP124*CHOOSE(Credit_Assumptions!$D$28,AP142*AP143*(1+Credit_Assumptions!$C$17)^-0.5,(1-Credit_Assumptions!$C$16)*AP143*(1+Credit_Assumptions!$C$17)^-0.5,AP143)+AP125*CHOOSE(Credit_Assumptions!$D$29,AP142*AP143*(1+Credit_Assumptions!$C$17)^-0.5,(1-Credit_Assumptions!$C$16)*AP143*(1+Credit_Assumptions!$C$17)^-0.5,AP143)+AP126*CHOOSE(Credit_Assumptions!$D$30,AP142*AP143*(1+Credit_Assumptions!$C$17)^-0.5,(1-Credit_Assumptions!$C$16)*AP143*(1+Credit_Assumptions!$C$17)^-0.5,AP143)+AP127*CHOOSE(Credit_Assumptions!$D$31,AP142*AP143*(1+Credit_Assumptions!$C$17)^-0.5,(1-Credit_Assumptions!$C$16)*AP143*(1+Credit_Assumptions!$C$17)^-0.5,AP143)+AP128*CHOOSE(Credit_Assumptions!$D$32,AP142*AP143*(1+Credit_Assumptions!$C$17)^-0.5,(1-Credit_Assumptions!$C$16)*AP143*(1+Credit_Assumptions!$C$17)^-0.5,AP143)+AP129*CHOOSE(Credit_Assumptions!$D$33,AP142*AP143*(1+Credit_Assumptions!$C$17)^-0.5,(1-Credit_Assumptions!$C$16)*AP143*(1+Credit_Assumptions!$C$17)^-0.5,AP143)</f>
        <v/>
      </c>
      <c r="AQ144" s="80">
        <f>AQ124*CHOOSE(Credit_Assumptions!$D$28,AQ142*AQ143*(1+Credit_Assumptions!$C$17)^-0.5,(1-Credit_Assumptions!$C$16)*AQ143*(1+Credit_Assumptions!$C$17)^-0.5,AQ143)+AQ125*CHOOSE(Credit_Assumptions!$D$29,AQ142*AQ143*(1+Credit_Assumptions!$C$17)^-0.5,(1-Credit_Assumptions!$C$16)*AQ143*(1+Credit_Assumptions!$C$17)^-0.5,AQ143)+AQ126*CHOOSE(Credit_Assumptions!$D$30,AQ142*AQ143*(1+Credit_Assumptions!$C$17)^-0.5,(1-Credit_Assumptions!$C$16)*AQ143*(1+Credit_Assumptions!$C$17)^-0.5,AQ143)+AQ127*CHOOSE(Credit_Assumptions!$D$31,AQ142*AQ143*(1+Credit_Assumptions!$C$17)^-0.5,(1-Credit_Assumptions!$C$16)*AQ143*(1+Credit_Assumptions!$C$17)^-0.5,AQ143)+AQ128*CHOOSE(Credit_Assumptions!$D$32,AQ142*AQ143*(1+Credit_Assumptions!$C$17)^-0.5,(1-Credit_Assumptions!$C$16)*AQ143*(1+Credit_Assumptions!$C$17)^-0.5,AQ143)+AQ129*CHOOSE(Credit_Assumptions!$D$33,AQ142*AQ143*(1+Credit_Assumptions!$C$17)^-0.5,(1-Credit_Assumptions!$C$16)*AQ143*(1+Credit_Assumptions!$C$17)^-0.5,AQ143)</f>
        <v/>
      </c>
      <c r="AR144" s="80">
        <f>AR124*CHOOSE(Credit_Assumptions!$D$28,AR142*AR143*(1+Credit_Assumptions!$C$17)^-0.5,(1-Credit_Assumptions!$C$16)*AR143*(1+Credit_Assumptions!$C$17)^-0.5,AR143)+AR125*CHOOSE(Credit_Assumptions!$D$29,AR142*AR143*(1+Credit_Assumptions!$C$17)^-0.5,(1-Credit_Assumptions!$C$16)*AR143*(1+Credit_Assumptions!$C$17)^-0.5,AR143)+AR126*CHOOSE(Credit_Assumptions!$D$30,AR142*AR143*(1+Credit_Assumptions!$C$17)^-0.5,(1-Credit_Assumptions!$C$16)*AR143*(1+Credit_Assumptions!$C$17)^-0.5,AR143)+AR127*CHOOSE(Credit_Assumptions!$D$31,AR142*AR143*(1+Credit_Assumptions!$C$17)^-0.5,(1-Credit_Assumptions!$C$16)*AR143*(1+Credit_Assumptions!$C$17)^-0.5,AR143)+AR128*CHOOSE(Credit_Assumptions!$D$32,AR142*AR143*(1+Credit_Assumptions!$C$17)^-0.5,(1-Credit_Assumptions!$C$16)*AR143*(1+Credit_Assumptions!$C$17)^-0.5,AR143)+AR129*CHOOSE(Credit_Assumptions!$D$33,AR142*AR143*(1+Credit_Assumptions!$C$17)^-0.5,(1-Credit_Assumptions!$C$16)*AR143*(1+Credit_Assumptions!$C$17)^-0.5,AR143)</f>
        <v/>
      </c>
      <c r="AS144" s="80">
        <f>AS124*CHOOSE(Credit_Assumptions!$D$28,AS142*AS143*(1+Credit_Assumptions!$C$17)^-0.5,(1-Credit_Assumptions!$C$16)*AS143*(1+Credit_Assumptions!$C$17)^-0.5,AS143)+AS125*CHOOSE(Credit_Assumptions!$D$29,AS142*AS143*(1+Credit_Assumptions!$C$17)^-0.5,(1-Credit_Assumptions!$C$16)*AS143*(1+Credit_Assumptions!$C$17)^-0.5,AS143)+AS126*CHOOSE(Credit_Assumptions!$D$30,AS142*AS143*(1+Credit_Assumptions!$C$17)^-0.5,(1-Credit_Assumptions!$C$16)*AS143*(1+Credit_Assumptions!$C$17)^-0.5,AS143)+AS127*CHOOSE(Credit_Assumptions!$D$31,AS142*AS143*(1+Credit_Assumptions!$C$17)^-0.5,(1-Credit_Assumptions!$C$16)*AS143*(1+Credit_Assumptions!$C$17)^-0.5,AS143)+AS128*CHOOSE(Credit_Assumptions!$D$32,AS142*AS143*(1+Credit_Assumptions!$C$17)^-0.5,(1-Credit_Assumptions!$C$16)*AS143*(1+Credit_Assumptions!$C$17)^-0.5,AS143)+AS129*CHOOSE(Credit_Assumptions!$D$33,AS142*AS143*(1+Credit_Assumptions!$C$17)^-0.5,(1-Credit_Assumptions!$C$16)*AS143*(1+Credit_Assumptions!$C$17)^-0.5,AS143)</f>
        <v/>
      </c>
      <c r="AT144" s="80">
        <f>AT124*CHOOSE(Credit_Assumptions!$D$28,AT142*AT143*(1+Credit_Assumptions!$C$17)^-0.5,(1-Credit_Assumptions!$C$16)*AT143*(1+Credit_Assumptions!$C$17)^-0.5,AT143)+AT125*CHOOSE(Credit_Assumptions!$D$29,AT142*AT143*(1+Credit_Assumptions!$C$17)^-0.5,(1-Credit_Assumptions!$C$16)*AT143*(1+Credit_Assumptions!$C$17)^-0.5,AT143)+AT126*CHOOSE(Credit_Assumptions!$D$30,AT142*AT143*(1+Credit_Assumptions!$C$17)^-0.5,(1-Credit_Assumptions!$C$16)*AT143*(1+Credit_Assumptions!$C$17)^-0.5,AT143)+AT127*CHOOSE(Credit_Assumptions!$D$31,AT142*AT143*(1+Credit_Assumptions!$C$17)^-0.5,(1-Credit_Assumptions!$C$16)*AT143*(1+Credit_Assumptions!$C$17)^-0.5,AT143)+AT128*CHOOSE(Credit_Assumptions!$D$32,AT142*AT143*(1+Credit_Assumptions!$C$17)^-0.5,(1-Credit_Assumptions!$C$16)*AT143*(1+Credit_Assumptions!$C$17)^-0.5,AT143)+AT129*CHOOSE(Credit_Assumptions!$D$33,AT142*AT143*(1+Credit_Assumptions!$C$17)^-0.5,(1-Credit_Assumptions!$C$16)*AT143*(1+Credit_Assumptions!$C$17)^-0.5,AT143)</f>
        <v/>
      </c>
      <c r="AU144" s="80">
        <f>AU124*CHOOSE(Credit_Assumptions!$D$28,AU142*AU143*(1+Credit_Assumptions!$C$17)^-0.5,(1-Credit_Assumptions!$C$16)*AU143*(1+Credit_Assumptions!$C$17)^-0.5,AU143)+AU125*CHOOSE(Credit_Assumptions!$D$29,AU142*AU143*(1+Credit_Assumptions!$C$17)^-0.5,(1-Credit_Assumptions!$C$16)*AU143*(1+Credit_Assumptions!$C$17)^-0.5,AU143)+AU126*CHOOSE(Credit_Assumptions!$D$30,AU142*AU143*(1+Credit_Assumptions!$C$17)^-0.5,(1-Credit_Assumptions!$C$16)*AU143*(1+Credit_Assumptions!$C$17)^-0.5,AU143)+AU127*CHOOSE(Credit_Assumptions!$D$31,AU142*AU143*(1+Credit_Assumptions!$C$17)^-0.5,(1-Credit_Assumptions!$C$16)*AU143*(1+Credit_Assumptions!$C$17)^-0.5,AU143)+AU128*CHOOSE(Credit_Assumptions!$D$32,AU142*AU143*(1+Credit_Assumptions!$C$17)^-0.5,(1-Credit_Assumptions!$C$16)*AU143*(1+Credit_Assumptions!$C$17)^-0.5,AU143)+AU129*CHOOSE(Credit_Assumptions!$D$33,AU142*AU143*(1+Credit_Assumptions!$C$17)^-0.5,(1-Credit_Assumptions!$C$16)*AU143*(1+Credit_Assumptions!$C$17)^-0.5,AU143)</f>
        <v/>
      </c>
      <c r="AV144" s="80">
        <f>AV124*CHOOSE(Credit_Assumptions!$D$28,AV142*AV143*(1+Credit_Assumptions!$C$17)^-0.5,(1-Credit_Assumptions!$C$16)*AV143*(1+Credit_Assumptions!$C$17)^-0.5,AV143)+AV125*CHOOSE(Credit_Assumptions!$D$29,AV142*AV143*(1+Credit_Assumptions!$C$17)^-0.5,(1-Credit_Assumptions!$C$16)*AV143*(1+Credit_Assumptions!$C$17)^-0.5,AV143)+AV126*CHOOSE(Credit_Assumptions!$D$30,AV142*AV143*(1+Credit_Assumptions!$C$17)^-0.5,(1-Credit_Assumptions!$C$16)*AV143*(1+Credit_Assumptions!$C$17)^-0.5,AV143)+AV127*CHOOSE(Credit_Assumptions!$D$31,AV142*AV143*(1+Credit_Assumptions!$C$17)^-0.5,(1-Credit_Assumptions!$C$16)*AV143*(1+Credit_Assumptions!$C$17)^-0.5,AV143)+AV128*CHOOSE(Credit_Assumptions!$D$32,AV142*AV143*(1+Credit_Assumptions!$C$17)^-0.5,(1-Credit_Assumptions!$C$16)*AV143*(1+Credit_Assumptions!$C$17)^-0.5,AV143)+AV129*CHOOSE(Credit_Assumptions!$D$33,AV142*AV143*(1+Credit_Assumptions!$C$17)^-0.5,(1-Credit_Assumptions!$C$16)*AV143*(1+Credit_Assumptions!$C$17)^-0.5,AV143)</f>
        <v/>
      </c>
      <c r="AW144" s="80">
        <f>AW124*CHOOSE(Credit_Assumptions!$D$28,AW142*AW143*(1+Credit_Assumptions!$C$17)^-0.5,(1-Credit_Assumptions!$C$16)*AW143*(1+Credit_Assumptions!$C$17)^-0.5,AW143)+AW125*CHOOSE(Credit_Assumptions!$D$29,AW142*AW143*(1+Credit_Assumptions!$C$17)^-0.5,(1-Credit_Assumptions!$C$16)*AW143*(1+Credit_Assumptions!$C$17)^-0.5,AW143)+AW126*CHOOSE(Credit_Assumptions!$D$30,AW142*AW143*(1+Credit_Assumptions!$C$17)^-0.5,(1-Credit_Assumptions!$C$16)*AW143*(1+Credit_Assumptions!$C$17)^-0.5,AW143)+AW127*CHOOSE(Credit_Assumptions!$D$31,AW142*AW143*(1+Credit_Assumptions!$C$17)^-0.5,(1-Credit_Assumptions!$C$16)*AW143*(1+Credit_Assumptions!$C$17)^-0.5,AW143)+AW128*CHOOSE(Credit_Assumptions!$D$32,AW142*AW143*(1+Credit_Assumptions!$C$17)^-0.5,(1-Credit_Assumptions!$C$16)*AW143*(1+Credit_Assumptions!$C$17)^-0.5,AW143)+AW129*CHOOSE(Credit_Assumptions!$D$33,AW142*AW143*(1+Credit_Assumptions!$C$17)^-0.5,(1-Credit_Assumptions!$C$16)*AW143*(1+Credit_Assumptions!$C$17)^-0.5,AW143)</f>
        <v/>
      </c>
      <c r="AX144" s="80">
        <f>AX124*CHOOSE(Credit_Assumptions!$D$28,AX142*AX143*(1+Credit_Assumptions!$C$17)^-0.5,(1-Credit_Assumptions!$C$16)*AX143*(1+Credit_Assumptions!$C$17)^-0.5,AX143)+AX125*CHOOSE(Credit_Assumptions!$D$29,AX142*AX143*(1+Credit_Assumptions!$C$17)^-0.5,(1-Credit_Assumptions!$C$16)*AX143*(1+Credit_Assumptions!$C$17)^-0.5,AX143)+AX126*CHOOSE(Credit_Assumptions!$D$30,AX142*AX143*(1+Credit_Assumptions!$C$17)^-0.5,(1-Credit_Assumptions!$C$16)*AX143*(1+Credit_Assumptions!$C$17)^-0.5,AX143)+AX127*CHOOSE(Credit_Assumptions!$D$31,AX142*AX143*(1+Credit_Assumptions!$C$17)^-0.5,(1-Credit_Assumptions!$C$16)*AX143*(1+Credit_Assumptions!$C$17)^-0.5,AX143)+AX128*CHOOSE(Credit_Assumptions!$D$32,AX142*AX143*(1+Credit_Assumptions!$C$17)^-0.5,(1-Credit_Assumptions!$C$16)*AX143*(1+Credit_Assumptions!$C$17)^-0.5,AX143)+AX129*CHOOSE(Credit_Assumptions!$D$33,AX142*AX143*(1+Credit_Assumptions!$C$17)^-0.5,(1-Credit_Assumptions!$C$16)*AX143*(1+Credit_Assumptions!$C$17)^-0.5,AX143)</f>
        <v/>
      </c>
      <c r="AY144" s="80">
        <f>AY124*CHOOSE(Credit_Assumptions!$D$28,AY142*AY143*(1+Credit_Assumptions!$C$17)^-0.5,(1-Credit_Assumptions!$C$16)*AY143*(1+Credit_Assumptions!$C$17)^-0.5,AY143)+AY125*CHOOSE(Credit_Assumptions!$D$29,AY142*AY143*(1+Credit_Assumptions!$C$17)^-0.5,(1-Credit_Assumptions!$C$16)*AY143*(1+Credit_Assumptions!$C$17)^-0.5,AY143)+AY126*CHOOSE(Credit_Assumptions!$D$30,AY142*AY143*(1+Credit_Assumptions!$C$17)^-0.5,(1-Credit_Assumptions!$C$16)*AY143*(1+Credit_Assumptions!$C$17)^-0.5,AY143)+AY127*CHOOSE(Credit_Assumptions!$D$31,AY142*AY143*(1+Credit_Assumptions!$C$17)^-0.5,(1-Credit_Assumptions!$C$16)*AY143*(1+Credit_Assumptions!$C$17)^-0.5,AY143)+AY128*CHOOSE(Credit_Assumptions!$D$32,AY142*AY143*(1+Credit_Assumptions!$C$17)^-0.5,(1-Credit_Assumptions!$C$16)*AY143*(1+Credit_Assumptions!$C$17)^-0.5,AY143)+AY129*CHOOSE(Credit_Assumptions!$D$33,AY142*AY143*(1+Credit_Assumptions!$C$17)^-0.5,(1-Credit_Assumptions!$C$16)*AY143*(1+Credit_Assumptions!$C$17)^-0.5,AY143)</f>
        <v/>
      </c>
      <c r="AZ144" s="80">
        <f>AZ124*CHOOSE(Credit_Assumptions!$D$28,AZ142*AZ143*(1+Credit_Assumptions!$C$17)^-0.5,(1-Credit_Assumptions!$C$16)*AZ143*(1+Credit_Assumptions!$C$17)^-0.5,AZ143)+AZ125*CHOOSE(Credit_Assumptions!$D$29,AZ142*AZ143*(1+Credit_Assumptions!$C$17)^-0.5,(1-Credit_Assumptions!$C$16)*AZ143*(1+Credit_Assumptions!$C$17)^-0.5,AZ143)+AZ126*CHOOSE(Credit_Assumptions!$D$30,AZ142*AZ143*(1+Credit_Assumptions!$C$17)^-0.5,(1-Credit_Assumptions!$C$16)*AZ143*(1+Credit_Assumptions!$C$17)^-0.5,AZ143)+AZ127*CHOOSE(Credit_Assumptions!$D$31,AZ142*AZ143*(1+Credit_Assumptions!$C$17)^-0.5,(1-Credit_Assumptions!$C$16)*AZ143*(1+Credit_Assumptions!$C$17)^-0.5,AZ143)+AZ128*CHOOSE(Credit_Assumptions!$D$32,AZ142*AZ143*(1+Credit_Assumptions!$C$17)^-0.5,(1-Credit_Assumptions!$C$16)*AZ143*(1+Credit_Assumptions!$C$17)^-0.5,AZ143)+AZ129*CHOOSE(Credit_Assumptions!$D$33,AZ142*AZ143*(1+Credit_Assumptions!$C$17)^-0.5,(1-Credit_Assumptions!$C$16)*AZ143*(1+Credit_Assumptions!$C$17)^-0.5,AZ143)</f>
        <v/>
      </c>
      <c r="BA144" s="80">
        <f>BA124*CHOOSE(Credit_Assumptions!$D$28,BA142*BA143*(1+Credit_Assumptions!$C$17)^-0.5,(1-Credit_Assumptions!$C$16)*BA143*(1+Credit_Assumptions!$C$17)^-0.5,BA143)+BA125*CHOOSE(Credit_Assumptions!$D$29,BA142*BA143*(1+Credit_Assumptions!$C$17)^-0.5,(1-Credit_Assumptions!$C$16)*BA143*(1+Credit_Assumptions!$C$17)^-0.5,BA143)+BA126*CHOOSE(Credit_Assumptions!$D$30,BA142*BA143*(1+Credit_Assumptions!$C$17)^-0.5,(1-Credit_Assumptions!$C$16)*BA143*(1+Credit_Assumptions!$C$17)^-0.5,BA143)+BA127*CHOOSE(Credit_Assumptions!$D$31,BA142*BA143*(1+Credit_Assumptions!$C$17)^-0.5,(1-Credit_Assumptions!$C$16)*BA143*(1+Credit_Assumptions!$C$17)^-0.5,BA143)+BA128*CHOOSE(Credit_Assumptions!$D$32,BA142*BA143*(1+Credit_Assumptions!$C$17)^-0.5,(1-Credit_Assumptions!$C$16)*BA143*(1+Credit_Assumptions!$C$17)^-0.5,BA143)+BA129*CHOOSE(Credit_Assumptions!$D$33,BA142*BA143*(1+Credit_Assumptions!$C$17)^-0.5,(1-Credit_Assumptions!$C$16)*BA143*(1+Credit_Assumptions!$C$17)^-0.5,BA143)</f>
        <v/>
      </c>
      <c r="BB144" s="80">
        <f>BB124*CHOOSE(Credit_Assumptions!$D$28,BB142*BB143*(1+Credit_Assumptions!$C$17)^-0.5,(1-Credit_Assumptions!$C$16)*BB143*(1+Credit_Assumptions!$C$17)^-0.5,BB143)+BB125*CHOOSE(Credit_Assumptions!$D$29,BB142*BB143*(1+Credit_Assumptions!$C$17)^-0.5,(1-Credit_Assumptions!$C$16)*BB143*(1+Credit_Assumptions!$C$17)^-0.5,BB143)+BB126*CHOOSE(Credit_Assumptions!$D$30,BB142*BB143*(1+Credit_Assumptions!$C$17)^-0.5,(1-Credit_Assumptions!$C$16)*BB143*(1+Credit_Assumptions!$C$17)^-0.5,BB143)+BB127*CHOOSE(Credit_Assumptions!$D$31,BB142*BB143*(1+Credit_Assumptions!$C$17)^-0.5,(1-Credit_Assumptions!$C$16)*BB143*(1+Credit_Assumptions!$C$17)^-0.5,BB143)+BB128*CHOOSE(Credit_Assumptions!$D$32,BB142*BB143*(1+Credit_Assumptions!$C$17)^-0.5,(1-Credit_Assumptions!$C$16)*BB143*(1+Credit_Assumptions!$C$17)^-0.5,BB143)+BB129*CHOOSE(Credit_Assumptions!$D$33,BB142*BB143*(1+Credit_Assumptions!$C$17)^-0.5,(1-Credit_Assumptions!$C$16)*BB143*(1+Credit_Assumptions!$C$17)^-0.5,BB143)</f>
        <v/>
      </c>
      <c r="BC144" s="80">
        <f>BC124*CHOOSE(Credit_Assumptions!$D$28,BC142*BC143*(1+Credit_Assumptions!$C$17)^-0.5,(1-Credit_Assumptions!$C$16)*BC143*(1+Credit_Assumptions!$C$17)^-0.5,BC143)+BC125*CHOOSE(Credit_Assumptions!$D$29,BC142*BC143*(1+Credit_Assumptions!$C$17)^-0.5,(1-Credit_Assumptions!$C$16)*BC143*(1+Credit_Assumptions!$C$17)^-0.5,BC143)+BC126*CHOOSE(Credit_Assumptions!$D$30,BC142*BC143*(1+Credit_Assumptions!$C$17)^-0.5,(1-Credit_Assumptions!$C$16)*BC143*(1+Credit_Assumptions!$C$17)^-0.5,BC143)+BC127*CHOOSE(Credit_Assumptions!$D$31,BC142*BC143*(1+Credit_Assumptions!$C$17)^-0.5,(1-Credit_Assumptions!$C$16)*BC143*(1+Credit_Assumptions!$C$17)^-0.5,BC143)+BC128*CHOOSE(Credit_Assumptions!$D$32,BC142*BC143*(1+Credit_Assumptions!$C$17)^-0.5,(1-Credit_Assumptions!$C$16)*BC143*(1+Credit_Assumptions!$C$17)^-0.5,BC143)+BC129*CHOOSE(Credit_Assumptions!$D$33,BC142*BC143*(1+Credit_Assumptions!$C$17)^-0.5,(1-Credit_Assumptions!$C$16)*BC143*(1+Credit_Assumptions!$C$17)^-0.5,BC143)</f>
        <v/>
      </c>
      <c r="BD144" s="80">
        <f>BD124*CHOOSE(Credit_Assumptions!$D$28,BD142*BD143*(1+Credit_Assumptions!$C$17)^-0.5,(1-Credit_Assumptions!$C$16)*BD143*(1+Credit_Assumptions!$C$17)^-0.5,BD143)+BD125*CHOOSE(Credit_Assumptions!$D$29,BD142*BD143*(1+Credit_Assumptions!$C$17)^-0.5,(1-Credit_Assumptions!$C$16)*BD143*(1+Credit_Assumptions!$C$17)^-0.5,BD143)+BD126*CHOOSE(Credit_Assumptions!$D$30,BD142*BD143*(1+Credit_Assumptions!$C$17)^-0.5,(1-Credit_Assumptions!$C$16)*BD143*(1+Credit_Assumptions!$C$17)^-0.5,BD143)+BD127*CHOOSE(Credit_Assumptions!$D$31,BD142*BD143*(1+Credit_Assumptions!$C$17)^-0.5,(1-Credit_Assumptions!$C$16)*BD143*(1+Credit_Assumptions!$C$17)^-0.5,BD143)+BD128*CHOOSE(Credit_Assumptions!$D$32,BD142*BD143*(1+Credit_Assumptions!$C$17)^-0.5,(1-Credit_Assumptions!$C$16)*BD143*(1+Credit_Assumptions!$C$17)^-0.5,BD143)+BD129*CHOOSE(Credit_Assumptions!$D$33,BD142*BD143*(1+Credit_Assumptions!$C$17)^-0.5,(1-Credit_Assumptions!$C$16)*BD143*(1+Credit_Assumptions!$C$17)^-0.5,BD143)</f>
        <v/>
      </c>
      <c r="BE144" s="80">
        <f>BE124*CHOOSE(Credit_Assumptions!$D$28,BE142*BE143*(1+Credit_Assumptions!$C$17)^-0.5,(1-Credit_Assumptions!$C$16)*BE143*(1+Credit_Assumptions!$C$17)^-0.5,BE143)+BE125*CHOOSE(Credit_Assumptions!$D$29,BE142*BE143*(1+Credit_Assumptions!$C$17)^-0.5,(1-Credit_Assumptions!$C$16)*BE143*(1+Credit_Assumptions!$C$17)^-0.5,BE143)+BE126*CHOOSE(Credit_Assumptions!$D$30,BE142*BE143*(1+Credit_Assumptions!$C$17)^-0.5,(1-Credit_Assumptions!$C$16)*BE143*(1+Credit_Assumptions!$C$17)^-0.5,BE143)+BE127*CHOOSE(Credit_Assumptions!$D$31,BE142*BE143*(1+Credit_Assumptions!$C$17)^-0.5,(1-Credit_Assumptions!$C$16)*BE143*(1+Credit_Assumptions!$C$17)^-0.5,BE143)+BE128*CHOOSE(Credit_Assumptions!$D$32,BE142*BE143*(1+Credit_Assumptions!$C$17)^-0.5,(1-Credit_Assumptions!$C$16)*BE143*(1+Credit_Assumptions!$C$17)^-0.5,BE143)+BE129*CHOOSE(Credit_Assumptions!$D$33,BE142*BE143*(1+Credit_Assumptions!$C$17)^-0.5,(1-Credit_Assumptions!$C$16)*BE143*(1+Credit_Assumptions!$C$17)^-0.5,BE143)</f>
        <v/>
      </c>
      <c r="BF144" s="80">
        <f>BF124*CHOOSE(Credit_Assumptions!$D$28,BF142*BF143*(1+Credit_Assumptions!$C$17)^-0.5,(1-Credit_Assumptions!$C$16)*BF143*(1+Credit_Assumptions!$C$17)^-0.5,BF143)+BF125*CHOOSE(Credit_Assumptions!$D$29,BF142*BF143*(1+Credit_Assumptions!$C$17)^-0.5,(1-Credit_Assumptions!$C$16)*BF143*(1+Credit_Assumptions!$C$17)^-0.5,BF143)+BF126*CHOOSE(Credit_Assumptions!$D$30,BF142*BF143*(1+Credit_Assumptions!$C$17)^-0.5,(1-Credit_Assumptions!$C$16)*BF143*(1+Credit_Assumptions!$C$17)^-0.5,BF143)+BF127*CHOOSE(Credit_Assumptions!$D$31,BF142*BF143*(1+Credit_Assumptions!$C$17)^-0.5,(1-Credit_Assumptions!$C$16)*BF143*(1+Credit_Assumptions!$C$17)^-0.5,BF143)+BF128*CHOOSE(Credit_Assumptions!$D$32,BF142*BF143*(1+Credit_Assumptions!$C$17)^-0.5,(1-Credit_Assumptions!$C$16)*BF143*(1+Credit_Assumptions!$C$17)^-0.5,BF143)+BF129*CHOOSE(Credit_Assumptions!$D$33,BF142*BF143*(1+Credit_Assumptions!$C$17)^-0.5,(1-Credit_Assumptions!$C$16)*BF143*(1+Credit_Assumptions!$C$17)^-0.5,BF143)</f>
        <v/>
      </c>
      <c r="BG144" s="80">
        <f>BG124*CHOOSE(Credit_Assumptions!$D$28,BG142*BG143*(1+Credit_Assumptions!$C$17)^-0.5,(1-Credit_Assumptions!$C$16)*BG143*(1+Credit_Assumptions!$C$17)^-0.5,BG143)+BG125*CHOOSE(Credit_Assumptions!$D$29,BG142*BG143*(1+Credit_Assumptions!$C$17)^-0.5,(1-Credit_Assumptions!$C$16)*BG143*(1+Credit_Assumptions!$C$17)^-0.5,BG143)+BG126*CHOOSE(Credit_Assumptions!$D$30,BG142*BG143*(1+Credit_Assumptions!$C$17)^-0.5,(1-Credit_Assumptions!$C$16)*BG143*(1+Credit_Assumptions!$C$17)^-0.5,BG143)+BG127*CHOOSE(Credit_Assumptions!$D$31,BG142*BG143*(1+Credit_Assumptions!$C$17)^-0.5,(1-Credit_Assumptions!$C$16)*BG143*(1+Credit_Assumptions!$C$17)^-0.5,BG143)+BG128*CHOOSE(Credit_Assumptions!$D$32,BG142*BG143*(1+Credit_Assumptions!$C$17)^-0.5,(1-Credit_Assumptions!$C$16)*BG143*(1+Credit_Assumptions!$C$17)^-0.5,BG143)+BG129*CHOOSE(Credit_Assumptions!$D$33,BG142*BG143*(1+Credit_Assumptions!$C$17)^-0.5,(1-Credit_Assumptions!$C$16)*BG143*(1+Credit_Assumptions!$C$17)^-0.5,BG143)</f>
        <v/>
      </c>
      <c r="BH144" s="80">
        <f>BH124*CHOOSE(Credit_Assumptions!$D$28,BH142*BH143*(1+Credit_Assumptions!$C$17)^-0.5,(1-Credit_Assumptions!$C$16)*BH143*(1+Credit_Assumptions!$C$17)^-0.5,BH143)+BH125*CHOOSE(Credit_Assumptions!$D$29,BH142*BH143*(1+Credit_Assumptions!$C$17)^-0.5,(1-Credit_Assumptions!$C$16)*BH143*(1+Credit_Assumptions!$C$17)^-0.5,BH143)+BH126*CHOOSE(Credit_Assumptions!$D$30,BH142*BH143*(1+Credit_Assumptions!$C$17)^-0.5,(1-Credit_Assumptions!$C$16)*BH143*(1+Credit_Assumptions!$C$17)^-0.5,BH143)+BH127*CHOOSE(Credit_Assumptions!$D$31,BH142*BH143*(1+Credit_Assumptions!$C$17)^-0.5,(1-Credit_Assumptions!$C$16)*BH143*(1+Credit_Assumptions!$C$17)^-0.5,BH143)+BH128*CHOOSE(Credit_Assumptions!$D$32,BH142*BH143*(1+Credit_Assumptions!$C$17)^-0.5,(1-Credit_Assumptions!$C$16)*BH143*(1+Credit_Assumptions!$C$17)^-0.5,BH143)+BH129*CHOOSE(Credit_Assumptions!$D$33,BH142*BH143*(1+Credit_Assumptions!$C$17)^-0.5,(1-Credit_Assumptions!$C$16)*BH143*(1+Credit_Assumptions!$C$17)^-0.5,BH143)</f>
        <v/>
      </c>
      <c r="BI144" s="80">
        <f>BI124*CHOOSE(Credit_Assumptions!$D$28,BI142*BI143*(1+Credit_Assumptions!$C$17)^-0.5,(1-Credit_Assumptions!$C$16)*BI143*(1+Credit_Assumptions!$C$17)^-0.5,BI143)+BI125*CHOOSE(Credit_Assumptions!$D$29,BI142*BI143*(1+Credit_Assumptions!$C$17)^-0.5,(1-Credit_Assumptions!$C$16)*BI143*(1+Credit_Assumptions!$C$17)^-0.5,BI143)+BI126*CHOOSE(Credit_Assumptions!$D$30,BI142*BI143*(1+Credit_Assumptions!$C$17)^-0.5,(1-Credit_Assumptions!$C$16)*BI143*(1+Credit_Assumptions!$C$17)^-0.5,BI143)+BI127*CHOOSE(Credit_Assumptions!$D$31,BI142*BI143*(1+Credit_Assumptions!$C$17)^-0.5,(1-Credit_Assumptions!$C$16)*BI143*(1+Credit_Assumptions!$C$17)^-0.5,BI143)+BI128*CHOOSE(Credit_Assumptions!$D$32,BI142*BI143*(1+Credit_Assumptions!$C$17)^-0.5,(1-Credit_Assumptions!$C$16)*BI143*(1+Credit_Assumptions!$C$17)^-0.5,BI143)+BI129*CHOOSE(Credit_Assumptions!$D$33,BI142*BI143*(1+Credit_Assumptions!$C$17)^-0.5,(1-Credit_Assumptions!$C$16)*BI143*(1+Credit_Assumptions!$C$17)^-0.5,BI143)</f>
        <v/>
      </c>
      <c r="BJ144" s="80">
        <f>BJ124*CHOOSE(Credit_Assumptions!$D$28,BJ142*BJ143*(1+Credit_Assumptions!$C$17)^-0.5,(1-Credit_Assumptions!$C$16)*BJ143*(1+Credit_Assumptions!$C$17)^-0.5,BJ143)+BJ125*CHOOSE(Credit_Assumptions!$D$29,BJ142*BJ143*(1+Credit_Assumptions!$C$17)^-0.5,(1-Credit_Assumptions!$C$16)*BJ143*(1+Credit_Assumptions!$C$17)^-0.5,BJ143)+BJ126*CHOOSE(Credit_Assumptions!$D$30,BJ142*BJ143*(1+Credit_Assumptions!$C$17)^-0.5,(1-Credit_Assumptions!$C$16)*BJ143*(1+Credit_Assumptions!$C$17)^-0.5,BJ143)+BJ127*CHOOSE(Credit_Assumptions!$D$31,BJ142*BJ143*(1+Credit_Assumptions!$C$17)^-0.5,(1-Credit_Assumptions!$C$16)*BJ143*(1+Credit_Assumptions!$C$17)^-0.5,BJ143)+BJ128*CHOOSE(Credit_Assumptions!$D$32,BJ142*BJ143*(1+Credit_Assumptions!$C$17)^-0.5,(1-Credit_Assumptions!$C$16)*BJ143*(1+Credit_Assumptions!$C$17)^-0.5,BJ143)+BJ129*CHOOSE(Credit_Assumptions!$D$33,BJ142*BJ143*(1+Credit_Assumptions!$C$17)^-0.5,(1-Credit_Assumptions!$C$16)*BJ143*(1+Credit_Assumptions!$C$17)^-0.5,BJ143)</f>
        <v/>
      </c>
      <c r="BK144" s="80">
        <f>BK124*CHOOSE(Credit_Assumptions!$D$28,BK142*BK143*(1+Credit_Assumptions!$C$17)^-0.5,(1-Credit_Assumptions!$C$16)*BK143*(1+Credit_Assumptions!$C$17)^-0.5,BK143)+BK125*CHOOSE(Credit_Assumptions!$D$29,BK142*BK143*(1+Credit_Assumptions!$C$17)^-0.5,(1-Credit_Assumptions!$C$16)*BK143*(1+Credit_Assumptions!$C$17)^-0.5,BK143)+BK126*CHOOSE(Credit_Assumptions!$D$30,BK142*BK143*(1+Credit_Assumptions!$C$17)^-0.5,(1-Credit_Assumptions!$C$16)*BK143*(1+Credit_Assumptions!$C$17)^-0.5,BK143)+BK127*CHOOSE(Credit_Assumptions!$D$31,BK142*BK143*(1+Credit_Assumptions!$C$17)^-0.5,(1-Credit_Assumptions!$C$16)*BK143*(1+Credit_Assumptions!$C$17)^-0.5,BK143)+BK128*CHOOSE(Credit_Assumptions!$D$32,BK142*BK143*(1+Credit_Assumptions!$C$17)^-0.5,(1-Credit_Assumptions!$C$16)*BK143*(1+Credit_Assumptions!$C$17)^-0.5,BK143)+BK129*CHOOSE(Credit_Assumptions!$D$33,BK142*BK143*(1+Credit_Assumptions!$C$17)^-0.5,(1-Credit_Assumptions!$C$16)*BK143*(1+Credit_Assumptions!$C$17)^-0.5,BK143)</f>
        <v/>
      </c>
      <c r="BL144" s="80">
        <f>BL124*CHOOSE(Credit_Assumptions!$D$28,BL142*BL143*(1+Credit_Assumptions!$C$17)^-0.5,(1-Credit_Assumptions!$C$16)*BL143*(1+Credit_Assumptions!$C$17)^-0.5,BL143)+BL125*CHOOSE(Credit_Assumptions!$D$29,BL142*BL143*(1+Credit_Assumptions!$C$17)^-0.5,(1-Credit_Assumptions!$C$16)*BL143*(1+Credit_Assumptions!$C$17)^-0.5,BL143)+BL126*CHOOSE(Credit_Assumptions!$D$30,BL142*BL143*(1+Credit_Assumptions!$C$17)^-0.5,(1-Credit_Assumptions!$C$16)*BL143*(1+Credit_Assumptions!$C$17)^-0.5,BL143)+BL127*CHOOSE(Credit_Assumptions!$D$31,BL142*BL143*(1+Credit_Assumptions!$C$17)^-0.5,(1-Credit_Assumptions!$C$16)*BL143*(1+Credit_Assumptions!$C$17)^-0.5,BL143)+BL128*CHOOSE(Credit_Assumptions!$D$32,BL142*BL143*(1+Credit_Assumptions!$C$17)^-0.5,(1-Credit_Assumptions!$C$16)*BL143*(1+Credit_Assumptions!$C$17)^-0.5,BL143)+BL129*CHOOSE(Credit_Assumptions!$D$33,BL142*BL143*(1+Credit_Assumptions!$C$17)^-0.5,(1-Credit_Assumptions!$C$16)*BL143*(1+Credit_Assumptions!$C$17)^-0.5,BL143)</f>
        <v/>
      </c>
    </row>
    <row r="145">
      <c r="A145" s="98" t="inlineStr">
        <is>
          <t>Eligible receivables (borrowing base)</t>
        </is>
      </c>
      <c r="B145" s="65" t="inlineStr">
        <is>
          <t>LCY</t>
        </is>
      </c>
      <c r="C145" s="105">
        <f>BL145</f>
        <v/>
      </c>
      <c r="E145" s="80">
        <f>E124*Credit_Assumptions!$E$28+E125*Credit_Assumptions!$E$29+E126*Credit_Assumptions!$E$30+E127*Credit_Assumptions!$E$31+E128*Credit_Assumptions!$E$32+E129*Credit_Assumptions!$E$33</f>
        <v/>
      </c>
      <c r="F145" s="80">
        <f>F124*Credit_Assumptions!$E$28+F125*Credit_Assumptions!$E$29+F126*Credit_Assumptions!$E$30+F127*Credit_Assumptions!$E$31+F128*Credit_Assumptions!$E$32+F129*Credit_Assumptions!$E$33</f>
        <v/>
      </c>
      <c r="G145" s="80">
        <f>G124*Credit_Assumptions!$E$28+G125*Credit_Assumptions!$E$29+G126*Credit_Assumptions!$E$30+G127*Credit_Assumptions!$E$31+G128*Credit_Assumptions!$E$32+G129*Credit_Assumptions!$E$33</f>
        <v/>
      </c>
      <c r="H145" s="80">
        <f>H124*Credit_Assumptions!$E$28+H125*Credit_Assumptions!$E$29+H126*Credit_Assumptions!$E$30+H127*Credit_Assumptions!$E$31+H128*Credit_Assumptions!$E$32+H129*Credit_Assumptions!$E$33</f>
        <v/>
      </c>
      <c r="I145" s="80">
        <f>I124*Credit_Assumptions!$E$28+I125*Credit_Assumptions!$E$29+I126*Credit_Assumptions!$E$30+I127*Credit_Assumptions!$E$31+I128*Credit_Assumptions!$E$32+I129*Credit_Assumptions!$E$33</f>
        <v/>
      </c>
      <c r="J145" s="80">
        <f>J124*Credit_Assumptions!$E$28+J125*Credit_Assumptions!$E$29+J126*Credit_Assumptions!$E$30+J127*Credit_Assumptions!$E$31+J128*Credit_Assumptions!$E$32+J129*Credit_Assumptions!$E$33</f>
        <v/>
      </c>
      <c r="K145" s="80">
        <f>K124*Credit_Assumptions!$E$28+K125*Credit_Assumptions!$E$29+K126*Credit_Assumptions!$E$30+K127*Credit_Assumptions!$E$31+K128*Credit_Assumptions!$E$32+K129*Credit_Assumptions!$E$33</f>
        <v/>
      </c>
      <c r="L145" s="80">
        <f>L124*Credit_Assumptions!$E$28+L125*Credit_Assumptions!$E$29+L126*Credit_Assumptions!$E$30+L127*Credit_Assumptions!$E$31+L128*Credit_Assumptions!$E$32+L129*Credit_Assumptions!$E$33</f>
        <v/>
      </c>
      <c r="M145" s="80">
        <f>M124*Credit_Assumptions!$E$28+M125*Credit_Assumptions!$E$29+M126*Credit_Assumptions!$E$30+M127*Credit_Assumptions!$E$31+M128*Credit_Assumptions!$E$32+M129*Credit_Assumptions!$E$33</f>
        <v/>
      </c>
      <c r="N145" s="80">
        <f>N124*Credit_Assumptions!$E$28+N125*Credit_Assumptions!$E$29+N126*Credit_Assumptions!$E$30+N127*Credit_Assumptions!$E$31+N128*Credit_Assumptions!$E$32+N129*Credit_Assumptions!$E$33</f>
        <v/>
      </c>
      <c r="O145" s="80">
        <f>O124*Credit_Assumptions!$E$28+O125*Credit_Assumptions!$E$29+O126*Credit_Assumptions!$E$30+O127*Credit_Assumptions!$E$31+O128*Credit_Assumptions!$E$32+O129*Credit_Assumptions!$E$33</f>
        <v/>
      </c>
      <c r="P145" s="80">
        <f>P124*Credit_Assumptions!$E$28+P125*Credit_Assumptions!$E$29+P126*Credit_Assumptions!$E$30+P127*Credit_Assumptions!$E$31+P128*Credit_Assumptions!$E$32+P129*Credit_Assumptions!$E$33</f>
        <v/>
      </c>
      <c r="Q145" s="80">
        <f>Q124*Credit_Assumptions!$E$28+Q125*Credit_Assumptions!$E$29+Q126*Credit_Assumptions!$E$30+Q127*Credit_Assumptions!$E$31+Q128*Credit_Assumptions!$E$32+Q129*Credit_Assumptions!$E$33</f>
        <v/>
      </c>
      <c r="R145" s="80">
        <f>R124*Credit_Assumptions!$E$28+R125*Credit_Assumptions!$E$29+R126*Credit_Assumptions!$E$30+R127*Credit_Assumptions!$E$31+R128*Credit_Assumptions!$E$32+R129*Credit_Assumptions!$E$33</f>
        <v/>
      </c>
      <c r="S145" s="80">
        <f>S124*Credit_Assumptions!$E$28+S125*Credit_Assumptions!$E$29+S126*Credit_Assumptions!$E$30+S127*Credit_Assumptions!$E$31+S128*Credit_Assumptions!$E$32+S129*Credit_Assumptions!$E$33</f>
        <v/>
      </c>
      <c r="T145" s="80">
        <f>T124*Credit_Assumptions!$E$28+T125*Credit_Assumptions!$E$29+T126*Credit_Assumptions!$E$30+T127*Credit_Assumptions!$E$31+T128*Credit_Assumptions!$E$32+T129*Credit_Assumptions!$E$33</f>
        <v/>
      </c>
      <c r="U145" s="80">
        <f>U124*Credit_Assumptions!$E$28+U125*Credit_Assumptions!$E$29+U126*Credit_Assumptions!$E$30+U127*Credit_Assumptions!$E$31+U128*Credit_Assumptions!$E$32+U129*Credit_Assumptions!$E$33</f>
        <v/>
      </c>
      <c r="V145" s="80">
        <f>V124*Credit_Assumptions!$E$28+V125*Credit_Assumptions!$E$29+V126*Credit_Assumptions!$E$30+V127*Credit_Assumptions!$E$31+V128*Credit_Assumptions!$E$32+V129*Credit_Assumptions!$E$33</f>
        <v/>
      </c>
      <c r="W145" s="80">
        <f>W124*Credit_Assumptions!$E$28+W125*Credit_Assumptions!$E$29+W126*Credit_Assumptions!$E$30+W127*Credit_Assumptions!$E$31+W128*Credit_Assumptions!$E$32+W129*Credit_Assumptions!$E$33</f>
        <v/>
      </c>
      <c r="X145" s="80">
        <f>X124*Credit_Assumptions!$E$28+X125*Credit_Assumptions!$E$29+X126*Credit_Assumptions!$E$30+X127*Credit_Assumptions!$E$31+X128*Credit_Assumptions!$E$32+X129*Credit_Assumptions!$E$33</f>
        <v/>
      </c>
      <c r="Y145" s="80">
        <f>Y124*Credit_Assumptions!$E$28+Y125*Credit_Assumptions!$E$29+Y126*Credit_Assumptions!$E$30+Y127*Credit_Assumptions!$E$31+Y128*Credit_Assumptions!$E$32+Y129*Credit_Assumptions!$E$33</f>
        <v/>
      </c>
      <c r="Z145" s="80">
        <f>Z124*Credit_Assumptions!$E$28+Z125*Credit_Assumptions!$E$29+Z126*Credit_Assumptions!$E$30+Z127*Credit_Assumptions!$E$31+Z128*Credit_Assumptions!$E$32+Z129*Credit_Assumptions!$E$33</f>
        <v/>
      </c>
      <c r="AA145" s="80">
        <f>AA124*Credit_Assumptions!$E$28+AA125*Credit_Assumptions!$E$29+AA126*Credit_Assumptions!$E$30+AA127*Credit_Assumptions!$E$31+AA128*Credit_Assumptions!$E$32+AA129*Credit_Assumptions!$E$33</f>
        <v/>
      </c>
      <c r="AB145" s="80">
        <f>AB124*Credit_Assumptions!$E$28+AB125*Credit_Assumptions!$E$29+AB126*Credit_Assumptions!$E$30+AB127*Credit_Assumptions!$E$31+AB128*Credit_Assumptions!$E$32+AB129*Credit_Assumptions!$E$33</f>
        <v/>
      </c>
      <c r="AC145" s="80">
        <f>AC124*Credit_Assumptions!$E$28+AC125*Credit_Assumptions!$E$29+AC126*Credit_Assumptions!$E$30+AC127*Credit_Assumptions!$E$31+AC128*Credit_Assumptions!$E$32+AC129*Credit_Assumptions!$E$33</f>
        <v/>
      </c>
      <c r="AD145" s="80">
        <f>AD124*Credit_Assumptions!$E$28+AD125*Credit_Assumptions!$E$29+AD126*Credit_Assumptions!$E$30+AD127*Credit_Assumptions!$E$31+AD128*Credit_Assumptions!$E$32+AD129*Credit_Assumptions!$E$33</f>
        <v/>
      </c>
      <c r="AE145" s="80">
        <f>AE124*Credit_Assumptions!$E$28+AE125*Credit_Assumptions!$E$29+AE126*Credit_Assumptions!$E$30+AE127*Credit_Assumptions!$E$31+AE128*Credit_Assumptions!$E$32+AE129*Credit_Assumptions!$E$33</f>
        <v/>
      </c>
      <c r="AF145" s="80">
        <f>AF124*Credit_Assumptions!$E$28+AF125*Credit_Assumptions!$E$29+AF126*Credit_Assumptions!$E$30+AF127*Credit_Assumptions!$E$31+AF128*Credit_Assumptions!$E$32+AF129*Credit_Assumptions!$E$33</f>
        <v/>
      </c>
      <c r="AG145" s="80">
        <f>AG124*Credit_Assumptions!$E$28+AG125*Credit_Assumptions!$E$29+AG126*Credit_Assumptions!$E$30+AG127*Credit_Assumptions!$E$31+AG128*Credit_Assumptions!$E$32+AG129*Credit_Assumptions!$E$33</f>
        <v/>
      </c>
      <c r="AH145" s="80">
        <f>AH124*Credit_Assumptions!$E$28+AH125*Credit_Assumptions!$E$29+AH126*Credit_Assumptions!$E$30+AH127*Credit_Assumptions!$E$31+AH128*Credit_Assumptions!$E$32+AH129*Credit_Assumptions!$E$33</f>
        <v/>
      </c>
      <c r="AI145" s="80">
        <f>AI124*Credit_Assumptions!$E$28+AI125*Credit_Assumptions!$E$29+AI126*Credit_Assumptions!$E$30+AI127*Credit_Assumptions!$E$31+AI128*Credit_Assumptions!$E$32+AI129*Credit_Assumptions!$E$33</f>
        <v/>
      </c>
      <c r="AJ145" s="80">
        <f>AJ124*Credit_Assumptions!$E$28+AJ125*Credit_Assumptions!$E$29+AJ126*Credit_Assumptions!$E$30+AJ127*Credit_Assumptions!$E$31+AJ128*Credit_Assumptions!$E$32+AJ129*Credit_Assumptions!$E$33</f>
        <v/>
      </c>
      <c r="AK145" s="80">
        <f>AK124*Credit_Assumptions!$E$28+AK125*Credit_Assumptions!$E$29+AK126*Credit_Assumptions!$E$30+AK127*Credit_Assumptions!$E$31+AK128*Credit_Assumptions!$E$32+AK129*Credit_Assumptions!$E$33</f>
        <v/>
      </c>
      <c r="AL145" s="80">
        <f>AL124*Credit_Assumptions!$E$28+AL125*Credit_Assumptions!$E$29+AL126*Credit_Assumptions!$E$30+AL127*Credit_Assumptions!$E$31+AL128*Credit_Assumptions!$E$32+AL129*Credit_Assumptions!$E$33</f>
        <v/>
      </c>
      <c r="AM145" s="80">
        <f>AM124*Credit_Assumptions!$E$28+AM125*Credit_Assumptions!$E$29+AM126*Credit_Assumptions!$E$30+AM127*Credit_Assumptions!$E$31+AM128*Credit_Assumptions!$E$32+AM129*Credit_Assumptions!$E$33</f>
        <v/>
      </c>
      <c r="AN145" s="80">
        <f>AN124*Credit_Assumptions!$E$28+AN125*Credit_Assumptions!$E$29+AN126*Credit_Assumptions!$E$30+AN127*Credit_Assumptions!$E$31+AN128*Credit_Assumptions!$E$32+AN129*Credit_Assumptions!$E$33</f>
        <v/>
      </c>
      <c r="AO145" s="80">
        <f>AO124*Credit_Assumptions!$E$28+AO125*Credit_Assumptions!$E$29+AO126*Credit_Assumptions!$E$30+AO127*Credit_Assumptions!$E$31+AO128*Credit_Assumptions!$E$32+AO129*Credit_Assumptions!$E$33</f>
        <v/>
      </c>
      <c r="AP145" s="80">
        <f>AP124*Credit_Assumptions!$E$28+AP125*Credit_Assumptions!$E$29+AP126*Credit_Assumptions!$E$30+AP127*Credit_Assumptions!$E$31+AP128*Credit_Assumptions!$E$32+AP129*Credit_Assumptions!$E$33</f>
        <v/>
      </c>
      <c r="AQ145" s="80">
        <f>AQ124*Credit_Assumptions!$E$28+AQ125*Credit_Assumptions!$E$29+AQ126*Credit_Assumptions!$E$30+AQ127*Credit_Assumptions!$E$31+AQ128*Credit_Assumptions!$E$32+AQ129*Credit_Assumptions!$E$33</f>
        <v/>
      </c>
      <c r="AR145" s="80">
        <f>AR124*Credit_Assumptions!$E$28+AR125*Credit_Assumptions!$E$29+AR126*Credit_Assumptions!$E$30+AR127*Credit_Assumptions!$E$31+AR128*Credit_Assumptions!$E$32+AR129*Credit_Assumptions!$E$33</f>
        <v/>
      </c>
      <c r="AS145" s="80">
        <f>AS124*Credit_Assumptions!$E$28+AS125*Credit_Assumptions!$E$29+AS126*Credit_Assumptions!$E$30+AS127*Credit_Assumptions!$E$31+AS128*Credit_Assumptions!$E$32+AS129*Credit_Assumptions!$E$33</f>
        <v/>
      </c>
      <c r="AT145" s="80">
        <f>AT124*Credit_Assumptions!$E$28+AT125*Credit_Assumptions!$E$29+AT126*Credit_Assumptions!$E$30+AT127*Credit_Assumptions!$E$31+AT128*Credit_Assumptions!$E$32+AT129*Credit_Assumptions!$E$33</f>
        <v/>
      </c>
      <c r="AU145" s="80">
        <f>AU124*Credit_Assumptions!$E$28+AU125*Credit_Assumptions!$E$29+AU126*Credit_Assumptions!$E$30+AU127*Credit_Assumptions!$E$31+AU128*Credit_Assumptions!$E$32+AU129*Credit_Assumptions!$E$33</f>
        <v/>
      </c>
      <c r="AV145" s="80">
        <f>AV124*Credit_Assumptions!$E$28+AV125*Credit_Assumptions!$E$29+AV126*Credit_Assumptions!$E$30+AV127*Credit_Assumptions!$E$31+AV128*Credit_Assumptions!$E$32+AV129*Credit_Assumptions!$E$33</f>
        <v/>
      </c>
      <c r="AW145" s="80">
        <f>AW124*Credit_Assumptions!$E$28+AW125*Credit_Assumptions!$E$29+AW126*Credit_Assumptions!$E$30+AW127*Credit_Assumptions!$E$31+AW128*Credit_Assumptions!$E$32+AW129*Credit_Assumptions!$E$33</f>
        <v/>
      </c>
      <c r="AX145" s="80">
        <f>AX124*Credit_Assumptions!$E$28+AX125*Credit_Assumptions!$E$29+AX126*Credit_Assumptions!$E$30+AX127*Credit_Assumptions!$E$31+AX128*Credit_Assumptions!$E$32+AX129*Credit_Assumptions!$E$33</f>
        <v/>
      </c>
      <c r="AY145" s="80">
        <f>AY124*Credit_Assumptions!$E$28+AY125*Credit_Assumptions!$E$29+AY126*Credit_Assumptions!$E$30+AY127*Credit_Assumptions!$E$31+AY128*Credit_Assumptions!$E$32+AY129*Credit_Assumptions!$E$33</f>
        <v/>
      </c>
      <c r="AZ145" s="80">
        <f>AZ124*Credit_Assumptions!$E$28+AZ125*Credit_Assumptions!$E$29+AZ126*Credit_Assumptions!$E$30+AZ127*Credit_Assumptions!$E$31+AZ128*Credit_Assumptions!$E$32+AZ129*Credit_Assumptions!$E$33</f>
        <v/>
      </c>
      <c r="BA145" s="80">
        <f>BA124*Credit_Assumptions!$E$28+BA125*Credit_Assumptions!$E$29+BA126*Credit_Assumptions!$E$30+BA127*Credit_Assumptions!$E$31+BA128*Credit_Assumptions!$E$32+BA129*Credit_Assumptions!$E$33</f>
        <v/>
      </c>
      <c r="BB145" s="80">
        <f>BB124*Credit_Assumptions!$E$28+BB125*Credit_Assumptions!$E$29+BB126*Credit_Assumptions!$E$30+BB127*Credit_Assumptions!$E$31+BB128*Credit_Assumptions!$E$32+BB129*Credit_Assumptions!$E$33</f>
        <v/>
      </c>
      <c r="BC145" s="80">
        <f>BC124*Credit_Assumptions!$E$28+BC125*Credit_Assumptions!$E$29+BC126*Credit_Assumptions!$E$30+BC127*Credit_Assumptions!$E$31+BC128*Credit_Assumptions!$E$32+BC129*Credit_Assumptions!$E$33</f>
        <v/>
      </c>
      <c r="BD145" s="80">
        <f>BD124*Credit_Assumptions!$E$28+BD125*Credit_Assumptions!$E$29+BD126*Credit_Assumptions!$E$30+BD127*Credit_Assumptions!$E$31+BD128*Credit_Assumptions!$E$32+BD129*Credit_Assumptions!$E$33</f>
        <v/>
      </c>
      <c r="BE145" s="80">
        <f>BE124*Credit_Assumptions!$E$28+BE125*Credit_Assumptions!$E$29+BE126*Credit_Assumptions!$E$30+BE127*Credit_Assumptions!$E$31+BE128*Credit_Assumptions!$E$32+BE129*Credit_Assumptions!$E$33</f>
        <v/>
      </c>
      <c r="BF145" s="80">
        <f>BF124*Credit_Assumptions!$E$28+BF125*Credit_Assumptions!$E$29+BF126*Credit_Assumptions!$E$30+BF127*Credit_Assumptions!$E$31+BF128*Credit_Assumptions!$E$32+BF129*Credit_Assumptions!$E$33</f>
        <v/>
      </c>
      <c r="BG145" s="80">
        <f>BG124*Credit_Assumptions!$E$28+BG125*Credit_Assumptions!$E$29+BG126*Credit_Assumptions!$E$30+BG127*Credit_Assumptions!$E$31+BG128*Credit_Assumptions!$E$32+BG129*Credit_Assumptions!$E$33</f>
        <v/>
      </c>
      <c r="BH145" s="80">
        <f>BH124*Credit_Assumptions!$E$28+BH125*Credit_Assumptions!$E$29+BH126*Credit_Assumptions!$E$30+BH127*Credit_Assumptions!$E$31+BH128*Credit_Assumptions!$E$32+BH129*Credit_Assumptions!$E$33</f>
        <v/>
      </c>
      <c r="BI145" s="80">
        <f>BI124*Credit_Assumptions!$E$28+BI125*Credit_Assumptions!$E$29+BI126*Credit_Assumptions!$E$30+BI127*Credit_Assumptions!$E$31+BI128*Credit_Assumptions!$E$32+BI129*Credit_Assumptions!$E$33</f>
        <v/>
      </c>
      <c r="BJ145" s="80">
        <f>BJ124*Credit_Assumptions!$E$28+BJ125*Credit_Assumptions!$E$29+BJ126*Credit_Assumptions!$E$30+BJ127*Credit_Assumptions!$E$31+BJ128*Credit_Assumptions!$E$32+BJ129*Credit_Assumptions!$E$33</f>
        <v/>
      </c>
      <c r="BK145" s="80">
        <f>BK124*Credit_Assumptions!$E$28+BK125*Credit_Assumptions!$E$29+BK126*Credit_Assumptions!$E$30+BK127*Credit_Assumptions!$E$31+BK128*Credit_Assumptions!$E$32+BK129*Credit_Assumptions!$E$33</f>
        <v/>
      </c>
      <c r="BL145" s="80">
        <f>BL124*Credit_Assumptions!$E$28+BL125*Credit_Assumptions!$E$29+BL126*Credit_Assumptions!$E$30+BL127*Credit_Assumptions!$E$31+BL128*Credit_Assumptions!$E$32+BL129*Credit_Assumptions!$E$33</f>
        <v/>
      </c>
    </row>
    <row r="146">
      <c r="A146" s="98" t="inlineStr">
        <is>
          <t>Borrowing-base contribution (advance rate x eligible)</t>
        </is>
      </c>
      <c r="B146" s="65" t="inlineStr">
        <is>
          <t>LCY</t>
        </is>
      </c>
      <c r="C146" s="105">
        <f>BL146</f>
        <v/>
      </c>
      <c r="E146" s="80">
        <f>E145*Products!$E$31</f>
        <v/>
      </c>
      <c r="F146" s="80">
        <f>F145*Products!$E$31</f>
        <v/>
      </c>
      <c r="G146" s="80">
        <f>G145*Products!$E$31</f>
        <v/>
      </c>
      <c r="H146" s="80">
        <f>H145*Products!$E$31</f>
        <v/>
      </c>
      <c r="I146" s="80">
        <f>I145*Products!$E$31</f>
        <v/>
      </c>
      <c r="J146" s="80">
        <f>J145*Products!$E$31</f>
        <v/>
      </c>
      <c r="K146" s="80">
        <f>K145*Products!$E$31</f>
        <v/>
      </c>
      <c r="L146" s="80">
        <f>L145*Products!$E$31</f>
        <v/>
      </c>
      <c r="M146" s="80">
        <f>M145*Products!$E$31</f>
        <v/>
      </c>
      <c r="N146" s="80">
        <f>N145*Products!$E$31</f>
        <v/>
      </c>
      <c r="O146" s="80">
        <f>O145*Products!$E$31</f>
        <v/>
      </c>
      <c r="P146" s="80">
        <f>P145*Products!$E$31</f>
        <v/>
      </c>
      <c r="Q146" s="80">
        <f>Q145*Products!$E$31</f>
        <v/>
      </c>
      <c r="R146" s="80">
        <f>R145*Products!$E$31</f>
        <v/>
      </c>
      <c r="S146" s="80">
        <f>S145*Products!$E$31</f>
        <v/>
      </c>
      <c r="T146" s="80">
        <f>T145*Products!$E$31</f>
        <v/>
      </c>
      <c r="U146" s="80">
        <f>U145*Products!$E$31</f>
        <v/>
      </c>
      <c r="V146" s="80">
        <f>V145*Products!$E$31</f>
        <v/>
      </c>
      <c r="W146" s="80">
        <f>W145*Products!$E$31</f>
        <v/>
      </c>
      <c r="X146" s="80">
        <f>X145*Products!$E$31</f>
        <v/>
      </c>
      <c r="Y146" s="80">
        <f>Y145*Products!$E$31</f>
        <v/>
      </c>
      <c r="Z146" s="80">
        <f>Z145*Products!$E$31</f>
        <v/>
      </c>
      <c r="AA146" s="80">
        <f>AA145*Products!$E$31</f>
        <v/>
      </c>
      <c r="AB146" s="80">
        <f>AB145*Products!$E$31</f>
        <v/>
      </c>
      <c r="AC146" s="80">
        <f>AC145*Products!$E$31</f>
        <v/>
      </c>
      <c r="AD146" s="80">
        <f>AD145*Products!$E$31</f>
        <v/>
      </c>
      <c r="AE146" s="80">
        <f>AE145*Products!$E$31</f>
        <v/>
      </c>
      <c r="AF146" s="80">
        <f>AF145*Products!$E$31</f>
        <v/>
      </c>
      <c r="AG146" s="80">
        <f>AG145*Products!$E$31</f>
        <v/>
      </c>
      <c r="AH146" s="80">
        <f>AH145*Products!$E$31</f>
        <v/>
      </c>
      <c r="AI146" s="80">
        <f>AI145*Products!$E$31</f>
        <v/>
      </c>
      <c r="AJ146" s="80">
        <f>AJ145*Products!$E$31</f>
        <v/>
      </c>
      <c r="AK146" s="80">
        <f>AK145*Products!$E$31</f>
        <v/>
      </c>
      <c r="AL146" s="80">
        <f>AL145*Products!$E$31</f>
        <v/>
      </c>
      <c r="AM146" s="80">
        <f>AM145*Products!$E$31</f>
        <v/>
      </c>
      <c r="AN146" s="80">
        <f>AN145*Products!$E$31</f>
        <v/>
      </c>
      <c r="AO146" s="80">
        <f>AO145*Products!$E$31</f>
        <v/>
      </c>
      <c r="AP146" s="80">
        <f>AP145*Products!$E$31</f>
        <v/>
      </c>
      <c r="AQ146" s="80">
        <f>AQ145*Products!$E$31</f>
        <v/>
      </c>
      <c r="AR146" s="80">
        <f>AR145*Products!$E$31</f>
        <v/>
      </c>
      <c r="AS146" s="80">
        <f>AS145*Products!$E$31</f>
        <v/>
      </c>
      <c r="AT146" s="80">
        <f>AT145*Products!$E$31</f>
        <v/>
      </c>
      <c r="AU146" s="80">
        <f>AU145*Products!$E$31</f>
        <v/>
      </c>
      <c r="AV146" s="80">
        <f>AV145*Products!$E$31</f>
        <v/>
      </c>
      <c r="AW146" s="80">
        <f>AW145*Products!$E$31</f>
        <v/>
      </c>
      <c r="AX146" s="80">
        <f>AX145*Products!$E$31</f>
        <v/>
      </c>
      <c r="AY146" s="80">
        <f>AY145*Products!$E$31</f>
        <v/>
      </c>
      <c r="AZ146" s="80">
        <f>AZ145*Products!$E$31</f>
        <v/>
      </c>
      <c r="BA146" s="80">
        <f>BA145*Products!$E$31</f>
        <v/>
      </c>
      <c r="BB146" s="80">
        <f>BB145*Products!$E$31</f>
        <v/>
      </c>
      <c r="BC146" s="80">
        <f>BC145*Products!$E$31</f>
        <v/>
      </c>
      <c r="BD146" s="80">
        <f>BD145*Products!$E$31</f>
        <v/>
      </c>
      <c r="BE146" s="80">
        <f>BE145*Products!$E$31</f>
        <v/>
      </c>
      <c r="BF146" s="80">
        <f>BF145*Products!$E$31</f>
        <v/>
      </c>
      <c r="BG146" s="80">
        <f>BG145*Products!$E$31</f>
        <v/>
      </c>
      <c r="BH146" s="80">
        <f>BH145*Products!$E$31</f>
        <v/>
      </c>
      <c r="BI146" s="80">
        <f>BI145*Products!$E$31</f>
        <v/>
      </c>
      <c r="BJ146" s="80">
        <f>BJ145*Products!$E$31</f>
        <v/>
      </c>
      <c r="BK146" s="80">
        <f>BK145*Products!$E$31</f>
        <v/>
      </c>
      <c r="BL146" s="80">
        <f>BL145*Products!$E$31</f>
        <v/>
      </c>
    </row>
    <row r="147">
      <c r="A147" s="98" t="inlineStr">
        <is>
          <t>Reconciliation: buckets: gross (should be 0)</t>
        </is>
      </c>
      <c r="B147" s="65" t="inlineStr">
        <is>
          <t>LCY</t>
        </is>
      </c>
      <c r="C147" s="105">
        <f>BL147</f>
        <v/>
      </c>
      <c r="E147" s="80">
        <f>ROUND(SUM(E124:E129)-E121,0)</f>
        <v/>
      </c>
      <c r="F147" s="80">
        <f>ROUND(SUM(F124:F129)-F121,0)</f>
        <v/>
      </c>
      <c r="G147" s="80">
        <f>ROUND(SUM(G124:G129)-G121,0)</f>
        <v/>
      </c>
      <c r="H147" s="80">
        <f>ROUND(SUM(H124:H129)-H121,0)</f>
        <v/>
      </c>
      <c r="I147" s="80">
        <f>ROUND(SUM(I124:I129)-I121,0)</f>
        <v/>
      </c>
      <c r="J147" s="80">
        <f>ROUND(SUM(J124:J129)-J121,0)</f>
        <v/>
      </c>
      <c r="K147" s="80">
        <f>ROUND(SUM(K124:K129)-K121,0)</f>
        <v/>
      </c>
      <c r="L147" s="80">
        <f>ROUND(SUM(L124:L129)-L121,0)</f>
        <v/>
      </c>
      <c r="M147" s="80">
        <f>ROUND(SUM(M124:M129)-M121,0)</f>
        <v/>
      </c>
      <c r="N147" s="80">
        <f>ROUND(SUM(N124:N129)-N121,0)</f>
        <v/>
      </c>
      <c r="O147" s="80">
        <f>ROUND(SUM(O124:O129)-O121,0)</f>
        <v/>
      </c>
      <c r="P147" s="80">
        <f>ROUND(SUM(P124:P129)-P121,0)</f>
        <v/>
      </c>
      <c r="Q147" s="80">
        <f>ROUND(SUM(Q124:Q129)-Q121,0)</f>
        <v/>
      </c>
      <c r="R147" s="80">
        <f>ROUND(SUM(R124:R129)-R121,0)</f>
        <v/>
      </c>
      <c r="S147" s="80">
        <f>ROUND(SUM(S124:S129)-S121,0)</f>
        <v/>
      </c>
      <c r="T147" s="80">
        <f>ROUND(SUM(T124:T129)-T121,0)</f>
        <v/>
      </c>
      <c r="U147" s="80">
        <f>ROUND(SUM(U124:U129)-U121,0)</f>
        <v/>
      </c>
      <c r="V147" s="80">
        <f>ROUND(SUM(V124:V129)-V121,0)</f>
        <v/>
      </c>
      <c r="W147" s="80">
        <f>ROUND(SUM(W124:W129)-W121,0)</f>
        <v/>
      </c>
      <c r="X147" s="80">
        <f>ROUND(SUM(X124:X129)-X121,0)</f>
        <v/>
      </c>
      <c r="Y147" s="80">
        <f>ROUND(SUM(Y124:Y129)-Y121,0)</f>
        <v/>
      </c>
      <c r="Z147" s="80">
        <f>ROUND(SUM(Z124:Z129)-Z121,0)</f>
        <v/>
      </c>
      <c r="AA147" s="80">
        <f>ROUND(SUM(AA124:AA129)-AA121,0)</f>
        <v/>
      </c>
      <c r="AB147" s="80">
        <f>ROUND(SUM(AB124:AB129)-AB121,0)</f>
        <v/>
      </c>
      <c r="AC147" s="80">
        <f>ROUND(SUM(AC124:AC129)-AC121,0)</f>
        <v/>
      </c>
      <c r="AD147" s="80">
        <f>ROUND(SUM(AD124:AD129)-AD121,0)</f>
        <v/>
      </c>
      <c r="AE147" s="80">
        <f>ROUND(SUM(AE124:AE129)-AE121,0)</f>
        <v/>
      </c>
      <c r="AF147" s="80">
        <f>ROUND(SUM(AF124:AF129)-AF121,0)</f>
        <v/>
      </c>
      <c r="AG147" s="80">
        <f>ROUND(SUM(AG124:AG129)-AG121,0)</f>
        <v/>
      </c>
      <c r="AH147" s="80">
        <f>ROUND(SUM(AH124:AH129)-AH121,0)</f>
        <v/>
      </c>
      <c r="AI147" s="80">
        <f>ROUND(SUM(AI124:AI129)-AI121,0)</f>
        <v/>
      </c>
      <c r="AJ147" s="80">
        <f>ROUND(SUM(AJ124:AJ129)-AJ121,0)</f>
        <v/>
      </c>
      <c r="AK147" s="80">
        <f>ROUND(SUM(AK124:AK129)-AK121,0)</f>
        <v/>
      </c>
      <c r="AL147" s="80">
        <f>ROUND(SUM(AL124:AL129)-AL121,0)</f>
        <v/>
      </c>
      <c r="AM147" s="80">
        <f>ROUND(SUM(AM124:AM129)-AM121,0)</f>
        <v/>
      </c>
      <c r="AN147" s="80">
        <f>ROUND(SUM(AN124:AN129)-AN121,0)</f>
        <v/>
      </c>
      <c r="AO147" s="80">
        <f>ROUND(SUM(AO124:AO129)-AO121,0)</f>
        <v/>
      </c>
      <c r="AP147" s="80">
        <f>ROUND(SUM(AP124:AP129)-AP121,0)</f>
        <v/>
      </c>
      <c r="AQ147" s="80">
        <f>ROUND(SUM(AQ124:AQ129)-AQ121,0)</f>
        <v/>
      </c>
      <c r="AR147" s="80">
        <f>ROUND(SUM(AR124:AR129)-AR121,0)</f>
        <v/>
      </c>
      <c r="AS147" s="80">
        <f>ROUND(SUM(AS124:AS129)-AS121,0)</f>
        <v/>
      </c>
      <c r="AT147" s="80">
        <f>ROUND(SUM(AT124:AT129)-AT121,0)</f>
        <v/>
      </c>
      <c r="AU147" s="80">
        <f>ROUND(SUM(AU124:AU129)-AU121,0)</f>
        <v/>
      </c>
      <c r="AV147" s="80">
        <f>ROUND(SUM(AV124:AV129)-AV121,0)</f>
        <v/>
      </c>
      <c r="AW147" s="80">
        <f>ROUND(SUM(AW124:AW129)-AW121,0)</f>
        <v/>
      </c>
      <c r="AX147" s="80">
        <f>ROUND(SUM(AX124:AX129)-AX121,0)</f>
        <v/>
      </c>
      <c r="AY147" s="80">
        <f>ROUND(SUM(AY124:AY129)-AY121,0)</f>
        <v/>
      </c>
      <c r="AZ147" s="80">
        <f>ROUND(SUM(AZ124:AZ129)-AZ121,0)</f>
        <v/>
      </c>
      <c r="BA147" s="80">
        <f>ROUND(SUM(BA124:BA129)-BA121,0)</f>
        <v/>
      </c>
      <c r="BB147" s="80">
        <f>ROUND(SUM(BB124:BB129)-BB121,0)</f>
        <v/>
      </c>
      <c r="BC147" s="80">
        <f>ROUND(SUM(BC124:BC129)-BC121,0)</f>
        <v/>
      </c>
      <c r="BD147" s="80">
        <f>ROUND(SUM(BD124:BD129)-BD121,0)</f>
        <v/>
      </c>
      <c r="BE147" s="80">
        <f>ROUND(SUM(BE124:BE129)-BE121,0)</f>
        <v/>
      </c>
      <c r="BF147" s="80">
        <f>ROUND(SUM(BF124:BF129)-BF121,0)</f>
        <v/>
      </c>
      <c r="BG147" s="80">
        <f>ROUND(SUM(BG124:BG129)-BG121,0)</f>
        <v/>
      </c>
      <c r="BH147" s="80">
        <f>ROUND(SUM(BH124:BH129)-BH121,0)</f>
        <v/>
      </c>
      <c r="BI147" s="80">
        <f>ROUND(SUM(BI124:BI129)-BI121,0)</f>
        <v/>
      </c>
      <c r="BJ147" s="80">
        <f>ROUND(SUM(BJ124:BJ129)-BJ121,0)</f>
        <v/>
      </c>
      <c r="BK147" s="80">
        <f>ROUND(SUM(BK124:BK129)-BK121,0)</f>
        <v/>
      </c>
      <c r="BL147" s="80">
        <f>ROUND(SUM(BL124:BL129)-BL121,0)</f>
        <v/>
      </c>
    </row>
    <row r="148"/>
    <row r="149">
      <c r="A149" s="21" t="inlineStr">
        <is>
          <t>Tier 3: Large SHS + DC fridge: SELECTED (data mode)</t>
        </is>
      </c>
      <c r="B149" s="22" t="n"/>
      <c r="C149" s="22" t="n"/>
      <c r="D149" s="22" t="n"/>
      <c r="E149" s="22" t="n"/>
      <c r="F149" s="22"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c r="AA149" s="22" t="n"/>
      <c r="AB149" s="22" t="n"/>
      <c r="AC149" s="22" t="n"/>
      <c r="AD149" s="22" t="n"/>
      <c r="AE149" s="22" t="n"/>
      <c r="AF149" s="22" t="n"/>
      <c r="AG149" s="22" t="n"/>
      <c r="AH149" s="22" t="n"/>
      <c r="AI149" s="22" t="n"/>
      <c r="AJ149" s="22" t="n"/>
      <c r="AK149" s="22" t="n"/>
      <c r="AL149" s="22" t="n"/>
      <c r="AM149" s="22" t="n"/>
      <c r="AN149" s="22" t="n"/>
      <c r="AO149" s="22" t="n"/>
      <c r="AP149" s="22" t="n"/>
      <c r="AQ149" s="22" t="n"/>
      <c r="AR149" s="22" t="n"/>
      <c r="AS149" s="22" t="n"/>
      <c r="AT149" s="22" t="n"/>
      <c r="AU149" s="22" t="n"/>
      <c r="AV149" s="22" t="n"/>
      <c r="AW149" s="22" t="n"/>
      <c r="AX149" s="22" t="n"/>
      <c r="AY149" s="22" t="n"/>
      <c r="AZ149" s="22" t="n"/>
      <c r="BA149" s="22" t="n"/>
      <c r="BB149" s="22" t="n"/>
      <c r="BC149" s="22" t="n"/>
      <c r="BD149" s="22" t="n"/>
      <c r="BE149" s="22" t="n"/>
      <c r="BF149" s="22" t="n"/>
      <c r="BG149" s="22" t="n"/>
      <c r="BH149" s="22" t="n"/>
      <c r="BI149" s="22" t="n"/>
      <c r="BJ149" s="22" t="n"/>
      <c r="BK149" s="22" t="n"/>
      <c r="BL149" s="22" t="n"/>
    </row>
    <row r="150">
      <c r="A150" s="98" t="inlineStr">
        <is>
          <t>Gross receivables</t>
        </is>
      </c>
      <c r="B150" s="65" t="inlineStr">
        <is>
          <t>LCY</t>
        </is>
      </c>
      <c r="C150" s="105">
        <f>BL150</f>
        <v/>
      </c>
      <c r="E150" s="80">
        <f>IF(Credit_Assumptions!$C$5=1,E121,INDEX(Credit_Input!$D$136:$D$195,E$4))</f>
        <v/>
      </c>
      <c r="F150" s="80">
        <f>IF(Credit_Assumptions!$C$5=1,F121,INDEX(Credit_Input!$D$136:$D$195,F$4))</f>
        <v/>
      </c>
      <c r="G150" s="80">
        <f>IF(Credit_Assumptions!$C$5=1,G121,INDEX(Credit_Input!$D$136:$D$195,G$4))</f>
        <v/>
      </c>
      <c r="H150" s="80">
        <f>IF(Credit_Assumptions!$C$5=1,H121,INDEX(Credit_Input!$D$136:$D$195,H$4))</f>
        <v/>
      </c>
      <c r="I150" s="80">
        <f>IF(Credit_Assumptions!$C$5=1,I121,INDEX(Credit_Input!$D$136:$D$195,I$4))</f>
        <v/>
      </c>
      <c r="J150" s="80">
        <f>IF(Credit_Assumptions!$C$5=1,J121,INDEX(Credit_Input!$D$136:$D$195,J$4))</f>
        <v/>
      </c>
      <c r="K150" s="80">
        <f>IF(Credit_Assumptions!$C$5=1,K121,INDEX(Credit_Input!$D$136:$D$195,K$4))</f>
        <v/>
      </c>
      <c r="L150" s="80">
        <f>IF(Credit_Assumptions!$C$5=1,L121,INDEX(Credit_Input!$D$136:$D$195,L$4))</f>
        <v/>
      </c>
      <c r="M150" s="80">
        <f>IF(Credit_Assumptions!$C$5=1,M121,INDEX(Credit_Input!$D$136:$D$195,M$4))</f>
        <v/>
      </c>
      <c r="N150" s="80">
        <f>IF(Credit_Assumptions!$C$5=1,N121,INDEX(Credit_Input!$D$136:$D$195,N$4))</f>
        <v/>
      </c>
      <c r="O150" s="80">
        <f>IF(Credit_Assumptions!$C$5=1,O121,INDEX(Credit_Input!$D$136:$D$195,O$4))</f>
        <v/>
      </c>
      <c r="P150" s="80">
        <f>IF(Credit_Assumptions!$C$5=1,P121,INDEX(Credit_Input!$D$136:$D$195,P$4))</f>
        <v/>
      </c>
      <c r="Q150" s="80">
        <f>IF(Credit_Assumptions!$C$5=1,Q121,INDEX(Credit_Input!$D$136:$D$195,Q$4))</f>
        <v/>
      </c>
      <c r="R150" s="80">
        <f>IF(Credit_Assumptions!$C$5=1,R121,INDEX(Credit_Input!$D$136:$D$195,R$4))</f>
        <v/>
      </c>
      <c r="S150" s="80">
        <f>IF(Credit_Assumptions!$C$5=1,S121,INDEX(Credit_Input!$D$136:$D$195,S$4))</f>
        <v/>
      </c>
      <c r="T150" s="80">
        <f>IF(Credit_Assumptions!$C$5=1,T121,INDEX(Credit_Input!$D$136:$D$195,T$4))</f>
        <v/>
      </c>
      <c r="U150" s="80">
        <f>IF(Credit_Assumptions!$C$5=1,U121,INDEX(Credit_Input!$D$136:$D$195,U$4))</f>
        <v/>
      </c>
      <c r="V150" s="80">
        <f>IF(Credit_Assumptions!$C$5=1,V121,INDEX(Credit_Input!$D$136:$D$195,V$4))</f>
        <v/>
      </c>
      <c r="W150" s="80">
        <f>IF(Credit_Assumptions!$C$5=1,W121,INDEX(Credit_Input!$D$136:$D$195,W$4))</f>
        <v/>
      </c>
      <c r="X150" s="80">
        <f>IF(Credit_Assumptions!$C$5=1,X121,INDEX(Credit_Input!$D$136:$D$195,X$4))</f>
        <v/>
      </c>
      <c r="Y150" s="80">
        <f>IF(Credit_Assumptions!$C$5=1,Y121,INDEX(Credit_Input!$D$136:$D$195,Y$4))</f>
        <v/>
      </c>
      <c r="Z150" s="80">
        <f>IF(Credit_Assumptions!$C$5=1,Z121,INDEX(Credit_Input!$D$136:$D$195,Z$4))</f>
        <v/>
      </c>
      <c r="AA150" s="80">
        <f>IF(Credit_Assumptions!$C$5=1,AA121,INDEX(Credit_Input!$D$136:$D$195,AA$4))</f>
        <v/>
      </c>
      <c r="AB150" s="80">
        <f>IF(Credit_Assumptions!$C$5=1,AB121,INDEX(Credit_Input!$D$136:$D$195,AB$4))</f>
        <v/>
      </c>
      <c r="AC150" s="80">
        <f>IF(Credit_Assumptions!$C$5=1,AC121,INDEX(Credit_Input!$D$136:$D$195,AC$4))</f>
        <v/>
      </c>
      <c r="AD150" s="80">
        <f>IF(Credit_Assumptions!$C$5=1,AD121,INDEX(Credit_Input!$D$136:$D$195,AD$4))</f>
        <v/>
      </c>
      <c r="AE150" s="80">
        <f>IF(Credit_Assumptions!$C$5=1,AE121,INDEX(Credit_Input!$D$136:$D$195,AE$4))</f>
        <v/>
      </c>
      <c r="AF150" s="80">
        <f>IF(Credit_Assumptions!$C$5=1,AF121,INDEX(Credit_Input!$D$136:$D$195,AF$4))</f>
        <v/>
      </c>
      <c r="AG150" s="80">
        <f>IF(Credit_Assumptions!$C$5=1,AG121,INDEX(Credit_Input!$D$136:$D$195,AG$4))</f>
        <v/>
      </c>
      <c r="AH150" s="80">
        <f>IF(Credit_Assumptions!$C$5=1,AH121,INDEX(Credit_Input!$D$136:$D$195,AH$4))</f>
        <v/>
      </c>
      <c r="AI150" s="80">
        <f>IF(Credit_Assumptions!$C$5=1,AI121,INDEX(Credit_Input!$D$136:$D$195,AI$4))</f>
        <v/>
      </c>
      <c r="AJ150" s="80">
        <f>IF(Credit_Assumptions!$C$5=1,AJ121,INDEX(Credit_Input!$D$136:$D$195,AJ$4))</f>
        <v/>
      </c>
      <c r="AK150" s="80">
        <f>IF(Credit_Assumptions!$C$5=1,AK121,INDEX(Credit_Input!$D$136:$D$195,AK$4))</f>
        <v/>
      </c>
      <c r="AL150" s="80">
        <f>IF(Credit_Assumptions!$C$5=1,AL121,INDEX(Credit_Input!$D$136:$D$195,AL$4))</f>
        <v/>
      </c>
      <c r="AM150" s="80">
        <f>IF(Credit_Assumptions!$C$5=1,AM121,INDEX(Credit_Input!$D$136:$D$195,AM$4))</f>
        <v/>
      </c>
      <c r="AN150" s="80">
        <f>IF(Credit_Assumptions!$C$5=1,AN121,INDEX(Credit_Input!$D$136:$D$195,AN$4))</f>
        <v/>
      </c>
      <c r="AO150" s="80">
        <f>IF(Credit_Assumptions!$C$5=1,AO121,INDEX(Credit_Input!$D$136:$D$195,AO$4))</f>
        <v/>
      </c>
      <c r="AP150" s="80">
        <f>IF(Credit_Assumptions!$C$5=1,AP121,INDEX(Credit_Input!$D$136:$D$195,AP$4))</f>
        <v/>
      </c>
      <c r="AQ150" s="80">
        <f>IF(Credit_Assumptions!$C$5=1,AQ121,INDEX(Credit_Input!$D$136:$D$195,AQ$4))</f>
        <v/>
      </c>
      <c r="AR150" s="80">
        <f>IF(Credit_Assumptions!$C$5=1,AR121,INDEX(Credit_Input!$D$136:$D$195,AR$4))</f>
        <v/>
      </c>
      <c r="AS150" s="80">
        <f>IF(Credit_Assumptions!$C$5=1,AS121,INDEX(Credit_Input!$D$136:$D$195,AS$4))</f>
        <v/>
      </c>
      <c r="AT150" s="80">
        <f>IF(Credit_Assumptions!$C$5=1,AT121,INDEX(Credit_Input!$D$136:$D$195,AT$4))</f>
        <v/>
      </c>
      <c r="AU150" s="80">
        <f>IF(Credit_Assumptions!$C$5=1,AU121,INDEX(Credit_Input!$D$136:$D$195,AU$4))</f>
        <v/>
      </c>
      <c r="AV150" s="80">
        <f>IF(Credit_Assumptions!$C$5=1,AV121,INDEX(Credit_Input!$D$136:$D$195,AV$4))</f>
        <v/>
      </c>
      <c r="AW150" s="80">
        <f>IF(Credit_Assumptions!$C$5=1,AW121,INDEX(Credit_Input!$D$136:$D$195,AW$4))</f>
        <v/>
      </c>
      <c r="AX150" s="80">
        <f>IF(Credit_Assumptions!$C$5=1,AX121,INDEX(Credit_Input!$D$136:$D$195,AX$4))</f>
        <v/>
      </c>
      <c r="AY150" s="80">
        <f>IF(Credit_Assumptions!$C$5=1,AY121,INDEX(Credit_Input!$D$136:$D$195,AY$4))</f>
        <v/>
      </c>
      <c r="AZ150" s="80">
        <f>IF(Credit_Assumptions!$C$5=1,AZ121,INDEX(Credit_Input!$D$136:$D$195,AZ$4))</f>
        <v/>
      </c>
      <c r="BA150" s="80">
        <f>IF(Credit_Assumptions!$C$5=1,BA121,INDEX(Credit_Input!$D$136:$D$195,BA$4))</f>
        <v/>
      </c>
      <c r="BB150" s="80">
        <f>IF(Credit_Assumptions!$C$5=1,BB121,INDEX(Credit_Input!$D$136:$D$195,BB$4))</f>
        <v/>
      </c>
      <c r="BC150" s="80">
        <f>IF(Credit_Assumptions!$C$5=1,BC121,INDEX(Credit_Input!$D$136:$D$195,BC$4))</f>
        <v/>
      </c>
      <c r="BD150" s="80">
        <f>IF(Credit_Assumptions!$C$5=1,BD121,INDEX(Credit_Input!$D$136:$D$195,BD$4))</f>
        <v/>
      </c>
      <c r="BE150" s="80">
        <f>IF(Credit_Assumptions!$C$5=1,BE121,INDEX(Credit_Input!$D$136:$D$195,BE$4))</f>
        <v/>
      </c>
      <c r="BF150" s="80">
        <f>IF(Credit_Assumptions!$C$5=1,BF121,INDEX(Credit_Input!$D$136:$D$195,BF$4))</f>
        <v/>
      </c>
      <c r="BG150" s="80">
        <f>IF(Credit_Assumptions!$C$5=1,BG121,INDEX(Credit_Input!$D$136:$D$195,BG$4))</f>
        <v/>
      </c>
      <c r="BH150" s="80">
        <f>IF(Credit_Assumptions!$C$5=1,BH121,INDEX(Credit_Input!$D$136:$D$195,BH$4))</f>
        <v/>
      </c>
      <c r="BI150" s="80">
        <f>IF(Credit_Assumptions!$C$5=1,BI121,INDEX(Credit_Input!$D$136:$D$195,BI$4))</f>
        <v/>
      </c>
      <c r="BJ150" s="80">
        <f>IF(Credit_Assumptions!$C$5=1,BJ121,INDEX(Credit_Input!$D$136:$D$195,BJ$4))</f>
        <v/>
      </c>
      <c r="BK150" s="80">
        <f>IF(Credit_Assumptions!$C$5=1,BK121,INDEX(Credit_Input!$D$136:$D$195,BK$4))</f>
        <v/>
      </c>
      <c r="BL150" s="80">
        <f>IF(Credit_Assumptions!$C$5=1,BL121,INDEX(Credit_Input!$D$136:$D$195,BL$4))</f>
        <v/>
      </c>
    </row>
    <row r="151">
      <c r="A151" s="98" t="inlineStr">
        <is>
          <t>Current</t>
        </is>
      </c>
      <c r="B151" s="65" t="inlineStr">
        <is>
          <t>LCY</t>
        </is>
      </c>
      <c r="C151" s="105">
        <f>BL151</f>
        <v/>
      </c>
      <c r="E151" s="80">
        <f>IF(Credit_Assumptions!$C$5=1,E124,INDEX(Credit_Input!$E$136:$E$195,E$4))</f>
        <v/>
      </c>
      <c r="F151" s="80">
        <f>IF(Credit_Assumptions!$C$5=1,F124,INDEX(Credit_Input!$E$136:$E$195,F$4))</f>
        <v/>
      </c>
      <c r="G151" s="80">
        <f>IF(Credit_Assumptions!$C$5=1,G124,INDEX(Credit_Input!$E$136:$E$195,G$4))</f>
        <v/>
      </c>
      <c r="H151" s="80">
        <f>IF(Credit_Assumptions!$C$5=1,H124,INDEX(Credit_Input!$E$136:$E$195,H$4))</f>
        <v/>
      </c>
      <c r="I151" s="80">
        <f>IF(Credit_Assumptions!$C$5=1,I124,INDEX(Credit_Input!$E$136:$E$195,I$4))</f>
        <v/>
      </c>
      <c r="J151" s="80">
        <f>IF(Credit_Assumptions!$C$5=1,J124,INDEX(Credit_Input!$E$136:$E$195,J$4))</f>
        <v/>
      </c>
      <c r="K151" s="80">
        <f>IF(Credit_Assumptions!$C$5=1,K124,INDEX(Credit_Input!$E$136:$E$195,K$4))</f>
        <v/>
      </c>
      <c r="L151" s="80">
        <f>IF(Credit_Assumptions!$C$5=1,L124,INDEX(Credit_Input!$E$136:$E$195,L$4))</f>
        <v/>
      </c>
      <c r="M151" s="80">
        <f>IF(Credit_Assumptions!$C$5=1,M124,INDEX(Credit_Input!$E$136:$E$195,M$4))</f>
        <v/>
      </c>
      <c r="N151" s="80">
        <f>IF(Credit_Assumptions!$C$5=1,N124,INDEX(Credit_Input!$E$136:$E$195,N$4))</f>
        <v/>
      </c>
      <c r="O151" s="80">
        <f>IF(Credit_Assumptions!$C$5=1,O124,INDEX(Credit_Input!$E$136:$E$195,O$4))</f>
        <v/>
      </c>
      <c r="P151" s="80">
        <f>IF(Credit_Assumptions!$C$5=1,P124,INDEX(Credit_Input!$E$136:$E$195,P$4))</f>
        <v/>
      </c>
      <c r="Q151" s="80">
        <f>IF(Credit_Assumptions!$C$5=1,Q124,INDEX(Credit_Input!$E$136:$E$195,Q$4))</f>
        <v/>
      </c>
      <c r="R151" s="80">
        <f>IF(Credit_Assumptions!$C$5=1,R124,INDEX(Credit_Input!$E$136:$E$195,R$4))</f>
        <v/>
      </c>
      <c r="S151" s="80">
        <f>IF(Credit_Assumptions!$C$5=1,S124,INDEX(Credit_Input!$E$136:$E$195,S$4))</f>
        <v/>
      </c>
      <c r="T151" s="80">
        <f>IF(Credit_Assumptions!$C$5=1,T124,INDEX(Credit_Input!$E$136:$E$195,T$4))</f>
        <v/>
      </c>
      <c r="U151" s="80">
        <f>IF(Credit_Assumptions!$C$5=1,U124,INDEX(Credit_Input!$E$136:$E$195,U$4))</f>
        <v/>
      </c>
      <c r="V151" s="80">
        <f>IF(Credit_Assumptions!$C$5=1,V124,INDEX(Credit_Input!$E$136:$E$195,V$4))</f>
        <v/>
      </c>
      <c r="W151" s="80">
        <f>IF(Credit_Assumptions!$C$5=1,W124,INDEX(Credit_Input!$E$136:$E$195,W$4))</f>
        <v/>
      </c>
      <c r="X151" s="80">
        <f>IF(Credit_Assumptions!$C$5=1,X124,INDEX(Credit_Input!$E$136:$E$195,X$4))</f>
        <v/>
      </c>
      <c r="Y151" s="80">
        <f>IF(Credit_Assumptions!$C$5=1,Y124,INDEX(Credit_Input!$E$136:$E$195,Y$4))</f>
        <v/>
      </c>
      <c r="Z151" s="80">
        <f>IF(Credit_Assumptions!$C$5=1,Z124,INDEX(Credit_Input!$E$136:$E$195,Z$4))</f>
        <v/>
      </c>
      <c r="AA151" s="80">
        <f>IF(Credit_Assumptions!$C$5=1,AA124,INDEX(Credit_Input!$E$136:$E$195,AA$4))</f>
        <v/>
      </c>
      <c r="AB151" s="80">
        <f>IF(Credit_Assumptions!$C$5=1,AB124,INDEX(Credit_Input!$E$136:$E$195,AB$4))</f>
        <v/>
      </c>
      <c r="AC151" s="80">
        <f>IF(Credit_Assumptions!$C$5=1,AC124,INDEX(Credit_Input!$E$136:$E$195,AC$4))</f>
        <v/>
      </c>
      <c r="AD151" s="80">
        <f>IF(Credit_Assumptions!$C$5=1,AD124,INDEX(Credit_Input!$E$136:$E$195,AD$4))</f>
        <v/>
      </c>
      <c r="AE151" s="80">
        <f>IF(Credit_Assumptions!$C$5=1,AE124,INDEX(Credit_Input!$E$136:$E$195,AE$4))</f>
        <v/>
      </c>
      <c r="AF151" s="80">
        <f>IF(Credit_Assumptions!$C$5=1,AF124,INDEX(Credit_Input!$E$136:$E$195,AF$4))</f>
        <v/>
      </c>
      <c r="AG151" s="80">
        <f>IF(Credit_Assumptions!$C$5=1,AG124,INDEX(Credit_Input!$E$136:$E$195,AG$4))</f>
        <v/>
      </c>
      <c r="AH151" s="80">
        <f>IF(Credit_Assumptions!$C$5=1,AH124,INDEX(Credit_Input!$E$136:$E$195,AH$4))</f>
        <v/>
      </c>
      <c r="AI151" s="80">
        <f>IF(Credit_Assumptions!$C$5=1,AI124,INDEX(Credit_Input!$E$136:$E$195,AI$4))</f>
        <v/>
      </c>
      <c r="AJ151" s="80">
        <f>IF(Credit_Assumptions!$C$5=1,AJ124,INDEX(Credit_Input!$E$136:$E$195,AJ$4))</f>
        <v/>
      </c>
      <c r="AK151" s="80">
        <f>IF(Credit_Assumptions!$C$5=1,AK124,INDEX(Credit_Input!$E$136:$E$195,AK$4))</f>
        <v/>
      </c>
      <c r="AL151" s="80">
        <f>IF(Credit_Assumptions!$C$5=1,AL124,INDEX(Credit_Input!$E$136:$E$195,AL$4))</f>
        <v/>
      </c>
      <c r="AM151" s="80">
        <f>IF(Credit_Assumptions!$C$5=1,AM124,INDEX(Credit_Input!$E$136:$E$195,AM$4))</f>
        <v/>
      </c>
      <c r="AN151" s="80">
        <f>IF(Credit_Assumptions!$C$5=1,AN124,INDEX(Credit_Input!$E$136:$E$195,AN$4))</f>
        <v/>
      </c>
      <c r="AO151" s="80">
        <f>IF(Credit_Assumptions!$C$5=1,AO124,INDEX(Credit_Input!$E$136:$E$195,AO$4))</f>
        <v/>
      </c>
      <c r="AP151" s="80">
        <f>IF(Credit_Assumptions!$C$5=1,AP124,INDEX(Credit_Input!$E$136:$E$195,AP$4))</f>
        <v/>
      </c>
      <c r="AQ151" s="80">
        <f>IF(Credit_Assumptions!$C$5=1,AQ124,INDEX(Credit_Input!$E$136:$E$195,AQ$4))</f>
        <v/>
      </c>
      <c r="AR151" s="80">
        <f>IF(Credit_Assumptions!$C$5=1,AR124,INDEX(Credit_Input!$E$136:$E$195,AR$4))</f>
        <v/>
      </c>
      <c r="AS151" s="80">
        <f>IF(Credit_Assumptions!$C$5=1,AS124,INDEX(Credit_Input!$E$136:$E$195,AS$4))</f>
        <v/>
      </c>
      <c r="AT151" s="80">
        <f>IF(Credit_Assumptions!$C$5=1,AT124,INDEX(Credit_Input!$E$136:$E$195,AT$4))</f>
        <v/>
      </c>
      <c r="AU151" s="80">
        <f>IF(Credit_Assumptions!$C$5=1,AU124,INDEX(Credit_Input!$E$136:$E$195,AU$4))</f>
        <v/>
      </c>
      <c r="AV151" s="80">
        <f>IF(Credit_Assumptions!$C$5=1,AV124,INDEX(Credit_Input!$E$136:$E$195,AV$4))</f>
        <v/>
      </c>
      <c r="AW151" s="80">
        <f>IF(Credit_Assumptions!$C$5=1,AW124,INDEX(Credit_Input!$E$136:$E$195,AW$4))</f>
        <v/>
      </c>
      <c r="AX151" s="80">
        <f>IF(Credit_Assumptions!$C$5=1,AX124,INDEX(Credit_Input!$E$136:$E$195,AX$4))</f>
        <v/>
      </c>
      <c r="AY151" s="80">
        <f>IF(Credit_Assumptions!$C$5=1,AY124,INDEX(Credit_Input!$E$136:$E$195,AY$4))</f>
        <v/>
      </c>
      <c r="AZ151" s="80">
        <f>IF(Credit_Assumptions!$C$5=1,AZ124,INDEX(Credit_Input!$E$136:$E$195,AZ$4))</f>
        <v/>
      </c>
      <c r="BA151" s="80">
        <f>IF(Credit_Assumptions!$C$5=1,BA124,INDEX(Credit_Input!$E$136:$E$195,BA$4))</f>
        <v/>
      </c>
      <c r="BB151" s="80">
        <f>IF(Credit_Assumptions!$C$5=1,BB124,INDEX(Credit_Input!$E$136:$E$195,BB$4))</f>
        <v/>
      </c>
      <c r="BC151" s="80">
        <f>IF(Credit_Assumptions!$C$5=1,BC124,INDEX(Credit_Input!$E$136:$E$195,BC$4))</f>
        <v/>
      </c>
      <c r="BD151" s="80">
        <f>IF(Credit_Assumptions!$C$5=1,BD124,INDEX(Credit_Input!$E$136:$E$195,BD$4))</f>
        <v/>
      </c>
      <c r="BE151" s="80">
        <f>IF(Credit_Assumptions!$C$5=1,BE124,INDEX(Credit_Input!$E$136:$E$195,BE$4))</f>
        <v/>
      </c>
      <c r="BF151" s="80">
        <f>IF(Credit_Assumptions!$C$5=1,BF124,INDEX(Credit_Input!$E$136:$E$195,BF$4))</f>
        <v/>
      </c>
      <c r="BG151" s="80">
        <f>IF(Credit_Assumptions!$C$5=1,BG124,INDEX(Credit_Input!$E$136:$E$195,BG$4))</f>
        <v/>
      </c>
      <c r="BH151" s="80">
        <f>IF(Credit_Assumptions!$C$5=1,BH124,INDEX(Credit_Input!$E$136:$E$195,BH$4))</f>
        <v/>
      </c>
      <c r="BI151" s="80">
        <f>IF(Credit_Assumptions!$C$5=1,BI124,INDEX(Credit_Input!$E$136:$E$195,BI$4))</f>
        <v/>
      </c>
      <c r="BJ151" s="80">
        <f>IF(Credit_Assumptions!$C$5=1,BJ124,INDEX(Credit_Input!$E$136:$E$195,BJ$4))</f>
        <v/>
      </c>
      <c r="BK151" s="80">
        <f>IF(Credit_Assumptions!$C$5=1,BK124,INDEX(Credit_Input!$E$136:$E$195,BK$4))</f>
        <v/>
      </c>
      <c r="BL151" s="80">
        <f>IF(Credit_Assumptions!$C$5=1,BL124,INDEX(Credit_Input!$E$136:$E$195,BL$4))</f>
        <v/>
      </c>
    </row>
    <row r="152">
      <c r="A152" s="98" t="inlineStr">
        <is>
          <t>1-30 DPD</t>
        </is>
      </c>
      <c r="B152" s="65" t="inlineStr">
        <is>
          <t>LCY</t>
        </is>
      </c>
      <c r="C152" s="105">
        <f>BL152</f>
        <v/>
      </c>
      <c r="E152" s="80">
        <f>IF(Credit_Assumptions!$C$5=1,E125,INDEX(Credit_Input!$F$136:$F$195,E$4))</f>
        <v/>
      </c>
      <c r="F152" s="80">
        <f>IF(Credit_Assumptions!$C$5=1,F125,INDEX(Credit_Input!$F$136:$F$195,F$4))</f>
        <v/>
      </c>
      <c r="G152" s="80">
        <f>IF(Credit_Assumptions!$C$5=1,G125,INDEX(Credit_Input!$F$136:$F$195,G$4))</f>
        <v/>
      </c>
      <c r="H152" s="80">
        <f>IF(Credit_Assumptions!$C$5=1,H125,INDEX(Credit_Input!$F$136:$F$195,H$4))</f>
        <v/>
      </c>
      <c r="I152" s="80">
        <f>IF(Credit_Assumptions!$C$5=1,I125,INDEX(Credit_Input!$F$136:$F$195,I$4))</f>
        <v/>
      </c>
      <c r="J152" s="80">
        <f>IF(Credit_Assumptions!$C$5=1,J125,INDEX(Credit_Input!$F$136:$F$195,J$4))</f>
        <v/>
      </c>
      <c r="K152" s="80">
        <f>IF(Credit_Assumptions!$C$5=1,K125,INDEX(Credit_Input!$F$136:$F$195,K$4))</f>
        <v/>
      </c>
      <c r="L152" s="80">
        <f>IF(Credit_Assumptions!$C$5=1,L125,INDEX(Credit_Input!$F$136:$F$195,L$4))</f>
        <v/>
      </c>
      <c r="M152" s="80">
        <f>IF(Credit_Assumptions!$C$5=1,M125,INDEX(Credit_Input!$F$136:$F$195,M$4))</f>
        <v/>
      </c>
      <c r="N152" s="80">
        <f>IF(Credit_Assumptions!$C$5=1,N125,INDEX(Credit_Input!$F$136:$F$195,N$4))</f>
        <v/>
      </c>
      <c r="O152" s="80">
        <f>IF(Credit_Assumptions!$C$5=1,O125,INDEX(Credit_Input!$F$136:$F$195,O$4))</f>
        <v/>
      </c>
      <c r="P152" s="80">
        <f>IF(Credit_Assumptions!$C$5=1,P125,INDEX(Credit_Input!$F$136:$F$195,P$4))</f>
        <v/>
      </c>
      <c r="Q152" s="80">
        <f>IF(Credit_Assumptions!$C$5=1,Q125,INDEX(Credit_Input!$F$136:$F$195,Q$4))</f>
        <v/>
      </c>
      <c r="R152" s="80">
        <f>IF(Credit_Assumptions!$C$5=1,R125,INDEX(Credit_Input!$F$136:$F$195,R$4))</f>
        <v/>
      </c>
      <c r="S152" s="80">
        <f>IF(Credit_Assumptions!$C$5=1,S125,INDEX(Credit_Input!$F$136:$F$195,S$4))</f>
        <v/>
      </c>
      <c r="T152" s="80">
        <f>IF(Credit_Assumptions!$C$5=1,T125,INDEX(Credit_Input!$F$136:$F$195,T$4))</f>
        <v/>
      </c>
      <c r="U152" s="80">
        <f>IF(Credit_Assumptions!$C$5=1,U125,INDEX(Credit_Input!$F$136:$F$195,U$4))</f>
        <v/>
      </c>
      <c r="V152" s="80">
        <f>IF(Credit_Assumptions!$C$5=1,V125,INDEX(Credit_Input!$F$136:$F$195,V$4))</f>
        <v/>
      </c>
      <c r="W152" s="80">
        <f>IF(Credit_Assumptions!$C$5=1,W125,INDEX(Credit_Input!$F$136:$F$195,W$4))</f>
        <v/>
      </c>
      <c r="X152" s="80">
        <f>IF(Credit_Assumptions!$C$5=1,X125,INDEX(Credit_Input!$F$136:$F$195,X$4))</f>
        <v/>
      </c>
      <c r="Y152" s="80">
        <f>IF(Credit_Assumptions!$C$5=1,Y125,INDEX(Credit_Input!$F$136:$F$195,Y$4))</f>
        <v/>
      </c>
      <c r="Z152" s="80">
        <f>IF(Credit_Assumptions!$C$5=1,Z125,INDEX(Credit_Input!$F$136:$F$195,Z$4))</f>
        <v/>
      </c>
      <c r="AA152" s="80">
        <f>IF(Credit_Assumptions!$C$5=1,AA125,INDEX(Credit_Input!$F$136:$F$195,AA$4))</f>
        <v/>
      </c>
      <c r="AB152" s="80">
        <f>IF(Credit_Assumptions!$C$5=1,AB125,INDEX(Credit_Input!$F$136:$F$195,AB$4))</f>
        <v/>
      </c>
      <c r="AC152" s="80">
        <f>IF(Credit_Assumptions!$C$5=1,AC125,INDEX(Credit_Input!$F$136:$F$195,AC$4))</f>
        <v/>
      </c>
      <c r="AD152" s="80">
        <f>IF(Credit_Assumptions!$C$5=1,AD125,INDEX(Credit_Input!$F$136:$F$195,AD$4))</f>
        <v/>
      </c>
      <c r="AE152" s="80">
        <f>IF(Credit_Assumptions!$C$5=1,AE125,INDEX(Credit_Input!$F$136:$F$195,AE$4))</f>
        <v/>
      </c>
      <c r="AF152" s="80">
        <f>IF(Credit_Assumptions!$C$5=1,AF125,INDEX(Credit_Input!$F$136:$F$195,AF$4))</f>
        <v/>
      </c>
      <c r="AG152" s="80">
        <f>IF(Credit_Assumptions!$C$5=1,AG125,INDEX(Credit_Input!$F$136:$F$195,AG$4))</f>
        <v/>
      </c>
      <c r="AH152" s="80">
        <f>IF(Credit_Assumptions!$C$5=1,AH125,INDEX(Credit_Input!$F$136:$F$195,AH$4))</f>
        <v/>
      </c>
      <c r="AI152" s="80">
        <f>IF(Credit_Assumptions!$C$5=1,AI125,INDEX(Credit_Input!$F$136:$F$195,AI$4))</f>
        <v/>
      </c>
      <c r="AJ152" s="80">
        <f>IF(Credit_Assumptions!$C$5=1,AJ125,INDEX(Credit_Input!$F$136:$F$195,AJ$4))</f>
        <v/>
      </c>
      <c r="AK152" s="80">
        <f>IF(Credit_Assumptions!$C$5=1,AK125,INDEX(Credit_Input!$F$136:$F$195,AK$4))</f>
        <v/>
      </c>
      <c r="AL152" s="80">
        <f>IF(Credit_Assumptions!$C$5=1,AL125,INDEX(Credit_Input!$F$136:$F$195,AL$4))</f>
        <v/>
      </c>
      <c r="AM152" s="80">
        <f>IF(Credit_Assumptions!$C$5=1,AM125,INDEX(Credit_Input!$F$136:$F$195,AM$4))</f>
        <v/>
      </c>
      <c r="AN152" s="80">
        <f>IF(Credit_Assumptions!$C$5=1,AN125,INDEX(Credit_Input!$F$136:$F$195,AN$4))</f>
        <v/>
      </c>
      <c r="AO152" s="80">
        <f>IF(Credit_Assumptions!$C$5=1,AO125,INDEX(Credit_Input!$F$136:$F$195,AO$4))</f>
        <v/>
      </c>
      <c r="AP152" s="80">
        <f>IF(Credit_Assumptions!$C$5=1,AP125,INDEX(Credit_Input!$F$136:$F$195,AP$4))</f>
        <v/>
      </c>
      <c r="AQ152" s="80">
        <f>IF(Credit_Assumptions!$C$5=1,AQ125,INDEX(Credit_Input!$F$136:$F$195,AQ$4))</f>
        <v/>
      </c>
      <c r="AR152" s="80">
        <f>IF(Credit_Assumptions!$C$5=1,AR125,INDEX(Credit_Input!$F$136:$F$195,AR$4))</f>
        <v/>
      </c>
      <c r="AS152" s="80">
        <f>IF(Credit_Assumptions!$C$5=1,AS125,INDEX(Credit_Input!$F$136:$F$195,AS$4))</f>
        <v/>
      </c>
      <c r="AT152" s="80">
        <f>IF(Credit_Assumptions!$C$5=1,AT125,INDEX(Credit_Input!$F$136:$F$195,AT$4))</f>
        <v/>
      </c>
      <c r="AU152" s="80">
        <f>IF(Credit_Assumptions!$C$5=1,AU125,INDEX(Credit_Input!$F$136:$F$195,AU$4))</f>
        <v/>
      </c>
      <c r="AV152" s="80">
        <f>IF(Credit_Assumptions!$C$5=1,AV125,INDEX(Credit_Input!$F$136:$F$195,AV$4))</f>
        <v/>
      </c>
      <c r="AW152" s="80">
        <f>IF(Credit_Assumptions!$C$5=1,AW125,INDEX(Credit_Input!$F$136:$F$195,AW$4))</f>
        <v/>
      </c>
      <c r="AX152" s="80">
        <f>IF(Credit_Assumptions!$C$5=1,AX125,INDEX(Credit_Input!$F$136:$F$195,AX$4))</f>
        <v/>
      </c>
      <c r="AY152" s="80">
        <f>IF(Credit_Assumptions!$C$5=1,AY125,INDEX(Credit_Input!$F$136:$F$195,AY$4))</f>
        <v/>
      </c>
      <c r="AZ152" s="80">
        <f>IF(Credit_Assumptions!$C$5=1,AZ125,INDEX(Credit_Input!$F$136:$F$195,AZ$4))</f>
        <v/>
      </c>
      <c r="BA152" s="80">
        <f>IF(Credit_Assumptions!$C$5=1,BA125,INDEX(Credit_Input!$F$136:$F$195,BA$4))</f>
        <v/>
      </c>
      <c r="BB152" s="80">
        <f>IF(Credit_Assumptions!$C$5=1,BB125,INDEX(Credit_Input!$F$136:$F$195,BB$4))</f>
        <v/>
      </c>
      <c r="BC152" s="80">
        <f>IF(Credit_Assumptions!$C$5=1,BC125,INDEX(Credit_Input!$F$136:$F$195,BC$4))</f>
        <v/>
      </c>
      <c r="BD152" s="80">
        <f>IF(Credit_Assumptions!$C$5=1,BD125,INDEX(Credit_Input!$F$136:$F$195,BD$4))</f>
        <v/>
      </c>
      <c r="BE152" s="80">
        <f>IF(Credit_Assumptions!$C$5=1,BE125,INDEX(Credit_Input!$F$136:$F$195,BE$4))</f>
        <v/>
      </c>
      <c r="BF152" s="80">
        <f>IF(Credit_Assumptions!$C$5=1,BF125,INDEX(Credit_Input!$F$136:$F$195,BF$4))</f>
        <v/>
      </c>
      <c r="BG152" s="80">
        <f>IF(Credit_Assumptions!$C$5=1,BG125,INDEX(Credit_Input!$F$136:$F$195,BG$4))</f>
        <v/>
      </c>
      <c r="BH152" s="80">
        <f>IF(Credit_Assumptions!$C$5=1,BH125,INDEX(Credit_Input!$F$136:$F$195,BH$4))</f>
        <v/>
      </c>
      <c r="BI152" s="80">
        <f>IF(Credit_Assumptions!$C$5=1,BI125,INDEX(Credit_Input!$F$136:$F$195,BI$4))</f>
        <v/>
      </c>
      <c r="BJ152" s="80">
        <f>IF(Credit_Assumptions!$C$5=1,BJ125,INDEX(Credit_Input!$F$136:$F$195,BJ$4))</f>
        <v/>
      </c>
      <c r="BK152" s="80">
        <f>IF(Credit_Assumptions!$C$5=1,BK125,INDEX(Credit_Input!$F$136:$F$195,BK$4))</f>
        <v/>
      </c>
      <c r="BL152" s="80">
        <f>IF(Credit_Assumptions!$C$5=1,BL125,INDEX(Credit_Input!$F$136:$F$195,BL$4))</f>
        <v/>
      </c>
    </row>
    <row r="153">
      <c r="A153" s="98" t="inlineStr">
        <is>
          <t>31-60 DPD</t>
        </is>
      </c>
      <c r="B153" s="65" t="inlineStr">
        <is>
          <t>LCY</t>
        </is>
      </c>
      <c r="C153" s="105">
        <f>BL153</f>
        <v/>
      </c>
      <c r="E153" s="80">
        <f>IF(Credit_Assumptions!$C$5=1,E126,INDEX(Credit_Input!$G$136:$G$195,E$4))</f>
        <v/>
      </c>
      <c r="F153" s="80">
        <f>IF(Credit_Assumptions!$C$5=1,F126,INDEX(Credit_Input!$G$136:$G$195,F$4))</f>
        <v/>
      </c>
      <c r="G153" s="80">
        <f>IF(Credit_Assumptions!$C$5=1,G126,INDEX(Credit_Input!$G$136:$G$195,G$4))</f>
        <v/>
      </c>
      <c r="H153" s="80">
        <f>IF(Credit_Assumptions!$C$5=1,H126,INDEX(Credit_Input!$G$136:$G$195,H$4))</f>
        <v/>
      </c>
      <c r="I153" s="80">
        <f>IF(Credit_Assumptions!$C$5=1,I126,INDEX(Credit_Input!$G$136:$G$195,I$4))</f>
        <v/>
      </c>
      <c r="J153" s="80">
        <f>IF(Credit_Assumptions!$C$5=1,J126,INDEX(Credit_Input!$G$136:$G$195,J$4))</f>
        <v/>
      </c>
      <c r="K153" s="80">
        <f>IF(Credit_Assumptions!$C$5=1,K126,INDEX(Credit_Input!$G$136:$G$195,K$4))</f>
        <v/>
      </c>
      <c r="L153" s="80">
        <f>IF(Credit_Assumptions!$C$5=1,L126,INDEX(Credit_Input!$G$136:$G$195,L$4))</f>
        <v/>
      </c>
      <c r="M153" s="80">
        <f>IF(Credit_Assumptions!$C$5=1,M126,INDEX(Credit_Input!$G$136:$G$195,M$4))</f>
        <v/>
      </c>
      <c r="N153" s="80">
        <f>IF(Credit_Assumptions!$C$5=1,N126,INDEX(Credit_Input!$G$136:$G$195,N$4))</f>
        <v/>
      </c>
      <c r="O153" s="80">
        <f>IF(Credit_Assumptions!$C$5=1,O126,INDEX(Credit_Input!$G$136:$G$195,O$4))</f>
        <v/>
      </c>
      <c r="P153" s="80">
        <f>IF(Credit_Assumptions!$C$5=1,P126,INDEX(Credit_Input!$G$136:$G$195,P$4))</f>
        <v/>
      </c>
      <c r="Q153" s="80">
        <f>IF(Credit_Assumptions!$C$5=1,Q126,INDEX(Credit_Input!$G$136:$G$195,Q$4))</f>
        <v/>
      </c>
      <c r="R153" s="80">
        <f>IF(Credit_Assumptions!$C$5=1,R126,INDEX(Credit_Input!$G$136:$G$195,R$4))</f>
        <v/>
      </c>
      <c r="S153" s="80">
        <f>IF(Credit_Assumptions!$C$5=1,S126,INDEX(Credit_Input!$G$136:$G$195,S$4))</f>
        <v/>
      </c>
      <c r="T153" s="80">
        <f>IF(Credit_Assumptions!$C$5=1,T126,INDEX(Credit_Input!$G$136:$G$195,T$4))</f>
        <v/>
      </c>
      <c r="U153" s="80">
        <f>IF(Credit_Assumptions!$C$5=1,U126,INDEX(Credit_Input!$G$136:$G$195,U$4))</f>
        <v/>
      </c>
      <c r="V153" s="80">
        <f>IF(Credit_Assumptions!$C$5=1,V126,INDEX(Credit_Input!$G$136:$G$195,V$4))</f>
        <v/>
      </c>
      <c r="W153" s="80">
        <f>IF(Credit_Assumptions!$C$5=1,W126,INDEX(Credit_Input!$G$136:$G$195,W$4))</f>
        <v/>
      </c>
      <c r="X153" s="80">
        <f>IF(Credit_Assumptions!$C$5=1,X126,INDEX(Credit_Input!$G$136:$G$195,X$4))</f>
        <v/>
      </c>
      <c r="Y153" s="80">
        <f>IF(Credit_Assumptions!$C$5=1,Y126,INDEX(Credit_Input!$G$136:$G$195,Y$4))</f>
        <v/>
      </c>
      <c r="Z153" s="80">
        <f>IF(Credit_Assumptions!$C$5=1,Z126,INDEX(Credit_Input!$G$136:$G$195,Z$4))</f>
        <v/>
      </c>
      <c r="AA153" s="80">
        <f>IF(Credit_Assumptions!$C$5=1,AA126,INDEX(Credit_Input!$G$136:$G$195,AA$4))</f>
        <v/>
      </c>
      <c r="AB153" s="80">
        <f>IF(Credit_Assumptions!$C$5=1,AB126,INDEX(Credit_Input!$G$136:$G$195,AB$4))</f>
        <v/>
      </c>
      <c r="AC153" s="80">
        <f>IF(Credit_Assumptions!$C$5=1,AC126,INDEX(Credit_Input!$G$136:$G$195,AC$4))</f>
        <v/>
      </c>
      <c r="AD153" s="80">
        <f>IF(Credit_Assumptions!$C$5=1,AD126,INDEX(Credit_Input!$G$136:$G$195,AD$4))</f>
        <v/>
      </c>
      <c r="AE153" s="80">
        <f>IF(Credit_Assumptions!$C$5=1,AE126,INDEX(Credit_Input!$G$136:$G$195,AE$4))</f>
        <v/>
      </c>
      <c r="AF153" s="80">
        <f>IF(Credit_Assumptions!$C$5=1,AF126,INDEX(Credit_Input!$G$136:$G$195,AF$4))</f>
        <v/>
      </c>
      <c r="AG153" s="80">
        <f>IF(Credit_Assumptions!$C$5=1,AG126,INDEX(Credit_Input!$G$136:$G$195,AG$4))</f>
        <v/>
      </c>
      <c r="AH153" s="80">
        <f>IF(Credit_Assumptions!$C$5=1,AH126,INDEX(Credit_Input!$G$136:$G$195,AH$4))</f>
        <v/>
      </c>
      <c r="AI153" s="80">
        <f>IF(Credit_Assumptions!$C$5=1,AI126,INDEX(Credit_Input!$G$136:$G$195,AI$4))</f>
        <v/>
      </c>
      <c r="AJ153" s="80">
        <f>IF(Credit_Assumptions!$C$5=1,AJ126,INDEX(Credit_Input!$G$136:$G$195,AJ$4))</f>
        <v/>
      </c>
      <c r="AK153" s="80">
        <f>IF(Credit_Assumptions!$C$5=1,AK126,INDEX(Credit_Input!$G$136:$G$195,AK$4))</f>
        <v/>
      </c>
      <c r="AL153" s="80">
        <f>IF(Credit_Assumptions!$C$5=1,AL126,INDEX(Credit_Input!$G$136:$G$195,AL$4))</f>
        <v/>
      </c>
      <c r="AM153" s="80">
        <f>IF(Credit_Assumptions!$C$5=1,AM126,INDEX(Credit_Input!$G$136:$G$195,AM$4))</f>
        <v/>
      </c>
      <c r="AN153" s="80">
        <f>IF(Credit_Assumptions!$C$5=1,AN126,INDEX(Credit_Input!$G$136:$G$195,AN$4))</f>
        <v/>
      </c>
      <c r="AO153" s="80">
        <f>IF(Credit_Assumptions!$C$5=1,AO126,INDEX(Credit_Input!$G$136:$G$195,AO$4))</f>
        <v/>
      </c>
      <c r="AP153" s="80">
        <f>IF(Credit_Assumptions!$C$5=1,AP126,INDEX(Credit_Input!$G$136:$G$195,AP$4))</f>
        <v/>
      </c>
      <c r="AQ153" s="80">
        <f>IF(Credit_Assumptions!$C$5=1,AQ126,INDEX(Credit_Input!$G$136:$G$195,AQ$4))</f>
        <v/>
      </c>
      <c r="AR153" s="80">
        <f>IF(Credit_Assumptions!$C$5=1,AR126,INDEX(Credit_Input!$G$136:$G$195,AR$4))</f>
        <v/>
      </c>
      <c r="AS153" s="80">
        <f>IF(Credit_Assumptions!$C$5=1,AS126,INDEX(Credit_Input!$G$136:$G$195,AS$4))</f>
        <v/>
      </c>
      <c r="AT153" s="80">
        <f>IF(Credit_Assumptions!$C$5=1,AT126,INDEX(Credit_Input!$G$136:$G$195,AT$4))</f>
        <v/>
      </c>
      <c r="AU153" s="80">
        <f>IF(Credit_Assumptions!$C$5=1,AU126,INDEX(Credit_Input!$G$136:$G$195,AU$4))</f>
        <v/>
      </c>
      <c r="AV153" s="80">
        <f>IF(Credit_Assumptions!$C$5=1,AV126,INDEX(Credit_Input!$G$136:$G$195,AV$4))</f>
        <v/>
      </c>
      <c r="AW153" s="80">
        <f>IF(Credit_Assumptions!$C$5=1,AW126,INDEX(Credit_Input!$G$136:$G$195,AW$4))</f>
        <v/>
      </c>
      <c r="AX153" s="80">
        <f>IF(Credit_Assumptions!$C$5=1,AX126,INDEX(Credit_Input!$G$136:$G$195,AX$4))</f>
        <v/>
      </c>
      <c r="AY153" s="80">
        <f>IF(Credit_Assumptions!$C$5=1,AY126,INDEX(Credit_Input!$G$136:$G$195,AY$4))</f>
        <v/>
      </c>
      <c r="AZ153" s="80">
        <f>IF(Credit_Assumptions!$C$5=1,AZ126,INDEX(Credit_Input!$G$136:$G$195,AZ$4))</f>
        <v/>
      </c>
      <c r="BA153" s="80">
        <f>IF(Credit_Assumptions!$C$5=1,BA126,INDEX(Credit_Input!$G$136:$G$195,BA$4))</f>
        <v/>
      </c>
      <c r="BB153" s="80">
        <f>IF(Credit_Assumptions!$C$5=1,BB126,INDEX(Credit_Input!$G$136:$G$195,BB$4))</f>
        <v/>
      </c>
      <c r="BC153" s="80">
        <f>IF(Credit_Assumptions!$C$5=1,BC126,INDEX(Credit_Input!$G$136:$G$195,BC$4))</f>
        <v/>
      </c>
      <c r="BD153" s="80">
        <f>IF(Credit_Assumptions!$C$5=1,BD126,INDEX(Credit_Input!$G$136:$G$195,BD$4))</f>
        <v/>
      </c>
      <c r="BE153" s="80">
        <f>IF(Credit_Assumptions!$C$5=1,BE126,INDEX(Credit_Input!$G$136:$G$195,BE$4))</f>
        <v/>
      </c>
      <c r="BF153" s="80">
        <f>IF(Credit_Assumptions!$C$5=1,BF126,INDEX(Credit_Input!$G$136:$G$195,BF$4))</f>
        <v/>
      </c>
      <c r="BG153" s="80">
        <f>IF(Credit_Assumptions!$C$5=1,BG126,INDEX(Credit_Input!$G$136:$G$195,BG$4))</f>
        <v/>
      </c>
      <c r="BH153" s="80">
        <f>IF(Credit_Assumptions!$C$5=1,BH126,INDEX(Credit_Input!$G$136:$G$195,BH$4))</f>
        <v/>
      </c>
      <c r="BI153" s="80">
        <f>IF(Credit_Assumptions!$C$5=1,BI126,INDEX(Credit_Input!$G$136:$G$195,BI$4))</f>
        <v/>
      </c>
      <c r="BJ153" s="80">
        <f>IF(Credit_Assumptions!$C$5=1,BJ126,INDEX(Credit_Input!$G$136:$G$195,BJ$4))</f>
        <v/>
      </c>
      <c r="BK153" s="80">
        <f>IF(Credit_Assumptions!$C$5=1,BK126,INDEX(Credit_Input!$G$136:$G$195,BK$4))</f>
        <v/>
      </c>
      <c r="BL153" s="80">
        <f>IF(Credit_Assumptions!$C$5=1,BL126,INDEX(Credit_Input!$G$136:$G$195,BL$4))</f>
        <v/>
      </c>
    </row>
    <row r="154">
      <c r="A154" s="98" t="inlineStr">
        <is>
          <t>61-90 DPD</t>
        </is>
      </c>
      <c r="B154" s="65" t="inlineStr">
        <is>
          <t>LCY</t>
        </is>
      </c>
      <c r="C154" s="105">
        <f>BL154</f>
        <v/>
      </c>
      <c r="E154" s="80">
        <f>IF(Credit_Assumptions!$C$5=1,E127,INDEX(Credit_Input!$H$136:$H$195,E$4))</f>
        <v/>
      </c>
      <c r="F154" s="80">
        <f>IF(Credit_Assumptions!$C$5=1,F127,INDEX(Credit_Input!$H$136:$H$195,F$4))</f>
        <v/>
      </c>
      <c r="G154" s="80">
        <f>IF(Credit_Assumptions!$C$5=1,G127,INDEX(Credit_Input!$H$136:$H$195,G$4))</f>
        <v/>
      </c>
      <c r="H154" s="80">
        <f>IF(Credit_Assumptions!$C$5=1,H127,INDEX(Credit_Input!$H$136:$H$195,H$4))</f>
        <v/>
      </c>
      <c r="I154" s="80">
        <f>IF(Credit_Assumptions!$C$5=1,I127,INDEX(Credit_Input!$H$136:$H$195,I$4))</f>
        <v/>
      </c>
      <c r="J154" s="80">
        <f>IF(Credit_Assumptions!$C$5=1,J127,INDEX(Credit_Input!$H$136:$H$195,J$4))</f>
        <v/>
      </c>
      <c r="K154" s="80">
        <f>IF(Credit_Assumptions!$C$5=1,K127,INDEX(Credit_Input!$H$136:$H$195,K$4))</f>
        <v/>
      </c>
      <c r="L154" s="80">
        <f>IF(Credit_Assumptions!$C$5=1,L127,INDEX(Credit_Input!$H$136:$H$195,L$4))</f>
        <v/>
      </c>
      <c r="M154" s="80">
        <f>IF(Credit_Assumptions!$C$5=1,M127,INDEX(Credit_Input!$H$136:$H$195,M$4))</f>
        <v/>
      </c>
      <c r="N154" s="80">
        <f>IF(Credit_Assumptions!$C$5=1,N127,INDEX(Credit_Input!$H$136:$H$195,N$4))</f>
        <v/>
      </c>
      <c r="O154" s="80">
        <f>IF(Credit_Assumptions!$C$5=1,O127,INDEX(Credit_Input!$H$136:$H$195,O$4))</f>
        <v/>
      </c>
      <c r="P154" s="80">
        <f>IF(Credit_Assumptions!$C$5=1,P127,INDEX(Credit_Input!$H$136:$H$195,P$4))</f>
        <v/>
      </c>
      <c r="Q154" s="80">
        <f>IF(Credit_Assumptions!$C$5=1,Q127,INDEX(Credit_Input!$H$136:$H$195,Q$4))</f>
        <v/>
      </c>
      <c r="R154" s="80">
        <f>IF(Credit_Assumptions!$C$5=1,R127,INDEX(Credit_Input!$H$136:$H$195,R$4))</f>
        <v/>
      </c>
      <c r="S154" s="80">
        <f>IF(Credit_Assumptions!$C$5=1,S127,INDEX(Credit_Input!$H$136:$H$195,S$4))</f>
        <v/>
      </c>
      <c r="T154" s="80">
        <f>IF(Credit_Assumptions!$C$5=1,T127,INDEX(Credit_Input!$H$136:$H$195,T$4))</f>
        <v/>
      </c>
      <c r="U154" s="80">
        <f>IF(Credit_Assumptions!$C$5=1,U127,INDEX(Credit_Input!$H$136:$H$195,U$4))</f>
        <v/>
      </c>
      <c r="V154" s="80">
        <f>IF(Credit_Assumptions!$C$5=1,V127,INDEX(Credit_Input!$H$136:$H$195,V$4))</f>
        <v/>
      </c>
      <c r="W154" s="80">
        <f>IF(Credit_Assumptions!$C$5=1,W127,INDEX(Credit_Input!$H$136:$H$195,W$4))</f>
        <v/>
      </c>
      <c r="X154" s="80">
        <f>IF(Credit_Assumptions!$C$5=1,X127,INDEX(Credit_Input!$H$136:$H$195,X$4))</f>
        <v/>
      </c>
      <c r="Y154" s="80">
        <f>IF(Credit_Assumptions!$C$5=1,Y127,INDEX(Credit_Input!$H$136:$H$195,Y$4))</f>
        <v/>
      </c>
      <c r="Z154" s="80">
        <f>IF(Credit_Assumptions!$C$5=1,Z127,INDEX(Credit_Input!$H$136:$H$195,Z$4))</f>
        <v/>
      </c>
      <c r="AA154" s="80">
        <f>IF(Credit_Assumptions!$C$5=1,AA127,INDEX(Credit_Input!$H$136:$H$195,AA$4))</f>
        <v/>
      </c>
      <c r="AB154" s="80">
        <f>IF(Credit_Assumptions!$C$5=1,AB127,INDEX(Credit_Input!$H$136:$H$195,AB$4))</f>
        <v/>
      </c>
      <c r="AC154" s="80">
        <f>IF(Credit_Assumptions!$C$5=1,AC127,INDEX(Credit_Input!$H$136:$H$195,AC$4))</f>
        <v/>
      </c>
      <c r="AD154" s="80">
        <f>IF(Credit_Assumptions!$C$5=1,AD127,INDEX(Credit_Input!$H$136:$H$195,AD$4))</f>
        <v/>
      </c>
      <c r="AE154" s="80">
        <f>IF(Credit_Assumptions!$C$5=1,AE127,INDEX(Credit_Input!$H$136:$H$195,AE$4))</f>
        <v/>
      </c>
      <c r="AF154" s="80">
        <f>IF(Credit_Assumptions!$C$5=1,AF127,INDEX(Credit_Input!$H$136:$H$195,AF$4))</f>
        <v/>
      </c>
      <c r="AG154" s="80">
        <f>IF(Credit_Assumptions!$C$5=1,AG127,INDEX(Credit_Input!$H$136:$H$195,AG$4))</f>
        <v/>
      </c>
      <c r="AH154" s="80">
        <f>IF(Credit_Assumptions!$C$5=1,AH127,INDEX(Credit_Input!$H$136:$H$195,AH$4))</f>
        <v/>
      </c>
      <c r="AI154" s="80">
        <f>IF(Credit_Assumptions!$C$5=1,AI127,INDEX(Credit_Input!$H$136:$H$195,AI$4))</f>
        <v/>
      </c>
      <c r="AJ154" s="80">
        <f>IF(Credit_Assumptions!$C$5=1,AJ127,INDEX(Credit_Input!$H$136:$H$195,AJ$4))</f>
        <v/>
      </c>
      <c r="AK154" s="80">
        <f>IF(Credit_Assumptions!$C$5=1,AK127,INDEX(Credit_Input!$H$136:$H$195,AK$4))</f>
        <v/>
      </c>
      <c r="AL154" s="80">
        <f>IF(Credit_Assumptions!$C$5=1,AL127,INDEX(Credit_Input!$H$136:$H$195,AL$4))</f>
        <v/>
      </c>
      <c r="AM154" s="80">
        <f>IF(Credit_Assumptions!$C$5=1,AM127,INDEX(Credit_Input!$H$136:$H$195,AM$4))</f>
        <v/>
      </c>
      <c r="AN154" s="80">
        <f>IF(Credit_Assumptions!$C$5=1,AN127,INDEX(Credit_Input!$H$136:$H$195,AN$4))</f>
        <v/>
      </c>
      <c r="AO154" s="80">
        <f>IF(Credit_Assumptions!$C$5=1,AO127,INDEX(Credit_Input!$H$136:$H$195,AO$4))</f>
        <v/>
      </c>
      <c r="AP154" s="80">
        <f>IF(Credit_Assumptions!$C$5=1,AP127,INDEX(Credit_Input!$H$136:$H$195,AP$4))</f>
        <v/>
      </c>
      <c r="AQ154" s="80">
        <f>IF(Credit_Assumptions!$C$5=1,AQ127,INDEX(Credit_Input!$H$136:$H$195,AQ$4))</f>
        <v/>
      </c>
      <c r="AR154" s="80">
        <f>IF(Credit_Assumptions!$C$5=1,AR127,INDEX(Credit_Input!$H$136:$H$195,AR$4))</f>
        <v/>
      </c>
      <c r="AS154" s="80">
        <f>IF(Credit_Assumptions!$C$5=1,AS127,INDEX(Credit_Input!$H$136:$H$195,AS$4))</f>
        <v/>
      </c>
      <c r="AT154" s="80">
        <f>IF(Credit_Assumptions!$C$5=1,AT127,INDEX(Credit_Input!$H$136:$H$195,AT$4))</f>
        <v/>
      </c>
      <c r="AU154" s="80">
        <f>IF(Credit_Assumptions!$C$5=1,AU127,INDEX(Credit_Input!$H$136:$H$195,AU$4))</f>
        <v/>
      </c>
      <c r="AV154" s="80">
        <f>IF(Credit_Assumptions!$C$5=1,AV127,INDEX(Credit_Input!$H$136:$H$195,AV$4))</f>
        <v/>
      </c>
      <c r="AW154" s="80">
        <f>IF(Credit_Assumptions!$C$5=1,AW127,INDEX(Credit_Input!$H$136:$H$195,AW$4))</f>
        <v/>
      </c>
      <c r="AX154" s="80">
        <f>IF(Credit_Assumptions!$C$5=1,AX127,INDEX(Credit_Input!$H$136:$H$195,AX$4))</f>
        <v/>
      </c>
      <c r="AY154" s="80">
        <f>IF(Credit_Assumptions!$C$5=1,AY127,INDEX(Credit_Input!$H$136:$H$195,AY$4))</f>
        <v/>
      </c>
      <c r="AZ154" s="80">
        <f>IF(Credit_Assumptions!$C$5=1,AZ127,INDEX(Credit_Input!$H$136:$H$195,AZ$4))</f>
        <v/>
      </c>
      <c r="BA154" s="80">
        <f>IF(Credit_Assumptions!$C$5=1,BA127,INDEX(Credit_Input!$H$136:$H$195,BA$4))</f>
        <v/>
      </c>
      <c r="BB154" s="80">
        <f>IF(Credit_Assumptions!$C$5=1,BB127,INDEX(Credit_Input!$H$136:$H$195,BB$4))</f>
        <v/>
      </c>
      <c r="BC154" s="80">
        <f>IF(Credit_Assumptions!$C$5=1,BC127,INDEX(Credit_Input!$H$136:$H$195,BC$4))</f>
        <v/>
      </c>
      <c r="BD154" s="80">
        <f>IF(Credit_Assumptions!$C$5=1,BD127,INDEX(Credit_Input!$H$136:$H$195,BD$4))</f>
        <v/>
      </c>
      <c r="BE154" s="80">
        <f>IF(Credit_Assumptions!$C$5=1,BE127,INDEX(Credit_Input!$H$136:$H$195,BE$4))</f>
        <v/>
      </c>
      <c r="BF154" s="80">
        <f>IF(Credit_Assumptions!$C$5=1,BF127,INDEX(Credit_Input!$H$136:$H$195,BF$4))</f>
        <v/>
      </c>
      <c r="BG154" s="80">
        <f>IF(Credit_Assumptions!$C$5=1,BG127,INDEX(Credit_Input!$H$136:$H$195,BG$4))</f>
        <v/>
      </c>
      <c r="BH154" s="80">
        <f>IF(Credit_Assumptions!$C$5=1,BH127,INDEX(Credit_Input!$H$136:$H$195,BH$4))</f>
        <v/>
      </c>
      <c r="BI154" s="80">
        <f>IF(Credit_Assumptions!$C$5=1,BI127,INDEX(Credit_Input!$H$136:$H$195,BI$4))</f>
        <v/>
      </c>
      <c r="BJ154" s="80">
        <f>IF(Credit_Assumptions!$C$5=1,BJ127,INDEX(Credit_Input!$H$136:$H$195,BJ$4))</f>
        <v/>
      </c>
      <c r="BK154" s="80">
        <f>IF(Credit_Assumptions!$C$5=1,BK127,INDEX(Credit_Input!$H$136:$H$195,BK$4))</f>
        <v/>
      </c>
      <c r="BL154" s="80">
        <f>IF(Credit_Assumptions!$C$5=1,BL127,INDEX(Credit_Input!$H$136:$H$195,BL$4))</f>
        <v/>
      </c>
    </row>
    <row r="155">
      <c r="A155" s="98" t="inlineStr">
        <is>
          <t>91-180 DPD</t>
        </is>
      </c>
      <c r="B155" s="65" t="inlineStr">
        <is>
          <t>LCY</t>
        </is>
      </c>
      <c r="C155" s="105">
        <f>BL155</f>
        <v/>
      </c>
      <c r="E155" s="80">
        <f>IF(Credit_Assumptions!$C$5=1,E128,INDEX(Credit_Input!$I$136:$I$195,E$4))</f>
        <v/>
      </c>
      <c r="F155" s="80">
        <f>IF(Credit_Assumptions!$C$5=1,F128,INDEX(Credit_Input!$I$136:$I$195,F$4))</f>
        <v/>
      </c>
      <c r="G155" s="80">
        <f>IF(Credit_Assumptions!$C$5=1,G128,INDEX(Credit_Input!$I$136:$I$195,G$4))</f>
        <v/>
      </c>
      <c r="H155" s="80">
        <f>IF(Credit_Assumptions!$C$5=1,H128,INDEX(Credit_Input!$I$136:$I$195,H$4))</f>
        <v/>
      </c>
      <c r="I155" s="80">
        <f>IF(Credit_Assumptions!$C$5=1,I128,INDEX(Credit_Input!$I$136:$I$195,I$4))</f>
        <v/>
      </c>
      <c r="J155" s="80">
        <f>IF(Credit_Assumptions!$C$5=1,J128,INDEX(Credit_Input!$I$136:$I$195,J$4))</f>
        <v/>
      </c>
      <c r="K155" s="80">
        <f>IF(Credit_Assumptions!$C$5=1,K128,INDEX(Credit_Input!$I$136:$I$195,K$4))</f>
        <v/>
      </c>
      <c r="L155" s="80">
        <f>IF(Credit_Assumptions!$C$5=1,L128,INDEX(Credit_Input!$I$136:$I$195,L$4))</f>
        <v/>
      </c>
      <c r="M155" s="80">
        <f>IF(Credit_Assumptions!$C$5=1,M128,INDEX(Credit_Input!$I$136:$I$195,M$4))</f>
        <v/>
      </c>
      <c r="N155" s="80">
        <f>IF(Credit_Assumptions!$C$5=1,N128,INDEX(Credit_Input!$I$136:$I$195,N$4))</f>
        <v/>
      </c>
      <c r="O155" s="80">
        <f>IF(Credit_Assumptions!$C$5=1,O128,INDEX(Credit_Input!$I$136:$I$195,O$4))</f>
        <v/>
      </c>
      <c r="P155" s="80">
        <f>IF(Credit_Assumptions!$C$5=1,P128,INDEX(Credit_Input!$I$136:$I$195,P$4))</f>
        <v/>
      </c>
      <c r="Q155" s="80">
        <f>IF(Credit_Assumptions!$C$5=1,Q128,INDEX(Credit_Input!$I$136:$I$195,Q$4))</f>
        <v/>
      </c>
      <c r="R155" s="80">
        <f>IF(Credit_Assumptions!$C$5=1,R128,INDEX(Credit_Input!$I$136:$I$195,R$4))</f>
        <v/>
      </c>
      <c r="S155" s="80">
        <f>IF(Credit_Assumptions!$C$5=1,S128,INDEX(Credit_Input!$I$136:$I$195,S$4))</f>
        <v/>
      </c>
      <c r="T155" s="80">
        <f>IF(Credit_Assumptions!$C$5=1,T128,INDEX(Credit_Input!$I$136:$I$195,T$4))</f>
        <v/>
      </c>
      <c r="U155" s="80">
        <f>IF(Credit_Assumptions!$C$5=1,U128,INDEX(Credit_Input!$I$136:$I$195,U$4))</f>
        <v/>
      </c>
      <c r="V155" s="80">
        <f>IF(Credit_Assumptions!$C$5=1,V128,INDEX(Credit_Input!$I$136:$I$195,V$4))</f>
        <v/>
      </c>
      <c r="W155" s="80">
        <f>IF(Credit_Assumptions!$C$5=1,W128,INDEX(Credit_Input!$I$136:$I$195,W$4))</f>
        <v/>
      </c>
      <c r="X155" s="80">
        <f>IF(Credit_Assumptions!$C$5=1,X128,INDEX(Credit_Input!$I$136:$I$195,X$4))</f>
        <v/>
      </c>
      <c r="Y155" s="80">
        <f>IF(Credit_Assumptions!$C$5=1,Y128,INDEX(Credit_Input!$I$136:$I$195,Y$4))</f>
        <v/>
      </c>
      <c r="Z155" s="80">
        <f>IF(Credit_Assumptions!$C$5=1,Z128,INDEX(Credit_Input!$I$136:$I$195,Z$4))</f>
        <v/>
      </c>
      <c r="AA155" s="80">
        <f>IF(Credit_Assumptions!$C$5=1,AA128,INDEX(Credit_Input!$I$136:$I$195,AA$4))</f>
        <v/>
      </c>
      <c r="AB155" s="80">
        <f>IF(Credit_Assumptions!$C$5=1,AB128,INDEX(Credit_Input!$I$136:$I$195,AB$4))</f>
        <v/>
      </c>
      <c r="AC155" s="80">
        <f>IF(Credit_Assumptions!$C$5=1,AC128,INDEX(Credit_Input!$I$136:$I$195,AC$4))</f>
        <v/>
      </c>
      <c r="AD155" s="80">
        <f>IF(Credit_Assumptions!$C$5=1,AD128,INDEX(Credit_Input!$I$136:$I$195,AD$4))</f>
        <v/>
      </c>
      <c r="AE155" s="80">
        <f>IF(Credit_Assumptions!$C$5=1,AE128,INDEX(Credit_Input!$I$136:$I$195,AE$4))</f>
        <v/>
      </c>
      <c r="AF155" s="80">
        <f>IF(Credit_Assumptions!$C$5=1,AF128,INDEX(Credit_Input!$I$136:$I$195,AF$4))</f>
        <v/>
      </c>
      <c r="AG155" s="80">
        <f>IF(Credit_Assumptions!$C$5=1,AG128,INDEX(Credit_Input!$I$136:$I$195,AG$4))</f>
        <v/>
      </c>
      <c r="AH155" s="80">
        <f>IF(Credit_Assumptions!$C$5=1,AH128,INDEX(Credit_Input!$I$136:$I$195,AH$4))</f>
        <v/>
      </c>
      <c r="AI155" s="80">
        <f>IF(Credit_Assumptions!$C$5=1,AI128,INDEX(Credit_Input!$I$136:$I$195,AI$4))</f>
        <v/>
      </c>
      <c r="AJ155" s="80">
        <f>IF(Credit_Assumptions!$C$5=1,AJ128,INDEX(Credit_Input!$I$136:$I$195,AJ$4))</f>
        <v/>
      </c>
      <c r="AK155" s="80">
        <f>IF(Credit_Assumptions!$C$5=1,AK128,INDEX(Credit_Input!$I$136:$I$195,AK$4))</f>
        <v/>
      </c>
      <c r="AL155" s="80">
        <f>IF(Credit_Assumptions!$C$5=1,AL128,INDEX(Credit_Input!$I$136:$I$195,AL$4))</f>
        <v/>
      </c>
      <c r="AM155" s="80">
        <f>IF(Credit_Assumptions!$C$5=1,AM128,INDEX(Credit_Input!$I$136:$I$195,AM$4))</f>
        <v/>
      </c>
      <c r="AN155" s="80">
        <f>IF(Credit_Assumptions!$C$5=1,AN128,INDEX(Credit_Input!$I$136:$I$195,AN$4))</f>
        <v/>
      </c>
      <c r="AO155" s="80">
        <f>IF(Credit_Assumptions!$C$5=1,AO128,INDEX(Credit_Input!$I$136:$I$195,AO$4))</f>
        <v/>
      </c>
      <c r="AP155" s="80">
        <f>IF(Credit_Assumptions!$C$5=1,AP128,INDEX(Credit_Input!$I$136:$I$195,AP$4))</f>
        <v/>
      </c>
      <c r="AQ155" s="80">
        <f>IF(Credit_Assumptions!$C$5=1,AQ128,INDEX(Credit_Input!$I$136:$I$195,AQ$4))</f>
        <v/>
      </c>
      <c r="AR155" s="80">
        <f>IF(Credit_Assumptions!$C$5=1,AR128,INDEX(Credit_Input!$I$136:$I$195,AR$4))</f>
        <v/>
      </c>
      <c r="AS155" s="80">
        <f>IF(Credit_Assumptions!$C$5=1,AS128,INDEX(Credit_Input!$I$136:$I$195,AS$4))</f>
        <v/>
      </c>
      <c r="AT155" s="80">
        <f>IF(Credit_Assumptions!$C$5=1,AT128,INDEX(Credit_Input!$I$136:$I$195,AT$4))</f>
        <v/>
      </c>
      <c r="AU155" s="80">
        <f>IF(Credit_Assumptions!$C$5=1,AU128,INDEX(Credit_Input!$I$136:$I$195,AU$4))</f>
        <v/>
      </c>
      <c r="AV155" s="80">
        <f>IF(Credit_Assumptions!$C$5=1,AV128,INDEX(Credit_Input!$I$136:$I$195,AV$4))</f>
        <v/>
      </c>
      <c r="AW155" s="80">
        <f>IF(Credit_Assumptions!$C$5=1,AW128,INDEX(Credit_Input!$I$136:$I$195,AW$4))</f>
        <v/>
      </c>
      <c r="AX155" s="80">
        <f>IF(Credit_Assumptions!$C$5=1,AX128,INDEX(Credit_Input!$I$136:$I$195,AX$4))</f>
        <v/>
      </c>
      <c r="AY155" s="80">
        <f>IF(Credit_Assumptions!$C$5=1,AY128,INDEX(Credit_Input!$I$136:$I$195,AY$4))</f>
        <v/>
      </c>
      <c r="AZ155" s="80">
        <f>IF(Credit_Assumptions!$C$5=1,AZ128,INDEX(Credit_Input!$I$136:$I$195,AZ$4))</f>
        <v/>
      </c>
      <c r="BA155" s="80">
        <f>IF(Credit_Assumptions!$C$5=1,BA128,INDEX(Credit_Input!$I$136:$I$195,BA$4))</f>
        <v/>
      </c>
      <c r="BB155" s="80">
        <f>IF(Credit_Assumptions!$C$5=1,BB128,INDEX(Credit_Input!$I$136:$I$195,BB$4))</f>
        <v/>
      </c>
      <c r="BC155" s="80">
        <f>IF(Credit_Assumptions!$C$5=1,BC128,INDEX(Credit_Input!$I$136:$I$195,BC$4))</f>
        <v/>
      </c>
      <c r="BD155" s="80">
        <f>IF(Credit_Assumptions!$C$5=1,BD128,INDEX(Credit_Input!$I$136:$I$195,BD$4))</f>
        <v/>
      </c>
      <c r="BE155" s="80">
        <f>IF(Credit_Assumptions!$C$5=1,BE128,INDEX(Credit_Input!$I$136:$I$195,BE$4))</f>
        <v/>
      </c>
      <c r="BF155" s="80">
        <f>IF(Credit_Assumptions!$C$5=1,BF128,INDEX(Credit_Input!$I$136:$I$195,BF$4))</f>
        <v/>
      </c>
      <c r="BG155" s="80">
        <f>IF(Credit_Assumptions!$C$5=1,BG128,INDEX(Credit_Input!$I$136:$I$195,BG$4))</f>
        <v/>
      </c>
      <c r="BH155" s="80">
        <f>IF(Credit_Assumptions!$C$5=1,BH128,INDEX(Credit_Input!$I$136:$I$195,BH$4))</f>
        <v/>
      </c>
      <c r="BI155" s="80">
        <f>IF(Credit_Assumptions!$C$5=1,BI128,INDEX(Credit_Input!$I$136:$I$195,BI$4))</f>
        <v/>
      </c>
      <c r="BJ155" s="80">
        <f>IF(Credit_Assumptions!$C$5=1,BJ128,INDEX(Credit_Input!$I$136:$I$195,BJ$4))</f>
        <v/>
      </c>
      <c r="BK155" s="80">
        <f>IF(Credit_Assumptions!$C$5=1,BK128,INDEX(Credit_Input!$I$136:$I$195,BK$4))</f>
        <v/>
      </c>
      <c r="BL155" s="80">
        <f>IF(Credit_Assumptions!$C$5=1,BL128,INDEX(Credit_Input!$I$136:$I$195,BL$4))</f>
        <v/>
      </c>
    </row>
    <row r="156">
      <c r="A156" s="98" t="inlineStr">
        <is>
          <t>180+ DPD</t>
        </is>
      </c>
      <c r="B156" s="65" t="inlineStr">
        <is>
          <t>LCY</t>
        </is>
      </c>
      <c r="C156" s="105">
        <f>BL156</f>
        <v/>
      </c>
      <c r="E156" s="80">
        <f>IF(Credit_Assumptions!$C$5=1,E129,INDEX(Credit_Input!$J$136:$J$195,E$4))</f>
        <v/>
      </c>
      <c r="F156" s="80">
        <f>IF(Credit_Assumptions!$C$5=1,F129,INDEX(Credit_Input!$J$136:$J$195,F$4))</f>
        <v/>
      </c>
      <c r="G156" s="80">
        <f>IF(Credit_Assumptions!$C$5=1,G129,INDEX(Credit_Input!$J$136:$J$195,G$4))</f>
        <v/>
      </c>
      <c r="H156" s="80">
        <f>IF(Credit_Assumptions!$C$5=1,H129,INDEX(Credit_Input!$J$136:$J$195,H$4))</f>
        <v/>
      </c>
      <c r="I156" s="80">
        <f>IF(Credit_Assumptions!$C$5=1,I129,INDEX(Credit_Input!$J$136:$J$195,I$4))</f>
        <v/>
      </c>
      <c r="J156" s="80">
        <f>IF(Credit_Assumptions!$C$5=1,J129,INDEX(Credit_Input!$J$136:$J$195,J$4))</f>
        <v/>
      </c>
      <c r="K156" s="80">
        <f>IF(Credit_Assumptions!$C$5=1,K129,INDEX(Credit_Input!$J$136:$J$195,K$4))</f>
        <v/>
      </c>
      <c r="L156" s="80">
        <f>IF(Credit_Assumptions!$C$5=1,L129,INDEX(Credit_Input!$J$136:$J$195,L$4))</f>
        <v/>
      </c>
      <c r="M156" s="80">
        <f>IF(Credit_Assumptions!$C$5=1,M129,INDEX(Credit_Input!$J$136:$J$195,M$4))</f>
        <v/>
      </c>
      <c r="N156" s="80">
        <f>IF(Credit_Assumptions!$C$5=1,N129,INDEX(Credit_Input!$J$136:$J$195,N$4))</f>
        <v/>
      </c>
      <c r="O156" s="80">
        <f>IF(Credit_Assumptions!$C$5=1,O129,INDEX(Credit_Input!$J$136:$J$195,O$4))</f>
        <v/>
      </c>
      <c r="P156" s="80">
        <f>IF(Credit_Assumptions!$C$5=1,P129,INDEX(Credit_Input!$J$136:$J$195,P$4))</f>
        <v/>
      </c>
      <c r="Q156" s="80">
        <f>IF(Credit_Assumptions!$C$5=1,Q129,INDEX(Credit_Input!$J$136:$J$195,Q$4))</f>
        <v/>
      </c>
      <c r="R156" s="80">
        <f>IF(Credit_Assumptions!$C$5=1,R129,INDEX(Credit_Input!$J$136:$J$195,R$4))</f>
        <v/>
      </c>
      <c r="S156" s="80">
        <f>IF(Credit_Assumptions!$C$5=1,S129,INDEX(Credit_Input!$J$136:$J$195,S$4))</f>
        <v/>
      </c>
      <c r="T156" s="80">
        <f>IF(Credit_Assumptions!$C$5=1,T129,INDEX(Credit_Input!$J$136:$J$195,T$4))</f>
        <v/>
      </c>
      <c r="U156" s="80">
        <f>IF(Credit_Assumptions!$C$5=1,U129,INDEX(Credit_Input!$J$136:$J$195,U$4))</f>
        <v/>
      </c>
      <c r="V156" s="80">
        <f>IF(Credit_Assumptions!$C$5=1,V129,INDEX(Credit_Input!$J$136:$J$195,V$4))</f>
        <v/>
      </c>
      <c r="W156" s="80">
        <f>IF(Credit_Assumptions!$C$5=1,W129,INDEX(Credit_Input!$J$136:$J$195,W$4))</f>
        <v/>
      </c>
      <c r="X156" s="80">
        <f>IF(Credit_Assumptions!$C$5=1,X129,INDEX(Credit_Input!$J$136:$J$195,X$4))</f>
        <v/>
      </c>
      <c r="Y156" s="80">
        <f>IF(Credit_Assumptions!$C$5=1,Y129,INDEX(Credit_Input!$J$136:$J$195,Y$4))</f>
        <v/>
      </c>
      <c r="Z156" s="80">
        <f>IF(Credit_Assumptions!$C$5=1,Z129,INDEX(Credit_Input!$J$136:$J$195,Z$4))</f>
        <v/>
      </c>
      <c r="AA156" s="80">
        <f>IF(Credit_Assumptions!$C$5=1,AA129,INDEX(Credit_Input!$J$136:$J$195,AA$4))</f>
        <v/>
      </c>
      <c r="AB156" s="80">
        <f>IF(Credit_Assumptions!$C$5=1,AB129,INDEX(Credit_Input!$J$136:$J$195,AB$4))</f>
        <v/>
      </c>
      <c r="AC156" s="80">
        <f>IF(Credit_Assumptions!$C$5=1,AC129,INDEX(Credit_Input!$J$136:$J$195,AC$4))</f>
        <v/>
      </c>
      <c r="AD156" s="80">
        <f>IF(Credit_Assumptions!$C$5=1,AD129,INDEX(Credit_Input!$J$136:$J$195,AD$4))</f>
        <v/>
      </c>
      <c r="AE156" s="80">
        <f>IF(Credit_Assumptions!$C$5=1,AE129,INDEX(Credit_Input!$J$136:$J$195,AE$4))</f>
        <v/>
      </c>
      <c r="AF156" s="80">
        <f>IF(Credit_Assumptions!$C$5=1,AF129,INDEX(Credit_Input!$J$136:$J$195,AF$4))</f>
        <v/>
      </c>
      <c r="AG156" s="80">
        <f>IF(Credit_Assumptions!$C$5=1,AG129,INDEX(Credit_Input!$J$136:$J$195,AG$4))</f>
        <v/>
      </c>
      <c r="AH156" s="80">
        <f>IF(Credit_Assumptions!$C$5=1,AH129,INDEX(Credit_Input!$J$136:$J$195,AH$4))</f>
        <v/>
      </c>
      <c r="AI156" s="80">
        <f>IF(Credit_Assumptions!$C$5=1,AI129,INDEX(Credit_Input!$J$136:$J$195,AI$4))</f>
        <v/>
      </c>
      <c r="AJ156" s="80">
        <f>IF(Credit_Assumptions!$C$5=1,AJ129,INDEX(Credit_Input!$J$136:$J$195,AJ$4))</f>
        <v/>
      </c>
      <c r="AK156" s="80">
        <f>IF(Credit_Assumptions!$C$5=1,AK129,INDEX(Credit_Input!$J$136:$J$195,AK$4))</f>
        <v/>
      </c>
      <c r="AL156" s="80">
        <f>IF(Credit_Assumptions!$C$5=1,AL129,INDEX(Credit_Input!$J$136:$J$195,AL$4))</f>
        <v/>
      </c>
      <c r="AM156" s="80">
        <f>IF(Credit_Assumptions!$C$5=1,AM129,INDEX(Credit_Input!$J$136:$J$195,AM$4))</f>
        <v/>
      </c>
      <c r="AN156" s="80">
        <f>IF(Credit_Assumptions!$C$5=1,AN129,INDEX(Credit_Input!$J$136:$J$195,AN$4))</f>
        <v/>
      </c>
      <c r="AO156" s="80">
        <f>IF(Credit_Assumptions!$C$5=1,AO129,INDEX(Credit_Input!$J$136:$J$195,AO$4))</f>
        <v/>
      </c>
      <c r="AP156" s="80">
        <f>IF(Credit_Assumptions!$C$5=1,AP129,INDEX(Credit_Input!$J$136:$J$195,AP$4))</f>
        <v/>
      </c>
      <c r="AQ156" s="80">
        <f>IF(Credit_Assumptions!$C$5=1,AQ129,INDEX(Credit_Input!$J$136:$J$195,AQ$4))</f>
        <v/>
      </c>
      <c r="AR156" s="80">
        <f>IF(Credit_Assumptions!$C$5=1,AR129,INDEX(Credit_Input!$J$136:$J$195,AR$4))</f>
        <v/>
      </c>
      <c r="AS156" s="80">
        <f>IF(Credit_Assumptions!$C$5=1,AS129,INDEX(Credit_Input!$J$136:$J$195,AS$4))</f>
        <v/>
      </c>
      <c r="AT156" s="80">
        <f>IF(Credit_Assumptions!$C$5=1,AT129,INDEX(Credit_Input!$J$136:$J$195,AT$4))</f>
        <v/>
      </c>
      <c r="AU156" s="80">
        <f>IF(Credit_Assumptions!$C$5=1,AU129,INDEX(Credit_Input!$J$136:$J$195,AU$4))</f>
        <v/>
      </c>
      <c r="AV156" s="80">
        <f>IF(Credit_Assumptions!$C$5=1,AV129,INDEX(Credit_Input!$J$136:$J$195,AV$4))</f>
        <v/>
      </c>
      <c r="AW156" s="80">
        <f>IF(Credit_Assumptions!$C$5=1,AW129,INDEX(Credit_Input!$J$136:$J$195,AW$4))</f>
        <v/>
      </c>
      <c r="AX156" s="80">
        <f>IF(Credit_Assumptions!$C$5=1,AX129,INDEX(Credit_Input!$J$136:$J$195,AX$4))</f>
        <v/>
      </c>
      <c r="AY156" s="80">
        <f>IF(Credit_Assumptions!$C$5=1,AY129,INDEX(Credit_Input!$J$136:$J$195,AY$4))</f>
        <v/>
      </c>
      <c r="AZ156" s="80">
        <f>IF(Credit_Assumptions!$C$5=1,AZ129,INDEX(Credit_Input!$J$136:$J$195,AZ$4))</f>
        <v/>
      </c>
      <c r="BA156" s="80">
        <f>IF(Credit_Assumptions!$C$5=1,BA129,INDEX(Credit_Input!$J$136:$J$195,BA$4))</f>
        <v/>
      </c>
      <c r="BB156" s="80">
        <f>IF(Credit_Assumptions!$C$5=1,BB129,INDEX(Credit_Input!$J$136:$J$195,BB$4))</f>
        <v/>
      </c>
      <c r="BC156" s="80">
        <f>IF(Credit_Assumptions!$C$5=1,BC129,INDEX(Credit_Input!$J$136:$J$195,BC$4))</f>
        <v/>
      </c>
      <c r="BD156" s="80">
        <f>IF(Credit_Assumptions!$C$5=1,BD129,INDEX(Credit_Input!$J$136:$J$195,BD$4))</f>
        <v/>
      </c>
      <c r="BE156" s="80">
        <f>IF(Credit_Assumptions!$C$5=1,BE129,INDEX(Credit_Input!$J$136:$J$195,BE$4))</f>
        <v/>
      </c>
      <c r="BF156" s="80">
        <f>IF(Credit_Assumptions!$C$5=1,BF129,INDEX(Credit_Input!$J$136:$J$195,BF$4))</f>
        <v/>
      </c>
      <c r="BG156" s="80">
        <f>IF(Credit_Assumptions!$C$5=1,BG129,INDEX(Credit_Input!$J$136:$J$195,BG$4))</f>
        <v/>
      </c>
      <c r="BH156" s="80">
        <f>IF(Credit_Assumptions!$C$5=1,BH129,INDEX(Credit_Input!$J$136:$J$195,BH$4))</f>
        <v/>
      </c>
      <c r="BI156" s="80">
        <f>IF(Credit_Assumptions!$C$5=1,BI129,INDEX(Credit_Input!$J$136:$J$195,BI$4))</f>
        <v/>
      </c>
      <c r="BJ156" s="80">
        <f>IF(Credit_Assumptions!$C$5=1,BJ129,INDEX(Credit_Input!$J$136:$J$195,BJ$4))</f>
        <v/>
      </c>
      <c r="BK156" s="80">
        <f>IF(Credit_Assumptions!$C$5=1,BK129,INDEX(Credit_Input!$J$136:$J$195,BK$4))</f>
        <v/>
      </c>
      <c r="BL156" s="80">
        <f>IF(Credit_Assumptions!$C$5=1,BL129,INDEX(Credit_Input!$J$136:$J$195,BL$4))</f>
        <v/>
      </c>
    </row>
    <row r="157">
      <c r="A157" s="98" t="inlineStr">
        <is>
          <t>Default EAD (beyond default definition)</t>
        </is>
      </c>
      <c r="B157" s="65" t="inlineStr">
        <is>
          <t>LCY</t>
        </is>
      </c>
      <c r="C157" s="105">
        <f>BL157</f>
        <v/>
      </c>
      <c r="E157" s="80">
        <f>IF(Credit_Assumptions!$C$5=1,E130,INDEX(Credit_Input!$K$136:$K$195,E$4))</f>
        <v/>
      </c>
      <c r="F157" s="80">
        <f>IF(Credit_Assumptions!$C$5=1,F130,INDEX(Credit_Input!$K$136:$K$195,F$4))</f>
        <v/>
      </c>
      <c r="G157" s="80">
        <f>IF(Credit_Assumptions!$C$5=1,G130,INDEX(Credit_Input!$K$136:$K$195,G$4))</f>
        <v/>
      </c>
      <c r="H157" s="80">
        <f>IF(Credit_Assumptions!$C$5=1,H130,INDEX(Credit_Input!$K$136:$K$195,H$4))</f>
        <v/>
      </c>
      <c r="I157" s="80">
        <f>IF(Credit_Assumptions!$C$5=1,I130,INDEX(Credit_Input!$K$136:$K$195,I$4))</f>
        <v/>
      </c>
      <c r="J157" s="80">
        <f>IF(Credit_Assumptions!$C$5=1,J130,INDEX(Credit_Input!$K$136:$K$195,J$4))</f>
        <v/>
      </c>
      <c r="K157" s="80">
        <f>IF(Credit_Assumptions!$C$5=1,K130,INDEX(Credit_Input!$K$136:$K$195,K$4))</f>
        <v/>
      </c>
      <c r="L157" s="80">
        <f>IF(Credit_Assumptions!$C$5=1,L130,INDEX(Credit_Input!$K$136:$K$195,L$4))</f>
        <v/>
      </c>
      <c r="M157" s="80">
        <f>IF(Credit_Assumptions!$C$5=1,M130,INDEX(Credit_Input!$K$136:$K$195,M$4))</f>
        <v/>
      </c>
      <c r="N157" s="80">
        <f>IF(Credit_Assumptions!$C$5=1,N130,INDEX(Credit_Input!$K$136:$K$195,N$4))</f>
        <v/>
      </c>
      <c r="O157" s="80">
        <f>IF(Credit_Assumptions!$C$5=1,O130,INDEX(Credit_Input!$K$136:$K$195,O$4))</f>
        <v/>
      </c>
      <c r="P157" s="80">
        <f>IF(Credit_Assumptions!$C$5=1,P130,INDEX(Credit_Input!$K$136:$K$195,P$4))</f>
        <v/>
      </c>
      <c r="Q157" s="80">
        <f>IF(Credit_Assumptions!$C$5=1,Q130,INDEX(Credit_Input!$K$136:$K$195,Q$4))</f>
        <v/>
      </c>
      <c r="R157" s="80">
        <f>IF(Credit_Assumptions!$C$5=1,R130,INDEX(Credit_Input!$K$136:$K$195,R$4))</f>
        <v/>
      </c>
      <c r="S157" s="80">
        <f>IF(Credit_Assumptions!$C$5=1,S130,INDEX(Credit_Input!$K$136:$K$195,S$4))</f>
        <v/>
      </c>
      <c r="T157" s="80">
        <f>IF(Credit_Assumptions!$C$5=1,T130,INDEX(Credit_Input!$K$136:$K$195,T$4))</f>
        <v/>
      </c>
      <c r="U157" s="80">
        <f>IF(Credit_Assumptions!$C$5=1,U130,INDEX(Credit_Input!$K$136:$K$195,U$4))</f>
        <v/>
      </c>
      <c r="V157" s="80">
        <f>IF(Credit_Assumptions!$C$5=1,V130,INDEX(Credit_Input!$K$136:$K$195,V$4))</f>
        <v/>
      </c>
      <c r="W157" s="80">
        <f>IF(Credit_Assumptions!$C$5=1,W130,INDEX(Credit_Input!$K$136:$K$195,W$4))</f>
        <v/>
      </c>
      <c r="X157" s="80">
        <f>IF(Credit_Assumptions!$C$5=1,X130,INDEX(Credit_Input!$K$136:$K$195,X$4))</f>
        <v/>
      </c>
      <c r="Y157" s="80">
        <f>IF(Credit_Assumptions!$C$5=1,Y130,INDEX(Credit_Input!$K$136:$K$195,Y$4))</f>
        <v/>
      </c>
      <c r="Z157" s="80">
        <f>IF(Credit_Assumptions!$C$5=1,Z130,INDEX(Credit_Input!$K$136:$K$195,Z$4))</f>
        <v/>
      </c>
      <c r="AA157" s="80">
        <f>IF(Credit_Assumptions!$C$5=1,AA130,INDEX(Credit_Input!$K$136:$K$195,AA$4))</f>
        <v/>
      </c>
      <c r="AB157" s="80">
        <f>IF(Credit_Assumptions!$C$5=1,AB130,INDEX(Credit_Input!$K$136:$K$195,AB$4))</f>
        <v/>
      </c>
      <c r="AC157" s="80">
        <f>IF(Credit_Assumptions!$C$5=1,AC130,INDEX(Credit_Input!$K$136:$K$195,AC$4))</f>
        <v/>
      </c>
      <c r="AD157" s="80">
        <f>IF(Credit_Assumptions!$C$5=1,AD130,INDEX(Credit_Input!$K$136:$K$195,AD$4))</f>
        <v/>
      </c>
      <c r="AE157" s="80">
        <f>IF(Credit_Assumptions!$C$5=1,AE130,INDEX(Credit_Input!$K$136:$K$195,AE$4))</f>
        <v/>
      </c>
      <c r="AF157" s="80">
        <f>IF(Credit_Assumptions!$C$5=1,AF130,INDEX(Credit_Input!$K$136:$K$195,AF$4))</f>
        <v/>
      </c>
      <c r="AG157" s="80">
        <f>IF(Credit_Assumptions!$C$5=1,AG130,INDEX(Credit_Input!$K$136:$K$195,AG$4))</f>
        <v/>
      </c>
      <c r="AH157" s="80">
        <f>IF(Credit_Assumptions!$C$5=1,AH130,INDEX(Credit_Input!$K$136:$K$195,AH$4))</f>
        <v/>
      </c>
      <c r="AI157" s="80">
        <f>IF(Credit_Assumptions!$C$5=1,AI130,INDEX(Credit_Input!$K$136:$K$195,AI$4))</f>
        <v/>
      </c>
      <c r="AJ157" s="80">
        <f>IF(Credit_Assumptions!$C$5=1,AJ130,INDEX(Credit_Input!$K$136:$K$195,AJ$4))</f>
        <v/>
      </c>
      <c r="AK157" s="80">
        <f>IF(Credit_Assumptions!$C$5=1,AK130,INDEX(Credit_Input!$K$136:$K$195,AK$4))</f>
        <v/>
      </c>
      <c r="AL157" s="80">
        <f>IF(Credit_Assumptions!$C$5=1,AL130,INDEX(Credit_Input!$K$136:$K$195,AL$4))</f>
        <v/>
      </c>
      <c r="AM157" s="80">
        <f>IF(Credit_Assumptions!$C$5=1,AM130,INDEX(Credit_Input!$K$136:$K$195,AM$4))</f>
        <v/>
      </c>
      <c r="AN157" s="80">
        <f>IF(Credit_Assumptions!$C$5=1,AN130,INDEX(Credit_Input!$K$136:$K$195,AN$4))</f>
        <v/>
      </c>
      <c r="AO157" s="80">
        <f>IF(Credit_Assumptions!$C$5=1,AO130,INDEX(Credit_Input!$K$136:$K$195,AO$4))</f>
        <v/>
      </c>
      <c r="AP157" s="80">
        <f>IF(Credit_Assumptions!$C$5=1,AP130,INDEX(Credit_Input!$K$136:$K$195,AP$4))</f>
        <v/>
      </c>
      <c r="AQ157" s="80">
        <f>IF(Credit_Assumptions!$C$5=1,AQ130,INDEX(Credit_Input!$K$136:$K$195,AQ$4))</f>
        <v/>
      </c>
      <c r="AR157" s="80">
        <f>IF(Credit_Assumptions!$C$5=1,AR130,INDEX(Credit_Input!$K$136:$K$195,AR$4))</f>
        <v/>
      </c>
      <c r="AS157" s="80">
        <f>IF(Credit_Assumptions!$C$5=1,AS130,INDEX(Credit_Input!$K$136:$K$195,AS$4))</f>
        <v/>
      </c>
      <c r="AT157" s="80">
        <f>IF(Credit_Assumptions!$C$5=1,AT130,INDEX(Credit_Input!$K$136:$K$195,AT$4))</f>
        <v/>
      </c>
      <c r="AU157" s="80">
        <f>IF(Credit_Assumptions!$C$5=1,AU130,INDEX(Credit_Input!$K$136:$K$195,AU$4))</f>
        <v/>
      </c>
      <c r="AV157" s="80">
        <f>IF(Credit_Assumptions!$C$5=1,AV130,INDEX(Credit_Input!$K$136:$K$195,AV$4))</f>
        <v/>
      </c>
      <c r="AW157" s="80">
        <f>IF(Credit_Assumptions!$C$5=1,AW130,INDEX(Credit_Input!$K$136:$K$195,AW$4))</f>
        <v/>
      </c>
      <c r="AX157" s="80">
        <f>IF(Credit_Assumptions!$C$5=1,AX130,INDEX(Credit_Input!$K$136:$K$195,AX$4))</f>
        <v/>
      </c>
      <c r="AY157" s="80">
        <f>IF(Credit_Assumptions!$C$5=1,AY130,INDEX(Credit_Input!$K$136:$K$195,AY$4))</f>
        <v/>
      </c>
      <c r="AZ157" s="80">
        <f>IF(Credit_Assumptions!$C$5=1,AZ130,INDEX(Credit_Input!$K$136:$K$195,AZ$4))</f>
        <v/>
      </c>
      <c r="BA157" s="80">
        <f>IF(Credit_Assumptions!$C$5=1,BA130,INDEX(Credit_Input!$K$136:$K$195,BA$4))</f>
        <v/>
      </c>
      <c r="BB157" s="80">
        <f>IF(Credit_Assumptions!$C$5=1,BB130,INDEX(Credit_Input!$K$136:$K$195,BB$4))</f>
        <v/>
      </c>
      <c r="BC157" s="80">
        <f>IF(Credit_Assumptions!$C$5=1,BC130,INDEX(Credit_Input!$K$136:$K$195,BC$4))</f>
        <v/>
      </c>
      <c r="BD157" s="80">
        <f>IF(Credit_Assumptions!$C$5=1,BD130,INDEX(Credit_Input!$K$136:$K$195,BD$4))</f>
        <v/>
      </c>
      <c r="BE157" s="80">
        <f>IF(Credit_Assumptions!$C$5=1,BE130,INDEX(Credit_Input!$K$136:$K$195,BE$4))</f>
        <v/>
      </c>
      <c r="BF157" s="80">
        <f>IF(Credit_Assumptions!$C$5=1,BF130,INDEX(Credit_Input!$K$136:$K$195,BF$4))</f>
        <v/>
      </c>
      <c r="BG157" s="80">
        <f>IF(Credit_Assumptions!$C$5=1,BG130,INDEX(Credit_Input!$K$136:$K$195,BG$4))</f>
        <v/>
      </c>
      <c r="BH157" s="80">
        <f>IF(Credit_Assumptions!$C$5=1,BH130,INDEX(Credit_Input!$K$136:$K$195,BH$4))</f>
        <v/>
      </c>
      <c r="BI157" s="80">
        <f>IF(Credit_Assumptions!$C$5=1,BI130,INDEX(Credit_Input!$K$136:$K$195,BI$4))</f>
        <v/>
      </c>
      <c r="BJ157" s="80">
        <f>IF(Credit_Assumptions!$C$5=1,BJ130,INDEX(Credit_Input!$K$136:$K$195,BJ$4))</f>
        <v/>
      </c>
      <c r="BK157" s="80">
        <f>IF(Credit_Assumptions!$C$5=1,BK130,INDEX(Credit_Input!$K$136:$K$195,BK$4))</f>
        <v/>
      </c>
      <c r="BL157" s="80">
        <f>IF(Credit_Assumptions!$C$5=1,BL130,INDEX(Credit_Input!$K$136:$K$195,BL$4))</f>
        <v/>
      </c>
    </row>
    <row r="158">
      <c r="A158" s="98" t="inlineStr">
        <is>
          <t>30+ DPD receivables</t>
        </is>
      </c>
      <c r="B158" s="65" t="inlineStr">
        <is>
          <t>LCY</t>
        </is>
      </c>
      <c r="C158" s="105">
        <f>BL158</f>
        <v/>
      </c>
      <c r="E158" s="80">
        <f>E151*Credit_Assumptions!$G$28+E152*Credit_Assumptions!$G$29+E153*Credit_Assumptions!$G$30+E154*Credit_Assumptions!$G$31+E155*Credit_Assumptions!$G$32+E156*Credit_Assumptions!$G$33</f>
        <v/>
      </c>
      <c r="F158" s="80">
        <f>F151*Credit_Assumptions!$G$28+F152*Credit_Assumptions!$G$29+F153*Credit_Assumptions!$G$30+F154*Credit_Assumptions!$G$31+F155*Credit_Assumptions!$G$32+F156*Credit_Assumptions!$G$33</f>
        <v/>
      </c>
      <c r="G158" s="80">
        <f>G151*Credit_Assumptions!$G$28+G152*Credit_Assumptions!$G$29+G153*Credit_Assumptions!$G$30+G154*Credit_Assumptions!$G$31+G155*Credit_Assumptions!$G$32+G156*Credit_Assumptions!$G$33</f>
        <v/>
      </c>
      <c r="H158" s="80">
        <f>H151*Credit_Assumptions!$G$28+H152*Credit_Assumptions!$G$29+H153*Credit_Assumptions!$G$30+H154*Credit_Assumptions!$G$31+H155*Credit_Assumptions!$G$32+H156*Credit_Assumptions!$G$33</f>
        <v/>
      </c>
      <c r="I158" s="80">
        <f>I151*Credit_Assumptions!$G$28+I152*Credit_Assumptions!$G$29+I153*Credit_Assumptions!$G$30+I154*Credit_Assumptions!$G$31+I155*Credit_Assumptions!$G$32+I156*Credit_Assumptions!$G$33</f>
        <v/>
      </c>
      <c r="J158" s="80">
        <f>J151*Credit_Assumptions!$G$28+J152*Credit_Assumptions!$G$29+J153*Credit_Assumptions!$G$30+J154*Credit_Assumptions!$G$31+J155*Credit_Assumptions!$G$32+J156*Credit_Assumptions!$G$33</f>
        <v/>
      </c>
      <c r="K158" s="80">
        <f>K151*Credit_Assumptions!$G$28+K152*Credit_Assumptions!$G$29+K153*Credit_Assumptions!$G$30+K154*Credit_Assumptions!$G$31+K155*Credit_Assumptions!$G$32+K156*Credit_Assumptions!$G$33</f>
        <v/>
      </c>
      <c r="L158" s="80">
        <f>L151*Credit_Assumptions!$G$28+L152*Credit_Assumptions!$G$29+L153*Credit_Assumptions!$G$30+L154*Credit_Assumptions!$G$31+L155*Credit_Assumptions!$G$32+L156*Credit_Assumptions!$G$33</f>
        <v/>
      </c>
      <c r="M158" s="80">
        <f>M151*Credit_Assumptions!$G$28+M152*Credit_Assumptions!$G$29+M153*Credit_Assumptions!$G$30+M154*Credit_Assumptions!$G$31+M155*Credit_Assumptions!$G$32+M156*Credit_Assumptions!$G$33</f>
        <v/>
      </c>
      <c r="N158" s="80">
        <f>N151*Credit_Assumptions!$G$28+N152*Credit_Assumptions!$G$29+N153*Credit_Assumptions!$G$30+N154*Credit_Assumptions!$G$31+N155*Credit_Assumptions!$G$32+N156*Credit_Assumptions!$G$33</f>
        <v/>
      </c>
      <c r="O158" s="80">
        <f>O151*Credit_Assumptions!$G$28+O152*Credit_Assumptions!$G$29+O153*Credit_Assumptions!$G$30+O154*Credit_Assumptions!$G$31+O155*Credit_Assumptions!$G$32+O156*Credit_Assumptions!$G$33</f>
        <v/>
      </c>
      <c r="P158" s="80">
        <f>P151*Credit_Assumptions!$G$28+P152*Credit_Assumptions!$G$29+P153*Credit_Assumptions!$G$30+P154*Credit_Assumptions!$G$31+P155*Credit_Assumptions!$G$32+P156*Credit_Assumptions!$G$33</f>
        <v/>
      </c>
      <c r="Q158" s="80">
        <f>Q151*Credit_Assumptions!$G$28+Q152*Credit_Assumptions!$G$29+Q153*Credit_Assumptions!$G$30+Q154*Credit_Assumptions!$G$31+Q155*Credit_Assumptions!$G$32+Q156*Credit_Assumptions!$G$33</f>
        <v/>
      </c>
      <c r="R158" s="80">
        <f>R151*Credit_Assumptions!$G$28+R152*Credit_Assumptions!$G$29+R153*Credit_Assumptions!$G$30+R154*Credit_Assumptions!$G$31+R155*Credit_Assumptions!$G$32+R156*Credit_Assumptions!$G$33</f>
        <v/>
      </c>
      <c r="S158" s="80">
        <f>S151*Credit_Assumptions!$G$28+S152*Credit_Assumptions!$G$29+S153*Credit_Assumptions!$G$30+S154*Credit_Assumptions!$G$31+S155*Credit_Assumptions!$G$32+S156*Credit_Assumptions!$G$33</f>
        <v/>
      </c>
      <c r="T158" s="80">
        <f>T151*Credit_Assumptions!$G$28+T152*Credit_Assumptions!$G$29+T153*Credit_Assumptions!$G$30+T154*Credit_Assumptions!$G$31+T155*Credit_Assumptions!$G$32+T156*Credit_Assumptions!$G$33</f>
        <v/>
      </c>
      <c r="U158" s="80">
        <f>U151*Credit_Assumptions!$G$28+U152*Credit_Assumptions!$G$29+U153*Credit_Assumptions!$G$30+U154*Credit_Assumptions!$G$31+U155*Credit_Assumptions!$G$32+U156*Credit_Assumptions!$G$33</f>
        <v/>
      </c>
      <c r="V158" s="80">
        <f>V151*Credit_Assumptions!$G$28+V152*Credit_Assumptions!$G$29+V153*Credit_Assumptions!$G$30+V154*Credit_Assumptions!$G$31+V155*Credit_Assumptions!$G$32+V156*Credit_Assumptions!$G$33</f>
        <v/>
      </c>
      <c r="W158" s="80">
        <f>W151*Credit_Assumptions!$G$28+W152*Credit_Assumptions!$G$29+W153*Credit_Assumptions!$G$30+W154*Credit_Assumptions!$G$31+W155*Credit_Assumptions!$G$32+W156*Credit_Assumptions!$G$33</f>
        <v/>
      </c>
      <c r="X158" s="80">
        <f>X151*Credit_Assumptions!$G$28+X152*Credit_Assumptions!$G$29+X153*Credit_Assumptions!$G$30+X154*Credit_Assumptions!$G$31+X155*Credit_Assumptions!$G$32+X156*Credit_Assumptions!$G$33</f>
        <v/>
      </c>
      <c r="Y158" s="80">
        <f>Y151*Credit_Assumptions!$G$28+Y152*Credit_Assumptions!$G$29+Y153*Credit_Assumptions!$G$30+Y154*Credit_Assumptions!$G$31+Y155*Credit_Assumptions!$G$32+Y156*Credit_Assumptions!$G$33</f>
        <v/>
      </c>
      <c r="Z158" s="80">
        <f>Z151*Credit_Assumptions!$G$28+Z152*Credit_Assumptions!$G$29+Z153*Credit_Assumptions!$G$30+Z154*Credit_Assumptions!$G$31+Z155*Credit_Assumptions!$G$32+Z156*Credit_Assumptions!$G$33</f>
        <v/>
      </c>
      <c r="AA158" s="80">
        <f>AA151*Credit_Assumptions!$G$28+AA152*Credit_Assumptions!$G$29+AA153*Credit_Assumptions!$G$30+AA154*Credit_Assumptions!$G$31+AA155*Credit_Assumptions!$G$32+AA156*Credit_Assumptions!$G$33</f>
        <v/>
      </c>
      <c r="AB158" s="80">
        <f>AB151*Credit_Assumptions!$G$28+AB152*Credit_Assumptions!$G$29+AB153*Credit_Assumptions!$G$30+AB154*Credit_Assumptions!$G$31+AB155*Credit_Assumptions!$G$32+AB156*Credit_Assumptions!$G$33</f>
        <v/>
      </c>
      <c r="AC158" s="80">
        <f>AC151*Credit_Assumptions!$G$28+AC152*Credit_Assumptions!$G$29+AC153*Credit_Assumptions!$G$30+AC154*Credit_Assumptions!$G$31+AC155*Credit_Assumptions!$G$32+AC156*Credit_Assumptions!$G$33</f>
        <v/>
      </c>
      <c r="AD158" s="80">
        <f>AD151*Credit_Assumptions!$G$28+AD152*Credit_Assumptions!$G$29+AD153*Credit_Assumptions!$G$30+AD154*Credit_Assumptions!$G$31+AD155*Credit_Assumptions!$G$32+AD156*Credit_Assumptions!$G$33</f>
        <v/>
      </c>
      <c r="AE158" s="80">
        <f>AE151*Credit_Assumptions!$G$28+AE152*Credit_Assumptions!$G$29+AE153*Credit_Assumptions!$G$30+AE154*Credit_Assumptions!$G$31+AE155*Credit_Assumptions!$G$32+AE156*Credit_Assumptions!$G$33</f>
        <v/>
      </c>
      <c r="AF158" s="80">
        <f>AF151*Credit_Assumptions!$G$28+AF152*Credit_Assumptions!$G$29+AF153*Credit_Assumptions!$G$30+AF154*Credit_Assumptions!$G$31+AF155*Credit_Assumptions!$G$32+AF156*Credit_Assumptions!$G$33</f>
        <v/>
      </c>
      <c r="AG158" s="80">
        <f>AG151*Credit_Assumptions!$G$28+AG152*Credit_Assumptions!$G$29+AG153*Credit_Assumptions!$G$30+AG154*Credit_Assumptions!$G$31+AG155*Credit_Assumptions!$G$32+AG156*Credit_Assumptions!$G$33</f>
        <v/>
      </c>
      <c r="AH158" s="80">
        <f>AH151*Credit_Assumptions!$G$28+AH152*Credit_Assumptions!$G$29+AH153*Credit_Assumptions!$G$30+AH154*Credit_Assumptions!$G$31+AH155*Credit_Assumptions!$G$32+AH156*Credit_Assumptions!$G$33</f>
        <v/>
      </c>
      <c r="AI158" s="80">
        <f>AI151*Credit_Assumptions!$G$28+AI152*Credit_Assumptions!$G$29+AI153*Credit_Assumptions!$G$30+AI154*Credit_Assumptions!$G$31+AI155*Credit_Assumptions!$G$32+AI156*Credit_Assumptions!$G$33</f>
        <v/>
      </c>
      <c r="AJ158" s="80">
        <f>AJ151*Credit_Assumptions!$G$28+AJ152*Credit_Assumptions!$G$29+AJ153*Credit_Assumptions!$G$30+AJ154*Credit_Assumptions!$G$31+AJ155*Credit_Assumptions!$G$32+AJ156*Credit_Assumptions!$G$33</f>
        <v/>
      </c>
      <c r="AK158" s="80">
        <f>AK151*Credit_Assumptions!$G$28+AK152*Credit_Assumptions!$G$29+AK153*Credit_Assumptions!$G$30+AK154*Credit_Assumptions!$G$31+AK155*Credit_Assumptions!$G$32+AK156*Credit_Assumptions!$G$33</f>
        <v/>
      </c>
      <c r="AL158" s="80">
        <f>AL151*Credit_Assumptions!$G$28+AL152*Credit_Assumptions!$G$29+AL153*Credit_Assumptions!$G$30+AL154*Credit_Assumptions!$G$31+AL155*Credit_Assumptions!$G$32+AL156*Credit_Assumptions!$G$33</f>
        <v/>
      </c>
      <c r="AM158" s="80">
        <f>AM151*Credit_Assumptions!$G$28+AM152*Credit_Assumptions!$G$29+AM153*Credit_Assumptions!$G$30+AM154*Credit_Assumptions!$G$31+AM155*Credit_Assumptions!$G$32+AM156*Credit_Assumptions!$G$33</f>
        <v/>
      </c>
      <c r="AN158" s="80">
        <f>AN151*Credit_Assumptions!$G$28+AN152*Credit_Assumptions!$G$29+AN153*Credit_Assumptions!$G$30+AN154*Credit_Assumptions!$G$31+AN155*Credit_Assumptions!$G$32+AN156*Credit_Assumptions!$G$33</f>
        <v/>
      </c>
      <c r="AO158" s="80">
        <f>AO151*Credit_Assumptions!$G$28+AO152*Credit_Assumptions!$G$29+AO153*Credit_Assumptions!$G$30+AO154*Credit_Assumptions!$G$31+AO155*Credit_Assumptions!$G$32+AO156*Credit_Assumptions!$G$33</f>
        <v/>
      </c>
      <c r="AP158" s="80">
        <f>AP151*Credit_Assumptions!$G$28+AP152*Credit_Assumptions!$G$29+AP153*Credit_Assumptions!$G$30+AP154*Credit_Assumptions!$G$31+AP155*Credit_Assumptions!$G$32+AP156*Credit_Assumptions!$G$33</f>
        <v/>
      </c>
      <c r="AQ158" s="80">
        <f>AQ151*Credit_Assumptions!$G$28+AQ152*Credit_Assumptions!$G$29+AQ153*Credit_Assumptions!$G$30+AQ154*Credit_Assumptions!$G$31+AQ155*Credit_Assumptions!$G$32+AQ156*Credit_Assumptions!$G$33</f>
        <v/>
      </c>
      <c r="AR158" s="80">
        <f>AR151*Credit_Assumptions!$G$28+AR152*Credit_Assumptions!$G$29+AR153*Credit_Assumptions!$G$30+AR154*Credit_Assumptions!$G$31+AR155*Credit_Assumptions!$G$32+AR156*Credit_Assumptions!$G$33</f>
        <v/>
      </c>
      <c r="AS158" s="80">
        <f>AS151*Credit_Assumptions!$G$28+AS152*Credit_Assumptions!$G$29+AS153*Credit_Assumptions!$G$30+AS154*Credit_Assumptions!$G$31+AS155*Credit_Assumptions!$G$32+AS156*Credit_Assumptions!$G$33</f>
        <v/>
      </c>
      <c r="AT158" s="80">
        <f>AT151*Credit_Assumptions!$G$28+AT152*Credit_Assumptions!$G$29+AT153*Credit_Assumptions!$G$30+AT154*Credit_Assumptions!$G$31+AT155*Credit_Assumptions!$G$32+AT156*Credit_Assumptions!$G$33</f>
        <v/>
      </c>
      <c r="AU158" s="80">
        <f>AU151*Credit_Assumptions!$G$28+AU152*Credit_Assumptions!$G$29+AU153*Credit_Assumptions!$G$30+AU154*Credit_Assumptions!$G$31+AU155*Credit_Assumptions!$G$32+AU156*Credit_Assumptions!$G$33</f>
        <v/>
      </c>
      <c r="AV158" s="80">
        <f>AV151*Credit_Assumptions!$G$28+AV152*Credit_Assumptions!$G$29+AV153*Credit_Assumptions!$G$30+AV154*Credit_Assumptions!$G$31+AV155*Credit_Assumptions!$G$32+AV156*Credit_Assumptions!$G$33</f>
        <v/>
      </c>
      <c r="AW158" s="80">
        <f>AW151*Credit_Assumptions!$G$28+AW152*Credit_Assumptions!$G$29+AW153*Credit_Assumptions!$G$30+AW154*Credit_Assumptions!$G$31+AW155*Credit_Assumptions!$G$32+AW156*Credit_Assumptions!$G$33</f>
        <v/>
      </c>
      <c r="AX158" s="80">
        <f>AX151*Credit_Assumptions!$G$28+AX152*Credit_Assumptions!$G$29+AX153*Credit_Assumptions!$G$30+AX154*Credit_Assumptions!$G$31+AX155*Credit_Assumptions!$G$32+AX156*Credit_Assumptions!$G$33</f>
        <v/>
      </c>
      <c r="AY158" s="80">
        <f>AY151*Credit_Assumptions!$G$28+AY152*Credit_Assumptions!$G$29+AY153*Credit_Assumptions!$G$30+AY154*Credit_Assumptions!$G$31+AY155*Credit_Assumptions!$G$32+AY156*Credit_Assumptions!$G$33</f>
        <v/>
      </c>
      <c r="AZ158" s="80">
        <f>AZ151*Credit_Assumptions!$G$28+AZ152*Credit_Assumptions!$G$29+AZ153*Credit_Assumptions!$G$30+AZ154*Credit_Assumptions!$G$31+AZ155*Credit_Assumptions!$G$32+AZ156*Credit_Assumptions!$G$33</f>
        <v/>
      </c>
      <c r="BA158" s="80">
        <f>BA151*Credit_Assumptions!$G$28+BA152*Credit_Assumptions!$G$29+BA153*Credit_Assumptions!$G$30+BA154*Credit_Assumptions!$G$31+BA155*Credit_Assumptions!$G$32+BA156*Credit_Assumptions!$G$33</f>
        <v/>
      </c>
      <c r="BB158" s="80">
        <f>BB151*Credit_Assumptions!$G$28+BB152*Credit_Assumptions!$G$29+BB153*Credit_Assumptions!$G$30+BB154*Credit_Assumptions!$G$31+BB155*Credit_Assumptions!$G$32+BB156*Credit_Assumptions!$G$33</f>
        <v/>
      </c>
      <c r="BC158" s="80">
        <f>BC151*Credit_Assumptions!$G$28+BC152*Credit_Assumptions!$G$29+BC153*Credit_Assumptions!$G$30+BC154*Credit_Assumptions!$G$31+BC155*Credit_Assumptions!$G$32+BC156*Credit_Assumptions!$G$33</f>
        <v/>
      </c>
      <c r="BD158" s="80">
        <f>BD151*Credit_Assumptions!$G$28+BD152*Credit_Assumptions!$G$29+BD153*Credit_Assumptions!$G$30+BD154*Credit_Assumptions!$G$31+BD155*Credit_Assumptions!$G$32+BD156*Credit_Assumptions!$G$33</f>
        <v/>
      </c>
      <c r="BE158" s="80">
        <f>BE151*Credit_Assumptions!$G$28+BE152*Credit_Assumptions!$G$29+BE153*Credit_Assumptions!$G$30+BE154*Credit_Assumptions!$G$31+BE155*Credit_Assumptions!$G$32+BE156*Credit_Assumptions!$G$33</f>
        <v/>
      </c>
      <c r="BF158" s="80">
        <f>BF151*Credit_Assumptions!$G$28+BF152*Credit_Assumptions!$G$29+BF153*Credit_Assumptions!$G$30+BF154*Credit_Assumptions!$G$31+BF155*Credit_Assumptions!$G$32+BF156*Credit_Assumptions!$G$33</f>
        <v/>
      </c>
      <c r="BG158" s="80">
        <f>BG151*Credit_Assumptions!$G$28+BG152*Credit_Assumptions!$G$29+BG153*Credit_Assumptions!$G$30+BG154*Credit_Assumptions!$G$31+BG155*Credit_Assumptions!$G$32+BG156*Credit_Assumptions!$G$33</f>
        <v/>
      </c>
      <c r="BH158" s="80">
        <f>BH151*Credit_Assumptions!$G$28+BH152*Credit_Assumptions!$G$29+BH153*Credit_Assumptions!$G$30+BH154*Credit_Assumptions!$G$31+BH155*Credit_Assumptions!$G$32+BH156*Credit_Assumptions!$G$33</f>
        <v/>
      </c>
      <c r="BI158" s="80">
        <f>BI151*Credit_Assumptions!$G$28+BI152*Credit_Assumptions!$G$29+BI153*Credit_Assumptions!$G$30+BI154*Credit_Assumptions!$G$31+BI155*Credit_Assumptions!$G$32+BI156*Credit_Assumptions!$G$33</f>
        <v/>
      </c>
      <c r="BJ158" s="80">
        <f>BJ151*Credit_Assumptions!$G$28+BJ152*Credit_Assumptions!$G$29+BJ153*Credit_Assumptions!$G$30+BJ154*Credit_Assumptions!$G$31+BJ155*Credit_Assumptions!$G$32+BJ156*Credit_Assumptions!$G$33</f>
        <v/>
      </c>
      <c r="BK158" s="80">
        <f>BK151*Credit_Assumptions!$G$28+BK152*Credit_Assumptions!$G$29+BK153*Credit_Assumptions!$G$30+BK154*Credit_Assumptions!$G$31+BK155*Credit_Assumptions!$G$32+BK156*Credit_Assumptions!$G$33</f>
        <v/>
      </c>
      <c r="BL158" s="80">
        <f>BL151*Credit_Assumptions!$G$28+BL152*Credit_Assumptions!$G$29+BL153*Credit_Assumptions!$G$30+BL154*Credit_Assumptions!$G$31+BL155*Credit_Assumptions!$G$32+BL156*Credit_Assumptions!$G$33</f>
        <v/>
      </c>
    </row>
    <row r="159">
      <c r="A159" s="98" t="inlineStr">
        <is>
          <t>90+ DPD receivables</t>
        </is>
      </c>
      <c r="B159" s="65" t="inlineStr">
        <is>
          <t>LCY</t>
        </is>
      </c>
      <c r="C159" s="105">
        <f>BL159</f>
        <v/>
      </c>
      <c r="E159" s="80">
        <f>E151*Credit_Assumptions!$H$28+E152*Credit_Assumptions!$H$29+E153*Credit_Assumptions!$H$30+E154*Credit_Assumptions!$H$31+E155*Credit_Assumptions!$H$32+E156*Credit_Assumptions!$H$33</f>
        <v/>
      </c>
      <c r="F159" s="80">
        <f>F151*Credit_Assumptions!$H$28+F152*Credit_Assumptions!$H$29+F153*Credit_Assumptions!$H$30+F154*Credit_Assumptions!$H$31+F155*Credit_Assumptions!$H$32+F156*Credit_Assumptions!$H$33</f>
        <v/>
      </c>
      <c r="G159" s="80">
        <f>G151*Credit_Assumptions!$H$28+G152*Credit_Assumptions!$H$29+G153*Credit_Assumptions!$H$30+G154*Credit_Assumptions!$H$31+G155*Credit_Assumptions!$H$32+G156*Credit_Assumptions!$H$33</f>
        <v/>
      </c>
      <c r="H159" s="80">
        <f>H151*Credit_Assumptions!$H$28+H152*Credit_Assumptions!$H$29+H153*Credit_Assumptions!$H$30+H154*Credit_Assumptions!$H$31+H155*Credit_Assumptions!$H$32+H156*Credit_Assumptions!$H$33</f>
        <v/>
      </c>
      <c r="I159" s="80">
        <f>I151*Credit_Assumptions!$H$28+I152*Credit_Assumptions!$H$29+I153*Credit_Assumptions!$H$30+I154*Credit_Assumptions!$H$31+I155*Credit_Assumptions!$H$32+I156*Credit_Assumptions!$H$33</f>
        <v/>
      </c>
      <c r="J159" s="80">
        <f>J151*Credit_Assumptions!$H$28+J152*Credit_Assumptions!$H$29+J153*Credit_Assumptions!$H$30+J154*Credit_Assumptions!$H$31+J155*Credit_Assumptions!$H$32+J156*Credit_Assumptions!$H$33</f>
        <v/>
      </c>
      <c r="K159" s="80">
        <f>K151*Credit_Assumptions!$H$28+K152*Credit_Assumptions!$H$29+K153*Credit_Assumptions!$H$30+K154*Credit_Assumptions!$H$31+K155*Credit_Assumptions!$H$32+K156*Credit_Assumptions!$H$33</f>
        <v/>
      </c>
      <c r="L159" s="80">
        <f>L151*Credit_Assumptions!$H$28+L152*Credit_Assumptions!$H$29+L153*Credit_Assumptions!$H$30+L154*Credit_Assumptions!$H$31+L155*Credit_Assumptions!$H$32+L156*Credit_Assumptions!$H$33</f>
        <v/>
      </c>
      <c r="M159" s="80">
        <f>M151*Credit_Assumptions!$H$28+M152*Credit_Assumptions!$H$29+M153*Credit_Assumptions!$H$30+M154*Credit_Assumptions!$H$31+M155*Credit_Assumptions!$H$32+M156*Credit_Assumptions!$H$33</f>
        <v/>
      </c>
      <c r="N159" s="80">
        <f>N151*Credit_Assumptions!$H$28+N152*Credit_Assumptions!$H$29+N153*Credit_Assumptions!$H$30+N154*Credit_Assumptions!$H$31+N155*Credit_Assumptions!$H$32+N156*Credit_Assumptions!$H$33</f>
        <v/>
      </c>
      <c r="O159" s="80">
        <f>O151*Credit_Assumptions!$H$28+O152*Credit_Assumptions!$H$29+O153*Credit_Assumptions!$H$30+O154*Credit_Assumptions!$H$31+O155*Credit_Assumptions!$H$32+O156*Credit_Assumptions!$H$33</f>
        <v/>
      </c>
      <c r="P159" s="80">
        <f>P151*Credit_Assumptions!$H$28+P152*Credit_Assumptions!$H$29+P153*Credit_Assumptions!$H$30+P154*Credit_Assumptions!$H$31+P155*Credit_Assumptions!$H$32+P156*Credit_Assumptions!$H$33</f>
        <v/>
      </c>
      <c r="Q159" s="80">
        <f>Q151*Credit_Assumptions!$H$28+Q152*Credit_Assumptions!$H$29+Q153*Credit_Assumptions!$H$30+Q154*Credit_Assumptions!$H$31+Q155*Credit_Assumptions!$H$32+Q156*Credit_Assumptions!$H$33</f>
        <v/>
      </c>
      <c r="R159" s="80">
        <f>R151*Credit_Assumptions!$H$28+R152*Credit_Assumptions!$H$29+R153*Credit_Assumptions!$H$30+R154*Credit_Assumptions!$H$31+R155*Credit_Assumptions!$H$32+R156*Credit_Assumptions!$H$33</f>
        <v/>
      </c>
      <c r="S159" s="80">
        <f>S151*Credit_Assumptions!$H$28+S152*Credit_Assumptions!$H$29+S153*Credit_Assumptions!$H$30+S154*Credit_Assumptions!$H$31+S155*Credit_Assumptions!$H$32+S156*Credit_Assumptions!$H$33</f>
        <v/>
      </c>
      <c r="T159" s="80">
        <f>T151*Credit_Assumptions!$H$28+T152*Credit_Assumptions!$H$29+T153*Credit_Assumptions!$H$30+T154*Credit_Assumptions!$H$31+T155*Credit_Assumptions!$H$32+T156*Credit_Assumptions!$H$33</f>
        <v/>
      </c>
      <c r="U159" s="80">
        <f>U151*Credit_Assumptions!$H$28+U152*Credit_Assumptions!$H$29+U153*Credit_Assumptions!$H$30+U154*Credit_Assumptions!$H$31+U155*Credit_Assumptions!$H$32+U156*Credit_Assumptions!$H$33</f>
        <v/>
      </c>
      <c r="V159" s="80">
        <f>V151*Credit_Assumptions!$H$28+V152*Credit_Assumptions!$H$29+V153*Credit_Assumptions!$H$30+V154*Credit_Assumptions!$H$31+V155*Credit_Assumptions!$H$32+V156*Credit_Assumptions!$H$33</f>
        <v/>
      </c>
      <c r="W159" s="80">
        <f>W151*Credit_Assumptions!$H$28+W152*Credit_Assumptions!$H$29+W153*Credit_Assumptions!$H$30+W154*Credit_Assumptions!$H$31+W155*Credit_Assumptions!$H$32+W156*Credit_Assumptions!$H$33</f>
        <v/>
      </c>
      <c r="X159" s="80">
        <f>X151*Credit_Assumptions!$H$28+X152*Credit_Assumptions!$H$29+X153*Credit_Assumptions!$H$30+X154*Credit_Assumptions!$H$31+X155*Credit_Assumptions!$H$32+X156*Credit_Assumptions!$H$33</f>
        <v/>
      </c>
      <c r="Y159" s="80">
        <f>Y151*Credit_Assumptions!$H$28+Y152*Credit_Assumptions!$H$29+Y153*Credit_Assumptions!$H$30+Y154*Credit_Assumptions!$H$31+Y155*Credit_Assumptions!$H$32+Y156*Credit_Assumptions!$H$33</f>
        <v/>
      </c>
      <c r="Z159" s="80">
        <f>Z151*Credit_Assumptions!$H$28+Z152*Credit_Assumptions!$H$29+Z153*Credit_Assumptions!$H$30+Z154*Credit_Assumptions!$H$31+Z155*Credit_Assumptions!$H$32+Z156*Credit_Assumptions!$H$33</f>
        <v/>
      </c>
      <c r="AA159" s="80">
        <f>AA151*Credit_Assumptions!$H$28+AA152*Credit_Assumptions!$H$29+AA153*Credit_Assumptions!$H$30+AA154*Credit_Assumptions!$H$31+AA155*Credit_Assumptions!$H$32+AA156*Credit_Assumptions!$H$33</f>
        <v/>
      </c>
      <c r="AB159" s="80">
        <f>AB151*Credit_Assumptions!$H$28+AB152*Credit_Assumptions!$H$29+AB153*Credit_Assumptions!$H$30+AB154*Credit_Assumptions!$H$31+AB155*Credit_Assumptions!$H$32+AB156*Credit_Assumptions!$H$33</f>
        <v/>
      </c>
      <c r="AC159" s="80">
        <f>AC151*Credit_Assumptions!$H$28+AC152*Credit_Assumptions!$H$29+AC153*Credit_Assumptions!$H$30+AC154*Credit_Assumptions!$H$31+AC155*Credit_Assumptions!$H$32+AC156*Credit_Assumptions!$H$33</f>
        <v/>
      </c>
      <c r="AD159" s="80">
        <f>AD151*Credit_Assumptions!$H$28+AD152*Credit_Assumptions!$H$29+AD153*Credit_Assumptions!$H$30+AD154*Credit_Assumptions!$H$31+AD155*Credit_Assumptions!$H$32+AD156*Credit_Assumptions!$H$33</f>
        <v/>
      </c>
      <c r="AE159" s="80">
        <f>AE151*Credit_Assumptions!$H$28+AE152*Credit_Assumptions!$H$29+AE153*Credit_Assumptions!$H$30+AE154*Credit_Assumptions!$H$31+AE155*Credit_Assumptions!$H$32+AE156*Credit_Assumptions!$H$33</f>
        <v/>
      </c>
      <c r="AF159" s="80">
        <f>AF151*Credit_Assumptions!$H$28+AF152*Credit_Assumptions!$H$29+AF153*Credit_Assumptions!$H$30+AF154*Credit_Assumptions!$H$31+AF155*Credit_Assumptions!$H$32+AF156*Credit_Assumptions!$H$33</f>
        <v/>
      </c>
      <c r="AG159" s="80">
        <f>AG151*Credit_Assumptions!$H$28+AG152*Credit_Assumptions!$H$29+AG153*Credit_Assumptions!$H$30+AG154*Credit_Assumptions!$H$31+AG155*Credit_Assumptions!$H$32+AG156*Credit_Assumptions!$H$33</f>
        <v/>
      </c>
      <c r="AH159" s="80">
        <f>AH151*Credit_Assumptions!$H$28+AH152*Credit_Assumptions!$H$29+AH153*Credit_Assumptions!$H$30+AH154*Credit_Assumptions!$H$31+AH155*Credit_Assumptions!$H$32+AH156*Credit_Assumptions!$H$33</f>
        <v/>
      </c>
      <c r="AI159" s="80">
        <f>AI151*Credit_Assumptions!$H$28+AI152*Credit_Assumptions!$H$29+AI153*Credit_Assumptions!$H$30+AI154*Credit_Assumptions!$H$31+AI155*Credit_Assumptions!$H$32+AI156*Credit_Assumptions!$H$33</f>
        <v/>
      </c>
      <c r="AJ159" s="80">
        <f>AJ151*Credit_Assumptions!$H$28+AJ152*Credit_Assumptions!$H$29+AJ153*Credit_Assumptions!$H$30+AJ154*Credit_Assumptions!$H$31+AJ155*Credit_Assumptions!$H$32+AJ156*Credit_Assumptions!$H$33</f>
        <v/>
      </c>
      <c r="AK159" s="80">
        <f>AK151*Credit_Assumptions!$H$28+AK152*Credit_Assumptions!$H$29+AK153*Credit_Assumptions!$H$30+AK154*Credit_Assumptions!$H$31+AK155*Credit_Assumptions!$H$32+AK156*Credit_Assumptions!$H$33</f>
        <v/>
      </c>
      <c r="AL159" s="80">
        <f>AL151*Credit_Assumptions!$H$28+AL152*Credit_Assumptions!$H$29+AL153*Credit_Assumptions!$H$30+AL154*Credit_Assumptions!$H$31+AL155*Credit_Assumptions!$H$32+AL156*Credit_Assumptions!$H$33</f>
        <v/>
      </c>
      <c r="AM159" s="80">
        <f>AM151*Credit_Assumptions!$H$28+AM152*Credit_Assumptions!$H$29+AM153*Credit_Assumptions!$H$30+AM154*Credit_Assumptions!$H$31+AM155*Credit_Assumptions!$H$32+AM156*Credit_Assumptions!$H$33</f>
        <v/>
      </c>
      <c r="AN159" s="80">
        <f>AN151*Credit_Assumptions!$H$28+AN152*Credit_Assumptions!$H$29+AN153*Credit_Assumptions!$H$30+AN154*Credit_Assumptions!$H$31+AN155*Credit_Assumptions!$H$32+AN156*Credit_Assumptions!$H$33</f>
        <v/>
      </c>
      <c r="AO159" s="80">
        <f>AO151*Credit_Assumptions!$H$28+AO152*Credit_Assumptions!$H$29+AO153*Credit_Assumptions!$H$30+AO154*Credit_Assumptions!$H$31+AO155*Credit_Assumptions!$H$32+AO156*Credit_Assumptions!$H$33</f>
        <v/>
      </c>
      <c r="AP159" s="80">
        <f>AP151*Credit_Assumptions!$H$28+AP152*Credit_Assumptions!$H$29+AP153*Credit_Assumptions!$H$30+AP154*Credit_Assumptions!$H$31+AP155*Credit_Assumptions!$H$32+AP156*Credit_Assumptions!$H$33</f>
        <v/>
      </c>
      <c r="AQ159" s="80">
        <f>AQ151*Credit_Assumptions!$H$28+AQ152*Credit_Assumptions!$H$29+AQ153*Credit_Assumptions!$H$30+AQ154*Credit_Assumptions!$H$31+AQ155*Credit_Assumptions!$H$32+AQ156*Credit_Assumptions!$H$33</f>
        <v/>
      </c>
      <c r="AR159" s="80">
        <f>AR151*Credit_Assumptions!$H$28+AR152*Credit_Assumptions!$H$29+AR153*Credit_Assumptions!$H$30+AR154*Credit_Assumptions!$H$31+AR155*Credit_Assumptions!$H$32+AR156*Credit_Assumptions!$H$33</f>
        <v/>
      </c>
      <c r="AS159" s="80">
        <f>AS151*Credit_Assumptions!$H$28+AS152*Credit_Assumptions!$H$29+AS153*Credit_Assumptions!$H$30+AS154*Credit_Assumptions!$H$31+AS155*Credit_Assumptions!$H$32+AS156*Credit_Assumptions!$H$33</f>
        <v/>
      </c>
      <c r="AT159" s="80">
        <f>AT151*Credit_Assumptions!$H$28+AT152*Credit_Assumptions!$H$29+AT153*Credit_Assumptions!$H$30+AT154*Credit_Assumptions!$H$31+AT155*Credit_Assumptions!$H$32+AT156*Credit_Assumptions!$H$33</f>
        <v/>
      </c>
      <c r="AU159" s="80">
        <f>AU151*Credit_Assumptions!$H$28+AU152*Credit_Assumptions!$H$29+AU153*Credit_Assumptions!$H$30+AU154*Credit_Assumptions!$H$31+AU155*Credit_Assumptions!$H$32+AU156*Credit_Assumptions!$H$33</f>
        <v/>
      </c>
      <c r="AV159" s="80">
        <f>AV151*Credit_Assumptions!$H$28+AV152*Credit_Assumptions!$H$29+AV153*Credit_Assumptions!$H$30+AV154*Credit_Assumptions!$H$31+AV155*Credit_Assumptions!$H$32+AV156*Credit_Assumptions!$H$33</f>
        <v/>
      </c>
      <c r="AW159" s="80">
        <f>AW151*Credit_Assumptions!$H$28+AW152*Credit_Assumptions!$H$29+AW153*Credit_Assumptions!$H$30+AW154*Credit_Assumptions!$H$31+AW155*Credit_Assumptions!$H$32+AW156*Credit_Assumptions!$H$33</f>
        <v/>
      </c>
      <c r="AX159" s="80">
        <f>AX151*Credit_Assumptions!$H$28+AX152*Credit_Assumptions!$H$29+AX153*Credit_Assumptions!$H$30+AX154*Credit_Assumptions!$H$31+AX155*Credit_Assumptions!$H$32+AX156*Credit_Assumptions!$H$33</f>
        <v/>
      </c>
      <c r="AY159" s="80">
        <f>AY151*Credit_Assumptions!$H$28+AY152*Credit_Assumptions!$H$29+AY153*Credit_Assumptions!$H$30+AY154*Credit_Assumptions!$H$31+AY155*Credit_Assumptions!$H$32+AY156*Credit_Assumptions!$H$33</f>
        <v/>
      </c>
      <c r="AZ159" s="80">
        <f>AZ151*Credit_Assumptions!$H$28+AZ152*Credit_Assumptions!$H$29+AZ153*Credit_Assumptions!$H$30+AZ154*Credit_Assumptions!$H$31+AZ155*Credit_Assumptions!$H$32+AZ156*Credit_Assumptions!$H$33</f>
        <v/>
      </c>
      <c r="BA159" s="80">
        <f>BA151*Credit_Assumptions!$H$28+BA152*Credit_Assumptions!$H$29+BA153*Credit_Assumptions!$H$30+BA154*Credit_Assumptions!$H$31+BA155*Credit_Assumptions!$H$32+BA156*Credit_Assumptions!$H$33</f>
        <v/>
      </c>
      <c r="BB159" s="80">
        <f>BB151*Credit_Assumptions!$H$28+BB152*Credit_Assumptions!$H$29+BB153*Credit_Assumptions!$H$30+BB154*Credit_Assumptions!$H$31+BB155*Credit_Assumptions!$H$32+BB156*Credit_Assumptions!$H$33</f>
        <v/>
      </c>
      <c r="BC159" s="80">
        <f>BC151*Credit_Assumptions!$H$28+BC152*Credit_Assumptions!$H$29+BC153*Credit_Assumptions!$H$30+BC154*Credit_Assumptions!$H$31+BC155*Credit_Assumptions!$H$32+BC156*Credit_Assumptions!$H$33</f>
        <v/>
      </c>
      <c r="BD159" s="80">
        <f>BD151*Credit_Assumptions!$H$28+BD152*Credit_Assumptions!$H$29+BD153*Credit_Assumptions!$H$30+BD154*Credit_Assumptions!$H$31+BD155*Credit_Assumptions!$H$32+BD156*Credit_Assumptions!$H$33</f>
        <v/>
      </c>
      <c r="BE159" s="80">
        <f>BE151*Credit_Assumptions!$H$28+BE152*Credit_Assumptions!$H$29+BE153*Credit_Assumptions!$H$30+BE154*Credit_Assumptions!$H$31+BE155*Credit_Assumptions!$H$32+BE156*Credit_Assumptions!$H$33</f>
        <v/>
      </c>
      <c r="BF159" s="80">
        <f>BF151*Credit_Assumptions!$H$28+BF152*Credit_Assumptions!$H$29+BF153*Credit_Assumptions!$H$30+BF154*Credit_Assumptions!$H$31+BF155*Credit_Assumptions!$H$32+BF156*Credit_Assumptions!$H$33</f>
        <v/>
      </c>
      <c r="BG159" s="80">
        <f>BG151*Credit_Assumptions!$H$28+BG152*Credit_Assumptions!$H$29+BG153*Credit_Assumptions!$H$30+BG154*Credit_Assumptions!$H$31+BG155*Credit_Assumptions!$H$32+BG156*Credit_Assumptions!$H$33</f>
        <v/>
      </c>
      <c r="BH159" s="80">
        <f>BH151*Credit_Assumptions!$H$28+BH152*Credit_Assumptions!$H$29+BH153*Credit_Assumptions!$H$30+BH154*Credit_Assumptions!$H$31+BH155*Credit_Assumptions!$H$32+BH156*Credit_Assumptions!$H$33</f>
        <v/>
      </c>
      <c r="BI159" s="80">
        <f>BI151*Credit_Assumptions!$H$28+BI152*Credit_Assumptions!$H$29+BI153*Credit_Assumptions!$H$30+BI154*Credit_Assumptions!$H$31+BI155*Credit_Assumptions!$H$32+BI156*Credit_Assumptions!$H$33</f>
        <v/>
      </c>
      <c r="BJ159" s="80">
        <f>BJ151*Credit_Assumptions!$H$28+BJ152*Credit_Assumptions!$H$29+BJ153*Credit_Assumptions!$H$30+BJ154*Credit_Assumptions!$H$31+BJ155*Credit_Assumptions!$H$32+BJ156*Credit_Assumptions!$H$33</f>
        <v/>
      </c>
      <c r="BK159" s="80">
        <f>BK151*Credit_Assumptions!$H$28+BK152*Credit_Assumptions!$H$29+BK153*Credit_Assumptions!$H$30+BK154*Credit_Assumptions!$H$31+BK155*Credit_Assumptions!$H$32+BK156*Credit_Assumptions!$H$33</f>
        <v/>
      </c>
      <c r="BL159" s="80">
        <f>BL151*Credit_Assumptions!$H$28+BL152*Credit_Assumptions!$H$29+BL153*Credit_Assumptions!$H$30+BL154*Credit_Assumptions!$H$31+BL155*Credit_Assumptions!$H$32+BL156*Credit_Assumptions!$H$33</f>
        <v/>
      </c>
    </row>
    <row r="160">
      <c r="A160" s="98" t="inlineStr">
        <is>
          <t>Gross resale proceeds</t>
        </is>
      </c>
      <c r="B160" s="65" t="inlineStr">
        <is>
          <t>LCY</t>
        </is>
      </c>
      <c r="C160" s="105">
        <f>SUM(E160:BL160)</f>
        <v/>
      </c>
      <c r="E160" s="80">
        <f>IF(Credit_Assumptions!$C$5=1,E133,INDEX(Credit_Input!$M$136:$M$195,E$4))</f>
        <v/>
      </c>
      <c r="F160" s="80">
        <f>IF(Credit_Assumptions!$C$5=1,F133,INDEX(Credit_Input!$M$136:$M$195,F$4))</f>
        <v/>
      </c>
      <c r="G160" s="80">
        <f>IF(Credit_Assumptions!$C$5=1,G133,INDEX(Credit_Input!$M$136:$M$195,G$4))</f>
        <v/>
      </c>
      <c r="H160" s="80">
        <f>IF(Credit_Assumptions!$C$5=1,H133,INDEX(Credit_Input!$M$136:$M$195,H$4))</f>
        <v/>
      </c>
      <c r="I160" s="80">
        <f>IF(Credit_Assumptions!$C$5=1,I133,INDEX(Credit_Input!$M$136:$M$195,I$4))</f>
        <v/>
      </c>
      <c r="J160" s="80">
        <f>IF(Credit_Assumptions!$C$5=1,J133,INDEX(Credit_Input!$M$136:$M$195,J$4))</f>
        <v/>
      </c>
      <c r="K160" s="80">
        <f>IF(Credit_Assumptions!$C$5=1,K133,INDEX(Credit_Input!$M$136:$M$195,K$4))</f>
        <v/>
      </c>
      <c r="L160" s="80">
        <f>IF(Credit_Assumptions!$C$5=1,L133,INDEX(Credit_Input!$M$136:$M$195,L$4))</f>
        <v/>
      </c>
      <c r="M160" s="80">
        <f>IF(Credit_Assumptions!$C$5=1,M133,INDEX(Credit_Input!$M$136:$M$195,M$4))</f>
        <v/>
      </c>
      <c r="N160" s="80">
        <f>IF(Credit_Assumptions!$C$5=1,N133,INDEX(Credit_Input!$M$136:$M$195,N$4))</f>
        <v/>
      </c>
      <c r="O160" s="80">
        <f>IF(Credit_Assumptions!$C$5=1,O133,INDEX(Credit_Input!$M$136:$M$195,O$4))</f>
        <v/>
      </c>
      <c r="P160" s="80">
        <f>IF(Credit_Assumptions!$C$5=1,P133,INDEX(Credit_Input!$M$136:$M$195,P$4))</f>
        <v/>
      </c>
      <c r="Q160" s="80">
        <f>IF(Credit_Assumptions!$C$5=1,Q133,INDEX(Credit_Input!$M$136:$M$195,Q$4))</f>
        <v/>
      </c>
      <c r="R160" s="80">
        <f>IF(Credit_Assumptions!$C$5=1,R133,INDEX(Credit_Input!$M$136:$M$195,R$4))</f>
        <v/>
      </c>
      <c r="S160" s="80">
        <f>IF(Credit_Assumptions!$C$5=1,S133,INDEX(Credit_Input!$M$136:$M$195,S$4))</f>
        <v/>
      </c>
      <c r="T160" s="80">
        <f>IF(Credit_Assumptions!$C$5=1,T133,INDEX(Credit_Input!$M$136:$M$195,T$4))</f>
        <v/>
      </c>
      <c r="U160" s="80">
        <f>IF(Credit_Assumptions!$C$5=1,U133,INDEX(Credit_Input!$M$136:$M$195,U$4))</f>
        <v/>
      </c>
      <c r="V160" s="80">
        <f>IF(Credit_Assumptions!$C$5=1,V133,INDEX(Credit_Input!$M$136:$M$195,V$4))</f>
        <v/>
      </c>
      <c r="W160" s="80">
        <f>IF(Credit_Assumptions!$C$5=1,W133,INDEX(Credit_Input!$M$136:$M$195,W$4))</f>
        <v/>
      </c>
      <c r="X160" s="80">
        <f>IF(Credit_Assumptions!$C$5=1,X133,INDEX(Credit_Input!$M$136:$M$195,X$4))</f>
        <v/>
      </c>
      <c r="Y160" s="80">
        <f>IF(Credit_Assumptions!$C$5=1,Y133,INDEX(Credit_Input!$M$136:$M$195,Y$4))</f>
        <v/>
      </c>
      <c r="Z160" s="80">
        <f>IF(Credit_Assumptions!$C$5=1,Z133,INDEX(Credit_Input!$M$136:$M$195,Z$4))</f>
        <v/>
      </c>
      <c r="AA160" s="80">
        <f>IF(Credit_Assumptions!$C$5=1,AA133,INDEX(Credit_Input!$M$136:$M$195,AA$4))</f>
        <v/>
      </c>
      <c r="AB160" s="80">
        <f>IF(Credit_Assumptions!$C$5=1,AB133,INDEX(Credit_Input!$M$136:$M$195,AB$4))</f>
        <v/>
      </c>
      <c r="AC160" s="80">
        <f>IF(Credit_Assumptions!$C$5=1,AC133,INDEX(Credit_Input!$M$136:$M$195,AC$4))</f>
        <v/>
      </c>
      <c r="AD160" s="80">
        <f>IF(Credit_Assumptions!$C$5=1,AD133,INDEX(Credit_Input!$M$136:$M$195,AD$4))</f>
        <v/>
      </c>
      <c r="AE160" s="80">
        <f>IF(Credit_Assumptions!$C$5=1,AE133,INDEX(Credit_Input!$M$136:$M$195,AE$4))</f>
        <v/>
      </c>
      <c r="AF160" s="80">
        <f>IF(Credit_Assumptions!$C$5=1,AF133,INDEX(Credit_Input!$M$136:$M$195,AF$4))</f>
        <v/>
      </c>
      <c r="AG160" s="80">
        <f>IF(Credit_Assumptions!$C$5=1,AG133,INDEX(Credit_Input!$M$136:$M$195,AG$4))</f>
        <v/>
      </c>
      <c r="AH160" s="80">
        <f>IF(Credit_Assumptions!$C$5=1,AH133,INDEX(Credit_Input!$M$136:$M$195,AH$4))</f>
        <v/>
      </c>
      <c r="AI160" s="80">
        <f>IF(Credit_Assumptions!$C$5=1,AI133,INDEX(Credit_Input!$M$136:$M$195,AI$4))</f>
        <v/>
      </c>
      <c r="AJ160" s="80">
        <f>IF(Credit_Assumptions!$C$5=1,AJ133,INDEX(Credit_Input!$M$136:$M$195,AJ$4))</f>
        <v/>
      </c>
      <c r="AK160" s="80">
        <f>IF(Credit_Assumptions!$C$5=1,AK133,INDEX(Credit_Input!$M$136:$M$195,AK$4))</f>
        <v/>
      </c>
      <c r="AL160" s="80">
        <f>IF(Credit_Assumptions!$C$5=1,AL133,INDEX(Credit_Input!$M$136:$M$195,AL$4))</f>
        <v/>
      </c>
      <c r="AM160" s="80">
        <f>IF(Credit_Assumptions!$C$5=1,AM133,INDEX(Credit_Input!$M$136:$M$195,AM$4))</f>
        <v/>
      </c>
      <c r="AN160" s="80">
        <f>IF(Credit_Assumptions!$C$5=1,AN133,INDEX(Credit_Input!$M$136:$M$195,AN$4))</f>
        <v/>
      </c>
      <c r="AO160" s="80">
        <f>IF(Credit_Assumptions!$C$5=1,AO133,INDEX(Credit_Input!$M$136:$M$195,AO$4))</f>
        <v/>
      </c>
      <c r="AP160" s="80">
        <f>IF(Credit_Assumptions!$C$5=1,AP133,INDEX(Credit_Input!$M$136:$M$195,AP$4))</f>
        <v/>
      </c>
      <c r="AQ160" s="80">
        <f>IF(Credit_Assumptions!$C$5=1,AQ133,INDEX(Credit_Input!$M$136:$M$195,AQ$4))</f>
        <v/>
      </c>
      <c r="AR160" s="80">
        <f>IF(Credit_Assumptions!$C$5=1,AR133,INDEX(Credit_Input!$M$136:$M$195,AR$4))</f>
        <v/>
      </c>
      <c r="AS160" s="80">
        <f>IF(Credit_Assumptions!$C$5=1,AS133,INDEX(Credit_Input!$M$136:$M$195,AS$4))</f>
        <v/>
      </c>
      <c r="AT160" s="80">
        <f>IF(Credit_Assumptions!$C$5=1,AT133,INDEX(Credit_Input!$M$136:$M$195,AT$4))</f>
        <v/>
      </c>
      <c r="AU160" s="80">
        <f>IF(Credit_Assumptions!$C$5=1,AU133,INDEX(Credit_Input!$M$136:$M$195,AU$4))</f>
        <v/>
      </c>
      <c r="AV160" s="80">
        <f>IF(Credit_Assumptions!$C$5=1,AV133,INDEX(Credit_Input!$M$136:$M$195,AV$4))</f>
        <v/>
      </c>
      <c r="AW160" s="80">
        <f>IF(Credit_Assumptions!$C$5=1,AW133,INDEX(Credit_Input!$M$136:$M$195,AW$4))</f>
        <v/>
      </c>
      <c r="AX160" s="80">
        <f>IF(Credit_Assumptions!$C$5=1,AX133,INDEX(Credit_Input!$M$136:$M$195,AX$4))</f>
        <v/>
      </c>
      <c r="AY160" s="80">
        <f>IF(Credit_Assumptions!$C$5=1,AY133,INDEX(Credit_Input!$M$136:$M$195,AY$4))</f>
        <v/>
      </c>
      <c r="AZ160" s="80">
        <f>IF(Credit_Assumptions!$C$5=1,AZ133,INDEX(Credit_Input!$M$136:$M$195,AZ$4))</f>
        <v/>
      </c>
      <c r="BA160" s="80">
        <f>IF(Credit_Assumptions!$C$5=1,BA133,INDEX(Credit_Input!$M$136:$M$195,BA$4))</f>
        <v/>
      </c>
      <c r="BB160" s="80">
        <f>IF(Credit_Assumptions!$C$5=1,BB133,INDEX(Credit_Input!$M$136:$M$195,BB$4))</f>
        <v/>
      </c>
      <c r="BC160" s="80">
        <f>IF(Credit_Assumptions!$C$5=1,BC133,INDEX(Credit_Input!$M$136:$M$195,BC$4))</f>
        <v/>
      </c>
      <c r="BD160" s="80">
        <f>IF(Credit_Assumptions!$C$5=1,BD133,INDEX(Credit_Input!$M$136:$M$195,BD$4))</f>
        <v/>
      </c>
      <c r="BE160" s="80">
        <f>IF(Credit_Assumptions!$C$5=1,BE133,INDEX(Credit_Input!$M$136:$M$195,BE$4))</f>
        <v/>
      </c>
      <c r="BF160" s="80">
        <f>IF(Credit_Assumptions!$C$5=1,BF133,INDEX(Credit_Input!$M$136:$M$195,BF$4))</f>
        <v/>
      </c>
      <c r="BG160" s="80">
        <f>IF(Credit_Assumptions!$C$5=1,BG133,INDEX(Credit_Input!$M$136:$M$195,BG$4))</f>
        <v/>
      </c>
      <c r="BH160" s="80">
        <f>IF(Credit_Assumptions!$C$5=1,BH133,INDEX(Credit_Input!$M$136:$M$195,BH$4))</f>
        <v/>
      </c>
      <c r="BI160" s="80">
        <f>IF(Credit_Assumptions!$C$5=1,BI133,INDEX(Credit_Input!$M$136:$M$195,BI$4))</f>
        <v/>
      </c>
      <c r="BJ160" s="80">
        <f>IF(Credit_Assumptions!$C$5=1,BJ133,INDEX(Credit_Input!$M$136:$M$195,BJ$4))</f>
        <v/>
      </c>
      <c r="BK160" s="80">
        <f>IF(Credit_Assumptions!$C$5=1,BK133,INDEX(Credit_Input!$M$136:$M$195,BK$4))</f>
        <v/>
      </c>
      <c r="BL160" s="80">
        <f>IF(Credit_Assumptions!$C$5=1,BL133,INDEX(Credit_Input!$M$136:$M$195,BL$4))</f>
        <v/>
      </c>
    </row>
    <row r="161">
      <c r="A161" s="98" t="inlineStr">
        <is>
          <t>Recovery costs</t>
        </is>
      </c>
      <c r="B161" s="65" t="inlineStr">
        <is>
          <t>LCY</t>
        </is>
      </c>
      <c r="C161" s="105">
        <f>SUM(E161:BL161)</f>
        <v/>
      </c>
      <c r="E161" s="80">
        <f>IF(Credit_Assumptions!$C$5=1,E134,INDEX(Credit_Input!$N$136:$N$195,E$4))</f>
        <v/>
      </c>
      <c r="F161" s="80">
        <f>IF(Credit_Assumptions!$C$5=1,F134,INDEX(Credit_Input!$N$136:$N$195,F$4))</f>
        <v/>
      </c>
      <c r="G161" s="80">
        <f>IF(Credit_Assumptions!$C$5=1,G134,INDEX(Credit_Input!$N$136:$N$195,G$4))</f>
        <v/>
      </c>
      <c r="H161" s="80">
        <f>IF(Credit_Assumptions!$C$5=1,H134,INDEX(Credit_Input!$N$136:$N$195,H$4))</f>
        <v/>
      </c>
      <c r="I161" s="80">
        <f>IF(Credit_Assumptions!$C$5=1,I134,INDEX(Credit_Input!$N$136:$N$195,I$4))</f>
        <v/>
      </c>
      <c r="J161" s="80">
        <f>IF(Credit_Assumptions!$C$5=1,J134,INDEX(Credit_Input!$N$136:$N$195,J$4))</f>
        <v/>
      </c>
      <c r="K161" s="80">
        <f>IF(Credit_Assumptions!$C$5=1,K134,INDEX(Credit_Input!$N$136:$N$195,K$4))</f>
        <v/>
      </c>
      <c r="L161" s="80">
        <f>IF(Credit_Assumptions!$C$5=1,L134,INDEX(Credit_Input!$N$136:$N$195,L$4))</f>
        <v/>
      </c>
      <c r="M161" s="80">
        <f>IF(Credit_Assumptions!$C$5=1,M134,INDEX(Credit_Input!$N$136:$N$195,M$4))</f>
        <v/>
      </c>
      <c r="N161" s="80">
        <f>IF(Credit_Assumptions!$C$5=1,N134,INDEX(Credit_Input!$N$136:$N$195,N$4))</f>
        <v/>
      </c>
      <c r="O161" s="80">
        <f>IF(Credit_Assumptions!$C$5=1,O134,INDEX(Credit_Input!$N$136:$N$195,O$4))</f>
        <v/>
      </c>
      <c r="P161" s="80">
        <f>IF(Credit_Assumptions!$C$5=1,P134,INDEX(Credit_Input!$N$136:$N$195,P$4))</f>
        <v/>
      </c>
      <c r="Q161" s="80">
        <f>IF(Credit_Assumptions!$C$5=1,Q134,INDEX(Credit_Input!$N$136:$N$195,Q$4))</f>
        <v/>
      </c>
      <c r="R161" s="80">
        <f>IF(Credit_Assumptions!$C$5=1,R134,INDEX(Credit_Input!$N$136:$N$195,R$4))</f>
        <v/>
      </c>
      <c r="S161" s="80">
        <f>IF(Credit_Assumptions!$C$5=1,S134,INDEX(Credit_Input!$N$136:$N$195,S$4))</f>
        <v/>
      </c>
      <c r="T161" s="80">
        <f>IF(Credit_Assumptions!$C$5=1,T134,INDEX(Credit_Input!$N$136:$N$195,T$4))</f>
        <v/>
      </c>
      <c r="U161" s="80">
        <f>IF(Credit_Assumptions!$C$5=1,U134,INDEX(Credit_Input!$N$136:$N$195,U$4))</f>
        <v/>
      </c>
      <c r="V161" s="80">
        <f>IF(Credit_Assumptions!$C$5=1,V134,INDEX(Credit_Input!$N$136:$N$195,V$4))</f>
        <v/>
      </c>
      <c r="W161" s="80">
        <f>IF(Credit_Assumptions!$C$5=1,W134,INDEX(Credit_Input!$N$136:$N$195,W$4))</f>
        <v/>
      </c>
      <c r="X161" s="80">
        <f>IF(Credit_Assumptions!$C$5=1,X134,INDEX(Credit_Input!$N$136:$N$195,X$4))</f>
        <v/>
      </c>
      <c r="Y161" s="80">
        <f>IF(Credit_Assumptions!$C$5=1,Y134,INDEX(Credit_Input!$N$136:$N$195,Y$4))</f>
        <v/>
      </c>
      <c r="Z161" s="80">
        <f>IF(Credit_Assumptions!$C$5=1,Z134,INDEX(Credit_Input!$N$136:$N$195,Z$4))</f>
        <v/>
      </c>
      <c r="AA161" s="80">
        <f>IF(Credit_Assumptions!$C$5=1,AA134,INDEX(Credit_Input!$N$136:$N$195,AA$4))</f>
        <v/>
      </c>
      <c r="AB161" s="80">
        <f>IF(Credit_Assumptions!$C$5=1,AB134,INDEX(Credit_Input!$N$136:$N$195,AB$4))</f>
        <v/>
      </c>
      <c r="AC161" s="80">
        <f>IF(Credit_Assumptions!$C$5=1,AC134,INDEX(Credit_Input!$N$136:$N$195,AC$4))</f>
        <v/>
      </c>
      <c r="AD161" s="80">
        <f>IF(Credit_Assumptions!$C$5=1,AD134,INDEX(Credit_Input!$N$136:$N$195,AD$4))</f>
        <v/>
      </c>
      <c r="AE161" s="80">
        <f>IF(Credit_Assumptions!$C$5=1,AE134,INDEX(Credit_Input!$N$136:$N$195,AE$4))</f>
        <v/>
      </c>
      <c r="AF161" s="80">
        <f>IF(Credit_Assumptions!$C$5=1,AF134,INDEX(Credit_Input!$N$136:$N$195,AF$4))</f>
        <v/>
      </c>
      <c r="AG161" s="80">
        <f>IF(Credit_Assumptions!$C$5=1,AG134,INDEX(Credit_Input!$N$136:$N$195,AG$4))</f>
        <v/>
      </c>
      <c r="AH161" s="80">
        <f>IF(Credit_Assumptions!$C$5=1,AH134,INDEX(Credit_Input!$N$136:$N$195,AH$4))</f>
        <v/>
      </c>
      <c r="AI161" s="80">
        <f>IF(Credit_Assumptions!$C$5=1,AI134,INDEX(Credit_Input!$N$136:$N$195,AI$4))</f>
        <v/>
      </c>
      <c r="AJ161" s="80">
        <f>IF(Credit_Assumptions!$C$5=1,AJ134,INDEX(Credit_Input!$N$136:$N$195,AJ$4))</f>
        <v/>
      </c>
      <c r="AK161" s="80">
        <f>IF(Credit_Assumptions!$C$5=1,AK134,INDEX(Credit_Input!$N$136:$N$195,AK$4))</f>
        <v/>
      </c>
      <c r="AL161" s="80">
        <f>IF(Credit_Assumptions!$C$5=1,AL134,INDEX(Credit_Input!$N$136:$N$195,AL$4))</f>
        <v/>
      </c>
      <c r="AM161" s="80">
        <f>IF(Credit_Assumptions!$C$5=1,AM134,INDEX(Credit_Input!$N$136:$N$195,AM$4))</f>
        <v/>
      </c>
      <c r="AN161" s="80">
        <f>IF(Credit_Assumptions!$C$5=1,AN134,INDEX(Credit_Input!$N$136:$N$195,AN$4))</f>
        <v/>
      </c>
      <c r="AO161" s="80">
        <f>IF(Credit_Assumptions!$C$5=1,AO134,INDEX(Credit_Input!$N$136:$N$195,AO$4))</f>
        <v/>
      </c>
      <c r="AP161" s="80">
        <f>IF(Credit_Assumptions!$C$5=1,AP134,INDEX(Credit_Input!$N$136:$N$195,AP$4))</f>
        <v/>
      </c>
      <c r="AQ161" s="80">
        <f>IF(Credit_Assumptions!$C$5=1,AQ134,INDEX(Credit_Input!$N$136:$N$195,AQ$4))</f>
        <v/>
      </c>
      <c r="AR161" s="80">
        <f>IF(Credit_Assumptions!$C$5=1,AR134,INDEX(Credit_Input!$N$136:$N$195,AR$4))</f>
        <v/>
      </c>
      <c r="AS161" s="80">
        <f>IF(Credit_Assumptions!$C$5=1,AS134,INDEX(Credit_Input!$N$136:$N$195,AS$4))</f>
        <v/>
      </c>
      <c r="AT161" s="80">
        <f>IF(Credit_Assumptions!$C$5=1,AT134,INDEX(Credit_Input!$N$136:$N$195,AT$4))</f>
        <v/>
      </c>
      <c r="AU161" s="80">
        <f>IF(Credit_Assumptions!$C$5=1,AU134,INDEX(Credit_Input!$N$136:$N$195,AU$4))</f>
        <v/>
      </c>
      <c r="AV161" s="80">
        <f>IF(Credit_Assumptions!$C$5=1,AV134,INDEX(Credit_Input!$N$136:$N$195,AV$4))</f>
        <v/>
      </c>
      <c r="AW161" s="80">
        <f>IF(Credit_Assumptions!$C$5=1,AW134,INDEX(Credit_Input!$N$136:$N$195,AW$4))</f>
        <v/>
      </c>
      <c r="AX161" s="80">
        <f>IF(Credit_Assumptions!$C$5=1,AX134,INDEX(Credit_Input!$N$136:$N$195,AX$4))</f>
        <v/>
      </c>
      <c r="AY161" s="80">
        <f>IF(Credit_Assumptions!$C$5=1,AY134,INDEX(Credit_Input!$N$136:$N$195,AY$4))</f>
        <v/>
      </c>
      <c r="AZ161" s="80">
        <f>IF(Credit_Assumptions!$C$5=1,AZ134,INDEX(Credit_Input!$N$136:$N$195,AZ$4))</f>
        <v/>
      </c>
      <c r="BA161" s="80">
        <f>IF(Credit_Assumptions!$C$5=1,BA134,INDEX(Credit_Input!$N$136:$N$195,BA$4))</f>
        <v/>
      </c>
      <c r="BB161" s="80">
        <f>IF(Credit_Assumptions!$C$5=1,BB134,INDEX(Credit_Input!$N$136:$N$195,BB$4))</f>
        <v/>
      </c>
      <c r="BC161" s="80">
        <f>IF(Credit_Assumptions!$C$5=1,BC134,INDEX(Credit_Input!$N$136:$N$195,BC$4))</f>
        <v/>
      </c>
      <c r="BD161" s="80">
        <f>IF(Credit_Assumptions!$C$5=1,BD134,INDEX(Credit_Input!$N$136:$N$195,BD$4))</f>
        <v/>
      </c>
      <c r="BE161" s="80">
        <f>IF(Credit_Assumptions!$C$5=1,BE134,INDEX(Credit_Input!$N$136:$N$195,BE$4))</f>
        <v/>
      </c>
      <c r="BF161" s="80">
        <f>IF(Credit_Assumptions!$C$5=1,BF134,INDEX(Credit_Input!$N$136:$N$195,BF$4))</f>
        <v/>
      </c>
      <c r="BG161" s="80">
        <f>IF(Credit_Assumptions!$C$5=1,BG134,INDEX(Credit_Input!$N$136:$N$195,BG$4))</f>
        <v/>
      </c>
      <c r="BH161" s="80">
        <f>IF(Credit_Assumptions!$C$5=1,BH134,INDEX(Credit_Input!$N$136:$N$195,BH$4))</f>
        <v/>
      </c>
      <c r="BI161" s="80">
        <f>IF(Credit_Assumptions!$C$5=1,BI134,INDEX(Credit_Input!$N$136:$N$195,BI$4))</f>
        <v/>
      </c>
      <c r="BJ161" s="80">
        <f>IF(Credit_Assumptions!$C$5=1,BJ134,INDEX(Credit_Input!$N$136:$N$195,BJ$4))</f>
        <v/>
      </c>
      <c r="BK161" s="80">
        <f>IF(Credit_Assumptions!$C$5=1,BK134,INDEX(Credit_Input!$N$136:$N$195,BK$4))</f>
        <v/>
      </c>
      <c r="BL161" s="80">
        <f>IF(Credit_Assumptions!$C$5=1,BL134,INDEX(Credit_Input!$N$136:$N$195,BL$4))</f>
        <v/>
      </c>
    </row>
    <row r="162">
      <c r="A162" s="98" t="inlineStr">
        <is>
          <t>Repossessions (units, approx.)</t>
        </is>
      </c>
      <c r="B162" s="65" t="inlineStr">
        <is>
          <t>LCY</t>
        </is>
      </c>
      <c r="C162" s="105">
        <f>SUM(E162:BL162)</f>
        <v/>
      </c>
      <c r="E162" s="80">
        <f>IF(Credit_Assumptions!$C$5=1,E135,INDEX(Credit_Input!$L$136:$L$195,E$4))</f>
        <v/>
      </c>
      <c r="F162" s="80">
        <f>IF(Credit_Assumptions!$C$5=1,F135,INDEX(Credit_Input!$L$136:$L$195,F$4))</f>
        <v/>
      </c>
      <c r="G162" s="80">
        <f>IF(Credit_Assumptions!$C$5=1,G135,INDEX(Credit_Input!$L$136:$L$195,G$4))</f>
        <v/>
      </c>
      <c r="H162" s="80">
        <f>IF(Credit_Assumptions!$C$5=1,H135,INDEX(Credit_Input!$L$136:$L$195,H$4))</f>
        <v/>
      </c>
      <c r="I162" s="80">
        <f>IF(Credit_Assumptions!$C$5=1,I135,INDEX(Credit_Input!$L$136:$L$195,I$4))</f>
        <v/>
      </c>
      <c r="J162" s="80">
        <f>IF(Credit_Assumptions!$C$5=1,J135,INDEX(Credit_Input!$L$136:$L$195,J$4))</f>
        <v/>
      </c>
      <c r="K162" s="80">
        <f>IF(Credit_Assumptions!$C$5=1,K135,INDEX(Credit_Input!$L$136:$L$195,K$4))</f>
        <v/>
      </c>
      <c r="L162" s="80">
        <f>IF(Credit_Assumptions!$C$5=1,L135,INDEX(Credit_Input!$L$136:$L$195,L$4))</f>
        <v/>
      </c>
      <c r="M162" s="80">
        <f>IF(Credit_Assumptions!$C$5=1,M135,INDEX(Credit_Input!$L$136:$L$195,M$4))</f>
        <v/>
      </c>
      <c r="N162" s="80">
        <f>IF(Credit_Assumptions!$C$5=1,N135,INDEX(Credit_Input!$L$136:$L$195,N$4))</f>
        <v/>
      </c>
      <c r="O162" s="80">
        <f>IF(Credit_Assumptions!$C$5=1,O135,INDEX(Credit_Input!$L$136:$L$195,O$4))</f>
        <v/>
      </c>
      <c r="P162" s="80">
        <f>IF(Credit_Assumptions!$C$5=1,P135,INDEX(Credit_Input!$L$136:$L$195,P$4))</f>
        <v/>
      </c>
      <c r="Q162" s="80">
        <f>IF(Credit_Assumptions!$C$5=1,Q135,INDEX(Credit_Input!$L$136:$L$195,Q$4))</f>
        <v/>
      </c>
      <c r="R162" s="80">
        <f>IF(Credit_Assumptions!$C$5=1,R135,INDEX(Credit_Input!$L$136:$L$195,R$4))</f>
        <v/>
      </c>
      <c r="S162" s="80">
        <f>IF(Credit_Assumptions!$C$5=1,S135,INDEX(Credit_Input!$L$136:$L$195,S$4))</f>
        <v/>
      </c>
      <c r="T162" s="80">
        <f>IF(Credit_Assumptions!$C$5=1,T135,INDEX(Credit_Input!$L$136:$L$195,T$4))</f>
        <v/>
      </c>
      <c r="U162" s="80">
        <f>IF(Credit_Assumptions!$C$5=1,U135,INDEX(Credit_Input!$L$136:$L$195,U$4))</f>
        <v/>
      </c>
      <c r="V162" s="80">
        <f>IF(Credit_Assumptions!$C$5=1,V135,INDEX(Credit_Input!$L$136:$L$195,V$4))</f>
        <v/>
      </c>
      <c r="W162" s="80">
        <f>IF(Credit_Assumptions!$C$5=1,W135,INDEX(Credit_Input!$L$136:$L$195,W$4))</f>
        <v/>
      </c>
      <c r="X162" s="80">
        <f>IF(Credit_Assumptions!$C$5=1,X135,INDEX(Credit_Input!$L$136:$L$195,X$4))</f>
        <v/>
      </c>
      <c r="Y162" s="80">
        <f>IF(Credit_Assumptions!$C$5=1,Y135,INDEX(Credit_Input!$L$136:$L$195,Y$4))</f>
        <v/>
      </c>
      <c r="Z162" s="80">
        <f>IF(Credit_Assumptions!$C$5=1,Z135,INDEX(Credit_Input!$L$136:$L$195,Z$4))</f>
        <v/>
      </c>
      <c r="AA162" s="80">
        <f>IF(Credit_Assumptions!$C$5=1,AA135,INDEX(Credit_Input!$L$136:$L$195,AA$4))</f>
        <v/>
      </c>
      <c r="AB162" s="80">
        <f>IF(Credit_Assumptions!$C$5=1,AB135,INDEX(Credit_Input!$L$136:$L$195,AB$4))</f>
        <v/>
      </c>
      <c r="AC162" s="80">
        <f>IF(Credit_Assumptions!$C$5=1,AC135,INDEX(Credit_Input!$L$136:$L$195,AC$4))</f>
        <v/>
      </c>
      <c r="AD162" s="80">
        <f>IF(Credit_Assumptions!$C$5=1,AD135,INDEX(Credit_Input!$L$136:$L$195,AD$4))</f>
        <v/>
      </c>
      <c r="AE162" s="80">
        <f>IF(Credit_Assumptions!$C$5=1,AE135,INDEX(Credit_Input!$L$136:$L$195,AE$4))</f>
        <v/>
      </c>
      <c r="AF162" s="80">
        <f>IF(Credit_Assumptions!$C$5=1,AF135,INDEX(Credit_Input!$L$136:$L$195,AF$4))</f>
        <v/>
      </c>
      <c r="AG162" s="80">
        <f>IF(Credit_Assumptions!$C$5=1,AG135,INDEX(Credit_Input!$L$136:$L$195,AG$4))</f>
        <v/>
      </c>
      <c r="AH162" s="80">
        <f>IF(Credit_Assumptions!$C$5=1,AH135,INDEX(Credit_Input!$L$136:$L$195,AH$4))</f>
        <v/>
      </c>
      <c r="AI162" s="80">
        <f>IF(Credit_Assumptions!$C$5=1,AI135,INDEX(Credit_Input!$L$136:$L$195,AI$4))</f>
        <v/>
      </c>
      <c r="AJ162" s="80">
        <f>IF(Credit_Assumptions!$C$5=1,AJ135,INDEX(Credit_Input!$L$136:$L$195,AJ$4))</f>
        <v/>
      </c>
      <c r="AK162" s="80">
        <f>IF(Credit_Assumptions!$C$5=1,AK135,INDEX(Credit_Input!$L$136:$L$195,AK$4))</f>
        <v/>
      </c>
      <c r="AL162" s="80">
        <f>IF(Credit_Assumptions!$C$5=1,AL135,INDEX(Credit_Input!$L$136:$L$195,AL$4))</f>
        <v/>
      </c>
      <c r="AM162" s="80">
        <f>IF(Credit_Assumptions!$C$5=1,AM135,INDEX(Credit_Input!$L$136:$L$195,AM$4))</f>
        <v/>
      </c>
      <c r="AN162" s="80">
        <f>IF(Credit_Assumptions!$C$5=1,AN135,INDEX(Credit_Input!$L$136:$L$195,AN$4))</f>
        <v/>
      </c>
      <c r="AO162" s="80">
        <f>IF(Credit_Assumptions!$C$5=1,AO135,INDEX(Credit_Input!$L$136:$L$195,AO$4))</f>
        <v/>
      </c>
      <c r="AP162" s="80">
        <f>IF(Credit_Assumptions!$C$5=1,AP135,INDEX(Credit_Input!$L$136:$L$195,AP$4))</f>
        <v/>
      </c>
      <c r="AQ162" s="80">
        <f>IF(Credit_Assumptions!$C$5=1,AQ135,INDEX(Credit_Input!$L$136:$L$195,AQ$4))</f>
        <v/>
      </c>
      <c r="AR162" s="80">
        <f>IF(Credit_Assumptions!$C$5=1,AR135,INDEX(Credit_Input!$L$136:$L$195,AR$4))</f>
        <v/>
      </c>
      <c r="AS162" s="80">
        <f>IF(Credit_Assumptions!$C$5=1,AS135,INDEX(Credit_Input!$L$136:$L$195,AS$4))</f>
        <v/>
      </c>
      <c r="AT162" s="80">
        <f>IF(Credit_Assumptions!$C$5=1,AT135,INDEX(Credit_Input!$L$136:$L$195,AT$4))</f>
        <v/>
      </c>
      <c r="AU162" s="80">
        <f>IF(Credit_Assumptions!$C$5=1,AU135,INDEX(Credit_Input!$L$136:$L$195,AU$4))</f>
        <v/>
      </c>
      <c r="AV162" s="80">
        <f>IF(Credit_Assumptions!$C$5=1,AV135,INDEX(Credit_Input!$L$136:$L$195,AV$4))</f>
        <v/>
      </c>
      <c r="AW162" s="80">
        <f>IF(Credit_Assumptions!$C$5=1,AW135,INDEX(Credit_Input!$L$136:$L$195,AW$4))</f>
        <v/>
      </c>
      <c r="AX162" s="80">
        <f>IF(Credit_Assumptions!$C$5=1,AX135,INDEX(Credit_Input!$L$136:$L$195,AX$4))</f>
        <v/>
      </c>
      <c r="AY162" s="80">
        <f>IF(Credit_Assumptions!$C$5=1,AY135,INDEX(Credit_Input!$L$136:$L$195,AY$4))</f>
        <v/>
      </c>
      <c r="AZ162" s="80">
        <f>IF(Credit_Assumptions!$C$5=1,AZ135,INDEX(Credit_Input!$L$136:$L$195,AZ$4))</f>
        <v/>
      </c>
      <c r="BA162" s="80">
        <f>IF(Credit_Assumptions!$C$5=1,BA135,INDEX(Credit_Input!$L$136:$L$195,BA$4))</f>
        <v/>
      </c>
      <c r="BB162" s="80">
        <f>IF(Credit_Assumptions!$C$5=1,BB135,INDEX(Credit_Input!$L$136:$L$195,BB$4))</f>
        <v/>
      </c>
      <c r="BC162" s="80">
        <f>IF(Credit_Assumptions!$C$5=1,BC135,INDEX(Credit_Input!$L$136:$L$195,BC$4))</f>
        <v/>
      </c>
      <c r="BD162" s="80">
        <f>IF(Credit_Assumptions!$C$5=1,BD135,INDEX(Credit_Input!$L$136:$L$195,BD$4))</f>
        <v/>
      </c>
      <c r="BE162" s="80">
        <f>IF(Credit_Assumptions!$C$5=1,BE135,INDEX(Credit_Input!$L$136:$L$195,BE$4))</f>
        <v/>
      </c>
      <c r="BF162" s="80">
        <f>IF(Credit_Assumptions!$C$5=1,BF135,INDEX(Credit_Input!$L$136:$L$195,BF$4))</f>
        <v/>
      </c>
      <c r="BG162" s="80">
        <f>IF(Credit_Assumptions!$C$5=1,BG135,INDEX(Credit_Input!$L$136:$L$195,BG$4))</f>
        <v/>
      </c>
      <c r="BH162" s="80">
        <f>IF(Credit_Assumptions!$C$5=1,BH135,INDEX(Credit_Input!$L$136:$L$195,BH$4))</f>
        <v/>
      </c>
      <c r="BI162" s="80">
        <f>IF(Credit_Assumptions!$C$5=1,BI135,INDEX(Credit_Input!$L$136:$L$195,BI$4))</f>
        <v/>
      </c>
      <c r="BJ162" s="80">
        <f>IF(Credit_Assumptions!$C$5=1,BJ135,INDEX(Credit_Input!$L$136:$L$195,BJ$4))</f>
        <v/>
      </c>
      <c r="BK162" s="80">
        <f>IF(Credit_Assumptions!$C$5=1,BK135,INDEX(Credit_Input!$L$136:$L$195,BK$4))</f>
        <v/>
      </c>
      <c r="BL162" s="80">
        <f>IF(Credit_Assumptions!$C$5=1,BL135,INDEX(Credit_Input!$L$136:$L$195,BL$4))</f>
        <v/>
      </c>
    </row>
    <row r="163">
      <c r="A163" s="98" t="inlineStr">
        <is>
          <t>Cures (proxy engine: none)</t>
        </is>
      </c>
      <c r="B163" s="65" t="inlineStr">
        <is>
          <t>LCY</t>
        </is>
      </c>
      <c r="C163" s="105">
        <f>SUM(E163:BL163)</f>
        <v/>
      </c>
      <c r="E163" s="80">
        <f>IF(Credit_Assumptions!$C$5=1,E136,INDEX(Credit_Input!$O$136:$O$195,E$4))</f>
        <v/>
      </c>
      <c r="F163" s="80">
        <f>IF(Credit_Assumptions!$C$5=1,F136,INDEX(Credit_Input!$O$136:$O$195,F$4))</f>
        <v/>
      </c>
      <c r="G163" s="80">
        <f>IF(Credit_Assumptions!$C$5=1,G136,INDEX(Credit_Input!$O$136:$O$195,G$4))</f>
        <v/>
      </c>
      <c r="H163" s="80">
        <f>IF(Credit_Assumptions!$C$5=1,H136,INDEX(Credit_Input!$O$136:$O$195,H$4))</f>
        <v/>
      </c>
      <c r="I163" s="80">
        <f>IF(Credit_Assumptions!$C$5=1,I136,INDEX(Credit_Input!$O$136:$O$195,I$4))</f>
        <v/>
      </c>
      <c r="J163" s="80">
        <f>IF(Credit_Assumptions!$C$5=1,J136,INDEX(Credit_Input!$O$136:$O$195,J$4))</f>
        <v/>
      </c>
      <c r="K163" s="80">
        <f>IF(Credit_Assumptions!$C$5=1,K136,INDEX(Credit_Input!$O$136:$O$195,K$4))</f>
        <v/>
      </c>
      <c r="L163" s="80">
        <f>IF(Credit_Assumptions!$C$5=1,L136,INDEX(Credit_Input!$O$136:$O$195,L$4))</f>
        <v/>
      </c>
      <c r="M163" s="80">
        <f>IF(Credit_Assumptions!$C$5=1,M136,INDEX(Credit_Input!$O$136:$O$195,M$4))</f>
        <v/>
      </c>
      <c r="N163" s="80">
        <f>IF(Credit_Assumptions!$C$5=1,N136,INDEX(Credit_Input!$O$136:$O$195,N$4))</f>
        <v/>
      </c>
      <c r="O163" s="80">
        <f>IF(Credit_Assumptions!$C$5=1,O136,INDEX(Credit_Input!$O$136:$O$195,O$4))</f>
        <v/>
      </c>
      <c r="P163" s="80">
        <f>IF(Credit_Assumptions!$C$5=1,P136,INDEX(Credit_Input!$O$136:$O$195,P$4))</f>
        <v/>
      </c>
      <c r="Q163" s="80">
        <f>IF(Credit_Assumptions!$C$5=1,Q136,INDEX(Credit_Input!$O$136:$O$195,Q$4))</f>
        <v/>
      </c>
      <c r="R163" s="80">
        <f>IF(Credit_Assumptions!$C$5=1,R136,INDEX(Credit_Input!$O$136:$O$195,R$4))</f>
        <v/>
      </c>
      <c r="S163" s="80">
        <f>IF(Credit_Assumptions!$C$5=1,S136,INDEX(Credit_Input!$O$136:$O$195,S$4))</f>
        <v/>
      </c>
      <c r="T163" s="80">
        <f>IF(Credit_Assumptions!$C$5=1,T136,INDEX(Credit_Input!$O$136:$O$195,T$4))</f>
        <v/>
      </c>
      <c r="U163" s="80">
        <f>IF(Credit_Assumptions!$C$5=1,U136,INDEX(Credit_Input!$O$136:$O$195,U$4))</f>
        <v/>
      </c>
      <c r="V163" s="80">
        <f>IF(Credit_Assumptions!$C$5=1,V136,INDEX(Credit_Input!$O$136:$O$195,V$4))</f>
        <v/>
      </c>
      <c r="W163" s="80">
        <f>IF(Credit_Assumptions!$C$5=1,W136,INDEX(Credit_Input!$O$136:$O$195,W$4))</f>
        <v/>
      </c>
      <c r="X163" s="80">
        <f>IF(Credit_Assumptions!$C$5=1,X136,INDEX(Credit_Input!$O$136:$O$195,X$4))</f>
        <v/>
      </c>
      <c r="Y163" s="80">
        <f>IF(Credit_Assumptions!$C$5=1,Y136,INDEX(Credit_Input!$O$136:$O$195,Y$4))</f>
        <v/>
      </c>
      <c r="Z163" s="80">
        <f>IF(Credit_Assumptions!$C$5=1,Z136,INDEX(Credit_Input!$O$136:$O$195,Z$4))</f>
        <v/>
      </c>
      <c r="AA163" s="80">
        <f>IF(Credit_Assumptions!$C$5=1,AA136,INDEX(Credit_Input!$O$136:$O$195,AA$4))</f>
        <v/>
      </c>
      <c r="AB163" s="80">
        <f>IF(Credit_Assumptions!$C$5=1,AB136,INDEX(Credit_Input!$O$136:$O$195,AB$4))</f>
        <v/>
      </c>
      <c r="AC163" s="80">
        <f>IF(Credit_Assumptions!$C$5=1,AC136,INDEX(Credit_Input!$O$136:$O$195,AC$4))</f>
        <v/>
      </c>
      <c r="AD163" s="80">
        <f>IF(Credit_Assumptions!$C$5=1,AD136,INDEX(Credit_Input!$O$136:$O$195,AD$4))</f>
        <v/>
      </c>
      <c r="AE163" s="80">
        <f>IF(Credit_Assumptions!$C$5=1,AE136,INDEX(Credit_Input!$O$136:$O$195,AE$4))</f>
        <v/>
      </c>
      <c r="AF163" s="80">
        <f>IF(Credit_Assumptions!$C$5=1,AF136,INDEX(Credit_Input!$O$136:$O$195,AF$4))</f>
        <v/>
      </c>
      <c r="AG163" s="80">
        <f>IF(Credit_Assumptions!$C$5=1,AG136,INDEX(Credit_Input!$O$136:$O$195,AG$4))</f>
        <v/>
      </c>
      <c r="AH163" s="80">
        <f>IF(Credit_Assumptions!$C$5=1,AH136,INDEX(Credit_Input!$O$136:$O$195,AH$4))</f>
        <v/>
      </c>
      <c r="AI163" s="80">
        <f>IF(Credit_Assumptions!$C$5=1,AI136,INDEX(Credit_Input!$O$136:$O$195,AI$4))</f>
        <v/>
      </c>
      <c r="AJ163" s="80">
        <f>IF(Credit_Assumptions!$C$5=1,AJ136,INDEX(Credit_Input!$O$136:$O$195,AJ$4))</f>
        <v/>
      </c>
      <c r="AK163" s="80">
        <f>IF(Credit_Assumptions!$C$5=1,AK136,INDEX(Credit_Input!$O$136:$O$195,AK$4))</f>
        <v/>
      </c>
      <c r="AL163" s="80">
        <f>IF(Credit_Assumptions!$C$5=1,AL136,INDEX(Credit_Input!$O$136:$O$195,AL$4))</f>
        <v/>
      </c>
      <c r="AM163" s="80">
        <f>IF(Credit_Assumptions!$C$5=1,AM136,INDEX(Credit_Input!$O$136:$O$195,AM$4))</f>
        <v/>
      </c>
      <c r="AN163" s="80">
        <f>IF(Credit_Assumptions!$C$5=1,AN136,INDEX(Credit_Input!$O$136:$O$195,AN$4))</f>
        <v/>
      </c>
      <c r="AO163" s="80">
        <f>IF(Credit_Assumptions!$C$5=1,AO136,INDEX(Credit_Input!$O$136:$O$195,AO$4))</f>
        <v/>
      </c>
      <c r="AP163" s="80">
        <f>IF(Credit_Assumptions!$C$5=1,AP136,INDEX(Credit_Input!$O$136:$O$195,AP$4))</f>
        <v/>
      </c>
      <c r="AQ163" s="80">
        <f>IF(Credit_Assumptions!$C$5=1,AQ136,INDEX(Credit_Input!$O$136:$O$195,AQ$4))</f>
        <v/>
      </c>
      <c r="AR163" s="80">
        <f>IF(Credit_Assumptions!$C$5=1,AR136,INDEX(Credit_Input!$O$136:$O$195,AR$4))</f>
        <v/>
      </c>
      <c r="AS163" s="80">
        <f>IF(Credit_Assumptions!$C$5=1,AS136,INDEX(Credit_Input!$O$136:$O$195,AS$4))</f>
        <v/>
      </c>
      <c r="AT163" s="80">
        <f>IF(Credit_Assumptions!$C$5=1,AT136,INDEX(Credit_Input!$O$136:$O$195,AT$4))</f>
        <v/>
      </c>
      <c r="AU163" s="80">
        <f>IF(Credit_Assumptions!$C$5=1,AU136,INDEX(Credit_Input!$O$136:$O$195,AU$4))</f>
        <v/>
      </c>
      <c r="AV163" s="80">
        <f>IF(Credit_Assumptions!$C$5=1,AV136,INDEX(Credit_Input!$O$136:$O$195,AV$4))</f>
        <v/>
      </c>
      <c r="AW163" s="80">
        <f>IF(Credit_Assumptions!$C$5=1,AW136,INDEX(Credit_Input!$O$136:$O$195,AW$4))</f>
        <v/>
      </c>
      <c r="AX163" s="80">
        <f>IF(Credit_Assumptions!$C$5=1,AX136,INDEX(Credit_Input!$O$136:$O$195,AX$4))</f>
        <v/>
      </c>
      <c r="AY163" s="80">
        <f>IF(Credit_Assumptions!$C$5=1,AY136,INDEX(Credit_Input!$O$136:$O$195,AY$4))</f>
        <v/>
      </c>
      <c r="AZ163" s="80">
        <f>IF(Credit_Assumptions!$C$5=1,AZ136,INDEX(Credit_Input!$O$136:$O$195,AZ$4))</f>
        <v/>
      </c>
      <c r="BA163" s="80">
        <f>IF(Credit_Assumptions!$C$5=1,BA136,INDEX(Credit_Input!$O$136:$O$195,BA$4))</f>
        <v/>
      </c>
      <c r="BB163" s="80">
        <f>IF(Credit_Assumptions!$C$5=1,BB136,INDEX(Credit_Input!$O$136:$O$195,BB$4))</f>
        <v/>
      </c>
      <c r="BC163" s="80">
        <f>IF(Credit_Assumptions!$C$5=1,BC136,INDEX(Credit_Input!$O$136:$O$195,BC$4))</f>
        <v/>
      </c>
      <c r="BD163" s="80">
        <f>IF(Credit_Assumptions!$C$5=1,BD136,INDEX(Credit_Input!$O$136:$O$195,BD$4))</f>
        <v/>
      </c>
      <c r="BE163" s="80">
        <f>IF(Credit_Assumptions!$C$5=1,BE136,INDEX(Credit_Input!$O$136:$O$195,BE$4))</f>
        <v/>
      </c>
      <c r="BF163" s="80">
        <f>IF(Credit_Assumptions!$C$5=1,BF136,INDEX(Credit_Input!$O$136:$O$195,BF$4))</f>
        <v/>
      </c>
      <c r="BG163" s="80">
        <f>IF(Credit_Assumptions!$C$5=1,BG136,INDEX(Credit_Input!$O$136:$O$195,BG$4))</f>
        <v/>
      </c>
      <c r="BH163" s="80">
        <f>IF(Credit_Assumptions!$C$5=1,BH136,INDEX(Credit_Input!$O$136:$O$195,BH$4))</f>
        <v/>
      </c>
      <c r="BI163" s="80">
        <f>IF(Credit_Assumptions!$C$5=1,BI136,INDEX(Credit_Input!$O$136:$O$195,BI$4))</f>
        <v/>
      </c>
      <c r="BJ163" s="80">
        <f>IF(Credit_Assumptions!$C$5=1,BJ136,INDEX(Credit_Input!$O$136:$O$195,BJ$4))</f>
        <v/>
      </c>
      <c r="BK163" s="80">
        <f>IF(Credit_Assumptions!$C$5=1,BK136,INDEX(Credit_Input!$O$136:$O$195,BK$4))</f>
        <v/>
      </c>
      <c r="BL163" s="80">
        <f>IF(Credit_Assumptions!$C$5=1,BL136,INDEX(Credit_Input!$O$136:$O$195,BL$4))</f>
        <v/>
      </c>
    </row>
    <row r="164">
      <c r="A164" s="98" t="inlineStr">
        <is>
          <t>Write-offs</t>
        </is>
      </c>
      <c r="B164" s="65" t="inlineStr">
        <is>
          <t>LCY</t>
        </is>
      </c>
      <c r="C164" s="105">
        <f>SUM(E164:BL164)</f>
        <v/>
      </c>
      <c r="E164" s="80">
        <f>IF(Credit_Assumptions!$C$5=1,E137,INDEX(Credit_Input!$P$136:$P$195,E$4))</f>
        <v/>
      </c>
      <c r="F164" s="80">
        <f>IF(Credit_Assumptions!$C$5=1,F137,INDEX(Credit_Input!$P$136:$P$195,F$4))</f>
        <v/>
      </c>
      <c r="G164" s="80">
        <f>IF(Credit_Assumptions!$C$5=1,G137,INDEX(Credit_Input!$P$136:$P$195,G$4))</f>
        <v/>
      </c>
      <c r="H164" s="80">
        <f>IF(Credit_Assumptions!$C$5=1,H137,INDEX(Credit_Input!$P$136:$P$195,H$4))</f>
        <v/>
      </c>
      <c r="I164" s="80">
        <f>IF(Credit_Assumptions!$C$5=1,I137,INDEX(Credit_Input!$P$136:$P$195,I$4))</f>
        <v/>
      </c>
      <c r="J164" s="80">
        <f>IF(Credit_Assumptions!$C$5=1,J137,INDEX(Credit_Input!$P$136:$P$195,J$4))</f>
        <v/>
      </c>
      <c r="K164" s="80">
        <f>IF(Credit_Assumptions!$C$5=1,K137,INDEX(Credit_Input!$P$136:$P$195,K$4))</f>
        <v/>
      </c>
      <c r="L164" s="80">
        <f>IF(Credit_Assumptions!$C$5=1,L137,INDEX(Credit_Input!$P$136:$P$195,L$4))</f>
        <v/>
      </c>
      <c r="M164" s="80">
        <f>IF(Credit_Assumptions!$C$5=1,M137,INDEX(Credit_Input!$P$136:$P$195,M$4))</f>
        <v/>
      </c>
      <c r="N164" s="80">
        <f>IF(Credit_Assumptions!$C$5=1,N137,INDEX(Credit_Input!$P$136:$P$195,N$4))</f>
        <v/>
      </c>
      <c r="O164" s="80">
        <f>IF(Credit_Assumptions!$C$5=1,O137,INDEX(Credit_Input!$P$136:$P$195,O$4))</f>
        <v/>
      </c>
      <c r="P164" s="80">
        <f>IF(Credit_Assumptions!$C$5=1,P137,INDEX(Credit_Input!$P$136:$P$195,P$4))</f>
        <v/>
      </c>
      <c r="Q164" s="80">
        <f>IF(Credit_Assumptions!$C$5=1,Q137,INDEX(Credit_Input!$P$136:$P$195,Q$4))</f>
        <v/>
      </c>
      <c r="R164" s="80">
        <f>IF(Credit_Assumptions!$C$5=1,R137,INDEX(Credit_Input!$P$136:$P$195,R$4))</f>
        <v/>
      </c>
      <c r="S164" s="80">
        <f>IF(Credit_Assumptions!$C$5=1,S137,INDEX(Credit_Input!$P$136:$P$195,S$4))</f>
        <v/>
      </c>
      <c r="T164" s="80">
        <f>IF(Credit_Assumptions!$C$5=1,T137,INDEX(Credit_Input!$P$136:$P$195,T$4))</f>
        <v/>
      </c>
      <c r="U164" s="80">
        <f>IF(Credit_Assumptions!$C$5=1,U137,INDEX(Credit_Input!$P$136:$P$195,U$4))</f>
        <v/>
      </c>
      <c r="V164" s="80">
        <f>IF(Credit_Assumptions!$C$5=1,V137,INDEX(Credit_Input!$P$136:$P$195,V$4))</f>
        <v/>
      </c>
      <c r="W164" s="80">
        <f>IF(Credit_Assumptions!$C$5=1,W137,INDEX(Credit_Input!$P$136:$P$195,W$4))</f>
        <v/>
      </c>
      <c r="X164" s="80">
        <f>IF(Credit_Assumptions!$C$5=1,X137,INDEX(Credit_Input!$P$136:$P$195,X$4))</f>
        <v/>
      </c>
      <c r="Y164" s="80">
        <f>IF(Credit_Assumptions!$C$5=1,Y137,INDEX(Credit_Input!$P$136:$P$195,Y$4))</f>
        <v/>
      </c>
      <c r="Z164" s="80">
        <f>IF(Credit_Assumptions!$C$5=1,Z137,INDEX(Credit_Input!$P$136:$P$195,Z$4))</f>
        <v/>
      </c>
      <c r="AA164" s="80">
        <f>IF(Credit_Assumptions!$C$5=1,AA137,INDEX(Credit_Input!$P$136:$P$195,AA$4))</f>
        <v/>
      </c>
      <c r="AB164" s="80">
        <f>IF(Credit_Assumptions!$C$5=1,AB137,INDEX(Credit_Input!$P$136:$P$195,AB$4))</f>
        <v/>
      </c>
      <c r="AC164" s="80">
        <f>IF(Credit_Assumptions!$C$5=1,AC137,INDEX(Credit_Input!$P$136:$P$195,AC$4))</f>
        <v/>
      </c>
      <c r="AD164" s="80">
        <f>IF(Credit_Assumptions!$C$5=1,AD137,INDEX(Credit_Input!$P$136:$P$195,AD$4))</f>
        <v/>
      </c>
      <c r="AE164" s="80">
        <f>IF(Credit_Assumptions!$C$5=1,AE137,INDEX(Credit_Input!$P$136:$P$195,AE$4))</f>
        <v/>
      </c>
      <c r="AF164" s="80">
        <f>IF(Credit_Assumptions!$C$5=1,AF137,INDEX(Credit_Input!$P$136:$P$195,AF$4))</f>
        <v/>
      </c>
      <c r="AG164" s="80">
        <f>IF(Credit_Assumptions!$C$5=1,AG137,INDEX(Credit_Input!$P$136:$P$195,AG$4))</f>
        <v/>
      </c>
      <c r="AH164" s="80">
        <f>IF(Credit_Assumptions!$C$5=1,AH137,INDEX(Credit_Input!$P$136:$P$195,AH$4))</f>
        <v/>
      </c>
      <c r="AI164" s="80">
        <f>IF(Credit_Assumptions!$C$5=1,AI137,INDEX(Credit_Input!$P$136:$P$195,AI$4))</f>
        <v/>
      </c>
      <c r="AJ164" s="80">
        <f>IF(Credit_Assumptions!$C$5=1,AJ137,INDEX(Credit_Input!$P$136:$P$195,AJ$4))</f>
        <v/>
      </c>
      <c r="AK164" s="80">
        <f>IF(Credit_Assumptions!$C$5=1,AK137,INDEX(Credit_Input!$P$136:$P$195,AK$4))</f>
        <v/>
      </c>
      <c r="AL164" s="80">
        <f>IF(Credit_Assumptions!$C$5=1,AL137,INDEX(Credit_Input!$P$136:$P$195,AL$4))</f>
        <v/>
      </c>
      <c r="AM164" s="80">
        <f>IF(Credit_Assumptions!$C$5=1,AM137,INDEX(Credit_Input!$P$136:$P$195,AM$4))</f>
        <v/>
      </c>
      <c r="AN164" s="80">
        <f>IF(Credit_Assumptions!$C$5=1,AN137,INDEX(Credit_Input!$P$136:$P$195,AN$4))</f>
        <v/>
      </c>
      <c r="AO164" s="80">
        <f>IF(Credit_Assumptions!$C$5=1,AO137,INDEX(Credit_Input!$P$136:$P$195,AO$4))</f>
        <v/>
      </c>
      <c r="AP164" s="80">
        <f>IF(Credit_Assumptions!$C$5=1,AP137,INDEX(Credit_Input!$P$136:$P$195,AP$4))</f>
        <v/>
      </c>
      <c r="AQ164" s="80">
        <f>IF(Credit_Assumptions!$C$5=1,AQ137,INDEX(Credit_Input!$P$136:$P$195,AQ$4))</f>
        <v/>
      </c>
      <c r="AR164" s="80">
        <f>IF(Credit_Assumptions!$C$5=1,AR137,INDEX(Credit_Input!$P$136:$P$195,AR$4))</f>
        <v/>
      </c>
      <c r="AS164" s="80">
        <f>IF(Credit_Assumptions!$C$5=1,AS137,INDEX(Credit_Input!$P$136:$P$195,AS$4))</f>
        <v/>
      </c>
      <c r="AT164" s="80">
        <f>IF(Credit_Assumptions!$C$5=1,AT137,INDEX(Credit_Input!$P$136:$P$195,AT$4))</f>
        <v/>
      </c>
      <c r="AU164" s="80">
        <f>IF(Credit_Assumptions!$C$5=1,AU137,INDEX(Credit_Input!$P$136:$P$195,AU$4))</f>
        <v/>
      </c>
      <c r="AV164" s="80">
        <f>IF(Credit_Assumptions!$C$5=1,AV137,INDEX(Credit_Input!$P$136:$P$195,AV$4))</f>
        <v/>
      </c>
      <c r="AW164" s="80">
        <f>IF(Credit_Assumptions!$C$5=1,AW137,INDEX(Credit_Input!$P$136:$P$195,AW$4))</f>
        <v/>
      </c>
      <c r="AX164" s="80">
        <f>IF(Credit_Assumptions!$C$5=1,AX137,INDEX(Credit_Input!$P$136:$P$195,AX$4))</f>
        <v/>
      </c>
      <c r="AY164" s="80">
        <f>IF(Credit_Assumptions!$C$5=1,AY137,INDEX(Credit_Input!$P$136:$P$195,AY$4))</f>
        <v/>
      </c>
      <c r="AZ164" s="80">
        <f>IF(Credit_Assumptions!$C$5=1,AZ137,INDEX(Credit_Input!$P$136:$P$195,AZ$4))</f>
        <v/>
      </c>
      <c r="BA164" s="80">
        <f>IF(Credit_Assumptions!$C$5=1,BA137,INDEX(Credit_Input!$P$136:$P$195,BA$4))</f>
        <v/>
      </c>
      <c r="BB164" s="80">
        <f>IF(Credit_Assumptions!$C$5=1,BB137,INDEX(Credit_Input!$P$136:$P$195,BB$4))</f>
        <v/>
      </c>
      <c r="BC164" s="80">
        <f>IF(Credit_Assumptions!$C$5=1,BC137,INDEX(Credit_Input!$P$136:$P$195,BC$4))</f>
        <v/>
      </c>
      <c r="BD164" s="80">
        <f>IF(Credit_Assumptions!$C$5=1,BD137,INDEX(Credit_Input!$P$136:$P$195,BD$4))</f>
        <v/>
      </c>
      <c r="BE164" s="80">
        <f>IF(Credit_Assumptions!$C$5=1,BE137,INDEX(Credit_Input!$P$136:$P$195,BE$4))</f>
        <v/>
      </c>
      <c r="BF164" s="80">
        <f>IF(Credit_Assumptions!$C$5=1,BF137,INDEX(Credit_Input!$P$136:$P$195,BF$4))</f>
        <v/>
      </c>
      <c r="BG164" s="80">
        <f>IF(Credit_Assumptions!$C$5=1,BG137,INDEX(Credit_Input!$P$136:$P$195,BG$4))</f>
        <v/>
      </c>
      <c r="BH164" s="80">
        <f>IF(Credit_Assumptions!$C$5=1,BH137,INDEX(Credit_Input!$P$136:$P$195,BH$4))</f>
        <v/>
      </c>
      <c r="BI164" s="80">
        <f>IF(Credit_Assumptions!$C$5=1,BI137,INDEX(Credit_Input!$P$136:$P$195,BI$4))</f>
        <v/>
      </c>
      <c r="BJ164" s="80">
        <f>IF(Credit_Assumptions!$C$5=1,BJ137,INDEX(Credit_Input!$P$136:$P$195,BJ$4))</f>
        <v/>
      </c>
      <c r="BK164" s="80">
        <f>IF(Credit_Assumptions!$C$5=1,BK137,INDEX(Credit_Input!$P$136:$P$195,BK$4))</f>
        <v/>
      </c>
      <c r="BL164" s="80">
        <f>IF(Credit_Assumptions!$C$5=1,BL137,INDEX(Credit_Input!$P$136:$P$195,BL$4))</f>
        <v/>
      </c>
    </row>
    <row r="165">
      <c r="A165" s="98" t="inlineStr">
        <is>
          <t>Collections</t>
        </is>
      </c>
      <c r="B165" s="65" t="inlineStr">
        <is>
          <t>LCY</t>
        </is>
      </c>
      <c r="C165" s="105">
        <f>SUM(E165:BL165)</f>
        <v/>
      </c>
      <c r="E165" s="80">
        <f>IF(Credit_Assumptions!$C$5=1,E138,INDEX(Credit_Input!$Q$136:$Q$195,E$4))</f>
        <v/>
      </c>
      <c r="F165" s="80">
        <f>IF(Credit_Assumptions!$C$5=1,F138,INDEX(Credit_Input!$Q$136:$Q$195,F$4))</f>
        <v/>
      </c>
      <c r="G165" s="80">
        <f>IF(Credit_Assumptions!$C$5=1,G138,INDEX(Credit_Input!$Q$136:$Q$195,G$4))</f>
        <v/>
      </c>
      <c r="H165" s="80">
        <f>IF(Credit_Assumptions!$C$5=1,H138,INDEX(Credit_Input!$Q$136:$Q$195,H$4))</f>
        <v/>
      </c>
      <c r="I165" s="80">
        <f>IF(Credit_Assumptions!$C$5=1,I138,INDEX(Credit_Input!$Q$136:$Q$195,I$4))</f>
        <v/>
      </c>
      <c r="J165" s="80">
        <f>IF(Credit_Assumptions!$C$5=1,J138,INDEX(Credit_Input!$Q$136:$Q$195,J$4))</f>
        <v/>
      </c>
      <c r="K165" s="80">
        <f>IF(Credit_Assumptions!$C$5=1,K138,INDEX(Credit_Input!$Q$136:$Q$195,K$4))</f>
        <v/>
      </c>
      <c r="L165" s="80">
        <f>IF(Credit_Assumptions!$C$5=1,L138,INDEX(Credit_Input!$Q$136:$Q$195,L$4))</f>
        <v/>
      </c>
      <c r="M165" s="80">
        <f>IF(Credit_Assumptions!$C$5=1,M138,INDEX(Credit_Input!$Q$136:$Q$195,M$4))</f>
        <v/>
      </c>
      <c r="N165" s="80">
        <f>IF(Credit_Assumptions!$C$5=1,N138,INDEX(Credit_Input!$Q$136:$Q$195,N$4))</f>
        <v/>
      </c>
      <c r="O165" s="80">
        <f>IF(Credit_Assumptions!$C$5=1,O138,INDEX(Credit_Input!$Q$136:$Q$195,O$4))</f>
        <v/>
      </c>
      <c r="P165" s="80">
        <f>IF(Credit_Assumptions!$C$5=1,P138,INDEX(Credit_Input!$Q$136:$Q$195,P$4))</f>
        <v/>
      </c>
      <c r="Q165" s="80">
        <f>IF(Credit_Assumptions!$C$5=1,Q138,INDEX(Credit_Input!$Q$136:$Q$195,Q$4))</f>
        <v/>
      </c>
      <c r="R165" s="80">
        <f>IF(Credit_Assumptions!$C$5=1,R138,INDEX(Credit_Input!$Q$136:$Q$195,R$4))</f>
        <v/>
      </c>
      <c r="S165" s="80">
        <f>IF(Credit_Assumptions!$C$5=1,S138,INDEX(Credit_Input!$Q$136:$Q$195,S$4))</f>
        <v/>
      </c>
      <c r="T165" s="80">
        <f>IF(Credit_Assumptions!$C$5=1,T138,INDEX(Credit_Input!$Q$136:$Q$195,T$4))</f>
        <v/>
      </c>
      <c r="U165" s="80">
        <f>IF(Credit_Assumptions!$C$5=1,U138,INDEX(Credit_Input!$Q$136:$Q$195,U$4))</f>
        <v/>
      </c>
      <c r="V165" s="80">
        <f>IF(Credit_Assumptions!$C$5=1,V138,INDEX(Credit_Input!$Q$136:$Q$195,V$4))</f>
        <v/>
      </c>
      <c r="W165" s="80">
        <f>IF(Credit_Assumptions!$C$5=1,W138,INDEX(Credit_Input!$Q$136:$Q$195,W$4))</f>
        <v/>
      </c>
      <c r="X165" s="80">
        <f>IF(Credit_Assumptions!$C$5=1,X138,INDEX(Credit_Input!$Q$136:$Q$195,X$4))</f>
        <v/>
      </c>
      <c r="Y165" s="80">
        <f>IF(Credit_Assumptions!$C$5=1,Y138,INDEX(Credit_Input!$Q$136:$Q$195,Y$4))</f>
        <v/>
      </c>
      <c r="Z165" s="80">
        <f>IF(Credit_Assumptions!$C$5=1,Z138,INDEX(Credit_Input!$Q$136:$Q$195,Z$4))</f>
        <v/>
      </c>
      <c r="AA165" s="80">
        <f>IF(Credit_Assumptions!$C$5=1,AA138,INDEX(Credit_Input!$Q$136:$Q$195,AA$4))</f>
        <v/>
      </c>
      <c r="AB165" s="80">
        <f>IF(Credit_Assumptions!$C$5=1,AB138,INDEX(Credit_Input!$Q$136:$Q$195,AB$4))</f>
        <v/>
      </c>
      <c r="AC165" s="80">
        <f>IF(Credit_Assumptions!$C$5=1,AC138,INDEX(Credit_Input!$Q$136:$Q$195,AC$4))</f>
        <v/>
      </c>
      <c r="AD165" s="80">
        <f>IF(Credit_Assumptions!$C$5=1,AD138,INDEX(Credit_Input!$Q$136:$Q$195,AD$4))</f>
        <v/>
      </c>
      <c r="AE165" s="80">
        <f>IF(Credit_Assumptions!$C$5=1,AE138,INDEX(Credit_Input!$Q$136:$Q$195,AE$4))</f>
        <v/>
      </c>
      <c r="AF165" s="80">
        <f>IF(Credit_Assumptions!$C$5=1,AF138,INDEX(Credit_Input!$Q$136:$Q$195,AF$4))</f>
        <v/>
      </c>
      <c r="AG165" s="80">
        <f>IF(Credit_Assumptions!$C$5=1,AG138,INDEX(Credit_Input!$Q$136:$Q$195,AG$4))</f>
        <v/>
      </c>
      <c r="AH165" s="80">
        <f>IF(Credit_Assumptions!$C$5=1,AH138,INDEX(Credit_Input!$Q$136:$Q$195,AH$4))</f>
        <v/>
      </c>
      <c r="AI165" s="80">
        <f>IF(Credit_Assumptions!$C$5=1,AI138,INDEX(Credit_Input!$Q$136:$Q$195,AI$4))</f>
        <v/>
      </c>
      <c r="AJ165" s="80">
        <f>IF(Credit_Assumptions!$C$5=1,AJ138,INDEX(Credit_Input!$Q$136:$Q$195,AJ$4))</f>
        <v/>
      </c>
      <c r="AK165" s="80">
        <f>IF(Credit_Assumptions!$C$5=1,AK138,INDEX(Credit_Input!$Q$136:$Q$195,AK$4))</f>
        <v/>
      </c>
      <c r="AL165" s="80">
        <f>IF(Credit_Assumptions!$C$5=1,AL138,INDEX(Credit_Input!$Q$136:$Q$195,AL$4))</f>
        <v/>
      </c>
      <c r="AM165" s="80">
        <f>IF(Credit_Assumptions!$C$5=1,AM138,INDEX(Credit_Input!$Q$136:$Q$195,AM$4))</f>
        <v/>
      </c>
      <c r="AN165" s="80">
        <f>IF(Credit_Assumptions!$C$5=1,AN138,INDEX(Credit_Input!$Q$136:$Q$195,AN$4))</f>
        <v/>
      </c>
      <c r="AO165" s="80">
        <f>IF(Credit_Assumptions!$C$5=1,AO138,INDEX(Credit_Input!$Q$136:$Q$195,AO$4))</f>
        <v/>
      </c>
      <c r="AP165" s="80">
        <f>IF(Credit_Assumptions!$C$5=1,AP138,INDEX(Credit_Input!$Q$136:$Q$195,AP$4))</f>
        <v/>
      </c>
      <c r="AQ165" s="80">
        <f>IF(Credit_Assumptions!$C$5=1,AQ138,INDEX(Credit_Input!$Q$136:$Q$195,AQ$4))</f>
        <v/>
      </c>
      <c r="AR165" s="80">
        <f>IF(Credit_Assumptions!$C$5=1,AR138,INDEX(Credit_Input!$Q$136:$Q$195,AR$4))</f>
        <v/>
      </c>
      <c r="AS165" s="80">
        <f>IF(Credit_Assumptions!$C$5=1,AS138,INDEX(Credit_Input!$Q$136:$Q$195,AS$4))</f>
        <v/>
      </c>
      <c r="AT165" s="80">
        <f>IF(Credit_Assumptions!$C$5=1,AT138,INDEX(Credit_Input!$Q$136:$Q$195,AT$4))</f>
        <v/>
      </c>
      <c r="AU165" s="80">
        <f>IF(Credit_Assumptions!$C$5=1,AU138,INDEX(Credit_Input!$Q$136:$Q$195,AU$4))</f>
        <v/>
      </c>
      <c r="AV165" s="80">
        <f>IF(Credit_Assumptions!$C$5=1,AV138,INDEX(Credit_Input!$Q$136:$Q$195,AV$4))</f>
        <v/>
      </c>
      <c r="AW165" s="80">
        <f>IF(Credit_Assumptions!$C$5=1,AW138,INDEX(Credit_Input!$Q$136:$Q$195,AW$4))</f>
        <v/>
      </c>
      <c r="AX165" s="80">
        <f>IF(Credit_Assumptions!$C$5=1,AX138,INDEX(Credit_Input!$Q$136:$Q$195,AX$4))</f>
        <v/>
      </c>
      <c r="AY165" s="80">
        <f>IF(Credit_Assumptions!$C$5=1,AY138,INDEX(Credit_Input!$Q$136:$Q$195,AY$4))</f>
        <v/>
      </c>
      <c r="AZ165" s="80">
        <f>IF(Credit_Assumptions!$C$5=1,AZ138,INDEX(Credit_Input!$Q$136:$Q$195,AZ$4))</f>
        <v/>
      </c>
      <c r="BA165" s="80">
        <f>IF(Credit_Assumptions!$C$5=1,BA138,INDEX(Credit_Input!$Q$136:$Q$195,BA$4))</f>
        <v/>
      </c>
      <c r="BB165" s="80">
        <f>IF(Credit_Assumptions!$C$5=1,BB138,INDEX(Credit_Input!$Q$136:$Q$195,BB$4))</f>
        <v/>
      </c>
      <c r="BC165" s="80">
        <f>IF(Credit_Assumptions!$C$5=1,BC138,INDEX(Credit_Input!$Q$136:$Q$195,BC$4))</f>
        <v/>
      </c>
      <c r="BD165" s="80">
        <f>IF(Credit_Assumptions!$C$5=1,BD138,INDEX(Credit_Input!$Q$136:$Q$195,BD$4))</f>
        <v/>
      </c>
      <c r="BE165" s="80">
        <f>IF(Credit_Assumptions!$C$5=1,BE138,INDEX(Credit_Input!$Q$136:$Q$195,BE$4))</f>
        <v/>
      </c>
      <c r="BF165" s="80">
        <f>IF(Credit_Assumptions!$C$5=1,BF138,INDEX(Credit_Input!$Q$136:$Q$195,BF$4))</f>
        <v/>
      </c>
      <c r="BG165" s="80">
        <f>IF(Credit_Assumptions!$C$5=1,BG138,INDEX(Credit_Input!$Q$136:$Q$195,BG$4))</f>
        <v/>
      </c>
      <c r="BH165" s="80">
        <f>IF(Credit_Assumptions!$C$5=1,BH138,INDEX(Credit_Input!$Q$136:$Q$195,BH$4))</f>
        <v/>
      </c>
      <c r="BI165" s="80">
        <f>IF(Credit_Assumptions!$C$5=1,BI138,INDEX(Credit_Input!$Q$136:$Q$195,BI$4))</f>
        <v/>
      </c>
      <c r="BJ165" s="80">
        <f>IF(Credit_Assumptions!$C$5=1,BJ138,INDEX(Credit_Input!$Q$136:$Q$195,BJ$4))</f>
        <v/>
      </c>
      <c r="BK165" s="80">
        <f>IF(Credit_Assumptions!$C$5=1,BK138,INDEX(Credit_Input!$Q$136:$Q$195,BK$4))</f>
        <v/>
      </c>
      <c r="BL165" s="80">
        <f>IF(Credit_Assumptions!$C$5=1,BL138,INDEX(Credit_Input!$Q$136:$Q$195,BL$4))</f>
        <v/>
      </c>
    </row>
    <row r="166">
      <c r="A166" s="98" t="inlineStr">
        <is>
          <t>Instalments due</t>
        </is>
      </c>
      <c r="B166" s="65" t="inlineStr">
        <is>
          <t>LCY</t>
        </is>
      </c>
      <c r="C166" s="105">
        <f>SUM(E166:BL166)</f>
        <v/>
      </c>
      <c r="E166" s="80">
        <f>IF(Credit_Assumptions!$C$5=1,E139,INDEX(Credit_Input!$R$136:$R$195,E$4))</f>
        <v/>
      </c>
      <c r="F166" s="80">
        <f>IF(Credit_Assumptions!$C$5=1,F139,INDEX(Credit_Input!$R$136:$R$195,F$4))</f>
        <v/>
      </c>
      <c r="G166" s="80">
        <f>IF(Credit_Assumptions!$C$5=1,G139,INDEX(Credit_Input!$R$136:$R$195,G$4))</f>
        <v/>
      </c>
      <c r="H166" s="80">
        <f>IF(Credit_Assumptions!$C$5=1,H139,INDEX(Credit_Input!$R$136:$R$195,H$4))</f>
        <v/>
      </c>
      <c r="I166" s="80">
        <f>IF(Credit_Assumptions!$C$5=1,I139,INDEX(Credit_Input!$R$136:$R$195,I$4))</f>
        <v/>
      </c>
      <c r="J166" s="80">
        <f>IF(Credit_Assumptions!$C$5=1,J139,INDEX(Credit_Input!$R$136:$R$195,J$4))</f>
        <v/>
      </c>
      <c r="K166" s="80">
        <f>IF(Credit_Assumptions!$C$5=1,K139,INDEX(Credit_Input!$R$136:$R$195,K$4))</f>
        <v/>
      </c>
      <c r="L166" s="80">
        <f>IF(Credit_Assumptions!$C$5=1,L139,INDEX(Credit_Input!$R$136:$R$195,L$4))</f>
        <v/>
      </c>
      <c r="M166" s="80">
        <f>IF(Credit_Assumptions!$C$5=1,M139,INDEX(Credit_Input!$R$136:$R$195,M$4))</f>
        <v/>
      </c>
      <c r="N166" s="80">
        <f>IF(Credit_Assumptions!$C$5=1,N139,INDEX(Credit_Input!$R$136:$R$195,N$4))</f>
        <v/>
      </c>
      <c r="O166" s="80">
        <f>IF(Credit_Assumptions!$C$5=1,O139,INDEX(Credit_Input!$R$136:$R$195,O$4))</f>
        <v/>
      </c>
      <c r="P166" s="80">
        <f>IF(Credit_Assumptions!$C$5=1,P139,INDEX(Credit_Input!$R$136:$R$195,P$4))</f>
        <v/>
      </c>
      <c r="Q166" s="80">
        <f>IF(Credit_Assumptions!$C$5=1,Q139,INDEX(Credit_Input!$R$136:$R$195,Q$4))</f>
        <v/>
      </c>
      <c r="R166" s="80">
        <f>IF(Credit_Assumptions!$C$5=1,R139,INDEX(Credit_Input!$R$136:$R$195,R$4))</f>
        <v/>
      </c>
      <c r="S166" s="80">
        <f>IF(Credit_Assumptions!$C$5=1,S139,INDEX(Credit_Input!$R$136:$R$195,S$4))</f>
        <v/>
      </c>
      <c r="T166" s="80">
        <f>IF(Credit_Assumptions!$C$5=1,T139,INDEX(Credit_Input!$R$136:$R$195,T$4))</f>
        <v/>
      </c>
      <c r="U166" s="80">
        <f>IF(Credit_Assumptions!$C$5=1,U139,INDEX(Credit_Input!$R$136:$R$195,U$4))</f>
        <v/>
      </c>
      <c r="V166" s="80">
        <f>IF(Credit_Assumptions!$C$5=1,V139,INDEX(Credit_Input!$R$136:$R$195,V$4))</f>
        <v/>
      </c>
      <c r="W166" s="80">
        <f>IF(Credit_Assumptions!$C$5=1,W139,INDEX(Credit_Input!$R$136:$R$195,W$4))</f>
        <v/>
      </c>
      <c r="X166" s="80">
        <f>IF(Credit_Assumptions!$C$5=1,X139,INDEX(Credit_Input!$R$136:$R$195,X$4))</f>
        <v/>
      </c>
      <c r="Y166" s="80">
        <f>IF(Credit_Assumptions!$C$5=1,Y139,INDEX(Credit_Input!$R$136:$R$195,Y$4))</f>
        <v/>
      </c>
      <c r="Z166" s="80">
        <f>IF(Credit_Assumptions!$C$5=1,Z139,INDEX(Credit_Input!$R$136:$R$195,Z$4))</f>
        <v/>
      </c>
      <c r="AA166" s="80">
        <f>IF(Credit_Assumptions!$C$5=1,AA139,INDEX(Credit_Input!$R$136:$R$195,AA$4))</f>
        <v/>
      </c>
      <c r="AB166" s="80">
        <f>IF(Credit_Assumptions!$C$5=1,AB139,INDEX(Credit_Input!$R$136:$R$195,AB$4))</f>
        <v/>
      </c>
      <c r="AC166" s="80">
        <f>IF(Credit_Assumptions!$C$5=1,AC139,INDEX(Credit_Input!$R$136:$R$195,AC$4))</f>
        <v/>
      </c>
      <c r="AD166" s="80">
        <f>IF(Credit_Assumptions!$C$5=1,AD139,INDEX(Credit_Input!$R$136:$R$195,AD$4))</f>
        <v/>
      </c>
      <c r="AE166" s="80">
        <f>IF(Credit_Assumptions!$C$5=1,AE139,INDEX(Credit_Input!$R$136:$R$195,AE$4))</f>
        <v/>
      </c>
      <c r="AF166" s="80">
        <f>IF(Credit_Assumptions!$C$5=1,AF139,INDEX(Credit_Input!$R$136:$R$195,AF$4))</f>
        <v/>
      </c>
      <c r="AG166" s="80">
        <f>IF(Credit_Assumptions!$C$5=1,AG139,INDEX(Credit_Input!$R$136:$R$195,AG$4))</f>
        <v/>
      </c>
      <c r="AH166" s="80">
        <f>IF(Credit_Assumptions!$C$5=1,AH139,INDEX(Credit_Input!$R$136:$R$195,AH$4))</f>
        <v/>
      </c>
      <c r="AI166" s="80">
        <f>IF(Credit_Assumptions!$C$5=1,AI139,INDEX(Credit_Input!$R$136:$R$195,AI$4))</f>
        <v/>
      </c>
      <c r="AJ166" s="80">
        <f>IF(Credit_Assumptions!$C$5=1,AJ139,INDEX(Credit_Input!$R$136:$R$195,AJ$4))</f>
        <v/>
      </c>
      <c r="AK166" s="80">
        <f>IF(Credit_Assumptions!$C$5=1,AK139,INDEX(Credit_Input!$R$136:$R$195,AK$4))</f>
        <v/>
      </c>
      <c r="AL166" s="80">
        <f>IF(Credit_Assumptions!$C$5=1,AL139,INDEX(Credit_Input!$R$136:$R$195,AL$4))</f>
        <v/>
      </c>
      <c r="AM166" s="80">
        <f>IF(Credit_Assumptions!$C$5=1,AM139,INDEX(Credit_Input!$R$136:$R$195,AM$4))</f>
        <v/>
      </c>
      <c r="AN166" s="80">
        <f>IF(Credit_Assumptions!$C$5=1,AN139,INDEX(Credit_Input!$R$136:$R$195,AN$4))</f>
        <v/>
      </c>
      <c r="AO166" s="80">
        <f>IF(Credit_Assumptions!$C$5=1,AO139,INDEX(Credit_Input!$R$136:$R$195,AO$4))</f>
        <v/>
      </c>
      <c r="AP166" s="80">
        <f>IF(Credit_Assumptions!$C$5=1,AP139,INDEX(Credit_Input!$R$136:$R$195,AP$4))</f>
        <v/>
      </c>
      <c r="AQ166" s="80">
        <f>IF(Credit_Assumptions!$C$5=1,AQ139,INDEX(Credit_Input!$R$136:$R$195,AQ$4))</f>
        <v/>
      </c>
      <c r="AR166" s="80">
        <f>IF(Credit_Assumptions!$C$5=1,AR139,INDEX(Credit_Input!$R$136:$R$195,AR$4))</f>
        <v/>
      </c>
      <c r="AS166" s="80">
        <f>IF(Credit_Assumptions!$C$5=1,AS139,INDEX(Credit_Input!$R$136:$R$195,AS$4))</f>
        <v/>
      </c>
      <c r="AT166" s="80">
        <f>IF(Credit_Assumptions!$C$5=1,AT139,INDEX(Credit_Input!$R$136:$R$195,AT$4))</f>
        <v/>
      </c>
      <c r="AU166" s="80">
        <f>IF(Credit_Assumptions!$C$5=1,AU139,INDEX(Credit_Input!$R$136:$R$195,AU$4))</f>
        <v/>
      </c>
      <c r="AV166" s="80">
        <f>IF(Credit_Assumptions!$C$5=1,AV139,INDEX(Credit_Input!$R$136:$R$195,AV$4))</f>
        <v/>
      </c>
      <c r="AW166" s="80">
        <f>IF(Credit_Assumptions!$C$5=1,AW139,INDEX(Credit_Input!$R$136:$R$195,AW$4))</f>
        <v/>
      </c>
      <c r="AX166" s="80">
        <f>IF(Credit_Assumptions!$C$5=1,AX139,INDEX(Credit_Input!$R$136:$R$195,AX$4))</f>
        <v/>
      </c>
      <c r="AY166" s="80">
        <f>IF(Credit_Assumptions!$C$5=1,AY139,INDEX(Credit_Input!$R$136:$R$195,AY$4))</f>
        <v/>
      </c>
      <c r="AZ166" s="80">
        <f>IF(Credit_Assumptions!$C$5=1,AZ139,INDEX(Credit_Input!$R$136:$R$195,AZ$4))</f>
        <v/>
      </c>
      <c r="BA166" s="80">
        <f>IF(Credit_Assumptions!$C$5=1,BA139,INDEX(Credit_Input!$R$136:$R$195,BA$4))</f>
        <v/>
      </c>
      <c r="BB166" s="80">
        <f>IF(Credit_Assumptions!$C$5=1,BB139,INDEX(Credit_Input!$R$136:$R$195,BB$4))</f>
        <v/>
      </c>
      <c r="BC166" s="80">
        <f>IF(Credit_Assumptions!$C$5=1,BC139,INDEX(Credit_Input!$R$136:$R$195,BC$4))</f>
        <v/>
      </c>
      <c r="BD166" s="80">
        <f>IF(Credit_Assumptions!$C$5=1,BD139,INDEX(Credit_Input!$R$136:$R$195,BD$4))</f>
        <v/>
      </c>
      <c r="BE166" s="80">
        <f>IF(Credit_Assumptions!$C$5=1,BE139,INDEX(Credit_Input!$R$136:$R$195,BE$4))</f>
        <v/>
      </c>
      <c r="BF166" s="80">
        <f>IF(Credit_Assumptions!$C$5=1,BF139,INDEX(Credit_Input!$R$136:$R$195,BF$4))</f>
        <v/>
      </c>
      <c r="BG166" s="80">
        <f>IF(Credit_Assumptions!$C$5=1,BG139,INDEX(Credit_Input!$R$136:$R$195,BG$4))</f>
        <v/>
      </c>
      <c r="BH166" s="80">
        <f>IF(Credit_Assumptions!$C$5=1,BH139,INDEX(Credit_Input!$R$136:$R$195,BH$4))</f>
        <v/>
      </c>
      <c r="BI166" s="80">
        <f>IF(Credit_Assumptions!$C$5=1,BI139,INDEX(Credit_Input!$R$136:$R$195,BI$4))</f>
        <v/>
      </c>
      <c r="BJ166" s="80">
        <f>IF(Credit_Assumptions!$C$5=1,BJ139,INDEX(Credit_Input!$R$136:$R$195,BJ$4))</f>
        <v/>
      </c>
      <c r="BK166" s="80">
        <f>IF(Credit_Assumptions!$C$5=1,BK139,INDEX(Credit_Input!$R$136:$R$195,BK$4))</f>
        <v/>
      </c>
      <c r="BL166" s="80">
        <f>IF(Credit_Assumptions!$C$5=1,BL139,INDEX(Credit_Input!$R$136:$R$195,BL$4))</f>
        <v/>
      </c>
    </row>
    <row r="167">
      <c r="A167" s="98" t="inlineStr">
        <is>
          <t>Ownership events (unlocks)</t>
        </is>
      </c>
      <c r="B167" s="65" t="inlineStr">
        <is>
          <t>LCY</t>
        </is>
      </c>
      <c r="C167" s="105">
        <f>SUM(E167:BL167)</f>
        <v/>
      </c>
      <c r="E167" s="80">
        <f>IF(Credit_Assumptions!$C$5=1,E140,INDEX(Credit_Input!$S$136:$S$195,E$4))</f>
        <v/>
      </c>
      <c r="F167" s="80">
        <f>IF(Credit_Assumptions!$C$5=1,F140,INDEX(Credit_Input!$S$136:$S$195,F$4))</f>
        <v/>
      </c>
      <c r="G167" s="80">
        <f>IF(Credit_Assumptions!$C$5=1,G140,INDEX(Credit_Input!$S$136:$S$195,G$4))</f>
        <v/>
      </c>
      <c r="H167" s="80">
        <f>IF(Credit_Assumptions!$C$5=1,H140,INDEX(Credit_Input!$S$136:$S$195,H$4))</f>
        <v/>
      </c>
      <c r="I167" s="80">
        <f>IF(Credit_Assumptions!$C$5=1,I140,INDEX(Credit_Input!$S$136:$S$195,I$4))</f>
        <v/>
      </c>
      <c r="J167" s="80">
        <f>IF(Credit_Assumptions!$C$5=1,J140,INDEX(Credit_Input!$S$136:$S$195,J$4))</f>
        <v/>
      </c>
      <c r="K167" s="80">
        <f>IF(Credit_Assumptions!$C$5=1,K140,INDEX(Credit_Input!$S$136:$S$195,K$4))</f>
        <v/>
      </c>
      <c r="L167" s="80">
        <f>IF(Credit_Assumptions!$C$5=1,L140,INDEX(Credit_Input!$S$136:$S$195,L$4))</f>
        <v/>
      </c>
      <c r="M167" s="80">
        <f>IF(Credit_Assumptions!$C$5=1,M140,INDEX(Credit_Input!$S$136:$S$195,M$4))</f>
        <v/>
      </c>
      <c r="N167" s="80">
        <f>IF(Credit_Assumptions!$C$5=1,N140,INDEX(Credit_Input!$S$136:$S$195,N$4))</f>
        <v/>
      </c>
      <c r="O167" s="80">
        <f>IF(Credit_Assumptions!$C$5=1,O140,INDEX(Credit_Input!$S$136:$S$195,O$4))</f>
        <v/>
      </c>
      <c r="P167" s="80">
        <f>IF(Credit_Assumptions!$C$5=1,P140,INDEX(Credit_Input!$S$136:$S$195,P$4))</f>
        <v/>
      </c>
      <c r="Q167" s="80">
        <f>IF(Credit_Assumptions!$C$5=1,Q140,INDEX(Credit_Input!$S$136:$S$195,Q$4))</f>
        <v/>
      </c>
      <c r="R167" s="80">
        <f>IF(Credit_Assumptions!$C$5=1,R140,INDEX(Credit_Input!$S$136:$S$195,R$4))</f>
        <v/>
      </c>
      <c r="S167" s="80">
        <f>IF(Credit_Assumptions!$C$5=1,S140,INDEX(Credit_Input!$S$136:$S$195,S$4))</f>
        <v/>
      </c>
      <c r="T167" s="80">
        <f>IF(Credit_Assumptions!$C$5=1,T140,INDEX(Credit_Input!$S$136:$S$195,T$4))</f>
        <v/>
      </c>
      <c r="U167" s="80">
        <f>IF(Credit_Assumptions!$C$5=1,U140,INDEX(Credit_Input!$S$136:$S$195,U$4))</f>
        <v/>
      </c>
      <c r="V167" s="80">
        <f>IF(Credit_Assumptions!$C$5=1,V140,INDEX(Credit_Input!$S$136:$S$195,V$4))</f>
        <v/>
      </c>
      <c r="W167" s="80">
        <f>IF(Credit_Assumptions!$C$5=1,W140,INDEX(Credit_Input!$S$136:$S$195,W$4))</f>
        <v/>
      </c>
      <c r="X167" s="80">
        <f>IF(Credit_Assumptions!$C$5=1,X140,INDEX(Credit_Input!$S$136:$S$195,X$4))</f>
        <v/>
      </c>
      <c r="Y167" s="80">
        <f>IF(Credit_Assumptions!$C$5=1,Y140,INDEX(Credit_Input!$S$136:$S$195,Y$4))</f>
        <v/>
      </c>
      <c r="Z167" s="80">
        <f>IF(Credit_Assumptions!$C$5=1,Z140,INDEX(Credit_Input!$S$136:$S$195,Z$4))</f>
        <v/>
      </c>
      <c r="AA167" s="80">
        <f>IF(Credit_Assumptions!$C$5=1,AA140,INDEX(Credit_Input!$S$136:$S$195,AA$4))</f>
        <v/>
      </c>
      <c r="AB167" s="80">
        <f>IF(Credit_Assumptions!$C$5=1,AB140,INDEX(Credit_Input!$S$136:$S$195,AB$4))</f>
        <v/>
      </c>
      <c r="AC167" s="80">
        <f>IF(Credit_Assumptions!$C$5=1,AC140,INDEX(Credit_Input!$S$136:$S$195,AC$4))</f>
        <v/>
      </c>
      <c r="AD167" s="80">
        <f>IF(Credit_Assumptions!$C$5=1,AD140,INDEX(Credit_Input!$S$136:$S$195,AD$4))</f>
        <v/>
      </c>
      <c r="AE167" s="80">
        <f>IF(Credit_Assumptions!$C$5=1,AE140,INDEX(Credit_Input!$S$136:$S$195,AE$4))</f>
        <v/>
      </c>
      <c r="AF167" s="80">
        <f>IF(Credit_Assumptions!$C$5=1,AF140,INDEX(Credit_Input!$S$136:$S$195,AF$4))</f>
        <v/>
      </c>
      <c r="AG167" s="80">
        <f>IF(Credit_Assumptions!$C$5=1,AG140,INDEX(Credit_Input!$S$136:$S$195,AG$4))</f>
        <v/>
      </c>
      <c r="AH167" s="80">
        <f>IF(Credit_Assumptions!$C$5=1,AH140,INDEX(Credit_Input!$S$136:$S$195,AH$4))</f>
        <v/>
      </c>
      <c r="AI167" s="80">
        <f>IF(Credit_Assumptions!$C$5=1,AI140,INDEX(Credit_Input!$S$136:$S$195,AI$4))</f>
        <v/>
      </c>
      <c r="AJ167" s="80">
        <f>IF(Credit_Assumptions!$C$5=1,AJ140,INDEX(Credit_Input!$S$136:$S$195,AJ$4))</f>
        <v/>
      </c>
      <c r="AK167" s="80">
        <f>IF(Credit_Assumptions!$C$5=1,AK140,INDEX(Credit_Input!$S$136:$S$195,AK$4))</f>
        <v/>
      </c>
      <c r="AL167" s="80">
        <f>IF(Credit_Assumptions!$C$5=1,AL140,INDEX(Credit_Input!$S$136:$S$195,AL$4))</f>
        <v/>
      </c>
      <c r="AM167" s="80">
        <f>IF(Credit_Assumptions!$C$5=1,AM140,INDEX(Credit_Input!$S$136:$S$195,AM$4))</f>
        <v/>
      </c>
      <c r="AN167" s="80">
        <f>IF(Credit_Assumptions!$C$5=1,AN140,INDEX(Credit_Input!$S$136:$S$195,AN$4))</f>
        <v/>
      </c>
      <c r="AO167" s="80">
        <f>IF(Credit_Assumptions!$C$5=1,AO140,INDEX(Credit_Input!$S$136:$S$195,AO$4))</f>
        <v/>
      </c>
      <c r="AP167" s="80">
        <f>IF(Credit_Assumptions!$C$5=1,AP140,INDEX(Credit_Input!$S$136:$S$195,AP$4))</f>
        <v/>
      </c>
      <c r="AQ167" s="80">
        <f>IF(Credit_Assumptions!$C$5=1,AQ140,INDEX(Credit_Input!$S$136:$S$195,AQ$4))</f>
        <v/>
      </c>
      <c r="AR167" s="80">
        <f>IF(Credit_Assumptions!$C$5=1,AR140,INDEX(Credit_Input!$S$136:$S$195,AR$4))</f>
        <v/>
      </c>
      <c r="AS167" s="80">
        <f>IF(Credit_Assumptions!$C$5=1,AS140,INDEX(Credit_Input!$S$136:$S$195,AS$4))</f>
        <v/>
      </c>
      <c r="AT167" s="80">
        <f>IF(Credit_Assumptions!$C$5=1,AT140,INDEX(Credit_Input!$S$136:$S$195,AT$4))</f>
        <v/>
      </c>
      <c r="AU167" s="80">
        <f>IF(Credit_Assumptions!$C$5=1,AU140,INDEX(Credit_Input!$S$136:$S$195,AU$4))</f>
        <v/>
      </c>
      <c r="AV167" s="80">
        <f>IF(Credit_Assumptions!$C$5=1,AV140,INDEX(Credit_Input!$S$136:$S$195,AV$4))</f>
        <v/>
      </c>
      <c r="AW167" s="80">
        <f>IF(Credit_Assumptions!$C$5=1,AW140,INDEX(Credit_Input!$S$136:$S$195,AW$4))</f>
        <v/>
      </c>
      <c r="AX167" s="80">
        <f>IF(Credit_Assumptions!$C$5=1,AX140,INDEX(Credit_Input!$S$136:$S$195,AX$4))</f>
        <v/>
      </c>
      <c r="AY167" s="80">
        <f>IF(Credit_Assumptions!$C$5=1,AY140,INDEX(Credit_Input!$S$136:$S$195,AY$4))</f>
        <v/>
      </c>
      <c r="AZ167" s="80">
        <f>IF(Credit_Assumptions!$C$5=1,AZ140,INDEX(Credit_Input!$S$136:$S$195,AZ$4))</f>
        <v/>
      </c>
      <c r="BA167" s="80">
        <f>IF(Credit_Assumptions!$C$5=1,BA140,INDEX(Credit_Input!$S$136:$S$195,BA$4))</f>
        <v/>
      </c>
      <c r="BB167" s="80">
        <f>IF(Credit_Assumptions!$C$5=1,BB140,INDEX(Credit_Input!$S$136:$S$195,BB$4))</f>
        <v/>
      </c>
      <c r="BC167" s="80">
        <f>IF(Credit_Assumptions!$C$5=1,BC140,INDEX(Credit_Input!$S$136:$S$195,BC$4))</f>
        <v/>
      </c>
      <c r="BD167" s="80">
        <f>IF(Credit_Assumptions!$C$5=1,BD140,INDEX(Credit_Input!$S$136:$S$195,BD$4))</f>
        <v/>
      </c>
      <c r="BE167" s="80">
        <f>IF(Credit_Assumptions!$C$5=1,BE140,INDEX(Credit_Input!$S$136:$S$195,BE$4))</f>
        <v/>
      </c>
      <c r="BF167" s="80">
        <f>IF(Credit_Assumptions!$C$5=1,BF140,INDEX(Credit_Input!$S$136:$S$195,BF$4))</f>
        <v/>
      </c>
      <c r="BG167" s="80">
        <f>IF(Credit_Assumptions!$C$5=1,BG140,INDEX(Credit_Input!$S$136:$S$195,BG$4))</f>
        <v/>
      </c>
      <c r="BH167" s="80">
        <f>IF(Credit_Assumptions!$C$5=1,BH140,INDEX(Credit_Input!$S$136:$S$195,BH$4))</f>
        <v/>
      </c>
      <c r="BI167" s="80">
        <f>IF(Credit_Assumptions!$C$5=1,BI140,INDEX(Credit_Input!$S$136:$S$195,BI$4))</f>
        <v/>
      </c>
      <c r="BJ167" s="80">
        <f>IF(Credit_Assumptions!$C$5=1,BJ140,INDEX(Credit_Input!$S$136:$S$195,BJ$4))</f>
        <v/>
      </c>
      <c r="BK167" s="80">
        <f>IF(Credit_Assumptions!$C$5=1,BK140,INDEX(Credit_Input!$S$136:$S$195,BK$4))</f>
        <v/>
      </c>
      <c r="BL167" s="80">
        <f>IF(Credit_Assumptions!$C$5=1,BL140,INDEX(Credit_Input!$S$136:$S$195,BL$4))</f>
        <v/>
      </c>
    </row>
    <row r="168">
      <c r="A168" s="98" t="inlineStr">
        <is>
          <t>Observed repayment rate (collections / due)</t>
        </is>
      </c>
      <c r="B168" s="65" t="inlineStr">
        <is>
          <t>%</t>
        </is>
      </c>
      <c r="E168" s="81">
        <f>IF(E166=0,0,E165/E166)</f>
        <v/>
      </c>
      <c r="F168" s="81">
        <f>IF(F166=0,0,F165/F166)</f>
        <v/>
      </c>
      <c r="G168" s="81">
        <f>IF(G166=0,0,G165/G166)</f>
        <v/>
      </c>
      <c r="H168" s="81">
        <f>IF(H166=0,0,H165/H166)</f>
        <v/>
      </c>
      <c r="I168" s="81">
        <f>IF(I166=0,0,I165/I166)</f>
        <v/>
      </c>
      <c r="J168" s="81">
        <f>IF(J166=0,0,J165/J166)</f>
        <v/>
      </c>
      <c r="K168" s="81">
        <f>IF(K166=0,0,K165/K166)</f>
        <v/>
      </c>
      <c r="L168" s="81">
        <f>IF(L166=0,0,L165/L166)</f>
        <v/>
      </c>
      <c r="M168" s="81">
        <f>IF(M166=0,0,M165/M166)</f>
        <v/>
      </c>
      <c r="N168" s="81">
        <f>IF(N166=0,0,N165/N166)</f>
        <v/>
      </c>
      <c r="O168" s="81">
        <f>IF(O166=0,0,O165/O166)</f>
        <v/>
      </c>
      <c r="P168" s="81">
        <f>IF(P166=0,0,P165/P166)</f>
        <v/>
      </c>
      <c r="Q168" s="81">
        <f>IF(Q166=0,0,Q165/Q166)</f>
        <v/>
      </c>
      <c r="R168" s="81">
        <f>IF(R166=0,0,R165/R166)</f>
        <v/>
      </c>
      <c r="S168" s="81">
        <f>IF(S166=0,0,S165/S166)</f>
        <v/>
      </c>
      <c r="T168" s="81">
        <f>IF(T166=0,0,T165/T166)</f>
        <v/>
      </c>
      <c r="U168" s="81">
        <f>IF(U166=0,0,U165/U166)</f>
        <v/>
      </c>
      <c r="V168" s="81">
        <f>IF(V166=0,0,V165/V166)</f>
        <v/>
      </c>
      <c r="W168" s="81">
        <f>IF(W166=0,0,W165/W166)</f>
        <v/>
      </c>
      <c r="X168" s="81">
        <f>IF(X166=0,0,X165/X166)</f>
        <v/>
      </c>
      <c r="Y168" s="81">
        <f>IF(Y166=0,0,Y165/Y166)</f>
        <v/>
      </c>
      <c r="Z168" s="81">
        <f>IF(Z166=0,0,Z165/Z166)</f>
        <v/>
      </c>
      <c r="AA168" s="81">
        <f>IF(AA166=0,0,AA165/AA166)</f>
        <v/>
      </c>
      <c r="AB168" s="81">
        <f>IF(AB166=0,0,AB165/AB166)</f>
        <v/>
      </c>
      <c r="AC168" s="81">
        <f>IF(AC166=0,0,AC165/AC166)</f>
        <v/>
      </c>
      <c r="AD168" s="81">
        <f>IF(AD166=0,0,AD165/AD166)</f>
        <v/>
      </c>
      <c r="AE168" s="81">
        <f>IF(AE166=0,0,AE165/AE166)</f>
        <v/>
      </c>
      <c r="AF168" s="81">
        <f>IF(AF166=0,0,AF165/AF166)</f>
        <v/>
      </c>
      <c r="AG168" s="81">
        <f>IF(AG166=0,0,AG165/AG166)</f>
        <v/>
      </c>
      <c r="AH168" s="81">
        <f>IF(AH166=0,0,AH165/AH166)</f>
        <v/>
      </c>
      <c r="AI168" s="81">
        <f>IF(AI166=0,0,AI165/AI166)</f>
        <v/>
      </c>
      <c r="AJ168" s="81">
        <f>IF(AJ166=0,0,AJ165/AJ166)</f>
        <v/>
      </c>
      <c r="AK168" s="81">
        <f>IF(AK166=0,0,AK165/AK166)</f>
        <v/>
      </c>
      <c r="AL168" s="81">
        <f>IF(AL166=0,0,AL165/AL166)</f>
        <v/>
      </c>
      <c r="AM168" s="81">
        <f>IF(AM166=0,0,AM165/AM166)</f>
        <v/>
      </c>
      <c r="AN168" s="81">
        <f>IF(AN166=0,0,AN165/AN166)</f>
        <v/>
      </c>
      <c r="AO168" s="81">
        <f>IF(AO166=0,0,AO165/AO166)</f>
        <v/>
      </c>
      <c r="AP168" s="81">
        <f>IF(AP166=0,0,AP165/AP166)</f>
        <v/>
      </c>
      <c r="AQ168" s="81">
        <f>IF(AQ166=0,0,AQ165/AQ166)</f>
        <v/>
      </c>
      <c r="AR168" s="81">
        <f>IF(AR166=0,0,AR165/AR166)</f>
        <v/>
      </c>
      <c r="AS168" s="81">
        <f>IF(AS166=0,0,AS165/AS166)</f>
        <v/>
      </c>
      <c r="AT168" s="81">
        <f>IF(AT166=0,0,AT165/AT166)</f>
        <v/>
      </c>
      <c r="AU168" s="81">
        <f>IF(AU166=0,0,AU165/AU166)</f>
        <v/>
      </c>
      <c r="AV168" s="81">
        <f>IF(AV166=0,0,AV165/AV166)</f>
        <v/>
      </c>
      <c r="AW168" s="81">
        <f>IF(AW166=0,0,AW165/AW166)</f>
        <v/>
      </c>
      <c r="AX168" s="81">
        <f>IF(AX166=0,0,AX165/AX166)</f>
        <v/>
      </c>
      <c r="AY168" s="81">
        <f>IF(AY166=0,0,AY165/AY166)</f>
        <v/>
      </c>
      <c r="AZ168" s="81">
        <f>IF(AZ166=0,0,AZ165/AZ166)</f>
        <v/>
      </c>
      <c r="BA168" s="81">
        <f>IF(BA166=0,0,BA165/BA166)</f>
        <v/>
      </c>
      <c r="BB168" s="81">
        <f>IF(BB166=0,0,BB165/BB166)</f>
        <v/>
      </c>
      <c r="BC168" s="81">
        <f>IF(BC166=0,0,BC165/BC166)</f>
        <v/>
      </c>
      <c r="BD168" s="81">
        <f>IF(BD166=0,0,BD165/BD166)</f>
        <v/>
      </c>
      <c r="BE168" s="81">
        <f>IF(BE166=0,0,BE165/BE166)</f>
        <v/>
      </c>
      <c r="BF168" s="81">
        <f>IF(BF166=0,0,BF165/BF166)</f>
        <v/>
      </c>
      <c r="BG168" s="81">
        <f>IF(BG166=0,0,BG165/BG166)</f>
        <v/>
      </c>
      <c r="BH168" s="81">
        <f>IF(BH166=0,0,BH165/BH166)</f>
        <v/>
      </c>
      <c r="BI168" s="81">
        <f>IF(BI166=0,0,BI165/BI166)</f>
        <v/>
      </c>
      <c r="BJ168" s="81">
        <f>IF(BJ166=0,0,BJ165/BJ166)</f>
        <v/>
      </c>
      <c r="BK168" s="81">
        <f>IF(BK166=0,0,BK165/BK166)</f>
        <v/>
      </c>
      <c r="BL168" s="81">
        <f>IF(BL166=0,0,BL165/BL166)</f>
        <v/>
      </c>
    </row>
    <row r="169">
      <c r="A169" s="98" t="inlineStr">
        <is>
          <t>12-month PD proxy (NOT an audited IFRS 9 PD)</t>
        </is>
      </c>
      <c r="B169" s="65" t="inlineStr">
        <is>
          <t>%</t>
        </is>
      </c>
      <c r="E169" s="81">
        <f>IF(Credit_Assumptions!$C$5=1,E142,IFERROR(SUM(E164:E164)/AVERAGE(E150:E150),0))</f>
        <v/>
      </c>
      <c r="F169" s="81">
        <f>IF(Credit_Assumptions!$C$5=1,F142,IFERROR(SUM(E164:F164)/AVERAGE(E150:F150),0))</f>
        <v/>
      </c>
      <c r="G169" s="81">
        <f>IF(Credit_Assumptions!$C$5=1,G142,IFERROR(SUM(E164:G164)/AVERAGE(E150:G150),0))</f>
        <v/>
      </c>
      <c r="H169" s="81">
        <f>IF(Credit_Assumptions!$C$5=1,H142,IFERROR(SUM(E164:H164)/AVERAGE(E150:H150),0))</f>
        <v/>
      </c>
      <c r="I169" s="81">
        <f>IF(Credit_Assumptions!$C$5=1,I142,IFERROR(SUM(E164:I164)/AVERAGE(E150:I150),0))</f>
        <v/>
      </c>
      <c r="J169" s="81">
        <f>IF(Credit_Assumptions!$C$5=1,J142,IFERROR(SUM(E164:J164)/AVERAGE(E150:J150),0))</f>
        <v/>
      </c>
      <c r="K169" s="81">
        <f>IF(Credit_Assumptions!$C$5=1,K142,IFERROR(SUM(E164:K164)/AVERAGE(E150:K150),0))</f>
        <v/>
      </c>
      <c r="L169" s="81">
        <f>IF(Credit_Assumptions!$C$5=1,L142,IFERROR(SUM(E164:L164)/AVERAGE(E150:L150),0))</f>
        <v/>
      </c>
      <c r="M169" s="81">
        <f>IF(Credit_Assumptions!$C$5=1,M142,IFERROR(SUM(E164:M164)/AVERAGE(E150:M150),0))</f>
        <v/>
      </c>
      <c r="N169" s="81">
        <f>IF(Credit_Assumptions!$C$5=1,N142,IFERROR(SUM(E164:N164)/AVERAGE(E150:N150),0))</f>
        <v/>
      </c>
      <c r="O169" s="81">
        <f>IF(Credit_Assumptions!$C$5=1,O142,IFERROR(SUM(E164:O164)/AVERAGE(E150:O150),0))</f>
        <v/>
      </c>
      <c r="P169" s="81">
        <f>IF(Credit_Assumptions!$C$5=1,P142,IFERROR(SUM(E164:P164)/AVERAGE(E150:P150),0))</f>
        <v/>
      </c>
      <c r="Q169" s="81">
        <f>IF(Credit_Assumptions!$C$5=1,Q142,IFERROR(SUM(F164:Q164)/AVERAGE(F150:Q150),0))</f>
        <v/>
      </c>
      <c r="R169" s="81">
        <f>IF(Credit_Assumptions!$C$5=1,R142,IFERROR(SUM(G164:R164)/AVERAGE(G150:R150),0))</f>
        <v/>
      </c>
      <c r="S169" s="81">
        <f>IF(Credit_Assumptions!$C$5=1,S142,IFERROR(SUM(H164:S164)/AVERAGE(H150:S150),0))</f>
        <v/>
      </c>
      <c r="T169" s="81">
        <f>IF(Credit_Assumptions!$C$5=1,T142,IFERROR(SUM(I164:T164)/AVERAGE(I150:T150),0))</f>
        <v/>
      </c>
      <c r="U169" s="81">
        <f>IF(Credit_Assumptions!$C$5=1,U142,IFERROR(SUM(J164:U164)/AVERAGE(J150:U150),0))</f>
        <v/>
      </c>
      <c r="V169" s="81">
        <f>IF(Credit_Assumptions!$C$5=1,V142,IFERROR(SUM(K164:V164)/AVERAGE(K150:V150),0))</f>
        <v/>
      </c>
      <c r="W169" s="81">
        <f>IF(Credit_Assumptions!$C$5=1,W142,IFERROR(SUM(L164:W164)/AVERAGE(L150:W150),0))</f>
        <v/>
      </c>
      <c r="X169" s="81">
        <f>IF(Credit_Assumptions!$C$5=1,X142,IFERROR(SUM(M164:X164)/AVERAGE(M150:X150),0))</f>
        <v/>
      </c>
      <c r="Y169" s="81">
        <f>IF(Credit_Assumptions!$C$5=1,Y142,IFERROR(SUM(N164:Y164)/AVERAGE(N150:Y150),0))</f>
        <v/>
      </c>
      <c r="Z169" s="81">
        <f>IF(Credit_Assumptions!$C$5=1,Z142,IFERROR(SUM(O164:Z164)/AVERAGE(O150:Z150),0))</f>
        <v/>
      </c>
      <c r="AA169" s="81">
        <f>IF(Credit_Assumptions!$C$5=1,AA142,IFERROR(SUM(P164:AA164)/AVERAGE(P150:AA150),0))</f>
        <v/>
      </c>
      <c r="AB169" s="81">
        <f>IF(Credit_Assumptions!$C$5=1,AB142,IFERROR(SUM(Q164:AB164)/AVERAGE(Q150:AB150),0))</f>
        <v/>
      </c>
      <c r="AC169" s="81">
        <f>IF(Credit_Assumptions!$C$5=1,AC142,IFERROR(SUM(R164:AC164)/AVERAGE(R150:AC150),0))</f>
        <v/>
      </c>
      <c r="AD169" s="81">
        <f>IF(Credit_Assumptions!$C$5=1,AD142,IFERROR(SUM(S164:AD164)/AVERAGE(S150:AD150),0))</f>
        <v/>
      </c>
      <c r="AE169" s="81">
        <f>IF(Credit_Assumptions!$C$5=1,AE142,IFERROR(SUM(T164:AE164)/AVERAGE(T150:AE150),0))</f>
        <v/>
      </c>
      <c r="AF169" s="81">
        <f>IF(Credit_Assumptions!$C$5=1,AF142,IFERROR(SUM(U164:AF164)/AVERAGE(U150:AF150),0))</f>
        <v/>
      </c>
      <c r="AG169" s="81">
        <f>IF(Credit_Assumptions!$C$5=1,AG142,IFERROR(SUM(V164:AG164)/AVERAGE(V150:AG150),0))</f>
        <v/>
      </c>
      <c r="AH169" s="81">
        <f>IF(Credit_Assumptions!$C$5=1,AH142,IFERROR(SUM(W164:AH164)/AVERAGE(W150:AH150),0))</f>
        <v/>
      </c>
      <c r="AI169" s="81">
        <f>IF(Credit_Assumptions!$C$5=1,AI142,IFERROR(SUM(X164:AI164)/AVERAGE(X150:AI150),0))</f>
        <v/>
      </c>
      <c r="AJ169" s="81">
        <f>IF(Credit_Assumptions!$C$5=1,AJ142,IFERROR(SUM(Y164:AJ164)/AVERAGE(Y150:AJ150),0))</f>
        <v/>
      </c>
      <c r="AK169" s="81">
        <f>IF(Credit_Assumptions!$C$5=1,AK142,IFERROR(SUM(Z164:AK164)/AVERAGE(Z150:AK150),0))</f>
        <v/>
      </c>
      <c r="AL169" s="81">
        <f>IF(Credit_Assumptions!$C$5=1,AL142,IFERROR(SUM(AA164:AL164)/AVERAGE(AA150:AL150),0))</f>
        <v/>
      </c>
      <c r="AM169" s="81">
        <f>IF(Credit_Assumptions!$C$5=1,AM142,IFERROR(SUM(AB164:AM164)/AVERAGE(AB150:AM150),0))</f>
        <v/>
      </c>
      <c r="AN169" s="81">
        <f>IF(Credit_Assumptions!$C$5=1,AN142,IFERROR(SUM(AC164:AN164)/AVERAGE(AC150:AN150),0))</f>
        <v/>
      </c>
      <c r="AO169" s="81">
        <f>IF(Credit_Assumptions!$C$5=1,AO142,IFERROR(SUM(AD164:AO164)/AVERAGE(AD150:AO150),0))</f>
        <v/>
      </c>
      <c r="AP169" s="81">
        <f>IF(Credit_Assumptions!$C$5=1,AP142,IFERROR(SUM(AE164:AP164)/AVERAGE(AE150:AP150),0))</f>
        <v/>
      </c>
      <c r="AQ169" s="81">
        <f>IF(Credit_Assumptions!$C$5=1,AQ142,IFERROR(SUM(AF164:AQ164)/AVERAGE(AF150:AQ150),0))</f>
        <v/>
      </c>
      <c r="AR169" s="81">
        <f>IF(Credit_Assumptions!$C$5=1,AR142,IFERROR(SUM(AG164:AR164)/AVERAGE(AG150:AR150),0))</f>
        <v/>
      </c>
      <c r="AS169" s="81">
        <f>IF(Credit_Assumptions!$C$5=1,AS142,IFERROR(SUM(AH164:AS164)/AVERAGE(AH150:AS150),0))</f>
        <v/>
      </c>
      <c r="AT169" s="81">
        <f>IF(Credit_Assumptions!$C$5=1,AT142,IFERROR(SUM(AI164:AT164)/AVERAGE(AI150:AT150),0))</f>
        <v/>
      </c>
      <c r="AU169" s="81">
        <f>IF(Credit_Assumptions!$C$5=1,AU142,IFERROR(SUM(AJ164:AU164)/AVERAGE(AJ150:AU150),0))</f>
        <v/>
      </c>
      <c r="AV169" s="81">
        <f>IF(Credit_Assumptions!$C$5=1,AV142,IFERROR(SUM(AK164:AV164)/AVERAGE(AK150:AV150),0))</f>
        <v/>
      </c>
      <c r="AW169" s="81">
        <f>IF(Credit_Assumptions!$C$5=1,AW142,IFERROR(SUM(AL164:AW164)/AVERAGE(AL150:AW150),0))</f>
        <v/>
      </c>
      <c r="AX169" s="81">
        <f>IF(Credit_Assumptions!$C$5=1,AX142,IFERROR(SUM(AM164:AX164)/AVERAGE(AM150:AX150),0))</f>
        <v/>
      </c>
      <c r="AY169" s="81">
        <f>IF(Credit_Assumptions!$C$5=1,AY142,IFERROR(SUM(AN164:AY164)/AVERAGE(AN150:AY150),0))</f>
        <v/>
      </c>
      <c r="AZ169" s="81">
        <f>IF(Credit_Assumptions!$C$5=1,AZ142,IFERROR(SUM(AO164:AZ164)/AVERAGE(AO150:AZ150),0))</f>
        <v/>
      </c>
      <c r="BA169" s="81">
        <f>IF(Credit_Assumptions!$C$5=1,BA142,IFERROR(SUM(AP164:BA164)/AVERAGE(AP150:BA150),0))</f>
        <v/>
      </c>
      <c r="BB169" s="81">
        <f>IF(Credit_Assumptions!$C$5=1,BB142,IFERROR(SUM(AQ164:BB164)/AVERAGE(AQ150:BB150),0))</f>
        <v/>
      </c>
      <c r="BC169" s="81">
        <f>IF(Credit_Assumptions!$C$5=1,BC142,IFERROR(SUM(AR164:BC164)/AVERAGE(AR150:BC150),0))</f>
        <v/>
      </c>
      <c r="BD169" s="81">
        <f>IF(Credit_Assumptions!$C$5=1,BD142,IFERROR(SUM(AS164:BD164)/AVERAGE(AS150:BD150),0))</f>
        <v/>
      </c>
      <c r="BE169" s="81">
        <f>IF(Credit_Assumptions!$C$5=1,BE142,IFERROR(SUM(AT164:BE164)/AVERAGE(AT150:BE150),0))</f>
        <v/>
      </c>
      <c r="BF169" s="81">
        <f>IF(Credit_Assumptions!$C$5=1,BF142,IFERROR(SUM(AU164:BF164)/AVERAGE(AU150:BF150),0))</f>
        <v/>
      </c>
      <c r="BG169" s="81">
        <f>IF(Credit_Assumptions!$C$5=1,BG142,IFERROR(SUM(AV164:BG164)/AVERAGE(AV150:BG150),0))</f>
        <v/>
      </c>
      <c r="BH169" s="81">
        <f>IF(Credit_Assumptions!$C$5=1,BH142,IFERROR(SUM(AW164:BH164)/AVERAGE(AW150:BH150),0))</f>
        <v/>
      </c>
      <c r="BI169" s="81">
        <f>IF(Credit_Assumptions!$C$5=1,BI142,IFERROR(SUM(AX164:BI164)/AVERAGE(AX150:BI150),0))</f>
        <v/>
      </c>
      <c r="BJ169" s="81">
        <f>IF(Credit_Assumptions!$C$5=1,BJ142,IFERROR(SUM(AY164:BJ164)/AVERAGE(AY150:BJ150),0))</f>
        <v/>
      </c>
      <c r="BK169" s="81">
        <f>IF(Credit_Assumptions!$C$5=1,BK142,IFERROR(SUM(AZ164:BK164)/AVERAGE(AZ150:BK150),0))</f>
        <v/>
      </c>
      <c r="BL169" s="81">
        <f>IF(Credit_Assumptions!$C$5=1,BL142,IFERROR(SUM(BA164:BL164)/AVERAGE(BA150:BL150),0))</f>
        <v/>
      </c>
    </row>
    <row r="170">
      <c r="A170" s="98" t="inlineStr">
        <is>
          <t>LGD proxy</t>
        </is>
      </c>
      <c r="B170" s="65" t="inlineStr">
        <is>
          <t>%</t>
        </is>
      </c>
      <c r="E170" s="81">
        <f>IF(Credit_Assumptions!$C$5=1,E143,IFERROR(MAX(0,MIN(1,1-(SUM(E160:E160)-SUM(E161:E161))/SUM(E164:E164))),E143))</f>
        <v/>
      </c>
      <c r="F170" s="81">
        <f>IF(Credit_Assumptions!$C$5=1,F143,IFERROR(MAX(0,MIN(1,1-(SUM(E160:F160)-SUM(E161:F161))/SUM(E164:F164))),F143))</f>
        <v/>
      </c>
      <c r="G170" s="81">
        <f>IF(Credit_Assumptions!$C$5=1,G143,IFERROR(MAX(0,MIN(1,1-(SUM(E160:G160)-SUM(E161:G161))/SUM(E164:G164))),G143))</f>
        <v/>
      </c>
      <c r="H170" s="81">
        <f>IF(Credit_Assumptions!$C$5=1,H143,IFERROR(MAX(0,MIN(1,1-(SUM(E160:H160)-SUM(E161:H161))/SUM(E164:H164))),H143))</f>
        <v/>
      </c>
      <c r="I170" s="81">
        <f>IF(Credit_Assumptions!$C$5=1,I143,IFERROR(MAX(0,MIN(1,1-(SUM(E160:I160)-SUM(E161:I161))/SUM(E164:I164))),I143))</f>
        <v/>
      </c>
      <c r="J170" s="81">
        <f>IF(Credit_Assumptions!$C$5=1,J143,IFERROR(MAX(0,MIN(1,1-(SUM(E160:J160)-SUM(E161:J161))/SUM(E164:J164))),J143))</f>
        <v/>
      </c>
      <c r="K170" s="81">
        <f>IF(Credit_Assumptions!$C$5=1,K143,IFERROR(MAX(0,MIN(1,1-(SUM(E160:K160)-SUM(E161:K161))/SUM(E164:K164))),K143))</f>
        <v/>
      </c>
      <c r="L170" s="81">
        <f>IF(Credit_Assumptions!$C$5=1,L143,IFERROR(MAX(0,MIN(1,1-(SUM(E160:L160)-SUM(E161:L161))/SUM(E164:L164))),L143))</f>
        <v/>
      </c>
      <c r="M170" s="81">
        <f>IF(Credit_Assumptions!$C$5=1,M143,IFERROR(MAX(0,MIN(1,1-(SUM(E160:M160)-SUM(E161:M161))/SUM(E164:M164))),M143))</f>
        <v/>
      </c>
      <c r="N170" s="81">
        <f>IF(Credit_Assumptions!$C$5=1,N143,IFERROR(MAX(0,MIN(1,1-(SUM(E160:N160)-SUM(E161:N161))/SUM(E164:N164))),N143))</f>
        <v/>
      </c>
      <c r="O170" s="81">
        <f>IF(Credit_Assumptions!$C$5=1,O143,IFERROR(MAX(0,MIN(1,1-(SUM(E160:O160)-SUM(E161:O161))/SUM(E164:O164))),O143))</f>
        <v/>
      </c>
      <c r="P170" s="81">
        <f>IF(Credit_Assumptions!$C$5=1,P143,IFERROR(MAX(0,MIN(1,1-(SUM(E160:P160)-SUM(E161:P161))/SUM(E164:P164))),P143))</f>
        <v/>
      </c>
      <c r="Q170" s="81">
        <f>IF(Credit_Assumptions!$C$5=1,Q143,IFERROR(MAX(0,MIN(1,1-(SUM(F160:Q160)-SUM(F161:Q161))/SUM(F164:Q164))),Q143))</f>
        <v/>
      </c>
      <c r="R170" s="81">
        <f>IF(Credit_Assumptions!$C$5=1,R143,IFERROR(MAX(0,MIN(1,1-(SUM(G160:R160)-SUM(G161:R161))/SUM(G164:R164))),R143))</f>
        <v/>
      </c>
      <c r="S170" s="81">
        <f>IF(Credit_Assumptions!$C$5=1,S143,IFERROR(MAX(0,MIN(1,1-(SUM(H160:S160)-SUM(H161:S161))/SUM(H164:S164))),S143))</f>
        <v/>
      </c>
      <c r="T170" s="81">
        <f>IF(Credit_Assumptions!$C$5=1,T143,IFERROR(MAX(0,MIN(1,1-(SUM(I160:T160)-SUM(I161:T161))/SUM(I164:T164))),T143))</f>
        <v/>
      </c>
      <c r="U170" s="81">
        <f>IF(Credit_Assumptions!$C$5=1,U143,IFERROR(MAX(0,MIN(1,1-(SUM(J160:U160)-SUM(J161:U161))/SUM(J164:U164))),U143))</f>
        <v/>
      </c>
      <c r="V170" s="81">
        <f>IF(Credit_Assumptions!$C$5=1,V143,IFERROR(MAX(0,MIN(1,1-(SUM(K160:V160)-SUM(K161:V161))/SUM(K164:V164))),V143))</f>
        <v/>
      </c>
      <c r="W170" s="81">
        <f>IF(Credit_Assumptions!$C$5=1,W143,IFERROR(MAX(0,MIN(1,1-(SUM(L160:W160)-SUM(L161:W161))/SUM(L164:W164))),W143))</f>
        <v/>
      </c>
      <c r="X170" s="81">
        <f>IF(Credit_Assumptions!$C$5=1,X143,IFERROR(MAX(0,MIN(1,1-(SUM(M160:X160)-SUM(M161:X161))/SUM(M164:X164))),X143))</f>
        <v/>
      </c>
      <c r="Y170" s="81">
        <f>IF(Credit_Assumptions!$C$5=1,Y143,IFERROR(MAX(0,MIN(1,1-(SUM(N160:Y160)-SUM(N161:Y161))/SUM(N164:Y164))),Y143))</f>
        <v/>
      </c>
      <c r="Z170" s="81">
        <f>IF(Credit_Assumptions!$C$5=1,Z143,IFERROR(MAX(0,MIN(1,1-(SUM(O160:Z160)-SUM(O161:Z161))/SUM(O164:Z164))),Z143))</f>
        <v/>
      </c>
      <c r="AA170" s="81">
        <f>IF(Credit_Assumptions!$C$5=1,AA143,IFERROR(MAX(0,MIN(1,1-(SUM(P160:AA160)-SUM(P161:AA161))/SUM(P164:AA164))),AA143))</f>
        <v/>
      </c>
      <c r="AB170" s="81">
        <f>IF(Credit_Assumptions!$C$5=1,AB143,IFERROR(MAX(0,MIN(1,1-(SUM(Q160:AB160)-SUM(Q161:AB161))/SUM(Q164:AB164))),AB143))</f>
        <v/>
      </c>
      <c r="AC170" s="81">
        <f>IF(Credit_Assumptions!$C$5=1,AC143,IFERROR(MAX(0,MIN(1,1-(SUM(R160:AC160)-SUM(R161:AC161))/SUM(R164:AC164))),AC143))</f>
        <v/>
      </c>
      <c r="AD170" s="81">
        <f>IF(Credit_Assumptions!$C$5=1,AD143,IFERROR(MAX(0,MIN(1,1-(SUM(S160:AD160)-SUM(S161:AD161))/SUM(S164:AD164))),AD143))</f>
        <v/>
      </c>
      <c r="AE170" s="81">
        <f>IF(Credit_Assumptions!$C$5=1,AE143,IFERROR(MAX(0,MIN(1,1-(SUM(T160:AE160)-SUM(T161:AE161))/SUM(T164:AE164))),AE143))</f>
        <v/>
      </c>
      <c r="AF170" s="81">
        <f>IF(Credit_Assumptions!$C$5=1,AF143,IFERROR(MAX(0,MIN(1,1-(SUM(U160:AF160)-SUM(U161:AF161))/SUM(U164:AF164))),AF143))</f>
        <v/>
      </c>
      <c r="AG170" s="81">
        <f>IF(Credit_Assumptions!$C$5=1,AG143,IFERROR(MAX(0,MIN(1,1-(SUM(V160:AG160)-SUM(V161:AG161))/SUM(V164:AG164))),AG143))</f>
        <v/>
      </c>
      <c r="AH170" s="81">
        <f>IF(Credit_Assumptions!$C$5=1,AH143,IFERROR(MAX(0,MIN(1,1-(SUM(W160:AH160)-SUM(W161:AH161))/SUM(W164:AH164))),AH143))</f>
        <v/>
      </c>
      <c r="AI170" s="81">
        <f>IF(Credit_Assumptions!$C$5=1,AI143,IFERROR(MAX(0,MIN(1,1-(SUM(X160:AI160)-SUM(X161:AI161))/SUM(X164:AI164))),AI143))</f>
        <v/>
      </c>
      <c r="AJ170" s="81">
        <f>IF(Credit_Assumptions!$C$5=1,AJ143,IFERROR(MAX(0,MIN(1,1-(SUM(Y160:AJ160)-SUM(Y161:AJ161))/SUM(Y164:AJ164))),AJ143))</f>
        <v/>
      </c>
      <c r="AK170" s="81">
        <f>IF(Credit_Assumptions!$C$5=1,AK143,IFERROR(MAX(0,MIN(1,1-(SUM(Z160:AK160)-SUM(Z161:AK161))/SUM(Z164:AK164))),AK143))</f>
        <v/>
      </c>
      <c r="AL170" s="81">
        <f>IF(Credit_Assumptions!$C$5=1,AL143,IFERROR(MAX(0,MIN(1,1-(SUM(AA160:AL160)-SUM(AA161:AL161))/SUM(AA164:AL164))),AL143))</f>
        <v/>
      </c>
      <c r="AM170" s="81">
        <f>IF(Credit_Assumptions!$C$5=1,AM143,IFERROR(MAX(0,MIN(1,1-(SUM(AB160:AM160)-SUM(AB161:AM161))/SUM(AB164:AM164))),AM143))</f>
        <v/>
      </c>
      <c r="AN170" s="81">
        <f>IF(Credit_Assumptions!$C$5=1,AN143,IFERROR(MAX(0,MIN(1,1-(SUM(AC160:AN160)-SUM(AC161:AN161))/SUM(AC164:AN164))),AN143))</f>
        <v/>
      </c>
      <c r="AO170" s="81">
        <f>IF(Credit_Assumptions!$C$5=1,AO143,IFERROR(MAX(0,MIN(1,1-(SUM(AD160:AO160)-SUM(AD161:AO161))/SUM(AD164:AO164))),AO143))</f>
        <v/>
      </c>
      <c r="AP170" s="81">
        <f>IF(Credit_Assumptions!$C$5=1,AP143,IFERROR(MAX(0,MIN(1,1-(SUM(AE160:AP160)-SUM(AE161:AP161))/SUM(AE164:AP164))),AP143))</f>
        <v/>
      </c>
      <c r="AQ170" s="81">
        <f>IF(Credit_Assumptions!$C$5=1,AQ143,IFERROR(MAX(0,MIN(1,1-(SUM(AF160:AQ160)-SUM(AF161:AQ161))/SUM(AF164:AQ164))),AQ143))</f>
        <v/>
      </c>
      <c r="AR170" s="81">
        <f>IF(Credit_Assumptions!$C$5=1,AR143,IFERROR(MAX(0,MIN(1,1-(SUM(AG160:AR160)-SUM(AG161:AR161))/SUM(AG164:AR164))),AR143))</f>
        <v/>
      </c>
      <c r="AS170" s="81">
        <f>IF(Credit_Assumptions!$C$5=1,AS143,IFERROR(MAX(0,MIN(1,1-(SUM(AH160:AS160)-SUM(AH161:AS161))/SUM(AH164:AS164))),AS143))</f>
        <v/>
      </c>
      <c r="AT170" s="81">
        <f>IF(Credit_Assumptions!$C$5=1,AT143,IFERROR(MAX(0,MIN(1,1-(SUM(AI160:AT160)-SUM(AI161:AT161))/SUM(AI164:AT164))),AT143))</f>
        <v/>
      </c>
      <c r="AU170" s="81">
        <f>IF(Credit_Assumptions!$C$5=1,AU143,IFERROR(MAX(0,MIN(1,1-(SUM(AJ160:AU160)-SUM(AJ161:AU161))/SUM(AJ164:AU164))),AU143))</f>
        <v/>
      </c>
      <c r="AV170" s="81">
        <f>IF(Credit_Assumptions!$C$5=1,AV143,IFERROR(MAX(0,MIN(1,1-(SUM(AK160:AV160)-SUM(AK161:AV161))/SUM(AK164:AV164))),AV143))</f>
        <v/>
      </c>
      <c r="AW170" s="81">
        <f>IF(Credit_Assumptions!$C$5=1,AW143,IFERROR(MAX(0,MIN(1,1-(SUM(AL160:AW160)-SUM(AL161:AW161))/SUM(AL164:AW164))),AW143))</f>
        <v/>
      </c>
      <c r="AX170" s="81">
        <f>IF(Credit_Assumptions!$C$5=1,AX143,IFERROR(MAX(0,MIN(1,1-(SUM(AM160:AX160)-SUM(AM161:AX161))/SUM(AM164:AX164))),AX143))</f>
        <v/>
      </c>
      <c r="AY170" s="81">
        <f>IF(Credit_Assumptions!$C$5=1,AY143,IFERROR(MAX(0,MIN(1,1-(SUM(AN160:AY160)-SUM(AN161:AY161))/SUM(AN164:AY164))),AY143))</f>
        <v/>
      </c>
      <c r="AZ170" s="81">
        <f>IF(Credit_Assumptions!$C$5=1,AZ143,IFERROR(MAX(0,MIN(1,1-(SUM(AO160:AZ160)-SUM(AO161:AZ161))/SUM(AO164:AZ164))),AZ143))</f>
        <v/>
      </c>
      <c r="BA170" s="81">
        <f>IF(Credit_Assumptions!$C$5=1,BA143,IFERROR(MAX(0,MIN(1,1-(SUM(AP160:BA160)-SUM(AP161:BA161))/SUM(AP164:BA164))),BA143))</f>
        <v/>
      </c>
      <c r="BB170" s="81">
        <f>IF(Credit_Assumptions!$C$5=1,BB143,IFERROR(MAX(0,MIN(1,1-(SUM(AQ160:BB160)-SUM(AQ161:BB161))/SUM(AQ164:BB164))),BB143))</f>
        <v/>
      </c>
      <c r="BC170" s="81">
        <f>IF(Credit_Assumptions!$C$5=1,BC143,IFERROR(MAX(0,MIN(1,1-(SUM(AR160:BC160)-SUM(AR161:BC161))/SUM(AR164:BC164))),BC143))</f>
        <v/>
      </c>
      <c r="BD170" s="81">
        <f>IF(Credit_Assumptions!$C$5=1,BD143,IFERROR(MAX(0,MIN(1,1-(SUM(AS160:BD160)-SUM(AS161:BD161))/SUM(AS164:BD164))),BD143))</f>
        <v/>
      </c>
      <c r="BE170" s="81">
        <f>IF(Credit_Assumptions!$C$5=1,BE143,IFERROR(MAX(0,MIN(1,1-(SUM(AT160:BE160)-SUM(AT161:BE161))/SUM(AT164:BE164))),BE143))</f>
        <v/>
      </c>
      <c r="BF170" s="81">
        <f>IF(Credit_Assumptions!$C$5=1,BF143,IFERROR(MAX(0,MIN(1,1-(SUM(AU160:BF160)-SUM(AU161:BF161))/SUM(AU164:BF164))),BF143))</f>
        <v/>
      </c>
      <c r="BG170" s="81">
        <f>IF(Credit_Assumptions!$C$5=1,BG143,IFERROR(MAX(0,MIN(1,1-(SUM(AV160:BG160)-SUM(AV161:BG161))/SUM(AV164:BG164))),BG143))</f>
        <v/>
      </c>
      <c r="BH170" s="81">
        <f>IF(Credit_Assumptions!$C$5=1,BH143,IFERROR(MAX(0,MIN(1,1-(SUM(AW160:BH160)-SUM(AW161:BH161))/SUM(AW164:BH164))),BH143))</f>
        <v/>
      </c>
      <c r="BI170" s="81">
        <f>IF(Credit_Assumptions!$C$5=1,BI143,IFERROR(MAX(0,MIN(1,1-(SUM(AX160:BI160)-SUM(AX161:BI161))/SUM(AX164:BI164))),BI143))</f>
        <v/>
      </c>
      <c r="BJ170" s="81">
        <f>IF(Credit_Assumptions!$C$5=1,BJ143,IFERROR(MAX(0,MIN(1,1-(SUM(AY160:BJ160)-SUM(AY161:BJ161))/SUM(AY164:BJ164))),BJ143))</f>
        <v/>
      </c>
      <c r="BK170" s="81">
        <f>IF(Credit_Assumptions!$C$5=1,BK143,IFERROR(MAX(0,MIN(1,1-(SUM(AZ160:BK160)-SUM(AZ161:BK161))/SUM(AZ164:BK164))),BK143))</f>
        <v/>
      </c>
      <c r="BL170" s="81">
        <f>IF(Credit_Assumptions!$C$5=1,BL143,IFERROR(MAX(0,MIN(1,1-(SUM(BA160:BL160)-SUM(BA161:BL161))/SUM(BA164:BL164))),BL143))</f>
        <v/>
      </c>
    </row>
    <row r="171">
      <c r="A171" s="98" t="inlineStr">
        <is>
          <t>Indicative stage-based ECL (diagnostic, not booked)</t>
        </is>
      </c>
      <c r="B171" s="65" t="inlineStr">
        <is>
          <t>LCY</t>
        </is>
      </c>
      <c r="C171" s="105">
        <f>BL171</f>
        <v/>
      </c>
      <c r="E171" s="80">
        <f>E151*CHOOSE(Credit_Assumptions!$D$28,E169*E170*(1+Credit_Assumptions!$C$17)^-0.5,(1-Credit_Assumptions!$C$16)*E170*(1+Credit_Assumptions!$C$17)^-0.5,E170)+E152*CHOOSE(Credit_Assumptions!$D$29,E169*E170*(1+Credit_Assumptions!$C$17)^-0.5,(1-Credit_Assumptions!$C$16)*E170*(1+Credit_Assumptions!$C$17)^-0.5,E170)+E153*CHOOSE(Credit_Assumptions!$D$30,E169*E170*(1+Credit_Assumptions!$C$17)^-0.5,(1-Credit_Assumptions!$C$16)*E170*(1+Credit_Assumptions!$C$17)^-0.5,E170)+E154*CHOOSE(Credit_Assumptions!$D$31,E169*E170*(1+Credit_Assumptions!$C$17)^-0.5,(1-Credit_Assumptions!$C$16)*E170*(1+Credit_Assumptions!$C$17)^-0.5,E170)+E155*CHOOSE(Credit_Assumptions!$D$32,E169*E170*(1+Credit_Assumptions!$C$17)^-0.5,(1-Credit_Assumptions!$C$16)*E170*(1+Credit_Assumptions!$C$17)^-0.5,E170)+E156*CHOOSE(Credit_Assumptions!$D$33,E169*E170*(1+Credit_Assumptions!$C$17)^-0.5,(1-Credit_Assumptions!$C$16)*E170*(1+Credit_Assumptions!$C$17)^-0.5,E170)</f>
        <v/>
      </c>
      <c r="F171" s="80">
        <f>F151*CHOOSE(Credit_Assumptions!$D$28,F169*F170*(1+Credit_Assumptions!$C$17)^-0.5,(1-Credit_Assumptions!$C$16)*F170*(1+Credit_Assumptions!$C$17)^-0.5,F170)+F152*CHOOSE(Credit_Assumptions!$D$29,F169*F170*(1+Credit_Assumptions!$C$17)^-0.5,(1-Credit_Assumptions!$C$16)*F170*(1+Credit_Assumptions!$C$17)^-0.5,F170)+F153*CHOOSE(Credit_Assumptions!$D$30,F169*F170*(1+Credit_Assumptions!$C$17)^-0.5,(1-Credit_Assumptions!$C$16)*F170*(1+Credit_Assumptions!$C$17)^-0.5,F170)+F154*CHOOSE(Credit_Assumptions!$D$31,F169*F170*(1+Credit_Assumptions!$C$17)^-0.5,(1-Credit_Assumptions!$C$16)*F170*(1+Credit_Assumptions!$C$17)^-0.5,F170)+F155*CHOOSE(Credit_Assumptions!$D$32,F169*F170*(1+Credit_Assumptions!$C$17)^-0.5,(1-Credit_Assumptions!$C$16)*F170*(1+Credit_Assumptions!$C$17)^-0.5,F170)+F156*CHOOSE(Credit_Assumptions!$D$33,F169*F170*(1+Credit_Assumptions!$C$17)^-0.5,(1-Credit_Assumptions!$C$16)*F170*(1+Credit_Assumptions!$C$17)^-0.5,F170)</f>
        <v/>
      </c>
      <c r="G171" s="80">
        <f>G151*CHOOSE(Credit_Assumptions!$D$28,G169*G170*(1+Credit_Assumptions!$C$17)^-0.5,(1-Credit_Assumptions!$C$16)*G170*(1+Credit_Assumptions!$C$17)^-0.5,G170)+G152*CHOOSE(Credit_Assumptions!$D$29,G169*G170*(1+Credit_Assumptions!$C$17)^-0.5,(1-Credit_Assumptions!$C$16)*G170*(1+Credit_Assumptions!$C$17)^-0.5,G170)+G153*CHOOSE(Credit_Assumptions!$D$30,G169*G170*(1+Credit_Assumptions!$C$17)^-0.5,(1-Credit_Assumptions!$C$16)*G170*(1+Credit_Assumptions!$C$17)^-0.5,G170)+G154*CHOOSE(Credit_Assumptions!$D$31,G169*G170*(1+Credit_Assumptions!$C$17)^-0.5,(1-Credit_Assumptions!$C$16)*G170*(1+Credit_Assumptions!$C$17)^-0.5,G170)+G155*CHOOSE(Credit_Assumptions!$D$32,G169*G170*(1+Credit_Assumptions!$C$17)^-0.5,(1-Credit_Assumptions!$C$16)*G170*(1+Credit_Assumptions!$C$17)^-0.5,G170)+G156*CHOOSE(Credit_Assumptions!$D$33,G169*G170*(1+Credit_Assumptions!$C$17)^-0.5,(1-Credit_Assumptions!$C$16)*G170*(1+Credit_Assumptions!$C$17)^-0.5,G170)</f>
        <v/>
      </c>
      <c r="H171" s="80">
        <f>H151*CHOOSE(Credit_Assumptions!$D$28,H169*H170*(1+Credit_Assumptions!$C$17)^-0.5,(1-Credit_Assumptions!$C$16)*H170*(1+Credit_Assumptions!$C$17)^-0.5,H170)+H152*CHOOSE(Credit_Assumptions!$D$29,H169*H170*(1+Credit_Assumptions!$C$17)^-0.5,(1-Credit_Assumptions!$C$16)*H170*(1+Credit_Assumptions!$C$17)^-0.5,H170)+H153*CHOOSE(Credit_Assumptions!$D$30,H169*H170*(1+Credit_Assumptions!$C$17)^-0.5,(1-Credit_Assumptions!$C$16)*H170*(1+Credit_Assumptions!$C$17)^-0.5,H170)+H154*CHOOSE(Credit_Assumptions!$D$31,H169*H170*(1+Credit_Assumptions!$C$17)^-0.5,(1-Credit_Assumptions!$C$16)*H170*(1+Credit_Assumptions!$C$17)^-0.5,H170)+H155*CHOOSE(Credit_Assumptions!$D$32,H169*H170*(1+Credit_Assumptions!$C$17)^-0.5,(1-Credit_Assumptions!$C$16)*H170*(1+Credit_Assumptions!$C$17)^-0.5,H170)+H156*CHOOSE(Credit_Assumptions!$D$33,H169*H170*(1+Credit_Assumptions!$C$17)^-0.5,(1-Credit_Assumptions!$C$16)*H170*(1+Credit_Assumptions!$C$17)^-0.5,H170)</f>
        <v/>
      </c>
      <c r="I171" s="80">
        <f>I151*CHOOSE(Credit_Assumptions!$D$28,I169*I170*(1+Credit_Assumptions!$C$17)^-0.5,(1-Credit_Assumptions!$C$16)*I170*(1+Credit_Assumptions!$C$17)^-0.5,I170)+I152*CHOOSE(Credit_Assumptions!$D$29,I169*I170*(1+Credit_Assumptions!$C$17)^-0.5,(1-Credit_Assumptions!$C$16)*I170*(1+Credit_Assumptions!$C$17)^-0.5,I170)+I153*CHOOSE(Credit_Assumptions!$D$30,I169*I170*(1+Credit_Assumptions!$C$17)^-0.5,(1-Credit_Assumptions!$C$16)*I170*(1+Credit_Assumptions!$C$17)^-0.5,I170)+I154*CHOOSE(Credit_Assumptions!$D$31,I169*I170*(1+Credit_Assumptions!$C$17)^-0.5,(1-Credit_Assumptions!$C$16)*I170*(1+Credit_Assumptions!$C$17)^-0.5,I170)+I155*CHOOSE(Credit_Assumptions!$D$32,I169*I170*(1+Credit_Assumptions!$C$17)^-0.5,(1-Credit_Assumptions!$C$16)*I170*(1+Credit_Assumptions!$C$17)^-0.5,I170)+I156*CHOOSE(Credit_Assumptions!$D$33,I169*I170*(1+Credit_Assumptions!$C$17)^-0.5,(1-Credit_Assumptions!$C$16)*I170*(1+Credit_Assumptions!$C$17)^-0.5,I170)</f>
        <v/>
      </c>
      <c r="J171" s="80">
        <f>J151*CHOOSE(Credit_Assumptions!$D$28,J169*J170*(1+Credit_Assumptions!$C$17)^-0.5,(1-Credit_Assumptions!$C$16)*J170*(1+Credit_Assumptions!$C$17)^-0.5,J170)+J152*CHOOSE(Credit_Assumptions!$D$29,J169*J170*(1+Credit_Assumptions!$C$17)^-0.5,(1-Credit_Assumptions!$C$16)*J170*(1+Credit_Assumptions!$C$17)^-0.5,J170)+J153*CHOOSE(Credit_Assumptions!$D$30,J169*J170*(1+Credit_Assumptions!$C$17)^-0.5,(1-Credit_Assumptions!$C$16)*J170*(1+Credit_Assumptions!$C$17)^-0.5,J170)+J154*CHOOSE(Credit_Assumptions!$D$31,J169*J170*(1+Credit_Assumptions!$C$17)^-0.5,(1-Credit_Assumptions!$C$16)*J170*(1+Credit_Assumptions!$C$17)^-0.5,J170)+J155*CHOOSE(Credit_Assumptions!$D$32,J169*J170*(1+Credit_Assumptions!$C$17)^-0.5,(1-Credit_Assumptions!$C$16)*J170*(1+Credit_Assumptions!$C$17)^-0.5,J170)+J156*CHOOSE(Credit_Assumptions!$D$33,J169*J170*(1+Credit_Assumptions!$C$17)^-0.5,(1-Credit_Assumptions!$C$16)*J170*(1+Credit_Assumptions!$C$17)^-0.5,J170)</f>
        <v/>
      </c>
      <c r="K171" s="80">
        <f>K151*CHOOSE(Credit_Assumptions!$D$28,K169*K170*(1+Credit_Assumptions!$C$17)^-0.5,(1-Credit_Assumptions!$C$16)*K170*(1+Credit_Assumptions!$C$17)^-0.5,K170)+K152*CHOOSE(Credit_Assumptions!$D$29,K169*K170*(1+Credit_Assumptions!$C$17)^-0.5,(1-Credit_Assumptions!$C$16)*K170*(1+Credit_Assumptions!$C$17)^-0.5,K170)+K153*CHOOSE(Credit_Assumptions!$D$30,K169*K170*(1+Credit_Assumptions!$C$17)^-0.5,(1-Credit_Assumptions!$C$16)*K170*(1+Credit_Assumptions!$C$17)^-0.5,K170)+K154*CHOOSE(Credit_Assumptions!$D$31,K169*K170*(1+Credit_Assumptions!$C$17)^-0.5,(1-Credit_Assumptions!$C$16)*K170*(1+Credit_Assumptions!$C$17)^-0.5,K170)+K155*CHOOSE(Credit_Assumptions!$D$32,K169*K170*(1+Credit_Assumptions!$C$17)^-0.5,(1-Credit_Assumptions!$C$16)*K170*(1+Credit_Assumptions!$C$17)^-0.5,K170)+K156*CHOOSE(Credit_Assumptions!$D$33,K169*K170*(1+Credit_Assumptions!$C$17)^-0.5,(1-Credit_Assumptions!$C$16)*K170*(1+Credit_Assumptions!$C$17)^-0.5,K170)</f>
        <v/>
      </c>
      <c r="L171" s="80">
        <f>L151*CHOOSE(Credit_Assumptions!$D$28,L169*L170*(1+Credit_Assumptions!$C$17)^-0.5,(1-Credit_Assumptions!$C$16)*L170*(1+Credit_Assumptions!$C$17)^-0.5,L170)+L152*CHOOSE(Credit_Assumptions!$D$29,L169*L170*(1+Credit_Assumptions!$C$17)^-0.5,(1-Credit_Assumptions!$C$16)*L170*(1+Credit_Assumptions!$C$17)^-0.5,L170)+L153*CHOOSE(Credit_Assumptions!$D$30,L169*L170*(1+Credit_Assumptions!$C$17)^-0.5,(1-Credit_Assumptions!$C$16)*L170*(1+Credit_Assumptions!$C$17)^-0.5,L170)+L154*CHOOSE(Credit_Assumptions!$D$31,L169*L170*(1+Credit_Assumptions!$C$17)^-0.5,(1-Credit_Assumptions!$C$16)*L170*(1+Credit_Assumptions!$C$17)^-0.5,L170)+L155*CHOOSE(Credit_Assumptions!$D$32,L169*L170*(1+Credit_Assumptions!$C$17)^-0.5,(1-Credit_Assumptions!$C$16)*L170*(1+Credit_Assumptions!$C$17)^-0.5,L170)+L156*CHOOSE(Credit_Assumptions!$D$33,L169*L170*(1+Credit_Assumptions!$C$17)^-0.5,(1-Credit_Assumptions!$C$16)*L170*(1+Credit_Assumptions!$C$17)^-0.5,L170)</f>
        <v/>
      </c>
      <c r="M171" s="80">
        <f>M151*CHOOSE(Credit_Assumptions!$D$28,M169*M170*(1+Credit_Assumptions!$C$17)^-0.5,(1-Credit_Assumptions!$C$16)*M170*(1+Credit_Assumptions!$C$17)^-0.5,M170)+M152*CHOOSE(Credit_Assumptions!$D$29,M169*M170*(1+Credit_Assumptions!$C$17)^-0.5,(1-Credit_Assumptions!$C$16)*M170*(1+Credit_Assumptions!$C$17)^-0.5,M170)+M153*CHOOSE(Credit_Assumptions!$D$30,M169*M170*(1+Credit_Assumptions!$C$17)^-0.5,(1-Credit_Assumptions!$C$16)*M170*(1+Credit_Assumptions!$C$17)^-0.5,M170)+M154*CHOOSE(Credit_Assumptions!$D$31,M169*M170*(1+Credit_Assumptions!$C$17)^-0.5,(1-Credit_Assumptions!$C$16)*M170*(1+Credit_Assumptions!$C$17)^-0.5,M170)+M155*CHOOSE(Credit_Assumptions!$D$32,M169*M170*(1+Credit_Assumptions!$C$17)^-0.5,(1-Credit_Assumptions!$C$16)*M170*(1+Credit_Assumptions!$C$17)^-0.5,M170)+M156*CHOOSE(Credit_Assumptions!$D$33,M169*M170*(1+Credit_Assumptions!$C$17)^-0.5,(1-Credit_Assumptions!$C$16)*M170*(1+Credit_Assumptions!$C$17)^-0.5,M170)</f>
        <v/>
      </c>
      <c r="N171" s="80">
        <f>N151*CHOOSE(Credit_Assumptions!$D$28,N169*N170*(1+Credit_Assumptions!$C$17)^-0.5,(1-Credit_Assumptions!$C$16)*N170*(1+Credit_Assumptions!$C$17)^-0.5,N170)+N152*CHOOSE(Credit_Assumptions!$D$29,N169*N170*(1+Credit_Assumptions!$C$17)^-0.5,(1-Credit_Assumptions!$C$16)*N170*(1+Credit_Assumptions!$C$17)^-0.5,N170)+N153*CHOOSE(Credit_Assumptions!$D$30,N169*N170*(1+Credit_Assumptions!$C$17)^-0.5,(1-Credit_Assumptions!$C$16)*N170*(1+Credit_Assumptions!$C$17)^-0.5,N170)+N154*CHOOSE(Credit_Assumptions!$D$31,N169*N170*(1+Credit_Assumptions!$C$17)^-0.5,(1-Credit_Assumptions!$C$16)*N170*(1+Credit_Assumptions!$C$17)^-0.5,N170)+N155*CHOOSE(Credit_Assumptions!$D$32,N169*N170*(1+Credit_Assumptions!$C$17)^-0.5,(1-Credit_Assumptions!$C$16)*N170*(1+Credit_Assumptions!$C$17)^-0.5,N170)+N156*CHOOSE(Credit_Assumptions!$D$33,N169*N170*(1+Credit_Assumptions!$C$17)^-0.5,(1-Credit_Assumptions!$C$16)*N170*(1+Credit_Assumptions!$C$17)^-0.5,N170)</f>
        <v/>
      </c>
      <c r="O171" s="80">
        <f>O151*CHOOSE(Credit_Assumptions!$D$28,O169*O170*(1+Credit_Assumptions!$C$17)^-0.5,(1-Credit_Assumptions!$C$16)*O170*(1+Credit_Assumptions!$C$17)^-0.5,O170)+O152*CHOOSE(Credit_Assumptions!$D$29,O169*O170*(1+Credit_Assumptions!$C$17)^-0.5,(1-Credit_Assumptions!$C$16)*O170*(1+Credit_Assumptions!$C$17)^-0.5,O170)+O153*CHOOSE(Credit_Assumptions!$D$30,O169*O170*(1+Credit_Assumptions!$C$17)^-0.5,(1-Credit_Assumptions!$C$16)*O170*(1+Credit_Assumptions!$C$17)^-0.5,O170)+O154*CHOOSE(Credit_Assumptions!$D$31,O169*O170*(1+Credit_Assumptions!$C$17)^-0.5,(1-Credit_Assumptions!$C$16)*O170*(1+Credit_Assumptions!$C$17)^-0.5,O170)+O155*CHOOSE(Credit_Assumptions!$D$32,O169*O170*(1+Credit_Assumptions!$C$17)^-0.5,(1-Credit_Assumptions!$C$16)*O170*(1+Credit_Assumptions!$C$17)^-0.5,O170)+O156*CHOOSE(Credit_Assumptions!$D$33,O169*O170*(1+Credit_Assumptions!$C$17)^-0.5,(1-Credit_Assumptions!$C$16)*O170*(1+Credit_Assumptions!$C$17)^-0.5,O170)</f>
        <v/>
      </c>
      <c r="P171" s="80">
        <f>P151*CHOOSE(Credit_Assumptions!$D$28,P169*P170*(1+Credit_Assumptions!$C$17)^-0.5,(1-Credit_Assumptions!$C$16)*P170*(1+Credit_Assumptions!$C$17)^-0.5,P170)+P152*CHOOSE(Credit_Assumptions!$D$29,P169*P170*(1+Credit_Assumptions!$C$17)^-0.5,(1-Credit_Assumptions!$C$16)*P170*(1+Credit_Assumptions!$C$17)^-0.5,P170)+P153*CHOOSE(Credit_Assumptions!$D$30,P169*P170*(1+Credit_Assumptions!$C$17)^-0.5,(1-Credit_Assumptions!$C$16)*P170*(1+Credit_Assumptions!$C$17)^-0.5,P170)+P154*CHOOSE(Credit_Assumptions!$D$31,P169*P170*(1+Credit_Assumptions!$C$17)^-0.5,(1-Credit_Assumptions!$C$16)*P170*(1+Credit_Assumptions!$C$17)^-0.5,P170)+P155*CHOOSE(Credit_Assumptions!$D$32,P169*P170*(1+Credit_Assumptions!$C$17)^-0.5,(1-Credit_Assumptions!$C$16)*P170*(1+Credit_Assumptions!$C$17)^-0.5,P170)+P156*CHOOSE(Credit_Assumptions!$D$33,P169*P170*(1+Credit_Assumptions!$C$17)^-0.5,(1-Credit_Assumptions!$C$16)*P170*(1+Credit_Assumptions!$C$17)^-0.5,P170)</f>
        <v/>
      </c>
      <c r="Q171" s="80">
        <f>Q151*CHOOSE(Credit_Assumptions!$D$28,Q169*Q170*(1+Credit_Assumptions!$C$17)^-0.5,(1-Credit_Assumptions!$C$16)*Q170*(1+Credit_Assumptions!$C$17)^-0.5,Q170)+Q152*CHOOSE(Credit_Assumptions!$D$29,Q169*Q170*(1+Credit_Assumptions!$C$17)^-0.5,(1-Credit_Assumptions!$C$16)*Q170*(1+Credit_Assumptions!$C$17)^-0.5,Q170)+Q153*CHOOSE(Credit_Assumptions!$D$30,Q169*Q170*(1+Credit_Assumptions!$C$17)^-0.5,(1-Credit_Assumptions!$C$16)*Q170*(1+Credit_Assumptions!$C$17)^-0.5,Q170)+Q154*CHOOSE(Credit_Assumptions!$D$31,Q169*Q170*(1+Credit_Assumptions!$C$17)^-0.5,(1-Credit_Assumptions!$C$16)*Q170*(1+Credit_Assumptions!$C$17)^-0.5,Q170)+Q155*CHOOSE(Credit_Assumptions!$D$32,Q169*Q170*(1+Credit_Assumptions!$C$17)^-0.5,(1-Credit_Assumptions!$C$16)*Q170*(1+Credit_Assumptions!$C$17)^-0.5,Q170)+Q156*CHOOSE(Credit_Assumptions!$D$33,Q169*Q170*(1+Credit_Assumptions!$C$17)^-0.5,(1-Credit_Assumptions!$C$16)*Q170*(1+Credit_Assumptions!$C$17)^-0.5,Q170)</f>
        <v/>
      </c>
      <c r="R171" s="80">
        <f>R151*CHOOSE(Credit_Assumptions!$D$28,R169*R170*(1+Credit_Assumptions!$C$17)^-0.5,(1-Credit_Assumptions!$C$16)*R170*(1+Credit_Assumptions!$C$17)^-0.5,R170)+R152*CHOOSE(Credit_Assumptions!$D$29,R169*R170*(1+Credit_Assumptions!$C$17)^-0.5,(1-Credit_Assumptions!$C$16)*R170*(1+Credit_Assumptions!$C$17)^-0.5,R170)+R153*CHOOSE(Credit_Assumptions!$D$30,R169*R170*(1+Credit_Assumptions!$C$17)^-0.5,(1-Credit_Assumptions!$C$16)*R170*(1+Credit_Assumptions!$C$17)^-0.5,R170)+R154*CHOOSE(Credit_Assumptions!$D$31,R169*R170*(1+Credit_Assumptions!$C$17)^-0.5,(1-Credit_Assumptions!$C$16)*R170*(1+Credit_Assumptions!$C$17)^-0.5,R170)+R155*CHOOSE(Credit_Assumptions!$D$32,R169*R170*(1+Credit_Assumptions!$C$17)^-0.5,(1-Credit_Assumptions!$C$16)*R170*(1+Credit_Assumptions!$C$17)^-0.5,R170)+R156*CHOOSE(Credit_Assumptions!$D$33,R169*R170*(1+Credit_Assumptions!$C$17)^-0.5,(1-Credit_Assumptions!$C$16)*R170*(1+Credit_Assumptions!$C$17)^-0.5,R170)</f>
        <v/>
      </c>
      <c r="S171" s="80">
        <f>S151*CHOOSE(Credit_Assumptions!$D$28,S169*S170*(1+Credit_Assumptions!$C$17)^-0.5,(1-Credit_Assumptions!$C$16)*S170*(1+Credit_Assumptions!$C$17)^-0.5,S170)+S152*CHOOSE(Credit_Assumptions!$D$29,S169*S170*(1+Credit_Assumptions!$C$17)^-0.5,(1-Credit_Assumptions!$C$16)*S170*(1+Credit_Assumptions!$C$17)^-0.5,S170)+S153*CHOOSE(Credit_Assumptions!$D$30,S169*S170*(1+Credit_Assumptions!$C$17)^-0.5,(1-Credit_Assumptions!$C$16)*S170*(1+Credit_Assumptions!$C$17)^-0.5,S170)+S154*CHOOSE(Credit_Assumptions!$D$31,S169*S170*(1+Credit_Assumptions!$C$17)^-0.5,(1-Credit_Assumptions!$C$16)*S170*(1+Credit_Assumptions!$C$17)^-0.5,S170)+S155*CHOOSE(Credit_Assumptions!$D$32,S169*S170*(1+Credit_Assumptions!$C$17)^-0.5,(1-Credit_Assumptions!$C$16)*S170*(1+Credit_Assumptions!$C$17)^-0.5,S170)+S156*CHOOSE(Credit_Assumptions!$D$33,S169*S170*(1+Credit_Assumptions!$C$17)^-0.5,(1-Credit_Assumptions!$C$16)*S170*(1+Credit_Assumptions!$C$17)^-0.5,S170)</f>
        <v/>
      </c>
      <c r="T171" s="80">
        <f>T151*CHOOSE(Credit_Assumptions!$D$28,T169*T170*(1+Credit_Assumptions!$C$17)^-0.5,(1-Credit_Assumptions!$C$16)*T170*(1+Credit_Assumptions!$C$17)^-0.5,T170)+T152*CHOOSE(Credit_Assumptions!$D$29,T169*T170*(1+Credit_Assumptions!$C$17)^-0.5,(1-Credit_Assumptions!$C$16)*T170*(1+Credit_Assumptions!$C$17)^-0.5,T170)+T153*CHOOSE(Credit_Assumptions!$D$30,T169*T170*(1+Credit_Assumptions!$C$17)^-0.5,(1-Credit_Assumptions!$C$16)*T170*(1+Credit_Assumptions!$C$17)^-0.5,T170)+T154*CHOOSE(Credit_Assumptions!$D$31,T169*T170*(1+Credit_Assumptions!$C$17)^-0.5,(1-Credit_Assumptions!$C$16)*T170*(1+Credit_Assumptions!$C$17)^-0.5,T170)+T155*CHOOSE(Credit_Assumptions!$D$32,T169*T170*(1+Credit_Assumptions!$C$17)^-0.5,(1-Credit_Assumptions!$C$16)*T170*(1+Credit_Assumptions!$C$17)^-0.5,T170)+T156*CHOOSE(Credit_Assumptions!$D$33,T169*T170*(1+Credit_Assumptions!$C$17)^-0.5,(1-Credit_Assumptions!$C$16)*T170*(1+Credit_Assumptions!$C$17)^-0.5,T170)</f>
        <v/>
      </c>
      <c r="U171" s="80">
        <f>U151*CHOOSE(Credit_Assumptions!$D$28,U169*U170*(1+Credit_Assumptions!$C$17)^-0.5,(1-Credit_Assumptions!$C$16)*U170*(1+Credit_Assumptions!$C$17)^-0.5,U170)+U152*CHOOSE(Credit_Assumptions!$D$29,U169*U170*(1+Credit_Assumptions!$C$17)^-0.5,(1-Credit_Assumptions!$C$16)*U170*(1+Credit_Assumptions!$C$17)^-0.5,U170)+U153*CHOOSE(Credit_Assumptions!$D$30,U169*U170*(1+Credit_Assumptions!$C$17)^-0.5,(1-Credit_Assumptions!$C$16)*U170*(1+Credit_Assumptions!$C$17)^-0.5,U170)+U154*CHOOSE(Credit_Assumptions!$D$31,U169*U170*(1+Credit_Assumptions!$C$17)^-0.5,(1-Credit_Assumptions!$C$16)*U170*(1+Credit_Assumptions!$C$17)^-0.5,U170)+U155*CHOOSE(Credit_Assumptions!$D$32,U169*U170*(1+Credit_Assumptions!$C$17)^-0.5,(1-Credit_Assumptions!$C$16)*U170*(1+Credit_Assumptions!$C$17)^-0.5,U170)+U156*CHOOSE(Credit_Assumptions!$D$33,U169*U170*(1+Credit_Assumptions!$C$17)^-0.5,(1-Credit_Assumptions!$C$16)*U170*(1+Credit_Assumptions!$C$17)^-0.5,U170)</f>
        <v/>
      </c>
      <c r="V171" s="80">
        <f>V151*CHOOSE(Credit_Assumptions!$D$28,V169*V170*(1+Credit_Assumptions!$C$17)^-0.5,(1-Credit_Assumptions!$C$16)*V170*(1+Credit_Assumptions!$C$17)^-0.5,V170)+V152*CHOOSE(Credit_Assumptions!$D$29,V169*V170*(1+Credit_Assumptions!$C$17)^-0.5,(1-Credit_Assumptions!$C$16)*V170*(1+Credit_Assumptions!$C$17)^-0.5,V170)+V153*CHOOSE(Credit_Assumptions!$D$30,V169*V170*(1+Credit_Assumptions!$C$17)^-0.5,(1-Credit_Assumptions!$C$16)*V170*(1+Credit_Assumptions!$C$17)^-0.5,V170)+V154*CHOOSE(Credit_Assumptions!$D$31,V169*V170*(1+Credit_Assumptions!$C$17)^-0.5,(1-Credit_Assumptions!$C$16)*V170*(1+Credit_Assumptions!$C$17)^-0.5,V170)+V155*CHOOSE(Credit_Assumptions!$D$32,V169*V170*(1+Credit_Assumptions!$C$17)^-0.5,(1-Credit_Assumptions!$C$16)*V170*(1+Credit_Assumptions!$C$17)^-0.5,V170)+V156*CHOOSE(Credit_Assumptions!$D$33,V169*V170*(1+Credit_Assumptions!$C$17)^-0.5,(1-Credit_Assumptions!$C$16)*V170*(1+Credit_Assumptions!$C$17)^-0.5,V170)</f>
        <v/>
      </c>
      <c r="W171" s="80">
        <f>W151*CHOOSE(Credit_Assumptions!$D$28,W169*W170*(1+Credit_Assumptions!$C$17)^-0.5,(1-Credit_Assumptions!$C$16)*W170*(1+Credit_Assumptions!$C$17)^-0.5,W170)+W152*CHOOSE(Credit_Assumptions!$D$29,W169*W170*(1+Credit_Assumptions!$C$17)^-0.5,(1-Credit_Assumptions!$C$16)*W170*(1+Credit_Assumptions!$C$17)^-0.5,W170)+W153*CHOOSE(Credit_Assumptions!$D$30,W169*W170*(1+Credit_Assumptions!$C$17)^-0.5,(1-Credit_Assumptions!$C$16)*W170*(1+Credit_Assumptions!$C$17)^-0.5,W170)+W154*CHOOSE(Credit_Assumptions!$D$31,W169*W170*(1+Credit_Assumptions!$C$17)^-0.5,(1-Credit_Assumptions!$C$16)*W170*(1+Credit_Assumptions!$C$17)^-0.5,W170)+W155*CHOOSE(Credit_Assumptions!$D$32,W169*W170*(1+Credit_Assumptions!$C$17)^-0.5,(1-Credit_Assumptions!$C$16)*W170*(1+Credit_Assumptions!$C$17)^-0.5,W170)+W156*CHOOSE(Credit_Assumptions!$D$33,W169*W170*(1+Credit_Assumptions!$C$17)^-0.5,(1-Credit_Assumptions!$C$16)*W170*(1+Credit_Assumptions!$C$17)^-0.5,W170)</f>
        <v/>
      </c>
      <c r="X171" s="80">
        <f>X151*CHOOSE(Credit_Assumptions!$D$28,X169*X170*(1+Credit_Assumptions!$C$17)^-0.5,(1-Credit_Assumptions!$C$16)*X170*(1+Credit_Assumptions!$C$17)^-0.5,X170)+X152*CHOOSE(Credit_Assumptions!$D$29,X169*X170*(1+Credit_Assumptions!$C$17)^-0.5,(1-Credit_Assumptions!$C$16)*X170*(1+Credit_Assumptions!$C$17)^-0.5,X170)+X153*CHOOSE(Credit_Assumptions!$D$30,X169*X170*(1+Credit_Assumptions!$C$17)^-0.5,(1-Credit_Assumptions!$C$16)*X170*(1+Credit_Assumptions!$C$17)^-0.5,X170)+X154*CHOOSE(Credit_Assumptions!$D$31,X169*X170*(1+Credit_Assumptions!$C$17)^-0.5,(1-Credit_Assumptions!$C$16)*X170*(1+Credit_Assumptions!$C$17)^-0.5,X170)+X155*CHOOSE(Credit_Assumptions!$D$32,X169*X170*(1+Credit_Assumptions!$C$17)^-0.5,(1-Credit_Assumptions!$C$16)*X170*(1+Credit_Assumptions!$C$17)^-0.5,X170)+X156*CHOOSE(Credit_Assumptions!$D$33,X169*X170*(1+Credit_Assumptions!$C$17)^-0.5,(1-Credit_Assumptions!$C$16)*X170*(1+Credit_Assumptions!$C$17)^-0.5,X170)</f>
        <v/>
      </c>
      <c r="Y171" s="80">
        <f>Y151*CHOOSE(Credit_Assumptions!$D$28,Y169*Y170*(1+Credit_Assumptions!$C$17)^-0.5,(1-Credit_Assumptions!$C$16)*Y170*(1+Credit_Assumptions!$C$17)^-0.5,Y170)+Y152*CHOOSE(Credit_Assumptions!$D$29,Y169*Y170*(1+Credit_Assumptions!$C$17)^-0.5,(1-Credit_Assumptions!$C$16)*Y170*(1+Credit_Assumptions!$C$17)^-0.5,Y170)+Y153*CHOOSE(Credit_Assumptions!$D$30,Y169*Y170*(1+Credit_Assumptions!$C$17)^-0.5,(1-Credit_Assumptions!$C$16)*Y170*(1+Credit_Assumptions!$C$17)^-0.5,Y170)+Y154*CHOOSE(Credit_Assumptions!$D$31,Y169*Y170*(1+Credit_Assumptions!$C$17)^-0.5,(1-Credit_Assumptions!$C$16)*Y170*(1+Credit_Assumptions!$C$17)^-0.5,Y170)+Y155*CHOOSE(Credit_Assumptions!$D$32,Y169*Y170*(1+Credit_Assumptions!$C$17)^-0.5,(1-Credit_Assumptions!$C$16)*Y170*(1+Credit_Assumptions!$C$17)^-0.5,Y170)+Y156*CHOOSE(Credit_Assumptions!$D$33,Y169*Y170*(1+Credit_Assumptions!$C$17)^-0.5,(1-Credit_Assumptions!$C$16)*Y170*(1+Credit_Assumptions!$C$17)^-0.5,Y170)</f>
        <v/>
      </c>
      <c r="Z171" s="80">
        <f>Z151*CHOOSE(Credit_Assumptions!$D$28,Z169*Z170*(1+Credit_Assumptions!$C$17)^-0.5,(1-Credit_Assumptions!$C$16)*Z170*(1+Credit_Assumptions!$C$17)^-0.5,Z170)+Z152*CHOOSE(Credit_Assumptions!$D$29,Z169*Z170*(1+Credit_Assumptions!$C$17)^-0.5,(1-Credit_Assumptions!$C$16)*Z170*(1+Credit_Assumptions!$C$17)^-0.5,Z170)+Z153*CHOOSE(Credit_Assumptions!$D$30,Z169*Z170*(1+Credit_Assumptions!$C$17)^-0.5,(1-Credit_Assumptions!$C$16)*Z170*(1+Credit_Assumptions!$C$17)^-0.5,Z170)+Z154*CHOOSE(Credit_Assumptions!$D$31,Z169*Z170*(1+Credit_Assumptions!$C$17)^-0.5,(1-Credit_Assumptions!$C$16)*Z170*(1+Credit_Assumptions!$C$17)^-0.5,Z170)+Z155*CHOOSE(Credit_Assumptions!$D$32,Z169*Z170*(1+Credit_Assumptions!$C$17)^-0.5,(1-Credit_Assumptions!$C$16)*Z170*(1+Credit_Assumptions!$C$17)^-0.5,Z170)+Z156*CHOOSE(Credit_Assumptions!$D$33,Z169*Z170*(1+Credit_Assumptions!$C$17)^-0.5,(1-Credit_Assumptions!$C$16)*Z170*(1+Credit_Assumptions!$C$17)^-0.5,Z170)</f>
        <v/>
      </c>
      <c r="AA171" s="80">
        <f>AA151*CHOOSE(Credit_Assumptions!$D$28,AA169*AA170*(1+Credit_Assumptions!$C$17)^-0.5,(1-Credit_Assumptions!$C$16)*AA170*(1+Credit_Assumptions!$C$17)^-0.5,AA170)+AA152*CHOOSE(Credit_Assumptions!$D$29,AA169*AA170*(1+Credit_Assumptions!$C$17)^-0.5,(1-Credit_Assumptions!$C$16)*AA170*(1+Credit_Assumptions!$C$17)^-0.5,AA170)+AA153*CHOOSE(Credit_Assumptions!$D$30,AA169*AA170*(1+Credit_Assumptions!$C$17)^-0.5,(1-Credit_Assumptions!$C$16)*AA170*(1+Credit_Assumptions!$C$17)^-0.5,AA170)+AA154*CHOOSE(Credit_Assumptions!$D$31,AA169*AA170*(1+Credit_Assumptions!$C$17)^-0.5,(1-Credit_Assumptions!$C$16)*AA170*(1+Credit_Assumptions!$C$17)^-0.5,AA170)+AA155*CHOOSE(Credit_Assumptions!$D$32,AA169*AA170*(1+Credit_Assumptions!$C$17)^-0.5,(1-Credit_Assumptions!$C$16)*AA170*(1+Credit_Assumptions!$C$17)^-0.5,AA170)+AA156*CHOOSE(Credit_Assumptions!$D$33,AA169*AA170*(1+Credit_Assumptions!$C$17)^-0.5,(1-Credit_Assumptions!$C$16)*AA170*(1+Credit_Assumptions!$C$17)^-0.5,AA170)</f>
        <v/>
      </c>
      <c r="AB171" s="80">
        <f>AB151*CHOOSE(Credit_Assumptions!$D$28,AB169*AB170*(1+Credit_Assumptions!$C$17)^-0.5,(1-Credit_Assumptions!$C$16)*AB170*(1+Credit_Assumptions!$C$17)^-0.5,AB170)+AB152*CHOOSE(Credit_Assumptions!$D$29,AB169*AB170*(1+Credit_Assumptions!$C$17)^-0.5,(1-Credit_Assumptions!$C$16)*AB170*(1+Credit_Assumptions!$C$17)^-0.5,AB170)+AB153*CHOOSE(Credit_Assumptions!$D$30,AB169*AB170*(1+Credit_Assumptions!$C$17)^-0.5,(1-Credit_Assumptions!$C$16)*AB170*(1+Credit_Assumptions!$C$17)^-0.5,AB170)+AB154*CHOOSE(Credit_Assumptions!$D$31,AB169*AB170*(1+Credit_Assumptions!$C$17)^-0.5,(1-Credit_Assumptions!$C$16)*AB170*(1+Credit_Assumptions!$C$17)^-0.5,AB170)+AB155*CHOOSE(Credit_Assumptions!$D$32,AB169*AB170*(1+Credit_Assumptions!$C$17)^-0.5,(1-Credit_Assumptions!$C$16)*AB170*(1+Credit_Assumptions!$C$17)^-0.5,AB170)+AB156*CHOOSE(Credit_Assumptions!$D$33,AB169*AB170*(1+Credit_Assumptions!$C$17)^-0.5,(1-Credit_Assumptions!$C$16)*AB170*(1+Credit_Assumptions!$C$17)^-0.5,AB170)</f>
        <v/>
      </c>
      <c r="AC171" s="80">
        <f>AC151*CHOOSE(Credit_Assumptions!$D$28,AC169*AC170*(1+Credit_Assumptions!$C$17)^-0.5,(1-Credit_Assumptions!$C$16)*AC170*(1+Credit_Assumptions!$C$17)^-0.5,AC170)+AC152*CHOOSE(Credit_Assumptions!$D$29,AC169*AC170*(1+Credit_Assumptions!$C$17)^-0.5,(1-Credit_Assumptions!$C$16)*AC170*(1+Credit_Assumptions!$C$17)^-0.5,AC170)+AC153*CHOOSE(Credit_Assumptions!$D$30,AC169*AC170*(1+Credit_Assumptions!$C$17)^-0.5,(1-Credit_Assumptions!$C$16)*AC170*(1+Credit_Assumptions!$C$17)^-0.5,AC170)+AC154*CHOOSE(Credit_Assumptions!$D$31,AC169*AC170*(1+Credit_Assumptions!$C$17)^-0.5,(1-Credit_Assumptions!$C$16)*AC170*(1+Credit_Assumptions!$C$17)^-0.5,AC170)+AC155*CHOOSE(Credit_Assumptions!$D$32,AC169*AC170*(1+Credit_Assumptions!$C$17)^-0.5,(1-Credit_Assumptions!$C$16)*AC170*(1+Credit_Assumptions!$C$17)^-0.5,AC170)+AC156*CHOOSE(Credit_Assumptions!$D$33,AC169*AC170*(1+Credit_Assumptions!$C$17)^-0.5,(1-Credit_Assumptions!$C$16)*AC170*(1+Credit_Assumptions!$C$17)^-0.5,AC170)</f>
        <v/>
      </c>
      <c r="AD171" s="80">
        <f>AD151*CHOOSE(Credit_Assumptions!$D$28,AD169*AD170*(1+Credit_Assumptions!$C$17)^-0.5,(1-Credit_Assumptions!$C$16)*AD170*(1+Credit_Assumptions!$C$17)^-0.5,AD170)+AD152*CHOOSE(Credit_Assumptions!$D$29,AD169*AD170*(1+Credit_Assumptions!$C$17)^-0.5,(1-Credit_Assumptions!$C$16)*AD170*(1+Credit_Assumptions!$C$17)^-0.5,AD170)+AD153*CHOOSE(Credit_Assumptions!$D$30,AD169*AD170*(1+Credit_Assumptions!$C$17)^-0.5,(1-Credit_Assumptions!$C$16)*AD170*(1+Credit_Assumptions!$C$17)^-0.5,AD170)+AD154*CHOOSE(Credit_Assumptions!$D$31,AD169*AD170*(1+Credit_Assumptions!$C$17)^-0.5,(1-Credit_Assumptions!$C$16)*AD170*(1+Credit_Assumptions!$C$17)^-0.5,AD170)+AD155*CHOOSE(Credit_Assumptions!$D$32,AD169*AD170*(1+Credit_Assumptions!$C$17)^-0.5,(1-Credit_Assumptions!$C$16)*AD170*(1+Credit_Assumptions!$C$17)^-0.5,AD170)+AD156*CHOOSE(Credit_Assumptions!$D$33,AD169*AD170*(1+Credit_Assumptions!$C$17)^-0.5,(1-Credit_Assumptions!$C$16)*AD170*(1+Credit_Assumptions!$C$17)^-0.5,AD170)</f>
        <v/>
      </c>
      <c r="AE171" s="80">
        <f>AE151*CHOOSE(Credit_Assumptions!$D$28,AE169*AE170*(1+Credit_Assumptions!$C$17)^-0.5,(1-Credit_Assumptions!$C$16)*AE170*(1+Credit_Assumptions!$C$17)^-0.5,AE170)+AE152*CHOOSE(Credit_Assumptions!$D$29,AE169*AE170*(1+Credit_Assumptions!$C$17)^-0.5,(1-Credit_Assumptions!$C$16)*AE170*(1+Credit_Assumptions!$C$17)^-0.5,AE170)+AE153*CHOOSE(Credit_Assumptions!$D$30,AE169*AE170*(1+Credit_Assumptions!$C$17)^-0.5,(1-Credit_Assumptions!$C$16)*AE170*(1+Credit_Assumptions!$C$17)^-0.5,AE170)+AE154*CHOOSE(Credit_Assumptions!$D$31,AE169*AE170*(1+Credit_Assumptions!$C$17)^-0.5,(1-Credit_Assumptions!$C$16)*AE170*(1+Credit_Assumptions!$C$17)^-0.5,AE170)+AE155*CHOOSE(Credit_Assumptions!$D$32,AE169*AE170*(1+Credit_Assumptions!$C$17)^-0.5,(1-Credit_Assumptions!$C$16)*AE170*(1+Credit_Assumptions!$C$17)^-0.5,AE170)+AE156*CHOOSE(Credit_Assumptions!$D$33,AE169*AE170*(1+Credit_Assumptions!$C$17)^-0.5,(1-Credit_Assumptions!$C$16)*AE170*(1+Credit_Assumptions!$C$17)^-0.5,AE170)</f>
        <v/>
      </c>
      <c r="AF171" s="80">
        <f>AF151*CHOOSE(Credit_Assumptions!$D$28,AF169*AF170*(1+Credit_Assumptions!$C$17)^-0.5,(1-Credit_Assumptions!$C$16)*AF170*(1+Credit_Assumptions!$C$17)^-0.5,AF170)+AF152*CHOOSE(Credit_Assumptions!$D$29,AF169*AF170*(1+Credit_Assumptions!$C$17)^-0.5,(1-Credit_Assumptions!$C$16)*AF170*(1+Credit_Assumptions!$C$17)^-0.5,AF170)+AF153*CHOOSE(Credit_Assumptions!$D$30,AF169*AF170*(1+Credit_Assumptions!$C$17)^-0.5,(1-Credit_Assumptions!$C$16)*AF170*(1+Credit_Assumptions!$C$17)^-0.5,AF170)+AF154*CHOOSE(Credit_Assumptions!$D$31,AF169*AF170*(1+Credit_Assumptions!$C$17)^-0.5,(1-Credit_Assumptions!$C$16)*AF170*(1+Credit_Assumptions!$C$17)^-0.5,AF170)+AF155*CHOOSE(Credit_Assumptions!$D$32,AF169*AF170*(1+Credit_Assumptions!$C$17)^-0.5,(1-Credit_Assumptions!$C$16)*AF170*(1+Credit_Assumptions!$C$17)^-0.5,AF170)+AF156*CHOOSE(Credit_Assumptions!$D$33,AF169*AF170*(1+Credit_Assumptions!$C$17)^-0.5,(1-Credit_Assumptions!$C$16)*AF170*(1+Credit_Assumptions!$C$17)^-0.5,AF170)</f>
        <v/>
      </c>
      <c r="AG171" s="80">
        <f>AG151*CHOOSE(Credit_Assumptions!$D$28,AG169*AG170*(1+Credit_Assumptions!$C$17)^-0.5,(1-Credit_Assumptions!$C$16)*AG170*(1+Credit_Assumptions!$C$17)^-0.5,AG170)+AG152*CHOOSE(Credit_Assumptions!$D$29,AG169*AG170*(1+Credit_Assumptions!$C$17)^-0.5,(1-Credit_Assumptions!$C$16)*AG170*(1+Credit_Assumptions!$C$17)^-0.5,AG170)+AG153*CHOOSE(Credit_Assumptions!$D$30,AG169*AG170*(1+Credit_Assumptions!$C$17)^-0.5,(1-Credit_Assumptions!$C$16)*AG170*(1+Credit_Assumptions!$C$17)^-0.5,AG170)+AG154*CHOOSE(Credit_Assumptions!$D$31,AG169*AG170*(1+Credit_Assumptions!$C$17)^-0.5,(1-Credit_Assumptions!$C$16)*AG170*(1+Credit_Assumptions!$C$17)^-0.5,AG170)+AG155*CHOOSE(Credit_Assumptions!$D$32,AG169*AG170*(1+Credit_Assumptions!$C$17)^-0.5,(1-Credit_Assumptions!$C$16)*AG170*(1+Credit_Assumptions!$C$17)^-0.5,AG170)+AG156*CHOOSE(Credit_Assumptions!$D$33,AG169*AG170*(1+Credit_Assumptions!$C$17)^-0.5,(1-Credit_Assumptions!$C$16)*AG170*(1+Credit_Assumptions!$C$17)^-0.5,AG170)</f>
        <v/>
      </c>
      <c r="AH171" s="80">
        <f>AH151*CHOOSE(Credit_Assumptions!$D$28,AH169*AH170*(1+Credit_Assumptions!$C$17)^-0.5,(1-Credit_Assumptions!$C$16)*AH170*(1+Credit_Assumptions!$C$17)^-0.5,AH170)+AH152*CHOOSE(Credit_Assumptions!$D$29,AH169*AH170*(1+Credit_Assumptions!$C$17)^-0.5,(1-Credit_Assumptions!$C$16)*AH170*(1+Credit_Assumptions!$C$17)^-0.5,AH170)+AH153*CHOOSE(Credit_Assumptions!$D$30,AH169*AH170*(1+Credit_Assumptions!$C$17)^-0.5,(1-Credit_Assumptions!$C$16)*AH170*(1+Credit_Assumptions!$C$17)^-0.5,AH170)+AH154*CHOOSE(Credit_Assumptions!$D$31,AH169*AH170*(1+Credit_Assumptions!$C$17)^-0.5,(1-Credit_Assumptions!$C$16)*AH170*(1+Credit_Assumptions!$C$17)^-0.5,AH170)+AH155*CHOOSE(Credit_Assumptions!$D$32,AH169*AH170*(1+Credit_Assumptions!$C$17)^-0.5,(1-Credit_Assumptions!$C$16)*AH170*(1+Credit_Assumptions!$C$17)^-0.5,AH170)+AH156*CHOOSE(Credit_Assumptions!$D$33,AH169*AH170*(1+Credit_Assumptions!$C$17)^-0.5,(1-Credit_Assumptions!$C$16)*AH170*(1+Credit_Assumptions!$C$17)^-0.5,AH170)</f>
        <v/>
      </c>
      <c r="AI171" s="80">
        <f>AI151*CHOOSE(Credit_Assumptions!$D$28,AI169*AI170*(1+Credit_Assumptions!$C$17)^-0.5,(1-Credit_Assumptions!$C$16)*AI170*(1+Credit_Assumptions!$C$17)^-0.5,AI170)+AI152*CHOOSE(Credit_Assumptions!$D$29,AI169*AI170*(1+Credit_Assumptions!$C$17)^-0.5,(1-Credit_Assumptions!$C$16)*AI170*(1+Credit_Assumptions!$C$17)^-0.5,AI170)+AI153*CHOOSE(Credit_Assumptions!$D$30,AI169*AI170*(1+Credit_Assumptions!$C$17)^-0.5,(1-Credit_Assumptions!$C$16)*AI170*(1+Credit_Assumptions!$C$17)^-0.5,AI170)+AI154*CHOOSE(Credit_Assumptions!$D$31,AI169*AI170*(1+Credit_Assumptions!$C$17)^-0.5,(1-Credit_Assumptions!$C$16)*AI170*(1+Credit_Assumptions!$C$17)^-0.5,AI170)+AI155*CHOOSE(Credit_Assumptions!$D$32,AI169*AI170*(1+Credit_Assumptions!$C$17)^-0.5,(1-Credit_Assumptions!$C$16)*AI170*(1+Credit_Assumptions!$C$17)^-0.5,AI170)+AI156*CHOOSE(Credit_Assumptions!$D$33,AI169*AI170*(1+Credit_Assumptions!$C$17)^-0.5,(1-Credit_Assumptions!$C$16)*AI170*(1+Credit_Assumptions!$C$17)^-0.5,AI170)</f>
        <v/>
      </c>
      <c r="AJ171" s="80">
        <f>AJ151*CHOOSE(Credit_Assumptions!$D$28,AJ169*AJ170*(1+Credit_Assumptions!$C$17)^-0.5,(1-Credit_Assumptions!$C$16)*AJ170*(1+Credit_Assumptions!$C$17)^-0.5,AJ170)+AJ152*CHOOSE(Credit_Assumptions!$D$29,AJ169*AJ170*(1+Credit_Assumptions!$C$17)^-0.5,(1-Credit_Assumptions!$C$16)*AJ170*(1+Credit_Assumptions!$C$17)^-0.5,AJ170)+AJ153*CHOOSE(Credit_Assumptions!$D$30,AJ169*AJ170*(1+Credit_Assumptions!$C$17)^-0.5,(1-Credit_Assumptions!$C$16)*AJ170*(1+Credit_Assumptions!$C$17)^-0.5,AJ170)+AJ154*CHOOSE(Credit_Assumptions!$D$31,AJ169*AJ170*(1+Credit_Assumptions!$C$17)^-0.5,(1-Credit_Assumptions!$C$16)*AJ170*(1+Credit_Assumptions!$C$17)^-0.5,AJ170)+AJ155*CHOOSE(Credit_Assumptions!$D$32,AJ169*AJ170*(1+Credit_Assumptions!$C$17)^-0.5,(1-Credit_Assumptions!$C$16)*AJ170*(1+Credit_Assumptions!$C$17)^-0.5,AJ170)+AJ156*CHOOSE(Credit_Assumptions!$D$33,AJ169*AJ170*(1+Credit_Assumptions!$C$17)^-0.5,(1-Credit_Assumptions!$C$16)*AJ170*(1+Credit_Assumptions!$C$17)^-0.5,AJ170)</f>
        <v/>
      </c>
      <c r="AK171" s="80">
        <f>AK151*CHOOSE(Credit_Assumptions!$D$28,AK169*AK170*(1+Credit_Assumptions!$C$17)^-0.5,(1-Credit_Assumptions!$C$16)*AK170*(1+Credit_Assumptions!$C$17)^-0.5,AK170)+AK152*CHOOSE(Credit_Assumptions!$D$29,AK169*AK170*(1+Credit_Assumptions!$C$17)^-0.5,(1-Credit_Assumptions!$C$16)*AK170*(1+Credit_Assumptions!$C$17)^-0.5,AK170)+AK153*CHOOSE(Credit_Assumptions!$D$30,AK169*AK170*(1+Credit_Assumptions!$C$17)^-0.5,(1-Credit_Assumptions!$C$16)*AK170*(1+Credit_Assumptions!$C$17)^-0.5,AK170)+AK154*CHOOSE(Credit_Assumptions!$D$31,AK169*AK170*(1+Credit_Assumptions!$C$17)^-0.5,(1-Credit_Assumptions!$C$16)*AK170*(1+Credit_Assumptions!$C$17)^-0.5,AK170)+AK155*CHOOSE(Credit_Assumptions!$D$32,AK169*AK170*(1+Credit_Assumptions!$C$17)^-0.5,(1-Credit_Assumptions!$C$16)*AK170*(1+Credit_Assumptions!$C$17)^-0.5,AK170)+AK156*CHOOSE(Credit_Assumptions!$D$33,AK169*AK170*(1+Credit_Assumptions!$C$17)^-0.5,(1-Credit_Assumptions!$C$16)*AK170*(1+Credit_Assumptions!$C$17)^-0.5,AK170)</f>
        <v/>
      </c>
      <c r="AL171" s="80">
        <f>AL151*CHOOSE(Credit_Assumptions!$D$28,AL169*AL170*(1+Credit_Assumptions!$C$17)^-0.5,(1-Credit_Assumptions!$C$16)*AL170*(1+Credit_Assumptions!$C$17)^-0.5,AL170)+AL152*CHOOSE(Credit_Assumptions!$D$29,AL169*AL170*(1+Credit_Assumptions!$C$17)^-0.5,(1-Credit_Assumptions!$C$16)*AL170*(1+Credit_Assumptions!$C$17)^-0.5,AL170)+AL153*CHOOSE(Credit_Assumptions!$D$30,AL169*AL170*(1+Credit_Assumptions!$C$17)^-0.5,(1-Credit_Assumptions!$C$16)*AL170*(1+Credit_Assumptions!$C$17)^-0.5,AL170)+AL154*CHOOSE(Credit_Assumptions!$D$31,AL169*AL170*(1+Credit_Assumptions!$C$17)^-0.5,(1-Credit_Assumptions!$C$16)*AL170*(1+Credit_Assumptions!$C$17)^-0.5,AL170)+AL155*CHOOSE(Credit_Assumptions!$D$32,AL169*AL170*(1+Credit_Assumptions!$C$17)^-0.5,(1-Credit_Assumptions!$C$16)*AL170*(1+Credit_Assumptions!$C$17)^-0.5,AL170)+AL156*CHOOSE(Credit_Assumptions!$D$33,AL169*AL170*(1+Credit_Assumptions!$C$17)^-0.5,(1-Credit_Assumptions!$C$16)*AL170*(1+Credit_Assumptions!$C$17)^-0.5,AL170)</f>
        <v/>
      </c>
      <c r="AM171" s="80">
        <f>AM151*CHOOSE(Credit_Assumptions!$D$28,AM169*AM170*(1+Credit_Assumptions!$C$17)^-0.5,(1-Credit_Assumptions!$C$16)*AM170*(1+Credit_Assumptions!$C$17)^-0.5,AM170)+AM152*CHOOSE(Credit_Assumptions!$D$29,AM169*AM170*(1+Credit_Assumptions!$C$17)^-0.5,(1-Credit_Assumptions!$C$16)*AM170*(1+Credit_Assumptions!$C$17)^-0.5,AM170)+AM153*CHOOSE(Credit_Assumptions!$D$30,AM169*AM170*(1+Credit_Assumptions!$C$17)^-0.5,(1-Credit_Assumptions!$C$16)*AM170*(1+Credit_Assumptions!$C$17)^-0.5,AM170)+AM154*CHOOSE(Credit_Assumptions!$D$31,AM169*AM170*(1+Credit_Assumptions!$C$17)^-0.5,(1-Credit_Assumptions!$C$16)*AM170*(1+Credit_Assumptions!$C$17)^-0.5,AM170)+AM155*CHOOSE(Credit_Assumptions!$D$32,AM169*AM170*(1+Credit_Assumptions!$C$17)^-0.5,(1-Credit_Assumptions!$C$16)*AM170*(1+Credit_Assumptions!$C$17)^-0.5,AM170)+AM156*CHOOSE(Credit_Assumptions!$D$33,AM169*AM170*(1+Credit_Assumptions!$C$17)^-0.5,(1-Credit_Assumptions!$C$16)*AM170*(1+Credit_Assumptions!$C$17)^-0.5,AM170)</f>
        <v/>
      </c>
      <c r="AN171" s="80">
        <f>AN151*CHOOSE(Credit_Assumptions!$D$28,AN169*AN170*(1+Credit_Assumptions!$C$17)^-0.5,(1-Credit_Assumptions!$C$16)*AN170*(1+Credit_Assumptions!$C$17)^-0.5,AN170)+AN152*CHOOSE(Credit_Assumptions!$D$29,AN169*AN170*(1+Credit_Assumptions!$C$17)^-0.5,(1-Credit_Assumptions!$C$16)*AN170*(1+Credit_Assumptions!$C$17)^-0.5,AN170)+AN153*CHOOSE(Credit_Assumptions!$D$30,AN169*AN170*(1+Credit_Assumptions!$C$17)^-0.5,(1-Credit_Assumptions!$C$16)*AN170*(1+Credit_Assumptions!$C$17)^-0.5,AN170)+AN154*CHOOSE(Credit_Assumptions!$D$31,AN169*AN170*(1+Credit_Assumptions!$C$17)^-0.5,(1-Credit_Assumptions!$C$16)*AN170*(1+Credit_Assumptions!$C$17)^-0.5,AN170)+AN155*CHOOSE(Credit_Assumptions!$D$32,AN169*AN170*(1+Credit_Assumptions!$C$17)^-0.5,(1-Credit_Assumptions!$C$16)*AN170*(1+Credit_Assumptions!$C$17)^-0.5,AN170)+AN156*CHOOSE(Credit_Assumptions!$D$33,AN169*AN170*(1+Credit_Assumptions!$C$17)^-0.5,(1-Credit_Assumptions!$C$16)*AN170*(1+Credit_Assumptions!$C$17)^-0.5,AN170)</f>
        <v/>
      </c>
      <c r="AO171" s="80">
        <f>AO151*CHOOSE(Credit_Assumptions!$D$28,AO169*AO170*(1+Credit_Assumptions!$C$17)^-0.5,(1-Credit_Assumptions!$C$16)*AO170*(1+Credit_Assumptions!$C$17)^-0.5,AO170)+AO152*CHOOSE(Credit_Assumptions!$D$29,AO169*AO170*(1+Credit_Assumptions!$C$17)^-0.5,(1-Credit_Assumptions!$C$16)*AO170*(1+Credit_Assumptions!$C$17)^-0.5,AO170)+AO153*CHOOSE(Credit_Assumptions!$D$30,AO169*AO170*(1+Credit_Assumptions!$C$17)^-0.5,(1-Credit_Assumptions!$C$16)*AO170*(1+Credit_Assumptions!$C$17)^-0.5,AO170)+AO154*CHOOSE(Credit_Assumptions!$D$31,AO169*AO170*(1+Credit_Assumptions!$C$17)^-0.5,(1-Credit_Assumptions!$C$16)*AO170*(1+Credit_Assumptions!$C$17)^-0.5,AO170)+AO155*CHOOSE(Credit_Assumptions!$D$32,AO169*AO170*(1+Credit_Assumptions!$C$17)^-0.5,(1-Credit_Assumptions!$C$16)*AO170*(1+Credit_Assumptions!$C$17)^-0.5,AO170)+AO156*CHOOSE(Credit_Assumptions!$D$33,AO169*AO170*(1+Credit_Assumptions!$C$17)^-0.5,(1-Credit_Assumptions!$C$16)*AO170*(1+Credit_Assumptions!$C$17)^-0.5,AO170)</f>
        <v/>
      </c>
      <c r="AP171" s="80">
        <f>AP151*CHOOSE(Credit_Assumptions!$D$28,AP169*AP170*(1+Credit_Assumptions!$C$17)^-0.5,(1-Credit_Assumptions!$C$16)*AP170*(1+Credit_Assumptions!$C$17)^-0.5,AP170)+AP152*CHOOSE(Credit_Assumptions!$D$29,AP169*AP170*(1+Credit_Assumptions!$C$17)^-0.5,(1-Credit_Assumptions!$C$16)*AP170*(1+Credit_Assumptions!$C$17)^-0.5,AP170)+AP153*CHOOSE(Credit_Assumptions!$D$30,AP169*AP170*(1+Credit_Assumptions!$C$17)^-0.5,(1-Credit_Assumptions!$C$16)*AP170*(1+Credit_Assumptions!$C$17)^-0.5,AP170)+AP154*CHOOSE(Credit_Assumptions!$D$31,AP169*AP170*(1+Credit_Assumptions!$C$17)^-0.5,(1-Credit_Assumptions!$C$16)*AP170*(1+Credit_Assumptions!$C$17)^-0.5,AP170)+AP155*CHOOSE(Credit_Assumptions!$D$32,AP169*AP170*(1+Credit_Assumptions!$C$17)^-0.5,(1-Credit_Assumptions!$C$16)*AP170*(1+Credit_Assumptions!$C$17)^-0.5,AP170)+AP156*CHOOSE(Credit_Assumptions!$D$33,AP169*AP170*(1+Credit_Assumptions!$C$17)^-0.5,(1-Credit_Assumptions!$C$16)*AP170*(1+Credit_Assumptions!$C$17)^-0.5,AP170)</f>
        <v/>
      </c>
      <c r="AQ171" s="80">
        <f>AQ151*CHOOSE(Credit_Assumptions!$D$28,AQ169*AQ170*(1+Credit_Assumptions!$C$17)^-0.5,(1-Credit_Assumptions!$C$16)*AQ170*(1+Credit_Assumptions!$C$17)^-0.5,AQ170)+AQ152*CHOOSE(Credit_Assumptions!$D$29,AQ169*AQ170*(1+Credit_Assumptions!$C$17)^-0.5,(1-Credit_Assumptions!$C$16)*AQ170*(1+Credit_Assumptions!$C$17)^-0.5,AQ170)+AQ153*CHOOSE(Credit_Assumptions!$D$30,AQ169*AQ170*(1+Credit_Assumptions!$C$17)^-0.5,(1-Credit_Assumptions!$C$16)*AQ170*(1+Credit_Assumptions!$C$17)^-0.5,AQ170)+AQ154*CHOOSE(Credit_Assumptions!$D$31,AQ169*AQ170*(1+Credit_Assumptions!$C$17)^-0.5,(1-Credit_Assumptions!$C$16)*AQ170*(1+Credit_Assumptions!$C$17)^-0.5,AQ170)+AQ155*CHOOSE(Credit_Assumptions!$D$32,AQ169*AQ170*(1+Credit_Assumptions!$C$17)^-0.5,(1-Credit_Assumptions!$C$16)*AQ170*(1+Credit_Assumptions!$C$17)^-0.5,AQ170)+AQ156*CHOOSE(Credit_Assumptions!$D$33,AQ169*AQ170*(1+Credit_Assumptions!$C$17)^-0.5,(1-Credit_Assumptions!$C$16)*AQ170*(1+Credit_Assumptions!$C$17)^-0.5,AQ170)</f>
        <v/>
      </c>
      <c r="AR171" s="80">
        <f>AR151*CHOOSE(Credit_Assumptions!$D$28,AR169*AR170*(1+Credit_Assumptions!$C$17)^-0.5,(1-Credit_Assumptions!$C$16)*AR170*(1+Credit_Assumptions!$C$17)^-0.5,AR170)+AR152*CHOOSE(Credit_Assumptions!$D$29,AR169*AR170*(1+Credit_Assumptions!$C$17)^-0.5,(1-Credit_Assumptions!$C$16)*AR170*(1+Credit_Assumptions!$C$17)^-0.5,AR170)+AR153*CHOOSE(Credit_Assumptions!$D$30,AR169*AR170*(1+Credit_Assumptions!$C$17)^-0.5,(1-Credit_Assumptions!$C$16)*AR170*(1+Credit_Assumptions!$C$17)^-0.5,AR170)+AR154*CHOOSE(Credit_Assumptions!$D$31,AR169*AR170*(1+Credit_Assumptions!$C$17)^-0.5,(1-Credit_Assumptions!$C$16)*AR170*(1+Credit_Assumptions!$C$17)^-0.5,AR170)+AR155*CHOOSE(Credit_Assumptions!$D$32,AR169*AR170*(1+Credit_Assumptions!$C$17)^-0.5,(1-Credit_Assumptions!$C$16)*AR170*(1+Credit_Assumptions!$C$17)^-0.5,AR170)+AR156*CHOOSE(Credit_Assumptions!$D$33,AR169*AR170*(1+Credit_Assumptions!$C$17)^-0.5,(1-Credit_Assumptions!$C$16)*AR170*(1+Credit_Assumptions!$C$17)^-0.5,AR170)</f>
        <v/>
      </c>
      <c r="AS171" s="80">
        <f>AS151*CHOOSE(Credit_Assumptions!$D$28,AS169*AS170*(1+Credit_Assumptions!$C$17)^-0.5,(1-Credit_Assumptions!$C$16)*AS170*(1+Credit_Assumptions!$C$17)^-0.5,AS170)+AS152*CHOOSE(Credit_Assumptions!$D$29,AS169*AS170*(1+Credit_Assumptions!$C$17)^-0.5,(1-Credit_Assumptions!$C$16)*AS170*(1+Credit_Assumptions!$C$17)^-0.5,AS170)+AS153*CHOOSE(Credit_Assumptions!$D$30,AS169*AS170*(1+Credit_Assumptions!$C$17)^-0.5,(1-Credit_Assumptions!$C$16)*AS170*(1+Credit_Assumptions!$C$17)^-0.5,AS170)+AS154*CHOOSE(Credit_Assumptions!$D$31,AS169*AS170*(1+Credit_Assumptions!$C$17)^-0.5,(1-Credit_Assumptions!$C$16)*AS170*(1+Credit_Assumptions!$C$17)^-0.5,AS170)+AS155*CHOOSE(Credit_Assumptions!$D$32,AS169*AS170*(1+Credit_Assumptions!$C$17)^-0.5,(1-Credit_Assumptions!$C$16)*AS170*(1+Credit_Assumptions!$C$17)^-0.5,AS170)+AS156*CHOOSE(Credit_Assumptions!$D$33,AS169*AS170*(1+Credit_Assumptions!$C$17)^-0.5,(1-Credit_Assumptions!$C$16)*AS170*(1+Credit_Assumptions!$C$17)^-0.5,AS170)</f>
        <v/>
      </c>
      <c r="AT171" s="80">
        <f>AT151*CHOOSE(Credit_Assumptions!$D$28,AT169*AT170*(1+Credit_Assumptions!$C$17)^-0.5,(1-Credit_Assumptions!$C$16)*AT170*(1+Credit_Assumptions!$C$17)^-0.5,AT170)+AT152*CHOOSE(Credit_Assumptions!$D$29,AT169*AT170*(1+Credit_Assumptions!$C$17)^-0.5,(1-Credit_Assumptions!$C$16)*AT170*(1+Credit_Assumptions!$C$17)^-0.5,AT170)+AT153*CHOOSE(Credit_Assumptions!$D$30,AT169*AT170*(1+Credit_Assumptions!$C$17)^-0.5,(1-Credit_Assumptions!$C$16)*AT170*(1+Credit_Assumptions!$C$17)^-0.5,AT170)+AT154*CHOOSE(Credit_Assumptions!$D$31,AT169*AT170*(1+Credit_Assumptions!$C$17)^-0.5,(1-Credit_Assumptions!$C$16)*AT170*(1+Credit_Assumptions!$C$17)^-0.5,AT170)+AT155*CHOOSE(Credit_Assumptions!$D$32,AT169*AT170*(1+Credit_Assumptions!$C$17)^-0.5,(1-Credit_Assumptions!$C$16)*AT170*(1+Credit_Assumptions!$C$17)^-0.5,AT170)+AT156*CHOOSE(Credit_Assumptions!$D$33,AT169*AT170*(1+Credit_Assumptions!$C$17)^-0.5,(1-Credit_Assumptions!$C$16)*AT170*(1+Credit_Assumptions!$C$17)^-0.5,AT170)</f>
        <v/>
      </c>
      <c r="AU171" s="80">
        <f>AU151*CHOOSE(Credit_Assumptions!$D$28,AU169*AU170*(1+Credit_Assumptions!$C$17)^-0.5,(1-Credit_Assumptions!$C$16)*AU170*(1+Credit_Assumptions!$C$17)^-0.5,AU170)+AU152*CHOOSE(Credit_Assumptions!$D$29,AU169*AU170*(1+Credit_Assumptions!$C$17)^-0.5,(1-Credit_Assumptions!$C$16)*AU170*(1+Credit_Assumptions!$C$17)^-0.5,AU170)+AU153*CHOOSE(Credit_Assumptions!$D$30,AU169*AU170*(1+Credit_Assumptions!$C$17)^-0.5,(1-Credit_Assumptions!$C$16)*AU170*(1+Credit_Assumptions!$C$17)^-0.5,AU170)+AU154*CHOOSE(Credit_Assumptions!$D$31,AU169*AU170*(1+Credit_Assumptions!$C$17)^-0.5,(1-Credit_Assumptions!$C$16)*AU170*(1+Credit_Assumptions!$C$17)^-0.5,AU170)+AU155*CHOOSE(Credit_Assumptions!$D$32,AU169*AU170*(1+Credit_Assumptions!$C$17)^-0.5,(1-Credit_Assumptions!$C$16)*AU170*(1+Credit_Assumptions!$C$17)^-0.5,AU170)+AU156*CHOOSE(Credit_Assumptions!$D$33,AU169*AU170*(1+Credit_Assumptions!$C$17)^-0.5,(1-Credit_Assumptions!$C$16)*AU170*(1+Credit_Assumptions!$C$17)^-0.5,AU170)</f>
        <v/>
      </c>
      <c r="AV171" s="80">
        <f>AV151*CHOOSE(Credit_Assumptions!$D$28,AV169*AV170*(1+Credit_Assumptions!$C$17)^-0.5,(1-Credit_Assumptions!$C$16)*AV170*(1+Credit_Assumptions!$C$17)^-0.5,AV170)+AV152*CHOOSE(Credit_Assumptions!$D$29,AV169*AV170*(1+Credit_Assumptions!$C$17)^-0.5,(1-Credit_Assumptions!$C$16)*AV170*(1+Credit_Assumptions!$C$17)^-0.5,AV170)+AV153*CHOOSE(Credit_Assumptions!$D$30,AV169*AV170*(1+Credit_Assumptions!$C$17)^-0.5,(1-Credit_Assumptions!$C$16)*AV170*(1+Credit_Assumptions!$C$17)^-0.5,AV170)+AV154*CHOOSE(Credit_Assumptions!$D$31,AV169*AV170*(1+Credit_Assumptions!$C$17)^-0.5,(1-Credit_Assumptions!$C$16)*AV170*(1+Credit_Assumptions!$C$17)^-0.5,AV170)+AV155*CHOOSE(Credit_Assumptions!$D$32,AV169*AV170*(1+Credit_Assumptions!$C$17)^-0.5,(1-Credit_Assumptions!$C$16)*AV170*(1+Credit_Assumptions!$C$17)^-0.5,AV170)+AV156*CHOOSE(Credit_Assumptions!$D$33,AV169*AV170*(1+Credit_Assumptions!$C$17)^-0.5,(1-Credit_Assumptions!$C$16)*AV170*(1+Credit_Assumptions!$C$17)^-0.5,AV170)</f>
        <v/>
      </c>
      <c r="AW171" s="80">
        <f>AW151*CHOOSE(Credit_Assumptions!$D$28,AW169*AW170*(1+Credit_Assumptions!$C$17)^-0.5,(1-Credit_Assumptions!$C$16)*AW170*(1+Credit_Assumptions!$C$17)^-0.5,AW170)+AW152*CHOOSE(Credit_Assumptions!$D$29,AW169*AW170*(1+Credit_Assumptions!$C$17)^-0.5,(1-Credit_Assumptions!$C$16)*AW170*(1+Credit_Assumptions!$C$17)^-0.5,AW170)+AW153*CHOOSE(Credit_Assumptions!$D$30,AW169*AW170*(1+Credit_Assumptions!$C$17)^-0.5,(1-Credit_Assumptions!$C$16)*AW170*(1+Credit_Assumptions!$C$17)^-0.5,AW170)+AW154*CHOOSE(Credit_Assumptions!$D$31,AW169*AW170*(1+Credit_Assumptions!$C$17)^-0.5,(1-Credit_Assumptions!$C$16)*AW170*(1+Credit_Assumptions!$C$17)^-0.5,AW170)+AW155*CHOOSE(Credit_Assumptions!$D$32,AW169*AW170*(1+Credit_Assumptions!$C$17)^-0.5,(1-Credit_Assumptions!$C$16)*AW170*(1+Credit_Assumptions!$C$17)^-0.5,AW170)+AW156*CHOOSE(Credit_Assumptions!$D$33,AW169*AW170*(1+Credit_Assumptions!$C$17)^-0.5,(1-Credit_Assumptions!$C$16)*AW170*(1+Credit_Assumptions!$C$17)^-0.5,AW170)</f>
        <v/>
      </c>
      <c r="AX171" s="80">
        <f>AX151*CHOOSE(Credit_Assumptions!$D$28,AX169*AX170*(1+Credit_Assumptions!$C$17)^-0.5,(1-Credit_Assumptions!$C$16)*AX170*(1+Credit_Assumptions!$C$17)^-0.5,AX170)+AX152*CHOOSE(Credit_Assumptions!$D$29,AX169*AX170*(1+Credit_Assumptions!$C$17)^-0.5,(1-Credit_Assumptions!$C$16)*AX170*(1+Credit_Assumptions!$C$17)^-0.5,AX170)+AX153*CHOOSE(Credit_Assumptions!$D$30,AX169*AX170*(1+Credit_Assumptions!$C$17)^-0.5,(1-Credit_Assumptions!$C$16)*AX170*(1+Credit_Assumptions!$C$17)^-0.5,AX170)+AX154*CHOOSE(Credit_Assumptions!$D$31,AX169*AX170*(1+Credit_Assumptions!$C$17)^-0.5,(1-Credit_Assumptions!$C$16)*AX170*(1+Credit_Assumptions!$C$17)^-0.5,AX170)+AX155*CHOOSE(Credit_Assumptions!$D$32,AX169*AX170*(1+Credit_Assumptions!$C$17)^-0.5,(1-Credit_Assumptions!$C$16)*AX170*(1+Credit_Assumptions!$C$17)^-0.5,AX170)+AX156*CHOOSE(Credit_Assumptions!$D$33,AX169*AX170*(1+Credit_Assumptions!$C$17)^-0.5,(1-Credit_Assumptions!$C$16)*AX170*(1+Credit_Assumptions!$C$17)^-0.5,AX170)</f>
        <v/>
      </c>
      <c r="AY171" s="80">
        <f>AY151*CHOOSE(Credit_Assumptions!$D$28,AY169*AY170*(1+Credit_Assumptions!$C$17)^-0.5,(1-Credit_Assumptions!$C$16)*AY170*(1+Credit_Assumptions!$C$17)^-0.5,AY170)+AY152*CHOOSE(Credit_Assumptions!$D$29,AY169*AY170*(1+Credit_Assumptions!$C$17)^-0.5,(1-Credit_Assumptions!$C$16)*AY170*(1+Credit_Assumptions!$C$17)^-0.5,AY170)+AY153*CHOOSE(Credit_Assumptions!$D$30,AY169*AY170*(1+Credit_Assumptions!$C$17)^-0.5,(1-Credit_Assumptions!$C$16)*AY170*(1+Credit_Assumptions!$C$17)^-0.5,AY170)+AY154*CHOOSE(Credit_Assumptions!$D$31,AY169*AY170*(1+Credit_Assumptions!$C$17)^-0.5,(1-Credit_Assumptions!$C$16)*AY170*(1+Credit_Assumptions!$C$17)^-0.5,AY170)+AY155*CHOOSE(Credit_Assumptions!$D$32,AY169*AY170*(1+Credit_Assumptions!$C$17)^-0.5,(1-Credit_Assumptions!$C$16)*AY170*(1+Credit_Assumptions!$C$17)^-0.5,AY170)+AY156*CHOOSE(Credit_Assumptions!$D$33,AY169*AY170*(1+Credit_Assumptions!$C$17)^-0.5,(1-Credit_Assumptions!$C$16)*AY170*(1+Credit_Assumptions!$C$17)^-0.5,AY170)</f>
        <v/>
      </c>
      <c r="AZ171" s="80">
        <f>AZ151*CHOOSE(Credit_Assumptions!$D$28,AZ169*AZ170*(1+Credit_Assumptions!$C$17)^-0.5,(1-Credit_Assumptions!$C$16)*AZ170*(1+Credit_Assumptions!$C$17)^-0.5,AZ170)+AZ152*CHOOSE(Credit_Assumptions!$D$29,AZ169*AZ170*(1+Credit_Assumptions!$C$17)^-0.5,(1-Credit_Assumptions!$C$16)*AZ170*(1+Credit_Assumptions!$C$17)^-0.5,AZ170)+AZ153*CHOOSE(Credit_Assumptions!$D$30,AZ169*AZ170*(1+Credit_Assumptions!$C$17)^-0.5,(1-Credit_Assumptions!$C$16)*AZ170*(1+Credit_Assumptions!$C$17)^-0.5,AZ170)+AZ154*CHOOSE(Credit_Assumptions!$D$31,AZ169*AZ170*(1+Credit_Assumptions!$C$17)^-0.5,(1-Credit_Assumptions!$C$16)*AZ170*(1+Credit_Assumptions!$C$17)^-0.5,AZ170)+AZ155*CHOOSE(Credit_Assumptions!$D$32,AZ169*AZ170*(1+Credit_Assumptions!$C$17)^-0.5,(1-Credit_Assumptions!$C$16)*AZ170*(1+Credit_Assumptions!$C$17)^-0.5,AZ170)+AZ156*CHOOSE(Credit_Assumptions!$D$33,AZ169*AZ170*(1+Credit_Assumptions!$C$17)^-0.5,(1-Credit_Assumptions!$C$16)*AZ170*(1+Credit_Assumptions!$C$17)^-0.5,AZ170)</f>
        <v/>
      </c>
      <c r="BA171" s="80">
        <f>BA151*CHOOSE(Credit_Assumptions!$D$28,BA169*BA170*(1+Credit_Assumptions!$C$17)^-0.5,(1-Credit_Assumptions!$C$16)*BA170*(1+Credit_Assumptions!$C$17)^-0.5,BA170)+BA152*CHOOSE(Credit_Assumptions!$D$29,BA169*BA170*(1+Credit_Assumptions!$C$17)^-0.5,(1-Credit_Assumptions!$C$16)*BA170*(1+Credit_Assumptions!$C$17)^-0.5,BA170)+BA153*CHOOSE(Credit_Assumptions!$D$30,BA169*BA170*(1+Credit_Assumptions!$C$17)^-0.5,(1-Credit_Assumptions!$C$16)*BA170*(1+Credit_Assumptions!$C$17)^-0.5,BA170)+BA154*CHOOSE(Credit_Assumptions!$D$31,BA169*BA170*(1+Credit_Assumptions!$C$17)^-0.5,(1-Credit_Assumptions!$C$16)*BA170*(1+Credit_Assumptions!$C$17)^-0.5,BA170)+BA155*CHOOSE(Credit_Assumptions!$D$32,BA169*BA170*(1+Credit_Assumptions!$C$17)^-0.5,(1-Credit_Assumptions!$C$16)*BA170*(1+Credit_Assumptions!$C$17)^-0.5,BA170)+BA156*CHOOSE(Credit_Assumptions!$D$33,BA169*BA170*(1+Credit_Assumptions!$C$17)^-0.5,(1-Credit_Assumptions!$C$16)*BA170*(1+Credit_Assumptions!$C$17)^-0.5,BA170)</f>
        <v/>
      </c>
      <c r="BB171" s="80">
        <f>BB151*CHOOSE(Credit_Assumptions!$D$28,BB169*BB170*(1+Credit_Assumptions!$C$17)^-0.5,(1-Credit_Assumptions!$C$16)*BB170*(1+Credit_Assumptions!$C$17)^-0.5,BB170)+BB152*CHOOSE(Credit_Assumptions!$D$29,BB169*BB170*(1+Credit_Assumptions!$C$17)^-0.5,(1-Credit_Assumptions!$C$16)*BB170*(1+Credit_Assumptions!$C$17)^-0.5,BB170)+BB153*CHOOSE(Credit_Assumptions!$D$30,BB169*BB170*(1+Credit_Assumptions!$C$17)^-0.5,(1-Credit_Assumptions!$C$16)*BB170*(1+Credit_Assumptions!$C$17)^-0.5,BB170)+BB154*CHOOSE(Credit_Assumptions!$D$31,BB169*BB170*(1+Credit_Assumptions!$C$17)^-0.5,(1-Credit_Assumptions!$C$16)*BB170*(1+Credit_Assumptions!$C$17)^-0.5,BB170)+BB155*CHOOSE(Credit_Assumptions!$D$32,BB169*BB170*(1+Credit_Assumptions!$C$17)^-0.5,(1-Credit_Assumptions!$C$16)*BB170*(1+Credit_Assumptions!$C$17)^-0.5,BB170)+BB156*CHOOSE(Credit_Assumptions!$D$33,BB169*BB170*(1+Credit_Assumptions!$C$17)^-0.5,(1-Credit_Assumptions!$C$16)*BB170*(1+Credit_Assumptions!$C$17)^-0.5,BB170)</f>
        <v/>
      </c>
      <c r="BC171" s="80">
        <f>BC151*CHOOSE(Credit_Assumptions!$D$28,BC169*BC170*(1+Credit_Assumptions!$C$17)^-0.5,(1-Credit_Assumptions!$C$16)*BC170*(1+Credit_Assumptions!$C$17)^-0.5,BC170)+BC152*CHOOSE(Credit_Assumptions!$D$29,BC169*BC170*(1+Credit_Assumptions!$C$17)^-0.5,(1-Credit_Assumptions!$C$16)*BC170*(1+Credit_Assumptions!$C$17)^-0.5,BC170)+BC153*CHOOSE(Credit_Assumptions!$D$30,BC169*BC170*(1+Credit_Assumptions!$C$17)^-0.5,(1-Credit_Assumptions!$C$16)*BC170*(1+Credit_Assumptions!$C$17)^-0.5,BC170)+BC154*CHOOSE(Credit_Assumptions!$D$31,BC169*BC170*(1+Credit_Assumptions!$C$17)^-0.5,(1-Credit_Assumptions!$C$16)*BC170*(1+Credit_Assumptions!$C$17)^-0.5,BC170)+BC155*CHOOSE(Credit_Assumptions!$D$32,BC169*BC170*(1+Credit_Assumptions!$C$17)^-0.5,(1-Credit_Assumptions!$C$16)*BC170*(1+Credit_Assumptions!$C$17)^-0.5,BC170)+BC156*CHOOSE(Credit_Assumptions!$D$33,BC169*BC170*(1+Credit_Assumptions!$C$17)^-0.5,(1-Credit_Assumptions!$C$16)*BC170*(1+Credit_Assumptions!$C$17)^-0.5,BC170)</f>
        <v/>
      </c>
      <c r="BD171" s="80">
        <f>BD151*CHOOSE(Credit_Assumptions!$D$28,BD169*BD170*(1+Credit_Assumptions!$C$17)^-0.5,(1-Credit_Assumptions!$C$16)*BD170*(1+Credit_Assumptions!$C$17)^-0.5,BD170)+BD152*CHOOSE(Credit_Assumptions!$D$29,BD169*BD170*(1+Credit_Assumptions!$C$17)^-0.5,(1-Credit_Assumptions!$C$16)*BD170*(1+Credit_Assumptions!$C$17)^-0.5,BD170)+BD153*CHOOSE(Credit_Assumptions!$D$30,BD169*BD170*(1+Credit_Assumptions!$C$17)^-0.5,(1-Credit_Assumptions!$C$16)*BD170*(1+Credit_Assumptions!$C$17)^-0.5,BD170)+BD154*CHOOSE(Credit_Assumptions!$D$31,BD169*BD170*(1+Credit_Assumptions!$C$17)^-0.5,(1-Credit_Assumptions!$C$16)*BD170*(1+Credit_Assumptions!$C$17)^-0.5,BD170)+BD155*CHOOSE(Credit_Assumptions!$D$32,BD169*BD170*(1+Credit_Assumptions!$C$17)^-0.5,(1-Credit_Assumptions!$C$16)*BD170*(1+Credit_Assumptions!$C$17)^-0.5,BD170)+BD156*CHOOSE(Credit_Assumptions!$D$33,BD169*BD170*(1+Credit_Assumptions!$C$17)^-0.5,(1-Credit_Assumptions!$C$16)*BD170*(1+Credit_Assumptions!$C$17)^-0.5,BD170)</f>
        <v/>
      </c>
      <c r="BE171" s="80">
        <f>BE151*CHOOSE(Credit_Assumptions!$D$28,BE169*BE170*(1+Credit_Assumptions!$C$17)^-0.5,(1-Credit_Assumptions!$C$16)*BE170*(1+Credit_Assumptions!$C$17)^-0.5,BE170)+BE152*CHOOSE(Credit_Assumptions!$D$29,BE169*BE170*(1+Credit_Assumptions!$C$17)^-0.5,(1-Credit_Assumptions!$C$16)*BE170*(1+Credit_Assumptions!$C$17)^-0.5,BE170)+BE153*CHOOSE(Credit_Assumptions!$D$30,BE169*BE170*(1+Credit_Assumptions!$C$17)^-0.5,(1-Credit_Assumptions!$C$16)*BE170*(1+Credit_Assumptions!$C$17)^-0.5,BE170)+BE154*CHOOSE(Credit_Assumptions!$D$31,BE169*BE170*(1+Credit_Assumptions!$C$17)^-0.5,(1-Credit_Assumptions!$C$16)*BE170*(1+Credit_Assumptions!$C$17)^-0.5,BE170)+BE155*CHOOSE(Credit_Assumptions!$D$32,BE169*BE170*(1+Credit_Assumptions!$C$17)^-0.5,(1-Credit_Assumptions!$C$16)*BE170*(1+Credit_Assumptions!$C$17)^-0.5,BE170)+BE156*CHOOSE(Credit_Assumptions!$D$33,BE169*BE170*(1+Credit_Assumptions!$C$17)^-0.5,(1-Credit_Assumptions!$C$16)*BE170*(1+Credit_Assumptions!$C$17)^-0.5,BE170)</f>
        <v/>
      </c>
      <c r="BF171" s="80">
        <f>BF151*CHOOSE(Credit_Assumptions!$D$28,BF169*BF170*(1+Credit_Assumptions!$C$17)^-0.5,(1-Credit_Assumptions!$C$16)*BF170*(1+Credit_Assumptions!$C$17)^-0.5,BF170)+BF152*CHOOSE(Credit_Assumptions!$D$29,BF169*BF170*(1+Credit_Assumptions!$C$17)^-0.5,(1-Credit_Assumptions!$C$16)*BF170*(1+Credit_Assumptions!$C$17)^-0.5,BF170)+BF153*CHOOSE(Credit_Assumptions!$D$30,BF169*BF170*(1+Credit_Assumptions!$C$17)^-0.5,(1-Credit_Assumptions!$C$16)*BF170*(1+Credit_Assumptions!$C$17)^-0.5,BF170)+BF154*CHOOSE(Credit_Assumptions!$D$31,BF169*BF170*(1+Credit_Assumptions!$C$17)^-0.5,(1-Credit_Assumptions!$C$16)*BF170*(1+Credit_Assumptions!$C$17)^-0.5,BF170)+BF155*CHOOSE(Credit_Assumptions!$D$32,BF169*BF170*(1+Credit_Assumptions!$C$17)^-0.5,(1-Credit_Assumptions!$C$16)*BF170*(1+Credit_Assumptions!$C$17)^-0.5,BF170)+BF156*CHOOSE(Credit_Assumptions!$D$33,BF169*BF170*(1+Credit_Assumptions!$C$17)^-0.5,(1-Credit_Assumptions!$C$16)*BF170*(1+Credit_Assumptions!$C$17)^-0.5,BF170)</f>
        <v/>
      </c>
      <c r="BG171" s="80">
        <f>BG151*CHOOSE(Credit_Assumptions!$D$28,BG169*BG170*(1+Credit_Assumptions!$C$17)^-0.5,(1-Credit_Assumptions!$C$16)*BG170*(1+Credit_Assumptions!$C$17)^-0.5,BG170)+BG152*CHOOSE(Credit_Assumptions!$D$29,BG169*BG170*(1+Credit_Assumptions!$C$17)^-0.5,(1-Credit_Assumptions!$C$16)*BG170*(1+Credit_Assumptions!$C$17)^-0.5,BG170)+BG153*CHOOSE(Credit_Assumptions!$D$30,BG169*BG170*(1+Credit_Assumptions!$C$17)^-0.5,(1-Credit_Assumptions!$C$16)*BG170*(1+Credit_Assumptions!$C$17)^-0.5,BG170)+BG154*CHOOSE(Credit_Assumptions!$D$31,BG169*BG170*(1+Credit_Assumptions!$C$17)^-0.5,(1-Credit_Assumptions!$C$16)*BG170*(1+Credit_Assumptions!$C$17)^-0.5,BG170)+BG155*CHOOSE(Credit_Assumptions!$D$32,BG169*BG170*(1+Credit_Assumptions!$C$17)^-0.5,(1-Credit_Assumptions!$C$16)*BG170*(1+Credit_Assumptions!$C$17)^-0.5,BG170)+BG156*CHOOSE(Credit_Assumptions!$D$33,BG169*BG170*(1+Credit_Assumptions!$C$17)^-0.5,(1-Credit_Assumptions!$C$16)*BG170*(1+Credit_Assumptions!$C$17)^-0.5,BG170)</f>
        <v/>
      </c>
      <c r="BH171" s="80">
        <f>BH151*CHOOSE(Credit_Assumptions!$D$28,BH169*BH170*(1+Credit_Assumptions!$C$17)^-0.5,(1-Credit_Assumptions!$C$16)*BH170*(1+Credit_Assumptions!$C$17)^-0.5,BH170)+BH152*CHOOSE(Credit_Assumptions!$D$29,BH169*BH170*(1+Credit_Assumptions!$C$17)^-0.5,(1-Credit_Assumptions!$C$16)*BH170*(1+Credit_Assumptions!$C$17)^-0.5,BH170)+BH153*CHOOSE(Credit_Assumptions!$D$30,BH169*BH170*(1+Credit_Assumptions!$C$17)^-0.5,(1-Credit_Assumptions!$C$16)*BH170*(1+Credit_Assumptions!$C$17)^-0.5,BH170)+BH154*CHOOSE(Credit_Assumptions!$D$31,BH169*BH170*(1+Credit_Assumptions!$C$17)^-0.5,(1-Credit_Assumptions!$C$16)*BH170*(1+Credit_Assumptions!$C$17)^-0.5,BH170)+BH155*CHOOSE(Credit_Assumptions!$D$32,BH169*BH170*(1+Credit_Assumptions!$C$17)^-0.5,(1-Credit_Assumptions!$C$16)*BH170*(1+Credit_Assumptions!$C$17)^-0.5,BH170)+BH156*CHOOSE(Credit_Assumptions!$D$33,BH169*BH170*(1+Credit_Assumptions!$C$17)^-0.5,(1-Credit_Assumptions!$C$16)*BH170*(1+Credit_Assumptions!$C$17)^-0.5,BH170)</f>
        <v/>
      </c>
      <c r="BI171" s="80">
        <f>BI151*CHOOSE(Credit_Assumptions!$D$28,BI169*BI170*(1+Credit_Assumptions!$C$17)^-0.5,(1-Credit_Assumptions!$C$16)*BI170*(1+Credit_Assumptions!$C$17)^-0.5,BI170)+BI152*CHOOSE(Credit_Assumptions!$D$29,BI169*BI170*(1+Credit_Assumptions!$C$17)^-0.5,(1-Credit_Assumptions!$C$16)*BI170*(1+Credit_Assumptions!$C$17)^-0.5,BI170)+BI153*CHOOSE(Credit_Assumptions!$D$30,BI169*BI170*(1+Credit_Assumptions!$C$17)^-0.5,(1-Credit_Assumptions!$C$16)*BI170*(1+Credit_Assumptions!$C$17)^-0.5,BI170)+BI154*CHOOSE(Credit_Assumptions!$D$31,BI169*BI170*(1+Credit_Assumptions!$C$17)^-0.5,(1-Credit_Assumptions!$C$16)*BI170*(1+Credit_Assumptions!$C$17)^-0.5,BI170)+BI155*CHOOSE(Credit_Assumptions!$D$32,BI169*BI170*(1+Credit_Assumptions!$C$17)^-0.5,(1-Credit_Assumptions!$C$16)*BI170*(1+Credit_Assumptions!$C$17)^-0.5,BI170)+BI156*CHOOSE(Credit_Assumptions!$D$33,BI169*BI170*(1+Credit_Assumptions!$C$17)^-0.5,(1-Credit_Assumptions!$C$16)*BI170*(1+Credit_Assumptions!$C$17)^-0.5,BI170)</f>
        <v/>
      </c>
      <c r="BJ171" s="80">
        <f>BJ151*CHOOSE(Credit_Assumptions!$D$28,BJ169*BJ170*(1+Credit_Assumptions!$C$17)^-0.5,(1-Credit_Assumptions!$C$16)*BJ170*(1+Credit_Assumptions!$C$17)^-0.5,BJ170)+BJ152*CHOOSE(Credit_Assumptions!$D$29,BJ169*BJ170*(1+Credit_Assumptions!$C$17)^-0.5,(1-Credit_Assumptions!$C$16)*BJ170*(1+Credit_Assumptions!$C$17)^-0.5,BJ170)+BJ153*CHOOSE(Credit_Assumptions!$D$30,BJ169*BJ170*(1+Credit_Assumptions!$C$17)^-0.5,(1-Credit_Assumptions!$C$16)*BJ170*(1+Credit_Assumptions!$C$17)^-0.5,BJ170)+BJ154*CHOOSE(Credit_Assumptions!$D$31,BJ169*BJ170*(1+Credit_Assumptions!$C$17)^-0.5,(1-Credit_Assumptions!$C$16)*BJ170*(1+Credit_Assumptions!$C$17)^-0.5,BJ170)+BJ155*CHOOSE(Credit_Assumptions!$D$32,BJ169*BJ170*(1+Credit_Assumptions!$C$17)^-0.5,(1-Credit_Assumptions!$C$16)*BJ170*(1+Credit_Assumptions!$C$17)^-0.5,BJ170)+BJ156*CHOOSE(Credit_Assumptions!$D$33,BJ169*BJ170*(1+Credit_Assumptions!$C$17)^-0.5,(1-Credit_Assumptions!$C$16)*BJ170*(1+Credit_Assumptions!$C$17)^-0.5,BJ170)</f>
        <v/>
      </c>
      <c r="BK171" s="80">
        <f>BK151*CHOOSE(Credit_Assumptions!$D$28,BK169*BK170*(1+Credit_Assumptions!$C$17)^-0.5,(1-Credit_Assumptions!$C$16)*BK170*(1+Credit_Assumptions!$C$17)^-0.5,BK170)+BK152*CHOOSE(Credit_Assumptions!$D$29,BK169*BK170*(1+Credit_Assumptions!$C$17)^-0.5,(1-Credit_Assumptions!$C$16)*BK170*(1+Credit_Assumptions!$C$17)^-0.5,BK170)+BK153*CHOOSE(Credit_Assumptions!$D$30,BK169*BK170*(1+Credit_Assumptions!$C$17)^-0.5,(1-Credit_Assumptions!$C$16)*BK170*(1+Credit_Assumptions!$C$17)^-0.5,BK170)+BK154*CHOOSE(Credit_Assumptions!$D$31,BK169*BK170*(1+Credit_Assumptions!$C$17)^-0.5,(1-Credit_Assumptions!$C$16)*BK170*(1+Credit_Assumptions!$C$17)^-0.5,BK170)+BK155*CHOOSE(Credit_Assumptions!$D$32,BK169*BK170*(1+Credit_Assumptions!$C$17)^-0.5,(1-Credit_Assumptions!$C$16)*BK170*(1+Credit_Assumptions!$C$17)^-0.5,BK170)+BK156*CHOOSE(Credit_Assumptions!$D$33,BK169*BK170*(1+Credit_Assumptions!$C$17)^-0.5,(1-Credit_Assumptions!$C$16)*BK170*(1+Credit_Assumptions!$C$17)^-0.5,BK170)</f>
        <v/>
      </c>
      <c r="BL171" s="80">
        <f>BL151*CHOOSE(Credit_Assumptions!$D$28,BL169*BL170*(1+Credit_Assumptions!$C$17)^-0.5,(1-Credit_Assumptions!$C$16)*BL170*(1+Credit_Assumptions!$C$17)^-0.5,BL170)+BL152*CHOOSE(Credit_Assumptions!$D$29,BL169*BL170*(1+Credit_Assumptions!$C$17)^-0.5,(1-Credit_Assumptions!$C$16)*BL170*(1+Credit_Assumptions!$C$17)^-0.5,BL170)+BL153*CHOOSE(Credit_Assumptions!$D$30,BL169*BL170*(1+Credit_Assumptions!$C$17)^-0.5,(1-Credit_Assumptions!$C$16)*BL170*(1+Credit_Assumptions!$C$17)^-0.5,BL170)+BL154*CHOOSE(Credit_Assumptions!$D$31,BL169*BL170*(1+Credit_Assumptions!$C$17)^-0.5,(1-Credit_Assumptions!$C$16)*BL170*(1+Credit_Assumptions!$C$17)^-0.5,BL170)+BL155*CHOOSE(Credit_Assumptions!$D$32,BL169*BL170*(1+Credit_Assumptions!$C$17)^-0.5,(1-Credit_Assumptions!$C$16)*BL170*(1+Credit_Assumptions!$C$17)^-0.5,BL170)+BL156*CHOOSE(Credit_Assumptions!$D$33,BL169*BL170*(1+Credit_Assumptions!$C$17)^-0.5,(1-Credit_Assumptions!$C$16)*BL170*(1+Credit_Assumptions!$C$17)^-0.5,BL170)</f>
        <v/>
      </c>
    </row>
    <row r="172">
      <c r="A172" s="98" t="inlineStr">
        <is>
          <t>Eligible receivables (borrowing base)</t>
        </is>
      </c>
      <c r="B172" s="65" t="inlineStr">
        <is>
          <t>LCY</t>
        </is>
      </c>
      <c r="C172" s="105">
        <f>BL172</f>
        <v/>
      </c>
      <c r="E172" s="80">
        <f>E151*Credit_Assumptions!$E$28+E152*Credit_Assumptions!$E$29+E153*Credit_Assumptions!$E$30+E154*Credit_Assumptions!$E$31+E155*Credit_Assumptions!$E$32+E156*Credit_Assumptions!$E$33</f>
        <v/>
      </c>
      <c r="F172" s="80">
        <f>F151*Credit_Assumptions!$E$28+F152*Credit_Assumptions!$E$29+F153*Credit_Assumptions!$E$30+F154*Credit_Assumptions!$E$31+F155*Credit_Assumptions!$E$32+F156*Credit_Assumptions!$E$33</f>
        <v/>
      </c>
      <c r="G172" s="80">
        <f>G151*Credit_Assumptions!$E$28+G152*Credit_Assumptions!$E$29+G153*Credit_Assumptions!$E$30+G154*Credit_Assumptions!$E$31+G155*Credit_Assumptions!$E$32+G156*Credit_Assumptions!$E$33</f>
        <v/>
      </c>
      <c r="H172" s="80">
        <f>H151*Credit_Assumptions!$E$28+H152*Credit_Assumptions!$E$29+H153*Credit_Assumptions!$E$30+H154*Credit_Assumptions!$E$31+H155*Credit_Assumptions!$E$32+H156*Credit_Assumptions!$E$33</f>
        <v/>
      </c>
      <c r="I172" s="80">
        <f>I151*Credit_Assumptions!$E$28+I152*Credit_Assumptions!$E$29+I153*Credit_Assumptions!$E$30+I154*Credit_Assumptions!$E$31+I155*Credit_Assumptions!$E$32+I156*Credit_Assumptions!$E$33</f>
        <v/>
      </c>
      <c r="J172" s="80">
        <f>J151*Credit_Assumptions!$E$28+J152*Credit_Assumptions!$E$29+J153*Credit_Assumptions!$E$30+J154*Credit_Assumptions!$E$31+J155*Credit_Assumptions!$E$32+J156*Credit_Assumptions!$E$33</f>
        <v/>
      </c>
      <c r="K172" s="80">
        <f>K151*Credit_Assumptions!$E$28+K152*Credit_Assumptions!$E$29+K153*Credit_Assumptions!$E$30+K154*Credit_Assumptions!$E$31+K155*Credit_Assumptions!$E$32+K156*Credit_Assumptions!$E$33</f>
        <v/>
      </c>
      <c r="L172" s="80">
        <f>L151*Credit_Assumptions!$E$28+L152*Credit_Assumptions!$E$29+L153*Credit_Assumptions!$E$30+L154*Credit_Assumptions!$E$31+L155*Credit_Assumptions!$E$32+L156*Credit_Assumptions!$E$33</f>
        <v/>
      </c>
      <c r="M172" s="80">
        <f>M151*Credit_Assumptions!$E$28+M152*Credit_Assumptions!$E$29+M153*Credit_Assumptions!$E$30+M154*Credit_Assumptions!$E$31+M155*Credit_Assumptions!$E$32+M156*Credit_Assumptions!$E$33</f>
        <v/>
      </c>
      <c r="N172" s="80">
        <f>N151*Credit_Assumptions!$E$28+N152*Credit_Assumptions!$E$29+N153*Credit_Assumptions!$E$30+N154*Credit_Assumptions!$E$31+N155*Credit_Assumptions!$E$32+N156*Credit_Assumptions!$E$33</f>
        <v/>
      </c>
      <c r="O172" s="80">
        <f>O151*Credit_Assumptions!$E$28+O152*Credit_Assumptions!$E$29+O153*Credit_Assumptions!$E$30+O154*Credit_Assumptions!$E$31+O155*Credit_Assumptions!$E$32+O156*Credit_Assumptions!$E$33</f>
        <v/>
      </c>
      <c r="P172" s="80">
        <f>P151*Credit_Assumptions!$E$28+P152*Credit_Assumptions!$E$29+P153*Credit_Assumptions!$E$30+P154*Credit_Assumptions!$E$31+P155*Credit_Assumptions!$E$32+P156*Credit_Assumptions!$E$33</f>
        <v/>
      </c>
      <c r="Q172" s="80">
        <f>Q151*Credit_Assumptions!$E$28+Q152*Credit_Assumptions!$E$29+Q153*Credit_Assumptions!$E$30+Q154*Credit_Assumptions!$E$31+Q155*Credit_Assumptions!$E$32+Q156*Credit_Assumptions!$E$33</f>
        <v/>
      </c>
      <c r="R172" s="80">
        <f>R151*Credit_Assumptions!$E$28+R152*Credit_Assumptions!$E$29+R153*Credit_Assumptions!$E$30+R154*Credit_Assumptions!$E$31+R155*Credit_Assumptions!$E$32+R156*Credit_Assumptions!$E$33</f>
        <v/>
      </c>
      <c r="S172" s="80">
        <f>S151*Credit_Assumptions!$E$28+S152*Credit_Assumptions!$E$29+S153*Credit_Assumptions!$E$30+S154*Credit_Assumptions!$E$31+S155*Credit_Assumptions!$E$32+S156*Credit_Assumptions!$E$33</f>
        <v/>
      </c>
      <c r="T172" s="80">
        <f>T151*Credit_Assumptions!$E$28+T152*Credit_Assumptions!$E$29+T153*Credit_Assumptions!$E$30+T154*Credit_Assumptions!$E$31+T155*Credit_Assumptions!$E$32+T156*Credit_Assumptions!$E$33</f>
        <v/>
      </c>
      <c r="U172" s="80">
        <f>U151*Credit_Assumptions!$E$28+U152*Credit_Assumptions!$E$29+U153*Credit_Assumptions!$E$30+U154*Credit_Assumptions!$E$31+U155*Credit_Assumptions!$E$32+U156*Credit_Assumptions!$E$33</f>
        <v/>
      </c>
      <c r="V172" s="80">
        <f>V151*Credit_Assumptions!$E$28+V152*Credit_Assumptions!$E$29+V153*Credit_Assumptions!$E$30+V154*Credit_Assumptions!$E$31+V155*Credit_Assumptions!$E$32+V156*Credit_Assumptions!$E$33</f>
        <v/>
      </c>
      <c r="W172" s="80">
        <f>W151*Credit_Assumptions!$E$28+W152*Credit_Assumptions!$E$29+W153*Credit_Assumptions!$E$30+W154*Credit_Assumptions!$E$31+W155*Credit_Assumptions!$E$32+W156*Credit_Assumptions!$E$33</f>
        <v/>
      </c>
      <c r="X172" s="80">
        <f>X151*Credit_Assumptions!$E$28+X152*Credit_Assumptions!$E$29+X153*Credit_Assumptions!$E$30+X154*Credit_Assumptions!$E$31+X155*Credit_Assumptions!$E$32+X156*Credit_Assumptions!$E$33</f>
        <v/>
      </c>
      <c r="Y172" s="80">
        <f>Y151*Credit_Assumptions!$E$28+Y152*Credit_Assumptions!$E$29+Y153*Credit_Assumptions!$E$30+Y154*Credit_Assumptions!$E$31+Y155*Credit_Assumptions!$E$32+Y156*Credit_Assumptions!$E$33</f>
        <v/>
      </c>
      <c r="Z172" s="80">
        <f>Z151*Credit_Assumptions!$E$28+Z152*Credit_Assumptions!$E$29+Z153*Credit_Assumptions!$E$30+Z154*Credit_Assumptions!$E$31+Z155*Credit_Assumptions!$E$32+Z156*Credit_Assumptions!$E$33</f>
        <v/>
      </c>
      <c r="AA172" s="80">
        <f>AA151*Credit_Assumptions!$E$28+AA152*Credit_Assumptions!$E$29+AA153*Credit_Assumptions!$E$30+AA154*Credit_Assumptions!$E$31+AA155*Credit_Assumptions!$E$32+AA156*Credit_Assumptions!$E$33</f>
        <v/>
      </c>
      <c r="AB172" s="80">
        <f>AB151*Credit_Assumptions!$E$28+AB152*Credit_Assumptions!$E$29+AB153*Credit_Assumptions!$E$30+AB154*Credit_Assumptions!$E$31+AB155*Credit_Assumptions!$E$32+AB156*Credit_Assumptions!$E$33</f>
        <v/>
      </c>
      <c r="AC172" s="80">
        <f>AC151*Credit_Assumptions!$E$28+AC152*Credit_Assumptions!$E$29+AC153*Credit_Assumptions!$E$30+AC154*Credit_Assumptions!$E$31+AC155*Credit_Assumptions!$E$32+AC156*Credit_Assumptions!$E$33</f>
        <v/>
      </c>
      <c r="AD172" s="80">
        <f>AD151*Credit_Assumptions!$E$28+AD152*Credit_Assumptions!$E$29+AD153*Credit_Assumptions!$E$30+AD154*Credit_Assumptions!$E$31+AD155*Credit_Assumptions!$E$32+AD156*Credit_Assumptions!$E$33</f>
        <v/>
      </c>
      <c r="AE172" s="80">
        <f>AE151*Credit_Assumptions!$E$28+AE152*Credit_Assumptions!$E$29+AE153*Credit_Assumptions!$E$30+AE154*Credit_Assumptions!$E$31+AE155*Credit_Assumptions!$E$32+AE156*Credit_Assumptions!$E$33</f>
        <v/>
      </c>
      <c r="AF172" s="80">
        <f>AF151*Credit_Assumptions!$E$28+AF152*Credit_Assumptions!$E$29+AF153*Credit_Assumptions!$E$30+AF154*Credit_Assumptions!$E$31+AF155*Credit_Assumptions!$E$32+AF156*Credit_Assumptions!$E$33</f>
        <v/>
      </c>
      <c r="AG172" s="80">
        <f>AG151*Credit_Assumptions!$E$28+AG152*Credit_Assumptions!$E$29+AG153*Credit_Assumptions!$E$30+AG154*Credit_Assumptions!$E$31+AG155*Credit_Assumptions!$E$32+AG156*Credit_Assumptions!$E$33</f>
        <v/>
      </c>
      <c r="AH172" s="80">
        <f>AH151*Credit_Assumptions!$E$28+AH152*Credit_Assumptions!$E$29+AH153*Credit_Assumptions!$E$30+AH154*Credit_Assumptions!$E$31+AH155*Credit_Assumptions!$E$32+AH156*Credit_Assumptions!$E$33</f>
        <v/>
      </c>
      <c r="AI172" s="80">
        <f>AI151*Credit_Assumptions!$E$28+AI152*Credit_Assumptions!$E$29+AI153*Credit_Assumptions!$E$30+AI154*Credit_Assumptions!$E$31+AI155*Credit_Assumptions!$E$32+AI156*Credit_Assumptions!$E$33</f>
        <v/>
      </c>
      <c r="AJ172" s="80">
        <f>AJ151*Credit_Assumptions!$E$28+AJ152*Credit_Assumptions!$E$29+AJ153*Credit_Assumptions!$E$30+AJ154*Credit_Assumptions!$E$31+AJ155*Credit_Assumptions!$E$32+AJ156*Credit_Assumptions!$E$33</f>
        <v/>
      </c>
      <c r="AK172" s="80">
        <f>AK151*Credit_Assumptions!$E$28+AK152*Credit_Assumptions!$E$29+AK153*Credit_Assumptions!$E$30+AK154*Credit_Assumptions!$E$31+AK155*Credit_Assumptions!$E$32+AK156*Credit_Assumptions!$E$33</f>
        <v/>
      </c>
      <c r="AL172" s="80">
        <f>AL151*Credit_Assumptions!$E$28+AL152*Credit_Assumptions!$E$29+AL153*Credit_Assumptions!$E$30+AL154*Credit_Assumptions!$E$31+AL155*Credit_Assumptions!$E$32+AL156*Credit_Assumptions!$E$33</f>
        <v/>
      </c>
      <c r="AM172" s="80">
        <f>AM151*Credit_Assumptions!$E$28+AM152*Credit_Assumptions!$E$29+AM153*Credit_Assumptions!$E$30+AM154*Credit_Assumptions!$E$31+AM155*Credit_Assumptions!$E$32+AM156*Credit_Assumptions!$E$33</f>
        <v/>
      </c>
      <c r="AN172" s="80">
        <f>AN151*Credit_Assumptions!$E$28+AN152*Credit_Assumptions!$E$29+AN153*Credit_Assumptions!$E$30+AN154*Credit_Assumptions!$E$31+AN155*Credit_Assumptions!$E$32+AN156*Credit_Assumptions!$E$33</f>
        <v/>
      </c>
      <c r="AO172" s="80">
        <f>AO151*Credit_Assumptions!$E$28+AO152*Credit_Assumptions!$E$29+AO153*Credit_Assumptions!$E$30+AO154*Credit_Assumptions!$E$31+AO155*Credit_Assumptions!$E$32+AO156*Credit_Assumptions!$E$33</f>
        <v/>
      </c>
      <c r="AP172" s="80">
        <f>AP151*Credit_Assumptions!$E$28+AP152*Credit_Assumptions!$E$29+AP153*Credit_Assumptions!$E$30+AP154*Credit_Assumptions!$E$31+AP155*Credit_Assumptions!$E$32+AP156*Credit_Assumptions!$E$33</f>
        <v/>
      </c>
      <c r="AQ172" s="80">
        <f>AQ151*Credit_Assumptions!$E$28+AQ152*Credit_Assumptions!$E$29+AQ153*Credit_Assumptions!$E$30+AQ154*Credit_Assumptions!$E$31+AQ155*Credit_Assumptions!$E$32+AQ156*Credit_Assumptions!$E$33</f>
        <v/>
      </c>
      <c r="AR172" s="80">
        <f>AR151*Credit_Assumptions!$E$28+AR152*Credit_Assumptions!$E$29+AR153*Credit_Assumptions!$E$30+AR154*Credit_Assumptions!$E$31+AR155*Credit_Assumptions!$E$32+AR156*Credit_Assumptions!$E$33</f>
        <v/>
      </c>
      <c r="AS172" s="80">
        <f>AS151*Credit_Assumptions!$E$28+AS152*Credit_Assumptions!$E$29+AS153*Credit_Assumptions!$E$30+AS154*Credit_Assumptions!$E$31+AS155*Credit_Assumptions!$E$32+AS156*Credit_Assumptions!$E$33</f>
        <v/>
      </c>
      <c r="AT172" s="80">
        <f>AT151*Credit_Assumptions!$E$28+AT152*Credit_Assumptions!$E$29+AT153*Credit_Assumptions!$E$30+AT154*Credit_Assumptions!$E$31+AT155*Credit_Assumptions!$E$32+AT156*Credit_Assumptions!$E$33</f>
        <v/>
      </c>
      <c r="AU172" s="80">
        <f>AU151*Credit_Assumptions!$E$28+AU152*Credit_Assumptions!$E$29+AU153*Credit_Assumptions!$E$30+AU154*Credit_Assumptions!$E$31+AU155*Credit_Assumptions!$E$32+AU156*Credit_Assumptions!$E$33</f>
        <v/>
      </c>
      <c r="AV172" s="80">
        <f>AV151*Credit_Assumptions!$E$28+AV152*Credit_Assumptions!$E$29+AV153*Credit_Assumptions!$E$30+AV154*Credit_Assumptions!$E$31+AV155*Credit_Assumptions!$E$32+AV156*Credit_Assumptions!$E$33</f>
        <v/>
      </c>
      <c r="AW172" s="80">
        <f>AW151*Credit_Assumptions!$E$28+AW152*Credit_Assumptions!$E$29+AW153*Credit_Assumptions!$E$30+AW154*Credit_Assumptions!$E$31+AW155*Credit_Assumptions!$E$32+AW156*Credit_Assumptions!$E$33</f>
        <v/>
      </c>
      <c r="AX172" s="80">
        <f>AX151*Credit_Assumptions!$E$28+AX152*Credit_Assumptions!$E$29+AX153*Credit_Assumptions!$E$30+AX154*Credit_Assumptions!$E$31+AX155*Credit_Assumptions!$E$32+AX156*Credit_Assumptions!$E$33</f>
        <v/>
      </c>
      <c r="AY172" s="80">
        <f>AY151*Credit_Assumptions!$E$28+AY152*Credit_Assumptions!$E$29+AY153*Credit_Assumptions!$E$30+AY154*Credit_Assumptions!$E$31+AY155*Credit_Assumptions!$E$32+AY156*Credit_Assumptions!$E$33</f>
        <v/>
      </c>
      <c r="AZ172" s="80">
        <f>AZ151*Credit_Assumptions!$E$28+AZ152*Credit_Assumptions!$E$29+AZ153*Credit_Assumptions!$E$30+AZ154*Credit_Assumptions!$E$31+AZ155*Credit_Assumptions!$E$32+AZ156*Credit_Assumptions!$E$33</f>
        <v/>
      </c>
      <c r="BA172" s="80">
        <f>BA151*Credit_Assumptions!$E$28+BA152*Credit_Assumptions!$E$29+BA153*Credit_Assumptions!$E$30+BA154*Credit_Assumptions!$E$31+BA155*Credit_Assumptions!$E$32+BA156*Credit_Assumptions!$E$33</f>
        <v/>
      </c>
      <c r="BB172" s="80">
        <f>BB151*Credit_Assumptions!$E$28+BB152*Credit_Assumptions!$E$29+BB153*Credit_Assumptions!$E$30+BB154*Credit_Assumptions!$E$31+BB155*Credit_Assumptions!$E$32+BB156*Credit_Assumptions!$E$33</f>
        <v/>
      </c>
      <c r="BC172" s="80">
        <f>BC151*Credit_Assumptions!$E$28+BC152*Credit_Assumptions!$E$29+BC153*Credit_Assumptions!$E$30+BC154*Credit_Assumptions!$E$31+BC155*Credit_Assumptions!$E$32+BC156*Credit_Assumptions!$E$33</f>
        <v/>
      </c>
      <c r="BD172" s="80">
        <f>BD151*Credit_Assumptions!$E$28+BD152*Credit_Assumptions!$E$29+BD153*Credit_Assumptions!$E$30+BD154*Credit_Assumptions!$E$31+BD155*Credit_Assumptions!$E$32+BD156*Credit_Assumptions!$E$33</f>
        <v/>
      </c>
      <c r="BE172" s="80">
        <f>BE151*Credit_Assumptions!$E$28+BE152*Credit_Assumptions!$E$29+BE153*Credit_Assumptions!$E$30+BE154*Credit_Assumptions!$E$31+BE155*Credit_Assumptions!$E$32+BE156*Credit_Assumptions!$E$33</f>
        <v/>
      </c>
      <c r="BF172" s="80">
        <f>BF151*Credit_Assumptions!$E$28+BF152*Credit_Assumptions!$E$29+BF153*Credit_Assumptions!$E$30+BF154*Credit_Assumptions!$E$31+BF155*Credit_Assumptions!$E$32+BF156*Credit_Assumptions!$E$33</f>
        <v/>
      </c>
      <c r="BG172" s="80">
        <f>BG151*Credit_Assumptions!$E$28+BG152*Credit_Assumptions!$E$29+BG153*Credit_Assumptions!$E$30+BG154*Credit_Assumptions!$E$31+BG155*Credit_Assumptions!$E$32+BG156*Credit_Assumptions!$E$33</f>
        <v/>
      </c>
      <c r="BH172" s="80">
        <f>BH151*Credit_Assumptions!$E$28+BH152*Credit_Assumptions!$E$29+BH153*Credit_Assumptions!$E$30+BH154*Credit_Assumptions!$E$31+BH155*Credit_Assumptions!$E$32+BH156*Credit_Assumptions!$E$33</f>
        <v/>
      </c>
      <c r="BI172" s="80">
        <f>BI151*Credit_Assumptions!$E$28+BI152*Credit_Assumptions!$E$29+BI153*Credit_Assumptions!$E$30+BI154*Credit_Assumptions!$E$31+BI155*Credit_Assumptions!$E$32+BI156*Credit_Assumptions!$E$33</f>
        <v/>
      </c>
      <c r="BJ172" s="80">
        <f>BJ151*Credit_Assumptions!$E$28+BJ152*Credit_Assumptions!$E$29+BJ153*Credit_Assumptions!$E$30+BJ154*Credit_Assumptions!$E$31+BJ155*Credit_Assumptions!$E$32+BJ156*Credit_Assumptions!$E$33</f>
        <v/>
      </c>
      <c r="BK172" s="80">
        <f>BK151*Credit_Assumptions!$E$28+BK152*Credit_Assumptions!$E$29+BK153*Credit_Assumptions!$E$30+BK154*Credit_Assumptions!$E$31+BK155*Credit_Assumptions!$E$32+BK156*Credit_Assumptions!$E$33</f>
        <v/>
      </c>
      <c r="BL172" s="80">
        <f>BL151*Credit_Assumptions!$E$28+BL152*Credit_Assumptions!$E$29+BL153*Credit_Assumptions!$E$30+BL154*Credit_Assumptions!$E$31+BL155*Credit_Assumptions!$E$32+BL156*Credit_Assumptions!$E$33</f>
        <v/>
      </c>
    </row>
    <row r="173">
      <c r="A173" s="98" t="inlineStr">
        <is>
          <t>Borrowing-base contribution (advance rate x eligible)</t>
        </is>
      </c>
      <c r="B173" s="65" t="inlineStr">
        <is>
          <t>LCY</t>
        </is>
      </c>
      <c r="C173" s="105">
        <f>BL173</f>
        <v/>
      </c>
      <c r="E173" s="80">
        <f>E172*Products!$E$31</f>
        <v/>
      </c>
      <c r="F173" s="80">
        <f>F172*Products!$E$31</f>
        <v/>
      </c>
      <c r="G173" s="80">
        <f>G172*Products!$E$31</f>
        <v/>
      </c>
      <c r="H173" s="80">
        <f>H172*Products!$E$31</f>
        <v/>
      </c>
      <c r="I173" s="80">
        <f>I172*Products!$E$31</f>
        <v/>
      </c>
      <c r="J173" s="80">
        <f>J172*Products!$E$31</f>
        <v/>
      </c>
      <c r="K173" s="80">
        <f>K172*Products!$E$31</f>
        <v/>
      </c>
      <c r="L173" s="80">
        <f>L172*Products!$E$31</f>
        <v/>
      </c>
      <c r="M173" s="80">
        <f>M172*Products!$E$31</f>
        <v/>
      </c>
      <c r="N173" s="80">
        <f>N172*Products!$E$31</f>
        <v/>
      </c>
      <c r="O173" s="80">
        <f>O172*Products!$E$31</f>
        <v/>
      </c>
      <c r="P173" s="80">
        <f>P172*Products!$E$31</f>
        <v/>
      </c>
      <c r="Q173" s="80">
        <f>Q172*Products!$E$31</f>
        <v/>
      </c>
      <c r="R173" s="80">
        <f>R172*Products!$E$31</f>
        <v/>
      </c>
      <c r="S173" s="80">
        <f>S172*Products!$E$31</f>
        <v/>
      </c>
      <c r="T173" s="80">
        <f>T172*Products!$E$31</f>
        <v/>
      </c>
      <c r="U173" s="80">
        <f>U172*Products!$E$31</f>
        <v/>
      </c>
      <c r="V173" s="80">
        <f>V172*Products!$E$31</f>
        <v/>
      </c>
      <c r="W173" s="80">
        <f>W172*Products!$E$31</f>
        <v/>
      </c>
      <c r="X173" s="80">
        <f>X172*Products!$E$31</f>
        <v/>
      </c>
      <c r="Y173" s="80">
        <f>Y172*Products!$E$31</f>
        <v/>
      </c>
      <c r="Z173" s="80">
        <f>Z172*Products!$E$31</f>
        <v/>
      </c>
      <c r="AA173" s="80">
        <f>AA172*Products!$E$31</f>
        <v/>
      </c>
      <c r="AB173" s="80">
        <f>AB172*Products!$E$31</f>
        <v/>
      </c>
      <c r="AC173" s="80">
        <f>AC172*Products!$E$31</f>
        <v/>
      </c>
      <c r="AD173" s="80">
        <f>AD172*Products!$E$31</f>
        <v/>
      </c>
      <c r="AE173" s="80">
        <f>AE172*Products!$E$31</f>
        <v/>
      </c>
      <c r="AF173" s="80">
        <f>AF172*Products!$E$31</f>
        <v/>
      </c>
      <c r="AG173" s="80">
        <f>AG172*Products!$E$31</f>
        <v/>
      </c>
      <c r="AH173" s="80">
        <f>AH172*Products!$E$31</f>
        <v/>
      </c>
      <c r="AI173" s="80">
        <f>AI172*Products!$E$31</f>
        <v/>
      </c>
      <c r="AJ173" s="80">
        <f>AJ172*Products!$E$31</f>
        <v/>
      </c>
      <c r="AK173" s="80">
        <f>AK172*Products!$E$31</f>
        <v/>
      </c>
      <c r="AL173" s="80">
        <f>AL172*Products!$E$31</f>
        <v/>
      </c>
      <c r="AM173" s="80">
        <f>AM172*Products!$E$31</f>
        <v/>
      </c>
      <c r="AN173" s="80">
        <f>AN172*Products!$E$31</f>
        <v/>
      </c>
      <c r="AO173" s="80">
        <f>AO172*Products!$E$31</f>
        <v/>
      </c>
      <c r="AP173" s="80">
        <f>AP172*Products!$E$31</f>
        <v/>
      </c>
      <c r="AQ173" s="80">
        <f>AQ172*Products!$E$31</f>
        <v/>
      </c>
      <c r="AR173" s="80">
        <f>AR172*Products!$E$31</f>
        <v/>
      </c>
      <c r="AS173" s="80">
        <f>AS172*Products!$E$31</f>
        <v/>
      </c>
      <c r="AT173" s="80">
        <f>AT172*Products!$E$31</f>
        <v/>
      </c>
      <c r="AU173" s="80">
        <f>AU172*Products!$E$31</f>
        <v/>
      </c>
      <c r="AV173" s="80">
        <f>AV172*Products!$E$31</f>
        <v/>
      </c>
      <c r="AW173" s="80">
        <f>AW172*Products!$E$31</f>
        <v/>
      </c>
      <c r="AX173" s="80">
        <f>AX172*Products!$E$31</f>
        <v/>
      </c>
      <c r="AY173" s="80">
        <f>AY172*Products!$E$31</f>
        <v/>
      </c>
      <c r="AZ173" s="80">
        <f>AZ172*Products!$E$31</f>
        <v/>
      </c>
      <c r="BA173" s="80">
        <f>BA172*Products!$E$31</f>
        <v/>
      </c>
      <c r="BB173" s="80">
        <f>BB172*Products!$E$31</f>
        <v/>
      </c>
      <c r="BC173" s="80">
        <f>BC172*Products!$E$31</f>
        <v/>
      </c>
      <c r="BD173" s="80">
        <f>BD172*Products!$E$31</f>
        <v/>
      </c>
      <c r="BE173" s="80">
        <f>BE172*Products!$E$31</f>
        <v/>
      </c>
      <c r="BF173" s="80">
        <f>BF172*Products!$E$31</f>
        <v/>
      </c>
      <c r="BG173" s="80">
        <f>BG172*Products!$E$31</f>
        <v/>
      </c>
      <c r="BH173" s="80">
        <f>BH172*Products!$E$31</f>
        <v/>
      </c>
      <c r="BI173" s="80">
        <f>BI172*Products!$E$31</f>
        <v/>
      </c>
      <c r="BJ173" s="80">
        <f>BJ172*Products!$E$31</f>
        <v/>
      </c>
      <c r="BK173" s="80">
        <f>BK172*Products!$E$31</f>
        <v/>
      </c>
      <c r="BL173" s="80">
        <f>BL172*Products!$E$31</f>
        <v/>
      </c>
    </row>
    <row r="174">
      <c r="A174" s="98" t="inlineStr">
        <is>
          <t>Reconciliation: buckets: gross (should be 0)</t>
        </is>
      </c>
      <c r="B174" s="65" t="inlineStr">
        <is>
          <t>LCY</t>
        </is>
      </c>
      <c r="C174" s="105">
        <f>BL174</f>
        <v/>
      </c>
      <c r="E174" s="80">
        <f>ROUND(SUM(E151:E156)-E150,0)</f>
        <v/>
      </c>
      <c r="F174" s="80">
        <f>ROUND(SUM(F151:F156)-F150,0)</f>
        <v/>
      </c>
      <c r="G174" s="80">
        <f>ROUND(SUM(G151:G156)-G150,0)</f>
        <v/>
      </c>
      <c r="H174" s="80">
        <f>ROUND(SUM(H151:H156)-H150,0)</f>
        <v/>
      </c>
      <c r="I174" s="80">
        <f>ROUND(SUM(I151:I156)-I150,0)</f>
        <v/>
      </c>
      <c r="J174" s="80">
        <f>ROUND(SUM(J151:J156)-J150,0)</f>
        <v/>
      </c>
      <c r="K174" s="80">
        <f>ROUND(SUM(K151:K156)-K150,0)</f>
        <v/>
      </c>
      <c r="L174" s="80">
        <f>ROUND(SUM(L151:L156)-L150,0)</f>
        <v/>
      </c>
      <c r="M174" s="80">
        <f>ROUND(SUM(M151:M156)-M150,0)</f>
        <v/>
      </c>
      <c r="N174" s="80">
        <f>ROUND(SUM(N151:N156)-N150,0)</f>
        <v/>
      </c>
      <c r="O174" s="80">
        <f>ROUND(SUM(O151:O156)-O150,0)</f>
        <v/>
      </c>
      <c r="P174" s="80">
        <f>ROUND(SUM(P151:P156)-P150,0)</f>
        <v/>
      </c>
      <c r="Q174" s="80">
        <f>ROUND(SUM(Q151:Q156)-Q150,0)</f>
        <v/>
      </c>
      <c r="R174" s="80">
        <f>ROUND(SUM(R151:R156)-R150,0)</f>
        <v/>
      </c>
      <c r="S174" s="80">
        <f>ROUND(SUM(S151:S156)-S150,0)</f>
        <v/>
      </c>
      <c r="T174" s="80">
        <f>ROUND(SUM(T151:T156)-T150,0)</f>
        <v/>
      </c>
      <c r="U174" s="80">
        <f>ROUND(SUM(U151:U156)-U150,0)</f>
        <v/>
      </c>
      <c r="V174" s="80">
        <f>ROUND(SUM(V151:V156)-V150,0)</f>
        <v/>
      </c>
      <c r="W174" s="80">
        <f>ROUND(SUM(W151:W156)-W150,0)</f>
        <v/>
      </c>
      <c r="X174" s="80">
        <f>ROUND(SUM(X151:X156)-X150,0)</f>
        <v/>
      </c>
      <c r="Y174" s="80">
        <f>ROUND(SUM(Y151:Y156)-Y150,0)</f>
        <v/>
      </c>
      <c r="Z174" s="80">
        <f>ROUND(SUM(Z151:Z156)-Z150,0)</f>
        <v/>
      </c>
      <c r="AA174" s="80">
        <f>ROUND(SUM(AA151:AA156)-AA150,0)</f>
        <v/>
      </c>
      <c r="AB174" s="80">
        <f>ROUND(SUM(AB151:AB156)-AB150,0)</f>
        <v/>
      </c>
      <c r="AC174" s="80">
        <f>ROUND(SUM(AC151:AC156)-AC150,0)</f>
        <v/>
      </c>
      <c r="AD174" s="80">
        <f>ROUND(SUM(AD151:AD156)-AD150,0)</f>
        <v/>
      </c>
      <c r="AE174" s="80">
        <f>ROUND(SUM(AE151:AE156)-AE150,0)</f>
        <v/>
      </c>
      <c r="AF174" s="80">
        <f>ROUND(SUM(AF151:AF156)-AF150,0)</f>
        <v/>
      </c>
      <c r="AG174" s="80">
        <f>ROUND(SUM(AG151:AG156)-AG150,0)</f>
        <v/>
      </c>
      <c r="AH174" s="80">
        <f>ROUND(SUM(AH151:AH156)-AH150,0)</f>
        <v/>
      </c>
      <c r="AI174" s="80">
        <f>ROUND(SUM(AI151:AI156)-AI150,0)</f>
        <v/>
      </c>
      <c r="AJ174" s="80">
        <f>ROUND(SUM(AJ151:AJ156)-AJ150,0)</f>
        <v/>
      </c>
      <c r="AK174" s="80">
        <f>ROUND(SUM(AK151:AK156)-AK150,0)</f>
        <v/>
      </c>
      <c r="AL174" s="80">
        <f>ROUND(SUM(AL151:AL156)-AL150,0)</f>
        <v/>
      </c>
      <c r="AM174" s="80">
        <f>ROUND(SUM(AM151:AM156)-AM150,0)</f>
        <v/>
      </c>
      <c r="AN174" s="80">
        <f>ROUND(SUM(AN151:AN156)-AN150,0)</f>
        <v/>
      </c>
      <c r="AO174" s="80">
        <f>ROUND(SUM(AO151:AO156)-AO150,0)</f>
        <v/>
      </c>
      <c r="AP174" s="80">
        <f>ROUND(SUM(AP151:AP156)-AP150,0)</f>
        <v/>
      </c>
      <c r="AQ174" s="80">
        <f>ROUND(SUM(AQ151:AQ156)-AQ150,0)</f>
        <v/>
      </c>
      <c r="AR174" s="80">
        <f>ROUND(SUM(AR151:AR156)-AR150,0)</f>
        <v/>
      </c>
      <c r="AS174" s="80">
        <f>ROUND(SUM(AS151:AS156)-AS150,0)</f>
        <v/>
      </c>
      <c r="AT174" s="80">
        <f>ROUND(SUM(AT151:AT156)-AT150,0)</f>
        <v/>
      </c>
      <c r="AU174" s="80">
        <f>ROUND(SUM(AU151:AU156)-AU150,0)</f>
        <v/>
      </c>
      <c r="AV174" s="80">
        <f>ROUND(SUM(AV151:AV156)-AV150,0)</f>
        <v/>
      </c>
      <c r="AW174" s="80">
        <f>ROUND(SUM(AW151:AW156)-AW150,0)</f>
        <v/>
      </c>
      <c r="AX174" s="80">
        <f>ROUND(SUM(AX151:AX156)-AX150,0)</f>
        <v/>
      </c>
      <c r="AY174" s="80">
        <f>ROUND(SUM(AY151:AY156)-AY150,0)</f>
        <v/>
      </c>
      <c r="AZ174" s="80">
        <f>ROUND(SUM(AZ151:AZ156)-AZ150,0)</f>
        <v/>
      </c>
      <c r="BA174" s="80">
        <f>ROUND(SUM(BA151:BA156)-BA150,0)</f>
        <v/>
      </c>
      <c r="BB174" s="80">
        <f>ROUND(SUM(BB151:BB156)-BB150,0)</f>
        <v/>
      </c>
      <c r="BC174" s="80">
        <f>ROUND(SUM(BC151:BC156)-BC150,0)</f>
        <v/>
      </c>
      <c r="BD174" s="80">
        <f>ROUND(SUM(BD151:BD156)-BD150,0)</f>
        <v/>
      </c>
      <c r="BE174" s="80">
        <f>ROUND(SUM(BE151:BE156)-BE150,0)</f>
        <v/>
      </c>
      <c r="BF174" s="80">
        <f>ROUND(SUM(BF151:BF156)-BF150,0)</f>
        <v/>
      </c>
      <c r="BG174" s="80">
        <f>ROUND(SUM(BG151:BG156)-BG150,0)</f>
        <v/>
      </c>
      <c r="BH174" s="80">
        <f>ROUND(SUM(BH151:BH156)-BH150,0)</f>
        <v/>
      </c>
      <c r="BI174" s="80">
        <f>ROUND(SUM(BI151:BI156)-BI150,0)</f>
        <v/>
      </c>
      <c r="BJ174" s="80">
        <f>ROUND(SUM(BJ151:BJ156)-BJ150,0)</f>
        <v/>
      </c>
      <c r="BK174" s="80">
        <f>ROUND(SUM(BK151:BK156)-BK150,0)</f>
        <v/>
      </c>
      <c r="BL174" s="80">
        <f>ROUND(SUM(BL151:BL156)-BL150,0)</f>
        <v/>
      </c>
    </row>
    <row r="175"/>
    <row r="176">
      <c r="A176" s="21" t="inlineStr">
        <is>
          <t>Tier 4: Solar inverter + lithium (~1.2 kWp / 5 kWh): PROXY (projection)</t>
        </is>
      </c>
      <c r="B176" s="22" t="n"/>
      <c r="C176" s="22" t="n"/>
      <c r="D176" s="22" t="n"/>
      <c r="E176" s="22" t="n"/>
      <c r="F176" s="22"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c r="AA176" s="22" t="n"/>
      <c r="AB176" s="22" t="n"/>
      <c r="AC176" s="22" t="n"/>
      <c r="AD176" s="22" t="n"/>
      <c r="AE176" s="22" t="n"/>
      <c r="AF176" s="22" t="n"/>
      <c r="AG176" s="22" t="n"/>
      <c r="AH176" s="22" t="n"/>
      <c r="AI176" s="22" t="n"/>
      <c r="AJ176" s="22" t="n"/>
      <c r="AK176" s="22" t="n"/>
      <c r="AL176" s="22" t="n"/>
      <c r="AM176" s="22" t="n"/>
      <c r="AN176" s="22" t="n"/>
      <c r="AO176" s="22" t="n"/>
      <c r="AP176" s="22" t="n"/>
      <c r="AQ176" s="22" t="n"/>
      <c r="AR176" s="22" t="n"/>
      <c r="AS176" s="22" t="n"/>
      <c r="AT176" s="22" t="n"/>
      <c r="AU176" s="22" t="n"/>
      <c r="AV176" s="22" t="n"/>
      <c r="AW176" s="22" t="n"/>
      <c r="AX176" s="22" t="n"/>
      <c r="AY176" s="22" t="n"/>
      <c r="AZ176" s="22" t="n"/>
      <c r="BA176" s="22" t="n"/>
      <c r="BB176" s="22" t="n"/>
      <c r="BC176" s="22" t="n"/>
      <c r="BD176" s="22" t="n"/>
      <c r="BE176" s="22" t="n"/>
      <c r="BF176" s="22" t="n"/>
      <c r="BG176" s="22" t="n"/>
      <c r="BH176" s="22" t="n"/>
      <c r="BI176" s="22" t="n"/>
      <c r="BJ176" s="22" t="n"/>
      <c r="BK176" s="22" t="n"/>
      <c r="BL176" s="22" t="n"/>
    </row>
    <row r="177">
      <c r="A177" s="98" t="inlineStr">
        <is>
          <t>Gross receivables</t>
        </is>
      </c>
      <c r="B177" s="65" t="inlineStr">
        <is>
          <t>LCY</t>
        </is>
      </c>
      <c r="C177" s="105">
        <f>BL177</f>
        <v/>
      </c>
      <c r="E177" s="41">
        <f>Ops!E$99</f>
        <v/>
      </c>
      <c r="F177" s="41">
        <f>Ops!F$99</f>
        <v/>
      </c>
      <c r="G177" s="41">
        <f>Ops!G$99</f>
        <v/>
      </c>
      <c r="H177" s="41">
        <f>Ops!H$99</f>
        <v/>
      </c>
      <c r="I177" s="41">
        <f>Ops!I$99</f>
        <v/>
      </c>
      <c r="J177" s="41">
        <f>Ops!J$99</f>
        <v/>
      </c>
      <c r="K177" s="41">
        <f>Ops!K$99</f>
        <v/>
      </c>
      <c r="L177" s="41">
        <f>Ops!L$99</f>
        <v/>
      </c>
      <c r="M177" s="41">
        <f>Ops!M$99</f>
        <v/>
      </c>
      <c r="N177" s="41">
        <f>Ops!N$99</f>
        <v/>
      </c>
      <c r="O177" s="41">
        <f>Ops!O$99</f>
        <v/>
      </c>
      <c r="P177" s="41">
        <f>Ops!P$99</f>
        <v/>
      </c>
      <c r="Q177" s="41">
        <f>Ops!Q$99</f>
        <v/>
      </c>
      <c r="R177" s="41">
        <f>Ops!R$99</f>
        <v/>
      </c>
      <c r="S177" s="41">
        <f>Ops!S$99</f>
        <v/>
      </c>
      <c r="T177" s="41">
        <f>Ops!T$99</f>
        <v/>
      </c>
      <c r="U177" s="41">
        <f>Ops!U$99</f>
        <v/>
      </c>
      <c r="V177" s="41">
        <f>Ops!V$99</f>
        <v/>
      </c>
      <c r="W177" s="41">
        <f>Ops!W$99</f>
        <v/>
      </c>
      <c r="X177" s="41">
        <f>Ops!X$99</f>
        <v/>
      </c>
      <c r="Y177" s="41">
        <f>Ops!Y$99</f>
        <v/>
      </c>
      <c r="Z177" s="41">
        <f>Ops!Z$99</f>
        <v/>
      </c>
      <c r="AA177" s="41">
        <f>Ops!AA$99</f>
        <v/>
      </c>
      <c r="AB177" s="41">
        <f>Ops!AB$99</f>
        <v/>
      </c>
      <c r="AC177" s="41">
        <f>Ops!AC$99</f>
        <v/>
      </c>
      <c r="AD177" s="41">
        <f>Ops!AD$99</f>
        <v/>
      </c>
      <c r="AE177" s="41">
        <f>Ops!AE$99</f>
        <v/>
      </c>
      <c r="AF177" s="41">
        <f>Ops!AF$99</f>
        <v/>
      </c>
      <c r="AG177" s="41">
        <f>Ops!AG$99</f>
        <v/>
      </c>
      <c r="AH177" s="41">
        <f>Ops!AH$99</f>
        <v/>
      </c>
      <c r="AI177" s="41">
        <f>Ops!AI$99</f>
        <v/>
      </c>
      <c r="AJ177" s="41">
        <f>Ops!AJ$99</f>
        <v/>
      </c>
      <c r="AK177" s="41">
        <f>Ops!AK$99</f>
        <v/>
      </c>
      <c r="AL177" s="41">
        <f>Ops!AL$99</f>
        <v/>
      </c>
      <c r="AM177" s="41">
        <f>Ops!AM$99</f>
        <v/>
      </c>
      <c r="AN177" s="41">
        <f>Ops!AN$99</f>
        <v/>
      </c>
      <c r="AO177" s="41">
        <f>Ops!AO$99</f>
        <v/>
      </c>
      <c r="AP177" s="41">
        <f>Ops!AP$99</f>
        <v/>
      </c>
      <c r="AQ177" s="41">
        <f>Ops!AQ$99</f>
        <v/>
      </c>
      <c r="AR177" s="41">
        <f>Ops!AR$99</f>
        <v/>
      </c>
      <c r="AS177" s="41">
        <f>Ops!AS$99</f>
        <v/>
      </c>
      <c r="AT177" s="41">
        <f>Ops!AT$99</f>
        <v/>
      </c>
      <c r="AU177" s="41">
        <f>Ops!AU$99</f>
        <v/>
      </c>
      <c r="AV177" s="41">
        <f>Ops!AV$99</f>
        <v/>
      </c>
      <c r="AW177" s="41">
        <f>Ops!AW$99</f>
        <v/>
      </c>
      <c r="AX177" s="41">
        <f>Ops!AX$99</f>
        <v/>
      </c>
      <c r="AY177" s="41">
        <f>Ops!AY$99</f>
        <v/>
      </c>
      <c r="AZ177" s="41">
        <f>Ops!AZ$99</f>
        <v/>
      </c>
      <c r="BA177" s="41">
        <f>Ops!BA$99</f>
        <v/>
      </c>
      <c r="BB177" s="41">
        <f>Ops!BB$99</f>
        <v/>
      </c>
      <c r="BC177" s="41">
        <f>Ops!BC$99</f>
        <v/>
      </c>
      <c r="BD177" s="41">
        <f>Ops!BD$99</f>
        <v/>
      </c>
      <c r="BE177" s="41">
        <f>Ops!BE$99</f>
        <v/>
      </c>
      <c r="BF177" s="41">
        <f>Ops!BF$99</f>
        <v/>
      </c>
      <c r="BG177" s="41">
        <f>Ops!BG$99</f>
        <v/>
      </c>
      <c r="BH177" s="41">
        <f>Ops!BH$99</f>
        <v/>
      </c>
      <c r="BI177" s="41">
        <f>Ops!BI$99</f>
        <v/>
      </c>
      <c r="BJ177" s="41">
        <f>Ops!BJ$99</f>
        <v/>
      </c>
      <c r="BK177" s="41">
        <f>Ops!BK$99</f>
        <v/>
      </c>
      <c r="BL177" s="41">
        <f>Ops!BL$99</f>
        <v/>
      </c>
    </row>
    <row r="178">
      <c r="A178" s="98" t="inlineStr">
        <is>
          <t>Receivables at risk (stopped paying)</t>
        </is>
      </c>
      <c r="B178" s="65" t="inlineStr">
        <is>
          <t>LCY</t>
        </is>
      </c>
      <c r="C178" s="105">
        <f>BL178</f>
        <v/>
      </c>
      <c r="E178" s="41">
        <f>Ops!E$98</f>
        <v/>
      </c>
      <c r="F178" s="41">
        <f>Ops!F$98</f>
        <v/>
      </c>
      <c r="G178" s="41">
        <f>Ops!G$98</f>
        <v/>
      </c>
      <c r="H178" s="41">
        <f>Ops!H$98</f>
        <v/>
      </c>
      <c r="I178" s="41">
        <f>Ops!I$98</f>
        <v/>
      </c>
      <c r="J178" s="41">
        <f>Ops!J$98</f>
        <v/>
      </c>
      <c r="K178" s="41">
        <f>Ops!K$98</f>
        <v/>
      </c>
      <c r="L178" s="41">
        <f>Ops!L$98</f>
        <v/>
      </c>
      <c r="M178" s="41">
        <f>Ops!M$98</f>
        <v/>
      </c>
      <c r="N178" s="41">
        <f>Ops!N$98</f>
        <v/>
      </c>
      <c r="O178" s="41">
        <f>Ops!O$98</f>
        <v/>
      </c>
      <c r="P178" s="41">
        <f>Ops!P$98</f>
        <v/>
      </c>
      <c r="Q178" s="41">
        <f>Ops!Q$98</f>
        <v/>
      </c>
      <c r="R178" s="41">
        <f>Ops!R$98</f>
        <v/>
      </c>
      <c r="S178" s="41">
        <f>Ops!S$98</f>
        <v/>
      </c>
      <c r="T178" s="41">
        <f>Ops!T$98</f>
        <v/>
      </c>
      <c r="U178" s="41">
        <f>Ops!U$98</f>
        <v/>
      </c>
      <c r="V178" s="41">
        <f>Ops!V$98</f>
        <v/>
      </c>
      <c r="W178" s="41">
        <f>Ops!W$98</f>
        <v/>
      </c>
      <c r="X178" s="41">
        <f>Ops!X$98</f>
        <v/>
      </c>
      <c r="Y178" s="41">
        <f>Ops!Y$98</f>
        <v/>
      </c>
      <c r="Z178" s="41">
        <f>Ops!Z$98</f>
        <v/>
      </c>
      <c r="AA178" s="41">
        <f>Ops!AA$98</f>
        <v/>
      </c>
      <c r="AB178" s="41">
        <f>Ops!AB$98</f>
        <v/>
      </c>
      <c r="AC178" s="41">
        <f>Ops!AC$98</f>
        <v/>
      </c>
      <c r="AD178" s="41">
        <f>Ops!AD$98</f>
        <v/>
      </c>
      <c r="AE178" s="41">
        <f>Ops!AE$98</f>
        <v/>
      </c>
      <c r="AF178" s="41">
        <f>Ops!AF$98</f>
        <v/>
      </c>
      <c r="AG178" s="41">
        <f>Ops!AG$98</f>
        <v/>
      </c>
      <c r="AH178" s="41">
        <f>Ops!AH$98</f>
        <v/>
      </c>
      <c r="AI178" s="41">
        <f>Ops!AI$98</f>
        <v/>
      </c>
      <c r="AJ178" s="41">
        <f>Ops!AJ$98</f>
        <v/>
      </c>
      <c r="AK178" s="41">
        <f>Ops!AK$98</f>
        <v/>
      </c>
      <c r="AL178" s="41">
        <f>Ops!AL$98</f>
        <v/>
      </c>
      <c r="AM178" s="41">
        <f>Ops!AM$98</f>
        <v/>
      </c>
      <c r="AN178" s="41">
        <f>Ops!AN$98</f>
        <v/>
      </c>
      <c r="AO178" s="41">
        <f>Ops!AO$98</f>
        <v/>
      </c>
      <c r="AP178" s="41">
        <f>Ops!AP$98</f>
        <v/>
      </c>
      <c r="AQ178" s="41">
        <f>Ops!AQ$98</f>
        <v/>
      </c>
      <c r="AR178" s="41">
        <f>Ops!AR$98</f>
        <v/>
      </c>
      <c r="AS178" s="41">
        <f>Ops!AS$98</f>
        <v/>
      </c>
      <c r="AT178" s="41">
        <f>Ops!AT$98</f>
        <v/>
      </c>
      <c r="AU178" s="41">
        <f>Ops!AU$98</f>
        <v/>
      </c>
      <c r="AV178" s="41">
        <f>Ops!AV$98</f>
        <v/>
      </c>
      <c r="AW178" s="41">
        <f>Ops!AW$98</f>
        <v/>
      </c>
      <c r="AX178" s="41">
        <f>Ops!AX$98</f>
        <v/>
      </c>
      <c r="AY178" s="41">
        <f>Ops!AY$98</f>
        <v/>
      </c>
      <c r="AZ178" s="41">
        <f>Ops!AZ$98</f>
        <v/>
      </c>
      <c r="BA178" s="41">
        <f>Ops!BA$98</f>
        <v/>
      </c>
      <c r="BB178" s="41">
        <f>Ops!BB$98</f>
        <v/>
      </c>
      <c r="BC178" s="41">
        <f>Ops!BC$98</f>
        <v/>
      </c>
      <c r="BD178" s="41">
        <f>Ops!BD$98</f>
        <v/>
      </c>
      <c r="BE178" s="41">
        <f>Ops!BE$98</f>
        <v/>
      </c>
      <c r="BF178" s="41">
        <f>Ops!BF$98</f>
        <v/>
      </c>
      <c r="BG178" s="41">
        <f>Ops!BG$98</f>
        <v/>
      </c>
      <c r="BH178" s="41">
        <f>Ops!BH$98</f>
        <v/>
      </c>
      <c r="BI178" s="41">
        <f>Ops!BI$98</f>
        <v/>
      </c>
      <c r="BJ178" s="41">
        <f>Ops!BJ$98</f>
        <v/>
      </c>
      <c r="BK178" s="41">
        <f>Ops!BK$98</f>
        <v/>
      </c>
      <c r="BL178" s="41">
        <f>Ops!BL$98</f>
        <v/>
      </c>
    </row>
    <row r="179">
      <c r="A179" s="98" t="inlineStr">
        <is>
          <t>Receivables of paying accounts</t>
        </is>
      </c>
      <c r="B179" s="65" t="inlineStr">
        <is>
          <t>LCY</t>
        </is>
      </c>
      <c r="C179" s="105">
        <f>BL179</f>
        <v/>
      </c>
      <c r="E179" s="80">
        <f>E177-E178</f>
        <v/>
      </c>
      <c r="F179" s="80">
        <f>F177-F178</f>
        <v/>
      </c>
      <c r="G179" s="80">
        <f>G177-G178</f>
        <v/>
      </c>
      <c r="H179" s="80">
        <f>H177-H178</f>
        <v/>
      </c>
      <c r="I179" s="80">
        <f>I177-I178</f>
        <v/>
      </c>
      <c r="J179" s="80">
        <f>J177-J178</f>
        <v/>
      </c>
      <c r="K179" s="80">
        <f>K177-K178</f>
        <v/>
      </c>
      <c r="L179" s="80">
        <f>L177-L178</f>
        <v/>
      </c>
      <c r="M179" s="80">
        <f>M177-M178</f>
        <v/>
      </c>
      <c r="N179" s="80">
        <f>N177-N178</f>
        <v/>
      </c>
      <c r="O179" s="80">
        <f>O177-O178</f>
        <v/>
      </c>
      <c r="P179" s="80">
        <f>P177-P178</f>
        <v/>
      </c>
      <c r="Q179" s="80">
        <f>Q177-Q178</f>
        <v/>
      </c>
      <c r="R179" s="80">
        <f>R177-R178</f>
        <v/>
      </c>
      <c r="S179" s="80">
        <f>S177-S178</f>
        <v/>
      </c>
      <c r="T179" s="80">
        <f>T177-T178</f>
        <v/>
      </c>
      <c r="U179" s="80">
        <f>U177-U178</f>
        <v/>
      </c>
      <c r="V179" s="80">
        <f>V177-V178</f>
        <v/>
      </c>
      <c r="W179" s="80">
        <f>W177-W178</f>
        <v/>
      </c>
      <c r="X179" s="80">
        <f>X177-X178</f>
        <v/>
      </c>
      <c r="Y179" s="80">
        <f>Y177-Y178</f>
        <v/>
      </c>
      <c r="Z179" s="80">
        <f>Z177-Z178</f>
        <v/>
      </c>
      <c r="AA179" s="80">
        <f>AA177-AA178</f>
        <v/>
      </c>
      <c r="AB179" s="80">
        <f>AB177-AB178</f>
        <v/>
      </c>
      <c r="AC179" s="80">
        <f>AC177-AC178</f>
        <v/>
      </c>
      <c r="AD179" s="80">
        <f>AD177-AD178</f>
        <v/>
      </c>
      <c r="AE179" s="80">
        <f>AE177-AE178</f>
        <v/>
      </c>
      <c r="AF179" s="80">
        <f>AF177-AF178</f>
        <v/>
      </c>
      <c r="AG179" s="80">
        <f>AG177-AG178</f>
        <v/>
      </c>
      <c r="AH179" s="80">
        <f>AH177-AH178</f>
        <v/>
      </c>
      <c r="AI179" s="80">
        <f>AI177-AI178</f>
        <v/>
      </c>
      <c r="AJ179" s="80">
        <f>AJ177-AJ178</f>
        <v/>
      </c>
      <c r="AK179" s="80">
        <f>AK177-AK178</f>
        <v/>
      </c>
      <c r="AL179" s="80">
        <f>AL177-AL178</f>
        <v/>
      </c>
      <c r="AM179" s="80">
        <f>AM177-AM178</f>
        <v/>
      </c>
      <c r="AN179" s="80">
        <f>AN177-AN178</f>
        <v/>
      </c>
      <c r="AO179" s="80">
        <f>AO177-AO178</f>
        <v/>
      </c>
      <c r="AP179" s="80">
        <f>AP177-AP178</f>
        <v/>
      </c>
      <c r="AQ179" s="80">
        <f>AQ177-AQ178</f>
        <v/>
      </c>
      <c r="AR179" s="80">
        <f>AR177-AR178</f>
        <v/>
      </c>
      <c r="AS179" s="80">
        <f>AS177-AS178</f>
        <v/>
      </c>
      <c r="AT179" s="80">
        <f>AT177-AT178</f>
        <v/>
      </c>
      <c r="AU179" s="80">
        <f>AU177-AU178</f>
        <v/>
      </c>
      <c r="AV179" s="80">
        <f>AV177-AV178</f>
        <v/>
      </c>
      <c r="AW179" s="80">
        <f>AW177-AW178</f>
        <v/>
      </c>
      <c r="AX179" s="80">
        <f>AX177-AX178</f>
        <v/>
      </c>
      <c r="AY179" s="80">
        <f>AY177-AY178</f>
        <v/>
      </c>
      <c r="AZ179" s="80">
        <f>AZ177-AZ178</f>
        <v/>
      </c>
      <c r="BA179" s="80">
        <f>BA177-BA178</f>
        <v/>
      </c>
      <c r="BB179" s="80">
        <f>BB177-BB178</f>
        <v/>
      </c>
      <c r="BC179" s="80">
        <f>BC177-BC178</f>
        <v/>
      </c>
      <c r="BD179" s="80">
        <f>BD177-BD178</f>
        <v/>
      </c>
      <c r="BE179" s="80">
        <f>BE177-BE178</f>
        <v/>
      </c>
      <c r="BF179" s="80">
        <f>BF177-BF178</f>
        <v/>
      </c>
      <c r="BG179" s="80">
        <f>BG177-BG178</f>
        <v/>
      </c>
      <c r="BH179" s="80">
        <f>BH177-BH178</f>
        <v/>
      </c>
      <c r="BI179" s="80">
        <f>BI177-BI178</f>
        <v/>
      </c>
      <c r="BJ179" s="80">
        <f>BJ177-BJ178</f>
        <v/>
      </c>
      <c r="BK179" s="80">
        <f>BK177-BK178</f>
        <v/>
      </c>
      <c r="BL179" s="80">
        <f>BL177-BL178</f>
        <v/>
      </c>
    </row>
    <row r="180">
      <c r="A180" s="98" t="inlineStr">
        <is>
          <t>Current</t>
        </is>
      </c>
      <c r="B180" s="65" t="inlineStr">
        <is>
          <t>LCY</t>
        </is>
      </c>
      <c r="C180" s="105">
        <f>BL180</f>
        <v/>
      </c>
      <c r="E180" s="80">
        <f>E179*Credit_Assumptions!$I$28</f>
        <v/>
      </c>
      <c r="F180" s="80">
        <f>F179*Credit_Assumptions!$I$28</f>
        <v/>
      </c>
      <c r="G180" s="80">
        <f>G179*Credit_Assumptions!$I$28</f>
        <v/>
      </c>
      <c r="H180" s="80">
        <f>H179*Credit_Assumptions!$I$28</f>
        <v/>
      </c>
      <c r="I180" s="80">
        <f>I179*Credit_Assumptions!$I$28</f>
        <v/>
      </c>
      <c r="J180" s="80">
        <f>J179*Credit_Assumptions!$I$28</f>
        <v/>
      </c>
      <c r="K180" s="80">
        <f>K179*Credit_Assumptions!$I$28</f>
        <v/>
      </c>
      <c r="L180" s="80">
        <f>L179*Credit_Assumptions!$I$28</f>
        <v/>
      </c>
      <c r="M180" s="80">
        <f>M179*Credit_Assumptions!$I$28</f>
        <v/>
      </c>
      <c r="N180" s="80">
        <f>N179*Credit_Assumptions!$I$28</f>
        <v/>
      </c>
      <c r="O180" s="80">
        <f>O179*Credit_Assumptions!$I$28</f>
        <v/>
      </c>
      <c r="P180" s="80">
        <f>P179*Credit_Assumptions!$I$28</f>
        <v/>
      </c>
      <c r="Q180" s="80">
        <f>Q179*Credit_Assumptions!$I$28</f>
        <v/>
      </c>
      <c r="R180" s="80">
        <f>R179*Credit_Assumptions!$I$28</f>
        <v/>
      </c>
      <c r="S180" s="80">
        <f>S179*Credit_Assumptions!$I$28</f>
        <v/>
      </c>
      <c r="T180" s="80">
        <f>T179*Credit_Assumptions!$I$28</f>
        <v/>
      </c>
      <c r="U180" s="80">
        <f>U179*Credit_Assumptions!$I$28</f>
        <v/>
      </c>
      <c r="V180" s="80">
        <f>V179*Credit_Assumptions!$I$28</f>
        <v/>
      </c>
      <c r="W180" s="80">
        <f>W179*Credit_Assumptions!$I$28</f>
        <v/>
      </c>
      <c r="X180" s="80">
        <f>X179*Credit_Assumptions!$I$28</f>
        <v/>
      </c>
      <c r="Y180" s="80">
        <f>Y179*Credit_Assumptions!$I$28</f>
        <v/>
      </c>
      <c r="Z180" s="80">
        <f>Z179*Credit_Assumptions!$I$28</f>
        <v/>
      </c>
      <c r="AA180" s="80">
        <f>AA179*Credit_Assumptions!$I$28</f>
        <v/>
      </c>
      <c r="AB180" s="80">
        <f>AB179*Credit_Assumptions!$I$28</f>
        <v/>
      </c>
      <c r="AC180" s="80">
        <f>AC179*Credit_Assumptions!$I$28</f>
        <v/>
      </c>
      <c r="AD180" s="80">
        <f>AD179*Credit_Assumptions!$I$28</f>
        <v/>
      </c>
      <c r="AE180" s="80">
        <f>AE179*Credit_Assumptions!$I$28</f>
        <v/>
      </c>
      <c r="AF180" s="80">
        <f>AF179*Credit_Assumptions!$I$28</f>
        <v/>
      </c>
      <c r="AG180" s="80">
        <f>AG179*Credit_Assumptions!$I$28</f>
        <v/>
      </c>
      <c r="AH180" s="80">
        <f>AH179*Credit_Assumptions!$I$28</f>
        <v/>
      </c>
      <c r="AI180" s="80">
        <f>AI179*Credit_Assumptions!$I$28</f>
        <v/>
      </c>
      <c r="AJ180" s="80">
        <f>AJ179*Credit_Assumptions!$I$28</f>
        <v/>
      </c>
      <c r="AK180" s="80">
        <f>AK179*Credit_Assumptions!$I$28</f>
        <v/>
      </c>
      <c r="AL180" s="80">
        <f>AL179*Credit_Assumptions!$I$28</f>
        <v/>
      </c>
      <c r="AM180" s="80">
        <f>AM179*Credit_Assumptions!$I$28</f>
        <v/>
      </c>
      <c r="AN180" s="80">
        <f>AN179*Credit_Assumptions!$I$28</f>
        <v/>
      </c>
      <c r="AO180" s="80">
        <f>AO179*Credit_Assumptions!$I$28</f>
        <v/>
      </c>
      <c r="AP180" s="80">
        <f>AP179*Credit_Assumptions!$I$28</f>
        <v/>
      </c>
      <c r="AQ180" s="80">
        <f>AQ179*Credit_Assumptions!$I$28</f>
        <v/>
      </c>
      <c r="AR180" s="80">
        <f>AR179*Credit_Assumptions!$I$28</f>
        <v/>
      </c>
      <c r="AS180" s="80">
        <f>AS179*Credit_Assumptions!$I$28</f>
        <v/>
      </c>
      <c r="AT180" s="80">
        <f>AT179*Credit_Assumptions!$I$28</f>
        <v/>
      </c>
      <c r="AU180" s="80">
        <f>AU179*Credit_Assumptions!$I$28</f>
        <v/>
      </c>
      <c r="AV180" s="80">
        <f>AV179*Credit_Assumptions!$I$28</f>
        <v/>
      </c>
      <c r="AW180" s="80">
        <f>AW179*Credit_Assumptions!$I$28</f>
        <v/>
      </c>
      <c r="AX180" s="80">
        <f>AX179*Credit_Assumptions!$I$28</f>
        <v/>
      </c>
      <c r="AY180" s="80">
        <f>AY179*Credit_Assumptions!$I$28</f>
        <v/>
      </c>
      <c r="AZ180" s="80">
        <f>AZ179*Credit_Assumptions!$I$28</f>
        <v/>
      </c>
      <c r="BA180" s="80">
        <f>BA179*Credit_Assumptions!$I$28</f>
        <v/>
      </c>
      <c r="BB180" s="80">
        <f>BB179*Credit_Assumptions!$I$28</f>
        <v/>
      </c>
      <c r="BC180" s="80">
        <f>BC179*Credit_Assumptions!$I$28</f>
        <v/>
      </c>
      <c r="BD180" s="80">
        <f>BD179*Credit_Assumptions!$I$28</f>
        <v/>
      </c>
      <c r="BE180" s="80">
        <f>BE179*Credit_Assumptions!$I$28</f>
        <v/>
      </c>
      <c r="BF180" s="80">
        <f>BF179*Credit_Assumptions!$I$28</f>
        <v/>
      </c>
      <c r="BG180" s="80">
        <f>BG179*Credit_Assumptions!$I$28</f>
        <v/>
      </c>
      <c r="BH180" s="80">
        <f>BH179*Credit_Assumptions!$I$28</f>
        <v/>
      </c>
      <c r="BI180" s="80">
        <f>BI179*Credit_Assumptions!$I$28</f>
        <v/>
      </c>
      <c r="BJ180" s="80">
        <f>BJ179*Credit_Assumptions!$I$28</f>
        <v/>
      </c>
      <c r="BK180" s="80">
        <f>BK179*Credit_Assumptions!$I$28</f>
        <v/>
      </c>
      <c r="BL180" s="80">
        <f>BL179*Credit_Assumptions!$I$28</f>
        <v/>
      </c>
    </row>
    <row r="181">
      <c r="A181" s="98" t="inlineStr">
        <is>
          <t>1-30 DPD</t>
        </is>
      </c>
      <c r="B181" s="65" t="inlineStr">
        <is>
          <t>LCY</t>
        </is>
      </c>
      <c r="C181" s="105">
        <f>BL181</f>
        <v/>
      </c>
      <c r="E181" s="80">
        <f>E179*Credit_Assumptions!$I$29</f>
        <v/>
      </c>
      <c r="F181" s="80">
        <f>F179*Credit_Assumptions!$I$29</f>
        <v/>
      </c>
      <c r="G181" s="80">
        <f>G179*Credit_Assumptions!$I$29</f>
        <v/>
      </c>
      <c r="H181" s="80">
        <f>H179*Credit_Assumptions!$I$29</f>
        <v/>
      </c>
      <c r="I181" s="80">
        <f>I179*Credit_Assumptions!$I$29</f>
        <v/>
      </c>
      <c r="J181" s="80">
        <f>J179*Credit_Assumptions!$I$29</f>
        <v/>
      </c>
      <c r="K181" s="80">
        <f>K179*Credit_Assumptions!$I$29</f>
        <v/>
      </c>
      <c r="L181" s="80">
        <f>L179*Credit_Assumptions!$I$29</f>
        <v/>
      </c>
      <c r="M181" s="80">
        <f>M179*Credit_Assumptions!$I$29</f>
        <v/>
      </c>
      <c r="N181" s="80">
        <f>N179*Credit_Assumptions!$I$29</f>
        <v/>
      </c>
      <c r="O181" s="80">
        <f>O179*Credit_Assumptions!$I$29</f>
        <v/>
      </c>
      <c r="P181" s="80">
        <f>P179*Credit_Assumptions!$I$29</f>
        <v/>
      </c>
      <c r="Q181" s="80">
        <f>Q179*Credit_Assumptions!$I$29</f>
        <v/>
      </c>
      <c r="R181" s="80">
        <f>R179*Credit_Assumptions!$I$29</f>
        <v/>
      </c>
      <c r="S181" s="80">
        <f>S179*Credit_Assumptions!$I$29</f>
        <v/>
      </c>
      <c r="T181" s="80">
        <f>T179*Credit_Assumptions!$I$29</f>
        <v/>
      </c>
      <c r="U181" s="80">
        <f>U179*Credit_Assumptions!$I$29</f>
        <v/>
      </c>
      <c r="V181" s="80">
        <f>V179*Credit_Assumptions!$I$29</f>
        <v/>
      </c>
      <c r="W181" s="80">
        <f>W179*Credit_Assumptions!$I$29</f>
        <v/>
      </c>
      <c r="X181" s="80">
        <f>X179*Credit_Assumptions!$I$29</f>
        <v/>
      </c>
      <c r="Y181" s="80">
        <f>Y179*Credit_Assumptions!$I$29</f>
        <v/>
      </c>
      <c r="Z181" s="80">
        <f>Z179*Credit_Assumptions!$I$29</f>
        <v/>
      </c>
      <c r="AA181" s="80">
        <f>AA179*Credit_Assumptions!$I$29</f>
        <v/>
      </c>
      <c r="AB181" s="80">
        <f>AB179*Credit_Assumptions!$I$29</f>
        <v/>
      </c>
      <c r="AC181" s="80">
        <f>AC179*Credit_Assumptions!$I$29</f>
        <v/>
      </c>
      <c r="AD181" s="80">
        <f>AD179*Credit_Assumptions!$I$29</f>
        <v/>
      </c>
      <c r="AE181" s="80">
        <f>AE179*Credit_Assumptions!$I$29</f>
        <v/>
      </c>
      <c r="AF181" s="80">
        <f>AF179*Credit_Assumptions!$I$29</f>
        <v/>
      </c>
      <c r="AG181" s="80">
        <f>AG179*Credit_Assumptions!$I$29</f>
        <v/>
      </c>
      <c r="AH181" s="80">
        <f>AH179*Credit_Assumptions!$I$29</f>
        <v/>
      </c>
      <c r="AI181" s="80">
        <f>AI179*Credit_Assumptions!$I$29</f>
        <v/>
      </c>
      <c r="AJ181" s="80">
        <f>AJ179*Credit_Assumptions!$I$29</f>
        <v/>
      </c>
      <c r="AK181" s="80">
        <f>AK179*Credit_Assumptions!$I$29</f>
        <v/>
      </c>
      <c r="AL181" s="80">
        <f>AL179*Credit_Assumptions!$I$29</f>
        <v/>
      </c>
      <c r="AM181" s="80">
        <f>AM179*Credit_Assumptions!$I$29</f>
        <v/>
      </c>
      <c r="AN181" s="80">
        <f>AN179*Credit_Assumptions!$I$29</f>
        <v/>
      </c>
      <c r="AO181" s="80">
        <f>AO179*Credit_Assumptions!$I$29</f>
        <v/>
      </c>
      <c r="AP181" s="80">
        <f>AP179*Credit_Assumptions!$I$29</f>
        <v/>
      </c>
      <c r="AQ181" s="80">
        <f>AQ179*Credit_Assumptions!$I$29</f>
        <v/>
      </c>
      <c r="AR181" s="80">
        <f>AR179*Credit_Assumptions!$I$29</f>
        <v/>
      </c>
      <c r="AS181" s="80">
        <f>AS179*Credit_Assumptions!$I$29</f>
        <v/>
      </c>
      <c r="AT181" s="80">
        <f>AT179*Credit_Assumptions!$I$29</f>
        <v/>
      </c>
      <c r="AU181" s="80">
        <f>AU179*Credit_Assumptions!$I$29</f>
        <v/>
      </c>
      <c r="AV181" s="80">
        <f>AV179*Credit_Assumptions!$I$29</f>
        <v/>
      </c>
      <c r="AW181" s="80">
        <f>AW179*Credit_Assumptions!$I$29</f>
        <v/>
      </c>
      <c r="AX181" s="80">
        <f>AX179*Credit_Assumptions!$I$29</f>
        <v/>
      </c>
      <c r="AY181" s="80">
        <f>AY179*Credit_Assumptions!$I$29</f>
        <v/>
      </c>
      <c r="AZ181" s="80">
        <f>AZ179*Credit_Assumptions!$I$29</f>
        <v/>
      </c>
      <c r="BA181" s="80">
        <f>BA179*Credit_Assumptions!$I$29</f>
        <v/>
      </c>
      <c r="BB181" s="80">
        <f>BB179*Credit_Assumptions!$I$29</f>
        <v/>
      </c>
      <c r="BC181" s="80">
        <f>BC179*Credit_Assumptions!$I$29</f>
        <v/>
      </c>
      <c r="BD181" s="80">
        <f>BD179*Credit_Assumptions!$I$29</f>
        <v/>
      </c>
      <c r="BE181" s="80">
        <f>BE179*Credit_Assumptions!$I$29</f>
        <v/>
      </c>
      <c r="BF181" s="80">
        <f>BF179*Credit_Assumptions!$I$29</f>
        <v/>
      </c>
      <c r="BG181" s="80">
        <f>BG179*Credit_Assumptions!$I$29</f>
        <v/>
      </c>
      <c r="BH181" s="80">
        <f>BH179*Credit_Assumptions!$I$29</f>
        <v/>
      </c>
      <c r="BI181" s="80">
        <f>BI179*Credit_Assumptions!$I$29</f>
        <v/>
      </c>
      <c r="BJ181" s="80">
        <f>BJ179*Credit_Assumptions!$I$29</f>
        <v/>
      </c>
      <c r="BK181" s="80">
        <f>BK179*Credit_Assumptions!$I$29</f>
        <v/>
      </c>
      <c r="BL181" s="80">
        <f>BL179*Credit_Assumptions!$I$29</f>
        <v/>
      </c>
    </row>
    <row r="182">
      <c r="A182" s="98" t="inlineStr">
        <is>
          <t>31-60 DPD</t>
        </is>
      </c>
      <c r="B182" s="65" t="inlineStr">
        <is>
          <t>LCY</t>
        </is>
      </c>
      <c r="C182" s="105">
        <f>BL182</f>
        <v/>
      </c>
      <c r="E182" s="80">
        <f>E178*Credit_Assumptions!$I$30</f>
        <v/>
      </c>
      <c r="F182" s="80">
        <f>F178*Credit_Assumptions!$I$30</f>
        <v/>
      </c>
      <c r="G182" s="80">
        <f>G178*Credit_Assumptions!$I$30</f>
        <v/>
      </c>
      <c r="H182" s="80">
        <f>H178*Credit_Assumptions!$I$30</f>
        <v/>
      </c>
      <c r="I182" s="80">
        <f>I178*Credit_Assumptions!$I$30</f>
        <v/>
      </c>
      <c r="J182" s="80">
        <f>J178*Credit_Assumptions!$I$30</f>
        <v/>
      </c>
      <c r="K182" s="80">
        <f>K178*Credit_Assumptions!$I$30</f>
        <v/>
      </c>
      <c r="L182" s="80">
        <f>L178*Credit_Assumptions!$I$30</f>
        <v/>
      </c>
      <c r="M182" s="80">
        <f>M178*Credit_Assumptions!$I$30</f>
        <v/>
      </c>
      <c r="N182" s="80">
        <f>N178*Credit_Assumptions!$I$30</f>
        <v/>
      </c>
      <c r="O182" s="80">
        <f>O178*Credit_Assumptions!$I$30</f>
        <v/>
      </c>
      <c r="P182" s="80">
        <f>P178*Credit_Assumptions!$I$30</f>
        <v/>
      </c>
      <c r="Q182" s="80">
        <f>Q178*Credit_Assumptions!$I$30</f>
        <v/>
      </c>
      <c r="R182" s="80">
        <f>R178*Credit_Assumptions!$I$30</f>
        <v/>
      </c>
      <c r="S182" s="80">
        <f>S178*Credit_Assumptions!$I$30</f>
        <v/>
      </c>
      <c r="T182" s="80">
        <f>T178*Credit_Assumptions!$I$30</f>
        <v/>
      </c>
      <c r="U182" s="80">
        <f>U178*Credit_Assumptions!$I$30</f>
        <v/>
      </c>
      <c r="V182" s="80">
        <f>V178*Credit_Assumptions!$I$30</f>
        <v/>
      </c>
      <c r="W182" s="80">
        <f>W178*Credit_Assumptions!$I$30</f>
        <v/>
      </c>
      <c r="X182" s="80">
        <f>X178*Credit_Assumptions!$I$30</f>
        <v/>
      </c>
      <c r="Y182" s="80">
        <f>Y178*Credit_Assumptions!$I$30</f>
        <v/>
      </c>
      <c r="Z182" s="80">
        <f>Z178*Credit_Assumptions!$I$30</f>
        <v/>
      </c>
      <c r="AA182" s="80">
        <f>AA178*Credit_Assumptions!$I$30</f>
        <v/>
      </c>
      <c r="AB182" s="80">
        <f>AB178*Credit_Assumptions!$I$30</f>
        <v/>
      </c>
      <c r="AC182" s="80">
        <f>AC178*Credit_Assumptions!$I$30</f>
        <v/>
      </c>
      <c r="AD182" s="80">
        <f>AD178*Credit_Assumptions!$I$30</f>
        <v/>
      </c>
      <c r="AE182" s="80">
        <f>AE178*Credit_Assumptions!$I$30</f>
        <v/>
      </c>
      <c r="AF182" s="80">
        <f>AF178*Credit_Assumptions!$I$30</f>
        <v/>
      </c>
      <c r="AG182" s="80">
        <f>AG178*Credit_Assumptions!$I$30</f>
        <v/>
      </c>
      <c r="AH182" s="80">
        <f>AH178*Credit_Assumptions!$I$30</f>
        <v/>
      </c>
      <c r="AI182" s="80">
        <f>AI178*Credit_Assumptions!$I$30</f>
        <v/>
      </c>
      <c r="AJ182" s="80">
        <f>AJ178*Credit_Assumptions!$I$30</f>
        <v/>
      </c>
      <c r="AK182" s="80">
        <f>AK178*Credit_Assumptions!$I$30</f>
        <v/>
      </c>
      <c r="AL182" s="80">
        <f>AL178*Credit_Assumptions!$I$30</f>
        <v/>
      </c>
      <c r="AM182" s="80">
        <f>AM178*Credit_Assumptions!$I$30</f>
        <v/>
      </c>
      <c r="AN182" s="80">
        <f>AN178*Credit_Assumptions!$I$30</f>
        <v/>
      </c>
      <c r="AO182" s="80">
        <f>AO178*Credit_Assumptions!$I$30</f>
        <v/>
      </c>
      <c r="AP182" s="80">
        <f>AP178*Credit_Assumptions!$I$30</f>
        <v/>
      </c>
      <c r="AQ182" s="80">
        <f>AQ178*Credit_Assumptions!$I$30</f>
        <v/>
      </c>
      <c r="AR182" s="80">
        <f>AR178*Credit_Assumptions!$I$30</f>
        <v/>
      </c>
      <c r="AS182" s="80">
        <f>AS178*Credit_Assumptions!$I$30</f>
        <v/>
      </c>
      <c r="AT182" s="80">
        <f>AT178*Credit_Assumptions!$I$30</f>
        <v/>
      </c>
      <c r="AU182" s="80">
        <f>AU178*Credit_Assumptions!$I$30</f>
        <v/>
      </c>
      <c r="AV182" s="80">
        <f>AV178*Credit_Assumptions!$I$30</f>
        <v/>
      </c>
      <c r="AW182" s="80">
        <f>AW178*Credit_Assumptions!$I$30</f>
        <v/>
      </c>
      <c r="AX182" s="80">
        <f>AX178*Credit_Assumptions!$I$30</f>
        <v/>
      </c>
      <c r="AY182" s="80">
        <f>AY178*Credit_Assumptions!$I$30</f>
        <v/>
      </c>
      <c r="AZ182" s="80">
        <f>AZ178*Credit_Assumptions!$I$30</f>
        <v/>
      </c>
      <c r="BA182" s="80">
        <f>BA178*Credit_Assumptions!$I$30</f>
        <v/>
      </c>
      <c r="BB182" s="80">
        <f>BB178*Credit_Assumptions!$I$30</f>
        <v/>
      </c>
      <c r="BC182" s="80">
        <f>BC178*Credit_Assumptions!$I$30</f>
        <v/>
      </c>
      <c r="BD182" s="80">
        <f>BD178*Credit_Assumptions!$I$30</f>
        <v/>
      </c>
      <c r="BE182" s="80">
        <f>BE178*Credit_Assumptions!$I$30</f>
        <v/>
      </c>
      <c r="BF182" s="80">
        <f>BF178*Credit_Assumptions!$I$30</f>
        <v/>
      </c>
      <c r="BG182" s="80">
        <f>BG178*Credit_Assumptions!$I$30</f>
        <v/>
      </c>
      <c r="BH182" s="80">
        <f>BH178*Credit_Assumptions!$I$30</f>
        <v/>
      </c>
      <c r="BI182" s="80">
        <f>BI178*Credit_Assumptions!$I$30</f>
        <v/>
      </c>
      <c r="BJ182" s="80">
        <f>BJ178*Credit_Assumptions!$I$30</f>
        <v/>
      </c>
      <c r="BK182" s="80">
        <f>BK178*Credit_Assumptions!$I$30</f>
        <v/>
      </c>
      <c r="BL182" s="80">
        <f>BL178*Credit_Assumptions!$I$30</f>
        <v/>
      </c>
    </row>
    <row r="183">
      <c r="A183" s="98" t="inlineStr">
        <is>
          <t>61-90 DPD</t>
        </is>
      </c>
      <c r="B183" s="65" t="inlineStr">
        <is>
          <t>LCY</t>
        </is>
      </c>
      <c r="C183" s="105">
        <f>BL183</f>
        <v/>
      </c>
      <c r="E183" s="80">
        <f>E178*Credit_Assumptions!$I$31</f>
        <v/>
      </c>
      <c r="F183" s="80">
        <f>F178*Credit_Assumptions!$I$31</f>
        <v/>
      </c>
      <c r="G183" s="80">
        <f>G178*Credit_Assumptions!$I$31</f>
        <v/>
      </c>
      <c r="H183" s="80">
        <f>H178*Credit_Assumptions!$I$31</f>
        <v/>
      </c>
      <c r="I183" s="80">
        <f>I178*Credit_Assumptions!$I$31</f>
        <v/>
      </c>
      <c r="J183" s="80">
        <f>J178*Credit_Assumptions!$I$31</f>
        <v/>
      </c>
      <c r="K183" s="80">
        <f>K178*Credit_Assumptions!$I$31</f>
        <v/>
      </c>
      <c r="L183" s="80">
        <f>L178*Credit_Assumptions!$I$31</f>
        <v/>
      </c>
      <c r="M183" s="80">
        <f>M178*Credit_Assumptions!$I$31</f>
        <v/>
      </c>
      <c r="N183" s="80">
        <f>N178*Credit_Assumptions!$I$31</f>
        <v/>
      </c>
      <c r="O183" s="80">
        <f>O178*Credit_Assumptions!$I$31</f>
        <v/>
      </c>
      <c r="P183" s="80">
        <f>P178*Credit_Assumptions!$I$31</f>
        <v/>
      </c>
      <c r="Q183" s="80">
        <f>Q178*Credit_Assumptions!$I$31</f>
        <v/>
      </c>
      <c r="R183" s="80">
        <f>R178*Credit_Assumptions!$I$31</f>
        <v/>
      </c>
      <c r="S183" s="80">
        <f>S178*Credit_Assumptions!$I$31</f>
        <v/>
      </c>
      <c r="T183" s="80">
        <f>T178*Credit_Assumptions!$I$31</f>
        <v/>
      </c>
      <c r="U183" s="80">
        <f>U178*Credit_Assumptions!$I$31</f>
        <v/>
      </c>
      <c r="V183" s="80">
        <f>V178*Credit_Assumptions!$I$31</f>
        <v/>
      </c>
      <c r="W183" s="80">
        <f>W178*Credit_Assumptions!$I$31</f>
        <v/>
      </c>
      <c r="X183" s="80">
        <f>X178*Credit_Assumptions!$I$31</f>
        <v/>
      </c>
      <c r="Y183" s="80">
        <f>Y178*Credit_Assumptions!$I$31</f>
        <v/>
      </c>
      <c r="Z183" s="80">
        <f>Z178*Credit_Assumptions!$I$31</f>
        <v/>
      </c>
      <c r="AA183" s="80">
        <f>AA178*Credit_Assumptions!$I$31</f>
        <v/>
      </c>
      <c r="AB183" s="80">
        <f>AB178*Credit_Assumptions!$I$31</f>
        <v/>
      </c>
      <c r="AC183" s="80">
        <f>AC178*Credit_Assumptions!$I$31</f>
        <v/>
      </c>
      <c r="AD183" s="80">
        <f>AD178*Credit_Assumptions!$I$31</f>
        <v/>
      </c>
      <c r="AE183" s="80">
        <f>AE178*Credit_Assumptions!$I$31</f>
        <v/>
      </c>
      <c r="AF183" s="80">
        <f>AF178*Credit_Assumptions!$I$31</f>
        <v/>
      </c>
      <c r="AG183" s="80">
        <f>AG178*Credit_Assumptions!$I$31</f>
        <v/>
      </c>
      <c r="AH183" s="80">
        <f>AH178*Credit_Assumptions!$I$31</f>
        <v/>
      </c>
      <c r="AI183" s="80">
        <f>AI178*Credit_Assumptions!$I$31</f>
        <v/>
      </c>
      <c r="AJ183" s="80">
        <f>AJ178*Credit_Assumptions!$I$31</f>
        <v/>
      </c>
      <c r="AK183" s="80">
        <f>AK178*Credit_Assumptions!$I$31</f>
        <v/>
      </c>
      <c r="AL183" s="80">
        <f>AL178*Credit_Assumptions!$I$31</f>
        <v/>
      </c>
      <c r="AM183" s="80">
        <f>AM178*Credit_Assumptions!$I$31</f>
        <v/>
      </c>
      <c r="AN183" s="80">
        <f>AN178*Credit_Assumptions!$I$31</f>
        <v/>
      </c>
      <c r="AO183" s="80">
        <f>AO178*Credit_Assumptions!$I$31</f>
        <v/>
      </c>
      <c r="AP183" s="80">
        <f>AP178*Credit_Assumptions!$I$31</f>
        <v/>
      </c>
      <c r="AQ183" s="80">
        <f>AQ178*Credit_Assumptions!$I$31</f>
        <v/>
      </c>
      <c r="AR183" s="80">
        <f>AR178*Credit_Assumptions!$I$31</f>
        <v/>
      </c>
      <c r="AS183" s="80">
        <f>AS178*Credit_Assumptions!$I$31</f>
        <v/>
      </c>
      <c r="AT183" s="80">
        <f>AT178*Credit_Assumptions!$I$31</f>
        <v/>
      </c>
      <c r="AU183" s="80">
        <f>AU178*Credit_Assumptions!$I$31</f>
        <v/>
      </c>
      <c r="AV183" s="80">
        <f>AV178*Credit_Assumptions!$I$31</f>
        <v/>
      </c>
      <c r="AW183" s="80">
        <f>AW178*Credit_Assumptions!$I$31</f>
        <v/>
      </c>
      <c r="AX183" s="80">
        <f>AX178*Credit_Assumptions!$I$31</f>
        <v/>
      </c>
      <c r="AY183" s="80">
        <f>AY178*Credit_Assumptions!$I$31</f>
        <v/>
      </c>
      <c r="AZ183" s="80">
        <f>AZ178*Credit_Assumptions!$I$31</f>
        <v/>
      </c>
      <c r="BA183" s="80">
        <f>BA178*Credit_Assumptions!$I$31</f>
        <v/>
      </c>
      <c r="BB183" s="80">
        <f>BB178*Credit_Assumptions!$I$31</f>
        <v/>
      </c>
      <c r="BC183" s="80">
        <f>BC178*Credit_Assumptions!$I$31</f>
        <v/>
      </c>
      <c r="BD183" s="80">
        <f>BD178*Credit_Assumptions!$I$31</f>
        <v/>
      </c>
      <c r="BE183" s="80">
        <f>BE178*Credit_Assumptions!$I$31</f>
        <v/>
      </c>
      <c r="BF183" s="80">
        <f>BF178*Credit_Assumptions!$I$31</f>
        <v/>
      </c>
      <c r="BG183" s="80">
        <f>BG178*Credit_Assumptions!$I$31</f>
        <v/>
      </c>
      <c r="BH183" s="80">
        <f>BH178*Credit_Assumptions!$I$31</f>
        <v/>
      </c>
      <c r="BI183" s="80">
        <f>BI178*Credit_Assumptions!$I$31</f>
        <v/>
      </c>
      <c r="BJ183" s="80">
        <f>BJ178*Credit_Assumptions!$I$31</f>
        <v/>
      </c>
      <c r="BK183" s="80">
        <f>BK178*Credit_Assumptions!$I$31</f>
        <v/>
      </c>
      <c r="BL183" s="80">
        <f>BL178*Credit_Assumptions!$I$31</f>
        <v/>
      </c>
    </row>
    <row r="184">
      <c r="A184" s="98" t="inlineStr">
        <is>
          <t>91-180 DPD</t>
        </is>
      </c>
      <c r="B184" s="65" t="inlineStr">
        <is>
          <t>LCY</t>
        </is>
      </c>
      <c r="C184" s="105">
        <f>BL184</f>
        <v/>
      </c>
      <c r="E184" s="80">
        <f>E178*Credit_Assumptions!$I$32</f>
        <v/>
      </c>
      <c r="F184" s="80">
        <f>F178*Credit_Assumptions!$I$32</f>
        <v/>
      </c>
      <c r="G184" s="80">
        <f>G178*Credit_Assumptions!$I$32</f>
        <v/>
      </c>
      <c r="H184" s="80">
        <f>H178*Credit_Assumptions!$I$32</f>
        <v/>
      </c>
      <c r="I184" s="80">
        <f>I178*Credit_Assumptions!$I$32</f>
        <v/>
      </c>
      <c r="J184" s="80">
        <f>J178*Credit_Assumptions!$I$32</f>
        <v/>
      </c>
      <c r="K184" s="80">
        <f>K178*Credit_Assumptions!$I$32</f>
        <v/>
      </c>
      <c r="L184" s="80">
        <f>L178*Credit_Assumptions!$I$32</f>
        <v/>
      </c>
      <c r="M184" s="80">
        <f>M178*Credit_Assumptions!$I$32</f>
        <v/>
      </c>
      <c r="N184" s="80">
        <f>N178*Credit_Assumptions!$I$32</f>
        <v/>
      </c>
      <c r="O184" s="80">
        <f>O178*Credit_Assumptions!$I$32</f>
        <v/>
      </c>
      <c r="P184" s="80">
        <f>P178*Credit_Assumptions!$I$32</f>
        <v/>
      </c>
      <c r="Q184" s="80">
        <f>Q178*Credit_Assumptions!$I$32</f>
        <v/>
      </c>
      <c r="R184" s="80">
        <f>R178*Credit_Assumptions!$I$32</f>
        <v/>
      </c>
      <c r="S184" s="80">
        <f>S178*Credit_Assumptions!$I$32</f>
        <v/>
      </c>
      <c r="T184" s="80">
        <f>T178*Credit_Assumptions!$I$32</f>
        <v/>
      </c>
      <c r="U184" s="80">
        <f>U178*Credit_Assumptions!$I$32</f>
        <v/>
      </c>
      <c r="V184" s="80">
        <f>V178*Credit_Assumptions!$I$32</f>
        <v/>
      </c>
      <c r="W184" s="80">
        <f>W178*Credit_Assumptions!$I$32</f>
        <v/>
      </c>
      <c r="X184" s="80">
        <f>X178*Credit_Assumptions!$I$32</f>
        <v/>
      </c>
      <c r="Y184" s="80">
        <f>Y178*Credit_Assumptions!$I$32</f>
        <v/>
      </c>
      <c r="Z184" s="80">
        <f>Z178*Credit_Assumptions!$I$32</f>
        <v/>
      </c>
      <c r="AA184" s="80">
        <f>AA178*Credit_Assumptions!$I$32</f>
        <v/>
      </c>
      <c r="AB184" s="80">
        <f>AB178*Credit_Assumptions!$I$32</f>
        <v/>
      </c>
      <c r="AC184" s="80">
        <f>AC178*Credit_Assumptions!$I$32</f>
        <v/>
      </c>
      <c r="AD184" s="80">
        <f>AD178*Credit_Assumptions!$I$32</f>
        <v/>
      </c>
      <c r="AE184" s="80">
        <f>AE178*Credit_Assumptions!$I$32</f>
        <v/>
      </c>
      <c r="AF184" s="80">
        <f>AF178*Credit_Assumptions!$I$32</f>
        <v/>
      </c>
      <c r="AG184" s="80">
        <f>AG178*Credit_Assumptions!$I$32</f>
        <v/>
      </c>
      <c r="AH184" s="80">
        <f>AH178*Credit_Assumptions!$I$32</f>
        <v/>
      </c>
      <c r="AI184" s="80">
        <f>AI178*Credit_Assumptions!$I$32</f>
        <v/>
      </c>
      <c r="AJ184" s="80">
        <f>AJ178*Credit_Assumptions!$I$32</f>
        <v/>
      </c>
      <c r="AK184" s="80">
        <f>AK178*Credit_Assumptions!$I$32</f>
        <v/>
      </c>
      <c r="AL184" s="80">
        <f>AL178*Credit_Assumptions!$I$32</f>
        <v/>
      </c>
      <c r="AM184" s="80">
        <f>AM178*Credit_Assumptions!$I$32</f>
        <v/>
      </c>
      <c r="AN184" s="80">
        <f>AN178*Credit_Assumptions!$I$32</f>
        <v/>
      </c>
      <c r="AO184" s="80">
        <f>AO178*Credit_Assumptions!$I$32</f>
        <v/>
      </c>
      <c r="AP184" s="80">
        <f>AP178*Credit_Assumptions!$I$32</f>
        <v/>
      </c>
      <c r="AQ184" s="80">
        <f>AQ178*Credit_Assumptions!$I$32</f>
        <v/>
      </c>
      <c r="AR184" s="80">
        <f>AR178*Credit_Assumptions!$I$32</f>
        <v/>
      </c>
      <c r="AS184" s="80">
        <f>AS178*Credit_Assumptions!$I$32</f>
        <v/>
      </c>
      <c r="AT184" s="80">
        <f>AT178*Credit_Assumptions!$I$32</f>
        <v/>
      </c>
      <c r="AU184" s="80">
        <f>AU178*Credit_Assumptions!$I$32</f>
        <v/>
      </c>
      <c r="AV184" s="80">
        <f>AV178*Credit_Assumptions!$I$32</f>
        <v/>
      </c>
      <c r="AW184" s="80">
        <f>AW178*Credit_Assumptions!$I$32</f>
        <v/>
      </c>
      <c r="AX184" s="80">
        <f>AX178*Credit_Assumptions!$I$32</f>
        <v/>
      </c>
      <c r="AY184" s="80">
        <f>AY178*Credit_Assumptions!$I$32</f>
        <v/>
      </c>
      <c r="AZ184" s="80">
        <f>AZ178*Credit_Assumptions!$I$32</f>
        <v/>
      </c>
      <c r="BA184" s="80">
        <f>BA178*Credit_Assumptions!$I$32</f>
        <v/>
      </c>
      <c r="BB184" s="80">
        <f>BB178*Credit_Assumptions!$I$32</f>
        <v/>
      </c>
      <c r="BC184" s="80">
        <f>BC178*Credit_Assumptions!$I$32</f>
        <v/>
      </c>
      <c r="BD184" s="80">
        <f>BD178*Credit_Assumptions!$I$32</f>
        <v/>
      </c>
      <c r="BE184" s="80">
        <f>BE178*Credit_Assumptions!$I$32</f>
        <v/>
      </c>
      <c r="BF184" s="80">
        <f>BF178*Credit_Assumptions!$I$32</f>
        <v/>
      </c>
      <c r="BG184" s="80">
        <f>BG178*Credit_Assumptions!$I$32</f>
        <v/>
      </c>
      <c r="BH184" s="80">
        <f>BH178*Credit_Assumptions!$I$32</f>
        <v/>
      </c>
      <c r="BI184" s="80">
        <f>BI178*Credit_Assumptions!$I$32</f>
        <v/>
      </c>
      <c r="BJ184" s="80">
        <f>BJ178*Credit_Assumptions!$I$32</f>
        <v/>
      </c>
      <c r="BK184" s="80">
        <f>BK178*Credit_Assumptions!$I$32</f>
        <v/>
      </c>
      <c r="BL184" s="80">
        <f>BL178*Credit_Assumptions!$I$32</f>
        <v/>
      </c>
    </row>
    <row r="185">
      <c r="A185" s="98" t="inlineStr">
        <is>
          <t>180+ DPD</t>
        </is>
      </c>
      <c r="B185" s="65" t="inlineStr">
        <is>
          <t>LCY</t>
        </is>
      </c>
      <c r="C185" s="105">
        <f>BL185</f>
        <v/>
      </c>
      <c r="E185" s="80">
        <f>E178*Credit_Assumptions!$I$33</f>
        <v/>
      </c>
      <c r="F185" s="80">
        <f>F178*Credit_Assumptions!$I$33</f>
        <v/>
      </c>
      <c r="G185" s="80">
        <f>G178*Credit_Assumptions!$I$33</f>
        <v/>
      </c>
      <c r="H185" s="80">
        <f>H178*Credit_Assumptions!$I$33</f>
        <v/>
      </c>
      <c r="I185" s="80">
        <f>I178*Credit_Assumptions!$I$33</f>
        <v/>
      </c>
      <c r="J185" s="80">
        <f>J178*Credit_Assumptions!$I$33</f>
        <v/>
      </c>
      <c r="K185" s="80">
        <f>K178*Credit_Assumptions!$I$33</f>
        <v/>
      </c>
      <c r="L185" s="80">
        <f>L178*Credit_Assumptions!$I$33</f>
        <v/>
      </c>
      <c r="M185" s="80">
        <f>M178*Credit_Assumptions!$I$33</f>
        <v/>
      </c>
      <c r="N185" s="80">
        <f>N178*Credit_Assumptions!$I$33</f>
        <v/>
      </c>
      <c r="O185" s="80">
        <f>O178*Credit_Assumptions!$I$33</f>
        <v/>
      </c>
      <c r="P185" s="80">
        <f>P178*Credit_Assumptions!$I$33</f>
        <v/>
      </c>
      <c r="Q185" s="80">
        <f>Q178*Credit_Assumptions!$I$33</f>
        <v/>
      </c>
      <c r="R185" s="80">
        <f>R178*Credit_Assumptions!$I$33</f>
        <v/>
      </c>
      <c r="S185" s="80">
        <f>S178*Credit_Assumptions!$I$33</f>
        <v/>
      </c>
      <c r="T185" s="80">
        <f>T178*Credit_Assumptions!$I$33</f>
        <v/>
      </c>
      <c r="U185" s="80">
        <f>U178*Credit_Assumptions!$I$33</f>
        <v/>
      </c>
      <c r="V185" s="80">
        <f>V178*Credit_Assumptions!$I$33</f>
        <v/>
      </c>
      <c r="W185" s="80">
        <f>W178*Credit_Assumptions!$I$33</f>
        <v/>
      </c>
      <c r="X185" s="80">
        <f>X178*Credit_Assumptions!$I$33</f>
        <v/>
      </c>
      <c r="Y185" s="80">
        <f>Y178*Credit_Assumptions!$I$33</f>
        <v/>
      </c>
      <c r="Z185" s="80">
        <f>Z178*Credit_Assumptions!$I$33</f>
        <v/>
      </c>
      <c r="AA185" s="80">
        <f>AA178*Credit_Assumptions!$I$33</f>
        <v/>
      </c>
      <c r="AB185" s="80">
        <f>AB178*Credit_Assumptions!$I$33</f>
        <v/>
      </c>
      <c r="AC185" s="80">
        <f>AC178*Credit_Assumptions!$I$33</f>
        <v/>
      </c>
      <c r="AD185" s="80">
        <f>AD178*Credit_Assumptions!$I$33</f>
        <v/>
      </c>
      <c r="AE185" s="80">
        <f>AE178*Credit_Assumptions!$I$33</f>
        <v/>
      </c>
      <c r="AF185" s="80">
        <f>AF178*Credit_Assumptions!$I$33</f>
        <v/>
      </c>
      <c r="AG185" s="80">
        <f>AG178*Credit_Assumptions!$I$33</f>
        <v/>
      </c>
      <c r="AH185" s="80">
        <f>AH178*Credit_Assumptions!$I$33</f>
        <v/>
      </c>
      <c r="AI185" s="80">
        <f>AI178*Credit_Assumptions!$I$33</f>
        <v/>
      </c>
      <c r="AJ185" s="80">
        <f>AJ178*Credit_Assumptions!$I$33</f>
        <v/>
      </c>
      <c r="AK185" s="80">
        <f>AK178*Credit_Assumptions!$I$33</f>
        <v/>
      </c>
      <c r="AL185" s="80">
        <f>AL178*Credit_Assumptions!$I$33</f>
        <v/>
      </c>
      <c r="AM185" s="80">
        <f>AM178*Credit_Assumptions!$I$33</f>
        <v/>
      </c>
      <c r="AN185" s="80">
        <f>AN178*Credit_Assumptions!$I$33</f>
        <v/>
      </c>
      <c r="AO185" s="80">
        <f>AO178*Credit_Assumptions!$I$33</f>
        <v/>
      </c>
      <c r="AP185" s="80">
        <f>AP178*Credit_Assumptions!$I$33</f>
        <v/>
      </c>
      <c r="AQ185" s="80">
        <f>AQ178*Credit_Assumptions!$I$33</f>
        <v/>
      </c>
      <c r="AR185" s="80">
        <f>AR178*Credit_Assumptions!$I$33</f>
        <v/>
      </c>
      <c r="AS185" s="80">
        <f>AS178*Credit_Assumptions!$I$33</f>
        <v/>
      </c>
      <c r="AT185" s="80">
        <f>AT178*Credit_Assumptions!$I$33</f>
        <v/>
      </c>
      <c r="AU185" s="80">
        <f>AU178*Credit_Assumptions!$I$33</f>
        <v/>
      </c>
      <c r="AV185" s="80">
        <f>AV178*Credit_Assumptions!$I$33</f>
        <v/>
      </c>
      <c r="AW185" s="80">
        <f>AW178*Credit_Assumptions!$I$33</f>
        <v/>
      </c>
      <c r="AX185" s="80">
        <f>AX178*Credit_Assumptions!$I$33</f>
        <v/>
      </c>
      <c r="AY185" s="80">
        <f>AY178*Credit_Assumptions!$I$33</f>
        <v/>
      </c>
      <c r="AZ185" s="80">
        <f>AZ178*Credit_Assumptions!$I$33</f>
        <v/>
      </c>
      <c r="BA185" s="80">
        <f>BA178*Credit_Assumptions!$I$33</f>
        <v/>
      </c>
      <c r="BB185" s="80">
        <f>BB178*Credit_Assumptions!$I$33</f>
        <v/>
      </c>
      <c r="BC185" s="80">
        <f>BC178*Credit_Assumptions!$I$33</f>
        <v/>
      </c>
      <c r="BD185" s="80">
        <f>BD178*Credit_Assumptions!$I$33</f>
        <v/>
      </c>
      <c r="BE185" s="80">
        <f>BE178*Credit_Assumptions!$I$33</f>
        <v/>
      </c>
      <c r="BF185" s="80">
        <f>BF178*Credit_Assumptions!$I$33</f>
        <v/>
      </c>
      <c r="BG185" s="80">
        <f>BG178*Credit_Assumptions!$I$33</f>
        <v/>
      </c>
      <c r="BH185" s="80">
        <f>BH178*Credit_Assumptions!$I$33</f>
        <v/>
      </c>
      <c r="BI185" s="80">
        <f>BI178*Credit_Assumptions!$I$33</f>
        <v/>
      </c>
      <c r="BJ185" s="80">
        <f>BJ178*Credit_Assumptions!$I$33</f>
        <v/>
      </c>
      <c r="BK185" s="80">
        <f>BK178*Credit_Assumptions!$I$33</f>
        <v/>
      </c>
      <c r="BL185" s="80">
        <f>BL178*Credit_Assumptions!$I$33</f>
        <v/>
      </c>
    </row>
    <row r="186">
      <c r="A186" s="98" t="inlineStr">
        <is>
          <t>Default EAD (beyond default definition)</t>
        </is>
      </c>
      <c r="B186" s="65" t="inlineStr">
        <is>
          <t>LCY</t>
        </is>
      </c>
      <c r="C186" s="105">
        <f>BL186</f>
        <v/>
      </c>
      <c r="E186" s="80">
        <f>E180*Credit_Assumptions!$F$28+E181*Credit_Assumptions!$F$29+E182*Credit_Assumptions!$F$30+E183*Credit_Assumptions!$F$31+E184*Credit_Assumptions!$F$32+E185*Credit_Assumptions!$F$33</f>
        <v/>
      </c>
      <c r="F186" s="80">
        <f>F180*Credit_Assumptions!$F$28+F181*Credit_Assumptions!$F$29+F182*Credit_Assumptions!$F$30+F183*Credit_Assumptions!$F$31+F184*Credit_Assumptions!$F$32+F185*Credit_Assumptions!$F$33</f>
        <v/>
      </c>
      <c r="G186" s="80">
        <f>G180*Credit_Assumptions!$F$28+G181*Credit_Assumptions!$F$29+G182*Credit_Assumptions!$F$30+G183*Credit_Assumptions!$F$31+G184*Credit_Assumptions!$F$32+G185*Credit_Assumptions!$F$33</f>
        <v/>
      </c>
      <c r="H186" s="80">
        <f>H180*Credit_Assumptions!$F$28+H181*Credit_Assumptions!$F$29+H182*Credit_Assumptions!$F$30+H183*Credit_Assumptions!$F$31+H184*Credit_Assumptions!$F$32+H185*Credit_Assumptions!$F$33</f>
        <v/>
      </c>
      <c r="I186" s="80">
        <f>I180*Credit_Assumptions!$F$28+I181*Credit_Assumptions!$F$29+I182*Credit_Assumptions!$F$30+I183*Credit_Assumptions!$F$31+I184*Credit_Assumptions!$F$32+I185*Credit_Assumptions!$F$33</f>
        <v/>
      </c>
      <c r="J186" s="80">
        <f>J180*Credit_Assumptions!$F$28+J181*Credit_Assumptions!$F$29+J182*Credit_Assumptions!$F$30+J183*Credit_Assumptions!$F$31+J184*Credit_Assumptions!$F$32+J185*Credit_Assumptions!$F$33</f>
        <v/>
      </c>
      <c r="K186" s="80">
        <f>K180*Credit_Assumptions!$F$28+K181*Credit_Assumptions!$F$29+K182*Credit_Assumptions!$F$30+K183*Credit_Assumptions!$F$31+K184*Credit_Assumptions!$F$32+K185*Credit_Assumptions!$F$33</f>
        <v/>
      </c>
      <c r="L186" s="80">
        <f>L180*Credit_Assumptions!$F$28+L181*Credit_Assumptions!$F$29+L182*Credit_Assumptions!$F$30+L183*Credit_Assumptions!$F$31+L184*Credit_Assumptions!$F$32+L185*Credit_Assumptions!$F$33</f>
        <v/>
      </c>
      <c r="M186" s="80">
        <f>M180*Credit_Assumptions!$F$28+M181*Credit_Assumptions!$F$29+M182*Credit_Assumptions!$F$30+M183*Credit_Assumptions!$F$31+M184*Credit_Assumptions!$F$32+M185*Credit_Assumptions!$F$33</f>
        <v/>
      </c>
      <c r="N186" s="80">
        <f>N180*Credit_Assumptions!$F$28+N181*Credit_Assumptions!$F$29+N182*Credit_Assumptions!$F$30+N183*Credit_Assumptions!$F$31+N184*Credit_Assumptions!$F$32+N185*Credit_Assumptions!$F$33</f>
        <v/>
      </c>
      <c r="O186" s="80">
        <f>O180*Credit_Assumptions!$F$28+O181*Credit_Assumptions!$F$29+O182*Credit_Assumptions!$F$30+O183*Credit_Assumptions!$F$31+O184*Credit_Assumptions!$F$32+O185*Credit_Assumptions!$F$33</f>
        <v/>
      </c>
      <c r="P186" s="80">
        <f>P180*Credit_Assumptions!$F$28+P181*Credit_Assumptions!$F$29+P182*Credit_Assumptions!$F$30+P183*Credit_Assumptions!$F$31+P184*Credit_Assumptions!$F$32+P185*Credit_Assumptions!$F$33</f>
        <v/>
      </c>
      <c r="Q186" s="80">
        <f>Q180*Credit_Assumptions!$F$28+Q181*Credit_Assumptions!$F$29+Q182*Credit_Assumptions!$F$30+Q183*Credit_Assumptions!$F$31+Q184*Credit_Assumptions!$F$32+Q185*Credit_Assumptions!$F$33</f>
        <v/>
      </c>
      <c r="R186" s="80">
        <f>R180*Credit_Assumptions!$F$28+R181*Credit_Assumptions!$F$29+R182*Credit_Assumptions!$F$30+R183*Credit_Assumptions!$F$31+R184*Credit_Assumptions!$F$32+R185*Credit_Assumptions!$F$33</f>
        <v/>
      </c>
      <c r="S186" s="80">
        <f>S180*Credit_Assumptions!$F$28+S181*Credit_Assumptions!$F$29+S182*Credit_Assumptions!$F$30+S183*Credit_Assumptions!$F$31+S184*Credit_Assumptions!$F$32+S185*Credit_Assumptions!$F$33</f>
        <v/>
      </c>
      <c r="T186" s="80">
        <f>T180*Credit_Assumptions!$F$28+T181*Credit_Assumptions!$F$29+T182*Credit_Assumptions!$F$30+T183*Credit_Assumptions!$F$31+T184*Credit_Assumptions!$F$32+T185*Credit_Assumptions!$F$33</f>
        <v/>
      </c>
      <c r="U186" s="80">
        <f>U180*Credit_Assumptions!$F$28+U181*Credit_Assumptions!$F$29+U182*Credit_Assumptions!$F$30+U183*Credit_Assumptions!$F$31+U184*Credit_Assumptions!$F$32+U185*Credit_Assumptions!$F$33</f>
        <v/>
      </c>
      <c r="V186" s="80">
        <f>V180*Credit_Assumptions!$F$28+V181*Credit_Assumptions!$F$29+V182*Credit_Assumptions!$F$30+V183*Credit_Assumptions!$F$31+V184*Credit_Assumptions!$F$32+V185*Credit_Assumptions!$F$33</f>
        <v/>
      </c>
      <c r="W186" s="80">
        <f>W180*Credit_Assumptions!$F$28+W181*Credit_Assumptions!$F$29+W182*Credit_Assumptions!$F$30+W183*Credit_Assumptions!$F$31+W184*Credit_Assumptions!$F$32+W185*Credit_Assumptions!$F$33</f>
        <v/>
      </c>
      <c r="X186" s="80">
        <f>X180*Credit_Assumptions!$F$28+X181*Credit_Assumptions!$F$29+X182*Credit_Assumptions!$F$30+X183*Credit_Assumptions!$F$31+X184*Credit_Assumptions!$F$32+X185*Credit_Assumptions!$F$33</f>
        <v/>
      </c>
      <c r="Y186" s="80">
        <f>Y180*Credit_Assumptions!$F$28+Y181*Credit_Assumptions!$F$29+Y182*Credit_Assumptions!$F$30+Y183*Credit_Assumptions!$F$31+Y184*Credit_Assumptions!$F$32+Y185*Credit_Assumptions!$F$33</f>
        <v/>
      </c>
      <c r="Z186" s="80">
        <f>Z180*Credit_Assumptions!$F$28+Z181*Credit_Assumptions!$F$29+Z182*Credit_Assumptions!$F$30+Z183*Credit_Assumptions!$F$31+Z184*Credit_Assumptions!$F$32+Z185*Credit_Assumptions!$F$33</f>
        <v/>
      </c>
      <c r="AA186" s="80">
        <f>AA180*Credit_Assumptions!$F$28+AA181*Credit_Assumptions!$F$29+AA182*Credit_Assumptions!$F$30+AA183*Credit_Assumptions!$F$31+AA184*Credit_Assumptions!$F$32+AA185*Credit_Assumptions!$F$33</f>
        <v/>
      </c>
      <c r="AB186" s="80">
        <f>AB180*Credit_Assumptions!$F$28+AB181*Credit_Assumptions!$F$29+AB182*Credit_Assumptions!$F$30+AB183*Credit_Assumptions!$F$31+AB184*Credit_Assumptions!$F$32+AB185*Credit_Assumptions!$F$33</f>
        <v/>
      </c>
      <c r="AC186" s="80">
        <f>AC180*Credit_Assumptions!$F$28+AC181*Credit_Assumptions!$F$29+AC182*Credit_Assumptions!$F$30+AC183*Credit_Assumptions!$F$31+AC184*Credit_Assumptions!$F$32+AC185*Credit_Assumptions!$F$33</f>
        <v/>
      </c>
      <c r="AD186" s="80">
        <f>AD180*Credit_Assumptions!$F$28+AD181*Credit_Assumptions!$F$29+AD182*Credit_Assumptions!$F$30+AD183*Credit_Assumptions!$F$31+AD184*Credit_Assumptions!$F$32+AD185*Credit_Assumptions!$F$33</f>
        <v/>
      </c>
      <c r="AE186" s="80">
        <f>AE180*Credit_Assumptions!$F$28+AE181*Credit_Assumptions!$F$29+AE182*Credit_Assumptions!$F$30+AE183*Credit_Assumptions!$F$31+AE184*Credit_Assumptions!$F$32+AE185*Credit_Assumptions!$F$33</f>
        <v/>
      </c>
      <c r="AF186" s="80">
        <f>AF180*Credit_Assumptions!$F$28+AF181*Credit_Assumptions!$F$29+AF182*Credit_Assumptions!$F$30+AF183*Credit_Assumptions!$F$31+AF184*Credit_Assumptions!$F$32+AF185*Credit_Assumptions!$F$33</f>
        <v/>
      </c>
      <c r="AG186" s="80">
        <f>AG180*Credit_Assumptions!$F$28+AG181*Credit_Assumptions!$F$29+AG182*Credit_Assumptions!$F$30+AG183*Credit_Assumptions!$F$31+AG184*Credit_Assumptions!$F$32+AG185*Credit_Assumptions!$F$33</f>
        <v/>
      </c>
      <c r="AH186" s="80">
        <f>AH180*Credit_Assumptions!$F$28+AH181*Credit_Assumptions!$F$29+AH182*Credit_Assumptions!$F$30+AH183*Credit_Assumptions!$F$31+AH184*Credit_Assumptions!$F$32+AH185*Credit_Assumptions!$F$33</f>
        <v/>
      </c>
      <c r="AI186" s="80">
        <f>AI180*Credit_Assumptions!$F$28+AI181*Credit_Assumptions!$F$29+AI182*Credit_Assumptions!$F$30+AI183*Credit_Assumptions!$F$31+AI184*Credit_Assumptions!$F$32+AI185*Credit_Assumptions!$F$33</f>
        <v/>
      </c>
      <c r="AJ186" s="80">
        <f>AJ180*Credit_Assumptions!$F$28+AJ181*Credit_Assumptions!$F$29+AJ182*Credit_Assumptions!$F$30+AJ183*Credit_Assumptions!$F$31+AJ184*Credit_Assumptions!$F$32+AJ185*Credit_Assumptions!$F$33</f>
        <v/>
      </c>
      <c r="AK186" s="80">
        <f>AK180*Credit_Assumptions!$F$28+AK181*Credit_Assumptions!$F$29+AK182*Credit_Assumptions!$F$30+AK183*Credit_Assumptions!$F$31+AK184*Credit_Assumptions!$F$32+AK185*Credit_Assumptions!$F$33</f>
        <v/>
      </c>
      <c r="AL186" s="80">
        <f>AL180*Credit_Assumptions!$F$28+AL181*Credit_Assumptions!$F$29+AL182*Credit_Assumptions!$F$30+AL183*Credit_Assumptions!$F$31+AL184*Credit_Assumptions!$F$32+AL185*Credit_Assumptions!$F$33</f>
        <v/>
      </c>
      <c r="AM186" s="80">
        <f>AM180*Credit_Assumptions!$F$28+AM181*Credit_Assumptions!$F$29+AM182*Credit_Assumptions!$F$30+AM183*Credit_Assumptions!$F$31+AM184*Credit_Assumptions!$F$32+AM185*Credit_Assumptions!$F$33</f>
        <v/>
      </c>
      <c r="AN186" s="80">
        <f>AN180*Credit_Assumptions!$F$28+AN181*Credit_Assumptions!$F$29+AN182*Credit_Assumptions!$F$30+AN183*Credit_Assumptions!$F$31+AN184*Credit_Assumptions!$F$32+AN185*Credit_Assumptions!$F$33</f>
        <v/>
      </c>
      <c r="AO186" s="80">
        <f>AO180*Credit_Assumptions!$F$28+AO181*Credit_Assumptions!$F$29+AO182*Credit_Assumptions!$F$30+AO183*Credit_Assumptions!$F$31+AO184*Credit_Assumptions!$F$32+AO185*Credit_Assumptions!$F$33</f>
        <v/>
      </c>
      <c r="AP186" s="80">
        <f>AP180*Credit_Assumptions!$F$28+AP181*Credit_Assumptions!$F$29+AP182*Credit_Assumptions!$F$30+AP183*Credit_Assumptions!$F$31+AP184*Credit_Assumptions!$F$32+AP185*Credit_Assumptions!$F$33</f>
        <v/>
      </c>
      <c r="AQ186" s="80">
        <f>AQ180*Credit_Assumptions!$F$28+AQ181*Credit_Assumptions!$F$29+AQ182*Credit_Assumptions!$F$30+AQ183*Credit_Assumptions!$F$31+AQ184*Credit_Assumptions!$F$32+AQ185*Credit_Assumptions!$F$33</f>
        <v/>
      </c>
      <c r="AR186" s="80">
        <f>AR180*Credit_Assumptions!$F$28+AR181*Credit_Assumptions!$F$29+AR182*Credit_Assumptions!$F$30+AR183*Credit_Assumptions!$F$31+AR184*Credit_Assumptions!$F$32+AR185*Credit_Assumptions!$F$33</f>
        <v/>
      </c>
      <c r="AS186" s="80">
        <f>AS180*Credit_Assumptions!$F$28+AS181*Credit_Assumptions!$F$29+AS182*Credit_Assumptions!$F$30+AS183*Credit_Assumptions!$F$31+AS184*Credit_Assumptions!$F$32+AS185*Credit_Assumptions!$F$33</f>
        <v/>
      </c>
      <c r="AT186" s="80">
        <f>AT180*Credit_Assumptions!$F$28+AT181*Credit_Assumptions!$F$29+AT182*Credit_Assumptions!$F$30+AT183*Credit_Assumptions!$F$31+AT184*Credit_Assumptions!$F$32+AT185*Credit_Assumptions!$F$33</f>
        <v/>
      </c>
      <c r="AU186" s="80">
        <f>AU180*Credit_Assumptions!$F$28+AU181*Credit_Assumptions!$F$29+AU182*Credit_Assumptions!$F$30+AU183*Credit_Assumptions!$F$31+AU184*Credit_Assumptions!$F$32+AU185*Credit_Assumptions!$F$33</f>
        <v/>
      </c>
      <c r="AV186" s="80">
        <f>AV180*Credit_Assumptions!$F$28+AV181*Credit_Assumptions!$F$29+AV182*Credit_Assumptions!$F$30+AV183*Credit_Assumptions!$F$31+AV184*Credit_Assumptions!$F$32+AV185*Credit_Assumptions!$F$33</f>
        <v/>
      </c>
      <c r="AW186" s="80">
        <f>AW180*Credit_Assumptions!$F$28+AW181*Credit_Assumptions!$F$29+AW182*Credit_Assumptions!$F$30+AW183*Credit_Assumptions!$F$31+AW184*Credit_Assumptions!$F$32+AW185*Credit_Assumptions!$F$33</f>
        <v/>
      </c>
      <c r="AX186" s="80">
        <f>AX180*Credit_Assumptions!$F$28+AX181*Credit_Assumptions!$F$29+AX182*Credit_Assumptions!$F$30+AX183*Credit_Assumptions!$F$31+AX184*Credit_Assumptions!$F$32+AX185*Credit_Assumptions!$F$33</f>
        <v/>
      </c>
      <c r="AY186" s="80">
        <f>AY180*Credit_Assumptions!$F$28+AY181*Credit_Assumptions!$F$29+AY182*Credit_Assumptions!$F$30+AY183*Credit_Assumptions!$F$31+AY184*Credit_Assumptions!$F$32+AY185*Credit_Assumptions!$F$33</f>
        <v/>
      </c>
      <c r="AZ186" s="80">
        <f>AZ180*Credit_Assumptions!$F$28+AZ181*Credit_Assumptions!$F$29+AZ182*Credit_Assumptions!$F$30+AZ183*Credit_Assumptions!$F$31+AZ184*Credit_Assumptions!$F$32+AZ185*Credit_Assumptions!$F$33</f>
        <v/>
      </c>
      <c r="BA186" s="80">
        <f>BA180*Credit_Assumptions!$F$28+BA181*Credit_Assumptions!$F$29+BA182*Credit_Assumptions!$F$30+BA183*Credit_Assumptions!$F$31+BA184*Credit_Assumptions!$F$32+BA185*Credit_Assumptions!$F$33</f>
        <v/>
      </c>
      <c r="BB186" s="80">
        <f>BB180*Credit_Assumptions!$F$28+BB181*Credit_Assumptions!$F$29+BB182*Credit_Assumptions!$F$30+BB183*Credit_Assumptions!$F$31+BB184*Credit_Assumptions!$F$32+BB185*Credit_Assumptions!$F$33</f>
        <v/>
      </c>
      <c r="BC186" s="80">
        <f>BC180*Credit_Assumptions!$F$28+BC181*Credit_Assumptions!$F$29+BC182*Credit_Assumptions!$F$30+BC183*Credit_Assumptions!$F$31+BC184*Credit_Assumptions!$F$32+BC185*Credit_Assumptions!$F$33</f>
        <v/>
      </c>
      <c r="BD186" s="80">
        <f>BD180*Credit_Assumptions!$F$28+BD181*Credit_Assumptions!$F$29+BD182*Credit_Assumptions!$F$30+BD183*Credit_Assumptions!$F$31+BD184*Credit_Assumptions!$F$32+BD185*Credit_Assumptions!$F$33</f>
        <v/>
      </c>
      <c r="BE186" s="80">
        <f>BE180*Credit_Assumptions!$F$28+BE181*Credit_Assumptions!$F$29+BE182*Credit_Assumptions!$F$30+BE183*Credit_Assumptions!$F$31+BE184*Credit_Assumptions!$F$32+BE185*Credit_Assumptions!$F$33</f>
        <v/>
      </c>
      <c r="BF186" s="80">
        <f>BF180*Credit_Assumptions!$F$28+BF181*Credit_Assumptions!$F$29+BF182*Credit_Assumptions!$F$30+BF183*Credit_Assumptions!$F$31+BF184*Credit_Assumptions!$F$32+BF185*Credit_Assumptions!$F$33</f>
        <v/>
      </c>
      <c r="BG186" s="80">
        <f>BG180*Credit_Assumptions!$F$28+BG181*Credit_Assumptions!$F$29+BG182*Credit_Assumptions!$F$30+BG183*Credit_Assumptions!$F$31+BG184*Credit_Assumptions!$F$32+BG185*Credit_Assumptions!$F$33</f>
        <v/>
      </c>
      <c r="BH186" s="80">
        <f>BH180*Credit_Assumptions!$F$28+BH181*Credit_Assumptions!$F$29+BH182*Credit_Assumptions!$F$30+BH183*Credit_Assumptions!$F$31+BH184*Credit_Assumptions!$F$32+BH185*Credit_Assumptions!$F$33</f>
        <v/>
      </c>
      <c r="BI186" s="80">
        <f>BI180*Credit_Assumptions!$F$28+BI181*Credit_Assumptions!$F$29+BI182*Credit_Assumptions!$F$30+BI183*Credit_Assumptions!$F$31+BI184*Credit_Assumptions!$F$32+BI185*Credit_Assumptions!$F$33</f>
        <v/>
      </c>
      <c r="BJ186" s="80">
        <f>BJ180*Credit_Assumptions!$F$28+BJ181*Credit_Assumptions!$F$29+BJ182*Credit_Assumptions!$F$30+BJ183*Credit_Assumptions!$F$31+BJ184*Credit_Assumptions!$F$32+BJ185*Credit_Assumptions!$F$33</f>
        <v/>
      </c>
      <c r="BK186" s="80">
        <f>BK180*Credit_Assumptions!$F$28+BK181*Credit_Assumptions!$F$29+BK182*Credit_Assumptions!$F$30+BK183*Credit_Assumptions!$F$31+BK184*Credit_Assumptions!$F$32+BK185*Credit_Assumptions!$F$33</f>
        <v/>
      </c>
      <c r="BL186" s="80">
        <f>BL180*Credit_Assumptions!$F$28+BL181*Credit_Assumptions!$F$29+BL182*Credit_Assumptions!$F$30+BL183*Credit_Assumptions!$F$31+BL184*Credit_Assumptions!$F$32+BL185*Credit_Assumptions!$F$33</f>
        <v/>
      </c>
    </row>
    <row r="187">
      <c r="A187" s="98" t="inlineStr">
        <is>
          <t>30+ DPD receivables</t>
        </is>
      </c>
      <c r="B187" s="65" t="inlineStr">
        <is>
          <t>LCY</t>
        </is>
      </c>
      <c r="C187" s="105">
        <f>BL187</f>
        <v/>
      </c>
      <c r="E187" s="80">
        <f>E180*Credit_Assumptions!$G$28+E181*Credit_Assumptions!$G$29+E182*Credit_Assumptions!$G$30+E183*Credit_Assumptions!$G$31+E184*Credit_Assumptions!$G$32+E185*Credit_Assumptions!$G$33</f>
        <v/>
      </c>
      <c r="F187" s="80">
        <f>F180*Credit_Assumptions!$G$28+F181*Credit_Assumptions!$G$29+F182*Credit_Assumptions!$G$30+F183*Credit_Assumptions!$G$31+F184*Credit_Assumptions!$G$32+F185*Credit_Assumptions!$G$33</f>
        <v/>
      </c>
      <c r="G187" s="80">
        <f>G180*Credit_Assumptions!$G$28+G181*Credit_Assumptions!$G$29+G182*Credit_Assumptions!$G$30+G183*Credit_Assumptions!$G$31+G184*Credit_Assumptions!$G$32+G185*Credit_Assumptions!$G$33</f>
        <v/>
      </c>
      <c r="H187" s="80">
        <f>H180*Credit_Assumptions!$G$28+H181*Credit_Assumptions!$G$29+H182*Credit_Assumptions!$G$30+H183*Credit_Assumptions!$G$31+H184*Credit_Assumptions!$G$32+H185*Credit_Assumptions!$G$33</f>
        <v/>
      </c>
      <c r="I187" s="80">
        <f>I180*Credit_Assumptions!$G$28+I181*Credit_Assumptions!$G$29+I182*Credit_Assumptions!$G$30+I183*Credit_Assumptions!$G$31+I184*Credit_Assumptions!$G$32+I185*Credit_Assumptions!$G$33</f>
        <v/>
      </c>
      <c r="J187" s="80">
        <f>J180*Credit_Assumptions!$G$28+J181*Credit_Assumptions!$G$29+J182*Credit_Assumptions!$G$30+J183*Credit_Assumptions!$G$31+J184*Credit_Assumptions!$G$32+J185*Credit_Assumptions!$G$33</f>
        <v/>
      </c>
      <c r="K187" s="80">
        <f>K180*Credit_Assumptions!$G$28+K181*Credit_Assumptions!$G$29+K182*Credit_Assumptions!$G$30+K183*Credit_Assumptions!$G$31+K184*Credit_Assumptions!$G$32+K185*Credit_Assumptions!$G$33</f>
        <v/>
      </c>
      <c r="L187" s="80">
        <f>L180*Credit_Assumptions!$G$28+L181*Credit_Assumptions!$G$29+L182*Credit_Assumptions!$G$30+L183*Credit_Assumptions!$G$31+L184*Credit_Assumptions!$G$32+L185*Credit_Assumptions!$G$33</f>
        <v/>
      </c>
      <c r="M187" s="80">
        <f>M180*Credit_Assumptions!$G$28+M181*Credit_Assumptions!$G$29+M182*Credit_Assumptions!$G$30+M183*Credit_Assumptions!$G$31+M184*Credit_Assumptions!$G$32+M185*Credit_Assumptions!$G$33</f>
        <v/>
      </c>
      <c r="N187" s="80">
        <f>N180*Credit_Assumptions!$G$28+N181*Credit_Assumptions!$G$29+N182*Credit_Assumptions!$G$30+N183*Credit_Assumptions!$G$31+N184*Credit_Assumptions!$G$32+N185*Credit_Assumptions!$G$33</f>
        <v/>
      </c>
      <c r="O187" s="80">
        <f>O180*Credit_Assumptions!$G$28+O181*Credit_Assumptions!$G$29+O182*Credit_Assumptions!$G$30+O183*Credit_Assumptions!$G$31+O184*Credit_Assumptions!$G$32+O185*Credit_Assumptions!$G$33</f>
        <v/>
      </c>
      <c r="P187" s="80">
        <f>P180*Credit_Assumptions!$G$28+P181*Credit_Assumptions!$G$29+P182*Credit_Assumptions!$G$30+P183*Credit_Assumptions!$G$31+P184*Credit_Assumptions!$G$32+P185*Credit_Assumptions!$G$33</f>
        <v/>
      </c>
      <c r="Q187" s="80">
        <f>Q180*Credit_Assumptions!$G$28+Q181*Credit_Assumptions!$G$29+Q182*Credit_Assumptions!$G$30+Q183*Credit_Assumptions!$G$31+Q184*Credit_Assumptions!$G$32+Q185*Credit_Assumptions!$G$33</f>
        <v/>
      </c>
      <c r="R187" s="80">
        <f>R180*Credit_Assumptions!$G$28+R181*Credit_Assumptions!$G$29+R182*Credit_Assumptions!$G$30+R183*Credit_Assumptions!$G$31+R184*Credit_Assumptions!$G$32+R185*Credit_Assumptions!$G$33</f>
        <v/>
      </c>
      <c r="S187" s="80">
        <f>S180*Credit_Assumptions!$G$28+S181*Credit_Assumptions!$G$29+S182*Credit_Assumptions!$G$30+S183*Credit_Assumptions!$G$31+S184*Credit_Assumptions!$G$32+S185*Credit_Assumptions!$G$33</f>
        <v/>
      </c>
      <c r="T187" s="80">
        <f>T180*Credit_Assumptions!$G$28+T181*Credit_Assumptions!$G$29+T182*Credit_Assumptions!$G$30+T183*Credit_Assumptions!$G$31+T184*Credit_Assumptions!$G$32+T185*Credit_Assumptions!$G$33</f>
        <v/>
      </c>
      <c r="U187" s="80">
        <f>U180*Credit_Assumptions!$G$28+U181*Credit_Assumptions!$G$29+U182*Credit_Assumptions!$G$30+U183*Credit_Assumptions!$G$31+U184*Credit_Assumptions!$G$32+U185*Credit_Assumptions!$G$33</f>
        <v/>
      </c>
      <c r="V187" s="80">
        <f>V180*Credit_Assumptions!$G$28+V181*Credit_Assumptions!$G$29+V182*Credit_Assumptions!$G$30+V183*Credit_Assumptions!$G$31+V184*Credit_Assumptions!$G$32+V185*Credit_Assumptions!$G$33</f>
        <v/>
      </c>
      <c r="W187" s="80">
        <f>W180*Credit_Assumptions!$G$28+W181*Credit_Assumptions!$G$29+W182*Credit_Assumptions!$G$30+W183*Credit_Assumptions!$G$31+W184*Credit_Assumptions!$G$32+W185*Credit_Assumptions!$G$33</f>
        <v/>
      </c>
      <c r="X187" s="80">
        <f>X180*Credit_Assumptions!$G$28+X181*Credit_Assumptions!$G$29+X182*Credit_Assumptions!$G$30+X183*Credit_Assumptions!$G$31+X184*Credit_Assumptions!$G$32+X185*Credit_Assumptions!$G$33</f>
        <v/>
      </c>
      <c r="Y187" s="80">
        <f>Y180*Credit_Assumptions!$G$28+Y181*Credit_Assumptions!$G$29+Y182*Credit_Assumptions!$G$30+Y183*Credit_Assumptions!$G$31+Y184*Credit_Assumptions!$G$32+Y185*Credit_Assumptions!$G$33</f>
        <v/>
      </c>
      <c r="Z187" s="80">
        <f>Z180*Credit_Assumptions!$G$28+Z181*Credit_Assumptions!$G$29+Z182*Credit_Assumptions!$G$30+Z183*Credit_Assumptions!$G$31+Z184*Credit_Assumptions!$G$32+Z185*Credit_Assumptions!$G$33</f>
        <v/>
      </c>
      <c r="AA187" s="80">
        <f>AA180*Credit_Assumptions!$G$28+AA181*Credit_Assumptions!$G$29+AA182*Credit_Assumptions!$G$30+AA183*Credit_Assumptions!$G$31+AA184*Credit_Assumptions!$G$32+AA185*Credit_Assumptions!$G$33</f>
        <v/>
      </c>
      <c r="AB187" s="80">
        <f>AB180*Credit_Assumptions!$G$28+AB181*Credit_Assumptions!$G$29+AB182*Credit_Assumptions!$G$30+AB183*Credit_Assumptions!$G$31+AB184*Credit_Assumptions!$G$32+AB185*Credit_Assumptions!$G$33</f>
        <v/>
      </c>
      <c r="AC187" s="80">
        <f>AC180*Credit_Assumptions!$G$28+AC181*Credit_Assumptions!$G$29+AC182*Credit_Assumptions!$G$30+AC183*Credit_Assumptions!$G$31+AC184*Credit_Assumptions!$G$32+AC185*Credit_Assumptions!$G$33</f>
        <v/>
      </c>
      <c r="AD187" s="80">
        <f>AD180*Credit_Assumptions!$G$28+AD181*Credit_Assumptions!$G$29+AD182*Credit_Assumptions!$G$30+AD183*Credit_Assumptions!$G$31+AD184*Credit_Assumptions!$G$32+AD185*Credit_Assumptions!$G$33</f>
        <v/>
      </c>
      <c r="AE187" s="80">
        <f>AE180*Credit_Assumptions!$G$28+AE181*Credit_Assumptions!$G$29+AE182*Credit_Assumptions!$G$30+AE183*Credit_Assumptions!$G$31+AE184*Credit_Assumptions!$G$32+AE185*Credit_Assumptions!$G$33</f>
        <v/>
      </c>
      <c r="AF187" s="80">
        <f>AF180*Credit_Assumptions!$G$28+AF181*Credit_Assumptions!$G$29+AF182*Credit_Assumptions!$G$30+AF183*Credit_Assumptions!$G$31+AF184*Credit_Assumptions!$G$32+AF185*Credit_Assumptions!$G$33</f>
        <v/>
      </c>
      <c r="AG187" s="80">
        <f>AG180*Credit_Assumptions!$G$28+AG181*Credit_Assumptions!$G$29+AG182*Credit_Assumptions!$G$30+AG183*Credit_Assumptions!$G$31+AG184*Credit_Assumptions!$G$32+AG185*Credit_Assumptions!$G$33</f>
        <v/>
      </c>
      <c r="AH187" s="80">
        <f>AH180*Credit_Assumptions!$G$28+AH181*Credit_Assumptions!$G$29+AH182*Credit_Assumptions!$G$30+AH183*Credit_Assumptions!$G$31+AH184*Credit_Assumptions!$G$32+AH185*Credit_Assumptions!$G$33</f>
        <v/>
      </c>
      <c r="AI187" s="80">
        <f>AI180*Credit_Assumptions!$G$28+AI181*Credit_Assumptions!$G$29+AI182*Credit_Assumptions!$G$30+AI183*Credit_Assumptions!$G$31+AI184*Credit_Assumptions!$G$32+AI185*Credit_Assumptions!$G$33</f>
        <v/>
      </c>
      <c r="AJ187" s="80">
        <f>AJ180*Credit_Assumptions!$G$28+AJ181*Credit_Assumptions!$G$29+AJ182*Credit_Assumptions!$G$30+AJ183*Credit_Assumptions!$G$31+AJ184*Credit_Assumptions!$G$32+AJ185*Credit_Assumptions!$G$33</f>
        <v/>
      </c>
      <c r="AK187" s="80">
        <f>AK180*Credit_Assumptions!$G$28+AK181*Credit_Assumptions!$G$29+AK182*Credit_Assumptions!$G$30+AK183*Credit_Assumptions!$G$31+AK184*Credit_Assumptions!$G$32+AK185*Credit_Assumptions!$G$33</f>
        <v/>
      </c>
      <c r="AL187" s="80">
        <f>AL180*Credit_Assumptions!$G$28+AL181*Credit_Assumptions!$G$29+AL182*Credit_Assumptions!$G$30+AL183*Credit_Assumptions!$G$31+AL184*Credit_Assumptions!$G$32+AL185*Credit_Assumptions!$G$33</f>
        <v/>
      </c>
      <c r="AM187" s="80">
        <f>AM180*Credit_Assumptions!$G$28+AM181*Credit_Assumptions!$G$29+AM182*Credit_Assumptions!$G$30+AM183*Credit_Assumptions!$G$31+AM184*Credit_Assumptions!$G$32+AM185*Credit_Assumptions!$G$33</f>
        <v/>
      </c>
      <c r="AN187" s="80">
        <f>AN180*Credit_Assumptions!$G$28+AN181*Credit_Assumptions!$G$29+AN182*Credit_Assumptions!$G$30+AN183*Credit_Assumptions!$G$31+AN184*Credit_Assumptions!$G$32+AN185*Credit_Assumptions!$G$33</f>
        <v/>
      </c>
      <c r="AO187" s="80">
        <f>AO180*Credit_Assumptions!$G$28+AO181*Credit_Assumptions!$G$29+AO182*Credit_Assumptions!$G$30+AO183*Credit_Assumptions!$G$31+AO184*Credit_Assumptions!$G$32+AO185*Credit_Assumptions!$G$33</f>
        <v/>
      </c>
      <c r="AP187" s="80">
        <f>AP180*Credit_Assumptions!$G$28+AP181*Credit_Assumptions!$G$29+AP182*Credit_Assumptions!$G$30+AP183*Credit_Assumptions!$G$31+AP184*Credit_Assumptions!$G$32+AP185*Credit_Assumptions!$G$33</f>
        <v/>
      </c>
      <c r="AQ187" s="80">
        <f>AQ180*Credit_Assumptions!$G$28+AQ181*Credit_Assumptions!$G$29+AQ182*Credit_Assumptions!$G$30+AQ183*Credit_Assumptions!$G$31+AQ184*Credit_Assumptions!$G$32+AQ185*Credit_Assumptions!$G$33</f>
        <v/>
      </c>
      <c r="AR187" s="80">
        <f>AR180*Credit_Assumptions!$G$28+AR181*Credit_Assumptions!$G$29+AR182*Credit_Assumptions!$G$30+AR183*Credit_Assumptions!$G$31+AR184*Credit_Assumptions!$G$32+AR185*Credit_Assumptions!$G$33</f>
        <v/>
      </c>
      <c r="AS187" s="80">
        <f>AS180*Credit_Assumptions!$G$28+AS181*Credit_Assumptions!$G$29+AS182*Credit_Assumptions!$G$30+AS183*Credit_Assumptions!$G$31+AS184*Credit_Assumptions!$G$32+AS185*Credit_Assumptions!$G$33</f>
        <v/>
      </c>
      <c r="AT187" s="80">
        <f>AT180*Credit_Assumptions!$G$28+AT181*Credit_Assumptions!$G$29+AT182*Credit_Assumptions!$G$30+AT183*Credit_Assumptions!$G$31+AT184*Credit_Assumptions!$G$32+AT185*Credit_Assumptions!$G$33</f>
        <v/>
      </c>
      <c r="AU187" s="80">
        <f>AU180*Credit_Assumptions!$G$28+AU181*Credit_Assumptions!$G$29+AU182*Credit_Assumptions!$G$30+AU183*Credit_Assumptions!$G$31+AU184*Credit_Assumptions!$G$32+AU185*Credit_Assumptions!$G$33</f>
        <v/>
      </c>
      <c r="AV187" s="80">
        <f>AV180*Credit_Assumptions!$G$28+AV181*Credit_Assumptions!$G$29+AV182*Credit_Assumptions!$G$30+AV183*Credit_Assumptions!$G$31+AV184*Credit_Assumptions!$G$32+AV185*Credit_Assumptions!$G$33</f>
        <v/>
      </c>
      <c r="AW187" s="80">
        <f>AW180*Credit_Assumptions!$G$28+AW181*Credit_Assumptions!$G$29+AW182*Credit_Assumptions!$G$30+AW183*Credit_Assumptions!$G$31+AW184*Credit_Assumptions!$G$32+AW185*Credit_Assumptions!$G$33</f>
        <v/>
      </c>
      <c r="AX187" s="80">
        <f>AX180*Credit_Assumptions!$G$28+AX181*Credit_Assumptions!$G$29+AX182*Credit_Assumptions!$G$30+AX183*Credit_Assumptions!$G$31+AX184*Credit_Assumptions!$G$32+AX185*Credit_Assumptions!$G$33</f>
        <v/>
      </c>
      <c r="AY187" s="80">
        <f>AY180*Credit_Assumptions!$G$28+AY181*Credit_Assumptions!$G$29+AY182*Credit_Assumptions!$G$30+AY183*Credit_Assumptions!$G$31+AY184*Credit_Assumptions!$G$32+AY185*Credit_Assumptions!$G$33</f>
        <v/>
      </c>
      <c r="AZ187" s="80">
        <f>AZ180*Credit_Assumptions!$G$28+AZ181*Credit_Assumptions!$G$29+AZ182*Credit_Assumptions!$G$30+AZ183*Credit_Assumptions!$G$31+AZ184*Credit_Assumptions!$G$32+AZ185*Credit_Assumptions!$G$33</f>
        <v/>
      </c>
      <c r="BA187" s="80">
        <f>BA180*Credit_Assumptions!$G$28+BA181*Credit_Assumptions!$G$29+BA182*Credit_Assumptions!$G$30+BA183*Credit_Assumptions!$G$31+BA184*Credit_Assumptions!$G$32+BA185*Credit_Assumptions!$G$33</f>
        <v/>
      </c>
      <c r="BB187" s="80">
        <f>BB180*Credit_Assumptions!$G$28+BB181*Credit_Assumptions!$G$29+BB182*Credit_Assumptions!$G$30+BB183*Credit_Assumptions!$G$31+BB184*Credit_Assumptions!$G$32+BB185*Credit_Assumptions!$G$33</f>
        <v/>
      </c>
      <c r="BC187" s="80">
        <f>BC180*Credit_Assumptions!$G$28+BC181*Credit_Assumptions!$G$29+BC182*Credit_Assumptions!$G$30+BC183*Credit_Assumptions!$G$31+BC184*Credit_Assumptions!$G$32+BC185*Credit_Assumptions!$G$33</f>
        <v/>
      </c>
      <c r="BD187" s="80">
        <f>BD180*Credit_Assumptions!$G$28+BD181*Credit_Assumptions!$G$29+BD182*Credit_Assumptions!$G$30+BD183*Credit_Assumptions!$G$31+BD184*Credit_Assumptions!$G$32+BD185*Credit_Assumptions!$G$33</f>
        <v/>
      </c>
      <c r="BE187" s="80">
        <f>BE180*Credit_Assumptions!$G$28+BE181*Credit_Assumptions!$G$29+BE182*Credit_Assumptions!$G$30+BE183*Credit_Assumptions!$G$31+BE184*Credit_Assumptions!$G$32+BE185*Credit_Assumptions!$G$33</f>
        <v/>
      </c>
      <c r="BF187" s="80">
        <f>BF180*Credit_Assumptions!$G$28+BF181*Credit_Assumptions!$G$29+BF182*Credit_Assumptions!$G$30+BF183*Credit_Assumptions!$G$31+BF184*Credit_Assumptions!$G$32+BF185*Credit_Assumptions!$G$33</f>
        <v/>
      </c>
      <c r="BG187" s="80">
        <f>BG180*Credit_Assumptions!$G$28+BG181*Credit_Assumptions!$G$29+BG182*Credit_Assumptions!$G$30+BG183*Credit_Assumptions!$G$31+BG184*Credit_Assumptions!$G$32+BG185*Credit_Assumptions!$G$33</f>
        <v/>
      </c>
      <c r="BH187" s="80">
        <f>BH180*Credit_Assumptions!$G$28+BH181*Credit_Assumptions!$G$29+BH182*Credit_Assumptions!$G$30+BH183*Credit_Assumptions!$G$31+BH184*Credit_Assumptions!$G$32+BH185*Credit_Assumptions!$G$33</f>
        <v/>
      </c>
      <c r="BI187" s="80">
        <f>BI180*Credit_Assumptions!$G$28+BI181*Credit_Assumptions!$G$29+BI182*Credit_Assumptions!$G$30+BI183*Credit_Assumptions!$G$31+BI184*Credit_Assumptions!$G$32+BI185*Credit_Assumptions!$G$33</f>
        <v/>
      </c>
      <c r="BJ187" s="80">
        <f>BJ180*Credit_Assumptions!$G$28+BJ181*Credit_Assumptions!$G$29+BJ182*Credit_Assumptions!$G$30+BJ183*Credit_Assumptions!$G$31+BJ184*Credit_Assumptions!$G$32+BJ185*Credit_Assumptions!$G$33</f>
        <v/>
      </c>
      <c r="BK187" s="80">
        <f>BK180*Credit_Assumptions!$G$28+BK181*Credit_Assumptions!$G$29+BK182*Credit_Assumptions!$G$30+BK183*Credit_Assumptions!$G$31+BK184*Credit_Assumptions!$G$32+BK185*Credit_Assumptions!$G$33</f>
        <v/>
      </c>
      <c r="BL187" s="80">
        <f>BL180*Credit_Assumptions!$G$28+BL181*Credit_Assumptions!$G$29+BL182*Credit_Assumptions!$G$30+BL183*Credit_Assumptions!$G$31+BL184*Credit_Assumptions!$G$32+BL185*Credit_Assumptions!$G$33</f>
        <v/>
      </c>
    </row>
    <row r="188">
      <c r="A188" s="98" t="inlineStr">
        <is>
          <t>90+ DPD receivables</t>
        </is>
      </c>
      <c r="B188" s="65" t="inlineStr">
        <is>
          <t>LCY</t>
        </is>
      </c>
      <c r="C188" s="105">
        <f>BL188</f>
        <v/>
      </c>
      <c r="E188" s="80">
        <f>E180*Credit_Assumptions!$H$28+E181*Credit_Assumptions!$H$29+E182*Credit_Assumptions!$H$30+E183*Credit_Assumptions!$H$31+E184*Credit_Assumptions!$H$32+E185*Credit_Assumptions!$H$33</f>
        <v/>
      </c>
      <c r="F188" s="80">
        <f>F180*Credit_Assumptions!$H$28+F181*Credit_Assumptions!$H$29+F182*Credit_Assumptions!$H$30+F183*Credit_Assumptions!$H$31+F184*Credit_Assumptions!$H$32+F185*Credit_Assumptions!$H$33</f>
        <v/>
      </c>
      <c r="G188" s="80">
        <f>G180*Credit_Assumptions!$H$28+G181*Credit_Assumptions!$H$29+G182*Credit_Assumptions!$H$30+G183*Credit_Assumptions!$H$31+G184*Credit_Assumptions!$H$32+G185*Credit_Assumptions!$H$33</f>
        <v/>
      </c>
      <c r="H188" s="80">
        <f>H180*Credit_Assumptions!$H$28+H181*Credit_Assumptions!$H$29+H182*Credit_Assumptions!$H$30+H183*Credit_Assumptions!$H$31+H184*Credit_Assumptions!$H$32+H185*Credit_Assumptions!$H$33</f>
        <v/>
      </c>
      <c r="I188" s="80">
        <f>I180*Credit_Assumptions!$H$28+I181*Credit_Assumptions!$H$29+I182*Credit_Assumptions!$H$30+I183*Credit_Assumptions!$H$31+I184*Credit_Assumptions!$H$32+I185*Credit_Assumptions!$H$33</f>
        <v/>
      </c>
      <c r="J188" s="80">
        <f>J180*Credit_Assumptions!$H$28+J181*Credit_Assumptions!$H$29+J182*Credit_Assumptions!$H$30+J183*Credit_Assumptions!$H$31+J184*Credit_Assumptions!$H$32+J185*Credit_Assumptions!$H$33</f>
        <v/>
      </c>
      <c r="K188" s="80">
        <f>K180*Credit_Assumptions!$H$28+K181*Credit_Assumptions!$H$29+K182*Credit_Assumptions!$H$30+K183*Credit_Assumptions!$H$31+K184*Credit_Assumptions!$H$32+K185*Credit_Assumptions!$H$33</f>
        <v/>
      </c>
      <c r="L188" s="80">
        <f>L180*Credit_Assumptions!$H$28+L181*Credit_Assumptions!$H$29+L182*Credit_Assumptions!$H$30+L183*Credit_Assumptions!$H$31+L184*Credit_Assumptions!$H$32+L185*Credit_Assumptions!$H$33</f>
        <v/>
      </c>
      <c r="M188" s="80">
        <f>M180*Credit_Assumptions!$H$28+M181*Credit_Assumptions!$H$29+M182*Credit_Assumptions!$H$30+M183*Credit_Assumptions!$H$31+M184*Credit_Assumptions!$H$32+M185*Credit_Assumptions!$H$33</f>
        <v/>
      </c>
      <c r="N188" s="80">
        <f>N180*Credit_Assumptions!$H$28+N181*Credit_Assumptions!$H$29+N182*Credit_Assumptions!$H$30+N183*Credit_Assumptions!$H$31+N184*Credit_Assumptions!$H$32+N185*Credit_Assumptions!$H$33</f>
        <v/>
      </c>
      <c r="O188" s="80">
        <f>O180*Credit_Assumptions!$H$28+O181*Credit_Assumptions!$H$29+O182*Credit_Assumptions!$H$30+O183*Credit_Assumptions!$H$31+O184*Credit_Assumptions!$H$32+O185*Credit_Assumptions!$H$33</f>
        <v/>
      </c>
      <c r="P188" s="80">
        <f>P180*Credit_Assumptions!$H$28+P181*Credit_Assumptions!$H$29+P182*Credit_Assumptions!$H$30+P183*Credit_Assumptions!$H$31+P184*Credit_Assumptions!$H$32+P185*Credit_Assumptions!$H$33</f>
        <v/>
      </c>
      <c r="Q188" s="80">
        <f>Q180*Credit_Assumptions!$H$28+Q181*Credit_Assumptions!$H$29+Q182*Credit_Assumptions!$H$30+Q183*Credit_Assumptions!$H$31+Q184*Credit_Assumptions!$H$32+Q185*Credit_Assumptions!$H$33</f>
        <v/>
      </c>
      <c r="R188" s="80">
        <f>R180*Credit_Assumptions!$H$28+R181*Credit_Assumptions!$H$29+R182*Credit_Assumptions!$H$30+R183*Credit_Assumptions!$H$31+R184*Credit_Assumptions!$H$32+R185*Credit_Assumptions!$H$33</f>
        <v/>
      </c>
      <c r="S188" s="80">
        <f>S180*Credit_Assumptions!$H$28+S181*Credit_Assumptions!$H$29+S182*Credit_Assumptions!$H$30+S183*Credit_Assumptions!$H$31+S184*Credit_Assumptions!$H$32+S185*Credit_Assumptions!$H$33</f>
        <v/>
      </c>
      <c r="T188" s="80">
        <f>T180*Credit_Assumptions!$H$28+T181*Credit_Assumptions!$H$29+T182*Credit_Assumptions!$H$30+T183*Credit_Assumptions!$H$31+T184*Credit_Assumptions!$H$32+T185*Credit_Assumptions!$H$33</f>
        <v/>
      </c>
      <c r="U188" s="80">
        <f>U180*Credit_Assumptions!$H$28+U181*Credit_Assumptions!$H$29+U182*Credit_Assumptions!$H$30+U183*Credit_Assumptions!$H$31+U184*Credit_Assumptions!$H$32+U185*Credit_Assumptions!$H$33</f>
        <v/>
      </c>
      <c r="V188" s="80">
        <f>V180*Credit_Assumptions!$H$28+V181*Credit_Assumptions!$H$29+V182*Credit_Assumptions!$H$30+V183*Credit_Assumptions!$H$31+V184*Credit_Assumptions!$H$32+V185*Credit_Assumptions!$H$33</f>
        <v/>
      </c>
      <c r="W188" s="80">
        <f>W180*Credit_Assumptions!$H$28+W181*Credit_Assumptions!$H$29+W182*Credit_Assumptions!$H$30+W183*Credit_Assumptions!$H$31+W184*Credit_Assumptions!$H$32+W185*Credit_Assumptions!$H$33</f>
        <v/>
      </c>
      <c r="X188" s="80">
        <f>X180*Credit_Assumptions!$H$28+X181*Credit_Assumptions!$H$29+X182*Credit_Assumptions!$H$30+X183*Credit_Assumptions!$H$31+X184*Credit_Assumptions!$H$32+X185*Credit_Assumptions!$H$33</f>
        <v/>
      </c>
      <c r="Y188" s="80">
        <f>Y180*Credit_Assumptions!$H$28+Y181*Credit_Assumptions!$H$29+Y182*Credit_Assumptions!$H$30+Y183*Credit_Assumptions!$H$31+Y184*Credit_Assumptions!$H$32+Y185*Credit_Assumptions!$H$33</f>
        <v/>
      </c>
      <c r="Z188" s="80">
        <f>Z180*Credit_Assumptions!$H$28+Z181*Credit_Assumptions!$H$29+Z182*Credit_Assumptions!$H$30+Z183*Credit_Assumptions!$H$31+Z184*Credit_Assumptions!$H$32+Z185*Credit_Assumptions!$H$33</f>
        <v/>
      </c>
      <c r="AA188" s="80">
        <f>AA180*Credit_Assumptions!$H$28+AA181*Credit_Assumptions!$H$29+AA182*Credit_Assumptions!$H$30+AA183*Credit_Assumptions!$H$31+AA184*Credit_Assumptions!$H$32+AA185*Credit_Assumptions!$H$33</f>
        <v/>
      </c>
      <c r="AB188" s="80">
        <f>AB180*Credit_Assumptions!$H$28+AB181*Credit_Assumptions!$H$29+AB182*Credit_Assumptions!$H$30+AB183*Credit_Assumptions!$H$31+AB184*Credit_Assumptions!$H$32+AB185*Credit_Assumptions!$H$33</f>
        <v/>
      </c>
      <c r="AC188" s="80">
        <f>AC180*Credit_Assumptions!$H$28+AC181*Credit_Assumptions!$H$29+AC182*Credit_Assumptions!$H$30+AC183*Credit_Assumptions!$H$31+AC184*Credit_Assumptions!$H$32+AC185*Credit_Assumptions!$H$33</f>
        <v/>
      </c>
      <c r="AD188" s="80">
        <f>AD180*Credit_Assumptions!$H$28+AD181*Credit_Assumptions!$H$29+AD182*Credit_Assumptions!$H$30+AD183*Credit_Assumptions!$H$31+AD184*Credit_Assumptions!$H$32+AD185*Credit_Assumptions!$H$33</f>
        <v/>
      </c>
      <c r="AE188" s="80">
        <f>AE180*Credit_Assumptions!$H$28+AE181*Credit_Assumptions!$H$29+AE182*Credit_Assumptions!$H$30+AE183*Credit_Assumptions!$H$31+AE184*Credit_Assumptions!$H$32+AE185*Credit_Assumptions!$H$33</f>
        <v/>
      </c>
      <c r="AF188" s="80">
        <f>AF180*Credit_Assumptions!$H$28+AF181*Credit_Assumptions!$H$29+AF182*Credit_Assumptions!$H$30+AF183*Credit_Assumptions!$H$31+AF184*Credit_Assumptions!$H$32+AF185*Credit_Assumptions!$H$33</f>
        <v/>
      </c>
      <c r="AG188" s="80">
        <f>AG180*Credit_Assumptions!$H$28+AG181*Credit_Assumptions!$H$29+AG182*Credit_Assumptions!$H$30+AG183*Credit_Assumptions!$H$31+AG184*Credit_Assumptions!$H$32+AG185*Credit_Assumptions!$H$33</f>
        <v/>
      </c>
      <c r="AH188" s="80">
        <f>AH180*Credit_Assumptions!$H$28+AH181*Credit_Assumptions!$H$29+AH182*Credit_Assumptions!$H$30+AH183*Credit_Assumptions!$H$31+AH184*Credit_Assumptions!$H$32+AH185*Credit_Assumptions!$H$33</f>
        <v/>
      </c>
      <c r="AI188" s="80">
        <f>AI180*Credit_Assumptions!$H$28+AI181*Credit_Assumptions!$H$29+AI182*Credit_Assumptions!$H$30+AI183*Credit_Assumptions!$H$31+AI184*Credit_Assumptions!$H$32+AI185*Credit_Assumptions!$H$33</f>
        <v/>
      </c>
      <c r="AJ188" s="80">
        <f>AJ180*Credit_Assumptions!$H$28+AJ181*Credit_Assumptions!$H$29+AJ182*Credit_Assumptions!$H$30+AJ183*Credit_Assumptions!$H$31+AJ184*Credit_Assumptions!$H$32+AJ185*Credit_Assumptions!$H$33</f>
        <v/>
      </c>
      <c r="AK188" s="80">
        <f>AK180*Credit_Assumptions!$H$28+AK181*Credit_Assumptions!$H$29+AK182*Credit_Assumptions!$H$30+AK183*Credit_Assumptions!$H$31+AK184*Credit_Assumptions!$H$32+AK185*Credit_Assumptions!$H$33</f>
        <v/>
      </c>
      <c r="AL188" s="80">
        <f>AL180*Credit_Assumptions!$H$28+AL181*Credit_Assumptions!$H$29+AL182*Credit_Assumptions!$H$30+AL183*Credit_Assumptions!$H$31+AL184*Credit_Assumptions!$H$32+AL185*Credit_Assumptions!$H$33</f>
        <v/>
      </c>
      <c r="AM188" s="80">
        <f>AM180*Credit_Assumptions!$H$28+AM181*Credit_Assumptions!$H$29+AM182*Credit_Assumptions!$H$30+AM183*Credit_Assumptions!$H$31+AM184*Credit_Assumptions!$H$32+AM185*Credit_Assumptions!$H$33</f>
        <v/>
      </c>
      <c r="AN188" s="80">
        <f>AN180*Credit_Assumptions!$H$28+AN181*Credit_Assumptions!$H$29+AN182*Credit_Assumptions!$H$30+AN183*Credit_Assumptions!$H$31+AN184*Credit_Assumptions!$H$32+AN185*Credit_Assumptions!$H$33</f>
        <v/>
      </c>
      <c r="AO188" s="80">
        <f>AO180*Credit_Assumptions!$H$28+AO181*Credit_Assumptions!$H$29+AO182*Credit_Assumptions!$H$30+AO183*Credit_Assumptions!$H$31+AO184*Credit_Assumptions!$H$32+AO185*Credit_Assumptions!$H$33</f>
        <v/>
      </c>
      <c r="AP188" s="80">
        <f>AP180*Credit_Assumptions!$H$28+AP181*Credit_Assumptions!$H$29+AP182*Credit_Assumptions!$H$30+AP183*Credit_Assumptions!$H$31+AP184*Credit_Assumptions!$H$32+AP185*Credit_Assumptions!$H$33</f>
        <v/>
      </c>
      <c r="AQ188" s="80">
        <f>AQ180*Credit_Assumptions!$H$28+AQ181*Credit_Assumptions!$H$29+AQ182*Credit_Assumptions!$H$30+AQ183*Credit_Assumptions!$H$31+AQ184*Credit_Assumptions!$H$32+AQ185*Credit_Assumptions!$H$33</f>
        <v/>
      </c>
      <c r="AR188" s="80">
        <f>AR180*Credit_Assumptions!$H$28+AR181*Credit_Assumptions!$H$29+AR182*Credit_Assumptions!$H$30+AR183*Credit_Assumptions!$H$31+AR184*Credit_Assumptions!$H$32+AR185*Credit_Assumptions!$H$33</f>
        <v/>
      </c>
      <c r="AS188" s="80">
        <f>AS180*Credit_Assumptions!$H$28+AS181*Credit_Assumptions!$H$29+AS182*Credit_Assumptions!$H$30+AS183*Credit_Assumptions!$H$31+AS184*Credit_Assumptions!$H$32+AS185*Credit_Assumptions!$H$33</f>
        <v/>
      </c>
      <c r="AT188" s="80">
        <f>AT180*Credit_Assumptions!$H$28+AT181*Credit_Assumptions!$H$29+AT182*Credit_Assumptions!$H$30+AT183*Credit_Assumptions!$H$31+AT184*Credit_Assumptions!$H$32+AT185*Credit_Assumptions!$H$33</f>
        <v/>
      </c>
      <c r="AU188" s="80">
        <f>AU180*Credit_Assumptions!$H$28+AU181*Credit_Assumptions!$H$29+AU182*Credit_Assumptions!$H$30+AU183*Credit_Assumptions!$H$31+AU184*Credit_Assumptions!$H$32+AU185*Credit_Assumptions!$H$33</f>
        <v/>
      </c>
      <c r="AV188" s="80">
        <f>AV180*Credit_Assumptions!$H$28+AV181*Credit_Assumptions!$H$29+AV182*Credit_Assumptions!$H$30+AV183*Credit_Assumptions!$H$31+AV184*Credit_Assumptions!$H$32+AV185*Credit_Assumptions!$H$33</f>
        <v/>
      </c>
      <c r="AW188" s="80">
        <f>AW180*Credit_Assumptions!$H$28+AW181*Credit_Assumptions!$H$29+AW182*Credit_Assumptions!$H$30+AW183*Credit_Assumptions!$H$31+AW184*Credit_Assumptions!$H$32+AW185*Credit_Assumptions!$H$33</f>
        <v/>
      </c>
      <c r="AX188" s="80">
        <f>AX180*Credit_Assumptions!$H$28+AX181*Credit_Assumptions!$H$29+AX182*Credit_Assumptions!$H$30+AX183*Credit_Assumptions!$H$31+AX184*Credit_Assumptions!$H$32+AX185*Credit_Assumptions!$H$33</f>
        <v/>
      </c>
      <c r="AY188" s="80">
        <f>AY180*Credit_Assumptions!$H$28+AY181*Credit_Assumptions!$H$29+AY182*Credit_Assumptions!$H$30+AY183*Credit_Assumptions!$H$31+AY184*Credit_Assumptions!$H$32+AY185*Credit_Assumptions!$H$33</f>
        <v/>
      </c>
      <c r="AZ188" s="80">
        <f>AZ180*Credit_Assumptions!$H$28+AZ181*Credit_Assumptions!$H$29+AZ182*Credit_Assumptions!$H$30+AZ183*Credit_Assumptions!$H$31+AZ184*Credit_Assumptions!$H$32+AZ185*Credit_Assumptions!$H$33</f>
        <v/>
      </c>
      <c r="BA188" s="80">
        <f>BA180*Credit_Assumptions!$H$28+BA181*Credit_Assumptions!$H$29+BA182*Credit_Assumptions!$H$30+BA183*Credit_Assumptions!$H$31+BA184*Credit_Assumptions!$H$32+BA185*Credit_Assumptions!$H$33</f>
        <v/>
      </c>
      <c r="BB188" s="80">
        <f>BB180*Credit_Assumptions!$H$28+BB181*Credit_Assumptions!$H$29+BB182*Credit_Assumptions!$H$30+BB183*Credit_Assumptions!$H$31+BB184*Credit_Assumptions!$H$32+BB185*Credit_Assumptions!$H$33</f>
        <v/>
      </c>
      <c r="BC188" s="80">
        <f>BC180*Credit_Assumptions!$H$28+BC181*Credit_Assumptions!$H$29+BC182*Credit_Assumptions!$H$30+BC183*Credit_Assumptions!$H$31+BC184*Credit_Assumptions!$H$32+BC185*Credit_Assumptions!$H$33</f>
        <v/>
      </c>
      <c r="BD188" s="80">
        <f>BD180*Credit_Assumptions!$H$28+BD181*Credit_Assumptions!$H$29+BD182*Credit_Assumptions!$H$30+BD183*Credit_Assumptions!$H$31+BD184*Credit_Assumptions!$H$32+BD185*Credit_Assumptions!$H$33</f>
        <v/>
      </c>
      <c r="BE188" s="80">
        <f>BE180*Credit_Assumptions!$H$28+BE181*Credit_Assumptions!$H$29+BE182*Credit_Assumptions!$H$30+BE183*Credit_Assumptions!$H$31+BE184*Credit_Assumptions!$H$32+BE185*Credit_Assumptions!$H$33</f>
        <v/>
      </c>
      <c r="BF188" s="80">
        <f>BF180*Credit_Assumptions!$H$28+BF181*Credit_Assumptions!$H$29+BF182*Credit_Assumptions!$H$30+BF183*Credit_Assumptions!$H$31+BF184*Credit_Assumptions!$H$32+BF185*Credit_Assumptions!$H$33</f>
        <v/>
      </c>
      <c r="BG188" s="80">
        <f>BG180*Credit_Assumptions!$H$28+BG181*Credit_Assumptions!$H$29+BG182*Credit_Assumptions!$H$30+BG183*Credit_Assumptions!$H$31+BG184*Credit_Assumptions!$H$32+BG185*Credit_Assumptions!$H$33</f>
        <v/>
      </c>
      <c r="BH188" s="80">
        <f>BH180*Credit_Assumptions!$H$28+BH181*Credit_Assumptions!$H$29+BH182*Credit_Assumptions!$H$30+BH183*Credit_Assumptions!$H$31+BH184*Credit_Assumptions!$H$32+BH185*Credit_Assumptions!$H$33</f>
        <v/>
      </c>
      <c r="BI188" s="80">
        <f>BI180*Credit_Assumptions!$H$28+BI181*Credit_Assumptions!$H$29+BI182*Credit_Assumptions!$H$30+BI183*Credit_Assumptions!$H$31+BI184*Credit_Assumptions!$H$32+BI185*Credit_Assumptions!$H$33</f>
        <v/>
      </c>
      <c r="BJ188" s="80">
        <f>BJ180*Credit_Assumptions!$H$28+BJ181*Credit_Assumptions!$H$29+BJ182*Credit_Assumptions!$H$30+BJ183*Credit_Assumptions!$H$31+BJ184*Credit_Assumptions!$H$32+BJ185*Credit_Assumptions!$H$33</f>
        <v/>
      </c>
      <c r="BK188" s="80">
        <f>BK180*Credit_Assumptions!$H$28+BK181*Credit_Assumptions!$H$29+BK182*Credit_Assumptions!$H$30+BK183*Credit_Assumptions!$H$31+BK184*Credit_Assumptions!$H$32+BK185*Credit_Assumptions!$H$33</f>
        <v/>
      </c>
      <c r="BL188" s="80">
        <f>BL180*Credit_Assumptions!$H$28+BL181*Credit_Assumptions!$H$29+BL182*Credit_Assumptions!$H$30+BL183*Credit_Assumptions!$H$31+BL184*Credit_Assumptions!$H$32+BL185*Credit_Assumptions!$H$33</f>
        <v/>
      </c>
    </row>
    <row r="189">
      <c r="A189" s="98" t="inlineStr">
        <is>
          <t>Gross resale proceeds</t>
        </is>
      </c>
      <c r="B189" s="65" t="inlineStr">
        <is>
          <t>LCY</t>
        </is>
      </c>
      <c r="C189" s="105">
        <f>SUM(E189:BL189)</f>
        <v/>
      </c>
      <c r="E189" s="80">
        <f>IF(Credit_Assumptions!$C$15&gt;=1,0,Ops!E$94/(1-Credit_Assumptions!$C$15))</f>
        <v/>
      </c>
      <c r="F189" s="80">
        <f>IF(Credit_Assumptions!$C$15&gt;=1,0,Ops!F$94/(1-Credit_Assumptions!$C$15))</f>
        <v/>
      </c>
      <c r="G189" s="80">
        <f>IF(Credit_Assumptions!$C$15&gt;=1,0,Ops!G$94/(1-Credit_Assumptions!$C$15))</f>
        <v/>
      </c>
      <c r="H189" s="80">
        <f>IF(Credit_Assumptions!$C$15&gt;=1,0,Ops!H$94/(1-Credit_Assumptions!$C$15))</f>
        <v/>
      </c>
      <c r="I189" s="80">
        <f>IF(Credit_Assumptions!$C$15&gt;=1,0,Ops!I$94/(1-Credit_Assumptions!$C$15))</f>
        <v/>
      </c>
      <c r="J189" s="80">
        <f>IF(Credit_Assumptions!$C$15&gt;=1,0,Ops!J$94/(1-Credit_Assumptions!$C$15))</f>
        <v/>
      </c>
      <c r="K189" s="80">
        <f>IF(Credit_Assumptions!$C$15&gt;=1,0,Ops!K$94/(1-Credit_Assumptions!$C$15))</f>
        <v/>
      </c>
      <c r="L189" s="80">
        <f>IF(Credit_Assumptions!$C$15&gt;=1,0,Ops!L$94/(1-Credit_Assumptions!$C$15))</f>
        <v/>
      </c>
      <c r="M189" s="80">
        <f>IF(Credit_Assumptions!$C$15&gt;=1,0,Ops!M$94/(1-Credit_Assumptions!$C$15))</f>
        <v/>
      </c>
      <c r="N189" s="80">
        <f>IF(Credit_Assumptions!$C$15&gt;=1,0,Ops!N$94/(1-Credit_Assumptions!$C$15))</f>
        <v/>
      </c>
      <c r="O189" s="80">
        <f>IF(Credit_Assumptions!$C$15&gt;=1,0,Ops!O$94/(1-Credit_Assumptions!$C$15))</f>
        <v/>
      </c>
      <c r="P189" s="80">
        <f>IF(Credit_Assumptions!$C$15&gt;=1,0,Ops!P$94/(1-Credit_Assumptions!$C$15))</f>
        <v/>
      </c>
      <c r="Q189" s="80">
        <f>IF(Credit_Assumptions!$C$15&gt;=1,0,Ops!Q$94/(1-Credit_Assumptions!$C$15))</f>
        <v/>
      </c>
      <c r="R189" s="80">
        <f>IF(Credit_Assumptions!$C$15&gt;=1,0,Ops!R$94/(1-Credit_Assumptions!$C$15))</f>
        <v/>
      </c>
      <c r="S189" s="80">
        <f>IF(Credit_Assumptions!$C$15&gt;=1,0,Ops!S$94/(1-Credit_Assumptions!$C$15))</f>
        <v/>
      </c>
      <c r="T189" s="80">
        <f>IF(Credit_Assumptions!$C$15&gt;=1,0,Ops!T$94/(1-Credit_Assumptions!$C$15))</f>
        <v/>
      </c>
      <c r="U189" s="80">
        <f>IF(Credit_Assumptions!$C$15&gt;=1,0,Ops!U$94/(1-Credit_Assumptions!$C$15))</f>
        <v/>
      </c>
      <c r="V189" s="80">
        <f>IF(Credit_Assumptions!$C$15&gt;=1,0,Ops!V$94/(1-Credit_Assumptions!$C$15))</f>
        <v/>
      </c>
      <c r="W189" s="80">
        <f>IF(Credit_Assumptions!$C$15&gt;=1,0,Ops!W$94/(1-Credit_Assumptions!$C$15))</f>
        <v/>
      </c>
      <c r="X189" s="80">
        <f>IF(Credit_Assumptions!$C$15&gt;=1,0,Ops!X$94/(1-Credit_Assumptions!$C$15))</f>
        <v/>
      </c>
      <c r="Y189" s="80">
        <f>IF(Credit_Assumptions!$C$15&gt;=1,0,Ops!Y$94/(1-Credit_Assumptions!$C$15))</f>
        <v/>
      </c>
      <c r="Z189" s="80">
        <f>IF(Credit_Assumptions!$C$15&gt;=1,0,Ops!Z$94/(1-Credit_Assumptions!$C$15))</f>
        <v/>
      </c>
      <c r="AA189" s="80">
        <f>IF(Credit_Assumptions!$C$15&gt;=1,0,Ops!AA$94/(1-Credit_Assumptions!$C$15))</f>
        <v/>
      </c>
      <c r="AB189" s="80">
        <f>IF(Credit_Assumptions!$C$15&gt;=1,0,Ops!AB$94/(1-Credit_Assumptions!$C$15))</f>
        <v/>
      </c>
      <c r="AC189" s="80">
        <f>IF(Credit_Assumptions!$C$15&gt;=1,0,Ops!AC$94/(1-Credit_Assumptions!$C$15))</f>
        <v/>
      </c>
      <c r="AD189" s="80">
        <f>IF(Credit_Assumptions!$C$15&gt;=1,0,Ops!AD$94/(1-Credit_Assumptions!$C$15))</f>
        <v/>
      </c>
      <c r="AE189" s="80">
        <f>IF(Credit_Assumptions!$C$15&gt;=1,0,Ops!AE$94/(1-Credit_Assumptions!$C$15))</f>
        <v/>
      </c>
      <c r="AF189" s="80">
        <f>IF(Credit_Assumptions!$C$15&gt;=1,0,Ops!AF$94/(1-Credit_Assumptions!$C$15))</f>
        <v/>
      </c>
      <c r="AG189" s="80">
        <f>IF(Credit_Assumptions!$C$15&gt;=1,0,Ops!AG$94/(1-Credit_Assumptions!$C$15))</f>
        <v/>
      </c>
      <c r="AH189" s="80">
        <f>IF(Credit_Assumptions!$C$15&gt;=1,0,Ops!AH$94/(1-Credit_Assumptions!$C$15))</f>
        <v/>
      </c>
      <c r="AI189" s="80">
        <f>IF(Credit_Assumptions!$C$15&gt;=1,0,Ops!AI$94/(1-Credit_Assumptions!$C$15))</f>
        <v/>
      </c>
      <c r="AJ189" s="80">
        <f>IF(Credit_Assumptions!$C$15&gt;=1,0,Ops!AJ$94/(1-Credit_Assumptions!$C$15))</f>
        <v/>
      </c>
      <c r="AK189" s="80">
        <f>IF(Credit_Assumptions!$C$15&gt;=1,0,Ops!AK$94/(1-Credit_Assumptions!$C$15))</f>
        <v/>
      </c>
      <c r="AL189" s="80">
        <f>IF(Credit_Assumptions!$C$15&gt;=1,0,Ops!AL$94/(1-Credit_Assumptions!$C$15))</f>
        <v/>
      </c>
      <c r="AM189" s="80">
        <f>IF(Credit_Assumptions!$C$15&gt;=1,0,Ops!AM$94/(1-Credit_Assumptions!$C$15))</f>
        <v/>
      </c>
      <c r="AN189" s="80">
        <f>IF(Credit_Assumptions!$C$15&gt;=1,0,Ops!AN$94/(1-Credit_Assumptions!$C$15))</f>
        <v/>
      </c>
      <c r="AO189" s="80">
        <f>IF(Credit_Assumptions!$C$15&gt;=1,0,Ops!AO$94/(1-Credit_Assumptions!$C$15))</f>
        <v/>
      </c>
      <c r="AP189" s="80">
        <f>IF(Credit_Assumptions!$C$15&gt;=1,0,Ops!AP$94/(1-Credit_Assumptions!$C$15))</f>
        <v/>
      </c>
      <c r="AQ189" s="80">
        <f>IF(Credit_Assumptions!$C$15&gt;=1,0,Ops!AQ$94/(1-Credit_Assumptions!$C$15))</f>
        <v/>
      </c>
      <c r="AR189" s="80">
        <f>IF(Credit_Assumptions!$C$15&gt;=1,0,Ops!AR$94/(1-Credit_Assumptions!$C$15))</f>
        <v/>
      </c>
      <c r="AS189" s="80">
        <f>IF(Credit_Assumptions!$C$15&gt;=1,0,Ops!AS$94/(1-Credit_Assumptions!$C$15))</f>
        <v/>
      </c>
      <c r="AT189" s="80">
        <f>IF(Credit_Assumptions!$C$15&gt;=1,0,Ops!AT$94/(1-Credit_Assumptions!$C$15))</f>
        <v/>
      </c>
      <c r="AU189" s="80">
        <f>IF(Credit_Assumptions!$C$15&gt;=1,0,Ops!AU$94/(1-Credit_Assumptions!$C$15))</f>
        <v/>
      </c>
      <c r="AV189" s="80">
        <f>IF(Credit_Assumptions!$C$15&gt;=1,0,Ops!AV$94/(1-Credit_Assumptions!$C$15))</f>
        <v/>
      </c>
      <c r="AW189" s="80">
        <f>IF(Credit_Assumptions!$C$15&gt;=1,0,Ops!AW$94/(1-Credit_Assumptions!$C$15))</f>
        <v/>
      </c>
      <c r="AX189" s="80">
        <f>IF(Credit_Assumptions!$C$15&gt;=1,0,Ops!AX$94/(1-Credit_Assumptions!$C$15))</f>
        <v/>
      </c>
      <c r="AY189" s="80">
        <f>IF(Credit_Assumptions!$C$15&gt;=1,0,Ops!AY$94/(1-Credit_Assumptions!$C$15))</f>
        <v/>
      </c>
      <c r="AZ189" s="80">
        <f>IF(Credit_Assumptions!$C$15&gt;=1,0,Ops!AZ$94/(1-Credit_Assumptions!$C$15))</f>
        <v/>
      </c>
      <c r="BA189" s="80">
        <f>IF(Credit_Assumptions!$C$15&gt;=1,0,Ops!BA$94/(1-Credit_Assumptions!$C$15))</f>
        <v/>
      </c>
      <c r="BB189" s="80">
        <f>IF(Credit_Assumptions!$C$15&gt;=1,0,Ops!BB$94/(1-Credit_Assumptions!$C$15))</f>
        <v/>
      </c>
      <c r="BC189" s="80">
        <f>IF(Credit_Assumptions!$C$15&gt;=1,0,Ops!BC$94/(1-Credit_Assumptions!$C$15))</f>
        <v/>
      </c>
      <c r="BD189" s="80">
        <f>IF(Credit_Assumptions!$C$15&gt;=1,0,Ops!BD$94/(1-Credit_Assumptions!$C$15))</f>
        <v/>
      </c>
      <c r="BE189" s="80">
        <f>IF(Credit_Assumptions!$C$15&gt;=1,0,Ops!BE$94/(1-Credit_Assumptions!$C$15))</f>
        <v/>
      </c>
      <c r="BF189" s="80">
        <f>IF(Credit_Assumptions!$C$15&gt;=1,0,Ops!BF$94/(1-Credit_Assumptions!$C$15))</f>
        <v/>
      </c>
      <c r="BG189" s="80">
        <f>IF(Credit_Assumptions!$C$15&gt;=1,0,Ops!BG$94/(1-Credit_Assumptions!$C$15))</f>
        <v/>
      </c>
      <c r="BH189" s="80">
        <f>IF(Credit_Assumptions!$C$15&gt;=1,0,Ops!BH$94/(1-Credit_Assumptions!$C$15))</f>
        <v/>
      </c>
      <c r="BI189" s="80">
        <f>IF(Credit_Assumptions!$C$15&gt;=1,0,Ops!BI$94/(1-Credit_Assumptions!$C$15))</f>
        <v/>
      </c>
      <c r="BJ189" s="80">
        <f>IF(Credit_Assumptions!$C$15&gt;=1,0,Ops!BJ$94/(1-Credit_Assumptions!$C$15))</f>
        <v/>
      </c>
      <c r="BK189" s="80">
        <f>IF(Credit_Assumptions!$C$15&gt;=1,0,Ops!BK$94/(1-Credit_Assumptions!$C$15))</f>
        <v/>
      </c>
      <c r="BL189" s="80">
        <f>IF(Credit_Assumptions!$C$15&gt;=1,0,Ops!BL$94/(1-Credit_Assumptions!$C$15))</f>
        <v/>
      </c>
    </row>
    <row r="190">
      <c r="A190" s="98" t="inlineStr">
        <is>
          <t>Recovery costs</t>
        </is>
      </c>
      <c r="B190" s="65" t="inlineStr">
        <is>
          <t>LCY</t>
        </is>
      </c>
      <c r="C190" s="105">
        <f>SUM(E190:BL190)</f>
        <v/>
      </c>
      <c r="E190" s="80">
        <f>E189-Ops!E$94</f>
        <v/>
      </c>
      <c r="F190" s="80">
        <f>F189-Ops!F$94</f>
        <v/>
      </c>
      <c r="G190" s="80">
        <f>G189-Ops!G$94</f>
        <v/>
      </c>
      <c r="H190" s="80">
        <f>H189-Ops!H$94</f>
        <v/>
      </c>
      <c r="I190" s="80">
        <f>I189-Ops!I$94</f>
        <v/>
      </c>
      <c r="J190" s="80">
        <f>J189-Ops!J$94</f>
        <v/>
      </c>
      <c r="K190" s="80">
        <f>K189-Ops!K$94</f>
        <v/>
      </c>
      <c r="L190" s="80">
        <f>L189-Ops!L$94</f>
        <v/>
      </c>
      <c r="M190" s="80">
        <f>M189-Ops!M$94</f>
        <v/>
      </c>
      <c r="N190" s="80">
        <f>N189-Ops!N$94</f>
        <v/>
      </c>
      <c r="O190" s="80">
        <f>O189-Ops!O$94</f>
        <v/>
      </c>
      <c r="P190" s="80">
        <f>P189-Ops!P$94</f>
        <v/>
      </c>
      <c r="Q190" s="80">
        <f>Q189-Ops!Q$94</f>
        <v/>
      </c>
      <c r="R190" s="80">
        <f>R189-Ops!R$94</f>
        <v/>
      </c>
      <c r="S190" s="80">
        <f>S189-Ops!S$94</f>
        <v/>
      </c>
      <c r="T190" s="80">
        <f>T189-Ops!T$94</f>
        <v/>
      </c>
      <c r="U190" s="80">
        <f>U189-Ops!U$94</f>
        <v/>
      </c>
      <c r="V190" s="80">
        <f>V189-Ops!V$94</f>
        <v/>
      </c>
      <c r="W190" s="80">
        <f>W189-Ops!W$94</f>
        <v/>
      </c>
      <c r="X190" s="80">
        <f>X189-Ops!X$94</f>
        <v/>
      </c>
      <c r="Y190" s="80">
        <f>Y189-Ops!Y$94</f>
        <v/>
      </c>
      <c r="Z190" s="80">
        <f>Z189-Ops!Z$94</f>
        <v/>
      </c>
      <c r="AA190" s="80">
        <f>AA189-Ops!AA$94</f>
        <v/>
      </c>
      <c r="AB190" s="80">
        <f>AB189-Ops!AB$94</f>
        <v/>
      </c>
      <c r="AC190" s="80">
        <f>AC189-Ops!AC$94</f>
        <v/>
      </c>
      <c r="AD190" s="80">
        <f>AD189-Ops!AD$94</f>
        <v/>
      </c>
      <c r="AE190" s="80">
        <f>AE189-Ops!AE$94</f>
        <v/>
      </c>
      <c r="AF190" s="80">
        <f>AF189-Ops!AF$94</f>
        <v/>
      </c>
      <c r="AG190" s="80">
        <f>AG189-Ops!AG$94</f>
        <v/>
      </c>
      <c r="AH190" s="80">
        <f>AH189-Ops!AH$94</f>
        <v/>
      </c>
      <c r="AI190" s="80">
        <f>AI189-Ops!AI$94</f>
        <v/>
      </c>
      <c r="AJ190" s="80">
        <f>AJ189-Ops!AJ$94</f>
        <v/>
      </c>
      <c r="AK190" s="80">
        <f>AK189-Ops!AK$94</f>
        <v/>
      </c>
      <c r="AL190" s="80">
        <f>AL189-Ops!AL$94</f>
        <v/>
      </c>
      <c r="AM190" s="80">
        <f>AM189-Ops!AM$94</f>
        <v/>
      </c>
      <c r="AN190" s="80">
        <f>AN189-Ops!AN$94</f>
        <v/>
      </c>
      <c r="AO190" s="80">
        <f>AO189-Ops!AO$94</f>
        <v/>
      </c>
      <c r="AP190" s="80">
        <f>AP189-Ops!AP$94</f>
        <v/>
      </c>
      <c r="AQ190" s="80">
        <f>AQ189-Ops!AQ$94</f>
        <v/>
      </c>
      <c r="AR190" s="80">
        <f>AR189-Ops!AR$94</f>
        <v/>
      </c>
      <c r="AS190" s="80">
        <f>AS189-Ops!AS$94</f>
        <v/>
      </c>
      <c r="AT190" s="80">
        <f>AT189-Ops!AT$94</f>
        <v/>
      </c>
      <c r="AU190" s="80">
        <f>AU189-Ops!AU$94</f>
        <v/>
      </c>
      <c r="AV190" s="80">
        <f>AV189-Ops!AV$94</f>
        <v/>
      </c>
      <c r="AW190" s="80">
        <f>AW189-Ops!AW$94</f>
        <v/>
      </c>
      <c r="AX190" s="80">
        <f>AX189-Ops!AX$94</f>
        <v/>
      </c>
      <c r="AY190" s="80">
        <f>AY189-Ops!AY$94</f>
        <v/>
      </c>
      <c r="AZ190" s="80">
        <f>AZ189-Ops!AZ$94</f>
        <v/>
      </c>
      <c r="BA190" s="80">
        <f>BA189-Ops!BA$94</f>
        <v/>
      </c>
      <c r="BB190" s="80">
        <f>BB189-Ops!BB$94</f>
        <v/>
      </c>
      <c r="BC190" s="80">
        <f>BC189-Ops!BC$94</f>
        <v/>
      </c>
      <c r="BD190" s="80">
        <f>BD189-Ops!BD$94</f>
        <v/>
      </c>
      <c r="BE190" s="80">
        <f>BE189-Ops!BE$94</f>
        <v/>
      </c>
      <c r="BF190" s="80">
        <f>BF189-Ops!BF$94</f>
        <v/>
      </c>
      <c r="BG190" s="80">
        <f>BG189-Ops!BG$94</f>
        <v/>
      </c>
      <c r="BH190" s="80">
        <f>BH189-Ops!BH$94</f>
        <v/>
      </c>
      <c r="BI190" s="80">
        <f>BI189-Ops!BI$94</f>
        <v/>
      </c>
      <c r="BJ190" s="80">
        <f>BJ189-Ops!BJ$94</f>
        <v/>
      </c>
      <c r="BK190" s="80">
        <f>BK189-Ops!BK$94</f>
        <v/>
      </c>
      <c r="BL190" s="80">
        <f>BL189-Ops!BL$94</f>
        <v/>
      </c>
    </row>
    <row r="191">
      <c r="A191" s="98" t="inlineStr">
        <is>
          <t>Repossessions (units, approx.)</t>
        </is>
      </c>
      <c r="B191" s="65" t="inlineStr">
        <is>
          <t>LCY</t>
        </is>
      </c>
      <c r="C191" s="105">
        <f>SUM(E191:BL191)</f>
        <v/>
      </c>
      <c r="E191" s="80">
        <f>IFERROR(E189/(Products!$F$28*Products!$F$13*Timeline!E$10),0)</f>
        <v/>
      </c>
      <c r="F191" s="80">
        <f>IFERROR(F189/(Products!$F$28*Products!$F$13*Timeline!F$10),0)</f>
        <v/>
      </c>
      <c r="G191" s="80">
        <f>IFERROR(G189/(Products!$F$28*Products!$F$13*Timeline!G$10),0)</f>
        <v/>
      </c>
      <c r="H191" s="80">
        <f>IFERROR(H189/(Products!$F$28*Products!$F$13*Timeline!H$10),0)</f>
        <v/>
      </c>
      <c r="I191" s="80">
        <f>IFERROR(I189/(Products!$F$28*Products!$F$13*Timeline!I$10),0)</f>
        <v/>
      </c>
      <c r="J191" s="80">
        <f>IFERROR(J189/(Products!$F$28*Products!$F$13*Timeline!J$10),0)</f>
        <v/>
      </c>
      <c r="K191" s="80">
        <f>IFERROR(K189/(Products!$F$28*Products!$F$13*Timeline!K$10),0)</f>
        <v/>
      </c>
      <c r="L191" s="80">
        <f>IFERROR(L189/(Products!$F$28*Products!$F$13*Timeline!L$10),0)</f>
        <v/>
      </c>
      <c r="M191" s="80">
        <f>IFERROR(M189/(Products!$F$28*Products!$F$13*Timeline!M$10),0)</f>
        <v/>
      </c>
      <c r="N191" s="80">
        <f>IFERROR(N189/(Products!$F$28*Products!$F$13*Timeline!N$10),0)</f>
        <v/>
      </c>
      <c r="O191" s="80">
        <f>IFERROR(O189/(Products!$F$28*Products!$F$13*Timeline!O$10),0)</f>
        <v/>
      </c>
      <c r="P191" s="80">
        <f>IFERROR(P189/(Products!$F$28*Products!$F$13*Timeline!P$10),0)</f>
        <v/>
      </c>
      <c r="Q191" s="80">
        <f>IFERROR(Q189/(Products!$F$28*Products!$F$13*Timeline!Q$10),0)</f>
        <v/>
      </c>
      <c r="R191" s="80">
        <f>IFERROR(R189/(Products!$F$28*Products!$F$13*Timeline!R$10),0)</f>
        <v/>
      </c>
      <c r="S191" s="80">
        <f>IFERROR(S189/(Products!$F$28*Products!$F$13*Timeline!S$10),0)</f>
        <v/>
      </c>
      <c r="T191" s="80">
        <f>IFERROR(T189/(Products!$F$28*Products!$F$13*Timeline!T$10),0)</f>
        <v/>
      </c>
      <c r="U191" s="80">
        <f>IFERROR(U189/(Products!$F$28*Products!$F$13*Timeline!U$10),0)</f>
        <v/>
      </c>
      <c r="V191" s="80">
        <f>IFERROR(V189/(Products!$F$28*Products!$F$13*Timeline!V$10),0)</f>
        <v/>
      </c>
      <c r="W191" s="80">
        <f>IFERROR(W189/(Products!$F$28*Products!$F$13*Timeline!W$10),0)</f>
        <v/>
      </c>
      <c r="X191" s="80">
        <f>IFERROR(X189/(Products!$F$28*Products!$F$13*Timeline!X$10),0)</f>
        <v/>
      </c>
      <c r="Y191" s="80">
        <f>IFERROR(Y189/(Products!$F$28*Products!$F$13*Timeline!Y$10),0)</f>
        <v/>
      </c>
      <c r="Z191" s="80">
        <f>IFERROR(Z189/(Products!$F$28*Products!$F$13*Timeline!Z$10),0)</f>
        <v/>
      </c>
      <c r="AA191" s="80">
        <f>IFERROR(AA189/(Products!$F$28*Products!$F$13*Timeline!AA$10),0)</f>
        <v/>
      </c>
      <c r="AB191" s="80">
        <f>IFERROR(AB189/(Products!$F$28*Products!$F$13*Timeline!AB$10),0)</f>
        <v/>
      </c>
      <c r="AC191" s="80">
        <f>IFERROR(AC189/(Products!$F$28*Products!$F$13*Timeline!AC$10),0)</f>
        <v/>
      </c>
      <c r="AD191" s="80">
        <f>IFERROR(AD189/(Products!$F$28*Products!$F$13*Timeline!AD$10),0)</f>
        <v/>
      </c>
      <c r="AE191" s="80">
        <f>IFERROR(AE189/(Products!$F$28*Products!$F$13*Timeline!AE$10),0)</f>
        <v/>
      </c>
      <c r="AF191" s="80">
        <f>IFERROR(AF189/(Products!$F$28*Products!$F$13*Timeline!AF$10),0)</f>
        <v/>
      </c>
      <c r="AG191" s="80">
        <f>IFERROR(AG189/(Products!$F$28*Products!$F$13*Timeline!AG$10),0)</f>
        <v/>
      </c>
      <c r="AH191" s="80">
        <f>IFERROR(AH189/(Products!$F$28*Products!$F$13*Timeline!AH$10),0)</f>
        <v/>
      </c>
      <c r="AI191" s="80">
        <f>IFERROR(AI189/(Products!$F$28*Products!$F$13*Timeline!AI$10),0)</f>
        <v/>
      </c>
      <c r="AJ191" s="80">
        <f>IFERROR(AJ189/(Products!$F$28*Products!$F$13*Timeline!AJ$10),0)</f>
        <v/>
      </c>
      <c r="AK191" s="80">
        <f>IFERROR(AK189/(Products!$F$28*Products!$F$13*Timeline!AK$10),0)</f>
        <v/>
      </c>
      <c r="AL191" s="80">
        <f>IFERROR(AL189/(Products!$F$28*Products!$F$13*Timeline!AL$10),0)</f>
        <v/>
      </c>
      <c r="AM191" s="80">
        <f>IFERROR(AM189/(Products!$F$28*Products!$F$13*Timeline!AM$10),0)</f>
        <v/>
      </c>
      <c r="AN191" s="80">
        <f>IFERROR(AN189/(Products!$F$28*Products!$F$13*Timeline!AN$10),0)</f>
        <v/>
      </c>
      <c r="AO191" s="80">
        <f>IFERROR(AO189/(Products!$F$28*Products!$F$13*Timeline!AO$10),0)</f>
        <v/>
      </c>
      <c r="AP191" s="80">
        <f>IFERROR(AP189/(Products!$F$28*Products!$F$13*Timeline!AP$10),0)</f>
        <v/>
      </c>
      <c r="AQ191" s="80">
        <f>IFERROR(AQ189/(Products!$F$28*Products!$F$13*Timeline!AQ$10),0)</f>
        <v/>
      </c>
      <c r="AR191" s="80">
        <f>IFERROR(AR189/(Products!$F$28*Products!$F$13*Timeline!AR$10),0)</f>
        <v/>
      </c>
      <c r="AS191" s="80">
        <f>IFERROR(AS189/(Products!$F$28*Products!$F$13*Timeline!AS$10),0)</f>
        <v/>
      </c>
      <c r="AT191" s="80">
        <f>IFERROR(AT189/(Products!$F$28*Products!$F$13*Timeline!AT$10),0)</f>
        <v/>
      </c>
      <c r="AU191" s="80">
        <f>IFERROR(AU189/(Products!$F$28*Products!$F$13*Timeline!AU$10),0)</f>
        <v/>
      </c>
      <c r="AV191" s="80">
        <f>IFERROR(AV189/(Products!$F$28*Products!$F$13*Timeline!AV$10),0)</f>
        <v/>
      </c>
      <c r="AW191" s="80">
        <f>IFERROR(AW189/(Products!$F$28*Products!$F$13*Timeline!AW$10),0)</f>
        <v/>
      </c>
      <c r="AX191" s="80">
        <f>IFERROR(AX189/(Products!$F$28*Products!$F$13*Timeline!AX$10),0)</f>
        <v/>
      </c>
      <c r="AY191" s="80">
        <f>IFERROR(AY189/(Products!$F$28*Products!$F$13*Timeline!AY$10),0)</f>
        <v/>
      </c>
      <c r="AZ191" s="80">
        <f>IFERROR(AZ189/(Products!$F$28*Products!$F$13*Timeline!AZ$10),0)</f>
        <v/>
      </c>
      <c r="BA191" s="80">
        <f>IFERROR(BA189/(Products!$F$28*Products!$F$13*Timeline!BA$10),0)</f>
        <v/>
      </c>
      <c r="BB191" s="80">
        <f>IFERROR(BB189/(Products!$F$28*Products!$F$13*Timeline!BB$10),0)</f>
        <v/>
      </c>
      <c r="BC191" s="80">
        <f>IFERROR(BC189/(Products!$F$28*Products!$F$13*Timeline!BC$10),0)</f>
        <v/>
      </c>
      <c r="BD191" s="80">
        <f>IFERROR(BD189/(Products!$F$28*Products!$F$13*Timeline!BD$10),0)</f>
        <v/>
      </c>
      <c r="BE191" s="80">
        <f>IFERROR(BE189/(Products!$F$28*Products!$F$13*Timeline!BE$10),0)</f>
        <v/>
      </c>
      <c r="BF191" s="80">
        <f>IFERROR(BF189/(Products!$F$28*Products!$F$13*Timeline!BF$10),0)</f>
        <v/>
      </c>
      <c r="BG191" s="80">
        <f>IFERROR(BG189/(Products!$F$28*Products!$F$13*Timeline!BG$10),0)</f>
        <v/>
      </c>
      <c r="BH191" s="80">
        <f>IFERROR(BH189/(Products!$F$28*Products!$F$13*Timeline!BH$10),0)</f>
        <v/>
      </c>
      <c r="BI191" s="80">
        <f>IFERROR(BI189/(Products!$F$28*Products!$F$13*Timeline!BI$10),0)</f>
        <v/>
      </c>
      <c r="BJ191" s="80">
        <f>IFERROR(BJ189/(Products!$F$28*Products!$F$13*Timeline!BJ$10),0)</f>
        <v/>
      </c>
      <c r="BK191" s="80">
        <f>IFERROR(BK189/(Products!$F$28*Products!$F$13*Timeline!BK$10),0)</f>
        <v/>
      </c>
      <c r="BL191" s="80">
        <f>IFERROR(BL189/(Products!$F$28*Products!$F$13*Timeline!BL$10),0)</f>
        <v/>
      </c>
    </row>
    <row r="192">
      <c r="A192" s="98" t="inlineStr">
        <is>
          <t>Cures (proxy engine: none)</t>
        </is>
      </c>
      <c r="B192" s="65" t="inlineStr">
        <is>
          <t>LCY</t>
        </is>
      </c>
      <c r="C192" s="105">
        <f>SUM(E192:BL192)</f>
        <v/>
      </c>
      <c r="E192" s="80">
        <f>0</f>
        <v/>
      </c>
      <c r="F192" s="80">
        <f>0</f>
        <v/>
      </c>
      <c r="G192" s="80">
        <f>0</f>
        <v/>
      </c>
      <c r="H192" s="80">
        <f>0</f>
        <v/>
      </c>
      <c r="I192" s="80">
        <f>0</f>
        <v/>
      </c>
      <c r="J192" s="80">
        <f>0</f>
        <v/>
      </c>
      <c r="K192" s="80">
        <f>0</f>
        <v/>
      </c>
      <c r="L192" s="80">
        <f>0</f>
        <v/>
      </c>
      <c r="M192" s="80">
        <f>0</f>
        <v/>
      </c>
      <c r="N192" s="80">
        <f>0</f>
        <v/>
      </c>
      <c r="O192" s="80">
        <f>0</f>
        <v/>
      </c>
      <c r="P192" s="80">
        <f>0</f>
        <v/>
      </c>
      <c r="Q192" s="80">
        <f>0</f>
        <v/>
      </c>
      <c r="R192" s="80">
        <f>0</f>
        <v/>
      </c>
      <c r="S192" s="80">
        <f>0</f>
        <v/>
      </c>
      <c r="T192" s="80">
        <f>0</f>
        <v/>
      </c>
      <c r="U192" s="80">
        <f>0</f>
        <v/>
      </c>
      <c r="V192" s="80">
        <f>0</f>
        <v/>
      </c>
      <c r="W192" s="80">
        <f>0</f>
        <v/>
      </c>
      <c r="X192" s="80">
        <f>0</f>
        <v/>
      </c>
      <c r="Y192" s="80">
        <f>0</f>
        <v/>
      </c>
      <c r="Z192" s="80">
        <f>0</f>
        <v/>
      </c>
      <c r="AA192" s="80">
        <f>0</f>
        <v/>
      </c>
      <c r="AB192" s="80">
        <f>0</f>
        <v/>
      </c>
      <c r="AC192" s="80">
        <f>0</f>
        <v/>
      </c>
      <c r="AD192" s="80">
        <f>0</f>
        <v/>
      </c>
      <c r="AE192" s="80">
        <f>0</f>
        <v/>
      </c>
      <c r="AF192" s="80">
        <f>0</f>
        <v/>
      </c>
      <c r="AG192" s="80">
        <f>0</f>
        <v/>
      </c>
      <c r="AH192" s="80">
        <f>0</f>
        <v/>
      </c>
      <c r="AI192" s="80">
        <f>0</f>
        <v/>
      </c>
      <c r="AJ192" s="80">
        <f>0</f>
        <v/>
      </c>
      <c r="AK192" s="80">
        <f>0</f>
        <v/>
      </c>
      <c r="AL192" s="80">
        <f>0</f>
        <v/>
      </c>
      <c r="AM192" s="80">
        <f>0</f>
        <v/>
      </c>
      <c r="AN192" s="80">
        <f>0</f>
        <v/>
      </c>
      <c r="AO192" s="80">
        <f>0</f>
        <v/>
      </c>
      <c r="AP192" s="80">
        <f>0</f>
        <v/>
      </c>
      <c r="AQ192" s="80">
        <f>0</f>
        <v/>
      </c>
      <c r="AR192" s="80">
        <f>0</f>
        <v/>
      </c>
      <c r="AS192" s="80">
        <f>0</f>
        <v/>
      </c>
      <c r="AT192" s="80">
        <f>0</f>
        <v/>
      </c>
      <c r="AU192" s="80">
        <f>0</f>
        <v/>
      </c>
      <c r="AV192" s="80">
        <f>0</f>
        <v/>
      </c>
      <c r="AW192" s="80">
        <f>0</f>
        <v/>
      </c>
      <c r="AX192" s="80">
        <f>0</f>
        <v/>
      </c>
      <c r="AY192" s="80">
        <f>0</f>
        <v/>
      </c>
      <c r="AZ192" s="80">
        <f>0</f>
        <v/>
      </c>
      <c r="BA192" s="80">
        <f>0</f>
        <v/>
      </c>
      <c r="BB192" s="80">
        <f>0</f>
        <v/>
      </c>
      <c r="BC192" s="80">
        <f>0</f>
        <v/>
      </c>
      <c r="BD192" s="80">
        <f>0</f>
        <v/>
      </c>
      <c r="BE192" s="80">
        <f>0</f>
        <v/>
      </c>
      <c r="BF192" s="80">
        <f>0</f>
        <v/>
      </c>
      <c r="BG192" s="80">
        <f>0</f>
        <v/>
      </c>
      <c r="BH192" s="80">
        <f>0</f>
        <v/>
      </c>
      <c r="BI192" s="80">
        <f>0</f>
        <v/>
      </c>
      <c r="BJ192" s="80">
        <f>0</f>
        <v/>
      </c>
      <c r="BK192" s="80">
        <f>0</f>
        <v/>
      </c>
      <c r="BL192" s="80">
        <f>0</f>
        <v/>
      </c>
    </row>
    <row r="193">
      <c r="A193" s="98" t="inlineStr">
        <is>
          <t>Write-offs</t>
        </is>
      </c>
      <c r="B193" s="65" t="inlineStr">
        <is>
          <t>LCY</t>
        </is>
      </c>
      <c r="C193" s="105">
        <f>SUM(E193:BL193)</f>
        <v/>
      </c>
      <c r="E193" s="41">
        <f>Ops!E$91</f>
        <v/>
      </c>
      <c r="F193" s="41">
        <f>Ops!F$91</f>
        <v/>
      </c>
      <c r="G193" s="41">
        <f>Ops!G$91</f>
        <v/>
      </c>
      <c r="H193" s="41">
        <f>Ops!H$91</f>
        <v/>
      </c>
      <c r="I193" s="41">
        <f>Ops!I$91</f>
        <v/>
      </c>
      <c r="J193" s="41">
        <f>Ops!J$91</f>
        <v/>
      </c>
      <c r="K193" s="41">
        <f>Ops!K$91</f>
        <v/>
      </c>
      <c r="L193" s="41">
        <f>Ops!L$91</f>
        <v/>
      </c>
      <c r="M193" s="41">
        <f>Ops!M$91</f>
        <v/>
      </c>
      <c r="N193" s="41">
        <f>Ops!N$91</f>
        <v/>
      </c>
      <c r="O193" s="41">
        <f>Ops!O$91</f>
        <v/>
      </c>
      <c r="P193" s="41">
        <f>Ops!P$91</f>
        <v/>
      </c>
      <c r="Q193" s="41">
        <f>Ops!Q$91</f>
        <v/>
      </c>
      <c r="R193" s="41">
        <f>Ops!R$91</f>
        <v/>
      </c>
      <c r="S193" s="41">
        <f>Ops!S$91</f>
        <v/>
      </c>
      <c r="T193" s="41">
        <f>Ops!T$91</f>
        <v/>
      </c>
      <c r="U193" s="41">
        <f>Ops!U$91</f>
        <v/>
      </c>
      <c r="V193" s="41">
        <f>Ops!V$91</f>
        <v/>
      </c>
      <c r="W193" s="41">
        <f>Ops!W$91</f>
        <v/>
      </c>
      <c r="X193" s="41">
        <f>Ops!X$91</f>
        <v/>
      </c>
      <c r="Y193" s="41">
        <f>Ops!Y$91</f>
        <v/>
      </c>
      <c r="Z193" s="41">
        <f>Ops!Z$91</f>
        <v/>
      </c>
      <c r="AA193" s="41">
        <f>Ops!AA$91</f>
        <v/>
      </c>
      <c r="AB193" s="41">
        <f>Ops!AB$91</f>
        <v/>
      </c>
      <c r="AC193" s="41">
        <f>Ops!AC$91</f>
        <v/>
      </c>
      <c r="AD193" s="41">
        <f>Ops!AD$91</f>
        <v/>
      </c>
      <c r="AE193" s="41">
        <f>Ops!AE$91</f>
        <v/>
      </c>
      <c r="AF193" s="41">
        <f>Ops!AF$91</f>
        <v/>
      </c>
      <c r="AG193" s="41">
        <f>Ops!AG$91</f>
        <v/>
      </c>
      <c r="AH193" s="41">
        <f>Ops!AH$91</f>
        <v/>
      </c>
      <c r="AI193" s="41">
        <f>Ops!AI$91</f>
        <v/>
      </c>
      <c r="AJ193" s="41">
        <f>Ops!AJ$91</f>
        <v/>
      </c>
      <c r="AK193" s="41">
        <f>Ops!AK$91</f>
        <v/>
      </c>
      <c r="AL193" s="41">
        <f>Ops!AL$91</f>
        <v/>
      </c>
      <c r="AM193" s="41">
        <f>Ops!AM$91</f>
        <v/>
      </c>
      <c r="AN193" s="41">
        <f>Ops!AN$91</f>
        <v/>
      </c>
      <c r="AO193" s="41">
        <f>Ops!AO$91</f>
        <v/>
      </c>
      <c r="AP193" s="41">
        <f>Ops!AP$91</f>
        <v/>
      </c>
      <c r="AQ193" s="41">
        <f>Ops!AQ$91</f>
        <v/>
      </c>
      <c r="AR193" s="41">
        <f>Ops!AR$91</f>
        <v/>
      </c>
      <c r="AS193" s="41">
        <f>Ops!AS$91</f>
        <v/>
      </c>
      <c r="AT193" s="41">
        <f>Ops!AT$91</f>
        <v/>
      </c>
      <c r="AU193" s="41">
        <f>Ops!AU$91</f>
        <v/>
      </c>
      <c r="AV193" s="41">
        <f>Ops!AV$91</f>
        <v/>
      </c>
      <c r="AW193" s="41">
        <f>Ops!AW$91</f>
        <v/>
      </c>
      <c r="AX193" s="41">
        <f>Ops!AX$91</f>
        <v/>
      </c>
      <c r="AY193" s="41">
        <f>Ops!AY$91</f>
        <v/>
      </c>
      <c r="AZ193" s="41">
        <f>Ops!AZ$91</f>
        <v/>
      </c>
      <c r="BA193" s="41">
        <f>Ops!BA$91</f>
        <v/>
      </c>
      <c r="BB193" s="41">
        <f>Ops!BB$91</f>
        <v/>
      </c>
      <c r="BC193" s="41">
        <f>Ops!BC$91</f>
        <v/>
      </c>
      <c r="BD193" s="41">
        <f>Ops!BD$91</f>
        <v/>
      </c>
      <c r="BE193" s="41">
        <f>Ops!BE$91</f>
        <v/>
      </c>
      <c r="BF193" s="41">
        <f>Ops!BF$91</f>
        <v/>
      </c>
      <c r="BG193" s="41">
        <f>Ops!BG$91</f>
        <v/>
      </c>
      <c r="BH193" s="41">
        <f>Ops!BH$91</f>
        <v/>
      </c>
      <c r="BI193" s="41">
        <f>Ops!BI$91</f>
        <v/>
      </c>
      <c r="BJ193" s="41">
        <f>Ops!BJ$91</f>
        <v/>
      </c>
      <c r="BK193" s="41">
        <f>Ops!BK$91</f>
        <v/>
      </c>
      <c r="BL193" s="41">
        <f>Ops!BL$91</f>
        <v/>
      </c>
    </row>
    <row r="194">
      <c r="A194" s="98" t="inlineStr">
        <is>
          <t>Collections</t>
        </is>
      </c>
      <c r="B194" s="65" t="inlineStr">
        <is>
          <t>LCY</t>
        </is>
      </c>
      <c r="C194" s="105">
        <f>SUM(E194:BL194)</f>
        <v/>
      </c>
      <c r="E194" s="41">
        <f>Ops!E$90</f>
        <v/>
      </c>
      <c r="F194" s="41">
        <f>Ops!F$90</f>
        <v/>
      </c>
      <c r="G194" s="41">
        <f>Ops!G$90</f>
        <v/>
      </c>
      <c r="H194" s="41">
        <f>Ops!H$90</f>
        <v/>
      </c>
      <c r="I194" s="41">
        <f>Ops!I$90</f>
        <v/>
      </c>
      <c r="J194" s="41">
        <f>Ops!J$90</f>
        <v/>
      </c>
      <c r="K194" s="41">
        <f>Ops!K$90</f>
        <v/>
      </c>
      <c r="L194" s="41">
        <f>Ops!L$90</f>
        <v/>
      </c>
      <c r="M194" s="41">
        <f>Ops!M$90</f>
        <v/>
      </c>
      <c r="N194" s="41">
        <f>Ops!N$90</f>
        <v/>
      </c>
      <c r="O194" s="41">
        <f>Ops!O$90</f>
        <v/>
      </c>
      <c r="P194" s="41">
        <f>Ops!P$90</f>
        <v/>
      </c>
      <c r="Q194" s="41">
        <f>Ops!Q$90</f>
        <v/>
      </c>
      <c r="R194" s="41">
        <f>Ops!R$90</f>
        <v/>
      </c>
      <c r="S194" s="41">
        <f>Ops!S$90</f>
        <v/>
      </c>
      <c r="T194" s="41">
        <f>Ops!T$90</f>
        <v/>
      </c>
      <c r="U194" s="41">
        <f>Ops!U$90</f>
        <v/>
      </c>
      <c r="V194" s="41">
        <f>Ops!V$90</f>
        <v/>
      </c>
      <c r="W194" s="41">
        <f>Ops!W$90</f>
        <v/>
      </c>
      <c r="X194" s="41">
        <f>Ops!X$90</f>
        <v/>
      </c>
      <c r="Y194" s="41">
        <f>Ops!Y$90</f>
        <v/>
      </c>
      <c r="Z194" s="41">
        <f>Ops!Z$90</f>
        <v/>
      </c>
      <c r="AA194" s="41">
        <f>Ops!AA$90</f>
        <v/>
      </c>
      <c r="AB194" s="41">
        <f>Ops!AB$90</f>
        <v/>
      </c>
      <c r="AC194" s="41">
        <f>Ops!AC$90</f>
        <v/>
      </c>
      <c r="AD194" s="41">
        <f>Ops!AD$90</f>
        <v/>
      </c>
      <c r="AE194" s="41">
        <f>Ops!AE$90</f>
        <v/>
      </c>
      <c r="AF194" s="41">
        <f>Ops!AF$90</f>
        <v/>
      </c>
      <c r="AG194" s="41">
        <f>Ops!AG$90</f>
        <v/>
      </c>
      <c r="AH194" s="41">
        <f>Ops!AH$90</f>
        <v/>
      </c>
      <c r="AI194" s="41">
        <f>Ops!AI$90</f>
        <v/>
      </c>
      <c r="AJ194" s="41">
        <f>Ops!AJ$90</f>
        <v/>
      </c>
      <c r="AK194" s="41">
        <f>Ops!AK$90</f>
        <v/>
      </c>
      <c r="AL194" s="41">
        <f>Ops!AL$90</f>
        <v/>
      </c>
      <c r="AM194" s="41">
        <f>Ops!AM$90</f>
        <v/>
      </c>
      <c r="AN194" s="41">
        <f>Ops!AN$90</f>
        <v/>
      </c>
      <c r="AO194" s="41">
        <f>Ops!AO$90</f>
        <v/>
      </c>
      <c r="AP194" s="41">
        <f>Ops!AP$90</f>
        <v/>
      </c>
      <c r="AQ194" s="41">
        <f>Ops!AQ$90</f>
        <v/>
      </c>
      <c r="AR194" s="41">
        <f>Ops!AR$90</f>
        <v/>
      </c>
      <c r="AS194" s="41">
        <f>Ops!AS$90</f>
        <v/>
      </c>
      <c r="AT194" s="41">
        <f>Ops!AT$90</f>
        <v/>
      </c>
      <c r="AU194" s="41">
        <f>Ops!AU$90</f>
        <v/>
      </c>
      <c r="AV194" s="41">
        <f>Ops!AV$90</f>
        <v/>
      </c>
      <c r="AW194" s="41">
        <f>Ops!AW$90</f>
        <v/>
      </c>
      <c r="AX194" s="41">
        <f>Ops!AX$90</f>
        <v/>
      </c>
      <c r="AY194" s="41">
        <f>Ops!AY$90</f>
        <v/>
      </c>
      <c r="AZ194" s="41">
        <f>Ops!AZ$90</f>
        <v/>
      </c>
      <c r="BA194" s="41">
        <f>Ops!BA$90</f>
        <v/>
      </c>
      <c r="BB194" s="41">
        <f>Ops!BB$90</f>
        <v/>
      </c>
      <c r="BC194" s="41">
        <f>Ops!BC$90</f>
        <v/>
      </c>
      <c r="BD194" s="41">
        <f>Ops!BD$90</f>
        <v/>
      </c>
      <c r="BE194" s="41">
        <f>Ops!BE$90</f>
        <v/>
      </c>
      <c r="BF194" s="41">
        <f>Ops!BF$90</f>
        <v/>
      </c>
      <c r="BG194" s="41">
        <f>Ops!BG$90</f>
        <v/>
      </c>
      <c r="BH194" s="41">
        <f>Ops!BH$90</f>
        <v/>
      </c>
      <c r="BI194" s="41">
        <f>Ops!BI$90</f>
        <v/>
      </c>
      <c r="BJ194" s="41">
        <f>Ops!BJ$90</f>
        <v/>
      </c>
      <c r="BK194" s="41">
        <f>Ops!BK$90</f>
        <v/>
      </c>
      <c r="BL194" s="41">
        <f>Ops!BL$90</f>
        <v/>
      </c>
    </row>
    <row r="195">
      <c r="A195" s="98" t="inlineStr">
        <is>
          <t>Instalments due</t>
        </is>
      </c>
      <c r="B195" s="65" t="inlineStr">
        <is>
          <t>LCY</t>
        </is>
      </c>
      <c r="C195" s="105">
        <f>SUM(E195:BL195)</f>
        <v/>
      </c>
      <c r="E195" s="41">
        <f>Ops!E$89</f>
        <v/>
      </c>
      <c r="F195" s="41">
        <f>Ops!F$89</f>
        <v/>
      </c>
      <c r="G195" s="41">
        <f>Ops!G$89</f>
        <v/>
      </c>
      <c r="H195" s="41">
        <f>Ops!H$89</f>
        <v/>
      </c>
      <c r="I195" s="41">
        <f>Ops!I$89</f>
        <v/>
      </c>
      <c r="J195" s="41">
        <f>Ops!J$89</f>
        <v/>
      </c>
      <c r="K195" s="41">
        <f>Ops!K$89</f>
        <v/>
      </c>
      <c r="L195" s="41">
        <f>Ops!L$89</f>
        <v/>
      </c>
      <c r="M195" s="41">
        <f>Ops!M$89</f>
        <v/>
      </c>
      <c r="N195" s="41">
        <f>Ops!N$89</f>
        <v/>
      </c>
      <c r="O195" s="41">
        <f>Ops!O$89</f>
        <v/>
      </c>
      <c r="P195" s="41">
        <f>Ops!P$89</f>
        <v/>
      </c>
      <c r="Q195" s="41">
        <f>Ops!Q$89</f>
        <v/>
      </c>
      <c r="R195" s="41">
        <f>Ops!R$89</f>
        <v/>
      </c>
      <c r="S195" s="41">
        <f>Ops!S$89</f>
        <v/>
      </c>
      <c r="T195" s="41">
        <f>Ops!T$89</f>
        <v/>
      </c>
      <c r="U195" s="41">
        <f>Ops!U$89</f>
        <v/>
      </c>
      <c r="V195" s="41">
        <f>Ops!V$89</f>
        <v/>
      </c>
      <c r="W195" s="41">
        <f>Ops!W$89</f>
        <v/>
      </c>
      <c r="X195" s="41">
        <f>Ops!X$89</f>
        <v/>
      </c>
      <c r="Y195" s="41">
        <f>Ops!Y$89</f>
        <v/>
      </c>
      <c r="Z195" s="41">
        <f>Ops!Z$89</f>
        <v/>
      </c>
      <c r="AA195" s="41">
        <f>Ops!AA$89</f>
        <v/>
      </c>
      <c r="AB195" s="41">
        <f>Ops!AB$89</f>
        <v/>
      </c>
      <c r="AC195" s="41">
        <f>Ops!AC$89</f>
        <v/>
      </c>
      <c r="AD195" s="41">
        <f>Ops!AD$89</f>
        <v/>
      </c>
      <c r="AE195" s="41">
        <f>Ops!AE$89</f>
        <v/>
      </c>
      <c r="AF195" s="41">
        <f>Ops!AF$89</f>
        <v/>
      </c>
      <c r="AG195" s="41">
        <f>Ops!AG$89</f>
        <v/>
      </c>
      <c r="AH195" s="41">
        <f>Ops!AH$89</f>
        <v/>
      </c>
      <c r="AI195" s="41">
        <f>Ops!AI$89</f>
        <v/>
      </c>
      <c r="AJ195" s="41">
        <f>Ops!AJ$89</f>
        <v/>
      </c>
      <c r="AK195" s="41">
        <f>Ops!AK$89</f>
        <v/>
      </c>
      <c r="AL195" s="41">
        <f>Ops!AL$89</f>
        <v/>
      </c>
      <c r="AM195" s="41">
        <f>Ops!AM$89</f>
        <v/>
      </c>
      <c r="AN195" s="41">
        <f>Ops!AN$89</f>
        <v/>
      </c>
      <c r="AO195" s="41">
        <f>Ops!AO$89</f>
        <v/>
      </c>
      <c r="AP195" s="41">
        <f>Ops!AP$89</f>
        <v/>
      </c>
      <c r="AQ195" s="41">
        <f>Ops!AQ$89</f>
        <v/>
      </c>
      <c r="AR195" s="41">
        <f>Ops!AR$89</f>
        <v/>
      </c>
      <c r="AS195" s="41">
        <f>Ops!AS$89</f>
        <v/>
      </c>
      <c r="AT195" s="41">
        <f>Ops!AT$89</f>
        <v/>
      </c>
      <c r="AU195" s="41">
        <f>Ops!AU$89</f>
        <v/>
      </c>
      <c r="AV195" s="41">
        <f>Ops!AV$89</f>
        <v/>
      </c>
      <c r="AW195" s="41">
        <f>Ops!AW$89</f>
        <v/>
      </c>
      <c r="AX195" s="41">
        <f>Ops!AX$89</f>
        <v/>
      </c>
      <c r="AY195" s="41">
        <f>Ops!AY$89</f>
        <v/>
      </c>
      <c r="AZ195" s="41">
        <f>Ops!AZ$89</f>
        <v/>
      </c>
      <c r="BA195" s="41">
        <f>Ops!BA$89</f>
        <v/>
      </c>
      <c r="BB195" s="41">
        <f>Ops!BB$89</f>
        <v/>
      </c>
      <c r="BC195" s="41">
        <f>Ops!BC$89</f>
        <v/>
      </c>
      <c r="BD195" s="41">
        <f>Ops!BD$89</f>
        <v/>
      </c>
      <c r="BE195" s="41">
        <f>Ops!BE$89</f>
        <v/>
      </c>
      <c r="BF195" s="41">
        <f>Ops!BF$89</f>
        <v/>
      </c>
      <c r="BG195" s="41">
        <f>Ops!BG$89</f>
        <v/>
      </c>
      <c r="BH195" s="41">
        <f>Ops!BH$89</f>
        <v/>
      </c>
      <c r="BI195" s="41">
        <f>Ops!BI$89</f>
        <v/>
      </c>
      <c r="BJ195" s="41">
        <f>Ops!BJ$89</f>
        <v/>
      </c>
      <c r="BK195" s="41">
        <f>Ops!BK$89</f>
        <v/>
      </c>
      <c r="BL195" s="41">
        <f>Ops!BL$89</f>
        <v/>
      </c>
    </row>
    <row r="196">
      <c r="A196" s="98" t="inlineStr">
        <is>
          <t>Ownership events (unlocks)</t>
        </is>
      </c>
      <c r="B196" s="65" t="inlineStr">
        <is>
          <t>LCY</t>
        </is>
      </c>
      <c r="C196" s="105">
        <f>SUM(E196:BL196)</f>
        <v/>
      </c>
      <c r="E196" s="41">
        <f>Ops!E$97</f>
        <v/>
      </c>
      <c r="F196" s="41">
        <f>Ops!F$97</f>
        <v/>
      </c>
      <c r="G196" s="41">
        <f>Ops!G$97</f>
        <v/>
      </c>
      <c r="H196" s="41">
        <f>Ops!H$97</f>
        <v/>
      </c>
      <c r="I196" s="41">
        <f>Ops!I$97</f>
        <v/>
      </c>
      <c r="J196" s="41">
        <f>Ops!J$97</f>
        <v/>
      </c>
      <c r="K196" s="41">
        <f>Ops!K$97</f>
        <v/>
      </c>
      <c r="L196" s="41">
        <f>Ops!L$97</f>
        <v/>
      </c>
      <c r="M196" s="41">
        <f>Ops!M$97</f>
        <v/>
      </c>
      <c r="N196" s="41">
        <f>Ops!N$97</f>
        <v/>
      </c>
      <c r="O196" s="41">
        <f>Ops!O$97</f>
        <v/>
      </c>
      <c r="P196" s="41">
        <f>Ops!P$97</f>
        <v/>
      </c>
      <c r="Q196" s="41">
        <f>Ops!Q$97</f>
        <v/>
      </c>
      <c r="R196" s="41">
        <f>Ops!R$97</f>
        <v/>
      </c>
      <c r="S196" s="41">
        <f>Ops!S$97</f>
        <v/>
      </c>
      <c r="T196" s="41">
        <f>Ops!T$97</f>
        <v/>
      </c>
      <c r="U196" s="41">
        <f>Ops!U$97</f>
        <v/>
      </c>
      <c r="V196" s="41">
        <f>Ops!V$97</f>
        <v/>
      </c>
      <c r="W196" s="41">
        <f>Ops!W$97</f>
        <v/>
      </c>
      <c r="X196" s="41">
        <f>Ops!X$97</f>
        <v/>
      </c>
      <c r="Y196" s="41">
        <f>Ops!Y$97</f>
        <v/>
      </c>
      <c r="Z196" s="41">
        <f>Ops!Z$97</f>
        <v/>
      </c>
      <c r="AA196" s="41">
        <f>Ops!AA$97</f>
        <v/>
      </c>
      <c r="AB196" s="41">
        <f>Ops!AB$97</f>
        <v/>
      </c>
      <c r="AC196" s="41">
        <f>Ops!AC$97</f>
        <v/>
      </c>
      <c r="AD196" s="41">
        <f>Ops!AD$97</f>
        <v/>
      </c>
      <c r="AE196" s="41">
        <f>Ops!AE$97</f>
        <v/>
      </c>
      <c r="AF196" s="41">
        <f>Ops!AF$97</f>
        <v/>
      </c>
      <c r="AG196" s="41">
        <f>Ops!AG$97</f>
        <v/>
      </c>
      <c r="AH196" s="41">
        <f>Ops!AH$97</f>
        <v/>
      </c>
      <c r="AI196" s="41">
        <f>Ops!AI$97</f>
        <v/>
      </c>
      <c r="AJ196" s="41">
        <f>Ops!AJ$97</f>
        <v/>
      </c>
      <c r="AK196" s="41">
        <f>Ops!AK$97</f>
        <v/>
      </c>
      <c r="AL196" s="41">
        <f>Ops!AL$97</f>
        <v/>
      </c>
      <c r="AM196" s="41">
        <f>Ops!AM$97</f>
        <v/>
      </c>
      <c r="AN196" s="41">
        <f>Ops!AN$97</f>
        <v/>
      </c>
      <c r="AO196" s="41">
        <f>Ops!AO$97</f>
        <v/>
      </c>
      <c r="AP196" s="41">
        <f>Ops!AP$97</f>
        <v/>
      </c>
      <c r="AQ196" s="41">
        <f>Ops!AQ$97</f>
        <v/>
      </c>
      <c r="AR196" s="41">
        <f>Ops!AR$97</f>
        <v/>
      </c>
      <c r="AS196" s="41">
        <f>Ops!AS$97</f>
        <v/>
      </c>
      <c r="AT196" s="41">
        <f>Ops!AT$97</f>
        <v/>
      </c>
      <c r="AU196" s="41">
        <f>Ops!AU$97</f>
        <v/>
      </c>
      <c r="AV196" s="41">
        <f>Ops!AV$97</f>
        <v/>
      </c>
      <c r="AW196" s="41">
        <f>Ops!AW$97</f>
        <v/>
      </c>
      <c r="AX196" s="41">
        <f>Ops!AX$97</f>
        <v/>
      </c>
      <c r="AY196" s="41">
        <f>Ops!AY$97</f>
        <v/>
      </c>
      <c r="AZ196" s="41">
        <f>Ops!AZ$97</f>
        <v/>
      </c>
      <c r="BA196" s="41">
        <f>Ops!BA$97</f>
        <v/>
      </c>
      <c r="BB196" s="41">
        <f>Ops!BB$97</f>
        <v/>
      </c>
      <c r="BC196" s="41">
        <f>Ops!BC$97</f>
        <v/>
      </c>
      <c r="BD196" s="41">
        <f>Ops!BD$97</f>
        <v/>
      </c>
      <c r="BE196" s="41">
        <f>Ops!BE$97</f>
        <v/>
      </c>
      <c r="BF196" s="41">
        <f>Ops!BF$97</f>
        <v/>
      </c>
      <c r="BG196" s="41">
        <f>Ops!BG$97</f>
        <v/>
      </c>
      <c r="BH196" s="41">
        <f>Ops!BH$97</f>
        <v/>
      </c>
      <c r="BI196" s="41">
        <f>Ops!BI$97</f>
        <v/>
      </c>
      <c r="BJ196" s="41">
        <f>Ops!BJ$97</f>
        <v/>
      </c>
      <c r="BK196" s="41">
        <f>Ops!BK$97</f>
        <v/>
      </c>
      <c r="BL196" s="41">
        <f>Ops!BL$97</f>
        <v/>
      </c>
    </row>
    <row r="197">
      <c r="A197" s="98" t="inlineStr">
        <is>
          <t>Observed repayment rate (collections / due)</t>
        </is>
      </c>
      <c r="B197" s="65" t="inlineStr">
        <is>
          <t>%</t>
        </is>
      </c>
      <c r="E197" s="81">
        <f>IF(E195=0,0,E194/E195)</f>
        <v/>
      </c>
      <c r="F197" s="81">
        <f>IF(F195=0,0,F194/F195)</f>
        <v/>
      </c>
      <c r="G197" s="81">
        <f>IF(G195=0,0,G194/G195)</f>
        <v/>
      </c>
      <c r="H197" s="81">
        <f>IF(H195=0,0,H194/H195)</f>
        <v/>
      </c>
      <c r="I197" s="81">
        <f>IF(I195=0,0,I194/I195)</f>
        <v/>
      </c>
      <c r="J197" s="81">
        <f>IF(J195=0,0,J194/J195)</f>
        <v/>
      </c>
      <c r="K197" s="81">
        <f>IF(K195=0,0,K194/K195)</f>
        <v/>
      </c>
      <c r="L197" s="81">
        <f>IF(L195=0,0,L194/L195)</f>
        <v/>
      </c>
      <c r="M197" s="81">
        <f>IF(M195=0,0,M194/M195)</f>
        <v/>
      </c>
      <c r="N197" s="81">
        <f>IF(N195=0,0,N194/N195)</f>
        <v/>
      </c>
      <c r="O197" s="81">
        <f>IF(O195=0,0,O194/O195)</f>
        <v/>
      </c>
      <c r="P197" s="81">
        <f>IF(P195=0,0,P194/P195)</f>
        <v/>
      </c>
      <c r="Q197" s="81">
        <f>IF(Q195=0,0,Q194/Q195)</f>
        <v/>
      </c>
      <c r="R197" s="81">
        <f>IF(R195=0,0,R194/R195)</f>
        <v/>
      </c>
      <c r="S197" s="81">
        <f>IF(S195=0,0,S194/S195)</f>
        <v/>
      </c>
      <c r="T197" s="81">
        <f>IF(T195=0,0,T194/T195)</f>
        <v/>
      </c>
      <c r="U197" s="81">
        <f>IF(U195=0,0,U194/U195)</f>
        <v/>
      </c>
      <c r="V197" s="81">
        <f>IF(V195=0,0,V194/V195)</f>
        <v/>
      </c>
      <c r="W197" s="81">
        <f>IF(W195=0,0,W194/W195)</f>
        <v/>
      </c>
      <c r="X197" s="81">
        <f>IF(X195=0,0,X194/X195)</f>
        <v/>
      </c>
      <c r="Y197" s="81">
        <f>IF(Y195=0,0,Y194/Y195)</f>
        <v/>
      </c>
      <c r="Z197" s="81">
        <f>IF(Z195=0,0,Z194/Z195)</f>
        <v/>
      </c>
      <c r="AA197" s="81">
        <f>IF(AA195=0,0,AA194/AA195)</f>
        <v/>
      </c>
      <c r="AB197" s="81">
        <f>IF(AB195=0,0,AB194/AB195)</f>
        <v/>
      </c>
      <c r="AC197" s="81">
        <f>IF(AC195=0,0,AC194/AC195)</f>
        <v/>
      </c>
      <c r="AD197" s="81">
        <f>IF(AD195=0,0,AD194/AD195)</f>
        <v/>
      </c>
      <c r="AE197" s="81">
        <f>IF(AE195=0,0,AE194/AE195)</f>
        <v/>
      </c>
      <c r="AF197" s="81">
        <f>IF(AF195=0,0,AF194/AF195)</f>
        <v/>
      </c>
      <c r="AG197" s="81">
        <f>IF(AG195=0,0,AG194/AG195)</f>
        <v/>
      </c>
      <c r="AH197" s="81">
        <f>IF(AH195=0,0,AH194/AH195)</f>
        <v/>
      </c>
      <c r="AI197" s="81">
        <f>IF(AI195=0,0,AI194/AI195)</f>
        <v/>
      </c>
      <c r="AJ197" s="81">
        <f>IF(AJ195=0,0,AJ194/AJ195)</f>
        <v/>
      </c>
      <c r="AK197" s="81">
        <f>IF(AK195=0,0,AK194/AK195)</f>
        <v/>
      </c>
      <c r="AL197" s="81">
        <f>IF(AL195=0,0,AL194/AL195)</f>
        <v/>
      </c>
      <c r="AM197" s="81">
        <f>IF(AM195=0,0,AM194/AM195)</f>
        <v/>
      </c>
      <c r="AN197" s="81">
        <f>IF(AN195=0,0,AN194/AN195)</f>
        <v/>
      </c>
      <c r="AO197" s="81">
        <f>IF(AO195=0,0,AO194/AO195)</f>
        <v/>
      </c>
      <c r="AP197" s="81">
        <f>IF(AP195=0,0,AP194/AP195)</f>
        <v/>
      </c>
      <c r="AQ197" s="81">
        <f>IF(AQ195=0,0,AQ194/AQ195)</f>
        <v/>
      </c>
      <c r="AR197" s="81">
        <f>IF(AR195=0,0,AR194/AR195)</f>
        <v/>
      </c>
      <c r="AS197" s="81">
        <f>IF(AS195=0,0,AS194/AS195)</f>
        <v/>
      </c>
      <c r="AT197" s="81">
        <f>IF(AT195=0,0,AT194/AT195)</f>
        <v/>
      </c>
      <c r="AU197" s="81">
        <f>IF(AU195=0,0,AU194/AU195)</f>
        <v/>
      </c>
      <c r="AV197" s="81">
        <f>IF(AV195=0,0,AV194/AV195)</f>
        <v/>
      </c>
      <c r="AW197" s="81">
        <f>IF(AW195=0,0,AW194/AW195)</f>
        <v/>
      </c>
      <c r="AX197" s="81">
        <f>IF(AX195=0,0,AX194/AX195)</f>
        <v/>
      </c>
      <c r="AY197" s="81">
        <f>IF(AY195=0,0,AY194/AY195)</f>
        <v/>
      </c>
      <c r="AZ197" s="81">
        <f>IF(AZ195=0,0,AZ194/AZ195)</f>
        <v/>
      </c>
      <c r="BA197" s="81">
        <f>IF(BA195=0,0,BA194/BA195)</f>
        <v/>
      </c>
      <c r="BB197" s="81">
        <f>IF(BB195=0,0,BB194/BB195)</f>
        <v/>
      </c>
      <c r="BC197" s="81">
        <f>IF(BC195=0,0,BC194/BC195)</f>
        <v/>
      </c>
      <c r="BD197" s="81">
        <f>IF(BD195=0,0,BD194/BD195)</f>
        <v/>
      </c>
      <c r="BE197" s="81">
        <f>IF(BE195=0,0,BE194/BE195)</f>
        <v/>
      </c>
      <c r="BF197" s="81">
        <f>IF(BF195=0,0,BF194/BF195)</f>
        <v/>
      </c>
      <c r="BG197" s="81">
        <f>IF(BG195=0,0,BG194/BG195)</f>
        <v/>
      </c>
      <c r="BH197" s="81">
        <f>IF(BH195=0,0,BH194/BH195)</f>
        <v/>
      </c>
      <c r="BI197" s="81">
        <f>IF(BI195=0,0,BI194/BI195)</f>
        <v/>
      </c>
      <c r="BJ197" s="81">
        <f>IF(BJ195=0,0,BJ194/BJ195)</f>
        <v/>
      </c>
      <c r="BK197" s="81">
        <f>IF(BK195=0,0,BK194/BK195)</f>
        <v/>
      </c>
      <c r="BL197" s="81">
        <f>IF(BL195=0,0,BL194/BL195)</f>
        <v/>
      </c>
    </row>
    <row r="198">
      <c r="A198" s="98" t="inlineStr">
        <is>
          <t>12-month PD proxy (NOT an audited IFRS 9 PD)</t>
        </is>
      </c>
      <c r="B198" s="65" t="inlineStr">
        <is>
          <t>%</t>
        </is>
      </c>
      <c r="E198" s="81">
        <f>1-(1-Products!$F$41)^12</f>
        <v/>
      </c>
      <c r="F198" s="81">
        <f>1-(1-Products!$F$41)^12</f>
        <v/>
      </c>
      <c r="G198" s="81">
        <f>1-(1-Products!$F$41)^12</f>
        <v/>
      </c>
      <c r="H198" s="81">
        <f>1-(1-Products!$F$41)^12</f>
        <v/>
      </c>
      <c r="I198" s="81">
        <f>1-(1-Products!$F$41)^12</f>
        <v/>
      </c>
      <c r="J198" s="81">
        <f>1-(1-Products!$F$41)^12</f>
        <v/>
      </c>
      <c r="K198" s="81">
        <f>1-(1-Products!$F$41)^12</f>
        <v/>
      </c>
      <c r="L198" s="81">
        <f>1-(1-Products!$F$41)^12</f>
        <v/>
      </c>
      <c r="M198" s="81">
        <f>1-(1-Products!$F$41)^12</f>
        <v/>
      </c>
      <c r="N198" s="81">
        <f>1-(1-Products!$F$41)^12</f>
        <v/>
      </c>
      <c r="O198" s="81">
        <f>1-(1-Products!$F$41)^12</f>
        <v/>
      </c>
      <c r="P198" s="81">
        <f>1-(1-Products!$F$41)^12</f>
        <v/>
      </c>
      <c r="Q198" s="81">
        <f>1-(1-Products!$F$41)^12</f>
        <v/>
      </c>
      <c r="R198" s="81">
        <f>1-(1-Products!$F$41)^12</f>
        <v/>
      </c>
      <c r="S198" s="81">
        <f>1-(1-Products!$F$41)^12</f>
        <v/>
      </c>
      <c r="T198" s="81">
        <f>1-(1-Products!$F$41)^12</f>
        <v/>
      </c>
      <c r="U198" s="81">
        <f>1-(1-Products!$F$41)^12</f>
        <v/>
      </c>
      <c r="V198" s="81">
        <f>1-(1-Products!$F$41)^12</f>
        <v/>
      </c>
      <c r="W198" s="81">
        <f>1-(1-Products!$F$41)^12</f>
        <v/>
      </c>
      <c r="X198" s="81">
        <f>1-(1-Products!$F$41)^12</f>
        <v/>
      </c>
      <c r="Y198" s="81">
        <f>1-(1-Products!$F$41)^12</f>
        <v/>
      </c>
      <c r="Z198" s="81">
        <f>1-(1-Products!$F$41)^12</f>
        <v/>
      </c>
      <c r="AA198" s="81">
        <f>1-(1-Products!$F$41)^12</f>
        <v/>
      </c>
      <c r="AB198" s="81">
        <f>1-(1-Products!$F$41)^12</f>
        <v/>
      </c>
      <c r="AC198" s="81">
        <f>1-(1-Products!$F$41)^12</f>
        <v/>
      </c>
      <c r="AD198" s="81">
        <f>1-(1-Products!$F$41)^12</f>
        <v/>
      </c>
      <c r="AE198" s="81">
        <f>1-(1-Products!$F$41)^12</f>
        <v/>
      </c>
      <c r="AF198" s="81">
        <f>1-(1-Products!$F$41)^12</f>
        <v/>
      </c>
      <c r="AG198" s="81">
        <f>1-(1-Products!$F$41)^12</f>
        <v/>
      </c>
      <c r="AH198" s="81">
        <f>1-(1-Products!$F$41)^12</f>
        <v/>
      </c>
      <c r="AI198" s="81">
        <f>1-(1-Products!$F$41)^12</f>
        <v/>
      </c>
      <c r="AJ198" s="81">
        <f>1-(1-Products!$F$41)^12</f>
        <v/>
      </c>
      <c r="AK198" s="81">
        <f>1-(1-Products!$F$41)^12</f>
        <v/>
      </c>
      <c r="AL198" s="81">
        <f>1-(1-Products!$F$41)^12</f>
        <v/>
      </c>
      <c r="AM198" s="81">
        <f>1-(1-Products!$F$41)^12</f>
        <v/>
      </c>
      <c r="AN198" s="81">
        <f>1-(1-Products!$F$41)^12</f>
        <v/>
      </c>
      <c r="AO198" s="81">
        <f>1-(1-Products!$F$41)^12</f>
        <v/>
      </c>
      <c r="AP198" s="81">
        <f>1-(1-Products!$F$41)^12</f>
        <v/>
      </c>
      <c r="AQ198" s="81">
        <f>1-(1-Products!$F$41)^12</f>
        <v/>
      </c>
      <c r="AR198" s="81">
        <f>1-(1-Products!$F$41)^12</f>
        <v/>
      </c>
      <c r="AS198" s="81">
        <f>1-(1-Products!$F$41)^12</f>
        <v/>
      </c>
      <c r="AT198" s="81">
        <f>1-(1-Products!$F$41)^12</f>
        <v/>
      </c>
      <c r="AU198" s="81">
        <f>1-(1-Products!$F$41)^12</f>
        <v/>
      </c>
      <c r="AV198" s="81">
        <f>1-(1-Products!$F$41)^12</f>
        <v/>
      </c>
      <c r="AW198" s="81">
        <f>1-(1-Products!$F$41)^12</f>
        <v/>
      </c>
      <c r="AX198" s="81">
        <f>1-(1-Products!$F$41)^12</f>
        <v/>
      </c>
      <c r="AY198" s="81">
        <f>1-(1-Products!$F$41)^12</f>
        <v/>
      </c>
      <c r="AZ198" s="81">
        <f>1-(1-Products!$F$41)^12</f>
        <v/>
      </c>
      <c r="BA198" s="81">
        <f>1-(1-Products!$F$41)^12</f>
        <v/>
      </c>
      <c r="BB198" s="81">
        <f>1-(1-Products!$F$41)^12</f>
        <v/>
      </c>
      <c r="BC198" s="81">
        <f>1-(1-Products!$F$41)^12</f>
        <v/>
      </c>
      <c r="BD198" s="81">
        <f>1-(1-Products!$F$41)^12</f>
        <v/>
      </c>
      <c r="BE198" s="81">
        <f>1-(1-Products!$F$41)^12</f>
        <v/>
      </c>
      <c r="BF198" s="81">
        <f>1-(1-Products!$F$41)^12</f>
        <v/>
      </c>
      <c r="BG198" s="81">
        <f>1-(1-Products!$F$41)^12</f>
        <v/>
      </c>
      <c r="BH198" s="81">
        <f>1-(1-Products!$F$41)^12</f>
        <v/>
      </c>
      <c r="BI198" s="81">
        <f>1-(1-Products!$F$41)^12</f>
        <v/>
      </c>
      <c r="BJ198" s="81">
        <f>1-(1-Products!$F$41)^12</f>
        <v/>
      </c>
      <c r="BK198" s="81">
        <f>1-(1-Products!$F$41)^12</f>
        <v/>
      </c>
      <c r="BL198" s="81">
        <f>1-(1-Products!$F$41)^12</f>
        <v/>
      </c>
    </row>
    <row r="199">
      <c r="A199" s="98" t="inlineStr">
        <is>
          <t>LGD proxy</t>
        </is>
      </c>
      <c r="B199" s="65" t="inlineStr">
        <is>
          <t>%</t>
        </is>
      </c>
      <c r="E199" s="81">
        <f>MAX(0,MIN(1,1-Products!$F$27*Products!$F$28*(1-Credit_Assumptions!$C$15)*Products!$F$13/Products!$F$38))</f>
        <v/>
      </c>
      <c r="F199" s="81">
        <f>MAX(0,MIN(1,1-Products!$F$27*Products!$F$28*(1-Credit_Assumptions!$C$15)*Products!$F$13/Products!$F$38))</f>
        <v/>
      </c>
      <c r="G199" s="81">
        <f>MAX(0,MIN(1,1-Products!$F$27*Products!$F$28*(1-Credit_Assumptions!$C$15)*Products!$F$13/Products!$F$38))</f>
        <v/>
      </c>
      <c r="H199" s="81">
        <f>MAX(0,MIN(1,1-Products!$F$27*Products!$F$28*(1-Credit_Assumptions!$C$15)*Products!$F$13/Products!$F$38))</f>
        <v/>
      </c>
      <c r="I199" s="81">
        <f>MAX(0,MIN(1,1-Products!$F$27*Products!$F$28*(1-Credit_Assumptions!$C$15)*Products!$F$13/Products!$F$38))</f>
        <v/>
      </c>
      <c r="J199" s="81">
        <f>MAX(0,MIN(1,1-Products!$F$27*Products!$F$28*(1-Credit_Assumptions!$C$15)*Products!$F$13/Products!$F$38))</f>
        <v/>
      </c>
      <c r="K199" s="81">
        <f>MAX(0,MIN(1,1-Products!$F$27*Products!$F$28*(1-Credit_Assumptions!$C$15)*Products!$F$13/Products!$F$38))</f>
        <v/>
      </c>
      <c r="L199" s="81">
        <f>MAX(0,MIN(1,1-Products!$F$27*Products!$F$28*(1-Credit_Assumptions!$C$15)*Products!$F$13/Products!$F$38))</f>
        <v/>
      </c>
      <c r="M199" s="81">
        <f>MAX(0,MIN(1,1-Products!$F$27*Products!$F$28*(1-Credit_Assumptions!$C$15)*Products!$F$13/Products!$F$38))</f>
        <v/>
      </c>
      <c r="N199" s="81">
        <f>MAX(0,MIN(1,1-Products!$F$27*Products!$F$28*(1-Credit_Assumptions!$C$15)*Products!$F$13/Products!$F$38))</f>
        <v/>
      </c>
      <c r="O199" s="81">
        <f>MAX(0,MIN(1,1-Products!$F$27*Products!$F$28*(1-Credit_Assumptions!$C$15)*Products!$F$13/Products!$F$38))</f>
        <v/>
      </c>
      <c r="P199" s="81">
        <f>MAX(0,MIN(1,1-Products!$F$27*Products!$F$28*(1-Credit_Assumptions!$C$15)*Products!$F$13/Products!$F$38))</f>
        <v/>
      </c>
      <c r="Q199" s="81">
        <f>MAX(0,MIN(1,1-Products!$F$27*Products!$F$28*(1-Credit_Assumptions!$C$15)*Products!$F$13/Products!$F$38))</f>
        <v/>
      </c>
      <c r="R199" s="81">
        <f>MAX(0,MIN(1,1-Products!$F$27*Products!$F$28*(1-Credit_Assumptions!$C$15)*Products!$F$13/Products!$F$38))</f>
        <v/>
      </c>
      <c r="S199" s="81">
        <f>MAX(0,MIN(1,1-Products!$F$27*Products!$F$28*(1-Credit_Assumptions!$C$15)*Products!$F$13/Products!$F$38))</f>
        <v/>
      </c>
      <c r="T199" s="81">
        <f>MAX(0,MIN(1,1-Products!$F$27*Products!$F$28*(1-Credit_Assumptions!$C$15)*Products!$F$13/Products!$F$38))</f>
        <v/>
      </c>
      <c r="U199" s="81">
        <f>MAX(0,MIN(1,1-Products!$F$27*Products!$F$28*(1-Credit_Assumptions!$C$15)*Products!$F$13/Products!$F$38))</f>
        <v/>
      </c>
      <c r="V199" s="81">
        <f>MAX(0,MIN(1,1-Products!$F$27*Products!$F$28*(1-Credit_Assumptions!$C$15)*Products!$F$13/Products!$F$38))</f>
        <v/>
      </c>
      <c r="W199" s="81">
        <f>MAX(0,MIN(1,1-Products!$F$27*Products!$F$28*(1-Credit_Assumptions!$C$15)*Products!$F$13/Products!$F$38))</f>
        <v/>
      </c>
      <c r="X199" s="81">
        <f>MAX(0,MIN(1,1-Products!$F$27*Products!$F$28*(1-Credit_Assumptions!$C$15)*Products!$F$13/Products!$F$38))</f>
        <v/>
      </c>
      <c r="Y199" s="81">
        <f>MAX(0,MIN(1,1-Products!$F$27*Products!$F$28*(1-Credit_Assumptions!$C$15)*Products!$F$13/Products!$F$38))</f>
        <v/>
      </c>
      <c r="Z199" s="81">
        <f>MAX(0,MIN(1,1-Products!$F$27*Products!$F$28*(1-Credit_Assumptions!$C$15)*Products!$F$13/Products!$F$38))</f>
        <v/>
      </c>
      <c r="AA199" s="81">
        <f>MAX(0,MIN(1,1-Products!$F$27*Products!$F$28*(1-Credit_Assumptions!$C$15)*Products!$F$13/Products!$F$38))</f>
        <v/>
      </c>
      <c r="AB199" s="81">
        <f>MAX(0,MIN(1,1-Products!$F$27*Products!$F$28*(1-Credit_Assumptions!$C$15)*Products!$F$13/Products!$F$38))</f>
        <v/>
      </c>
      <c r="AC199" s="81">
        <f>MAX(0,MIN(1,1-Products!$F$27*Products!$F$28*(1-Credit_Assumptions!$C$15)*Products!$F$13/Products!$F$38))</f>
        <v/>
      </c>
      <c r="AD199" s="81">
        <f>MAX(0,MIN(1,1-Products!$F$27*Products!$F$28*(1-Credit_Assumptions!$C$15)*Products!$F$13/Products!$F$38))</f>
        <v/>
      </c>
      <c r="AE199" s="81">
        <f>MAX(0,MIN(1,1-Products!$F$27*Products!$F$28*(1-Credit_Assumptions!$C$15)*Products!$F$13/Products!$F$38))</f>
        <v/>
      </c>
      <c r="AF199" s="81">
        <f>MAX(0,MIN(1,1-Products!$F$27*Products!$F$28*(1-Credit_Assumptions!$C$15)*Products!$F$13/Products!$F$38))</f>
        <v/>
      </c>
      <c r="AG199" s="81">
        <f>MAX(0,MIN(1,1-Products!$F$27*Products!$F$28*(1-Credit_Assumptions!$C$15)*Products!$F$13/Products!$F$38))</f>
        <v/>
      </c>
      <c r="AH199" s="81">
        <f>MAX(0,MIN(1,1-Products!$F$27*Products!$F$28*(1-Credit_Assumptions!$C$15)*Products!$F$13/Products!$F$38))</f>
        <v/>
      </c>
      <c r="AI199" s="81">
        <f>MAX(0,MIN(1,1-Products!$F$27*Products!$F$28*(1-Credit_Assumptions!$C$15)*Products!$F$13/Products!$F$38))</f>
        <v/>
      </c>
      <c r="AJ199" s="81">
        <f>MAX(0,MIN(1,1-Products!$F$27*Products!$F$28*(1-Credit_Assumptions!$C$15)*Products!$F$13/Products!$F$38))</f>
        <v/>
      </c>
      <c r="AK199" s="81">
        <f>MAX(0,MIN(1,1-Products!$F$27*Products!$F$28*(1-Credit_Assumptions!$C$15)*Products!$F$13/Products!$F$38))</f>
        <v/>
      </c>
      <c r="AL199" s="81">
        <f>MAX(0,MIN(1,1-Products!$F$27*Products!$F$28*(1-Credit_Assumptions!$C$15)*Products!$F$13/Products!$F$38))</f>
        <v/>
      </c>
      <c r="AM199" s="81">
        <f>MAX(0,MIN(1,1-Products!$F$27*Products!$F$28*(1-Credit_Assumptions!$C$15)*Products!$F$13/Products!$F$38))</f>
        <v/>
      </c>
      <c r="AN199" s="81">
        <f>MAX(0,MIN(1,1-Products!$F$27*Products!$F$28*(1-Credit_Assumptions!$C$15)*Products!$F$13/Products!$F$38))</f>
        <v/>
      </c>
      <c r="AO199" s="81">
        <f>MAX(0,MIN(1,1-Products!$F$27*Products!$F$28*(1-Credit_Assumptions!$C$15)*Products!$F$13/Products!$F$38))</f>
        <v/>
      </c>
      <c r="AP199" s="81">
        <f>MAX(0,MIN(1,1-Products!$F$27*Products!$F$28*(1-Credit_Assumptions!$C$15)*Products!$F$13/Products!$F$38))</f>
        <v/>
      </c>
      <c r="AQ199" s="81">
        <f>MAX(0,MIN(1,1-Products!$F$27*Products!$F$28*(1-Credit_Assumptions!$C$15)*Products!$F$13/Products!$F$38))</f>
        <v/>
      </c>
      <c r="AR199" s="81">
        <f>MAX(0,MIN(1,1-Products!$F$27*Products!$F$28*(1-Credit_Assumptions!$C$15)*Products!$F$13/Products!$F$38))</f>
        <v/>
      </c>
      <c r="AS199" s="81">
        <f>MAX(0,MIN(1,1-Products!$F$27*Products!$F$28*(1-Credit_Assumptions!$C$15)*Products!$F$13/Products!$F$38))</f>
        <v/>
      </c>
      <c r="AT199" s="81">
        <f>MAX(0,MIN(1,1-Products!$F$27*Products!$F$28*(1-Credit_Assumptions!$C$15)*Products!$F$13/Products!$F$38))</f>
        <v/>
      </c>
      <c r="AU199" s="81">
        <f>MAX(0,MIN(1,1-Products!$F$27*Products!$F$28*(1-Credit_Assumptions!$C$15)*Products!$F$13/Products!$F$38))</f>
        <v/>
      </c>
      <c r="AV199" s="81">
        <f>MAX(0,MIN(1,1-Products!$F$27*Products!$F$28*(1-Credit_Assumptions!$C$15)*Products!$F$13/Products!$F$38))</f>
        <v/>
      </c>
      <c r="AW199" s="81">
        <f>MAX(0,MIN(1,1-Products!$F$27*Products!$F$28*(1-Credit_Assumptions!$C$15)*Products!$F$13/Products!$F$38))</f>
        <v/>
      </c>
      <c r="AX199" s="81">
        <f>MAX(0,MIN(1,1-Products!$F$27*Products!$F$28*(1-Credit_Assumptions!$C$15)*Products!$F$13/Products!$F$38))</f>
        <v/>
      </c>
      <c r="AY199" s="81">
        <f>MAX(0,MIN(1,1-Products!$F$27*Products!$F$28*(1-Credit_Assumptions!$C$15)*Products!$F$13/Products!$F$38))</f>
        <v/>
      </c>
      <c r="AZ199" s="81">
        <f>MAX(0,MIN(1,1-Products!$F$27*Products!$F$28*(1-Credit_Assumptions!$C$15)*Products!$F$13/Products!$F$38))</f>
        <v/>
      </c>
      <c r="BA199" s="81">
        <f>MAX(0,MIN(1,1-Products!$F$27*Products!$F$28*(1-Credit_Assumptions!$C$15)*Products!$F$13/Products!$F$38))</f>
        <v/>
      </c>
      <c r="BB199" s="81">
        <f>MAX(0,MIN(1,1-Products!$F$27*Products!$F$28*(1-Credit_Assumptions!$C$15)*Products!$F$13/Products!$F$38))</f>
        <v/>
      </c>
      <c r="BC199" s="81">
        <f>MAX(0,MIN(1,1-Products!$F$27*Products!$F$28*(1-Credit_Assumptions!$C$15)*Products!$F$13/Products!$F$38))</f>
        <v/>
      </c>
      <c r="BD199" s="81">
        <f>MAX(0,MIN(1,1-Products!$F$27*Products!$F$28*(1-Credit_Assumptions!$C$15)*Products!$F$13/Products!$F$38))</f>
        <v/>
      </c>
      <c r="BE199" s="81">
        <f>MAX(0,MIN(1,1-Products!$F$27*Products!$F$28*(1-Credit_Assumptions!$C$15)*Products!$F$13/Products!$F$38))</f>
        <v/>
      </c>
      <c r="BF199" s="81">
        <f>MAX(0,MIN(1,1-Products!$F$27*Products!$F$28*(1-Credit_Assumptions!$C$15)*Products!$F$13/Products!$F$38))</f>
        <v/>
      </c>
      <c r="BG199" s="81">
        <f>MAX(0,MIN(1,1-Products!$F$27*Products!$F$28*(1-Credit_Assumptions!$C$15)*Products!$F$13/Products!$F$38))</f>
        <v/>
      </c>
      <c r="BH199" s="81">
        <f>MAX(0,MIN(1,1-Products!$F$27*Products!$F$28*(1-Credit_Assumptions!$C$15)*Products!$F$13/Products!$F$38))</f>
        <v/>
      </c>
      <c r="BI199" s="81">
        <f>MAX(0,MIN(1,1-Products!$F$27*Products!$F$28*(1-Credit_Assumptions!$C$15)*Products!$F$13/Products!$F$38))</f>
        <v/>
      </c>
      <c r="BJ199" s="81">
        <f>MAX(0,MIN(1,1-Products!$F$27*Products!$F$28*(1-Credit_Assumptions!$C$15)*Products!$F$13/Products!$F$38))</f>
        <v/>
      </c>
      <c r="BK199" s="81">
        <f>MAX(0,MIN(1,1-Products!$F$27*Products!$F$28*(1-Credit_Assumptions!$C$15)*Products!$F$13/Products!$F$38))</f>
        <v/>
      </c>
      <c r="BL199" s="81">
        <f>MAX(0,MIN(1,1-Products!$F$27*Products!$F$28*(1-Credit_Assumptions!$C$15)*Products!$F$13/Products!$F$38))</f>
        <v/>
      </c>
    </row>
    <row r="200">
      <c r="A200" s="98" t="inlineStr">
        <is>
          <t>Indicative stage-based ECL (diagnostic, not booked)</t>
        </is>
      </c>
      <c r="B200" s="65" t="inlineStr">
        <is>
          <t>LCY</t>
        </is>
      </c>
      <c r="C200" s="105">
        <f>BL200</f>
        <v/>
      </c>
      <c r="E200" s="80">
        <f>E180*CHOOSE(Credit_Assumptions!$D$28,E198*E199*(1+Credit_Assumptions!$C$17)^-0.5,(1-Credit_Assumptions!$C$16)*E199*(1+Credit_Assumptions!$C$17)^-0.5,E199)+E181*CHOOSE(Credit_Assumptions!$D$29,E198*E199*(1+Credit_Assumptions!$C$17)^-0.5,(1-Credit_Assumptions!$C$16)*E199*(1+Credit_Assumptions!$C$17)^-0.5,E199)+E182*CHOOSE(Credit_Assumptions!$D$30,E198*E199*(1+Credit_Assumptions!$C$17)^-0.5,(1-Credit_Assumptions!$C$16)*E199*(1+Credit_Assumptions!$C$17)^-0.5,E199)+E183*CHOOSE(Credit_Assumptions!$D$31,E198*E199*(1+Credit_Assumptions!$C$17)^-0.5,(1-Credit_Assumptions!$C$16)*E199*(1+Credit_Assumptions!$C$17)^-0.5,E199)+E184*CHOOSE(Credit_Assumptions!$D$32,E198*E199*(1+Credit_Assumptions!$C$17)^-0.5,(1-Credit_Assumptions!$C$16)*E199*(1+Credit_Assumptions!$C$17)^-0.5,E199)+E185*CHOOSE(Credit_Assumptions!$D$33,E198*E199*(1+Credit_Assumptions!$C$17)^-0.5,(1-Credit_Assumptions!$C$16)*E199*(1+Credit_Assumptions!$C$17)^-0.5,E199)</f>
        <v/>
      </c>
      <c r="F200" s="80">
        <f>F180*CHOOSE(Credit_Assumptions!$D$28,F198*F199*(1+Credit_Assumptions!$C$17)^-0.5,(1-Credit_Assumptions!$C$16)*F199*(1+Credit_Assumptions!$C$17)^-0.5,F199)+F181*CHOOSE(Credit_Assumptions!$D$29,F198*F199*(1+Credit_Assumptions!$C$17)^-0.5,(1-Credit_Assumptions!$C$16)*F199*(1+Credit_Assumptions!$C$17)^-0.5,F199)+F182*CHOOSE(Credit_Assumptions!$D$30,F198*F199*(1+Credit_Assumptions!$C$17)^-0.5,(1-Credit_Assumptions!$C$16)*F199*(1+Credit_Assumptions!$C$17)^-0.5,F199)+F183*CHOOSE(Credit_Assumptions!$D$31,F198*F199*(1+Credit_Assumptions!$C$17)^-0.5,(1-Credit_Assumptions!$C$16)*F199*(1+Credit_Assumptions!$C$17)^-0.5,F199)+F184*CHOOSE(Credit_Assumptions!$D$32,F198*F199*(1+Credit_Assumptions!$C$17)^-0.5,(1-Credit_Assumptions!$C$16)*F199*(1+Credit_Assumptions!$C$17)^-0.5,F199)+F185*CHOOSE(Credit_Assumptions!$D$33,F198*F199*(1+Credit_Assumptions!$C$17)^-0.5,(1-Credit_Assumptions!$C$16)*F199*(1+Credit_Assumptions!$C$17)^-0.5,F199)</f>
        <v/>
      </c>
      <c r="G200" s="80">
        <f>G180*CHOOSE(Credit_Assumptions!$D$28,G198*G199*(1+Credit_Assumptions!$C$17)^-0.5,(1-Credit_Assumptions!$C$16)*G199*(1+Credit_Assumptions!$C$17)^-0.5,G199)+G181*CHOOSE(Credit_Assumptions!$D$29,G198*G199*(1+Credit_Assumptions!$C$17)^-0.5,(1-Credit_Assumptions!$C$16)*G199*(1+Credit_Assumptions!$C$17)^-0.5,G199)+G182*CHOOSE(Credit_Assumptions!$D$30,G198*G199*(1+Credit_Assumptions!$C$17)^-0.5,(1-Credit_Assumptions!$C$16)*G199*(1+Credit_Assumptions!$C$17)^-0.5,G199)+G183*CHOOSE(Credit_Assumptions!$D$31,G198*G199*(1+Credit_Assumptions!$C$17)^-0.5,(1-Credit_Assumptions!$C$16)*G199*(1+Credit_Assumptions!$C$17)^-0.5,G199)+G184*CHOOSE(Credit_Assumptions!$D$32,G198*G199*(1+Credit_Assumptions!$C$17)^-0.5,(1-Credit_Assumptions!$C$16)*G199*(1+Credit_Assumptions!$C$17)^-0.5,G199)+G185*CHOOSE(Credit_Assumptions!$D$33,G198*G199*(1+Credit_Assumptions!$C$17)^-0.5,(1-Credit_Assumptions!$C$16)*G199*(1+Credit_Assumptions!$C$17)^-0.5,G199)</f>
        <v/>
      </c>
      <c r="H200" s="80">
        <f>H180*CHOOSE(Credit_Assumptions!$D$28,H198*H199*(1+Credit_Assumptions!$C$17)^-0.5,(1-Credit_Assumptions!$C$16)*H199*(1+Credit_Assumptions!$C$17)^-0.5,H199)+H181*CHOOSE(Credit_Assumptions!$D$29,H198*H199*(1+Credit_Assumptions!$C$17)^-0.5,(1-Credit_Assumptions!$C$16)*H199*(1+Credit_Assumptions!$C$17)^-0.5,H199)+H182*CHOOSE(Credit_Assumptions!$D$30,H198*H199*(1+Credit_Assumptions!$C$17)^-0.5,(1-Credit_Assumptions!$C$16)*H199*(1+Credit_Assumptions!$C$17)^-0.5,H199)+H183*CHOOSE(Credit_Assumptions!$D$31,H198*H199*(1+Credit_Assumptions!$C$17)^-0.5,(1-Credit_Assumptions!$C$16)*H199*(1+Credit_Assumptions!$C$17)^-0.5,H199)+H184*CHOOSE(Credit_Assumptions!$D$32,H198*H199*(1+Credit_Assumptions!$C$17)^-0.5,(1-Credit_Assumptions!$C$16)*H199*(1+Credit_Assumptions!$C$17)^-0.5,H199)+H185*CHOOSE(Credit_Assumptions!$D$33,H198*H199*(1+Credit_Assumptions!$C$17)^-0.5,(1-Credit_Assumptions!$C$16)*H199*(1+Credit_Assumptions!$C$17)^-0.5,H199)</f>
        <v/>
      </c>
      <c r="I200" s="80">
        <f>I180*CHOOSE(Credit_Assumptions!$D$28,I198*I199*(1+Credit_Assumptions!$C$17)^-0.5,(1-Credit_Assumptions!$C$16)*I199*(1+Credit_Assumptions!$C$17)^-0.5,I199)+I181*CHOOSE(Credit_Assumptions!$D$29,I198*I199*(1+Credit_Assumptions!$C$17)^-0.5,(1-Credit_Assumptions!$C$16)*I199*(1+Credit_Assumptions!$C$17)^-0.5,I199)+I182*CHOOSE(Credit_Assumptions!$D$30,I198*I199*(1+Credit_Assumptions!$C$17)^-0.5,(1-Credit_Assumptions!$C$16)*I199*(1+Credit_Assumptions!$C$17)^-0.5,I199)+I183*CHOOSE(Credit_Assumptions!$D$31,I198*I199*(1+Credit_Assumptions!$C$17)^-0.5,(1-Credit_Assumptions!$C$16)*I199*(1+Credit_Assumptions!$C$17)^-0.5,I199)+I184*CHOOSE(Credit_Assumptions!$D$32,I198*I199*(1+Credit_Assumptions!$C$17)^-0.5,(1-Credit_Assumptions!$C$16)*I199*(1+Credit_Assumptions!$C$17)^-0.5,I199)+I185*CHOOSE(Credit_Assumptions!$D$33,I198*I199*(1+Credit_Assumptions!$C$17)^-0.5,(1-Credit_Assumptions!$C$16)*I199*(1+Credit_Assumptions!$C$17)^-0.5,I199)</f>
        <v/>
      </c>
      <c r="J200" s="80">
        <f>J180*CHOOSE(Credit_Assumptions!$D$28,J198*J199*(1+Credit_Assumptions!$C$17)^-0.5,(1-Credit_Assumptions!$C$16)*J199*(1+Credit_Assumptions!$C$17)^-0.5,J199)+J181*CHOOSE(Credit_Assumptions!$D$29,J198*J199*(1+Credit_Assumptions!$C$17)^-0.5,(1-Credit_Assumptions!$C$16)*J199*(1+Credit_Assumptions!$C$17)^-0.5,J199)+J182*CHOOSE(Credit_Assumptions!$D$30,J198*J199*(1+Credit_Assumptions!$C$17)^-0.5,(1-Credit_Assumptions!$C$16)*J199*(1+Credit_Assumptions!$C$17)^-0.5,J199)+J183*CHOOSE(Credit_Assumptions!$D$31,J198*J199*(1+Credit_Assumptions!$C$17)^-0.5,(1-Credit_Assumptions!$C$16)*J199*(1+Credit_Assumptions!$C$17)^-0.5,J199)+J184*CHOOSE(Credit_Assumptions!$D$32,J198*J199*(1+Credit_Assumptions!$C$17)^-0.5,(1-Credit_Assumptions!$C$16)*J199*(1+Credit_Assumptions!$C$17)^-0.5,J199)+J185*CHOOSE(Credit_Assumptions!$D$33,J198*J199*(1+Credit_Assumptions!$C$17)^-0.5,(1-Credit_Assumptions!$C$16)*J199*(1+Credit_Assumptions!$C$17)^-0.5,J199)</f>
        <v/>
      </c>
      <c r="K200" s="80">
        <f>K180*CHOOSE(Credit_Assumptions!$D$28,K198*K199*(1+Credit_Assumptions!$C$17)^-0.5,(1-Credit_Assumptions!$C$16)*K199*(1+Credit_Assumptions!$C$17)^-0.5,K199)+K181*CHOOSE(Credit_Assumptions!$D$29,K198*K199*(1+Credit_Assumptions!$C$17)^-0.5,(1-Credit_Assumptions!$C$16)*K199*(1+Credit_Assumptions!$C$17)^-0.5,K199)+K182*CHOOSE(Credit_Assumptions!$D$30,K198*K199*(1+Credit_Assumptions!$C$17)^-0.5,(1-Credit_Assumptions!$C$16)*K199*(1+Credit_Assumptions!$C$17)^-0.5,K199)+K183*CHOOSE(Credit_Assumptions!$D$31,K198*K199*(1+Credit_Assumptions!$C$17)^-0.5,(1-Credit_Assumptions!$C$16)*K199*(1+Credit_Assumptions!$C$17)^-0.5,K199)+K184*CHOOSE(Credit_Assumptions!$D$32,K198*K199*(1+Credit_Assumptions!$C$17)^-0.5,(1-Credit_Assumptions!$C$16)*K199*(1+Credit_Assumptions!$C$17)^-0.5,K199)+K185*CHOOSE(Credit_Assumptions!$D$33,K198*K199*(1+Credit_Assumptions!$C$17)^-0.5,(1-Credit_Assumptions!$C$16)*K199*(1+Credit_Assumptions!$C$17)^-0.5,K199)</f>
        <v/>
      </c>
      <c r="L200" s="80">
        <f>L180*CHOOSE(Credit_Assumptions!$D$28,L198*L199*(1+Credit_Assumptions!$C$17)^-0.5,(1-Credit_Assumptions!$C$16)*L199*(1+Credit_Assumptions!$C$17)^-0.5,L199)+L181*CHOOSE(Credit_Assumptions!$D$29,L198*L199*(1+Credit_Assumptions!$C$17)^-0.5,(1-Credit_Assumptions!$C$16)*L199*(1+Credit_Assumptions!$C$17)^-0.5,L199)+L182*CHOOSE(Credit_Assumptions!$D$30,L198*L199*(1+Credit_Assumptions!$C$17)^-0.5,(1-Credit_Assumptions!$C$16)*L199*(1+Credit_Assumptions!$C$17)^-0.5,L199)+L183*CHOOSE(Credit_Assumptions!$D$31,L198*L199*(1+Credit_Assumptions!$C$17)^-0.5,(1-Credit_Assumptions!$C$16)*L199*(1+Credit_Assumptions!$C$17)^-0.5,L199)+L184*CHOOSE(Credit_Assumptions!$D$32,L198*L199*(1+Credit_Assumptions!$C$17)^-0.5,(1-Credit_Assumptions!$C$16)*L199*(1+Credit_Assumptions!$C$17)^-0.5,L199)+L185*CHOOSE(Credit_Assumptions!$D$33,L198*L199*(1+Credit_Assumptions!$C$17)^-0.5,(1-Credit_Assumptions!$C$16)*L199*(1+Credit_Assumptions!$C$17)^-0.5,L199)</f>
        <v/>
      </c>
      <c r="M200" s="80">
        <f>M180*CHOOSE(Credit_Assumptions!$D$28,M198*M199*(1+Credit_Assumptions!$C$17)^-0.5,(1-Credit_Assumptions!$C$16)*M199*(1+Credit_Assumptions!$C$17)^-0.5,M199)+M181*CHOOSE(Credit_Assumptions!$D$29,M198*M199*(1+Credit_Assumptions!$C$17)^-0.5,(1-Credit_Assumptions!$C$16)*M199*(1+Credit_Assumptions!$C$17)^-0.5,M199)+M182*CHOOSE(Credit_Assumptions!$D$30,M198*M199*(1+Credit_Assumptions!$C$17)^-0.5,(1-Credit_Assumptions!$C$16)*M199*(1+Credit_Assumptions!$C$17)^-0.5,M199)+M183*CHOOSE(Credit_Assumptions!$D$31,M198*M199*(1+Credit_Assumptions!$C$17)^-0.5,(1-Credit_Assumptions!$C$16)*M199*(1+Credit_Assumptions!$C$17)^-0.5,M199)+M184*CHOOSE(Credit_Assumptions!$D$32,M198*M199*(1+Credit_Assumptions!$C$17)^-0.5,(1-Credit_Assumptions!$C$16)*M199*(1+Credit_Assumptions!$C$17)^-0.5,M199)+M185*CHOOSE(Credit_Assumptions!$D$33,M198*M199*(1+Credit_Assumptions!$C$17)^-0.5,(1-Credit_Assumptions!$C$16)*M199*(1+Credit_Assumptions!$C$17)^-0.5,M199)</f>
        <v/>
      </c>
      <c r="N200" s="80">
        <f>N180*CHOOSE(Credit_Assumptions!$D$28,N198*N199*(1+Credit_Assumptions!$C$17)^-0.5,(1-Credit_Assumptions!$C$16)*N199*(1+Credit_Assumptions!$C$17)^-0.5,N199)+N181*CHOOSE(Credit_Assumptions!$D$29,N198*N199*(1+Credit_Assumptions!$C$17)^-0.5,(1-Credit_Assumptions!$C$16)*N199*(1+Credit_Assumptions!$C$17)^-0.5,N199)+N182*CHOOSE(Credit_Assumptions!$D$30,N198*N199*(1+Credit_Assumptions!$C$17)^-0.5,(1-Credit_Assumptions!$C$16)*N199*(1+Credit_Assumptions!$C$17)^-0.5,N199)+N183*CHOOSE(Credit_Assumptions!$D$31,N198*N199*(1+Credit_Assumptions!$C$17)^-0.5,(1-Credit_Assumptions!$C$16)*N199*(1+Credit_Assumptions!$C$17)^-0.5,N199)+N184*CHOOSE(Credit_Assumptions!$D$32,N198*N199*(1+Credit_Assumptions!$C$17)^-0.5,(1-Credit_Assumptions!$C$16)*N199*(1+Credit_Assumptions!$C$17)^-0.5,N199)+N185*CHOOSE(Credit_Assumptions!$D$33,N198*N199*(1+Credit_Assumptions!$C$17)^-0.5,(1-Credit_Assumptions!$C$16)*N199*(1+Credit_Assumptions!$C$17)^-0.5,N199)</f>
        <v/>
      </c>
      <c r="O200" s="80">
        <f>O180*CHOOSE(Credit_Assumptions!$D$28,O198*O199*(1+Credit_Assumptions!$C$17)^-0.5,(1-Credit_Assumptions!$C$16)*O199*(1+Credit_Assumptions!$C$17)^-0.5,O199)+O181*CHOOSE(Credit_Assumptions!$D$29,O198*O199*(1+Credit_Assumptions!$C$17)^-0.5,(1-Credit_Assumptions!$C$16)*O199*(1+Credit_Assumptions!$C$17)^-0.5,O199)+O182*CHOOSE(Credit_Assumptions!$D$30,O198*O199*(1+Credit_Assumptions!$C$17)^-0.5,(1-Credit_Assumptions!$C$16)*O199*(1+Credit_Assumptions!$C$17)^-0.5,O199)+O183*CHOOSE(Credit_Assumptions!$D$31,O198*O199*(1+Credit_Assumptions!$C$17)^-0.5,(1-Credit_Assumptions!$C$16)*O199*(1+Credit_Assumptions!$C$17)^-0.5,O199)+O184*CHOOSE(Credit_Assumptions!$D$32,O198*O199*(1+Credit_Assumptions!$C$17)^-0.5,(1-Credit_Assumptions!$C$16)*O199*(1+Credit_Assumptions!$C$17)^-0.5,O199)+O185*CHOOSE(Credit_Assumptions!$D$33,O198*O199*(1+Credit_Assumptions!$C$17)^-0.5,(1-Credit_Assumptions!$C$16)*O199*(1+Credit_Assumptions!$C$17)^-0.5,O199)</f>
        <v/>
      </c>
      <c r="P200" s="80">
        <f>P180*CHOOSE(Credit_Assumptions!$D$28,P198*P199*(1+Credit_Assumptions!$C$17)^-0.5,(1-Credit_Assumptions!$C$16)*P199*(1+Credit_Assumptions!$C$17)^-0.5,P199)+P181*CHOOSE(Credit_Assumptions!$D$29,P198*P199*(1+Credit_Assumptions!$C$17)^-0.5,(1-Credit_Assumptions!$C$16)*P199*(1+Credit_Assumptions!$C$17)^-0.5,P199)+P182*CHOOSE(Credit_Assumptions!$D$30,P198*P199*(1+Credit_Assumptions!$C$17)^-0.5,(1-Credit_Assumptions!$C$16)*P199*(1+Credit_Assumptions!$C$17)^-0.5,P199)+P183*CHOOSE(Credit_Assumptions!$D$31,P198*P199*(1+Credit_Assumptions!$C$17)^-0.5,(1-Credit_Assumptions!$C$16)*P199*(1+Credit_Assumptions!$C$17)^-0.5,P199)+P184*CHOOSE(Credit_Assumptions!$D$32,P198*P199*(1+Credit_Assumptions!$C$17)^-0.5,(1-Credit_Assumptions!$C$16)*P199*(1+Credit_Assumptions!$C$17)^-0.5,P199)+P185*CHOOSE(Credit_Assumptions!$D$33,P198*P199*(1+Credit_Assumptions!$C$17)^-0.5,(1-Credit_Assumptions!$C$16)*P199*(1+Credit_Assumptions!$C$17)^-0.5,P199)</f>
        <v/>
      </c>
      <c r="Q200" s="80">
        <f>Q180*CHOOSE(Credit_Assumptions!$D$28,Q198*Q199*(1+Credit_Assumptions!$C$17)^-0.5,(1-Credit_Assumptions!$C$16)*Q199*(1+Credit_Assumptions!$C$17)^-0.5,Q199)+Q181*CHOOSE(Credit_Assumptions!$D$29,Q198*Q199*(1+Credit_Assumptions!$C$17)^-0.5,(1-Credit_Assumptions!$C$16)*Q199*(1+Credit_Assumptions!$C$17)^-0.5,Q199)+Q182*CHOOSE(Credit_Assumptions!$D$30,Q198*Q199*(1+Credit_Assumptions!$C$17)^-0.5,(1-Credit_Assumptions!$C$16)*Q199*(1+Credit_Assumptions!$C$17)^-0.5,Q199)+Q183*CHOOSE(Credit_Assumptions!$D$31,Q198*Q199*(1+Credit_Assumptions!$C$17)^-0.5,(1-Credit_Assumptions!$C$16)*Q199*(1+Credit_Assumptions!$C$17)^-0.5,Q199)+Q184*CHOOSE(Credit_Assumptions!$D$32,Q198*Q199*(1+Credit_Assumptions!$C$17)^-0.5,(1-Credit_Assumptions!$C$16)*Q199*(1+Credit_Assumptions!$C$17)^-0.5,Q199)+Q185*CHOOSE(Credit_Assumptions!$D$33,Q198*Q199*(1+Credit_Assumptions!$C$17)^-0.5,(1-Credit_Assumptions!$C$16)*Q199*(1+Credit_Assumptions!$C$17)^-0.5,Q199)</f>
        <v/>
      </c>
      <c r="R200" s="80">
        <f>R180*CHOOSE(Credit_Assumptions!$D$28,R198*R199*(1+Credit_Assumptions!$C$17)^-0.5,(1-Credit_Assumptions!$C$16)*R199*(1+Credit_Assumptions!$C$17)^-0.5,R199)+R181*CHOOSE(Credit_Assumptions!$D$29,R198*R199*(1+Credit_Assumptions!$C$17)^-0.5,(1-Credit_Assumptions!$C$16)*R199*(1+Credit_Assumptions!$C$17)^-0.5,R199)+R182*CHOOSE(Credit_Assumptions!$D$30,R198*R199*(1+Credit_Assumptions!$C$17)^-0.5,(1-Credit_Assumptions!$C$16)*R199*(1+Credit_Assumptions!$C$17)^-0.5,R199)+R183*CHOOSE(Credit_Assumptions!$D$31,R198*R199*(1+Credit_Assumptions!$C$17)^-0.5,(1-Credit_Assumptions!$C$16)*R199*(1+Credit_Assumptions!$C$17)^-0.5,R199)+R184*CHOOSE(Credit_Assumptions!$D$32,R198*R199*(1+Credit_Assumptions!$C$17)^-0.5,(1-Credit_Assumptions!$C$16)*R199*(1+Credit_Assumptions!$C$17)^-0.5,R199)+R185*CHOOSE(Credit_Assumptions!$D$33,R198*R199*(1+Credit_Assumptions!$C$17)^-0.5,(1-Credit_Assumptions!$C$16)*R199*(1+Credit_Assumptions!$C$17)^-0.5,R199)</f>
        <v/>
      </c>
      <c r="S200" s="80">
        <f>S180*CHOOSE(Credit_Assumptions!$D$28,S198*S199*(1+Credit_Assumptions!$C$17)^-0.5,(1-Credit_Assumptions!$C$16)*S199*(1+Credit_Assumptions!$C$17)^-0.5,S199)+S181*CHOOSE(Credit_Assumptions!$D$29,S198*S199*(1+Credit_Assumptions!$C$17)^-0.5,(1-Credit_Assumptions!$C$16)*S199*(1+Credit_Assumptions!$C$17)^-0.5,S199)+S182*CHOOSE(Credit_Assumptions!$D$30,S198*S199*(1+Credit_Assumptions!$C$17)^-0.5,(1-Credit_Assumptions!$C$16)*S199*(1+Credit_Assumptions!$C$17)^-0.5,S199)+S183*CHOOSE(Credit_Assumptions!$D$31,S198*S199*(1+Credit_Assumptions!$C$17)^-0.5,(1-Credit_Assumptions!$C$16)*S199*(1+Credit_Assumptions!$C$17)^-0.5,S199)+S184*CHOOSE(Credit_Assumptions!$D$32,S198*S199*(1+Credit_Assumptions!$C$17)^-0.5,(1-Credit_Assumptions!$C$16)*S199*(1+Credit_Assumptions!$C$17)^-0.5,S199)+S185*CHOOSE(Credit_Assumptions!$D$33,S198*S199*(1+Credit_Assumptions!$C$17)^-0.5,(1-Credit_Assumptions!$C$16)*S199*(1+Credit_Assumptions!$C$17)^-0.5,S199)</f>
        <v/>
      </c>
      <c r="T200" s="80">
        <f>T180*CHOOSE(Credit_Assumptions!$D$28,T198*T199*(1+Credit_Assumptions!$C$17)^-0.5,(1-Credit_Assumptions!$C$16)*T199*(1+Credit_Assumptions!$C$17)^-0.5,T199)+T181*CHOOSE(Credit_Assumptions!$D$29,T198*T199*(1+Credit_Assumptions!$C$17)^-0.5,(1-Credit_Assumptions!$C$16)*T199*(1+Credit_Assumptions!$C$17)^-0.5,T199)+T182*CHOOSE(Credit_Assumptions!$D$30,T198*T199*(1+Credit_Assumptions!$C$17)^-0.5,(1-Credit_Assumptions!$C$16)*T199*(1+Credit_Assumptions!$C$17)^-0.5,T199)+T183*CHOOSE(Credit_Assumptions!$D$31,T198*T199*(1+Credit_Assumptions!$C$17)^-0.5,(1-Credit_Assumptions!$C$16)*T199*(1+Credit_Assumptions!$C$17)^-0.5,T199)+T184*CHOOSE(Credit_Assumptions!$D$32,T198*T199*(1+Credit_Assumptions!$C$17)^-0.5,(1-Credit_Assumptions!$C$16)*T199*(1+Credit_Assumptions!$C$17)^-0.5,T199)+T185*CHOOSE(Credit_Assumptions!$D$33,T198*T199*(1+Credit_Assumptions!$C$17)^-0.5,(1-Credit_Assumptions!$C$16)*T199*(1+Credit_Assumptions!$C$17)^-0.5,T199)</f>
        <v/>
      </c>
      <c r="U200" s="80">
        <f>U180*CHOOSE(Credit_Assumptions!$D$28,U198*U199*(1+Credit_Assumptions!$C$17)^-0.5,(1-Credit_Assumptions!$C$16)*U199*(1+Credit_Assumptions!$C$17)^-0.5,U199)+U181*CHOOSE(Credit_Assumptions!$D$29,U198*U199*(1+Credit_Assumptions!$C$17)^-0.5,(1-Credit_Assumptions!$C$16)*U199*(1+Credit_Assumptions!$C$17)^-0.5,U199)+U182*CHOOSE(Credit_Assumptions!$D$30,U198*U199*(1+Credit_Assumptions!$C$17)^-0.5,(1-Credit_Assumptions!$C$16)*U199*(1+Credit_Assumptions!$C$17)^-0.5,U199)+U183*CHOOSE(Credit_Assumptions!$D$31,U198*U199*(1+Credit_Assumptions!$C$17)^-0.5,(1-Credit_Assumptions!$C$16)*U199*(1+Credit_Assumptions!$C$17)^-0.5,U199)+U184*CHOOSE(Credit_Assumptions!$D$32,U198*U199*(1+Credit_Assumptions!$C$17)^-0.5,(1-Credit_Assumptions!$C$16)*U199*(1+Credit_Assumptions!$C$17)^-0.5,U199)+U185*CHOOSE(Credit_Assumptions!$D$33,U198*U199*(1+Credit_Assumptions!$C$17)^-0.5,(1-Credit_Assumptions!$C$16)*U199*(1+Credit_Assumptions!$C$17)^-0.5,U199)</f>
        <v/>
      </c>
      <c r="V200" s="80">
        <f>V180*CHOOSE(Credit_Assumptions!$D$28,V198*V199*(1+Credit_Assumptions!$C$17)^-0.5,(1-Credit_Assumptions!$C$16)*V199*(1+Credit_Assumptions!$C$17)^-0.5,V199)+V181*CHOOSE(Credit_Assumptions!$D$29,V198*V199*(1+Credit_Assumptions!$C$17)^-0.5,(1-Credit_Assumptions!$C$16)*V199*(1+Credit_Assumptions!$C$17)^-0.5,V199)+V182*CHOOSE(Credit_Assumptions!$D$30,V198*V199*(1+Credit_Assumptions!$C$17)^-0.5,(1-Credit_Assumptions!$C$16)*V199*(1+Credit_Assumptions!$C$17)^-0.5,V199)+V183*CHOOSE(Credit_Assumptions!$D$31,V198*V199*(1+Credit_Assumptions!$C$17)^-0.5,(1-Credit_Assumptions!$C$16)*V199*(1+Credit_Assumptions!$C$17)^-0.5,V199)+V184*CHOOSE(Credit_Assumptions!$D$32,V198*V199*(1+Credit_Assumptions!$C$17)^-0.5,(1-Credit_Assumptions!$C$16)*V199*(1+Credit_Assumptions!$C$17)^-0.5,V199)+V185*CHOOSE(Credit_Assumptions!$D$33,V198*V199*(1+Credit_Assumptions!$C$17)^-0.5,(1-Credit_Assumptions!$C$16)*V199*(1+Credit_Assumptions!$C$17)^-0.5,V199)</f>
        <v/>
      </c>
      <c r="W200" s="80">
        <f>W180*CHOOSE(Credit_Assumptions!$D$28,W198*W199*(1+Credit_Assumptions!$C$17)^-0.5,(1-Credit_Assumptions!$C$16)*W199*(1+Credit_Assumptions!$C$17)^-0.5,W199)+W181*CHOOSE(Credit_Assumptions!$D$29,W198*W199*(1+Credit_Assumptions!$C$17)^-0.5,(1-Credit_Assumptions!$C$16)*W199*(1+Credit_Assumptions!$C$17)^-0.5,W199)+W182*CHOOSE(Credit_Assumptions!$D$30,W198*W199*(1+Credit_Assumptions!$C$17)^-0.5,(1-Credit_Assumptions!$C$16)*W199*(1+Credit_Assumptions!$C$17)^-0.5,W199)+W183*CHOOSE(Credit_Assumptions!$D$31,W198*W199*(1+Credit_Assumptions!$C$17)^-0.5,(1-Credit_Assumptions!$C$16)*W199*(1+Credit_Assumptions!$C$17)^-0.5,W199)+W184*CHOOSE(Credit_Assumptions!$D$32,W198*W199*(1+Credit_Assumptions!$C$17)^-0.5,(1-Credit_Assumptions!$C$16)*W199*(1+Credit_Assumptions!$C$17)^-0.5,W199)+W185*CHOOSE(Credit_Assumptions!$D$33,W198*W199*(1+Credit_Assumptions!$C$17)^-0.5,(1-Credit_Assumptions!$C$16)*W199*(1+Credit_Assumptions!$C$17)^-0.5,W199)</f>
        <v/>
      </c>
      <c r="X200" s="80">
        <f>X180*CHOOSE(Credit_Assumptions!$D$28,X198*X199*(1+Credit_Assumptions!$C$17)^-0.5,(1-Credit_Assumptions!$C$16)*X199*(1+Credit_Assumptions!$C$17)^-0.5,X199)+X181*CHOOSE(Credit_Assumptions!$D$29,X198*X199*(1+Credit_Assumptions!$C$17)^-0.5,(1-Credit_Assumptions!$C$16)*X199*(1+Credit_Assumptions!$C$17)^-0.5,X199)+X182*CHOOSE(Credit_Assumptions!$D$30,X198*X199*(1+Credit_Assumptions!$C$17)^-0.5,(1-Credit_Assumptions!$C$16)*X199*(1+Credit_Assumptions!$C$17)^-0.5,X199)+X183*CHOOSE(Credit_Assumptions!$D$31,X198*X199*(1+Credit_Assumptions!$C$17)^-0.5,(1-Credit_Assumptions!$C$16)*X199*(1+Credit_Assumptions!$C$17)^-0.5,X199)+X184*CHOOSE(Credit_Assumptions!$D$32,X198*X199*(1+Credit_Assumptions!$C$17)^-0.5,(1-Credit_Assumptions!$C$16)*X199*(1+Credit_Assumptions!$C$17)^-0.5,X199)+X185*CHOOSE(Credit_Assumptions!$D$33,X198*X199*(1+Credit_Assumptions!$C$17)^-0.5,(1-Credit_Assumptions!$C$16)*X199*(1+Credit_Assumptions!$C$17)^-0.5,X199)</f>
        <v/>
      </c>
      <c r="Y200" s="80">
        <f>Y180*CHOOSE(Credit_Assumptions!$D$28,Y198*Y199*(1+Credit_Assumptions!$C$17)^-0.5,(1-Credit_Assumptions!$C$16)*Y199*(1+Credit_Assumptions!$C$17)^-0.5,Y199)+Y181*CHOOSE(Credit_Assumptions!$D$29,Y198*Y199*(1+Credit_Assumptions!$C$17)^-0.5,(1-Credit_Assumptions!$C$16)*Y199*(1+Credit_Assumptions!$C$17)^-0.5,Y199)+Y182*CHOOSE(Credit_Assumptions!$D$30,Y198*Y199*(1+Credit_Assumptions!$C$17)^-0.5,(1-Credit_Assumptions!$C$16)*Y199*(1+Credit_Assumptions!$C$17)^-0.5,Y199)+Y183*CHOOSE(Credit_Assumptions!$D$31,Y198*Y199*(1+Credit_Assumptions!$C$17)^-0.5,(1-Credit_Assumptions!$C$16)*Y199*(1+Credit_Assumptions!$C$17)^-0.5,Y199)+Y184*CHOOSE(Credit_Assumptions!$D$32,Y198*Y199*(1+Credit_Assumptions!$C$17)^-0.5,(1-Credit_Assumptions!$C$16)*Y199*(1+Credit_Assumptions!$C$17)^-0.5,Y199)+Y185*CHOOSE(Credit_Assumptions!$D$33,Y198*Y199*(1+Credit_Assumptions!$C$17)^-0.5,(1-Credit_Assumptions!$C$16)*Y199*(1+Credit_Assumptions!$C$17)^-0.5,Y199)</f>
        <v/>
      </c>
      <c r="Z200" s="80">
        <f>Z180*CHOOSE(Credit_Assumptions!$D$28,Z198*Z199*(1+Credit_Assumptions!$C$17)^-0.5,(1-Credit_Assumptions!$C$16)*Z199*(1+Credit_Assumptions!$C$17)^-0.5,Z199)+Z181*CHOOSE(Credit_Assumptions!$D$29,Z198*Z199*(1+Credit_Assumptions!$C$17)^-0.5,(1-Credit_Assumptions!$C$16)*Z199*(1+Credit_Assumptions!$C$17)^-0.5,Z199)+Z182*CHOOSE(Credit_Assumptions!$D$30,Z198*Z199*(1+Credit_Assumptions!$C$17)^-0.5,(1-Credit_Assumptions!$C$16)*Z199*(1+Credit_Assumptions!$C$17)^-0.5,Z199)+Z183*CHOOSE(Credit_Assumptions!$D$31,Z198*Z199*(1+Credit_Assumptions!$C$17)^-0.5,(1-Credit_Assumptions!$C$16)*Z199*(1+Credit_Assumptions!$C$17)^-0.5,Z199)+Z184*CHOOSE(Credit_Assumptions!$D$32,Z198*Z199*(1+Credit_Assumptions!$C$17)^-0.5,(1-Credit_Assumptions!$C$16)*Z199*(1+Credit_Assumptions!$C$17)^-0.5,Z199)+Z185*CHOOSE(Credit_Assumptions!$D$33,Z198*Z199*(1+Credit_Assumptions!$C$17)^-0.5,(1-Credit_Assumptions!$C$16)*Z199*(1+Credit_Assumptions!$C$17)^-0.5,Z199)</f>
        <v/>
      </c>
      <c r="AA200" s="80">
        <f>AA180*CHOOSE(Credit_Assumptions!$D$28,AA198*AA199*(1+Credit_Assumptions!$C$17)^-0.5,(1-Credit_Assumptions!$C$16)*AA199*(1+Credit_Assumptions!$C$17)^-0.5,AA199)+AA181*CHOOSE(Credit_Assumptions!$D$29,AA198*AA199*(1+Credit_Assumptions!$C$17)^-0.5,(1-Credit_Assumptions!$C$16)*AA199*(1+Credit_Assumptions!$C$17)^-0.5,AA199)+AA182*CHOOSE(Credit_Assumptions!$D$30,AA198*AA199*(1+Credit_Assumptions!$C$17)^-0.5,(1-Credit_Assumptions!$C$16)*AA199*(1+Credit_Assumptions!$C$17)^-0.5,AA199)+AA183*CHOOSE(Credit_Assumptions!$D$31,AA198*AA199*(1+Credit_Assumptions!$C$17)^-0.5,(1-Credit_Assumptions!$C$16)*AA199*(1+Credit_Assumptions!$C$17)^-0.5,AA199)+AA184*CHOOSE(Credit_Assumptions!$D$32,AA198*AA199*(1+Credit_Assumptions!$C$17)^-0.5,(1-Credit_Assumptions!$C$16)*AA199*(1+Credit_Assumptions!$C$17)^-0.5,AA199)+AA185*CHOOSE(Credit_Assumptions!$D$33,AA198*AA199*(1+Credit_Assumptions!$C$17)^-0.5,(1-Credit_Assumptions!$C$16)*AA199*(1+Credit_Assumptions!$C$17)^-0.5,AA199)</f>
        <v/>
      </c>
      <c r="AB200" s="80">
        <f>AB180*CHOOSE(Credit_Assumptions!$D$28,AB198*AB199*(1+Credit_Assumptions!$C$17)^-0.5,(1-Credit_Assumptions!$C$16)*AB199*(1+Credit_Assumptions!$C$17)^-0.5,AB199)+AB181*CHOOSE(Credit_Assumptions!$D$29,AB198*AB199*(1+Credit_Assumptions!$C$17)^-0.5,(1-Credit_Assumptions!$C$16)*AB199*(1+Credit_Assumptions!$C$17)^-0.5,AB199)+AB182*CHOOSE(Credit_Assumptions!$D$30,AB198*AB199*(1+Credit_Assumptions!$C$17)^-0.5,(1-Credit_Assumptions!$C$16)*AB199*(1+Credit_Assumptions!$C$17)^-0.5,AB199)+AB183*CHOOSE(Credit_Assumptions!$D$31,AB198*AB199*(1+Credit_Assumptions!$C$17)^-0.5,(1-Credit_Assumptions!$C$16)*AB199*(1+Credit_Assumptions!$C$17)^-0.5,AB199)+AB184*CHOOSE(Credit_Assumptions!$D$32,AB198*AB199*(1+Credit_Assumptions!$C$17)^-0.5,(1-Credit_Assumptions!$C$16)*AB199*(1+Credit_Assumptions!$C$17)^-0.5,AB199)+AB185*CHOOSE(Credit_Assumptions!$D$33,AB198*AB199*(1+Credit_Assumptions!$C$17)^-0.5,(1-Credit_Assumptions!$C$16)*AB199*(1+Credit_Assumptions!$C$17)^-0.5,AB199)</f>
        <v/>
      </c>
      <c r="AC200" s="80">
        <f>AC180*CHOOSE(Credit_Assumptions!$D$28,AC198*AC199*(1+Credit_Assumptions!$C$17)^-0.5,(1-Credit_Assumptions!$C$16)*AC199*(1+Credit_Assumptions!$C$17)^-0.5,AC199)+AC181*CHOOSE(Credit_Assumptions!$D$29,AC198*AC199*(1+Credit_Assumptions!$C$17)^-0.5,(1-Credit_Assumptions!$C$16)*AC199*(1+Credit_Assumptions!$C$17)^-0.5,AC199)+AC182*CHOOSE(Credit_Assumptions!$D$30,AC198*AC199*(1+Credit_Assumptions!$C$17)^-0.5,(1-Credit_Assumptions!$C$16)*AC199*(1+Credit_Assumptions!$C$17)^-0.5,AC199)+AC183*CHOOSE(Credit_Assumptions!$D$31,AC198*AC199*(1+Credit_Assumptions!$C$17)^-0.5,(1-Credit_Assumptions!$C$16)*AC199*(1+Credit_Assumptions!$C$17)^-0.5,AC199)+AC184*CHOOSE(Credit_Assumptions!$D$32,AC198*AC199*(1+Credit_Assumptions!$C$17)^-0.5,(1-Credit_Assumptions!$C$16)*AC199*(1+Credit_Assumptions!$C$17)^-0.5,AC199)+AC185*CHOOSE(Credit_Assumptions!$D$33,AC198*AC199*(1+Credit_Assumptions!$C$17)^-0.5,(1-Credit_Assumptions!$C$16)*AC199*(1+Credit_Assumptions!$C$17)^-0.5,AC199)</f>
        <v/>
      </c>
      <c r="AD200" s="80">
        <f>AD180*CHOOSE(Credit_Assumptions!$D$28,AD198*AD199*(1+Credit_Assumptions!$C$17)^-0.5,(1-Credit_Assumptions!$C$16)*AD199*(1+Credit_Assumptions!$C$17)^-0.5,AD199)+AD181*CHOOSE(Credit_Assumptions!$D$29,AD198*AD199*(1+Credit_Assumptions!$C$17)^-0.5,(1-Credit_Assumptions!$C$16)*AD199*(1+Credit_Assumptions!$C$17)^-0.5,AD199)+AD182*CHOOSE(Credit_Assumptions!$D$30,AD198*AD199*(1+Credit_Assumptions!$C$17)^-0.5,(1-Credit_Assumptions!$C$16)*AD199*(1+Credit_Assumptions!$C$17)^-0.5,AD199)+AD183*CHOOSE(Credit_Assumptions!$D$31,AD198*AD199*(1+Credit_Assumptions!$C$17)^-0.5,(1-Credit_Assumptions!$C$16)*AD199*(1+Credit_Assumptions!$C$17)^-0.5,AD199)+AD184*CHOOSE(Credit_Assumptions!$D$32,AD198*AD199*(1+Credit_Assumptions!$C$17)^-0.5,(1-Credit_Assumptions!$C$16)*AD199*(1+Credit_Assumptions!$C$17)^-0.5,AD199)+AD185*CHOOSE(Credit_Assumptions!$D$33,AD198*AD199*(1+Credit_Assumptions!$C$17)^-0.5,(1-Credit_Assumptions!$C$16)*AD199*(1+Credit_Assumptions!$C$17)^-0.5,AD199)</f>
        <v/>
      </c>
      <c r="AE200" s="80">
        <f>AE180*CHOOSE(Credit_Assumptions!$D$28,AE198*AE199*(1+Credit_Assumptions!$C$17)^-0.5,(1-Credit_Assumptions!$C$16)*AE199*(1+Credit_Assumptions!$C$17)^-0.5,AE199)+AE181*CHOOSE(Credit_Assumptions!$D$29,AE198*AE199*(1+Credit_Assumptions!$C$17)^-0.5,(1-Credit_Assumptions!$C$16)*AE199*(1+Credit_Assumptions!$C$17)^-0.5,AE199)+AE182*CHOOSE(Credit_Assumptions!$D$30,AE198*AE199*(1+Credit_Assumptions!$C$17)^-0.5,(1-Credit_Assumptions!$C$16)*AE199*(1+Credit_Assumptions!$C$17)^-0.5,AE199)+AE183*CHOOSE(Credit_Assumptions!$D$31,AE198*AE199*(1+Credit_Assumptions!$C$17)^-0.5,(1-Credit_Assumptions!$C$16)*AE199*(1+Credit_Assumptions!$C$17)^-0.5,AE199)+AE184*CHOOSE(Credit_Assumptions!$D$32,AE198*AE199*(1+Credit_Assumptions!$C$17)^-0.5,(1-Credit_Assumptions!$C$16)*AE199*(1+Credit_Assumptions!$C$17)^-0.5,AE199)+AE185*CHOOSE(Credit_Assumptions!$D$33,AE198*AE199*(1+Credit_Assumptions!$C$17)^-0.5,(1-Credit_Assumptions!$C$16)*AE199*(1+Credit_Assumptions!$C$17)^-0.5,AE199)</f>
        <v/>
      </c>
      <c r="AF200" s="80">
        <f>AF180*CHOOSE(Credit_Assumptions!$D$28,AF198*AF199*(1+Credit_Assumptions!$C$17)^-0.5,(1-Credit_Assumptions!$C$16)*AF199*(1+Credit_Assumptions!$C$17)^-0.5,AF199)+AF181*CHOOSE(Credit_Assumptions!$D$29,AF198*AF199*(1+Credit_Assumptions!$C$17)^-0.5,(1-Credit_Assumptions!$C$16)*AF199*(1+Credit_Assumptions!$C$17)^-0.5,AF199)+AF182*CHOOSE(Credit_Assumptions!$D$30,AF198*AF199*(1+Credit_Assumptions!$C$17)^-0.5,(1-Credit_Assumptions!$C$16)*AF199*(1+Credit_Assumptions!$C$17)^-0.5,AF199)+AF183*CHOOSE(Credit_Assumptions!$D$31,AF198*AF199*(1+Credit_Assumptions!$C$17)^-0.5,(1-Credit_Assumptions!$C$16)*AF199*(1+Credit_Assumptions!$C$17)^-0.5,AF199)+AF184*CHOOSE(Credit_Assumptions!$D$32,AF198*AF199*(1+Credit_Assumptions!$C$17)^-0.5,(1-Credit_Assumptions!$C$16)*AF199*(1+Credit_Assumptions!$C$17)^-0.5,AF199)+AF185*CHOOSE(Credit_Assumptions!$D$33,AF198*AF199*(1+Credit_Assumptions!$C$17)^-0.5,(1-Credit_Assumptions!$C$16)*AF199*(1+Credit_Assumptions!$C$17)^-0.5,AF199)</f>
        <v/>
      </c>
      <c r="AG200" s="80">
        <f>AG180*CHOOSE(Credit_Assumptions!$D$28,AG198*AG199*(1+Credit_Assumptions!$C$17)^-0.5,(1-Credit_Assumptions!$C$16)*AG199*(1+Credit_Assumptions!$C$17)^-0.5,AG199)+AG181*CHOOSE(Credit_Assumptions!$D$29,AG198*AG199*(1+Credit_Assumptions!$C$17)^-0.5,(1-Credit_Assumptions!$C$16)*AG199*(1+Credit_Assumptions!$C$17)^-0.5,AG199)+AG182*CHOOSE(Credit_Assumptions!$D$30,AG198*AG199*(1+Credit_Assumptions!$C$17)^-0.5,(1-Credit_Assumptions!$C$16)*AG199*(1+Credit_Assumptions!$C$17)^-0.5,AG199)+AG183*CHOOSE(Credit_Assumptions!$D$31,AG198*AG199*(1+Credit_Assumptions!$C$17)^-0.5,(1-Credit_Assumptions!$C$16)*AG199*(1+Credit_Assumptions!$C$17)^-0.5,AG199)+AG184*CHOOSE(Credit_Assumptions!$D$32,AG198*AG199*(1+Credit_Assumptions!$C$17)^-0.5,(1-Credit_Assumptions!$C$16)*AG199*(1+Credit_Assumptions!$C$17)^-0.5,AG199)+AG185*CHOOSE(Credit_Assumptions!$D$33,AG198*AG199*(1+Credit_Assumptions!$C$17)^-0.5,(1-Credit_Assumptions!$C$16)*AG199*(1+Credit_Assumptions!$C$17)^-0.5,AG199)</f>
        <v/>
      </c>
      <c r="AH200" s="80">
        <f>AH180*CHOOSE(Credit_Assumptions!$D$28,AH198*AH199*(1+Credit_Assumptions!$C$17)^-0.5,(1-Credit_Assumptions!$C$16)*AH199*(1+Credit_Assumptions!$C$17)^-0.5,AH199)+AH181*CHOOSE(Credit_Assumptions!$D$29,AH198*AH199*(1+Credit_Assumptions!$C$17)^-0.5,(1-Credit_Assumptions!$C$16)*AH199*(1+Credit_Assumptions!$C$17)^-0.5,AH199)+AH182*CHOOSE(Credit_Assumptions!$D$30,AH198*AH199*(1+Credit_Assumptions!$C$17)^-0.5,(1-Credit_Assumptions!$C$16)*AH199*(1+Credit_Assumptions!$C$17)^-0.5,AH199)+AH183*CHOOSE(Credit_Assumptions!$D$31,AH198*AH199*(1+Credit_Assumptions!$C$17)^-0.5,(1-Credit_Assumptions!$C$16)*AH199*(1+Credit_Assumptions!$C$17)^-0.5,AH199)+AH184*CHOOSE(Credit_Assumptions!$D$32,AH198*AH199*(1+Credit_Assumptions!$C$17)^-0.5,(1-Credit_Assumptions!$C$16)*AH199*(1+Credit_Assumptions!$C$17)^-0.5,AH199)+AH185*CHOOSE(Credit_Assumptions!$D$33,AH198*AH199*(1+Credit_Assumptions!$C$17)^-0.5,(1-Credit_Assumptions!$C$16)*AH199*(1+Credit_Assumptions!$C$17)^-0.5,AH199)</f>
        <v/>
      </c>
      <c r="AI200" s="80">
        <f>AI180*CHOOSE(Credit_Assumptions!$D$28,AI198*AI199*(1+Credit_Assumptions!$C$17)^-0.5,(1-Credit_Assumptions!$C$16)*AI199*(1+Credit_Assumptions!$C$17)^-0.5,AI199)+AI181*CHOOSE(Credit_Assumptions!$D$29,AI198*AI199*(1+Credit_Assumptions!$C$17)^-0.5,(1-Credit_Assumptions!$C$16)*AI199*(1+Credit_Assumptions!$C$17)^-0.5,AI199)+AI182*CHOOSE(Credit_Assumptions!$D$30,AI198*AI199*(1+Credit_Assumptions!$C$17)^-0.5,(1-Credit_Assumptions!$C$16)*AI199*(1+Credit_Assumptions!$C$17)^-0.5,AI199)+AI183*CHOOSE(Credit_Assumptions!$D$31,AI198*AI199*(1+Credit_Assumptions!$C$17)^-0.5,(1-Credit_Assumptions!$C$16)*AI199*(1+Credit_Assumptions!$C$17)^-0.5,AI199)+AI184*CHOOSE(Credit_Assumptions!$D$32,AI198*AI199*(1+Credit_Assumptions!$C$17)^-0.5,(1-Credit_Assumptions!$C$16)*AI199*(1+Credit_Assumptions!$C$17)^-0.5,AI199)+AI185*CHOOSE(Credit_Assumptions!$D$33,AI198*AI199*(1+Credit_Assumptions!$C$17)^-0.5,(1-Credit_Assumptions!$C$16)*AI199*(1+Credit_Assumptions!$C$17)^-0.5,AI199)</f>
        <v/>
      </c>
      <c r="AJ200" s="80">
        <f>AJ180*CHOOSE(Credit_Assumptions!$D$28,AJ198*AJ199*(1+Credit_Assumptions!$C$17)^-0.5,(1-Credit_Assumptions!$C$16)*AJ199*(1+Credit_Assumptions!$C$17)^-0.5,AJ199)+AJ181*CHOOSE(Credit_Assumptions!$D$29,AJ198*AJ199*(1+Credit_Assumptions!$C$17)^-0.5,(1-Credit_Assumptions!$C$16)*AJ199*(1+Credit_Assumptions!$C$17)^-0.5,AJ199)+AJ182*CHOOSE(Credit_Assumptions!$D$30,AJ198*AJ199*(1+Credit_Assumptions!$C$17)^-0.5,(1-Credit_Assumptions!$C$16)*AJ199*(1+Credit_Assumptions!$C$17)^-0.5,AJ199)+AJ183*CHOOSE(Credit_Assumptions!$D$31,AJ198*AJ199*(1+Credit_Assumptions!$C$17)^-0.5,(1-Credit_Assumptions!$C$16)*AJ199*(1+Credit_Assumptions!$C$17)^-0.5,AJ199)+AJ184*CHOOSE(Credit_Assumptions!$D$32,AJ198*AJ199*(1+Credit_Assumptions!$C$17)^-0.5,(1-Credit_Assumptions!$C$16)*AJ199*(1+Credit_Assumptions!$C$17)^-0.5,AJ199)+AJ185*CHOOSE(Credit_Assumptions!$D$33,AJ198*AJ199*(1+Credit_Assumptions!$C$17)^-0.5,(1-Credit_Assumptions!$C$16)*AJ199*(1+Credit_Assumptions!$C$17)^-0.5,AJ199)</f>
        <v/>
      </c>
      <c r="AK200" s="80">
        <f>AK180*CHOOSE(Credit_Assumptions!$D$28,AK198*AK199*(1+Credit_Assumptions!$C$17)^-0.5,(1-Credit_Assumptions!$C$16)*AK199*(1+Credit_Assumptions!$C$17)^-0.5,AK199)+AK181*CHOOSE(Credit_Assumptions!$D$29,AK198*AK199*(1+Credit_Assumptions!$C$17)^-0.5,(1-Credit_Assumptions!$C$16)*AK199*(1+Credit_Assumptions!$C$17)^-0.5,AK199)+AK182*CHOOSE(Credit_Assumptions!$D$30,AK198*AK199*(1+Credit_Assumptions!$C$17)^-0.5,(1-Credit_Assumptions!$C$16)*AK199*(1+Credit_Assumptions!$C$17)^-0.5,AK199)+AK183*CHOOSE(Credit_Assumptions!$D$31,AK198*AK199*(1+Credit_Assumptions!$C$17)^-0.5,(1-Credit_Assumptions!$C$16)*AK199*(1+Credit_Assumptions!$C$17)^-0.5,AK199)+AK184*CHOOSE(Credit_Assumptions!$D$32,AK198*AK199*(1+Credit_Assumptions!$C$17)^-0.5,(1-Credit_Assumptions!$C$16)*AK199*(1+Credit_Assumptions!$C$17)^-0.5,AK199)+AK185*CHOOSE(Credit_Assumptions!$D$33,AK198*AK199*(1+Credit_Assumptions!$C$17)^-0.5,(1-Credit_Assumptions!$C$16)*AK199*(1+Credit_Assumptions!$C$17)^-0.5,AK199)</f>
        <v/>
      </c>
      <c r="AL200" s="80">
        <f>AL180*CHOOSE(Credit_Assumptions!$D$28,AL198*AL199*(1+Credit_Assumptions!$C$17)^-0.5,(1-Credit_Assumptions!$C$16)*AL199*(1+Credit_Assumptions!$C$17)^-0.5,AL199)+AL181*CHOOSE(Credit_Assumptions!$D$29,AL198*AL199*(1+Credit_Assumptions!$C$17)^-0.5,(1-Credit_Assumptions!$C$16)*AL199*(1+Credit_Assumptions!$C$17)^-0.5,AL199)+AL182*CHOOSE(Credit_Assumptions!$D$30,AL198*AL199*(1+Credit_Assumptions!$C$17)^-0.5,(1-Credit_Assumptions!$C$16)*AL199*(1+Credit_Assumptions!$C$17)^-0.5,AL199)+AL183*CHOOSE(Credit_Assumptions!$D$31,AL198*AL199*(1+Credit_Assumptions!$C$17)^-0.5,(1-Credit_Assumptions!$C$16)*AL199*(1+Credit_Assumptions!$C$17)^-0.5,AL199)+AL184*CHOOSE(Credit_Assumptions!$D$32,AL198*AL199*(1+Credit_Assumptions!$C$17)^-0.5,(1-Credit_Assumptions!$C$16)*AL199*(1+Credit_Assumptions!$C$17)^-0.5,AL199)+AL185*CHOOSE(Credit_Assumptions!$D$33,AL198*AL199*(1+Credit_Assumptions!$C$17)^-0.5,(1-Credit_Assumptions!$C$16)*AL199*(1+Credit_Assumptions!$C$17)^-0.5,AL199)</f>
        <v/>
      </c>
      <c r="AM200" s="80">
        <f>AM180*CHOOSE(Credit_Assumptions!$D$28,AM198*AM199*(1+Credit_Assumptions!$C$17)^-0.5,(1-Credit_Assumptions!$C$16)*AM199*(1+Credit_Assumptions!$C$17)^-0.5,AM199)+AM181*CHOOSE(Credit_Assumptions!$D$29,AM198*AM199*(1+Credit_Assumptions!$C$17)^-0.5,(1-Credit_Assumptions!$C$16)*AM199*(1+Credit_Assumptions!$C$17)^-0.5,AM199)+AM182*CHOOSE(Credit_Assumptions!$D$30,AM198*AM199*(1+Credit_Assumptions!$C$17)^-0.5,(1-Credit_Assumptions!$C$16)*AM199*(1+Credit_Assumptions!$C$17)^-0.5,AM199)+AM183*CHOOSE(Credit_Assumptions!$D$31,AM198*AM199*(1+Credit_Assumptions!$C$17)^-0.5,(1-Credit_Assumptions!$C$16)*AM199*(1+Credit_Assumptions!$C$17)^-0.5,AM199)+AM184*CHOOSE(Credit_Assumptions!$D$32,AM198*AM199*(1+Credit_Assumptions!$C$17)^-0.5,(1-Credit_Assumptions!$C$16)*AM199*(1+Credit_Assumptions!$C$17)^-0.5,AM199)+AM185*CHOOSE(Credit_Assumptions!$D$33,AM198*AM199*(1+Credit_Assumptions!$C$17)^-0.5,(1-Credit_Assumptions!$C$16)*AM199*(1+Credit_Assumptions!$C$17)^-0.5,AM199)</f>
        <v/>
      </c>
      <c r="AN200" s="80">
        <f>AN180*CHOOSE(Credit_Assumptions!$D$28,AN198*AN199*(1+Credit_Assumptions!$C$17)^-0.5,(1-Credit_Assumptions!$C$16)*AN199*(1+Credit_Assumptions!$C$17)^-0.5,AN199)+AN181*CHOOSE(Credit_Assumptions!$D$29,AN198*AN199*(1+Credit_Assumptions!$C$17)^-0.5,(1-Credit_Assumptions!$C$16)*AN199*(1+Credit_Assumptions!$C$17)^-0.5,AN199)+AN182*CHOOSE(Credit_Assumptions!$D$30,AN198*AN199*(1+Credit_Assumptions!$C$17)^-0.5,(1-Credit_Assumptions!$C$16)*AN199*(1+Credit_Assumptions!$C$17)^-0.5,AN199)+AN183*CHOOSE(Credit_Assumptions!$D$31,AN198*AN199*(1+Credit_Assumptions!$C$17)^-0.5,(1-Credit_Assumptions!$C$16)*AN199*(1+Credit_Assumptions!$C$17)^-0.5,AN199)+AN184*CHOOSE(Credit_Assumptions!$D$32,AN198*AN199*(1+Credit_Assumptions!$C$17)^-0.5,(1-Credit_Assumptions!$C$16)*AN199*(1+Credit_Assumptions!$C$17)^-0.5,AN199)+AN185*CHOOSE(Credit_Assumptions!$D$33,AN198*AN199*(1+Credit_Assumptions!$C$17)^-0.5,(1-Credit_Assumptions!$C$16)*AN199*(1+Credit_Assumptions!$C$17)^-0.5,AN199)</f>
        <v/>
      </c>
      <c r="AO200" s="80">
        <f>AO180*CHOOSE(Credit_Assumptions!$D$28,AO198*AO199*(1+Credit_Assumptions!$C$17)^-0.5,(1-Credit_Assumptions!$C$16)*AO199*(1+Credit_Assumptions!$C$17)^-0.5,AO199)+AO181*CHOOSE(Credit_Assumptions!$D$29,AO198*AO199*(1+Credit_Assumptions!$C$17)^-0.5,(1-Credit_Assumptions!$C$16)*AO199*(1+Credit_Assumptions!$C$17)^-0.5,AO199)+AO182*CHOOSE(Credit_Assumptions!$D$30,AO198*AO199*(1+Credit_Assumptions!$C$17)^-0.5,(1-Credit_Assumptions!$C$16)*AO199*(1+Credit_Assumptions!$C$17)^-0.5,AO199)+AO183*CHOOSE(Credit_Assumptions!$D$31,AO198*AO199*(1+Credit_Assumptions!$C$17)^-0.5,(1-Credit_Assumptions!$C$16)*AO199*(1+Credit_Assumptions!$C$17)^-0.5,AO199)+AO184*CHOOSE(Credit_Assumptions!$D$32,AO198*AO199*(1+Credit_Assumptions!$C$17)^-0.5,(1-Credit_Assumptions!$C$16)*AO199*(1+Credit_Assumptions!$C$17)^-0.5,AO199)+AO185*CHOOSE(Credit_Assumptions!$D$33,AO198*AO199*(1+Credit_Assumptions!$C$17)^-0.5,(1-Credit_Assumptions!$C$16)*AO199*(1+Credit_Assumptions!$C$17)^-0.5,AO199)</f>
        <v/>
      </c>
      <c r="AP200" s="80">
        <f>AP180*CHOOSE(Credit_Assumptions!$D$28,AP198*AP199*(1+Credit_Assumptions!$C$17)^-0.5,(1-Credit_Assumptions!$C$16)*AP199*(1+Credit_Assumptions!$C$17)^-0.5,AP199)+AP181*CHOOSE(Credit_Assumptions!$D$29,AP198*AP199*(1+Credit_Assumptions!$C$17)^-0.5,(1-Credit_Assumptions!$C$16)*AP199*(1+Credit_Assumptions!$C$17)^-0.5,AP199)+AP182*CHOOSE(Credit_Assumptions!$D$30,AP198*AP199*(1+Credit_Assumptions!$C$17)^-0.5,(1-Credit_Assumptions!$C$16)*AP199*(1+Credit_Assumptions!$C$17)^-0.5,AP199)+AP183*CHOOSE(Credit_Assumptions!$D$31,AP198*AP199*(1+Credit_Assumptions!$C$17)^-0.5,(1-Credit_Assumptions!$C$16)*AP199*(1+Credit_Assumptions!$C$17)^-0.5,AP199)+AP184*CHOOSE(Credit_Assumptions!$D$32,AP198*AP199*(1+Credit_Assumptions!$C$17)^-0.5,(1-Credit_Assumptions!$C$16)*AP199*(1+Credit_Assumptions!$C$17)^-0.5,AP199)+AP185*CHOOSE(Credit_Assumptions!$D$33,AP198*AP199*(1+Credit_Assumptions!$C$17)^-0.5,(1-Credit_Assumptions!$C$16)*AP199*(1+Credit_Assumptions!$C$17)^-0.5,AP199)</f>
        <v/>
      </c>
      <c r="AQ200" s="80">
        <f>AQ180*CHOOSE(Credit_Assumptions!$D$28,AQ198*AQ199*(1+Credit_Assumptions!$C$17)^-0.5,(1-Credit_Assumptions!$C$16)*AQ199*(1+Credit_Assumptions!$C$17)^-0.5,AQ199)+AQ181*CHOOSE(Credit_Assumptions!$D$29,AQ198*AQ199*(1+Credit_Assumptions!$C$17)^-0.5,(1-Credit_Assumptions!$C$16)*AQ199*(1+Credit_Assumptions!$C$17)^-0.5,AQ199)+AQ182*CHOOSE(Credit_Assumptions!$D$30,AQ198*AQ199*(1+Credit_Assumptions!$C$17)^-0.5,(1-Credit_Assumptions!$C$16)*AQ199*(1+Credit_Assumptions!$C$17)^-0.5,AQ199)+AQ183*CHOOSE(Credit_Assumptions!$D$31,AQ198*AQ199*(1+Credit_Assumptions!$C$17)^-0.5,(1-Credit_Assumptions!$C$16)*AQ199*(1+Credit_Assumptions!$C$17)^-0.5,AQ199)+AQ184*CHOOSE(Credit_Assumptions!$D$32,AQ198*AQ199*(1+Credit_Assumptions!$C$17)^-0.5,(1-Credit_Assumptions!$C$16)*AQ199*(1+Credit_Assumptions!$C$17)^-0.5,AQ199)+AQ185*CHOOSE(Credit_Assumptions!$D$33,AQ198*AQ199*(1+Credit_Assumptions!$C$17)^-0.5,(1-Credit_Assumptions!$C$16)*AQ199*(1+Credit_Assumptions!$C$17)^-0.5,AQ199)</f>
        <v/>
      </c>
      <c r="AR200" s="80">
        <f>AR180*CHOOSE(Credit_Assumptions!$D$28,AR198*AR199*(1+Credit_Assumptions!$C$17)^-0.5,(1-Credit_Assumptions!$C$16)*AR199*(1+Credit_Assumptions!$C$17)^-0.5,AR199)+AR181*CHOOSE(Credit_Assumptions!$D$29,AR198*AR199*(1+Credit_Assumptions!$C$17)^-0.5,(1-Credit_Assumptions!$C$16)*AR199*(1+Credit_Assumptions!$C$17)^-0.5,AR199)+AR182*CHOOSE(Credit_Assumptions!$D$30,AR198*AR199*(1+Credit_Assumptions!$C$17)^-0.5,(1-Credit_Assumptions!$C$16)*AR199*(1+Credit_Assumptions!$C$17)^-0.5,AR199)+AR183*CHOOSE(Credit_Assumptions!$D$31,AR198*AR199*(1+Credit_Assumptions!$C$17)^-0.5,(1-Credit_Assumptions!$C$16)*AR199*(1+Credit_Assumptions!$C$17)^-0.5,AR199)+AR184*CHOOSE(Credit_Assumptions!$D$32,AR198*AR199*(1+Credit_Assumptions!$C$17)^-0.5,(1-Credit_Assumptions!$C$16)*AR199*(1+Credit_Assumptions!$C$17)^-0.5,AR199)+AR185*CHOOSE(Credit_Assumptions!$D$33,AR198*AR199*(1+Credit_Assumptions!$C$17)^-0.5,(1-Credit_Assumptions!$C$16)*AR199*(1+Credit_Assumptions!$C$17)^-0.5,AR199)</f>
        <v/>
      </c>
      <c r="AS200" s="80">
        <f>AS180*CHOOSE(Credit_Assumptions!$D$28,AS198*AS199*(1+Credit_Assumptions!$C$17)^-0.5,(1-Credit_Assumptions!$C$16)*AS199*(1+Credit_Assumptions!$C$17)^-0.5,AS199)+AS181*CHOOSE(Credit_Assumptions!$D$29,AS198*AS199*(1+Credit_Assumptions!$C$17)^-0.5,(1-Credit_Assumptions!$C$16)*AS199*(1+Credit_Assumptions!$C$17)^-0.5,AS199)+AS182*CHOOSE(Credit_Assumptions!$D$30,AS198*AS199*(1+Credit_Assumptions!$C$17)^-0.5,(1-Credit_Assumptions!$C$16)*AS199*(1+Credit_Assumptions!$C$17)^-0.5,AS199)+AS183*CHOOSE(Credit_Assumptions!$D$31,AS198*AS199*(1+Credit_Assumptions!$C$17)^-0.5,(1-Credit_Assumptions!$C$16)*AS199*(1+Credit_Assumptions!$C$17)^-0.5,AS199)+AS184*CHOOSE(Credit_Assumptions!$D$32,AS198*AS199*(1+Credit_Assumptions!$C$17)^-0.5,(1-Credit_Assumptions!$C$16)*AS199*(1+Credit_Assumptions!$C$17)^-0.5,AS199)+AS185*CHOOSE(Credit_Assumptions!$D$33,AS198*AS199*(1+Credit_Assumptions!$C$17)^-0.5,(1-Credit_Assumptions!$C$16)*AS199*(1+Credit_Assumptions!$C$17)^-0.5,AS199)</f>
        <v/>
      </c>
      <c r="AT200" s="80">
        <f>AT180*CHOOSE(Credit_Assumptions!$D$28,AT198*AT199*(1+Credit_Assumptions!$C$17)^-0.5,(1-Credit_Assumptions!$C$16)*AT199*(1+Credit_Assumptions!$C$17)^-0.5,AT199)+AT181*CHOOSE(Credit_Assumptions!$D$29,AT198*AT199*(1+Credit_Assumptions!$C$17)^-0.5,(1-Credit_Assumptions!$C$16)*AT199*(1+Credit_Assumptions!$C$17)^-0.5,AT199)+AT182*CHOOSE(Credit_Assumptions!$D$30,AT198*AT199*(1+Credit_Assumptions!$C$17)^-0.5,(1-Credit_Assumptions!$C$16)*AT199*(1+Credit_Assumptions!$C$17)^-0.5,AT199)+AT183*CHOOSE(Credit_Assumptions!$D$31,AT198*AT199*(1+Credit_Assumptions!$C$17)^-0.5,(1-Credit_Assumptions!$C$16)*AT199*(1+Credit_Assumptions!$C$17)^-0.5,AT199)+AT184*CHOOSE(Credit_Assumptions!$D$32,AT198*AT199*(1+Credit_Assumptions!$C$17)^-0.5,(1-Credit_Assumptions!$C$16)*AT199*(1+Credit_Assumptions!$C$17)^-0.5,AT199)+AT185*CHOOSE(Credit_Assumptions!$D$33,AT198*AT199*(1+Credit_Assumptions!$C$17)^-0.5,(1-Credit_Assumptions!$C$16)*AT199*(1+Credit_Assumptions!$C$17)^-0.5,AT199)</f>
        <v/>
      </c>
      <c r="AU200" s="80">
        <f>AU180*CHOOSE(Credit_Assumptions!$D$28,AU198*AU199*(1+Credit_Assumptions!$C$17)^-0.5,(1-Credit_Assumptions!$C$16)*AU199*(1+Credit_Assumptions!$C$17)^-0.5,AU199)+AU181*CHOOSE(Credit_Assumptions!$D$29,AU198*AU199*(1+Credit_Assumptions!$C$17)^-0.5,(1-Credit_Assumptions!$C$16)*AU199*(1+Credit_Assumptions!$C$17)^-0.5,AU199)+AU182*CHOOSE(Credit_Assumptions!$D$30,AU198*AU199*(1+Credit_Assumptions!$C$17)^-0.5,(1-Credit_Assumptions!$C$16)*AU199*(1+Credit_Assumptions!$C$17)^-0.5,AU199)+AU183*CHOOSE(Credit_Assumptions!$D$31,AU198*AU199*(1+Credit_Assumptions!$C$17)^-0.5,(1-Credit_Assumptions!$C$16)*AU199*(1+Credit_Assumptions!$C$17)^-0.5,AU199)+AU184*CHOOSE(Credit_Assumptions!$D$32,AU198*AU199*(1+Credit_Assumptions!$C$17)^-0.5,(1-Credit_Assumptions!$C$16)*AU199*(1+Credit_Assumptions!$C$17)^-0.5,AU199)+AU185*CHOOSE(Credit_Assumptions!$D$33,AU198*AU199*(1+Credit_Assumptions!$C$17)^-0.5,(1-Credit_Assumptions!$C$16)*AU199*(1+Credit_Assumptions!$C$17)^-0.5,AU199)</f>
        <v/>
      </c>
      <c r="AV200" s="80">
        <f>AV180*CHOOSE(Credit_Assumptions!$D$28,AV198*AV199*(1+Credit_Assumptions!$C$17)^-0.5,(1-Credit_Assumptions!$C$16)*AV199*(1+Credit_Assumptions!$C$17)^-0.5,AV199)+AV181*CHOOSE(Credit_Assumptions!$D$29,AV198*AV199*(1+Credit_Assumptions!$C$17)^-0.5,(1-Credit_Assumptions!$C$16)*AV199*(1+Credit_Assumptions!$C$17)^-0.5,AV199)+AV182*CHOOSE(Credit_Assumptions!$D$30,AV198*AV199*(1+Credit_Assumptions!$C$17)^-0.5,(1-Credit_Assumptions!$C$16)*AV199*(1+Credit_Assumptions!$C$17)^-0.5,AV199)+AV183*CHOOSE(Credit_Assumptions!$D$31,AV198*AV199*(1+Credit_Assumptions!$C$17)^-0.5,(1-Credit_Assumptions!$C$16)*AV199*(1+Credit_Assumptions!$C$17)^-0.5,AV199)+AV184*CHOOSE(Credit_Assumptions!$D$32,AV198*AV199*(1+Credit_Assumptions!$C$17)^-0.5,(1-Credit_Assumptions!$C$16)*AV199*(1+Credit_Assumptions!$C$17)^-0.5,AV199)+AV185*CHOOSE(Credit_Assumptions!$D$33,AV198*AV199*(1+Credit_Assumptions!$C$17)^-0.5,(1-Credit_Assumptions!$C$16)*AV199*(1+Credit_Assumptions!$C$17)^-0.5,AV199)</f>
        <v/>
      </c>
      <c r="AW200" s="80">
        <f>AW180*CHOOSE(Credit_Assumptions!$D$28,AW198*AW199*(1+Credit_Assumptions!$C$17)^-0.5,(1-Credit_Assumptions!$C$16)*AW199*(1+Credit_Assumptions!$C$17)^-0.5,AW199)+AW181*CHOOSE(Credit_Assumptions!$D$29,AW198*AW199*(1+Credit_Assumptions!$C$17)^-0.5,(1-Credit_Assumptions!$C$16)*AW199*(1+Credit_Assumptions!$C$17)^-0.5,AW199)+AW182*CHOOSE(Credit_Assumptions!$D$30,AW198*AW199*(1+Credit_Assumptions!$C$17)^-0.5,(1-Credit_Assumptions!$C$16)*AW199*(1+Credit_Assumptions!$C$17)^-0.5,AW199)+AW183*CHOOSE(Credit_Assumptions!$D$31,AW198*AW199*(1+Credit_Assumptions!$C$17)^-0.5,(1-Credit_Assumptions!$C$16)*AW199*(1+Credit_Assumptions!$C$17)^-0.5,AW199)+AW184*CHOOSE(Credit_Assumptions!$D$32,AW198*AW199*(1+Credit_Assumptions!$C$17)^-0.5,(1-Credit_Assumptions!$C$16)*AW199*(1+Credit_Assumptions!$C$17)^-0.5,AW199)+AW185*CHOOSE(Credit_Assumptions!$D$33,AW198*AW199*(1+Credit_Assumptions!$C$17)^-0.5,(1-Credit_Assumptions!$C$16)*AW199*(1+Credit_Assumptions!$C$17)^-0.5,AW199)</f>
        <v/>
      </c>
      <c r="AX200" s="80">
        <f>AX180*CHOOSE(Credit_Assumptions!$D$28,AX198*AX199*(1+Credit_Assumptions!$C$17)^-0.5,(1-Credit_Assumptions!$C$16)*AX199*(1+Credit_Assumptions!$C$17)^-0.5,AX199)+AX181*CHOOSE(Credit_Assumptions!$D$29,AX198*AX199*(1+Credit_Assumptions!$C$17)^-0.5,(1-Credit_Assumptions!$C$16)*AX199*(1+Credit_Assumptions!$C$17)^-0.5,AX199)+AX182*CHOOSE(Credit_Assumptions!$D$30,AX198*AX199*(1+Credit_Assumptions!$C$17)^-0.5,(1-Credit_Assumptions!$C$16)*AX199*(1+Credit_Assumptions!$C$17)^-0.5,AX199)+AX183*CHOOSE(Credit_Assumptions!$D$31,AX198*AX199*(1+Credit_Assumptions!$C$17)^-0.5,(1-Credit_Assumptions!$C$16)*AX199*(1+Credit_Assumptions!$C$17)^-0.5,AX199)+AX184*CHOOSE(Credit_Assumptions!$D$32,AX198*AX199*(1+Credit_Assumptions!$C$17)^-0.5,(1-Credit_Assumptions!$C$16)*AX199*(1+Credit_Assumptions!$C$17)^-0.5,AX199)+AX185*CHOOSE(Credit_Assumptions!$D$33,AX198*AX199*(1+Credit_Assumptions!$C$17)^-0.5,(1-Credit_Assumptions!$C$16)*AX199*(1+Credit_Assumptions!$C$17)^-0.5,AX199)</f>
        <v/>
      </c>
      <c r="AY200" s="80">
        <f>AY180*CHOOSE(Credit_Assumptions!$D$28,AY198*AY199*(1+Credit_Assumptions!$C$17)^-0.5,(1-Credit_Assumptions!$C$16)*AY199*(1+Credit_Assumptions!$C$17)^-0.5,AY199)+AY181*CHOOSE(Credit_Assumptions!$D$29,AY198*AY199*(1+Credit_Assumptions!$C$17)^-0.5,(1-Credit_Assumptions!$C$16)*AY199*(1+Credit_Assumptions!$C$17)^-0.5,AY199)+AY182*CHOOSE(Credit_Assumptions!$D$30,AY198*AY199*(1+Credit_Assumptions!$C$17)^-0.5,(1-Credit_Assumptions!$C$16)*AY199*(1+Credit_Assumptions!$C$17)^-0.5,AY199)+AY183*CHOOSE(Credit_Assumptions!$D$31,AY198*AY199*(1+Credit_Assumptions!$C$17)^-0.5,(1-Credit_Assumptions!$C$16)*AY199*(1+Credit_Assumptions!$C$17)^-0.5,AY199)+AY184*CHOOSE(Credit_Assumptions!$D$32,AY198*AY199*(1+Credit_Assumptions!$C$17)^-0.5,(1-Credit_Assumptions!$C$16)*AY199*(1+Credit_Assumptions!$C$17)^-0.5,AY199)+AY185*CHOOSE(Credit_Assumptions!$D$33,AY198*AY199*(1+Credit_Assumptions!$C$17)^-0.5,(1-Credit_Assumptions!$C$16)*AY199*(1+Credit_Assumptions!$C$17)^-0.5,AY199)</f>
        <v/>
      </c>
      <c r="AZ200" s="80">
        <f>AZ180*CHOOSE(Credit_Assumptions!$D$28,AZ198*AZ199*(1+Credit_Assumptions!$C$17)^-0.5,(1-Credit_Assumptions!$C$16)*AZ199*(1+Credit_Assumptions!$C$17)^-0.5,AZ199)+AZ181*CHOOSE(Credit_Assumptions!$D$29,AZ198*AZ199*(1+Credit_Assumptions!$C$17)^-0.5,(1-Credit_Assumptions!$C$16)*AZ199*(1+Credit_Assumptions!$C$17)^-0.5,AZ199)+AZ182*CHOOSE(Credit_Assumptions!$D$30,AZ198*AZ199*(1+Credit_Assumptions!$C$17)^-0.5,(1-Credit_Assumptions!$C$16)*AZ199*(1+Credit_Assumptions!$C$17)^-0.5,AZ199)+AZ183*CHOOSE(Credit_Assumptions!$D$31,AZ198*AZ199*(1+Credit_Assumptions!$C$17)^-0.5,(1-Credit_Assumptions!$C$16)*AZ199*(1+Credit_Assumptions!$C$17)^-0.5,AZ199)+AZ184*CHOOSE(Credit_Assumptions!$D$32,AZ198*AZ199*(1+Credit_Assumptions!$C$17)^-0.5,(1-Credit_Assumptions!$C$16)*AZ199*(1+Credit_Assumptions!$C$17)^-0.5,AZ199)+AZ185*CHOOSE(Credit_Assumptions!$D$33,AZ198*AZ199*(1+Credit_Assumptions!$C$17)^-0.5,(1-Credit_Assumptions!$C$16)*AZ199*(1+Credit_Assumptions!$C$17)^-0.5,AZ199)</f>
        <v/>
      </c>
      <c r="BA200" s="80">
        <f>BA180*CHOOSE(Credit_Assumptions!$D$28,BA198*BA199*(1+Credit_Assumptions!$C$17)^-0.5,(1-Credit_Assumptions!$C$16)*BA199*(1+Credit_Assumptions!$C$17)^-0.5,BA199)+BA181*CHOOSE(Credit_Assumptions!$D$29,BA198*BA199*(1+Credit_Assumptions!$C$17)^-0.5,(1-Credit_Assumptions!$C$16)*BA199*(1+Credit_Assumptions!$C$17)^-0.5,BA199)+BA182*CHOOSE(Credit_Assumptions!$D$30,BA198*BA199*(1+Credit_Assumptions!$C$17)^-0.5,(1-Credit_Assumptions!$C$16)*BA199*(1+Credit_Assumptions!$C$17)^-0.5,BA199)+BA183*CHOOSE(Credit_Assumptions!$D$31,BA198*BA199*(1+Credit_Assumptions!$C$17)^-0.5,(1-Credit_Assumptions!$C$16)*BA199*(1+Credit_Assumptions!$C$17)^-0.5,BA199)+BA184*CHOOSE(Credit_Assumptions!$D$32,BA198*BA199*(1+Credit_Assumptions!$C$17)^-0.5,(1-Credit_Assumptions!$C$16)*BA199*(1+Credit_Assumptions!$C$17)^-0.5,BA199)+BA185*CHOOSE(Credit_Assumptions!$D$33,BA198*BA199*(1+Credit_Assumptions!$C$17)^-0.5,(1-Credit_Assumptions!$C$16)*BA199*(1+Credit_Assumptions!$C$17)^-0.5,BA199)</f>
        <v/>
      </c>
      <c r="BB200" s="80">
        <f>BB180*CHOOSE(Credit_Assumptions!$D$28,BB198*BB199*(1+Credit_Assumptions!$C$17)^-0.5,(1-Credit_Assumptions!$C$16)*BB199*(1+Credit_Assumptions!$C$17)^-0.5,BB199)+BB181*CHOOSE(Credit_Assumptions!$D$29,BB198*BB199*(1+Credit_Assumptions!$C$17)^-0.5,(1-Credit_Assumptions!$C$16)*BB199*(1+Credit_Assumptions!$C$17)^-0.5,BB199)+BB182*CHOOSE(Credit_Assumptions!$D$30,BB198*BB199*(1+Credit_Assumptions!$C$17)^-0.5,(1-Credit_Assumptions!$C$16)*BB199*(1+Credit_Assumptions!$C$17)^-0.5,BB199)+BB183*CHOOSE(Credit_Assumptions!$D$31,BB198*BB199*(1+Credit_Assumptions!$C$17)^-0.5,(1-Credit_Assumptions!$C$16)*BB199*(1+Credit_Assumptions!$C$17)^-0.5,BB199)+BB184*CHOOSE(Credit_Assumptions!$D$32,BB198*BB199*(1+Credit_Assumptions!$C$17)^-0.5,(1-Credit_Assumptions!$C$16)*BB199*(1+Credit_Assumptions!$C$17)^-0.5,BB199)+BB185*CHOOSE(Credit_Assumptions!$D$33,BB198*BB199*(1+Credit_Assumptions!$C$17)^-0.5,(1-Credit_Assumptions!$C$16)*BB199*(1+Credit_Assumptions!$C$17)^-0.5,BB199)</f>
        <v/>
      </c>
      <c r="BC200" s="80">
        <f>BC180*CHOOSE(Credit_Assumptions!$D$28,BC198*BC199*(1+Credit_Assumptions!$C$17)^-0.5,(1-Credit_Assumptions!$C$16)*BC199*(1+Credit_Assumptions!$C$17)^-0.5,BC199)+BC181*CHOOSE(Credit_Assumptions!$D$29,BC198*BC199*(1+Credit_Assumptions!$C$17)^-0.5,(1-Credit_Assumptions!$C$16)*BC199*(1+Credit_Assumptions!$C$17)^-0.5,BC199)+BC182*CHOOSE(Credit_Assumptions!$D$30,BC198*BC199*(1+Credit_Assumptions!$C$17)^-0.5,(1-Credit_Assumptions!$C$16)*BC199*(1+Credit_Assumptions!$C$17)^-0.5,BC199)+BC183*CHOOSE(Credit_Assumptions!$D$31,BC198*BC199*(1+Credit_Assumptions!$C$17)^-0.5,(1-Credit_Assumptions!$C$16)*BC199*(1+Credit_Assumptions!$C$17)^-0.5,BC199)+BC184*CHOOSE(Credit_Assumptions!$D$32,BC198*BC199*(1+Credit_Assumptions!$C$17)^-0.5,(1-Credit_Assumptions!$C$16)*BC199*(1+Credit_Assumptions!$C$17)^-0.5,BC199)+BC185*CHOOSE(Credit_Assumptions!$D$33,BC198*BC199*(1+Credit_Assumptions!$C$17)^-0.5,(1-Credit_Assumptions!$C$16)*BC199*(1+Credit_Assumptions!$C$17)^-0.5,BC199)</f>
        <v/>
      </c>
      <c r="BD200" s="80">
        <f>BD180*CHOOSE(Credit_Assumptions!$D$28,BD198*BD199*(1+Credit_Assumptions!$C$17)^-0.5,(1-Credit_Assumptions!$C$16)*BD199*(1+Credit_Assumptions!$C$17)^-0.5,BD199)+BD181*CHOOSE(Credit_Assumptions!$D$29,BD198*BD199*(1+Credit_Assumptions!$C$17)^-0.5,(1-Credit_Assumptions!$C$16)*BD199*(1+Credit_Assumptions!$C$17)^-0.5,BD199)+BD182*CHOOSE(Credit_Assumptions!$D$30,BD198*BD199*(1+Credit_Assumptions!$C$17)^-0.5,(1-Credit_Assumptions!$C$16)*BD199*(1+Credit_Assumptions!$C$17)^-0.5,BD199)+BD183*CHOOSE(Credit_Assumptions!$D$31,BD198*BD199*(1+Credit_Assumptions!$C$17)^-0.5,(1-Credit_Assumptions!$C$16)*BD199*(1+Credit_Assumptions!$C$17)^-0.5,BD199)+BD184*CHOOSE(Credit_Assumptions!$D$32,BD198*BD199*(1+Credit_Assumptions!$C$17)^-0.5,(1-Credit_Assumptions!$C$16)*BD199*(1+Credit_Assumptions!$C$17)^-0.5,BD199)+BD185*CHOOSE(Credit_Assumptions!$D$33,BD198*BD199*(1+Credit_Assumptions!$C$17)^-0.5,(1-Credit_Assumptions!$C$16)*BD199*(1+Credit_Assumptions!$C$17)^-0.5,BD199)</f>
        <v/>
      </c>
      <c r="BE200" s="80">
        <f>BE180*CHOOSE(Credit_Assumptions!$D$28,BE198*BE199*(1+Credit_Assumptions!$C$17)^-0.5,(1-Credit_Assumptions!$C$16)*BE199*(1+Credit_Assumptions!$C$17)^-0.5,BE199)+BE181*CHOOSE(Credit_Assumptions!$D$29,BE198*BE199*(1+Credit_Assumptions!$C$17)^-0.5,(1-Credit_Assumptions!$C$16)*BE199*(1+Credit_Assumptions!$C$17)^-0.5,BE199)+BE182*CHOOSE(Credit_Assumptions!$D$30,BE198*BE199*(1+Credit_Assumptions!$C$17)^-0.5,(1-Credit_Assumptions!$C$16)*BE199*(1+Credit_Assumptions!$C$17)^-0.5,BE199)+BE183*CHOOSE(Credit_Assumptions!$D$31,BE198*BE199*(1+Credit_Assumptions!$C$17)^-0.5,(1-Credit_Assumptions!$C$16)*BE199*(1+Credit_Assumptions!$C$17)^-0.5,BE199)+BE184*CHOOSE(Credit_Assumptions!$D$32,BE198*BE199*(1+Credit_Assumptions!$C$17)^-0.5,(1-Credit_Assumptions!$C$16)*BE199*(1+Credit_Assumptions!$C$17)^-0.5,BE199)+BE185*CHOOSE(Credit_Assumptions!$D$33,BE198*BE199*(1+Credit_Assumptions!$C$17)^-0.5,(1-Credit_Assumptions!$C$16)*BE199*(1+Credit_Assumptions!$C$17)^-0.5,BE199)</f>
        <v/>
      </c>
      <c r="BF200" s="80">
        <f>BF180*CHOOSE(Credit_Assumptions!$D$28,BF198*BF199*(1+Credit_Assumptions!$C$17)^-0.5,(1-Credit_Assumptions!$C$16)*BF199*(1+Credit_Assumptions!$C$17)^-0.5,BF199)+BF181*CHOOSE(Credit_Assumptions!$D$29,BF198*BF199*(1+Credit_Assumptions!$C$17)^-0.5,(1-Credit_Assumptions!$C$16)*BF199*(1+Credit_Assumptions!$C$17)^-0.5,BF199)+BF182*CHOOSE(Credit_Assumptions!$D$30,BF198*BF199*(1+Credit_Assumptions!$C$17)^-0.5,(1-Credit_Assumptions!$C$16)*BF199*(1+Credit_Assumptions!$C$17)^-0.5,BF199)+BF183*CHOOSE(Credit_Assumptions!$D$31,BF198*BF199*(1+Credit_Assumptions!$C$17)^-0.5,(1-Credit_Assumptions!$C$16)*BF199*(1+Credit_Assumptions!$C$17)^-0.5,BF199)+BF184*CHOOSE(Credit_Assumptions!$D$32,BF198*BF199*(1+Credit_Assumptions!$C$17)^-0.5,(1-Credit_Assumptions!$C$16)*BF199*(1+Credit_Assumptions!$C$17)^-0.5,BF199)+BF185*CHOOSE(Credit_Assumptions!$D$33,BF198*BF199*(1+Credit_Assumptions!$C$17)^-0.5,(1-Credit_Assumptions!$C$16)*BF199*(1+Credit_Assumptions!$C$17)^-0.5,BF199)</f>
        <v/>
      </c>
      <c r="BG200" s="80">
        <f>BG180*CHOOSE(Credit_Assumptions!$D$28,BG198*BG199*(1+Credit_Assumptions!$C$17)^-0.5,(1-Credit_Assumptions!$C$16)*BG199*(1+Credit_Assumptions!$C$17)^-0.5,BG199)+BG181*CHOOSE(Credit_Assumptions!$D$29,BG198*BG199*(1+Credit_Assumptions!$C$17)^-0.5,(1-Credit_Assumptions!$C$16)*BG199*(1+Credit_Assumptions!$C$17)^-0.5,BG199)+BG182*CHOOSE(Credit_Assumptions!$D$30,BG198*BG199*(1+Credit_Assumptions!$C$17)^-0.5,(1-Credit_Assumptions!$C$16)*BG199*(1+Credit_Assumptions!$C$17)^-0.5,BG199)+BG183*CHOOSE(Credit_Assumptions!$D$31,BG198*BG199*(1+Credit_Assumptions!$C$17)^-0.5,(1-Credit_Assumptions!$C$16)*BG199*(1+Credit_Assumptions!$C$17)^-0.5,BG199)+BG184*CHOOSE(Credit_Assumptions!$D$32,BG198*BG199*(1+Credit_Assumptions!$C$17)^-0.5,(1-Credit_Assumptions!$C$16)*BG199*(1+Credit_Assumptions!$C$17)^-0.5,BG199)+BG185*CHOOSE(Credit_Assumptions!$D$33,BG198*BG199*(1+Credit_Assumptions!$C$17)^-0.5,(1-Credit_Assumptions!$C$16)*BG199*(1+Credit_Assumptions!$C$17)^-0.5,BG199)</f>
        <v/>
      </c>
      <c r="BH200" s="80">
        <f>BH180*CHOOSE(Credit_Assumptions!$D$28,BH198*BH199*(1+Credit_Assumptions!$C$17)^-0.5,(1-Credit_Assumptions!$C$16)*BH199*(1+Credit_Assumptions!$C$17)^-0.5,BH199)+BH181*CHOOSE(Credit_Assumptions!$D$29,BH198*BH199*(1+Credit_Assumptions!$C$17)^-0.5,(1-Credit_Assumptions!$C$16)*BH199*(1+Credit_Assumptions!$C$17)^-0.5,BH199)+BH182*CHOOSE(Credit_Assumptions!$D$30,BH198*BH199*(1+Credit_Assumptions!$C$17)^-0.5,(1-Credit_Assumptions!$C$16)*BH199*(1+Credit_Assumptions!$C$17)^-0.5,BH199)+BH183*CHOOSE(Credit_Assumptions!$D$31,BH198*BH199*(1+Credit_Assumptions!$C$17)^-0.5,(1-Credit_Assumptions!$C$16)*BH199*(1+Credit_Assumptions!$C$17)^-0.5,BH199)+BH184*CHOOSE(Credit_Assumptions!$D$32,BH198*BH199*(1+Credit_Assumptions!$C$17)^-0.5,(1-Credit_Assumptions!$C$16)*BH199*(1+Credit_Assumptions!$C$17)^-0.5,BH199)+BH185*CHOOSE(Credit_Assumptions!$D$33,BH198*BH199*(1+Credit_Assumptions!$C$17)^-0.5,(1-Credit_Assumptions!$C$16)*BH199*(1+Credit_Assumptions!$C$17)^-0.5,BH199)</f>
        <v/>
      </c>
      <c r="BI200" s="80">
        <f>BI180*CHOOSE(Credit_Assumptions!$D$28,BI198*BI199*(1+Credit_Assumptions!$C$17)^-0.5,(1-Credit_Assumptions!$C$16)*BI199*(1+Credit_Assumptions!$C$17)^-0.5,BI199)+BI181*CHOOSE(Credit_Assumptions!$D$29,BI198*BI199*(1+Credit_Assumptions!$C$17)^-0.5,(1-Credit_Assumptions!$C$16)*BI199*(1+Credit_Assumptions!$C$17)^-0.5,BI199)+BI182*CHOOSE(Credit_Assumptions!$D$30,BI198*BI199*(1+Credit_Assumptions!$C$17)^-0.5,(1-Credit_Assumptions!$C$16)*BI199*(1+Credit_Assumptions!$C$17)^-0.5,BI199)+BI183*CHOOSE(Credit_Assumptions!$D$31,BI198*BI199*(1+Credit_Assumptions!$C$17)^-0.5,(1-Credit_Assumptions!$C$16)*BI199*(1+Credit_Assumptions!$C$17)^-0.5,BI199)+BI184*CHOOSE(Credit_Assumptions!$D$32,BI198*BI199*(1+Credit_Assumptions!$C$17)^-0.5,(1-Credit_Assumptions!$C$16)*BI199*(1+Credit_Assumptions!$C$17)^-0.5,BI199)+BI185*CHOOSE(Credit_Assumptions!$D$33,BI198*BI199*(1+Credit_Assumptions!$C$17)^-0.5,(1-Credit_Assumptions!$C$16)*BI199*(1+Credit_Assumptions!$C$17)^-0.5,BI199)</f>
        <v/>
      </c>
      <c r="BJ200" s="80">
        <f>BJ180*CHOOSE(Credit_Assumptions!$D$28,BJ198*BJ199*(1+Credit_Assumptions!$C$17)^-0.5,(1-Credit_Assumptions!$C$16)*BJ199*(1+Credit_Assumptions!$C$17)^-0.5,BJ199)+BJ181*CHOOSE(Credit_Assumptions!$D$29,BJ198*BJ199*(1+Credit_Assumptions!$C$17)^-0.5,(1-Credit_Assumptions!$C$16)*BJ199*(1+Credit_Assumptions!$C$17)^-0.5,BJ199)+BJ182*CHOOSE(Credit_Assumptions!$D$30,BJ198*BJ199*(1+Credit_Assumptions!$C$17)^-0.5,(1-Credit_Assumptions!$C$16)*BJ199*(1+Credit_Assumptions!$C$17)^-0.5,BJ199)+BJ183*CHOOSE(Credit_Assumptions!$D$31,BJ198*BJ199*(1+Credit_Assumptions!$C$17)^-0.5,(1-Credit_Assumptions!$C$16)*BJ199*(1+Credit_Assumptions!$C$17)^-0.5,BJ199)+BJ184*CHOOSE(Credit_Assumptions!$D$32,BJ198*BJ199*(1+Credit_Assumptions!$C$17)^-0.5,(1-Credit_Assumptions!$C$16)*BJ199*(1+Credit_Assumptions!$C$17)^-0.5,BJ199)+BJ185*CHOOSE(Credit_Assumptions!$D$33,BJ198*BJ199*(1+Credit_Assumptions!$C$17)^-0.5,(1-Credit_Assumptions!$C$16)*BJ199*(1+Credit_Assumptions!$C$17)^-0.5,BJ199)</f>
        <v/>
      </c>
      <c r="BK200" s="80">
        <f>BK180*CHOOSE(Credit_Assumptions!$D$28,BK198*BK199*(1+Credit_Assumptions!$C$17)^-0.5,(1-Credit_Assumptions!$C$16)*BK199*(1+Credit_Assumptions!$C$17)^-0.5,BK199)+BK181*CHOOSE(Credit_Assumptions!$D$29,BK198*BK199*(1+Credit_Assumptions!$C$17)^-0.5,(1-Credit_Assumptions!$C$16)*BK199*(1+Credit_Assumptions!$C$17)^-0.5,BK199)+BK182*CHOOSE(Credit_Assumptions!$D$30,BK198*BK199*(1+Credit_Assumptions!$C$17)^-0.5,(1-Credit_Assumptions!$C$16)*BK199*(1+Credit_Assumptions!$C$17)^-0.5,BK199)+BK183*CHOOSE(Credit_Assumptions!$D$31,BK198*BK199*(1+Credit_Assumptions!$C$17)^-0.5,(1-Credit_Assumptions!$C$16)*BK199*(1+Credit_Assumptions!$C$17)^-0.5,BK199)+BK184*CHOOSE(Credit_Assumptions!$D$32,BK198*BK199*(1+Credit_Assumptions!$C$17)^-0.5,(1-Credit_Assumptions!$C$16)*BK199*(1+Credit_Assumptions!$C$17)^-0.5,BK199)+BK185*CHOOSE(Credit_Assumptions!$D$33,BK198*BK199*(1+Credit_Assumptions!$C$17)^-0.5,(1-Credit_Assumptions!$C$16)*BK199*(1+Credit_Assumptions!$C$17)^-0.5,BK199)</f>
        <v/>
      </c>
      <c r="BL200" s="80">
        <f>BL180*CHOOSE(Credit_Assumptions!$D$28,BL198*BL199*(1+Credit_Assumptions!$C$17)^-0.5,(1-Credit_Assumptions!$C$16)*BL199*(1+Credit_Assumptions!$C$17)^-0.5,BL199)+BL181*CHOOSE(Credit_Assumptions!$D$29,BL198*BL199*(1+Credit_Assumptions!$C$17)^-0.5,(1-Credit_Assumptions!$C$16)*BL199*(1+Credit_Assumptions!$C$17)^-0.5,BL199)+BL182*CHOOSE(Credit_Assumptions!$D$30,BL198*BL199*(1+Credit_Assumptions!$C$17)^-0.5,(1-Credit_Assumptions!$C$16)*BL199*(1+Credit_Assumptions!$C$17)^-0.5,BL199)+BL183*CHOOSE(Credit_Assumptions!$D$31,BL198*BL199*(1+Credit_Assumptions!$C$17)^-0.5,(1-Credit_Assumptions!$C$16)*BL199*(1+Credit_Assumptions!$C$17)^-0.5,BL199)+BL184*CHOOSE(Credit_Assumptions!$D$32,BL198*BL199*(1+Credit_Assumptions!$C$17)^-0.5,(1-Credit_Assumptions!$C$16)*BL199*(1+Credit_Assumptions!$C$17)^-0.5,BL199)+BL185*CHOOSE(Credit_Assumptions!$D$33,BL198*BL199*(1+Credit_Assumptions!$C$17)^-0.5,(1-Credit_Assumptions!$C$16)*BL199*(1+Credit_Assumptions!$C$17)^-0.5,BL199)</f>
        <v/>
      </c>
    </row>
    <row r="201">
      <c r="A201" s="98" t="inlineStr">
        <is>
          <t>Eligible receivables (borrowing base)</t>
        </is>
      </c>
      <c r="B201" s="65" t="inlineStr">
        <is>
          <t>LCY</t>
        </is>
      </c>
      <c r="C201" s="105">
        <f>BL201</f>
        <v/>
      </c>
      <c r="E201" s="80">
        <f>E180*Credit_Assumptions!$E$28+E181*Credit_Assumptions!$E$29+E182*Credit_Assumptions!$E$30+E183*Credit_Assumptions!$E$31+E184*Credit_Assumptions!$E$32+E185*Credit_Assumptions!$E$33</f>
        <v/>
      </c>
      <c r="F201" s="80">
        <f>F180*Credit_Assumptions!$E$28+F181*Credit_Assumptions!$E$29+F182*Credit_Assumptions!$E$30+F183*Credit_Assumptions!$E$31+F184*Credit_Assumptions!$E$32+F185*Credit_Assumptions!$E$33</f>
        <v/>
      </c>
      <c r="G201" s="80">
        <f>G180*Credit_Assumptions!$E$28+G181*Credit_Assumptions!$E$29+G182*Credit_Assumptions!$E$30+G183*Credit_Assumptions!$E$31+G184*Credit_Assumptions!$E$32+G185*Credit_Assumptions!$E$33</f>
        <v/>
      </c>
      <c r="H201" s="80">
        <f>H180*Credit_Assumptions!$E$28+H181*Credit_Assumptions!$E$29+H182*Credit_Assumptions!$E$30+H183*Credit_Assumptions!$E$31+H184*Credit_Assumptions!$E$32+H185*Credit_Assumptions!$E$33</f>
        <v/>
      </c>
      <c r="I201" s="80">
        <f>I180*Credit_Assumptions!$E$28+I181*Credit_Assumptions!$E$29+I182*Credit_Assumptions!$E$30+I183*Credit_Assumptions!$E$31+I184*Credit_Assumptions!$E$32+I185*Credit_Assumptions!$E$33</f>
        <v/>
      </c>
      <c r="J201" s="80">
        <f>J180*Credit_Assumptions!$E$28+J181*Credit_Assumptions!$E$29+J182*Credit_Assumptions!$E$30+J183*Credit_Assumptions!$E$31+J184*Credit_Assumptions!$E$32+J185*Credit_Assumptions!$E$33</f>
        <v/>
      </c>
      <c r="K201" s="80">
        <f>K180*Credit_Assumptions!$E$28+K181*Credit_Assumptions!$E$29+K182*Credit_Assumptions!$E$30+K183*Credit_Assumptions!$E$31+K184*Credit_Assumptions!$E$32+K185*Credit_Assumptions!$E$33</f>
        <v/>
      </c>
      <c r="L201" s="80">
        <f>L180*Credit_Assumptions!$E$28+L181*Credit_Assumptions!$E$29+L182*Credit_Assumptions!$E$30+L183*Credit_Assumptions!$E$31+L184*Credit_Assumptions!$E$32+L185*Credit_Assumptions!$E$33</f>
        <v/>
      </c>
      <c r="M201" s="80">
        <f>M180*Credit_Assumptions!$E$28+M181*Credit_Assumptions!$E$29+M182*Credit_Assumptions!$E$30+M183*Credit_Assumptions!$E$31+M184*Credit_Assumptions!$E$32+M185*Credit_Assumptions!$E$33</f>
        <v/>
      </c>
      <c r="N201" s="80">
        <f>N180*Credit_Assumptions!$E$28+N181*Credit_Assumptions!$E$29+N182*Credit_Assumptions!$E$30+N183*Credit_Assumptions!$E$31+N184*Credit_Assumptions!$E$32+N185*Credit_Assumptions!$E$33</f>
        <v/>
      </c>
      <c r="O201" s="80">
        <f>O180*Credit_Assumptions!$E$28+O181*Credit_Assumptions!$E$29+O182*Credit_Assumptions!$E$30+O183*Credit_Assumptions!$E$31+O184*Credit_Assumptions!$E$32+O185*Credit_Assumptions!$E$33</f>
        <v/>
      </c>
      <c r="P201" s="80">
        <f>P180*Credit_Assumptions!$E$28+P181*Credit_Assumptions!$E$29+P182*Credit_Assumptions!$E$30+P183*Credit_Assumptions!$E$31+P184*Credit_Assumptions!$E$32+P185*Credit_Assumptions!$E$33</f>
        <v/>
      </c>
      <c r="Q201" s="80">
        <f>Q180*Credit_Assumptions!$E$28+Q181*Credit_Assumptions!$E$29+Q182*Credit_Assumptions!$E$30+Q183*Credit_Assumptions!$E$31+Q184*Credit_Assumptions!$E$32+Q185*Credit_Assumptions!$E$33</f>
        <v/>
      </c>
      <c r="R201" s="80">
        <f>R180*Credit_Assumptions!$E$28+R181*Credit_Assumptions!$E$29+R182*Credit_Assumptions!$E$30+R183*Credit_Assumptions!$E$31+R184*Credit_Assumptions!$E$32+R185*Credit_Assumptions!$E$33</f>
        <v/>
      </c>
      <c r="S201" s="80">
        <f>S180*Credit_Assumptions!$E$28+S181*Credit_Assumptions!$E$29+S182*Credit_Assumptions!$E$30+S183*Credit_Assumptions!$E$31+S184*Credit_Assumptions!$E$32+S185*Credit_Assumptions!$E$33</f>
        <v/>
      </c>
      <c r="T201" s="80">
        <f>T180*Credit_Assumptions!$E$28+T181*Credit_Assumptions!$E$29+T182*Credit_Assumptions!$E$30+T183*Credit_Assumptions!$E$31+T184*Credit_Assumptions!$E$32+T185*Credit_Assumptions!$E$33</f>
        <v/>
      </c>
      <c r="U201" s="80">
        <f>U180*Credit_Assumptions!$E$28+U181*Credit_Assumptions!$E$29+U182*Credit_Assumptions!$E$30+U183*Credit_Assumptions!$E$31+U184*Credit_Assumptions!$E$32+U185*Credit_Assumptions!$E$33</f>
        <v/>
      </c>
      <c r="V201" s="80">
        <f>V180*Credit_Assumptions!$E$28+V181*Credit_Assumptions!$E$29+V182*Credit_Assumptions!$E$30+V183*Credit_Assumptions!$E$31+V184*Credit_Assumptions!$E$32+V185*Credit_Assumptions!$E$33</f>
        <v/>
      </c>
      <c r="W201" s="80">
        <f>W180*Credit_Assumptions!$E$28+W181*Credit_Assumptions!$E$29+W182*Credit_Assumptions!$E$30+W183*Credit_Assumptions!$E$31+W184*Credit_Assumptions!$E$32+W185*Credit_Assumptions!$E$33</f>
        <v/>
      </c>
      <c r="X201" s="80">
        <f>X180*Credit_Assumptions!$E$28+X181*Credit_Assumptions!$E$29+X182*Credit_Assumptions!$E$30+X183*Credit_Assumptions!$E$31+X184*Credit_Assumptions!$E$32+X185*Credit_Assumptions!$E$33</f>
        <v/>
      </c>
      <c r="Y201" s="80">
        <f>Y180*Credit_Assumptions!$E$28+Y181*Credit_Assumptions!$E$29+Y182*Credit_Assumptions!$E$30+Y183*Credit_Assumptions!$E$31+Y184*Credit_Assumptions!$E$32+Y185*Credit_Assumptions!$E$33</f>
        <v/>
      </c>
      <c r="Z201" s="80">
        <f>Z180*Credit_Assumptions!$E$28+Z181*Credit_Assumptions!$E$29+Z182*Credit_Assumptions!$E$30+Z183*Credit_Assumptions!$E$31+Z184*Credit_Assumptions!$E$32+Z185*Credit_Assumptions!$E$33</f>
        <v/>
      </c>
      <c r="AA201" s="80">
        <f>AA180*Credit_Assumptions!$E$28+AA181*Credit_Assumptions!$E$29+AA182*Credit_Assumptions!$E$30+AA183*Credit_Assumptions!$E$31+AA184*Credit_Assumptions!$E$32+AA185*Credit_Assumptions!$E$33</f>
        <v/>
      </c>
      <c r="AB201" s="80">
        <f>AB180*Credit_Assumptions!$E$28+AB181*Credit_Assumptions!$E$29+AB182*Credit_Assumptions!$E$30+AB183*Credit_Assumptions!$E$31+AB184*Credit_Assumptions!$E$32+AB185*Credit_Assumptions!$E$33</f>
        <v/>
      </c>
      <c r="AC201" s="80">
        <f>AC180*Credit_Assumptions!$E$28+AC181*Credit_Assumptions!$E$29+AC182*Credit_Assumptions!$E$30+AC183*Credit_Assumptions!$E$31+AC184*Credit_Assumptions!$E$32+AC185*Credit_Assumptions!$E$33</f>
        <v/>
      </c>
      <c r="AD201" s="80">
        <f>AD180*Credit_Assumptions!$E$28+AD181*Credit_Assumptions!$E$29+AD182*Credit_Assumptions!$E$30+AD183*Credit_Assumptions!$E$31+AD184*Credit_Assumptions!$E$32+AD185*Credit_Assumptions!$E$33</f>
        <v/>
      </c>
      <c r="AE201" s="80">
        <f>AE180*Credit_Assumptions!$E$28+AE181*Credit_Assumptions!$E$29+AE182*Credit_Assumptions!$E$30+AE183*Credit_Assumptions!$E$31+AE184*Credit_Assumptions!$E$32+AE185*Credit_Assumptions!$E$33</f>
        <v/>
      </c>
      <c r="AF201" s="80">
        <f>AF180*Credit_Assumptions!$E$28+AF181*Credit_Assumptions!$E$29+AF182*Credit_Assumptions!$E$30+AF183*Credit_Assumptions!$E$31+AF184*Credit_Assumptions!$E$32+AF185*Credit_Assumptions!$E$33</f>
        <v/>
      </c>
      <c r="AG201" s="80">
        <f>AG180*Credit_Assumptions!$E$28+AG181*Credit_Assumptions!$E$29+AG182*Credit_Assumptions!$E$30+AG183*Credit_Assumptions!$E$31+AG184*Credit_Assumptions!$E$32+AG185*Credit_Assumptions!$E$33</f>
        <v/>
      </c>
      <c r="AH201" s="80">
        <f>AH180*Credit_Assumptions!$E$28+AH181*Credit_Assumptions!$E$29+AH182*Credit_Assumptions!$E$30+AH183*Credit_Assumptions!$E$31+AH184*Credit_Assumptions!$E$32+AH185*Credit_Assumptions!$E$33</f>
        <v/>
      </c>
      <c r="AI201" s="80">
        <f>AI180*Credit_Assumptions!$E$28+AI181*Credit_Assumptions!$E$29+AI182*Credit_Assumptions!$E$30+AI183*Credit_Assumptions!$E$31+AI184*Credit_Assumptions!$E$32+AI185*Credit_Assumptions!$E$33</f>
        <v/>
      </c>
      <c r="AJ201" s="80">
        <f>AJ180*Credit_Assumptions!$E$28+AJ181*Credit_Assumptions!$E$29+AJ182*Credit_Assumptions!$E$30+AJ183*Credit_Assumptions!$E$31+AJ184*Credit_Assumptions!$E$32+AJ185*Credit_Assumptions!$E$33</f>
        <v/>
      </c>
      <c r="AK201" s="80">
        <f>AK180*Credit_Assumptions!$E$28+AK181*Credit_Assumptions!$E$29+AK182*Credit_Assumptions!$E$30+AK183*Credit_Assumptions!$E$31+AK184*Credit_Assumptions!$E$32+AK185*Credit_Assumptions!$E$33</f>
        <v/>
      </c>
      <c r="AL201" s="80">
        <f>AL180*Credit_Assumptions!$E$28+AL181*Credit_Assumptions!$E$29+AL182*Credit_Assumptions!$E$30+AL183*Credit_Assumptions!$E$31+AL184*Credit_Assumptions!$E$32+AL185*Credit_Assumptions!$E$33</f>
        <v/>
      </c>
      <c r="AM201" s="80">
        <f>AM180*Credit_Assumptions!$E$28+AM181*Credit_Assumptions!$E$29+AM182*Credit_Assumptions!$E$30+AM183*Credit_Assumptions!$E$31+AM184*Credit_Assumptions!$E$32+AM185*Credit_Assumptions!$E$33</f>
        <v/>
      </c>
      <c r="AN201" s="80">
        <f>AN180*Credit_Assumptions!$E$28+AN181*Credit_Assumptions!$E$29+AN182*Credit_Assumptions!$E$30+AN183*Credit_Assumptions!$E$31+AN184*Credit_Assumptions!$E$32+AN185*Credit_Assumptions!$E$33</f>
        <v/>
      </c>
      <c r="AO201" s="80">
        <f>AO180*Credit_Assumptions!$E$28+AO181*Credit_Assumptions!$E$29+AO182*Credit_Assumptions!$E$30+AO183*Credit_Assumptions!$E$31+AO184*Credit_Assumptions!$E$32+AO185*Credit_Assumptions!$E$33</f>
        <v/>
      </c>
      <c r="AP201" s="80">
        <f>AP180*Credit_Assumptions!$E$28+AP181*Credit_Assumptions!$E$29+AP182*Credit_Assumptions!$E$30+AP183*Credit_Assumptions!$E$31+AP184*Credit_Assumptions!$E$32+AP185*Credit_Assumptions!$E$33</f>
        <v/>
      </c>
      <c r="AQ201" s="80">
        <f>AQ180*Credit_Assumptions!$E$28+AQ181*Credit_Assumptions!$E$29+AQ182*Credit_Assumptions!$E$30+AQ183*Credit_Assumptions!$E$31+AQ184*Credit_Assumptions!$E$32+AQ185*Credit_Assumptions!$E$33</f>
        <v/>
      </c>
      <c r="AR201" s="80">
        <f>AR180*Credit_Assumptions!$E$28+AR181*Credit_Assumptions!$E$29+AR182*Credit_Assumptions!$E$30+AR183*Credit_Assumptions!$E$31+AR184*Credit_Assumptions!$E$32+AR185*Credit_Assumptions!$E$33</f>
        <v/>
      </c>
      <c r="AS201" s="80">
        <f>AS180*Credit_Assumptions!$E$28+AS181*Credit_Assumptions!$E$29+AS182*Credit_Assumptions!$E$30+AS183*Credit_Assumptions!$E$31+AS184*Credit_Assumptions!$E$32+AS185*Credit_Assumptions!$E$33</f>
        <v/>
      </c>
      <c r="AT201" s="80">
        <f>AT180*Credit_Assumptions!$E$28+AT181*Credit_Assumptions!$E$29+AT182*Credit_Assumptions!$E$30+AT183*Credit_Assumptions!$E$31+AT184*Credit_Assumptions!$E$32+AT185*Credit_Assumptions!$E$33</f>
        <v/>
      </c>
      <c r="AU201" s="80">
        <f>AU180*Credit_Assumptions!$E$28+AU181*Credit_Assumptions!$E$29+AU182*Credit_Assumptions!$E$30+AU183*Credit_Assumptions!$E$31+AU184*Credit_Assumptions!$E$32+AU185*Credit_Assumptions!$E$33</f>
        <v/>
      </c>
      <c r="AV201" s="80">
        <f>AV180*Credit_Assumptions!$E$28+AV181*Credit_Assumptions!$E$29+AV182*Credit_Assumptions!$E$30+AV183*Credit_Assumptions!$E$31+AV184*Credit_Assumptions!$E$32+AV185*Credit_Assumptions!$E$33</f>
        <v/>
      </c>
      <c r="AW201" s="80">
        <f>AW180*Credit_Assumptions!$E$28+AW181*Credit_Assumptions!$E$29+AW182*Credit_Assumptions!$E$30+AW183*Credit_Assumptions!$E$31+AW184*Credit_Assumptions!$E$32+AW185*Credit_Assumptions!$E$33</f>
        <v/>
      </c>
      <c r="AX201" s="80">
        <f>AX180*Credit_Assumptions!$E$28+AX181*Credit_Assumptions!$E$29+AX182*Credit_Assumptions!$E$30+AX183*Credit_Assumptions!$E$31+AX184*Credit_Assumptions!$E$32+AX185*Credit_Assumptions!$E$33</f>
        <v/>
      </c>
      <c r="AY201" s="80">
        <f>AY180*Credit_Assumptions!$E$28+AY181*Credit_Assumptions!$E$29+AY182*Credit_Assumptions!$E$30+AY183*Credit_Assumptions!$E$31+AY184*Credit_Assumptions!$E$32+AY185*Credit_Assumptions!$E$33</f>
        <v/>
      </c>
      <c r="AZ201" s="80">
        <f>AZ180*Credit_Assumptions!$E$28+AZ181*Credit_Assumptions!$E$29+AZ182*Credit_Assumptions!$E$30+AZ183*Credit_Assumptions!$E$31+AZ184*Credit_Assumptions!$E$32+AZ185*Credit_Assumptions!$E$33</f>
        <v/>
      </c>
      <c r="BA201" s="80">
        <f>BA180*Credit_Assumptions!$E$28+BA181*Credit_Assumptions!$E$29+BA182*Credit_Assumptions!$E$30+BA183*Credit_Assumptions!$E$31+BA184*Credit_Assumptions!$E$32+BA185*Credit_Assumptions!$E$33</f>
        <v/>
      </c>
      <c r="BB201" s="80">
        <f>BB180*Credit_Assumptions!$E$28+BB181*Credit_Assumptions!$E$29+BB182*Credit_Assumptions!$E$30+BB183*Credit_Assumptions!$E$31+BB184*Credit_Assumptions!$E$32+BB185*Credit_Assumptions!$E$33</f>
        <v/>
      </c>
      <c r="BC201" s="80">
        <f>BC180*Credit_Assumptions!$E$28+BC181*Credit_Assumptions!$E$29+BC182*Credit_Assumptions!$E$30+BC183*Credit_Assumptions!$E$31+BC184*Credit_Assumptions!$E$32+BC185*Credit_Assumptions!$E$33</f>
        <v/>
      </c>
      <c r="BD201" s="80">
        <f>BD180*Credit_Assumptions!$E$28+BD181*Credit_Assumptions!$E$29+BD182*Credit_Assumptions!$E$30+BD183*Credit_Assumptions!$E$31+BD184*Credit_Assumptions!$E$32+BD185*Credit_Assumptions!$E$33</f>
        <v/>
      </c>
      <c r="BE201" s="80">
        <f>BE180*Credit_Assumptions!$E$28+BE181*Credit_Assumptions!$E$29+BE182*Credit_Assumptions!$E$30+BE183*Credit_Assumptions!$E$31+BE184*Credit_Assumptions!$E$32+BE185*Credit_Assumptions!$E$33</f>
        <v/>
      </c>
      <c r="BF201" s="80">
        <f>BF180*Credit_Assumptions!$E$28+BF181*Credit_Assumptions!$E$29+BF182*Credit_Assumptions!$E$30+BF183*Credit_Assumptions!$E$31+BF184*Credit_Assumptions!$E$32+BF185*Credit_Assumptions!$E$33</f>
        <v/>
      </c>
      <c r="BG201" s="80">
        <f>BG180*Credit_Assumptions!$E$28+BG181*Credit_Assumptions!$E$29+BG182*Credit_Assumptions!$E$30+BG183*Credit_Assumptions!$E$31+BG184*Credit_Assumptions!$E$32+BG185*Credit_Assumptions!$E$33</f>
        <v/>
      </c>
      <c r="BH201" s="80">
        <f>BH180*Credit_Assumptions!$E$28+BH181*Credit_Assumptions!$E$29+BH182*Credit_Assumptions!$E$30+BH183*Credit_Assumptions!$E$31+BH184*Credit_Assumptions!$E$32+BH185*Credit_Assumptions!$E$33</f>
        <v/>
      </c>
      <c r="BI201" s="80">
        <f>BI180*Credit_Assumptions!$E$28+BI181*Credit_Assumptions!$E$29+BI182*Credit_Assumptions!$E$30+BI183*Credit_Assumptions!$E$31+BI184*Credit_Assumptions!$E$32+BI185*Credit_Assumptions!$E$33</f>
        <v/>
      </c>
      <c r="BJ201" s="80">
        <f>BJ180*Credit_Assumptions!$E$28+BJ181*Credit_Assumptions!$E$29+BJ182*Credit_Assumptions!$E$30+BJ183*Credit_Assumptions!$E$31+BJ184*Credit_Assumptions!$E$32+BJ185*Credit_Assumptions!$E$33</f>
        <v/>
      </c>
      <c r="BK201" s="80">
        <f>BK180*Credit_Assumptions!$E$28+BK181*Credit_Assumptions!$E$29+BK182*Credit_Assumptions!$E$30+BK183*Credit_Assumptions!$E$31+BK184*Credit_Assumptions!$E$32+BK185*Credit_Assumptions!$E$33</f>
        <v/>
      </c>
      <c r="BL201" s="80">
        <f>BL180*Credit_Assumptions!$E$28+BL181*Credit_Assumptions!$E$29+BL182*Credit_Assumptions!$E$30+BL183*Credit_Assumptions!$E$31+BL184*Credit_Assumptions!$E$32+BL185*Credit_Assumptions!$E$33</f>
        <v/>
      </c>
    </row>
    <row r="202">
      <c r="A202" s="98" t="inlineStr">
        <is>
          <t>Borrowing-base contribution (advance rate x eligible)</t>
        </is>
      </c>
      <c r="B202" s="65" t="inlineStr">
        <is>
          <t>LCY</t>
        </is>
      </c>
      <c r="C202" s="105">
        <f>BL202</f>
        <v/>
      </c>
      <c r="E202" s="80">
        <f>E201*Products!$F$31</f>
        <v/>
      </c>
      <c r="F202" s="80">
        <f>F201*Products!$F$31</f>
        <v/>
      </c>
      <c r="G202" s="80">
        <f>G201*Products!$F$31</f>
        <v/>
      </c>
      <c r="H202" s="80">
        <f>H201*Products!$F$31</f>
        <v/>
      </c>
      <c r="I202" s="80">
        <f>I201*Products!$F$31</f>
        <v/>
      </c>
      <c r="J202" s="80">
        <f>J201*Products!$F$31</f>
        <v/>
      </c>
      <c r="K202" s="80">
        <f>K201*Products!$F$31</f>
        <v/>
      </c>
      <c r="L202" s="80">
        <f>L201*Products!$F$31</f>
        <v/>
      </c>
      <c r="M202" s="80">
        <f>M201*Products!$F$31</f>
        <v/>
      </c>
      <c r="N202" s="80">
        <f>N201*Products!$F$31</f>
        <v/>
      </c>
      <c r="O202" s="80">
        <f>O201*Products!$F$31</f>
        <v/>
      </c>
      <c r="P202" s="80">
        <f>P201*Products!$F$31</f>
        <v/>
      </c>
      <c r="Q202" s="80">
        <f>Q201*Products!$F$31</f>
        <v/>
      </c>
      <c r="R202" s="80">
        <f>R201*Products!$F$31</f>
        <v/>
      </c>
      <c r="S202" s="80">
        <f>S201*Products!$F$31</f>
        <v/>
      </c>
      <c r="T202" s="80">
        <f>T201*Products!$F$31</f>
        <v/>
      </c>
      <c r="U202" s="80">
        <f>U201*Products!$F$31</f>
        <v/>
      </c>
      <c r="V202" s="80">
        <f>V201*Products!$F$31</f>
        <v/>
      </c>
      <c r="W202" s="80">
        <f>W201*Products!$F$31</f>
        <v/>
      </c>
      <c r="X202" s="80">
        <f>X201*Products!$F$31</f>
        <v/>
      </c>
      <c r="Y202" s="80">
        <f>Y201*Products!$F$31</f>
        <v/>
      </c>
      <c r="Z202" s="80">
        <f>Z201*Products!$F$31</f>
        <v/>
      </c>
      <c r="AA202" s="80">
        <f>AA201*Products!$F$31</f>
        <v/>
      </c>
      <c r="AB202" s="80">
        <f>AB201*Products!$F$31</f>
        <v/>
      </c>
      <c r="AC202" s="80">
        <f>AC201*Products!$F$31</f>
        <v/>
      </c>
      <c r="AD202" s="80">
        <f>AD201*Products!$F$31</f>
        <v/>
      </c>
      <c r="AE202" s="80">
        <f>AE201*Products!$F$31</f>
        <v/>
      </c>
      <c r="AF202" s="80">
        <f>AF201*Products!$F$31</f>
        <v/>
      </c>
      <c r="AG202" s="80">
        <f>AG201*Products!$F$31</f>
        <v/>
      </c>
      <c r="AH202" s="80">
        <f>AH201*Products!$F$31</f>
        <v/>
      </c>
      <c r="AI202" s="80">
        <f>AI201*Products!$F$31</f>
        <v/>
      </c>
      <c r="AJ202" s="80">
        <f>AJ201*Products!$F$31</f>
        <v/>
      </c>
      <c r="AK202" s="80">
        <f>AK201*Products!$F$31</f>
        <v/>
      </c>
      <c r="AL202" s="80">
        <f>AL201*Products!$F$31</f>
        <v/>
      </c>
      <c r="AM202" s="80">
        <f>AM201*Products!$F$31</f>
        <v/>
      </c>
      <c r="AN202" s="80">
        <f>AN201*Products!$F$31</f>
        <v/>
      </c>
      <c r="AO202" s="80">
        <f>AO201*Products!$F$31</f>
        <v/>
      </c>
      <c r="AP202" s="80">
        <f>AP201*Products!$F$31</f>
        <v/>
      </c>
      <c r="AQ202" s="80">
        <f>AQ201*Products!$F$31</f>
        <v/>
      </c>
      <c r="AR202" s="80">
        <f>AR201*Products!$F$31</f>
        <v/>
      </c>
      <c r="AS202" s="80">
        <f>AS201*Products!$F$31</f>
        <v/>
      </c>
      <c r="AT202" s="80">
        <f>AT201*Products!$F$31</f>
        <v/>
      </c>
      <c r="AU202" s="80">
        <f>AU201*Products!$F$31</f>
        <v/>
      </c>
      <c r="AV202" s="80">
        <f>AV201*Products!$F$31</f>
        <v/>
      </c>
      <c r="AW202" s="80">
        <f>AW201*Products!$F$31</f>
        <v/>
      </c>
      <c r="AX202" s="80">
        <f>AX201*Products!$F$31</f>
        <v/>
      </c>
      <c r="AY202" s="80">
        <f>AY201*Products!$F$31</f>
        <v/>
      </c>
      <c r="AZ202" s="80">
        <f>AZ201*Products!$F$31</f>
        <v/>
      </c>
      <c r="BA202" s="80">
        <f>BA201*Products!$F$31</f>
        <v/>
      </c>
      <c r="BB202" s="80">
        <f>BB201*Products!$F$31</f>
        <v/>
      </c>
      <c r="BC202" s="80">
        <f>BC201*Products!$F$31</f>
        <v/>
      </c>
      <c r="BD202" s="80">
        <f>BD201*Products!$F$31</f>
        <v/>
      </c>
      <c r="BE202" s="80">
        <f>BE201*Products!$F$31</f>
        <v/>
      </c>
      <c r="BF202" s="80">
        <f>BF201*Products!$F$31</f>
        <v/>
      </c>
      <c r="BG202" s="80">
        <f>BG201*Products!$F$31</f>
        <v/>
      </c>
      <c r="BH202" s="80">
        <f>BH201*Products!$F$31</f>
        <v/>
      </c>
      <c r="BI202" s="80">
        <f>BI201*Products!$F$31</f>
        <v/>
      </c>
      <c r="BJ202" s="80">
        <f>BJ201*Products!$F$31</f>
        <v/>
      </c>
      <c r="BK202" s="80">
        <f>BK201*Products!$F$31</f>
        <v/>
      </c>
      <c r="BL202" s="80">
        <f>BL201*Products!$F$31</f>
        <v/>
      </c>
    </row>
    <row r="203">
      <c r="A203" s="98" t="inlineStr">
        <is>
          <t>Reconciliation: buckets: gross (should be 0)</t>
        </is>
      </c>
      <c r="B203" s="65" t="inlineStr">
        <is>
          <t>LCY</t>
        </is>
      </c>
      <c r="C203" s="105">
        <f>BL203</f>
        <v/>
      </c>
      <c r="E203" s="80">
        <f>ROUND(SUM(E180:E185)-E177,0)</f>
        <v/>
      </c>
      <c r="F203" s="80">
        <f>ROUND(SUM(F180:F185)-F177,0)</f>
        <v/>
      </c>
      <c r="G203" s="80">
        <f>ROUND(SUM(G180:G185)-G177,0)</f>
        <v/>
      </c>
      <c r="H203" s="80">
        <f>ROUND(SUM(H180:H185)-H177,0)</f>
        <v/>
      </c>
      <c r="I203" s="80">
        <f>ROUND(SUM(I180:I185)-I177,0)</f>
        <v/>
      </c>
      <c r="J203" s="80">
        <f>ROUND(SUM(J180:J185)-J177,0)</f>
        <v/>
      </c>
      <c r="K203" s="80">
        <f>ROUND(SUM(K180:K185)-K177,0)</f>
        <v/>
      </c>
      <c r="L203" s="80">
        <f>ROUND(SUM(L180:L185)-L177,0)</f>
        <v/>
      </c>
      <c r="M203" s="80">
        <f>ROUND(SUM(M180:M185)-M177,0)</f>
        <v/>
      </c>
      <c r="N203" s="80">
        <f>ROUND(SUM(N180:N185)-N177,0)</f>
        <v/>
      </c>
      <c r="O203" s="80">
        <f>ROUND(SUM(O180:O185)-O177,0)</f>
        <v/>
      </c>
      <c r="P203" s="80">
        <f>ROUND(SUM(P180:P185)-P177,0)</f>
        <v/>
      </c>
      <c r="Q203" s="80">
        <f>ROUND(SUM(Q180:Q185)-Q177,0)</f>
        <v/>
      </c>
      <c r="R203" s="80">
        <f>ROUND(SUM(R180:R185)-R177,0)</f>
        <v/>
      </c>
      <c r="S203" s="80">
        <f>ROUND(SUM(S180:S185)-S177,0)</f>
        <v/>
      </c>
      <c r="T203" s="80">
        <f>ROUND(SUM(T180:T185)-T177,0)</f>
        <v/>
      </c>
      <c r="U203" s="80">
        <f>ROUND(SUM(U180:U185)-U177,0)</f>
        <v/>
      </c>
      <c r="V203" s="80">
        <f>ROUND(SUM(V180:V185)-V177,0)</f>
        <v/>
      </c>
      <c r="W203" s="80">
        <f>ROUND(SUM(W180:W185)-W177,0)</f>
        <v/>
      </c>
      <c r="X203" s="80">
        <f>ROUND(SUM(X180:X185)-X177,0)</f>
        <v/>
      </c>
      <c r="Y203" s="80">
        <f>ROUND(SUM(Y180:Y185)-Y177,0)</f>
        <v/>
      </c>
      <c r="Z203" s="80">
        <f>ROUND(SUM(Z180:Z185)-Z177,0)</f>
        <v/>
      </c>
      <c r="AA203" s="80">
        <f>ROUND(SUM(AA180:AA185)-AA177,0)</f>
        <v/>
      </c>
      <c r="AB203" s="80">
        <f>ROUND(SUM(AB180:AB185)-AB177,0)</f>
        <v/>
      </c>
      <c r="AC203" s="80">
        <f>ROUND(SUM(AC180:AC185)-AC177,0)</f>
        <v/>
      </c>
      <c r="AD203" s="80">
        <f>ROUND(SUM(AD180:AD185)-AD177,0)</f>
        <v/>
      </c>
      <c r="AE203" s="80">
        <f>ROUND(SUM(AE180:AE185)-AE177,0)</f>
        <v/>
      </c>
      <c r="AF203" s="80">
        <f>ROUND(SUM(AF180:AF185)-AF177,0)</f>
        <v/>
      </c>
      <c r="AG203" s="80">
        <f>ROUND(SUM(AG180:AG185)-AG177,0)</f>
        <v/>
      </c>
      <c r="AH203" s="80">
        <f>ROUND(SUM(AH180:AH185)-AH177,0)</f>
        <v/>
      </c>
      <c r="AI203" s="80">
        <f>ROUND(SUM(AI180:AI185)-AI177,0)</f>
        <v/>
      </c>
      <c r="AJ203" s="80">
        <f>ROUND(SUM(AJ180:AJ185)-AJ177,0)</f>
        <v/>
      </c>
      <c r="AK203" s="80">
        <f>ROUND(SUM(AK180:AK185)-AK177,0)</f>
        <v/>
      </c>
      <c r="AL203" s="80">
        <f>ROUND(SUM(AL180:AL185)-AL177,0)</f>
        <v/>
      </c>
      <c r="AM203" s="80">
        <f>ROUND(SUM(AM180:AM185)-AM177,0)</f>
        <v/>
      </c>
      <c r="AN203" s="80">
        <f>ROUND(SUM(AN180:AN185)-AN177,0)</f>
        <v/>
      </c>
      <c r="AO203" s="80">
        <f>ROUND(SUM(AO180:AO185)-AO177,0)</f>
        <v/>
      </c>
      <c r="AP203" s="80">
        <f>ROUND(SUM(AP180:AP185)-AP177,0)</f>
        <v/>
      </c>
      <c r="AQ203" s="80">
        <f>ROUND(SUM(AQ180:AQ185)-AQ177,0)</f>
        <v/>
      </c>
      <c r="AR203" s="80">
        <f>ROUND(SUM(AR180:AR185)-AR177,0)</f>
        <v/>
      </c>
      <c r="AS203" s="80">
        <f>ROUND(SUM(AS180:AS185)-AS177,0)</f>
        <v/>
      </c>
      <c r="AT203" s="80">
        <f>ROUND(SUM(AT180:AT185)-AT177,0)</f>
        <v/>
      </c>
      <c r="AU203" s="80">
        <f>ROUND(SUM(AU180:AU185)-AU177,0)</f>
        <v/>
      </c>
      <c r="AV203" s="80">
        <f>ROUND(SUM(AV180:AV185)-AV177,0)</f>
        <v/>
      </c>
      <c r="AW203" s="80">
        <f>ROUND(SUM(AW180:AW185)-AW177,0)</f>
        <v/>
      </c>
      <c r="AX203" s="80">
        <f>ROUND(SUM(AX180:AX185)-AX177,0)</f>
        <v/>
      </c>
      <c r="AY203" s="80">
        <f>ROUND(SUM(AY180:AY185)-AY177,0)</f>
        <v/>
      </c>
      <c r="AZ203" s="80">
        <f>ROUND(SUM(AZ180:AZ185)-AZ177,0)</f>
        <v/>
      </c>
      <c r="BA203" s="80">
        <f>ROUND(SUM(BA180:BA185)-BA177,0)</f>
        <v/>
      </c>
      <c r="BB203" s="80">
        <f>ROUND(SUM(BB180:BB185)-BB177,0)</f>
        <v/>
      </c>
      <c r="BC203" s="80">
        <f>ROUND(SUM(BC180:BC185)-BC177,0)</f>
        <v/>
      </c>
      <c r="BD203" s="80">
        <f>ROUND(SUM(BD180:BD185)-BD177,0)</f>
        <v/>
      </c>
      <c r="BE203" s="80">
        <f>ROUND(SUM(BE180:BE185)-BE177,0)</f>
        <v/>
      </c>
      <c r="BF203" s="80">
        <f>ROUND(SUM(BF180:BF185)-BF177,0)</f>
        <v/>
      </c>
      <c r="BG203" s="80">
        <f>ROUND(SUM(BG180:BG185)-BG177,0)</f>
        <v/>
      </c>
      <c r="BH203" s="80">
        <f>ROUND(SUM(BH180:BH185)-BH177,0)</f>
        <v/>
      </c>
      <c r="BI203" s="80">
        <f>ROUND(SUM(BI180:BI185)-BI177,0)</f>
        <v/>
      </c>
      <c r="BJ203" s="80">
        <f>ROUND(SUM(BJ180:BJ185)-BJ177,0)</f>
        <v/>
      </c>
      <c r="BK203" s="80">
        <f>ROUND(SUM(BK180:BK185)-BK177,0)</f>
        <v/>
      </c>
      <c r="BL203" s="80">
        <f>ROUND(SUM(BL180:BL185)-BL177,0)</f>
        <v/>
      </c>
    </row>
    <row r="204"/>
    <row r="205">
      <c r="A205" s="21" t="inlineStr">
        <is>
          <t>Tier 4: Solar inverter + lithium (~1.2 kWp / 5 kWh): SELECTED (data mode)</t>
        </is>
      </c>
      <c r="B205" s="22" t="n"/>
      <c r="C205" s="22" t="n"/>
      <c r="D205" s="22" t="n"/>
      <c r="E205" s="22" t="n"/>
      <c r="F205" s="22"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c r="AA205" s="22" t="n"/>
      <c r="AB205" s="22" t="n"/>
      <c r="AC205" s="22" t="n"/>
      <c r="AD205" s="22" t="n"/>
      <c r="AE205" s="22" t="n"/>
      <c r="AF205" s="22" t="n"/>
      <c r="AG205" s="22" t="n"/>
      <c r="AH205" s="22" t="n"/>
      <c r="AI205" s="22" t="n"/>
      <c r="AJ205" s="22" t="n"/>
      <c r="AK205" s="22" t="n"/>
      <c r="AL205" s="22" t="n"/>
      <c r="AM205" s="22" t="n"/>
      <c r="AN205" s="22" t="n"/>
      <c r="AO205" s="22" t="n"/>
      <c r="AP205" s="22" t="n"/>
      <c r="AQ205" s="22" t="n"/>
      <c r="AR205" s="22" t="n"/>
      <c r="AS205" s="22" t="n"/>
      <c r="AT205" s="22" t="n"/>
      <c r="AU205" s="22" t="n"/>
      <c r="AV205" s="22" t="n"/>
      <c r="AW205" s="22" t="n"/>
      <c r="AX205" s="22" t="n"/>
      <c r="AY205" s="22" t="n"/>
      <c r="AZ205" s="22" t="n"/>
      <c r="BA205" s="22" t="n"/>
      <c r="BB205" s="22" t="n"/>
      <c r="BC205" s="22" t="n"/>
      <c r="BD205" s="22" t="n"/>
      <c r="BE205" s="22" t="n"/>
      <c r="BF205" s="22" t="n"/>
      <c r="BG205" s="22" t="n"/>
      <c r="BH205" s="22" t="n"/>
      <c r="BI205" s="22" t="n"/>
      <c r="BJ205" s="22" t="n"/>
      <c r="BK205" s="22" t="n"/>
      <c r="BL205" s="22" t="n"/>
    </row>
    <row r="206">
      <c r="A206" s="98" t="inlineStr">
        <is>
          <t>Gross receivables</t>
        </is>
      </c>
      <c r="B206" s="65" t="inlineStr">
        <is>
          <t>LCY</t>
        </is>
      </c>
      <c r="C206" s="105">
        <f>BL206</f>
        <v/>
      </c>
      <c r="E206" s="80">
        <f>IF(Credit_Assumptions!$C$5=1,E177,INDEX(Credit_Input!$D$200:$D$259,E$4))</f>
        <v/>
      </c>
      <c r="F206" s="80">
        <f>IF(Credit_Assumptions!$C$5=1,F177,INDEX(Credit_Input!$D$200:$D$259,F$4))</f>
        <v/>
      </c>
      <c r="G206" s="80">
        <f>IF(Credit_Assumptions!$C$5=1,G177,INDEX(Credit_Input!$D$200:$D$259,G$4))</f>
        <v/>
      </c>
      <c r="H206" s="80">
        <f>IF(Credit_Assumptions!$C$5=1,H177,INDEX(Credit_Input!$D$200:$D$259,H$4))</f>
        <v/>
      </c>
      <c r="I206" s="80">
        <f>IF(Credit_Assumptions!$C$5=1,I177,INDEX(Credit_Input!$D$200:$D$259,I$4))</f>
        <v/>
      </c>
      <c r="J206" s="80">
        <f>IF(Credit_Assumptions!$C$5=1,J177,INDEX(Credit_Input!$D$200:$D$259,J$4))</f>
        <v/>
      </c>
      <c r="K206" s="80">
        <f>IF(Credit_Assumptions!$C$5=1,K177,INDEX(Credit_Input!$D$200:$D$259,K$4))</f>
        <v/>
      </c>
      <c r="L206" s="80">
        <f>IF(Credit_Assumptions!$C$5=1,L177,INDEX(Credit_Input!$D$200:$D$259,L$4))</f>
        <v/>
      </c>
      <c r="M206" s="80">
        <f>IF(Credit_Assumptions!$C$5=1,M177,INDEX(Credit_Input!$D$200:$D$259,M$4))</f>
        <v/>
      </c>
      <c r="N206" s="80">
        <f>IF(Credit_Assumptions!$C$5=1,N177,INDEX(Credit_Input!$D$200:$D$259,N$4))</f>
        <v/>
      </c>
      <c r="O206" s="80">
        <f>IF(Credit_Assumptions!$C$5=1,O177,INDEX(Credit_Input!$D$200:$D$259,O$4))</f>
        <v/>
      </c>
      <c r="P206" s="80">
        <f>IF(Credit_Assumptions!$C$5=1,P177,INDEX(Credit_Input!$D$200:$D$259,P$4))</f>
        <v/>
      </c>
      <c r="Q206" s="80">
        <f>IF(Credit_Assumptions!$C$5=1,Q177,INDEX(Credit_Input!$D$200:$D$259,Q$4))</f>
        <v/>
      </c>
      <c r="R206" s="80">
        <f>IF(Credit_Assumptions!$C$5=1,R177,INDEX(Credit_Input!$D$200:$D$259,R$4))</f>
        <v/>
      </c>
      <c r="S206" s="80">
        <f>IF(Credit_Assumptions!$C$5=1,S177,INDEX(Credit_Input!$D$200:$D$259,S$4))</f>
        <v/>
      </c>
      <c r="T206" s="80">
        <f>IF(Credit_Assumptions!$C$5=1,T177,INDEX(Credit_Input!$D$200:$D$259,T$4))</f>
        <v/>
      </c>
      <c r="U206" s="80">
        <f>IF(Credit_Assumptions!$C$5=1,U177,INDEX(Credit_Input!$D$200:$D$259,U$4))</f>
        <v/>
      </c>
      <c r="V206" s="80">
        <f>IF(Credit_Assumptions!$C$5=1,V177,INDEX(Credit_Input!$D$200:$D$259,V$4))</f>
        <v/>
      </c>
      <c r="W206" s="80">
        <f>IF(Credit_Assumptions!$C$5=1,W177,INDEX(Credit_Input!$D$200:$D$259,W$4))</f>
        <v/>
      </c>
      <c r="X206" s="80">
        <f>IF(Credit_Assumptions!$C$5=1,X177,INDEX(Credit_Input!$D$200:$D$259,X$4))</f>
        <v/>
      </c>
      <c r="Y206" s="80">
        <f>IF(Credit_Assumptions!$C$5=1,Y177,INDEX(Credit_Input!$D$200:$D$259,Y$4))</f>
        <v/>
      </c>
      <c r="Z206" s="80">
        <f>IF(Credit_Assumptions!$C$5=1,Z177,INDEX(Credit_Input!$D$200:$D$259,Z$4))</f>
        <v/>
      </c>
      <c r="AA206" s="80">
        <f>IF(Credit_Assumptions!$C$5=1,AA177,INDEX(Credit_Input!$D$200:$D$259,AA$4))</f>
        <v/>
      </c>
      <c r="AB206" s="80">
        <f>IF(Credit_Assumptions!$C$5=1,AB177,INDEX(Credit_Input!$D$200:$D$259,AB$4))</f>
        <v/>
      </c>
      <c r="AC206" s="80">
        <f>IF(Credit_Assumptions!$C$5=1,AC177,INDEX(Credit_Input!$D$200:$D$259,AC$4))</f>
        <v/>
      </c>
      <c r="AD206" s="80">
        <f>IF(Credit_Assumptions!$C$5=1,AD177,INDEX(Credit_Input!$D$200:$D$259,AD$4))</f>
        <v/>
      </c>
      <c r="AE206" s="80">
        <f>IF(Credit_Assumptions!$C$5=1,AE177,INDEX(Credit_Input!$D$200:$D$259,AE$4))</f>
        <v/>
      </c>
      <c r="AF206" s="80">
        <f>IF(Credit_Assumptions!$C$5=1,AF177,INDEX(Credit_Input!$D$200:$D$259,AF$4))</f>
        <v/>
      </c>
      <c r="AG206" s="80">
        <f>IF(Credit_Assumptions!$C$5=1,AG177,INDEX(Credit_Input!$D$200:$D$259,AG$4))</f>
        <v/>
      </c>
      <c r="AH206" s="80">
        <f>IF(Credit_Assumptions!$C$5=1,AH177,INDEX(Credit_Input!$D$200:$D$259,AH$4))</f>
        <v/>
      </c>
      <c r="AI206" s="80">
        <f>IF(Credit_Assumptions!$C$5=1,AI177,INDEX(Credit_Input!$D$200:$D$259,AI$4))</f>
        <v/>
      </c>
      <c r="AJ206" s="80">
        <f>IF(Credit_Assumptions!$C$5=1,AJ177,INDEX(Credit_Input!$D$200:$D$259,AJ$4))</f>
        <v/>
      </c>
      <c r="AK206" s="80">
        <f>IF(Credit_Assumptions!$C$5=1,AK177,INDEX(Credit_Input!$D$200:$D$259,AK$4))</f>
        <v/>
      </c>
      <c r="AL206" s="80">
        <f>IF(Credit_Assumptions!$C$5=1,AL177,INDEX(Credit_Input!$D$200:$D$259,AL$4))</f>
        <v/>
      </c>
      <c r="AM206" s="80">
        <f>IF(Credit_Assumptions!$C$5=1,AM177,INDEX(Credit_Input!$D$200:$D$259,AM$4))</f>
        <v/>
      </c>
      <c r="AN206" s="80">
        <f>IF(Credit_Assumptions!$C$5=1,AN177,INDEX(Credit_Input!$D$200:$D$259,AN$4))</f>
        <v/>
      </c>
      <c r="AO206" s="80">
        <f>IF(Credit_Assumptions!$C$5=1,AO177,INDEX(Credit_Input!$D$200:$D$259,AO$4))</f>
        <v/>
      </c>
      <c r="AP206" s="80">
        <f>IF(Credit_Assumptions!$C$5=1,AP177,INDEX(Credit_Input!$D$200:$D$259,AP$4))</f>
        <v/>
      </c>
      <c r="AQ206" s="80">
        <f>IF(Credit_Assumptions!$C$5=1,AQ177,INDEX(Credit_Input!$D$200:$D$259,AQ$4))</f>
        <v/>
      </c>
      <c r="AR206" s="80">
        <f>IF(Credit_Assumptions!$C$5=1,AR177,INDEX(Credit_Input!$D$200:$D$259,AR$4))</f>
        <v/>
      </c>
      <c r="AS206" s="80">
        <f>IF(Credit_Assumptions!$C$5=1,AS177,INDEX(Credit_Input!$D$200:$D$259,AS$4))</f>
        <v/>
      </c>
      <c r="AT206" s="80">
        <f>IF(Credit_Assumptions!$C$5=1,AT177,INDEX(Credit_Input!$D$200:$D$259,AT$4))</f>
        <v/>
      </c>
      <c r="AU206" s="80">
        <f>IF(Credit_Assumptions!$C$5=1,AU177,INDEX(Credit_Input!$D$200:$D$259,AU$4))</f>
        <v/>
      </c>
      <c r="AV206" s="80">
        <f>IF(Credit_Assumptions!$C$5=1,AV177,INDEX(Credit_Input!$D$200:$D$259,AV$4))</f>
        <v/>
      </c>
      <c r="AW206" s="80">
        <f>IF(Credit_Assumptions!$C$5=1,AW177,INDEX(Credit_Input!$D$200:$D$259,AW$4))</f>
        <v/>
      </c>
      <c r="AX206" s="80">
        <f>IF(Credit_Assumptions!$C$5=1,AX177,INDEX(Credit_Input!$D$200:$D$259,AX$4))</f>
        <v/>
      </c>
      <c r="AY206" s="80">
        <f>IF(Credit_Assumptions!$C$5=1,AY177,INDEX(Credit_Input!$D$200:$D$259,AY$4))</f>
        <v/>
      </c>
      <c r="AZ206" s="80">
        <f>IF(Credit_Assumptions!$C$5=1,AZ177,INDEX(Credit_Input!$D$200:$D$259,AZ$4))</f>
        <v/>
      </c>
      <c r="BA206" s="80">
        <f>IF(Credit_Assumptions!$C$5=1,BA177,INDEX(Credit_Input!$D$200:$D$259,BA$4))</f>
        <v/>
      </c>
      <c r="BB206" s="80">
        <f>IF(Credit_Assumptions!$C$5=1,BB177,INDEX(Credit_Input!$D$200:$D$259,BB$4))</f>
        <v/>
      </c>
      <c r="BC206" s="80">
        <f>IF(Credit_Assumptions!$C$5=1,BC177,INDEX(Credit_Input!$D$200:$D$259,BC$4))</f>
        <v/>
      </c>
      <c r="BD206" s="80">
        <f>IF(Credit_Assumptions!$C$5=1,BD177,INDEX(Credit_Input!$D$200:$D$259,BD$4))</f>
        <v/>
      </c>
      <c r="BE206" s="80">
        <f>IF(Credit_Assumptions!$C$5=1,BE177,INDEX(Credit_Input!$D$200:$D$259,BE$4))</f>
        <v/>
      </c>
      <c r="BF206" s="80">
        <f>IF(Credit_Assumptions!$C$5=1,BF177,INDEX(Credit_Input!$D$200:$D$259,BF$4))</f>
        <v/>
      </c>
      <c r="BG206" s="80">
        <f>IF(Credit_Assumptions!$C$5=1,BG177,INDEX(Credit_Input!$D$200:$D$259,BG$4))</f>
        <v/>
      </c>
      <c r="BH206" s="80">
        <f>IF(Credit_Assumptions!$C$5=1,BH177,INDEX(Credit_Input!$D$200:$D$259,BH$4))</f>
        <v/>
      </c>
      <c r="BI206" s="80">
        <f>IF(Credit_Assumptions!$C$5=1,BI177,INDEX(Credit_Input!$D$200:$D$259,BI$4))</f>
        <v/>
      </c>
      <c r="BJ206" s="80">
        <f>IF(Credit_Assumptions!$C$5=1,BJ177,INDEX(Credit_Input!$D$200:$D$259,BJ$4))</f>
        <v/>
      </c>
      <c r="BK206" s="80">
        <f>IF(Credit_Assumptions!$C$5=1,BK177,INDEX(Credit_Input!$D$200:$D$259,BK$4))</f>
        <v/>
      </c>
      <c r="BL206" s="80">
        <f>IF(Credit_Assumptions!$C$5=1,BL177,INDEX(Credit_Input!$D$200:$D$259,BL$4))</f>
        <v/>
      </c>
    </row>
    <row r="207">
      <c r="A207" s="98" t="inlineStr">
        <is>
          <t>Current</t>
        </is>
      </c>
      <c r="B207" s="65" t="inlineStr">
        <is>
          <t>LCY</t>
        </is>
      </c>
      <c r="C207" s="105">
        <f>BL207</f>
        <v/>
      </c>
      <c r="E207" s="80">
        <f>IF(Credit_Assumptions!$C$5=1,E180,INDEX(Credit_Input!$E$200:$E$259,E$4))</f>
        <v/>
      </c>
      <c r="F207" s="80">
        <f>IF(Credit_Assumptions!$C$5=1,F180,INDEX(Credit_Input!$E$200:$E$259,F$4))</f>
        <v/>
      </c>
      <c r="G207" s="80">
        <f>IF(Credit_Assumptions!$C$5=1,G180,INDEX(Credit_Input!$E$200:$E$259,G$4))</f>
        <v/>
      </c>
      <c r="H207" s="80">
        <f>IF(Credit_Assumptions!$C$5=1,H180,INDEX(Credit_Input!$E$200:$E$259,H$4))</f>
        <v/>
      </c>
      <c r="I207" s="80">
        <f>IF(Credit_Assumptions!$C$5=1,I180,INDEX(Credit_Input!$E$200:$E$259,I$4))</f>
        <v/>
      </c>
      <c r="J207" s="80">
        <f>IF(Credit_Assumptions!$C$5=1,J180,INDEX(Credit_Input!$E$200:$E$259,J$4))</f>
        <v/>
      </c>
      <c r="K207" s="80">
        <f>IF(Credit_Assumptions!$C$5=1,K180,INDEX(Credit_Input!$E$200:$E$259,K$4))</f>
        <v/>
      </c>
      <c r="L207" s="80">
        <f>IF(Credit_Assumptions!$C$5=1,L180,INDEX(Credit_Input!$E$200:$E$259,L$4))</f>
        <v/>
      </c>
      <c r="M207" s="80">
        <f>IF(Credit_Assumptions!$C$5=1,M180,INDEX(Credit_Input!$E$200:$E$259,M$4))</f>
        <v/>
      </c>
      <c r="N207" s="80">
        <f>IF(Credit_Assumptions!$C$5=1,N180,INDEX(Credit_Input!$E$200:$E$259,N$4))</f>
        <v/>
      </c>
      <c r="O207" s="80">
        <f>IF(Credit_Assumptions!$C$5=1,O180,INDEX(Credit_Input!$E$200:$E$259,O$4))</f>
        <v/>
      </c>
      <c r="P207" s="80">
        <f>IF(Credit_Assumptions!$C$5=1,P180,INDEX(Credit_Input!$E$200:$E$259,P$4))</f>
        <v/>
      </c>
      <c r="Q207" s="80">
        <f>IF(Credit_Assumptions!$C$5=1,Q180,INDEX(Credit_Input!$E$200:$E$259,Q$4))</f>
        <v/>
      </c>
      <c r="R207" s="80">
        <f>IF(Credit_Assumptions!$C$5=1,R180,INDEX(Credit_Input!$E$200:$E$259,R$4))</f>
        <v/>
      </c>
      <c r="S207" s="80">
        <f>IF(Credit_Assumptions!$C$5=1,S180,INDEX(Credit_Input!$E$200:$E$259,S$4))</f>
        <v/>
      </c>
      <c r="T207" s="80">
        <f>IF(Credit_Assumptions!$C$5=1,T180,INDEX(Credit_Input!$E$200:$E$259,T$4))</f>
        <v/>
      </c>
      <c r="U207" s="80">
        <f>IF(Credit_Assumptions!$C$5=1,U180,INDEX(Credit_Input!$E$200:$E$259,U$4))</f>
        <v/>
      </c>
      <c r="V207" s="80">
        <f>IF(Credit_Assumptions!$C$5=1,V180,INDEX(Credit_Input!$E$200:$E$259,V$4))</f>
        <v/>
      </c>
      <c r="W207" s="80">
        <f>IF(Credit_Assumptions!$C$5=1,W180,INDEX(Credit_Input!$E$200:$E$259,W$4))</f>
        <v/>
      </c>
      <c r="X207" s="80">
        <f>IF(Credit_Assumptions!$C$5=1,X180,INDEX(Credit_Input!$E$200:$E$259,X$4))</f>
        <v/>
      </c>
      <c r="Y207" s="80">
        <f>IF(Credit_Assumptions!$C$5=1,Y180,INDEX(Credit_Input!$E$200:$E$259,Y$4))</f>
        <v/>
      </c>
      <c r="Z207" s="80">
        <f>IF(Credit_Assumptions!$C$5=1,Z180,INDEX(Credit_Input!$E$200:$E$259,Z$4))</f>
        <v/>
      </c>
      <c r="AA207" s="80">
        <f>IF(Credit_Assumptions!$C$5=1,AA180,INDEX(Credit_Input!$E$200:$E$259,AA$4))</f>
        <v/>
      </c>
      <c r="AB207" s="80">
        <f>IF(Credit_Assumptions!$C$5=1,AB180,INDEX(Credit_Input!$E$200:$E$259,AB$4))</f>
        <v/>
      </c>
      <c r="AC207" s="80">
        <f>IF(Credit_Assumptions!$C$5=1,AC180,INDEX(Credit_Input!$E$200:$E$259,AC$4))</f>
        <v/>
      </c>
      <c r="AD207" s="80">
        <f>IF(Credit_Assumptions!$C$5=1,AD180,INDEX(Credit_Input!$E$200:$E$259,AD$4))</f>
        <v/>
      </c>
      <c r="AE207" s="80">
        <f>IF(Credit_Assumptions!$C$5=1,AE180,INDEX(Credit_Input!$E$200:$E$259,AE$4))</f>
        <v/>
      </c>
      <c r="AF207" s="80">
        <f>IF(Credit_Assumptions!$C$5=1,AF180,INDEX(Credit_Input!$E$200:$E$259,AF$4))</f>
        <v/>
      </c>
      <c r="AG207" s="80">
        <f>IF(Credit_Assumptions!$C$5=1,AG180,INDEX(Credit_Input!$E$200:$E$259,AG$4))</f>
        <v/>
      </c>
      <c r="AH207" s="80">
        <f>IF(Credit_Assumptions!$C$5=1,AH180,INDEX(Credit_Input!$E$200:$E$259,AH$4))</f>
        <v/>
      </c>
      <c r="AI207" s="80">
        <f>IF(Credit_Assumptions!$C$5=1,AI180,INDEX(Credit_Input!$E$200:$E$259,AI$4))</f>
        <v/>
      </c>
      <c r="AJ207" s="80">
        <f>IF(Credit_Assumptions!$C$5=1,AJ180,INDEX(Credit_Input!$E$200:$E$259,AJ$4))</f>
        <v/>
      </c>
      <c r="AK207" s="80">
        <f>IF(Credit_Assumptions!$C$5=1,AK180,INDEX(Credit_Input!$E$200:$E$259,AK$4))</f>
        <v/>
      </c>
      <c r="AL207" s="80">
        <f>IF(Credit_Assumptions!$C$5=1,AL180,INDEX(Credit_Input!$E$200:$E$259,AL$4))</f>
        <v/>
      </c>
      <c r="AM207" s="80">
        <f>IF(Credit_Assumptions!$C$5=1,AM180,INDEX(Credit_Input!$E$200:$E$259,AM$4))</f>
        <v/>
      </c>
      <c r="AN207" s="80">
        <f>IF(Credit_Assumptions!$C$5=1,AN180,INDEX(Credit_Input!$E$200:$E$259,AN$4))</f>
        <v/>
      </c>
      <c r="AO207" s="80">
        <f>IF(Credit_Assumptions!$C$5=1,AO180,INDEX(Credit_Input!$E$200:$E$259,AO$4))</f>
        <v/>
      </c>
      <c r="AP207" s="80">
        <f>IF(Credit_Assumptions!$C$5=1,AP180,INDEX(Credit_Input!$E$200:$E$259,AP$4))</f>
        <v/>
      </c>
      <c r="AQ207" s="80">
        <f>IF(Credit_Assumptions!$C$5=1,AQ180,INDEX(Credit_Input!$E$200:$E$259,AQ$4))</f>
        <v/>
      </c>
      <c r="AR207" s="80">
        <f>IF(Credit_Assumptions!$C$5=1,AR180,INDEX(Credit_Input!$E$200:$E$259,AR$4))</f>
        <v/>
      </c>
      <c r="AS207" s="80">
        <f>IF(Credit_Assumptions!$C$5=1,AS180,INDEX(Credit_Input!$E$200:$E$259,AS$4))</f>
        <v/>
      </c>
      <c r="AT207" s="80">
        <f>IF(Credit_Assumptions!$C$5=1,AT180,INDEX(Credit_Input!$E$200:$E$259,AT$4))</f>
        <v/>
      </c>
      <c r="AU207" s="80">
        <f>IF(Credit_Assumptions!$C$5=1,AU180,INDEX(Credit_Input!$E$200:$E$259,AU$4))</f>
        <v/>
      </c>
      <c r="AV207" s="80">
        <f>IF(Credit_Assumptions!$C$5=1,AV180,INDEX(Credit_Input!$E$200:$E$259,AV$4))</f>
        <v/>
      </c>
      <c r="AW207" s="80">
        <f>IF(Credit_Assumptions!$C$5=1,AW180,INDEX(Credit_Input!$E$200:$E$259,AW$4))</f>
        <v/>
      </c>
      <c r="AX207" s="80">
        <f>IF(Credit_Assumptions!$C$5=1,AX180,INDEX(Credit_Input!$E$200:$E$259,AX$4))</f>
        <v/>
      </c>
      <c r="AY207" s="80">
        <f>IF(Credit_Assumptions!$C$5=1,AY180,INDEX(Credit_Input!$E$200:$E$259,AY$4))</f>
        <v/>
      </c>
      <c r="AZ207" s="80">
        <f>IF(Credit_Assumptions!$C$5=1,AZ180,INDEX(Credit_Input!$E$200:$E$259,AZ$4))</f>
        <v/>
      </c>
      <c r="BA207" s="80">
        <f>IF(Credit_Assumptions!$C$5=1,BA180,INDEX(Credit_Input!$E$200:$E$259,BA$4))</f>
        <v/>
      </c>
      <c r="BB207" s="80">
        <f>IF(Credit_Assumptions!$C$5=1,BB180,INDEX(Credit_Input!$E$200:$E$259,BB$4))</f>
        <v/>
      </c>
      <c r="BC207" s="80">
        <f>IF(Credit_Assumptions!$C$5=1,BC180,INDEX(Credit_Input!$E$200:$E$259,BC$4))</f>
        <v/>
      </c>
      <c r="BD207" s="80">
        <f>IF(Credit_Assumptions!$C$5=1,BD180,INDEX(Credit_Input!$E$200:$E$259,BD$4))</f>
        <v/>
      </c>
      <c r="BE207" s="80">
        <f>IF(Credit_Assumptions!$C$5=1,BE180,INDEX(Credit_Input!$E$200:$E$259,BE$4))</f>
        <v/>
      </c>
      <c r="BF207" s="80">
        <f>IF(Credit_Assumptions!$C$5=1,BF180,INDEX(Credit_Input!$E$200:$E$259,BF$4))</f>
        <v/>
      </c>
      <c r="BG207" s="80">
        <f>IF(Credit_Assumptions!$C$5=1,BG180,INDEX(Credit_Input!$E$200:$E$259,BG$4))</f>
        <v/>
      </c>
      <c r="BH207" s="80">
        <f>IF(Credit_Assumptions!$C$5=1,BH180,INDEX(Credit_Input!$E$200:$E$259,BH$4))</f>
        <v/>
      </c>
      <c r="BI207" s="80">
        <f>IF(Credit_Assumptions!$C$5=1,BI180,INDEX(Credit_Input!$E$200:$E$259,BI$4))</f>
        <v/>
      </c>
      <c r="BJ207" s="80">
        <f>IF(Credit_Assumptions!$C$5=1,BJ180,INDEX(Credit_Input!$E$200:$E$259,BJ$4))</f>
        <v/>
      </c>
      <c r="BK207" s="80">
        <f>IF(Credit_Assumptions!$C$5=1,BK180,INDEX(Credit_Input!$E$200:$E$259,BK$4))</f>
        <v/>
      </c>
      <c r="BL207" s="80">
        <f>IF(Credit_Assumptions!$C$5=1,BL180,INDEX(Credit_Input!$E$200:$E$259,BL$4))</f>
        <v/>
      </c>
    </row>
    <row r="208">
      <c r="A208" s="98" t="inlineStr">
        <is>
          <t>1-30 DPD</t>
        </is>
      </c>
      <c r="B208" s="65" t="inlineStr">
        <is>
          <t>LCY</t>
        </is>
      </c>
      <c r="C208" s="105">
        <f>BL208</f>
        <v/>
      </c>
      <c r="E208" s="80">
        <f>IF(Credit_Assumptions!$C$5=1,E181,INDEX(Credit_Input!$F$200:$F$259,E$4))</f>
        <v/>
      </c>
      <c r="F208" s="80">
        <f>IF(Credit_Assumptions!$C$5=1,F181,INDEX(Credit_Input!$F$200:$F$259,F$4))</f>
        <v/>
      </c>
      <c r="G208" s="80">
        <f>IF(Credit_Assumptions!$C$5=1,G181,INDEX(Credit_Input!$F$200:$F$259,G$4))</f>
        <v/>
      </c>
      <c r="H208" s="80">
        <f>IF(Credit_Assumptions!$C$5=1,H181,INDEX(Credit_Input!$F$200:$F$259,H$4))</f>
        <v/>
      </c>
      <c r="I208" s="80">
        <f>IF(Credit_Assumptions!$C$5=1,I181,INDEX(Credit_Input!$F$200:$F$259,I$4))</f>
        <v/>
      </c>
      <c r="J208" s="80">
        <f>IF(Credit_Assumptions!$C$5=1,J181,INDEX(Credit_Input!$F$200:$F$259,J$4))</f>
        <v/>
      </c>
      <c r="K208" s="80">
        <f>IF(Credit_Assumptions!$C$5=1,K181,INDEX(Credit_Input!$F$200:$F$259,K$4))</f>
        <v/>
      </c>
      <c r="L208" s="80">
        <f>IF(Credit_Assumptions!$C$5=1,L181,INDEX(Credit_Input!$F$200:$F$259,L$4))</f>
        <v/>
      </c>
      <c r="M208" s="80">
        <f>IF(Credit_Assumptions!$C$5=1,M181,INDEX(Credit_Input!$F$200:$F$259,M$4))</f>
        <v/>
      </c>
      <c r="N208" s="80">
        <f>IF(Credit_Assumptions!$C$5=1,N181,INDEX(Credit_Input!$F$200:$F$259,N$4))</f>
        <v/>
      </c>
      <c r="O208" s="80">
        <f>IF(Credit_Assumptions!$C$5=1,O181,INDEX(Credit_Input!$F$200:$F$259,O$4))</f>
        <v/>
      </c>
      <c r="P208" s="80">
        <f>IF(Credit_Assumptions!$C$5=1,P181,INDEX(Credit_Input!$F$200:$F$259,P$4))</f>
        <v/>
      </c>
      <c r="Q208" s="80">
        <f>IF(Credit_Assumptions!$C$5=1,Q181,INDEX(Credit_Input!$F$200:$F$259,Q$4))</f>
        <v/>
      </c>
      <c r="R208" s="80">
        <f>IF(Credit_Assumptions!$C$5=1,R181,INDEX(Credit_Input!$F$200:$F$259,R$4))</f>
        <v/>
      </c>
      <c r="S208" s="80">
        <f>IF(Credit_Assumptions!$C$5=1,S181,INDEX(Credit_Input!$F$200:$F$259,S$4))</f>
        <v/>
      </c>
      <c r="T208" s="80">
        <f>IF(Credit_Assumptions!$C$5=1,T181,INDEX(Credit_Input!$F$200:$F$259,T$4))</f>
        <v/>
      </c>
      <c r="U208" s="80">
        <f>IF(Credit_Assumptions!$C$5=1,U181,INDEX(Credit_Input!$F$200:$F$259,U$4))</f>
        <v/>
      </c>
      <c r="V208" s="80">
        <f>IF(Credit_Assumptions!$C$5=1,V181,INDEX(Credit_Input!$F$200:$F$259,V$4))</f>
        <v/>
      </c>
      <c r="W208" s="80">
        <f>IF(Credit_Assumptions!$C$5=1,W181,INDEX(Credit_Input!$F$200:$F$259,W$4))</f>
        <v/>
      </c>
      <c r="X208" s="80">
        <f>IF(Credit_Assumptions!$C$5=1,X181,INDEX(Credit_Input!$F$200:$F$259,X$4))</f>
        <v/>
      </c>
      <c r="Y208" s="80">
        <f>IF(Credit_Assumptions!$C$5=1,Y181,INDEX(Credit_Input!$F$200:$F$259,Y$4))</f>
        <v/>
      </c>
      <c r="Z208" s="80">
        <f>IF(Credit_Assumptions!$C$5=1,Z181,INDEX(Credit_Input!$F$200:$F$259,Z$4))</f>
        <v/>
      </c>
      <c r="AA208" s="80">
        <f>IF(Credit_Assumptions!$C$5=1,AA181,INDEX(Credit_Input!$F$200:$F$259,AA$4))</f>
        <v/>
      </c>
      <c r="AB208" s="80">
        <f>IF(Credit_Assumptions!$C$5=1,AB181,INDEX(Credit_Input!$F$200:$F$259,AB$4))</f>
        <v/>
      </c>
      <c r="AC208" s="80">
        <f>IF(Credit_Assumptions!$C$5=1,AC181,INDEX(Credit_Input!$F$200:$F$259,AC$4))</f>
        <v/>
      </c>
      <c r="AD208" s="80">
        <f>IF(Credit_Assumptions!$C$5=1,AD181,INDEX(Credit_Input!$F$200:$F$259,AD$4))</f>
        <v/>
      </c>
      <c r="AE208" s="80">
        <f>IF(Credit_Assumptions!$C$5=1,AE181,INDEX(Credit_Input!$F$200:$F$259,AE$4))</f>
        <v/>
      </c>
      <c r="AF208" s="80">
        <f>IF(Credit_Assumptions!$C$5=1,AF181,INDEX(Credit_Input!$F$200:$F$259,AF$4))</f>
        <v/>
      </c>
      <c r="AG208" s="80">
        <f>IF(Credit_Assumptions!$C$5=1,AG181,INDEX(Credit_Input!$F$200:$F$259,AG$4))</f>
        <v/>
      </c>
      <c r="AH208" s="80">
        <f>IF(Credit_Assumptions!$C$5=1,AH181,INDEX(Credit_Input!$F$200:$F$259,AH$4))</f>
        <v/>
      </c>
      <c r="AI208" s="80">
        <f>IF(Credit_Assumptions!$C$5=1,AI181,INDEX(Credit_Input!$F$200:$F$259,AI$4))</f>
        <v/>
      </c>
      <c r="AJ208" s="80">
        <f>IF(Credit_Assumptions!$C$5=1,AJ181,INDEX(Credit_Input!$F$200:$F$259,AJ$4))</f>
        <v/>
      </c>
      <c r="AK208" s="80">
        <f>IF(Credit_Assumptions!$C$5=1,AK181,INDEX(Credit_Input!$F$200:$F$259,AK$4))</f>
        <v/>
      </c>
      <c r="AL208" s="80">
        <f>IF(Credit_Assumptions!$C$5=1,AL181,INDEX(Credit_Input!$F$200:$F$259,AL$4))</f>
        <v/>
      </c>
      <c r="AM208" s="80">
        <f>IF(Credit_Assumptions!$C$5=1,AM181,INDEX(Credit_Input!$F$200:$F$259,AM$4))</f>
        <v/>
      </c>
      <c r="AN208" s="80">
        <f>IF(Credit_Assumptions!$C$5=1,AN181,INDEX(Credit_Input!$F$200:$F$259,AN$4))</f>
        <v/>
      </c>
      <c r="AO208" s="80">
        <f>IF(Credit_Assumptions!$C$5=1,AO181,INDEX(Credit_Input!$F$200:$F$259,AO$4))</f>
        <v/>
      </c>
      <c r="AP208" s="80">
        <f>IF(Credit_Assumptions!$C$5=1,AP181,INDEX(Credit_Input!$F$200:$F$259,AP$4))</f>
        <v/>
      </c>
      <c r="AQ208" s="80">
        <f>IF(Credit_Assumptions!$C$5=1,AQ181,INDEX(Credit_Input!$F$200:$F$259,AQ$4))</f>
        <v/>
      </c>
      <c r="AR208" s="80">
        <f>IF(Credit_Assumptions!$C$5=1,AR181,INDEX(Credit_Input!$F$200:$F$259,AR$4))</f>
        <v/>
      </c>
      <c r="AS208" s="80">
        <f>IF(Credit_Assumptions!$C$5=1,AS181,INDEX(Credit_Input!$F$200:$F$259,AS$4))</f>
        <v/>
      </c>
      <c r="AT208" s="80">
        <f>IF(Credit_Assumptions!$C$5=1,AT181,INDEX(Credit_Input!$F$200:$F$259,AT$4))</f>
        <v/>
      </c>
      <c r="AU208" s="80">
        <f>IF(Credit_Assumptions!$C$5=1,AU181,INDEX(Credit_Input!$F$200:$F$259,AU$4))</f>
        <v/>
      </c>
      <c r="AV208" s="80">
        <f>IF(Credit_Assumptions!$C$5=1,AV181,INDEX(Credit_Input!$F$200:$F$259,AV$4))</f>
        <v/>
      </c>
      <c r="AW208" s="80">
        <f>IF(Credit_Assumptions!$C$5=1,AW181,INDEX(Credit_Input!$F$200:$F$259,AW$4))</f>
        <v/>
      </c>
      <c r="AX208" s="80">
        <f>IF(Credit_Assumptions!$C$5=1,AX181,INDEX(Credit_Input!$F$200:$F$259,AX$4))</f>
        <v/>
      </c>
      <c r="AY208" s="80">
        <f>IF(Credit_Assumptions!$C$5=1,AY181,INDEX(Credit_Input!$F$200:$F$259,AY$4))</f>
        <v/>
      </c>
      <c r="AZ208" s="80">
        <f>IF(Credit_Assumptions!$C$5=1,AZ181,INDEX(Credit_Input!$F$200:$F$259,AZ$4))</f>
        <v/>
      </c>
      <c r="BA208" s="80">
        <f>IF(Credit_Assumptions!$C$5=1,BA181,INDEX(Credit_Input!$F$200:$F$259,BA$4))</f>
        <v/>
      </c>
      <c r="BB208" s="80">
        <f>IF(Credit_Assumptions!$C$5=1,BB181,INDEX(Credit_Input!$F$200:$F$259,BB$4))</f>
        <v/>
      </c>
      <c r="BC208" s="80">
        <f>IF(Credit_Assumptions!$C$5=1,BC181,INDEX(Credit_Input!$F$200:$F$259,BC$4))</f>
        <v/>
      </c>
      <c r="BD208" s="80">
        <f>IF(Credit_Assumptions!$C$5=1,BD181,INDEX(Credit_Input!$F$200:$F$259,BD$4))</f>
        <v/>
      </c>
      <c r="BE208" s="80">
        <f>IF(Credit_Assumptions!$C$5=1,BE181,INDEX(Credit_Input!$F$200:$F$259,BE$4))</f>
        <v/>
      </c>
      <c r="BF208" s="80">
        <f>IF(Credit_Assumptions!$C$5=1,BF181,INDEX(Credit_Input!$F$200:$F$259,BF$4))</f>
        <v/>
      </c>
      <c r="BG208" s="80">
        <f>IF(Credit_Assumptions!$C$5=1,BG181,INDEX(Credit_Input!$F$200:$F$259,BG$4))</f>
        <v/>
      </c>
      <c r="BH208" s="80">
        <f>IF(Credit_Assumptions!$C$5=1,BH181,INDEX(Credit_Input!$F$200:$F$259,BH$4))</f>
        <v/>
      </c>
      <c r="BI208" s="80">
        <f>IF(Credit_Assumptions!$C$5=1,BI181,INDEX(Credit_Input!$F$200:$F$259,BI$4))</f>
        <v/>
      </c>
      <c r="BJ208" s="80">
        <f>IF(Credit_Assumptions!$C$5=1,BJ181,INDEX(Credit_Input!$F$200:$F$259,BJ$4))</f>
        <v/>
      </c>
      <c r="BK208" s="80">
        <f>IF(Credit_Assumptions!$C$5=1,BK181,INDEX(Credit_Input!$F$200:$F$259,BK$4))</f>
        <v/>
      </c>
      <c r="BL208" s="80">
        <f>IF(Credit_Assumptions!$C$5=1,BL181,INDEX(Credit_Input!$F$200:$F$259,BL$4))</f>
        <v/>
      </c>
    </row>
    <row r="209">
      <c r="A209" s="98" t="inlineStr">
        <is>
          <t>31-60 DPD</t>
        </is>
      </c>
      <c r="B209" s="65" t="inlineStr">
        <is>
          <t>LCY</t>
        </is>
      </c>
      <c r="C209" s="105">
        <f>BL209</f>
        <v/>
      </c>
      <c r="E209" s="80">
        <f>IF(Credit_Assumptions!$C$5=1,E182,INDEX(Credit_Input!$G$200:$G$259,E$4))</f>
        <v/>
      </c>
      <c r="F209" s="80">
        <f>IF(Credit_Assumptions!$C$5=1,F182,INDEX(Credit_Input!$G$200:$G$259,F$4))</f>
        <v/>
      </c>
      <c r="G209" s="80">
        <f>IF(Credit_Assumptions!$C$5=1,G182,INDEX(Credit_Input!$G$200:$G$259,G$4))</f>
        <v/>
      </c>
      <c r="H209" s="80">
        <f>IF(Credit_Assumptions!$C$5=1,H182,INDEX(Credit_Input!$G$200:$G$259,H$4))</f>
        <v/>
      </c>
      <c r="I209" s="80">
        <f>IF(Credit_Assumptions!$C$5=1,I182,INDEX(Credit_Input!$G$200:$G$259,I$4))</f>
        <v/>
      </c>
      <c r="J209" s="80">
        <f>IF(Credit_Assumptions!$C$5=1,J182,INDEX(Credit_Input!$G$200:$G$259,J$4))</f>
        <v/>
      </c>
      <c r="K209" s="80">
        <f>IF(Credit_Assumptions!$C$5=1,K182,INDEX(Credit_Input!$G$200:$G$259,K$4))</f>
        <v/>
      </c>
      <c r="L209" s="80">
        <f>IF(Credit_Assumptions!$C$5=1,L182,INDEX(Credit_Input!$G$200:$G$259,L$4))</f>
        <v/>
      </c>
      <c r="M209" s="80">
        <f>IF(Credit_Assumptions!$C$5=1,M182,INDEX(Credit_Input!$G$200:$G$259,M$4))</f>
        <v/>
      </c>
      <c r="N209" s="80">
        <f>IF(Credit_Assumptions!$C$5=1,N182,INDEX(Credit_Input!$G$200:$G$259,N$4))</f>
        <v/>
      </c>
      <c r="O209" s="80">
        <f>IF(Credit_Assumptions!$C$5=1,O182,INDEX(Credit_Input!$G$200:$G$259,O$4))</f>
        <v/>
      </c>
      <c r="P209" s="80">
        <f>IF(Credit_Assumptions!$C$5=1,P182,INDEX(Credit_Input!$G$200:$G$259,P$4))</f>
        <v/>
      </c>
      <c r="Q209" s="80">
        <f>IF(Credit_Assumptions!$C$5=1,Q182,INDEX(Credit_Input!$G$200:$G$259,Q$4))</f>
        <v/>
      </c>
      <c r="R209" s="80">
        <f>IF(Credit_Assumptions!$C$5=1,R182,INDEX(Credit_Input!$G$200:$G$259,R$4))</f>
        <v/>
      </c>
      <c r="S209" s="80">
        <f>IF(Credit_Assumptions!$C$5=1,S182,INDEX(Credit_Input!$G$200:$G$259,S$4))</f>
        <v/>
      </c>
      <c r="T209" s="80">
        <f>IF(Credit_Assumptions!$C$5=1,T182,INDEX(Credit_Input!$G$200:$G$259,T$4))</f>
        <v/>
      </c>
      <c r="U209" s="80">
        <f>IF(Credit_Assumptions!$C$5=1,U182,INDEX(Credit_Input!$G$200:$G$259,U$4))</f>
        <v/>
      </c>
      <c r="V209" s="80">
        <f>IF(Credit_Assumptions!$C$5=1,V182,INDEX(Credit_Input!$G$200:$G$259,V$4))</f>
        <v/>
      </c>
      <c r="W209" s="80">
        <f>IF(Credit_Assumptions!$C$5=1,W182,INDEX(Credit_Input!$G$200:$G$259,W$4))</f>
        <v/>
      </c>
      <c r="X209" s="80">
        <f>IF(Credit_Assumptions!$C$5=1,X182,INDEX(Credit_Input!$G$200:$G$259,X$4))</f>
        <v/>
      </c>
      <c r="Y209" s="80">
        <f>IF(Credit_Assumptions!$C$5=1,Y182,INDEX(Credit_Input!$G$200:$G$259,Y$4))</f>
        <v/>
      </c>
      <c r="Z209" s="80">
        <f>IF(Credit_Assumptions!$C$5=1,Z182,INDEX(Credit_Input!$G$200:$G$259,Z$4))</f>
        <v/>
      </c>
      <c r="AA209" s="80">
        <f>IF(Credit_Assumptions!$C$5=1,AA182,INDEX(Credit_Input!$G$200:$G$259,AA$4))</f>
        <v/>
      </c>
      <c r="AB209" s="80">
        <f>IF(Credit_Assumptions!$C$5=1,AB182,INDEX(Credit_Input!$G$200:$G$259,AB$4))</f>
        <v/>
      </c>
      <c r="AC209" s="80">
        <f>IF(Credit_Assumptions!$C$5=1,AC182,INDEX(Credit_Input!$G$200:$G$259,AC$4))</f>
        <v/>
      </c>
      <c r="AD209" s="80">
        <f>IF(Credit_Assumptions!$C$5=1,AD182,INDEX(Credit_Input!$G$200:$G$259,AD$4))</f>
        <v/>
      </c>
      <c r="AE209" s="80">
        <f>IF(Credit_Assumptions!$C$5=1,AE182,INDEX(Credit_Input!$G$200:$G$259,AE$4))</f>
        <v/>
      </c>
      <c r="AF209" s="80">
        <f>IF(Credit_Assumptions!$C$5=1,AF182,INDEX(Credit_Input!$G$200:$G$259,AF$4))</f>
        <v/>
      </c>
      <c r="AG209" s="80">
        <f>IF(Credit_Assumptions!$C$5=1,AG182,INDEX(Credit_Input!$G$200:$G$259,AG$4))</f>
        <v/>
      </c>
      <c r="AH209" s="80">
        <f>IF(Credit_Assumptions!$C$5=1,AH182,INDEX(Credit_Input!$G$200:$G$259,AH$4))</f>
        <v/>
      </c>
      <c r="AI209" s="80">
        <f>IF(Credit_Assumptions!$C$5=1,AI182,INDEX(Credit_Input!$G$200:$G$259,AI$4))</f>
        <v/>
      </c>
      <c r="AJ209" s="80">
        <f>IF(Credit_Assumptions!$C$5=1,AJ182,INDEX(Credit_Input!$G$200:$G$259,AJ$4))</f>
        <v/>
      </c>
      <c r="AK209" s="80">
        <f>IF(Credit_Assumptions!$C$5=1,AK182,INDEX(Credit_Input!$G$200:$G$259,AK$4))</f>
        <v/>
      </c>
      <c r="AL209" s="80">
        <f>IF(Credit_Assumptions!$C$5=1,AL182,INDEX(Credit_Input!$G$200:$G$259,AL$4))</f>
        <v/>
      </c>
      <c r="AM209" s="80">
        <f>IF(Credit_Assumptions!$C$5=1,AM182,INDEX(Credit_Input!$G$200:$G$259,AM$4))</f>
        <v/>
      </c>
      <c r="AN209" s="80">
        <f>IF(Credit_Assumptions!$C$5=1,AN182,INDEX(Credit_Input!$G$200:$G$259,AN$4))</f>
        <v/>
      </c>
      <c r="AO209" s="80">
        <f>IF(Credit_Assumptions!$C$5=1,AO182,INDEX(Credit_Input!$G$200:$G$259,AO$4))</f>
        <v/>
      </c>
      <c r="AP209" s="80">
        <f>IF(Credit_Assumptions!$C$5=1,AP182,INDEX(Credit_Input!$G$200:$G$259,AP$4))</f>
        <v/>
      </c>
      <c r="AQ209" s="80">
        <f>IF(Credit_Assumptions!$C$5=1,AQ182,INDEX(Credit_Input!$G$200:$G$259,AQ$4))</f>
        <v/>
      </c>
      <c r="AR209" s="80">
        <f>IF(Credit_Assumptions!$C$5=1,AR182,INDEX(Credit_Input!$G$200:$G$259,AR$4))</f>
        <v/>
      </c>
      <c r="AS209" s="80">
        <f>IF(Credit_Assumptions!$C$5=1,AS182,INDEX(Credit_Input!$G$200:$G$259,AS$4))</f>
        <v/>
      </c>
      <c r="AT209" s="80">
        <f>IF(Credit_Assumptions!$C$5=1,AT182,INDEX(Credit_Input!$G$200:$G$259,AT$4))</f>
        <v/>
      </c>
      <c r="AU209" s="80">
        <f>IF(Credit_Assumptions!$C$5=1,AU182,INDEX(Credit_Input!$G$200:$G$259,AU$4))</f>
        <v/>
      </c>
      <c r="AV209" s="80">
        <f>IF(Credit_Assumptions!$C$5=1,AV182,INDEX(Credit_Input!$G$200:$G$259,AV$4))</f>
        <v/>
      </c>
      <c r="AW209" s="80">
        <f>IF(Credit_Assumptions!$C$5=1,AW182,INDEX(Credit_Input!$G$200:$G$259,AW$4))</f>
        <v/>
      </c>
      <c r="AX209" s="80">
        <f>IF(Credit_Assumptions!$C$5=1,AX182,INDEX(Credit_Input!$G$200:$G$259,AX$4))</f>
        <v/>
      </c>
      <c r="AY209" s="80">
        <f>IF(Credit_Assumptions!$C$5=1,AY182,INDEX(Credit_Input!$G$200:$G$259,AY$4))</f>
        <v/>
      </c>
      <c r="AZ209" s="80">
        <f>IF(Credit_Assumptions!$C$5=1,AZ182,INDEX(Credit_Input!$G$200:$G$259,AZ$4))</f>
        <v/>
      </c>
      <c r="BA209" s="80">
        <f>IF(Credit_Assumptions!$C$5=1,BA182,INDEX(Credit_Input!$G$200:$G$259,BA$4))</f>
        <v/>
      </c>
      <c r="BB209" s="80">
        <f>IF(Credit_Assumptions!$C$5=1,BB182,INDEX(Credit_Input!$G$200:$G$259,BB$4))</f>
        <v/>
      </c>
      <c r="BC209" s="80">
        <f>IF(Credit_Assumptions!$C$5=1,BC182,INDEX(Credit_Input!$G$200:$G$259,BC$4))</f>
        <v/>
      </c>
      <c r="BD209" s="80">
        <f>IF(Credit_Assumptions!$C$5=1,BD182,INDEX(Credit_Input!$G$200:$G$259,BD$4))</f>
        <v/>
      </c>
      <c r="BE209" s="80">
        <f>IF(Credit_Assumptions!$C$5=1,BE182,INDEX(Credit_Input!$G$200:$G$259,BE$4))</f>
        <v/>
      </c>
      <c r="BF209" s="80">
        <f>IF(Credit_Assumptions!$C$5=1,BF182,INDEX(Credit_Input!$G$200:$G$259,BF$4))</f>
        <v/>
      </c>
      <c r="BG209" s="80">
        <f>IF(Credit_Assumptions!$C$5=1,BG182,INDEX(Credit_Input!$G$200:$G$259,BG$4))</f>
        <v/>
      </c>
      <c r="BH209" s="80">
        <f>IF(Credit_Assumptions!$C$5=1,BH182,INDEX(Credit_Input!$G$200:$G$259,BH$4))</f>
        <v/>
      </c>
      <c r="BI209" s="80">
        <f>IF(Credit_Assumptions!$C$5=1,BI182,INDEX(Credit_Input!$G$200:$G$259,BI$4))</f>
        <v/>
      </c>
      <c r="BJ209" s="80">
        <f>IF(Credit_Assumptions!$C$5=1,BJ182,INDEX(Credit_Input!$G$200:$G$259,BJ$4))</f>
        <v/>
      </c>
      <c r="BK209" s="80">
        <f>IF(Credit_Assumptions!$C$5=1,BK182,INDEX(Credit_Input!$G$200:$G$259,BK$4))</f>
        <v/>
      </c>
      <c r="BL209" s="80">
        <f>IF(Credit_Assumptions!$C$5=1,BL182,INDEX(Credit_Input!$G$200:$G$259,BL$4))</f>
        <v/>
      </c>
    </row>
    <row r="210">
      <c r="A210" s="98" t="inlineStr">
        <is>
          <t>61-90 DPD</t>
        </is>
      </c>
      <c r="B210" s="65" t="inlineStr">
        <is>
          <t>LCY</t>
        </is>
      </c>
      <c r="C210" s="105">
        <f>BL210</f>
        <v/>
      </c>
      <c r="E210" s="80">
        <f>IF(Credit_Assumptions!$C$5=1,E183,INDEX(Credit_Input!$H$200:$H$259,E$4))</f>
        <v/>
      </c>
      <c r="F210" s="80">
        <f>IF(Credit_Assumptions!$C$5=1,F183,INDEX(Credit_Input!$H$200:$H$259,F$4))</f>
        <v/>
      </c>
      <c r="G210" s="80">
        <f>IF(Credit_Assumptions!$C$5=1,G183,INDEX(Credit_Input!$H$200:$H$259,G$4))</f>
        <v/>
      </c>
      <c r="H210" s="80">
        <f>IF(Credit_Assumptions!$C$5=1,H183,INDEX(Credit_Input!$H$200:$H$259,H$4))</f>
        <v/>
      </c>
      <c r="I210" s="80">
        <f>IF(Credit_Assumptions!$C$5=1,I183,INDEX(Credit_Input!$H$200:$H$259,I$4))</f>
        <v/>
      </c>
      <c r="J210" s="80">
        <f>IF(Credit_Assumptions!$C$5=1,J183,INDEX(Credit_Input!$H$200:$H$259,J$4))</f>
        <v/>
      </c>
      <c r="K210" s="80">
        <f>IF(Credit_Assumptions!$C$5=1,K183,INDEX(Credit_Input!$H$200:$H$259,K$4))</f>
        <v/>
      </c>
      <c r="L210" s="80">
        <f>IF(Credit_Assumptions!$C$5=1,L183,INDEX(Credit_Input!$H$200:$H$259,L$4))</f>
        <v/>
      </c>
      <c r="M210" s="80">
        <f>IF(Credit_Assumptions!$C$5=1,M183,INDEX(Credit_Input!$H$200:$H$259,M$4))</f>
        <v/>
      </c>
      <c r="N210" s="80">
        <f>IF(Credit_Assumptions!$C$5=1,N183,INDEX(Credit_Input!$H$200:$H$259,N$4))</f>
        <v/>
      </c>
      <c r="O210" s="80">
        <f>IF(Credit_Assumptions!$C$5=1,O183,INDEX(Credit_Input!$H$200:$H$259,O$4))</f>
        <v/>
      </c>
      <c r="P210" s="80">
        <f>IF(Credit_Assumptions!$C$5=1,P183,INDEX(Credit_Input!$H$200:$H$259,P$4))</f>
        <v/>
      </c>
      <c r="Q210" s="80">
        <f>IF(Credit_Assumptions!$C$5=1,Q183,INDEX(Credit_Input!$H$200:$H$259,Q$4))</f>
        <v/>
      </c>
      <c r="R210" s="80">
        <f>IF(Credit_Assumptions!$C$5=1,R183,INDEX(Credit_Input!$H$200:$H$259,R$4))</f>
        <v/>
      </c>
      <c r="S210" s="80">
        <f>IF(Credit_Assumptions!$C$5=1,S183,INDEX(Credit_Input!$H$200:$H$259,S$4))</f>
        <v/>
      </c>
      <c r="T210" s="80">
        <f>IF(Credit_Assumptions!$C$5=1,T183,INDEX(Credit_Input!$H$200:$H$259,T$4))</f>
        <v/>
      </c>
      <c r="U210" s="80">
        <f>IF(Credit_Assumptions!$C$5=1,U183,INDEX(Credit_Input!$H$200:$H$259,U$4))</f>
        <v/>
      </c>
      <c r="V210" s="80">
        <f>IF(Credit_Assumptions!$C$5=1,V183,INDEX(Credit_Input!$H$200:$H$259,V$4))</f>
        <v/>
      </c>
      <c r="W210" s="80">
        <f>IF(Credit_Assumptions!$C$5=1,W183,INDEX(Credit_Input!$H$200:$H$259,W$4))</f>
        <v/>
      </c>
      <c r="X210" s="80">
        <f>IF(Credit_Assumptions!$C$5=1,X183,INDEX(Credit_Input!$H$200:$H$259,X$4))</f>
        <v/>
      </c>
      <c r="Y210" s="80">
        <f>IF(Credit_Assumptions!$C$5=1,Y183,INDEX(Credit_Input!$H$200:$H$259,Y$4))</f>
        <v/>
      </c>
      <c r="Z210" s="80">
        <f>IF(Credit_Assumptions!$C$5=1,Z183,INDEX(Credit_Input!$H$200:$H$259,Z$4))</f>
        <v/>
      </c>
      <c r="AA210" s="80">
        <f>IF(Credit_Assumptions!$C$5=1,AA183,INDEX(Credit_Input!$H$200:$H$259,AA$4))</f>
        <v/>
      </c>
      <c r="AB210" s="80">
        <f>IF(Credit_Assumptions!$C$5=1,AB183,INDEX(Credit_Input!$H$200:$H$259,AB$4))</f>
        <v/>
      </c>
      <c r="AC210" s="80">
        <f>IF(Credit_Assumptions!$C$5=1,AC183,INDEX(Credit_Input!$H$200:$H$259,AC$4))</f>
        <v/>
      </c>
      <c r="AD210" s="80">
        <f>IF(Credit_Assumptions!$C$5=1,AD183,INDEX(Credit_Input!$H$200:$H$259,AD$4))</f>
        <v/>
      </c>
      <c r="AE210" s="80">
        <f>IF(Credit_Assumptions!$C$5=1,AE183,INDEX(Credit_Input!$H$200:$H$259,AE$4))</f>
        <v/>
      </c>
      <c r="AF210" s="80">
        <f>IF(Credit_Assumptions!$C$5=1,AF183,INDEX(Credit_Input!$H$200:$H$259,AF$4))</f>
        <v/>
      </c>
      <c r="AG210" s="80">
        <f>IF(Credit_Assumptions!$C$5=1,AG183,INDEX(Credit_Input!$H$200:$H$259,AG$4))</f>
        <v/>
      </c>
      <c r="AH210" s="80">
        <f>IF(Credit_Assumptions!$C$5=1,AH183,INDEX(Credit_Input!$H$200:$H$259,AH$4))</f>
        <v/>
      </c>
      <c r="AI210" s="80">
        <f>IF(Credit_Assumptions!$C$5=1,AI183,INDEX(Credit_Input!$H$200:$H$259,AI$4))</f>
        <v/>
      </c>
      <c r="AJ210" s="80">
        <f>IF(Credit_Assumptions!$C$5=1,AJ183,INDEX(Credit_Input!$H$200:$H$259,AJ$4))</f>
        <v/>
      </c>
      <c r="AK210" s="80">
        <f>IF(Credit_Assumptions!$C$5=1,AK183,INDEX(Credit_Input!$H$200:$H$259,AK$4))</f>
        <v/>
      </c>
      <c r="AL210" s="80">
        <f>IF(Credit_Assumptions!$C$5=1,AL183,INDEX(Credit_Input!$H$200:$H$259,AL$4))</f>
        <v/>
      </c>
      <c r="AM210" s="80">
        <f>IF(Credit_Assumptions!$C$5=1,AM183,INDEX(Credit_Input!$H$200:$H$259,AM$4))</f>
        <v/>
      </c>
      <c r="AN210" s="80">
        <f>IF(Credit_Assumptions!$C$5=1,AN183,INDEX(Credit_Input!$H$200:$H$259,AN$4))</f>
        <v/>
      </c>
      <c r="AO210" s="80">
        <f>IF(Credit_Assumptions!$C$5=1,AO183,INDEX(Credit_Input!$H$200:$H$259,AO$4))</f>
        <v/>
      </c>
      <c r="AP210" s="80">
        <f>IF(Credit_Assumptions!$C$5=1,AP183,INDEX(Credit_Input!$H$200:$H$259,AP$4))</f>
        <v/>
      </c>
      <c r="AQ210" s="80">
        <f>IF(Credit_Assumptions!$C$5=1,AQ183,INDEX(Credit_Input!$H$200:$H$259,AQ$4))</f>
        <v/>
      </c>
      <c r="AR210" s="80">
        <f>IF(Credit_Assumptions!$C$5=1,AR183,INDEX(Credit_Input!$H$200:$H$259,AR$4))</f>
        <v/>
      </c>
      <c r="AS210" s="80">
        <f>IF(Credit_Assumptions!$C$5=1,AS183,INDEX(Credit_Input!$H$200:$H$259,AS$4))</f>
        <v/>
      </c>
      <c r="AT210" s="80">
        <f>IF(Credit_Assumptions!$C$5=1,AT183,INDEX(Credit_Input!$H$200:$H$259,AT$4))</f>
        <v/>
      </c>
      <c r="AU210" s="80">
        <f>IF(Credit_Assumptions!$C$5=1,AU183,INDEX(Credit_Input!$H$200:$H$259,AU$4))</f>
        <v/>
      </c>
      <c r="AV210" s="80">
        <f>IF(Credit_Assumptions!$C$5=1,AV183,INDEX(Credit_Input!$H$200:$H$259,AV$4))</f>
        <v/>
      </c>
      <c r="AW210" s="80">
        <f>IF(Credit_Assumptions!$C$5=1,AW183,INDEX(Credit_Input!$H$200:$H$259,AW$4))</f>
        <v/>
      </c>
      <c r="AX210" s="80">
        <f>IF(Credit_Assumptions!$C$5=1,AX183,INDEX(Credit_Input!$H$200:$H$259,AX$4))</f>
        <v/>
      </c>
      <c r="AY210" s="80">
        <f>IF(Credit_Assumptions!$C$5=1,AY183,INDEX(Credit_Input!$H$200:$H$259,AY$4))</f>
        <v/>
      </c>
      <c r="AZ210" s="80">
        <f>IF(Credit_Assumptions!$C$5=1,AZ183,INDEX(Credit_Input!$H$200:$H$259,AZ$4))</f>
        <v/>
      </c>
      <c r="BA210" s="80">
        <f>IF(Credit_Assumptions!$C$5=1,BA183,INDEX(Credit_Input!$H$200:$H$259,BA$4))</f>
        <v/>
      </c>
      <c r="BB210" s="80">
        <f>IF(Credit_Assumptions!$C$5=1,BB183,INDEX(Credit_Input!$H$200:$H$259,BB$4))</f>
        <v/>
      </c>
      <c r="BC210" s="80">
        <f>IF(Credit_Assumptions!$C$5=1,BC183,INDEX(Credit_Input!$H$200:$H$259,BC$4))</f>
        <v/>
      </c>
      <c r="BD210" s="80">
        <f>IF(Credit_Assumptions!$C$5=1,BD183,INDEX(Credit_Input!$H$200:$H$259,BD$4))</f>
        <v/>
      </c>
      <c r="BE210" s="80">
        <f>IF(Credit_Assumptions!$C$5=1,BE183,INDEX(Credit_Input!$H$200:$H$259,BE$4))</f>
        <v/>
      </c>
      <c r="BF210" s="80">
        <f>IF(Credit_Assumptions!$C$5=1,BF183,INDEX(Credit_Input!$H$200:$H$259,BF$4))</f>
        <v/>
      </c>
      <c r="BG210" s="80">
        <f>IF(Credit_Assumptions!$C$5=1,BG183,INDEX(Credit_Input!$H$200:$H$259,BG$4))</f>
        <v/>
      </c>
      <c r="BH210" s="80">
        <f>IF(Credit_Assumptions!$C$5=1,BH183,INDEX(Credit_Input!$H$200:$H$259,BH$4))</f>
        <v/>
      </c>
      <c r="BI210" s="80">
        <f>IF(Credit_Assumptions!$C$5=1,BI183,INDEX(Credit_Input!$H$200:$H$259,BI$4))</f>
        <v/>
      </c>
      <c r="BJ210" s="80">
        <f>IF(Credit_Assumptions!$C$5=1,BJ183,INDEX(Credit_Input!$H$200:$H$259,BJ$4))</f>
        <v/>
      </c>
      <c r="BK210" s="80">
        <f>IF(Credit_Assumptions!$C$5=1,BK183,INDEX(Credit_Input!$H$200:$H$259,BK$4))</f>
        <v/>
      </c>
      <c r="BL210" s="80">
        <f>IF(Credit_Assumptions!$C$5=1,BL183,INDEX(Credit_Input!$H$200:$H$259,BL$4))</f>
        <v/>
      </c>
    </row>
    <row r="211">
      <c r="A211" s="98" t="inlineStr">
        <is>
          <t>91-180 DPD</t>
        </is>
      </c>
      <c r="B211" s="65" t="inlineStr">
        <is>
          <t>LCY</t>
        </is>
      </c>
      <c r="C211" s="105">
        <f>BL211</f>
        <v/>
      </c>
      <c r="E211" s="80">
        <f>IF(Credit_Assumptions!$C$5=1,E184,INDEX(Credit_Input!$I$200:$I$259,E$4))</f>
        <v/>
      </c>
      <c r="F211" s="80">
        <f>IF(Credit_Assumptions!$C$5=1,F184,INDEX(Credit_Input!$I$200:$I$259,F$4))</f>
        <v/>
      </c>
      <c r="G211" s="80">
        <f>IF(Credit_Assumptions!$C$5=1,G184,INDEX(Credit_Input!$I$200:$I$259,G$4))</f>
        <v/>
      </c>
      <c r="H211" s="80">
        <f>IF(Credit_Assumptions!$C$5=1,H184,INDEX(Credit_Input!$I$200:$I$259,H$4))</f>
        <v/>
      </c>
      <c r="I211" s="80">
        <f>IF(Credit_Assumptions!$C$5=1,I184,INDEX(Credit_Input!$I$200:$I$259,I$4))</f>
        <v/>
      </c>
      <c r="J211" s="80">
        <f>IF(Credit_Assumptions!$C$5=1,J184,INDEX(Credit_Input!$I$200:$I$259,J$4))</f>
        <v/>
      </c>
      <c r="K211" s="80">
        <f>IF(Credit_Assumptions!$C$5=1,K184,INDEX(Credit_Input!$I$200:$I$259,K$4))</f>
        <v/>
      </c>
      <c r="L211" s="80">
        <f>IF(Credit_Assumptions!$C$5=1,L184,INDEX(Credit_Input!$I$200:$I$259,L$4))</f>
        <v/>
      </c>
      <c r="M211" s="80">
        <f>IF(Credit_Assumptions!$C$5=1,M184,INDEX(Credit_Input!$I$200:$I$259,M$4))</f>
        <v/>
      </c>
      <c r="N211" s="80">
        <f>IF(Credit_Assumptions!$C$5=1,N184,INDEX(Credit_Input!$I$200:$I$259,N$4))</f>
        <v/>
      </c>
      <c r="O211" s="80">
        <f>IF(Credit_Assumptions!$C$5=1,O184,INDEX(Credit_Input!$I$200:$I$259,O$4))</f>
        <v/>
      </c>
      <c r="P211" s="80">
        <f>IF(Credit_Assumptions!$C$5=1,P184,INDEX(Credit_Input!$I$200:$I$259,P$4))</f>
        <v/>
      </c>
      <c r="Q211" s="80">
        <f>IF(Credit_Assumptions!$C$5=1,Q184,INDEX(Credit_Input!$I$200:$I$259,Q$4))</f>
        <v/>
      </c>
      <c r="R211" s="80">
        <f>IF(Credit_Assumptions!$C$5=1,R184,INDEX(Credit_Input!$I$200:$I$259,R$4))</f>
        <v/>
      </c>
      <c r="S211" s="80">
        <f>IF(Credit_Assumptions!$C$5=1,S184,INDEX(Credit_Input!$I$200:$I$259,S$4))</f>
        <v/>
      </c>
      <c r="T211" s="80">
        <f>IF(Credit_Assumptions!$C$5=1,T184,INDEX(Credit_Input!$I$200:$I$259,T$4))</f>
        <v/>
      </c>
      <c r="U211" s="80">
        <f>IF(Credit_Assumptions!$C$5=1,U184,INDEX(Credit_Input!$I$200:$I$259,U$4))</f>
        <v/>
      </c>
      <c r="V211" s="80">
        <f>IF(Credit_Assumptions!$C$5=1,V184,INDEX(Credit_Input!$I$200:$I$259,V$4))</f>
        <v/>
      </c>
      <c r="W211" s="80">
        <f>IF(Credit_Assumptions!$C$5=1,W184,INDEX(Credit_Input!$I$200:$I$259,W$4))</f>
        <v/>
      </c>
      <c r="X211" s="80">
        <f>IF(Credit_Assumptions!$C$5=1,X184,INDEX(Credit_Input!$I$200:$I$259,X$4))</f>
        <v/>
      </c>
      <c r="Y211" s="80">
        <f>IF(Credit_Assumptions!$C$5=1,Y184,INDEX(Credit_Input!$I$200:$I$259,Y$4))</f>
        <v/>
      </c>
      <c r="Z211" s="80">
        <f>IF(Credit_Assumptions!$C$5=1,Z184,INDEX(Credit_Input!$I$200:$I$259,Z$4))</f>
        <v/>
      </c>
      <c r="AA211" s="80">
        <f>IF(Credit_Assumptions!$C$5=1,AA184,INDEX(Credit_Input!$I$200:$I$259,AA$4))</f>
        <v/>
      </c>
      <c r="AB211" s="80">
        <f>IF(Credit_Assumptions!$C$5=1,AB184,INDEX(Credit_Input!$I$200:$I$259,AB$4))</f>
        <v/>
      </c>
      <c r="AC211" s="80">
        <f>IF(Credit_Assumptions!$C$5=1,AC184,INDEX(Credit_Input!$I$200:$I$259,AC$4))</f>
        <v/>
      </c>
      <c r="AD211" s="80">
        <f>IF(Credit_Assumptions!$C$5=1,AD184,INDEX(Credit_Input!$I$200:$I$259,AD$4))</f>
        <v/>
      </c>
      <c r="AE211" s="80">
        <f>IF(Credit_Assumptions!$C$5=1,AE184,INDEX(Credit_Input!$I$200:$I$259,AE$4))</f>
        <v/>
      </c>
      <c r="AF211" s="80">
        <f>IF(Credit_Assumptions!$C$5=1,AF184,INDEX(Credit_Input!$I$200:$I$259,AF$4))</f>
        <v/>
      </c>
      <c r="AG211" s="80">
        <f>IF(Credit_Assumptions!$C$5=1,AG184,INDEX(Credit_Input!$I$200:$I$259,AG$4))</f>
        <v/>
      </c>
      <c r="AH211" s="80">
        <f>IF(Credit_Assumptions!$C$5=1,AH184,INDEX(Credit_Input!$I$200:$I$259,AH$4))</f>
        <v/>
      </c>
      <c r="AI211" s="80">
        <f>IF(Credit_Assumptions!$C$5=1,AI184,INDEX(Credit_Input!$I$200:$I$259,AI$4))</f>
        <v/>
      </c>
      <c r="AJ211" s="80">
        <f>IF(Credit_Assumptions!$C$5=1,AJ184,INDEX(Credit_Input!$I$200:$I$259,AJ$4))</f>
        <v/>
      </c>
      <c r="AK211" s="80">
        <f>IF(Credit_Assumptions!$C$5=1,AK184,INDEX(Credit_Input!$I$200:$I$259,AK$4))</f>
        <v/>
      </c>
      <c r="AL211" s="80">
        <f>IF(Credit_Assumptions!$C$5=1,AL184,INDEX(Credit_Input!$I$200:$I$259,AL$4))</f>
        <v/>
      </c>
      <c r="AM211" s="80">
        <f>IF(Credit_Assumptions!$C$5=1,AM184,INDEX(Credit_Input!$I$200:$I$259,AM$4))</f>
        <v/>
      </c>
      <c r="AN211" s="80">
        <f>IF(Credit_Assumptions!$C$5=1,AN184,INDEX(Credit_Input!$I$200:$I$259,AN$4))</f>
        <v/>
      </c>
      <c r="AO211" s="80">
        <f>IF(Credit_Assumptions!$C$5=1,AO184,INDEX(Credit_Input!$I$200:$I$259,AO$4))</f>
        <v/>
      </c>
      <c r="AP211" s="80">
        <f>IF(Credit_Assumptions!$C$5=1,AP184,INDEX(Credit_Input!$I$200:$I$259,AP$4))</f>
        <v/>
      </c>
      <c r="AQ211" s="80">
        <f>IF(Credit_Assumptions!$C$5=1,AQ184,INDEX(Credit_Input!$I$200:$I$259,AQ$4))</f>
        <v/>
      </c>
      <c r="AR211" s="80">
        <f>IF(Credit_Assumptions!$C$5=1,AR184,INDEX(Credit_Input!$I$200:$I$259,AR$4))</f>
        <v/>
      </c>
      <c r="AS211" s="80">
        <f>IF(Credit_Assumptions!$C$5=1,AS184,INDEX(Credit_Input!$I$200:$I$259,AS$4))</f>
        <v/>
      </c>
      <c r="AT211" s="80">
        <f>IF(Credit_Assumptions!$C$5=1,AT184,INDEX(Credit_Input!$I$200:$I$259,AT$4))</f>
        <v/>
      </c>
      <c r="AU211" s="80">
        <f>IF(Credit_Assumptions!$C$5=1,AU184,INDEX(Credit_Input!$I$200:$I$259,AU$4))</f>
        <v/>
      </c>
      <c r="AV211" s="80">
        <f>IF(Credit_Assumptions!$C$5=1,AV184,INDEX(Credit_Input!$I$200:$I$259,AV$4))</f>
        <v/>
      </c>
      <c r="AW211" s="80">
        <f>IF(Credit_Assumptions!$C$5=1,AW184,INDEX(Credit_Input!$I$200:$I$259,AW$4))</f>
        <v/>
      </c>
      <c r="AX211" s="80">
        <f>IF(Credit_Assumptions!$C$5=1,AX184,INDEX(Credit_Input!$I$200:$I$259,AX$4))</f>
        <v/>
      </c>
      <c r="AY211" s="80">
        <f>IF(Credit_Assumptions!$C$5=1,AY184,INDEX(Credit_Input!$I$200:$I$259,AY$4))</f>
        <v/>
      </c>
      <c r="AZ211" s="80">
        <f>IF(Credit_Assumptions!$C$5=1,AZ184,INDEX(Credit_Input!$I$200:$I$259,AZ$4))</f>
        <v/>
      </c>
      <c r="BA211" s="80">
        <f>IF(Credit_Assumptions!$C$5=1,BA184,INDEX(Credit_Input!$I$200:$I$259,BA$4))</f>
        <v/>
      </c>
      <c r="BB211" s="80">
        <f>IF(Credit_Assumptions!$C$5=1,BB184,INDEX(Credit_Input!$I$200:$I$259,BB$4))</f>
        <v/>
      </c>
      <c r="BC211" s="80">
        <f>IF(Credit_Assumptions!$C$5=1,BC184,INDEX(Credit_Input!$I$200:$I$259,BC$4))</f>
        <v/>
      </c>
      <c r="BD211" s="80">
        <f>IF(Credit_Assumptions!$C$5=1,BD184,INDEX(Credit_Input!$I$200:$I$259,BD$4))</f>
        <v/>
      </c>
      <c r="BE211" s="80">
        <f>IF(Credit_Assumptions!$C$5=1,BE184,INDEX(Credit_Input!$I$200:$I$259,BE$4))</f>
        <v/>
      </c>
      <c r="BF211" s="80">
        <f>IF(Credit_Assumptions!$C$5=1,BF184,INDEX(Credit_Input!$I$200:$I$259,BF$4))</f>
        <v/>
      </c>
      <c r="BG211" s="80">
        <f>IF(Credit_Assumptions!$C$5=1,BG184,INDEX(Credit_Input!$I$200:$I$259,BG$4))</f>
        <v/>
      </c>
      <c r="BH211" s="80">
        <f>IF(Credit_Assumptions!$C$5=1,BH184,INDEX(Credit_Input!$I$200:$I$259,BH$4))</f>
        <v/>
      </c>
      <c r="BI211" s="80">
        <f>IF(Credit_Assumptions!$C$5=1,BI184,INDEX(Credit_Input!$I$200:$I$259,BI$4))</f>
        <v/>
      </c>
      <c r="BJ211" s="80">
        <f>IF(Credit_Assumptions!$C$5=1,BJ184,INDEX(Credit_Input!$I$200:$I$259,BJ$4))</f>
        <v/>
      </c>
      <c r="BK211" s="80">
        <f>IF(Credit_Assumptions!$C$5=1,BK184,INDEX(Credit_Input!$I$200:$I$259,BK$4))</f>
        <v/>
      </c>
      <c r="BL211" s="80">
        <f>IF(Credit_Assumptions!$C$5=1,BL184,INDEX(Credit_Input!$I$200:$I$259,BL$4))</f>
        <v/>
      </c>
    </row>
    <row r="212">
      <c r="A212" s="98" t="inlineStr">
        <is>
          <t>180+ DPD</t>
        </is>
      </c>
      <c r="B212" s="65" t="inlineStr">
        <is>
          <t>LCY</t>
        </is>
      </c>
      <c r="C212" s="105">
        <f>BL212</f>
        <v/>
      </c>
      <c r="E212" s="80">
        <f>IF(Credit_Assumptions!$C$5=1,E185,INDEX(Credit_Input!$J$200:$J$259,E$4))</f>
        <v/>
      </c>
      <c r="F212" s="80">
        <f>IF(Credit_Assumptions!$C$5=1,F185,INDEX(Credit_Input!$J$200:$J$259,F$4))</f>
        <v/>
      </c>
      <c r="G212" s="80">
        <f>IF(Credit_Assumptions!$C$5=1,G185,INDEX(Credit_Input!$J$200:$J$259,G$4))</f>
        <v/>
      </c>
      <c r="H212" s="80">
        <f>IF(Credit_Assumptions!$C$5=1,H185,INDEX(Credit_Input!$J$200:$J$259,H$4))</f>
        <v/>
      </c>
      <c r="I212" s="80">
        <f>IF(Credit_Assumptions!$C$5=1,I185,INDEX(Credit_Input!$J$200:$J$259,I$4))</f>
        <v/>
      </c>
      <c r="J212" s="80">
        <f>IF(Credit_Assumptions!$C$5=1,J185,INDEX(Credit_Input!$J$200:$J$259,J$4))</f>
        <v/>
      </c>
      <c r="K212" s="80">
        <f>IF(Credit_Assumptions!$C$5=1,K185,INDEX(Credit_Input!$J$200:$J$259,K$4))</f>
        <v/>
      </c>
      <c r="L212" s="80">
        <f>IF(Credit_Assumptions!$C$5=1,L185,INDEX(Credit_Input!$J$200:$J$259,L$4))</f>
        <v/>
      </c>
      <c r="M212" s="80">
        <f>IF(Credit_Assumptions!$C$5=1,M185,INDEX(Credit_Input!$J$200:$J$259,M$4))</f>
        <v/>
      </c>
      <c r="N212" s="80">
        <f>IF(Credit_Assumptions!$C$5=1,N185,INDEX(Credit_Input!$J$200:$J$259,N$4))</f>
        <v/>
      </c>
      <c r="O212" s="80">
        <f>IF(Credit_Assumptions!$C$5=1,O185,INDEX(Credit_Input!$J$200:$J$259,O$4))</f>
        <v/>
      </c>
      <c r="P212" s="80">
        <f>IF(Credit_Assumptions!$C$5=1,P185,INDEX(Credit_Input!$J$200:$J$259,P$4))</f>
        <v/>
      </c>
      <c r="Q212" s="80">
        <f>IF(Credit_Assumptions!$C$5=1,Q185,INDEX(Credit_Input!$J$200:$J$259,Q$4))</f>
        <v/>
      </c>
      <c r="R212" s="80">
        <f>IF(Credit_Assumptions!$C$5=1,R185,INDEX(Credit_Input!$J$200:$J$259,R$4))</f>
        <v/>
      </c>
      <c r="S212" s="80">
        <f>IF(Credit_Assumptions!$C$5=1,S185,INDEX(Credit_Input!$J$200:$J$259,S$4))</f>
        <v/>
      </c>
      <c r="T212" s="80">
        <f>IF(Credit_Assumptions!$C$5=1,T185,INDEX(Credit_Input!$J$200:$J$259,T$4))</f>
        <v/>
      </c>
      <c r="U212" s="80">
        <f>IF(Credit_Assumptions!$C$5=1,U185,INDEX(Credit_Input!$J$200:$J$259,U$4))</f>
        <v/>
      </c>
      <c r="V212" s="80">
        <f>IF(Credit_Assumptions!$C$5=1,V185,INDEX(Credit_Input!$J$200:$J$259,V$4))</f>
        <v/>
      </c>
      <c r="W212" s="80">
        <f>IF(Credit_Assumptions!$C$5=1,W185,INDEX(Credit_Input!$J$200:$J$259,W$4))</f>
        <v/>
      </c>
      <c r="X212" s="80">
        <f>IF(Credit_Assumptions!$C$5=1,X185,INDEX(Credit_Input!$J$200:$J$259,X$4))</f>
        <v/>
      </c>
      <c r="Y212" s="80">
        <f>IF(Credit_Assumptions!$C$5=1,Y185,INDEX(Credit_Input!$J$200:$J$259,Y$4))</f>
        <v/>
      </c>
      <c r="Z212" s="80">
        <f>IF(Credit_Assumptions!$C$5=1,Z185,INDEX(Credit_Input!$J$200:$J$259,Z$4))</f>
        <v/>
      </c>
      <c r="AA212" s="80">
        <f>IF(Credit_Assumptions!$C$5=1,AA185,INDEX(Credit_Input!$J$200:$J$259,AA$4))</f>
        <v/>
      </c>
      <c r="AB212" s="80">
        <f>IF(Credit_Assumptions!$C$5=1,AB185,INDEX(Credit_Input!$J$200:$J$259,AB$4))</f>
        <v/>
      </c>
      <c r="AC212" s="80">
        <f>IF(Credit_Assumptions!$C$5=1,AC185,INDEX(Credit_Input!$J$200:$J$259,AC$4))</f>
        <v/>
      </c>
      <c r="AD212" s="80">
        <f>IF(Credit_Assumptions!$C$5=1,AD185,INDEX(Credit_Input!$J$200:$J$259,AD$4))</f>
        <v/>
      </c>
      <c r="AE212" s="80">
        <f>IF(Credit_Assumptions!$C$5=1,AE185,INDEX(Credit_Input!$J$200:$J$259,AE$4))</f>
        <v/>
      </c>
      <c r="AF212" s="80">
        <f>IF(Credit_Assumptions!$C$5=1,AF185,INDEX(Credit_Input!$J$200:$J$259,AF$4))</f>
        <v/>
      </c>
      <c r="AG212" s="80">
        <f>IF(Credit_Assumptions!$C$5=1,AG185,INDEX(Credit_Input!$J$200:$J$259,AG$4))</f>
        <v/>
      </c>
      <c r="AH212" s="80">
        <f>IF(Credit_Assumptions!$C$5=1,AH185,INDEX(Credit_Input!$J$200:$J$259,AH$4))</f>
        <v/>
      </c>
      <c r="AI212" s="80">
        <f>IF(Credit_Assumptions!$C$5=1,AI185,INDEX(Credit_Input!$J$200:$J$259,AI$4))</f>
        <v/>
      </c>
      <c r="AJ212" s="80">
        <f>IF(Credit_Assumptions!$C$5=1,AJ185,INDEX(Credit_Input!$J$200:$J$259,AJ$4))</f>
        <v/>
      </c>
      <c r="AK212" s="80">
        <f>IF(Credit_Assumptions!$C$5=1,AK185,INDEX(Credit_Input!$J$200:$J$259,AK$4))</f>
        <v/>
      </c>
      <c r="AL212" s="80">
        <f>IF(Credit_Assumptions!$C$5=1,AL185,INDEX(Credit_Input!$J$200:$J$259,AL$4))</f>
        <v/>
      </c>
      <c r="AM212" s="80">
        <f>IF(Credit_Assumptions!$C$5=1,AM185,INDEX(Credit_Input!$J$200:$J$259,AM$4))</f>
        <v/>
      </c>
      <c r="AN212" s="80">
        <f>IF(Credit_Assumptions!$C$5=1,AN185,INDEX(Credit_Input!$J$200:$J$259,AN$4))</f>
        <v/>
      </c>
      <c r="AO212" s="80">
        <f>IF(Credit_Assumptions!$C$5=1,AO185,INDEX(Credit_Input!$J$200:$J$259,AO$4))</f>
        <v/>
      </c>
      <c r="AP212" s="80">
        <f>IF(Credit_Assumptions!$C$5=1,AP185,INDEX(Credit_Input!$J$200:$J$259,AP$4))</f>
        <v/>
      </c>
      <c r="AQ212" s="80">
        <f>IF(Credit_Assumptions!$C$5=1,AQ185,INDEX(Credit_Input!$J$200:$J$259,AQ$4))</f>
        <v/>
      </c>
      <c r="AR212" s="80">
        <f>IF(Credit_Assumptions!$C$5=1,AR185,INDEX(Credit_Input!$J$200:$J$259,AR$4))</f>
        <v/>
      </c>
      <c r="AS212" s="80">
        <f>IF(Credit_Assumptions!$C$5=1,AS185,INDEX(Credit_Input!$J$200:$J$259,AS$4))</f>
        <v/>
      </c>
      <c r="AT212" s="80">
        <f>IF(Credit_Assumptions!$C$5=1,AT185,INDEX(Credit_Input!$J$200:$J$259,AT$4))</f>
        <v/>
      </c>
      <c r="AU212" s="80">
        <f>IF(Credit_Assumptions!$C$5=1,AU185,INDEX(Credit_Input!$J$200:$J$259,AU$4))</f>
        <v/>
      </c>
      <c r="AV212" s="80">
        <f>IF(Credit_Assumptions!$C$5=1,AV185,INDEX(Credit_Input!$J$200:$J$259,AV$4))</f>
        <v/>
      </c>
      <c r="AW212" s="80">
        <f>IF(Credit_Assumptions!$C$5=1,AW185,INDEX(Credit_Input!$J$200:$J$259,AW$4))</f>
        <v/>
      </c>
      <c r="AX212" s="80">
        <f>IF(Credit_Assumptions!$C$5=1,AX185,INDEX(Credit_Input!$J$200:$J$259,AX$4))</f>
        <v/>
      </c>
      <c r="AY212" s="80">
        <f>IF(Credit_Assumptions!$C$5=1,AY185,INDEX(Credit_Input!$J$200:$J$259,AY$4))</f>
        <v/>
      </c>
      <c r="AZ212" s="80">
        <f>IF(Credit_Assumptions!$C$5=1,AZ185,INDEX(Credit_Input!$J$200:$J$259,AZ$4))</f>
        <v/>
      </c>
      <c r="BA212" s="80">
        <f>IF(Credit_Assumptions!$C$5=1,BA185,INDEX(Credit_Input!$J$200:$J$259,BA$4))</f>
        <v/>
      </c>
      <c r="BB212" s="80">
        <f>IF(Credit_Assumptions!$C$5=1,BB185,INDEX(Credit_Input!$J$200:$J$259,BB$4))</f>
        <v/>
      </c>
      <c r="BC212" s="80">
        <f>IF(Credit_Assumptions!$C$5=1,BC185,INDEX(Credit_Input!$J$200:$J$259,BC$4))</f>
        <v/>
      </c>
      <c r="BD212" s="80">
        <f>IF(Credit_Assumptions!$C$5=1,BD185,INDEX(Credit_Input!$J$200:$J$259,BD$4))</f>
        <v/>
      </c>
      <c r="BE212" s="80">
        <f>IF(Credit_Assumptions!$C$5=1,BE185,INDEX(Credit_Input!$J$200:$J$259,BE$4))</f>
        <v/>
      </c>
      <c r="BF212" s="80">
        <f>IF(Credit_Assumptions!$C$5=1,BF185,INDEX(Credit_Input!$J$200:$J$259,BF$4))</f>
        <v/>
      </c>
      <c r="BG212" s="80">
        <f>IF(Credit_Assumptions!$C$5=1,BG185,INDEX(Credit_Input!$J$200:$J$259,BG$4))</f>
        <v/>
      </c>
      <c r="BH212" s="80">
        <f>IF(Credit_Assumptions!$C$5=1,BH185,INDEX(Credit_Input!$J$200:$J$259,BH$4))</f>
        <v/>
      </c>
      <c r="BI212" s="80">
        <f>IF(Credit_Assumptions!$C$5=1,BI185,INDEX(Credit_Input!$J$200:$J$259,BI$4))</f>
        <v/>
      </c>
      <c r="BJ212" s="80">
        <f>IF(Credit_Assumptions!$C$5=1,BJ185,INDEX(Credit_Input!$J$200:$J$259,BJ$4))</f>
        <v/>
      </c>
      <c r="BK212" s="80">
        <f>IF(Credit_Assumptions!$C$5=1,BK185,INDEX(Credit_Input!$J$200:$J$259,BK$4))</f>
        <v/>
      </c>
      <c r="BL212" s="80">
        <f>IF(Credit_Assumptions!$C$5=1,BL185,INDEX(Credit_Input!$J$200:$J$259,BL$4))</f>
        <v/>
      </c>
    </row>
    <row r="213">
      <c r="A213" s="98" t="inlineStr">
        <is>
          <t>Default EAD (beyond default definition)</t>
        </is>
      </c>
      <c r="B213" s="65" t="inlineStr">
        <is>
          <t>LCY</t>
        </is>
      </c>
      <c r="C213" s="105">
        <f>BL213</f>
        <v/>
      </c>
      <c r="E213" s="80">
        <f>IF(Credit_Assumptions!$C$5=1,E186,INDEX(Credit_Input!$K$200:$K$259,E$4))</f>
        <v/>
      </c>
      <c r="F213" s="80">
        <f>IF(Credit_Assumptions!$C$5=1,F186,INDEX(Credit_Input!$K$200:$K$259,F$4))</f>
        <v/>
      </c>
      <c r="G213" s="80">
        <f>IF(Credit_Assumptions!$C$5=1,G186,INDEX(Credit_Input!$K$200:$K$259,G$4))</f>
        <v/>
      </c>
      <c r="H213" s="80">
        <f>IF(Credit_Assumptions!$C$5=1,H186,INDEX(Credit_Input!$K$200:$K$259,H$4))</f>
        <v/>
      </c>
      <c r="I213" s="80">
        <f>IF(Credit_Assumptions!$C$5=1,I186,INDEX(Credit_Input!$K$200:$K$259,I$4))</f>
        <v/>
      </c>
      <c r="J213" s="80">
        <f>IF(Credit_Assumptions!$C$5=1,J186,INDEX(Credit_Input!$K$200:$K$259,J$4))</f>
        <v/>
      </c>
      <c r="K213" s="80">
        <f>IF(Credit_Assumptions!$C$5=1,K186,INDEX(Credit_Input!$K$200:$K$259,K$4))</f>
        <v/>
      </c>
      <c r="L213" s="80">
        <f>IF(Credit_Assumptions!$C$5=1,L186,INDEX(Credit_Input!$K$200:$K$259,L$4))</f>
        <v/>
      </c>
      <c r="M213" s="80">
        <f>IF(Credit_Assumptions!$C$5=1,M186,INDEX(Credit_Input!$K$200:$K$259,M$4))</f>
        <v/>
      </c>
      <c r="N213" s="80">
        <f>IF(Credit_Assumptions!$C$5=1,N186,INDEX(Credit_Input!$K$200:$K$259,N$4))</f>
        <v/>
      </c>
      <c r="O213" s="80">
        <f>IF(Credit_Assumptions!$C$5=1,O186,INDEX(Credit_Input!$K$200:$K$259,O$4))</f>
        <v/>
      </c>
      <c r="P213" s="80">
        <f>IF(Credit_Assumptions!$C$5=1,P186,INDEX(Credit_Input!$K$200:$K$259,P$4))</f>
        <v/>
      </c>
      <c r="Q213" s="80">
        <f>IF(Credit_Assumptions!$C$5=1,Q186,INDEX(Credit_Input!$K$200:$K$259,Q$4))</f>
        <v/>
      </c>
      <c r="R213" s="80">
        <f>IF(Credit_Assumptions!$C$5=1,R186,INDEX(Credit_Input!$K$200:$K$259,R$4))</f>
        <v/>
      </c>
      <c r="S213" s="80">
        <f>IF(Credit_Assumptions!$C$5=1,S186,INDEX(Credit_Input!$K$200:$K$259,S$4))</f>
        <v/>
      </c>
      <c r="T213" s="80">
        <f>IF(Credit_Assumptions!$C$5=1,T186,INDEX(Credit_Input!$K$200:$K$259,T$4))</f>
        <v/>
      </c>
      <c r="U213" s="80">
        <f>IF(Credit_Assumptions!$C$5=1,U186,INDEX(Credit_Input!$K$200:$K$259,U$4))</f>
        <v/>
      </c>
      <c r="V213" s="80">
        <f>IF(Credit_Assumptions!$C$5=1,V186,INDEX(Credit_Input!$K$200:$K$259,V$4))</f>
        <v/>
      </c>
      <c r="W213" s="80">
        <f>IF(Credit_Assumptions!$C$5=1,W186,INDEX(Credit_Input!$K$200:$K$259,W$4))</f>
        <v/>
      </c>
      <c r="X213" s="80">
        <f>IF(Credit_Assumptions!$C$5=1,X186,INDEX(Credit_Input!$K$200:$K$259,X$4))</f>
        <v/>
      </c>
      <c r="Y213" s="80">
        <f>IF(Credit_Assumptions!$C$5=1,Y186,INDEX(Credit_Input!$K$200:$K$259,Y$4))</f>
        <v/>
      </c>
      <c r="Z213" s="80">
        <f>IF(Credit_Assumptions!$C$5=1,Z186,INDEX(Credit_Input!$K$200:$K$259,Z$4))</f>
        <v/>
      </c>
      <c r="AA213" s="80">
        <f>IF(Credit_Assumptions!$C$5=1,AA186,INDEX(Credit_Input!$K$200:$K$259,AA$4))</f>
        <v/>
      </c>
      <c r="AB213" s="80">
        <f>IF(Credit_Assumptions!$C$5=1,AB186,INDEX(Credit_Input!$K$200:$K$259,AB$4))</f>
        <v/>
      </c>
      <c r="AC213" s="80">
        <f>IF(Credit_Assumptions!$C$5=1,AC186,INDEX(Credit_Input!$K$200:$K$259,AC$4))</f>
        <v/>
      </c>
      <c r="AD213" s="80">
        <f>IF(Credit_Assumptions!$C$5=1,AD186,INDEX(Credit_Input!$K$200:$K$259,AD$4))</f>
        <v/>
      </c>
      <c r="AE213" s="80">
        <f>IF(Credit_Assumptions!$C$5=1,AE186,INDEX(Credit_Input!$K$200:$K$259,AE$4))</f>
        <v/>
      </c>
      <c r="AF213" s="80">
        <f>IF(Credit_Assumptions!$C$5=1,AF186,INDEX(Credit_Input!$K$200:$K$259,AF$4))</f>
        <v/>
      </c>
      <c r="AG213" s="80">
        <f>IF(Credit_Assumptions!$C$5=1,AG186,INDEX(Credit_Input!$K$200:$K$259,AG$4))</f>
        <v/>
      </c>
      <c r="AH213" s="80">
        <f>IF(Credit_Assumptions!$C$5=1,AH186,INDEX(Credit_Input!$K$200:$K$259,AH$4))</f>
        <v/>
      </c>
      <c r="AI213" s="80">
        <f>IF(Credit_Assumptions!$C$5=1,AI186,INDEX(Credit_Input!$K$200:$K$259,AI$4))</f>
        <v/>
      </c>
      <c r="AJ213" s="80">
        <f>IF(Credit_Assumptions!$C$5=1,AJ186,INDEX(Credit_Input!$K$200:$K$259,AJ$4))</f>
        <v/>
      </c>
      <c r="AK213" s="80">
        <f>IF(Credit_Assumptions!$C$5=1,AK186,INDEX(Credit_Input!$K$200:$K$259,AK$4))</f>
        <v/>
      </c>
      <c r="AL213" s="80">
        <f>IF(Credit_Assumptions!$C$5=1,AL186,INDEX(Credit_Input!$K$200:$K$259,AL$4))</f>
        <v/>
      </c>
      <c r="AM213" s="80">
        <f>IF(Credit_Assumptions!$C$5=1,AM186,INDEX(Credit_Input!$K$200:$K$259,AM$4))</f>
        <v/>
      </c>
      <c r="AN213" s="80">
        <f>IF(Credit_Assumptions!$C$5=1,AN186,INDEX(Credit_Input!$K$200:$K$259,AN$4))</f>
        <v/>
      </c>
      <c r="AO213" s="80">
        <f>IF(Credit_Assumptions!$C$5=1,AO186,INDEX(Credit_Input!$K$200:$K$259,AO$4))</f>
        <v/>
      </c>
      <c r="AP213" s="80">
        <f>IF(Credit_Assumptions!$C$5=1,AP186,INDEX(Credit_Input!$K$200:$K$259,AP$4))</f>
        <v/>
      </c>
      <c r="AQ213" s="80">
        <f>IF(Credit_Assumptions!$C$5=1,AQ186,INDEX(Credit_Input!$K$200:$K$259,AQ$4))</f>
        <v/>
      </c>
      <c r="AR213" s="80">
        <f>IF(Credit_Assumptions!$C$5=1,AR186,INDEX(Credit_Input!$K$200:$K$259,AR$4))</f>
        <v/>
      </c>
      <c r="AS213" s="80">
        <f>IF(Credit_Assumptions!$C$5=1,AS186,INDEX(Credit_Input!$K$200:$K$259,AS$4))</f>
        <v/>
      </c>
      <c r="AT213" s="80">
        <f>IF(Credit_Assumptions!$C$5=1,AT186,INDEX(Credit_Input!$K$200:$K$259,AT$4))</f>
        <v/>
      </c>
      <c r="AU213" s="80">
        <f>IF(Credit_Assumptions!$C$5=1,AU186,INDEX(Credit_Input!$K$200:$K$259,AU$4))</f>
        <v/>
      </c>
      <c r="AV213" s="80">
        <f>IF(Credit_Assumptions!$C$5=1,AV186,INDEX(Credit_Input!$K$200:$K$259,AV$4))</f>
        <v/>
      </c>
      <c r="AW213" s="80">
        <f>IF(Credit_Assumptions!$C$5=1,AW186,INDEX(Credit_Input!$K$200:$K$259,AW$4))</f>
        <v/>
      </c>
      <c r="AX213" s="80">
        <f>IF(Credit_Assumptions!$C$5=1,AX186,INDEX(Credit_Input!$K$200:$K$259,AX$4))</f>
        <v/>
      </c>
      <c r="AY213" s="80">
        <f>IF(Credit_Assumptions!$C$5=1,AY186,INDEX(Credit_Input!$K$200:$K$259,AY$4))</f>
        <v/>
      </c>
      <c r="AZ213" s="80">
        <f>IF(Credit_Assumptions!$C$5=1,AZ186,INDEX(Credit_Input!$K$200:$K$259,AZ$4))</f>
        <v/>
      </c>
      <c r="BA213" s="80">
        <f>IF(Credit_Assumptions!$C$5=1,BA186,INDEX(Credit_Input!$K$200:$K$259,BA$4))</f>
        <v/>
      </c>
      <c r="BB213" s="80">
        <f>IF(Credit_Assumptions!$C$5=1,BB186,INDEX(Credit_Input!$K$200:$K$259,BB$4))</f>
        <v/>
      </c>
      <c r="BC213" s="80">
        <f>IF(Credit_Assumptions!$C$5=1,BC186,INDEX(Credit_Input!$K$200:$K$259,BC$4))</f>
        <v/>
      </c>
      <c r="BD213" s="80">
        <f>IF(Credit_Assumptions!$C$5=1,BD186,INDEX(Credit_Input!$K$200:$K$259,BD$4))</f>
        <v/>
      </c>
      <c r="BE213" s="80">
        <f>IF(Credit_Assumptions!$C$5=1,BE186,INDEX(Credit_Input!$K$200:$K$259,BE$4))</f>
        <v/>
      </c>
      <c r="BF213" s="80">
        <f>IF(Credit_Assumptions!$C$5=1,BF186,INDEX(Credit_Input!$K$200:$K$259,BF$4))</f>
        <v/>
      </c>
      <c r="BG213" s="80">
        <f>IF(Credit_Assumptions!$C$5=1,BG186,INDEX(Credit_Input!$K$200:$K$259,BG$4))</f>
        <v/>
      </c>
      <c r="BH213" s="80">
        <f>IF(Credit_Assumptions!$C$5=1,BH186,INDEX(Credit_Input!$K$200:$K$259,BH$4))</f>
        <v/>
      </c>
      <c r="BI213" s="80">
        <f>IF(Credit_Assumptions!$C$5=1,BI186,INDEX(Credit_Input!$K$200:$K$259,BI$4))</f>
        <v/>
      </c>
      <c r="BJ213" s="80">
        <f>IF(Credit_Assumptions!$C$5=1,BJ186,INDEX(Credit_Input!$K$200:$K$259,BJ$4))</f>
        <v/>
      </c>
      <c r="BK213" s="80">
        <f>IF(Credit_Assumptions!$C$5=1,BK186,INDEX(Credit_Input!$K$200:$K$259,BK$4))</f>
        <v/>
      </c>
      <c r="BL213" s="80">
        <f>IF(Credit_Assumptions!$C$5=1,BL186,INDEX(Credit_Input!$K$200:$K$259,BL$4))</f>
        <v/>
      </c>
    </row>
    <row r="214">
      <c r="A214" s="98" t="inlineStr">
        <is>
          <t>30+ DPD receivables</t>
        </is>
      </c>
      <c r="B214" s="65" t="inlineStr">
        <is>
          <t>LCY</t>
        </is>
      </c>
      <c r="C214" s="105">
        <f>BL214</f>
        <v/>
      </c>
      <c r="E214" s="80">
        <f>E207*Credit_Assumptions!$G$28+E208*Credit_Assumptions!$G$29+E209*Credit_Assumptions!$G$30+E210*Credit_Assumptions!$G$31+E211*Credit_Assumptions!$G$32+E212*Credit_Assumptions!$G$33</f>
        <v/>
      </c>
      <c r="F214" s="80">
        <f>F207*Credit_Assumptions!$G$28+F208*Credit_Assumptions!$G$29+F209*Credit_Assumptions!$G$30+F210*Credit_Assumptions!$G$31+F211*Credit_Assumptions!$G$32+F212*Credit_Assumptions!$G$33</f>
        <v/>
      </c>
      <c r="G214" s="80">
        <f>G207*Credit_Assumptions!$G$28+G208*Credit_Assumptions!$G$29+G209*Credit_Assumptions!$G$30+G210*Credit_Assumptions!$G$31+G211*Credit_Assumptions!$G$32+G212*Credit_Assumptions!$G$33</f>
        <v/>
      </c>
      <c r="H214" s="80">
        <f>H207*Credit_Assumptions!$G$28+H208*Credit_Assumptions!$G$29+H209*Credit_Assumptions!$G$30+H210*Credit_Assumptions!$G$31+H211*Credit_Assumptions!$G$32+H212*Credit_Assumptions!$G$33</f>
        <v/>
      </c>
      <c r="I214" s="80">
        <f>I207*Credit_Assumptions!$G$28+I208*Credit_Assumptions!$G$29+I209*Credit_Assumptions!$G$30+I210*Credit_Assumptions!$G$31+I211*Credit_Assumptions!$G$32+I212*Credit_Assumptions!$G$33</f>
        <v/>
      </c>
      <c r="J214" s="80">
        <f>J207*Credit_Assumptions!$G$28+J208*Credit_Assumptions!$G$29+J209*Credit_Assumptions!$G$30+J210*Credit_Assumptions!$G$31+J211*Credit_Assumptions!$G$32+J212*Credit_Assumptions!$G$33</f>
        <v/>
      </c>
      <c r="K214" s="80">
        <f>K207*Credit_Assumptions!$G$28+K208*Credit_Assumptions!$G$29+K209*Credit_Assumptions!$G$30+K210*Credit_Assumptions!$G$31+K211*Credit_Assumptions!$G$32+K212*Credit_Assumptions!$G$33</f>
        <v/>
      </c>
      <c r="L214" s="80">
        <f>L207*Credit_Assumptions!$G$28+L208*Credit_Assumptions!$G$29+L209*Credit_Assumptions!$G$30+L210*Credit_Assumptions!$G$31+L211*Credit_Assumptions!$G$32+L212*Credit_Assumptions!$G$33</f>
        <v/>
      </c>
      <c r="M214" s="80">
        <f>M207*Credit_Assumptions!$G$28+M208*Credit_Assumptions!$G$29+M209*Credit_Assumptions!$G$30+M210*Credit_Assumptions!$G$31+M211*Credit_Assumptions!$G$32+M212*Credit_Assumptions!$G$33</f>
        <v/>
      </c>
      <c r="N214" s="80">
        <f>N207*Credit_Assumptions!$G$28+N208*Credit_Assumptions!$G$29+N209*Credit_Assumptions!$G$30+N210*Credit_Assumptions!$G$31+N211*Credit_Assumptions!$G$32+N212*Credit_Assumptions!$G$33</f>
        <v/>
      </c>
      <c r="O214" s="80">
        <f>O207*Credit_Assumptions!$G$28+O208*Credit_Assumptions!$G$29+O209*Credit_Assumptions!$G$30+O210*Credit_Assumptions!$G$31+O211*Credit_Assumptions!$G$32+O212*Credit_Assumptions!$G$33</f>
        <v/>
      </c>
      <c r="P214" s="80">
        <f>P207*Credit_Assumptions!$G$28+P208*Credit_Assumptions!$G$29+P209*Credit_Assumptions!$G$30+P210*Credit_Assumptions!$G$31+P211*Credit_Assumptions!$G$32+P212*Credit_Assumptions!$G$33</f>
        <v/>
      </c>
      <c r="Q214" s="80">
        <f>Q207*Credit_Assumptions!$G$28+Q208*Credit_Assumptions!$G$29+Q209*Credit_Assumptions!$G$30+Q210*Credit_Assumptions!$G$31+Q211*Credit_Assumptions!$G$32+Q212*Credit_Assumptions!$G$33</f>
        <v/>
      </c>
      <c r="R214" s="80">
        <f>R207*Credit_Assumptions!$G$28+R208*Credit_Assumptions!$G$29+R209*Credit_Assumptions!$G$30+R210*Credit_Assumptions!$G$31+R211*Credit_Assumptions!$G$32+R212*Credit_Assumptions!$G$33</f>
        <v/>
      </c>
      <c r="S214" s="80">
        <f>S207*Credit_Assumptions!$G$28+S208*Credit_Assumptions!$G$29+S209*Credit_Assumptions!$G$30+S210*Credit_Assumptions!$G$31+S211*Credit_Assumptions!$G$32+S212*Credit_Assumptions!$G$33</f>
        <v/>
      </c>
      <c r="T214" s="80">
        <f>T207*Credit_Assumptions!$G$28+T208*Credit_Assumptions!$G$29+T209*Credit_Assumptions!$G$30+T210*Credit_Assumptions!$G$31+T211*Credit_Assumptions!$G$32+T212*Credit_Assumptions!$G$33</f>
        <v/>
      </c>
      <c r="U214" s="80">
        <f>U207*Credit_Assumptions!$G$28+U208*Credit_Assumptions!$G$29+U209*Credit_Assumptions!$G$30+U210*Credit_Assumptions!$G$31+U211*Credit_Assumptions!$G$32+U212*Credit_Assumptions!$G$33</f>
        <v/>
      </c>
      <c r="V214" s="80">
        <f>V207*Credit_Assumptions!$G$28+V208*Credit_Assumptions!$G$29+V209*Credit_Assumptions!$G$30+V210*Credit_Assumptions!$G$31+V211*Credit_Assumptions!$G$32+V212*Credit_Assumptions!$G$33</f>
        <v/>
      </c>
      <c r="W214" s="80">
        <f>W207*Credit_Assumptions!$G$28+W208*Credit_Assumptions!$G$29+W209*Credit_Assumptions!$G$30+W210*Credit_Assumptions!$G$31+W211*Credit_Assumptions!$G$32+W212*Credit_Assumptions!$G$33</f>
        <v/>
      </c>
      <c r="X214" s="80">
        <f>X207*Credit_Assumptions!$G$28+X208*Credit_Assumptions!$G$29+X209*Credit_Assumptions!$G$30+X210*Credit_Assumptions!$G$31+X211*Credit_Assumptions!$G$32+X212*Credit_Assumptions!$G$33</f>
        <v/>
      </c>
      <c r="Y214" s="80">
        <f>Y207*Credit_Assumptions!$G$28+Y208*Credit_Assumptions!$G$29+Y209*Credit_Assumptions!$G$30+Y210*Credit_Assumptions!$G$31+Y211*Credit_Assumptions!$G$32+Y212*Credit_Assumptions!$G$33</f>
        <v/>
      </c>
      <c r="Z214" s="80">
        <f>Z207*Credit_Assumptions!$G$28+Z208*Credit_Assumptions!$G$29+Z209*Credit_Assumptions!$G$30+Z210*Credit_Assumptions!$G$31+Z211*Credit_Assumptions!$G$32+Z212*Credit_Assumptions!$G$33</f>
        <v/>
      </c>
      <c r="AA214" s="80">
        <f>AA207*Credit_Assumptions!$G$28+AA208*Credit_Assumptions!$G$29+AA209*Credit_Assumptions!$G$30+AA210*Credit_Assumptions!$G$31+AA211*Credit_Assumptions!$G$32+AA212*Credit_Assumptions!$G$33</f>
        <v/>
      </c>
      <c r="AB214" s="80">
        <f>AB207*Credit_Assumptions!$G$28+AB208*Credit_Assumptions!$G$29+AB209*Credit_Assumptions!$G$30+AB210*Credit_Assumptions!$G$31+AB211*Credit_Assumptions!$G$32+AB212*Credit_Assumptions!$G$33</f>
        <v/>
      </c>
      <c r="AC214" s="80">
        <f>AC207*Credit_Assumptions!$G$28+AC208*Credit_Assumptions!$G$29+AC209*Credit_Assumptions!$G$30+AC210*Credit_Assumptions!$G$31+AC211*Credit_Assumptions!$G$32+AC212*Credit_Assumptions!$G$33</f>
        <v/>
      </c>
      <c r="AD214" s="80">
        <f>AD207*Credit_Assumptions!$G$28+AD208*Credit_Assumptions!$G$29+AD209*Credit_Assumptions!$G$30+AD210*Credit_Assumptions!$G$31+AD211*Credit_Assumptions!$G$32+AD212*Credit_Assumptions!$G$33</f>
        <v/>
      </c>
      <c r="AE214" s="80">
        <f>AE207*Credit_Assumptions!$G$28+AE208*Credit_Assumptions!$G$29+AE209*Credit_Assumptions!$G$30+AE210*Credit_Assumptions!$G$31+AE211*Credit_Assumptions!$G$32+AE212*Credit_Assumptions!$G$33</f>
        <v/>
      </c>
      <c r="AF214" s="80">
        <f>AF207*Credit_Assumptions!$G$28+AF208*Credit_Assumptions!$G$29+AF209*Credit_Assumptions!$G$30+AF210*Credit_Assumptions!$G$31+AF211*Credit_Assumptions!$G$32+AF212*Credit_Assumptions!$G$33</f>
        <v/>
      </c>
      <c r="AG214" s="80">
        <f>AG207*Credit_Assumptions!$G$28+AG208*Credit_Assumptions!$G$29+AG209*Credit_Assumptions!$G$30+AG210*Credit_Assumptions!$G$31+AG211*Credit_Assumptions!$G$32+AG212*Credit_Assumptions!$G$33</f>
        <v/>
      </c>
      <c r="AH214" s="80">
        <f>AH207*Credit_Assumptions!$G$28+AH208*Credit_Assumptions!$G$29+AH209*Credit_Assumptions!$G$30+AH210*Credit_Assumptions!$G$31+AH211*Credit_Assumptions!$G$32+AH212*Credit_Assumptions!$G$33</f>
        <v/>
      </c>
      <c r="AI214" s="80">
        <f>AI207*Credit_Assumptions!$G$28+AI208*Credit_Assumptions!$G$29+AI209*Credit_Assumptions!$G$30+AI210*Credit_Assumptions!$G$31+AI211*Credit_Assumptions!$G$32+AI212*Credit_Assumptions!$G$33</f>
        <v/>
      </c>
      <c r="AJ214" s="80">
        <f>AJ207*Credit_Assumptions!$G$28+AJ208*Credit_Assumptions!$G$29+AJ209*Credit_Assumptions!$G$30+AJ210*Credit_Assumptions!$G$31+AJ211*Credit_Assumptions!$G$32+AJ212*Credit_Assumptions!$G$33</f>
        <v/>
      </c>
      <c r="AK214" s="80">
        <f>AK207*Credit_Assumptions!$G$28+AK208*Credit_Assumptions!$G$29+AK209*Credit_Assumptions!$G$30+AK210*Credit_Assumptions!$G$31+AK211*Credit_Assumptions!$G$32+AK212*Credit_Assumptions!$G$33</f>
        <v/>
      </c>
      <c r="AL214" s="80">
        <f>AL207*Credit_Assumptions!$G$28+AL208*Credit_Assumptions!$G$29+AL209*Credit_Assumptions!$G$30+AL210*Credit_Assumptions!$G$31+AL211*Credit_Assumptions!$G$32+AL212*Credit_Assumptions!$G$33</f>
        <v/>
      </c>
      <c r="AM214" s="80">
        <f>AM207*Credit_Assumptions!$G$28+AM208*Credit_Assumptions!$G$29+AM209*Credit_Assumptions!$G$30+AM210*Credit_Assumptions!$G$31+AM211*Credit_Assumptions!$G$32+AM212*Credit_Assumptions!$G$33</f>
        <v/>
      </c>
      <c r="AN214" s="80">
        <f>AN207*Credit_Assumptions!$G$28+AN208*Credit_Assumptions!$G$29+AN209*Credit_Assumptions!$G$30+AN210*Credit_Assumptions!$G$31+AN211*Credit_Assumptions!$G$32+AN212*Credit_Assumptions!$G$33</f>
        <v/>
      </c>
      <c r="AO214" s="80">
        <f>AO207*Credit_Assumptions!$G$28+AO208*Credit_Assumptions!$G$29+AO209*Credit_Assumptions!$G$30+AO210*Credit_Assumptions!$G$31+AO211*Credit_Assumptions!$G$32+AO212*Credit_Assumptions!$G$33</f>
        <v/>
      </c>
      <c r="AP214" s="80">
        <f>AP207*Credit_Assumptions!$G$28+AP208*Credit_Assumptions!$G$29+AP209*Credit_Assumptions!$G$30+AP210*Credit_Assumptions!$G$31+AP211*Credit_Assumptions!$G$32+AP212*Credit_Assumptions!$G$33</f>
        <v/>
      </c>
      <c r="AQ214" s="80">
        <f>AQ207*Credit_Assumptions!$G$28+AQ208*Credit_Assumptions!$G$29+AQ209*Credit_Assumptions!$G$30+AQ210*Credit_Assumptions!$G$31+AQ211*Credit_Assumptions!$G$32+AQ212*Credit_Assumptions!$G$33</f>
        <v/>
      </c>
      <c r="AR214" s="80">
        <f>AR207*Credit_Assumptions!$G$28+AR208*Credit_Assumptions!$G$29+AR209*Credit_Assumptions!$G$30+AR210*Credit_Assumptions!$G$31+AR211*Credit_Assumptions!$G$32+AR212*Credit_Assumptions!$G$33</f>
        <v/>
      </c>
      <c r="AS214" s="80">
        <f>AS207*Credit_Assumptions!$G$28+AS208*Credit_Assumptions!$G$29+AS209*Credit_Assumptions!$G$30+AS210*Credit_Assumptions!$G$31+AS211*Credit_Assumptions!$G$32+AS212*Credit_Assumptions!$G$33</f>
        <v/>
      </c>
      <c r="AT214" s="80">
        <f>AT207*Credit_Assumptions!$G$28+AT208*Credit_Assumptions!$G$29+AT209*Credit_Assumptions!$G$30+AT210*Credit_Assumptions!$G$31+AT211*Credit_Assumptions!$G$32+AT212*Credit_Assumptions!$G$33</f>
        <v/>
      </c>
      <c r="AU214" s="80">
        <f>AU207*Credit_Assumptions!$G$28+AU208*Credit_Assumptions!$G$29+AU209*Credit_Assumptions!$G$30+AU210*Credit_Assumptions!$G$31+AU211*Credit_Assumptions!$G$32+AU212*Credit_Assumptions!$G$33</f>
        <v/>
      </c>
      <c r="AV214" s="80">
        <f>AV207*Credit_Assumptions!$G$28+AV208*Credit_Assumptions!$G$29+AV209*Credit_Assumptions!$G$30+AV210*Credit_Assumptions!$G$31+AV211*Credit_Assumptions!$G$32+AV212*Credit_Assumptions!$G$33</f>
        <v/>
      </c>
      <c r="AW214" s="80">
        <f>AW207*Credit_Assumptions!$G$28+AW208*Credit_Assumptions!$G$29+AW209*Credit_Assumptions!$G$30+AW210*Credit_Assumptions!$G$31+AW211*Credit_Assumptions!$G$32+AW212*Credit_Assumptions!$G$33</f>
        <v/>
      </c>
      <c r="AX214" s="80">
        <f>AX207*Credit_Assumptions!$G$28+AX208*Credit_Assumptions!$G$29+AX209*Credit_Assumptions!$G$30+AX210*Credit_Assumptions!$G$31+AX211*Credit_Assumptions!$G$32+AX212*Credit_Assumptions!$G$33</f>
        <v/>
      </c>
      <c r="AY214" s="80">
        <f>AY207*Credit_Assumptions!$G$28+AY208*Credit_Assumptions!$G$29+AY209*Credit_Assumptions!$G$30+AY210*Credit_Assumptions!$G$31+AY211*Credit_Assumptions!$G$32+AY212*Credit_Assumptions!$G$33</f>
        <v/>
      </c>
      <c r="AZ214" s="80">
        <f>AZ207*Credit_Assumptions!$G$28+AZ208*Credit_Assumptions!$G$29+AZ209*Credit_Assumptions!$G$30+AZ210*Credit_Assumptions!$G$31+AZ211*Credit_Assumptions!$G$32+AZ212*Credit_Assumptions!$G$33</f>
        <v/>
      </c>
      <c r="BA214" s="80">
        <f>BA207*Credit_Assumptions!$G$28+BA208*Credit_Assumptions!$G$29+BA209*Credit_Assumptions!$G$30+BA210*Credit_Assumptions!$G$31+BA211*Credit_Assumptions!$G$32+BA212*Credit_Assumptions!$G$33</f>
        <v/>
      </c>
      <c r="BB214" s="80">
        <f>BB207*Credit_Assumptions!$G$28+BB208*Credit_Assumptions!$G$29+BB209*Credit_Assumptions!$G$30+BB210*Credit_Assumptions!$G$31+BB211*Credit_Assumptions!$G$32+BB212*Credit_Assumptions!$G$33</f>
        <v/>
      </c>
      <c r="BC214" s="80">
        <f>BC207*Credit_Assumptions!$G$28+BC208*Credit_Assumptions!$G$29+BC209*Credit_Assumptions!$G$30+BC210*Credit_Assumptions!$G$31+BC211*Credit_Assumptions!$G$32+BC212*Credit_Assumptions!$G$33</f>
        <v/>
      </c>
      <c r="BD214" s="80">
        <f>BD207*Credit_Assumptions!$G$28+BD208*Credit_Assumptions!$G$29+BD209*Credit_Assumptions!$G$30+BD210*Credit_Assumptions!$G$31+BD211*Credit_Assumptions!$G$32+BD212*Credit_Assumptions!$G$33</f>
        <v/>
      </c>
      <c r="BE214" s="80">
        <f>BE207*Credit_Assumptions!$G$28+BE208*Credit_Assumptions!$G$29+BE209*Credit_Assumptions!$G$30+BE210*Credit_Assumptions!$G$31+BE211*Credit_Assumptions!$G$32+BE212*Credit_Assumptions!$G$33</f>
        <v/>
      </c>
      <c r="BF214" s="80">
        <f>BF207*Credit_Assumptions!$G$28+BF208*Credit_Assumptions!$G$29+BF209*Credit_Assumptions!$G$30+BF210*Credit_Assumptions!$G$31+BF211*Credit_Assumptions!$G$32+BF212*Credit_Assumptions!$G$33</f>
        <v/>
      </c>
      <c r="BG214" s="80">
        <f>BG207*Credit_Assumptions!$G$28+BG208*Credit_Assumptions!$G$29+BG209*Credit_Assumptions!$G$30+BG210*Credit_Assumptions!$G$31+BG211*Credit_Assumptions!$G$32+BG212*Credit_Assumptions!$G$33</f>
        <v/>
      </c>
      <c r="BH214" s="80">
        <f>BH207*Credit_Assumptions!$G$28+BH208*Credit_Assumptions!$G$29+BH209*Credit_Assumptions!$G$30+BH210*Credit_Assumptions!$G$31+BH211*Credit_Assumptions!$G$32+BH212*Credit_Assumptions!$G$33</f>
        <v/>
      </c>
      <c r="BI214" s="80">
        <f>BI207*Credit_Assumptions!$G$28+BI208*Credit_Assumptions!$G$29+BI209*Credit_Assumptions!$G$30+BI210*Credit_Assumptions!$G$31+BI211*Credit_Assumptions!$G$32+BI212*Credit_Assumptions!$G$33</f>
        <v/>
      </c>
      <c r="BJ214" s="80">
        <f>BJ207*Credit_Assumptions!$G$28+BJ208*Credit_Assumptions!$G$29+BJ209*Credit_Assumptions!$G$30+BJ210*Credit_Assumptions!$G$31+BJ211*Credit_Assumptions!$G$32+BJ212*Credit_Assumptions!$G$33</f>
        <v/>
      </c>
      <c r="BK214" s="80">
        <f>BK207*Credit_Assumptions!$G$28+BK208*Credit_Assumptions!$G$29+BK209*Credit_Assumptions!$G$30+BK210*Credit_Assumptions!$G$31+BK211*Credit_Assumptions!$G$32+BK212*Credit_Assumptions!$G$33</f>
        <v/>
      </c>
      <c r="BL214" s="80">
        <f>BL207*Credit_Assumptions!$G$28+BL208*Credit_Assumptions!$G$29+BL209*Credit_Assumptions!$G$30+BL210*Credit_Assumptions!$G$31+BL211*Credit_Assumptions!$G$32+BL212*Credit_Assumptions!$G$33</f>
        <v/>
      </c>
    </row>
    <row r="215">
      <c r="A215" s="98" t="inlineStr">
        <is>
          <t>90+ DPD receivables</t>
        </is>
      </c>
      <c r="B215" s="65" t="inlineStr">
        <is>
          <t>LCY</t>
        </is>
      </c>
      <c r="C215" s="105">
        <f>BL215</f>
        <v/>
      </c>
      <c r="E215" s="80">
        <f>E207*Credit_Assumptions!$H$28+E208*Credit_Assumptions!$H$29+E209*Credit_Assumptions!$H$30+E210*Credit_Assumptions!$H$31+E211*Credit_Assumptions!$H$32+E212*Credit_Assumptions!$H$33</f>
        <v/>
      </c>
      <c r="F215" s="80">
        <f>F207*Credit_Assumptions!$H$28+F208*Credit_Assumptions!$H$29+F209*Credit_Assumptions!$H$30+F210*Credit_Assumptions!$H$31+F211*Credit_Assumptions!$H$32+F212*Credit_Assumptions!$H$33</f>
        <v/>
      </c>
      <c r="G215" s="80">
        <f>G207*Credit_Assumptions!$H$28+G208*Credit_Assumptions!$H$29+G209*Credit_Assumptions!$H$30+G210*Credit_Assumptions!$H$31+G211*Credit_Assumptions!$H$32+G212*Credit_Assumptions!$H$33</f>
        <v/>
      </c>
      <c r="H215" s="80">
        <f>H207*Credit_Assumptions!$H$28+H208*Credit_Assumptions!$H$29+H209*Credit_Assumptions!$H$30+H210*Credit_Assumptions!$H$31+H211*Credit_Assumptions!$H$32+H212*Credit_Assumptions!$H$33</f>
        <v/>
      </c>
      <c r="I215" s="80">
        <f>I207*Credit_Assumptions!$H$28+I208*Credit_Assumptions!$H$29+I209*Credit_Assumptions!$H$30+I210*Credit_Assumptions!$H$31+I211*Credit_Assumptions!$H$32+I212*Credit_Assumptions!$H$33</f>
        <v/>
      </c>
      <c r="J215" s="80">
        <f>J207*Credit_Assumptions!$H$28+J208*Credit_Assumptions!$H$29+J209*Credit_Assumptions!$H$30+J210*Credit_Assumptions!$H$31+J211*Credit_Assumptions!$H$32+J212*Credit_Assumptions!$H$33</f>
        <v/>
      </c>
      <c r="K215" s="80">
        <f>K207*Credit_Assumptions!$H$28+K208*Credit_Assumptions!$H$29+K209*Credit_Assumptions!$H$30+K210*Credit_Assumptions!$H$31+K211*Credit_Assumptions!$H$32+K212*Credit_Assumptions!$H$33</f>
        <v/>
      </c>
      <c r="L215" s="80">
        <f>L207*Credit_Assumptions!$H$28+L208*Credit_Assumptions!$H$29+L209*Credit_Assumptions!$H$30+L210*Credit_Assumptions!$H$31+L211*Credit_Assumptions!$H$32+L212*Credit_Assumptions!$H$33</f>
        <v/>
      </c>
      <c r="M215" s="80">
        <f>M207*Credit_Assumptions!$H$28+M208*Credit_Assumptions!$H$29+M209*Credit_Assumptions!$H$30+M210*Credit_Assumptions!$H$31+M211*Credit_Assumptions!$H$32+M212*Credit_Assumptions!$H$33</f>
        <v/>
      </c>
      <c r="N215" s="80">
        <f>N207*Credit_Assumptions!$H$28+N208*Credit_Assumptions!$H$29+N209*Credit_Assumptions!$H$30+N210*Credit_Assumptions!$H$31+N211*Credit_Assumptions!$H$32+N212*Credit_Assumptions!$H$33</f>
        <v/>
      </c>
      <c r="O215" s="80">
        <f>O207*Credit_Assumptions!$H$28+O208*Credit_Assumptions!$H$29+O209*Credit_Assumptions!$H$30+O210*Credit_Assumptions!$H$31+O211*Credit_Assumptions!$H$32+O212*Credit_Assumptions!$H$33</f>
        <v/>
      </c>
      <c r="P215" s="80">
        <f>P207*Credit_Assumptions!$H$28+P208*Credit_Assumptions!$H$29+P209*Credit_Assumptions!$H$30+P210*Credit_Assumptions!$H$31+P211*Credit_Assumptions!$H$32+P212*Credit_Assumptions!$H$33</f>
        <v/>
      </c>
      <c r="Q215" s="80">
        <f>Q207*Credit_Assumptions!$H$28+Q208*Credit_Assumptions!$H$29+Q209*Credit_Assumptions!$H$30+Q210*Credit_Assumptions!$H$31+Q211*Credit_Assumptions!$H$32+Q212*Credit_Assumptions!$H$33</f>
        <v/>
      </c>
      <c r="R215" s="80">
        <f>R207*Credit_Assumptions!$H$28+R208*Credit_Assumptions!$H$29+R209*Credit_Assumptions!$H$30+R210*Credit_Assumptions!$H$31+R211*Credit_Assumptions!$H$32+R212*Credit_Assumptions!$H$33</f>
        <v/>
      </c>
      <c r="S215" s="80">
        <f>S207*Credit_Assumptions!$H$28+S208*Credit_Assumptions!$H$29+S209*Credit_Assumptions!$H$30+S210*Credit_Assumptions!$H$31+S211*Credit_Assumptions!$H$32+S212*Credit_Assumptions!$H$33</f>
        <v/>
      </c>
      <c r="T215" s="80">
        <f>T207*Credit_Assumptions!$H$28+T208*Credit_Assumptions!$H$29+T209*Credit_Assumptions!$H$30+T210*Credit_Assumptions!$H$31+T211*Credit_Assumptions!$H$32+T212*Credit_Assumptions!$H$33</f>
        <v/>
      </c>
      <c r="U215" s="80">
        <f>U207*Credit_Assumptions!$H$28+U208*Credit_Assumptions!$H$29+U209*Credit_Assumptions!$H$30+U210*Credit_Assumptions!$H$31+U211*Credit_Assumptions!$H$32+U212*Credit_Assumptions!$H$33</f>
        <v/>
      </c>
      <c r="V215" s="80">
        <f>V207*Credit_Assumptions!$H$28+V208*Credit_Assumptions!$H$29+V209*Credit_Assumptions!$H$30+V210*Credit_Assumptions!$H$31+V211*Credit_Assumptions!$H$32+V212*Credit_Assumptions!$H$33</f>
        <v/>
      </c>
      <c r="W215" s="80">
        <f>W207*Credit_Assumptions!$H$28+W208*Credit_Assumptions!$H$29+W209*Credit_Assumptions!$H$30+W210*Credit_Assumptions!$H$31+W211*Credit_Assumptions!$H$32+W212*Credit_Assumptions!$H$33</f>
        <v/>
      </c>
      <c r="X215" s="80">
        <f>X207*Credit_Assumptions!$H$28+X208*Credit_Assumptions!$H$29+X209*Credit_Assumptions!$H$30+X210*Credit_Assumptions!$H$31+X211*Credit_Assumptions!$H$32+X212*Credit_Assumptions!$H$33</f>
        <v/>
      </c>
      <c r="Y215" s="80">
        <f>Y207*Credit_Assumptions!$H$28+Y208*Credit_Assumptions!$H$29+Y209*Credit_Assumptions!$H$30+Y210*Credit_Assumptions!$H$31+Y211*Credit_Assumptions!$H$32+Y212*Credit_Assumptions!$H$33</f>
        <v/>
      </c>
      <c r="Z215" s="80">
        <f>Z207*Credit_Assumptions!$H$28+Z208*Credit_Assumptions!$H$29+Z209*Credit_Assumptions!$H$30+Z210*Credit_Assumptions!$H$31+Z211*Credit_Assumptions!$H$32+Z212*Credit_Assumptions!$H$33</f>
        <v/>
      </c>
      <c r="AA215" s="80">
        <f>AA207*Credit_Assumptions!$H$28+AA208*Credit_Assumptions!$H$29+AA209*Credit_Assumptions!$H$30+AA210*Credit_Assumptions!$H$31+AA211*Credit_Assumptions!$H$32+AA212*Credit_Assumptions!$H$33</f>
        <v/>
      </c>
      <c r="AB215" s="80">
        <f>AB207*Credit_Assumptions!$H$28+AB208*Credit_Assumptions!$H$29+AB209*Credit_Assumptions!$H$30+AB210*Credit_Assumptions!$H$31+AB211*Credit_Assumptions!$H$32+AB212*Credit_Assumptions!$H$33</f>
        <v/>
      </c>
      <c r="AC215" s="80">
        <f>AC207*Credit_Assumptions!$H$28+AC208*Credit_Assumptions!$H$29+AC209*Credit_Assumptions!$H$30+AC210*Credit_Assumptions!$H$31+AC211*Credit_Assumptions!$H$32+AC212*Credit_Assumptions!$H$33</f>
        <v/>
      </c>
      <c r="AD215" s="80">
        <f>AD207*Credit_Assumptions!$H$28+AD208*Credit_Assumptions!$H$29+AD209*Credit_Assumptions!$H$30+AD210*Credit_Assumptions!$H$31+AD211*Credit_Assumptions!$H$32+AD212*Credit_Assumptions!$H$33</f>
        <v/>
      </c>
      <c r="AE215" s="80">
        <f>AE207*Credit_Assumptions!$H$28+AE208*Credit_Assumptions!$H$29+AE209*Credit_Assumptions!$H$30+AE210*Credit_Assumptions!$H$31+AE211*Credit_Assumptions!$H$32+AE212*Credit_Assumptions!$H$33</f>
        <v/>
      </c>
      <c r="AF215" s="80">
        <f>AF207*Credit_Assumptions!$H$28+AF208*Credit_Assumptions!$H$29+AF209*Credit_Assumptions!$H$30+AF210*Credit_Assumptions!$H$31+AF211*Credit_Assumptions!$H$32+AF212*Credit_Assumptions!$H$33</f>
        <v/>
      </c>
      <c r="AG215" s="80">
        <f>AG207*Credit_Assumptions!$H$28+AG208*Credit_Assumptions!$H$29+AG209*Credit_Assumptions!$H$30+AG210*Credit_Assumptions!$H$31+AG211*Credit_Assumptions!$H$32+AG212*Credit_Assumptions!$H$33</f>
        <v/>
      </c>
      <c r="AH215" s="80">
        <f>AH207*Credit_Assumptions!$H$28+AH208*Credit_Assumptions!$H$29+AH209*Credit_Assumptions!$H$30+AH210*Credit_Assumptions!$H$31+AH211*Credit_Assumptions!$H$32+AH212*Credit_Assumptions!$H$33</f>
        <v/>
      </c>
      <c r="AI215" s="80">
        <f>AI207*Credit_Assumptions!$H$28+AI208*Credit_Assumptions!$H$29+AI209*Credit_Assumptions!$H$30+AI210*Credit_Assumptions!$H$31+AI211*Credit_Assumptions!$H$32+AI212*Credit_Assumptions!$H$33</f>
        <v/>
      </c>
      <c r="AJ215" s="80">
        <f>AJ207*Credit_Assumptions!$H$28+AJ208*Credit_Assumptions!$H$29+AJ209*Credit_Assumptions!$H$30+AJ210*Credit_Assumptions!$H$31+AJ211*Credit_Assumptions!$H$32+AJ212*Credit_Assumptions!$H$33</f>
        <v/>
      </c>
      <c r="AK215" s="80">
        <f>AK207*Credit_Assumptions!$H$28+AK208*Credit_Assumptions!$H$29+AK209*Credit_Assumptions!$H$30+AK210*Credit_Assumptions!$H$31+AK211*Credit_Assumptions!$H$32+AK212*Credit_Assumptions!$H$33</f>
        <v/>
      </c>
      <c r="AL215" s="80">
        <f>AL207*Credit_Assumptions!$H$28+AL208*Credit_Assumptions!$H$29+AL209*Credit_Assumptions!$H$30+AL210*Credit_Assumptions!$H$31+AL211*Credit_Assumptions!$H$32+AL212*Credit_Assumptions!$H$33</f>
        <v/>
      </c>
      <c r="AM215" s="80">
        <f>AM207*Credit_Assumptions!$H$28+AM208*Credit_Assumptions!$H$29+AM209*Credit_Assumptions!$H$30+AM210*Credit_Assumptions!$H$31+AM211*Credit_Assumptions!$H$32+AM212*Credit_Assumptions!$H$33</f>
        <v/>
      </c>
      <c r="AN215" s="80">
        <f>AN207*Credit_Assumptions!$H$28+AN208*Credit_Assumptions!$H$29+AN209*Credit_Assumptions!$H$30+AN210*Credit_Assumptions!$H$31+AN211*Credit_Assumptions!$H$32+AN212*Credit_Assumptions!$H$33</f>
        <v/>
      </c>
      <c r="AO215" s="80">
        <f>AO207*Credit_Assumptions!$H$28+AO208*Credit_Assumptions!$H$29+AO209*Credit_Assumptions!$H$30+AO210*Credit_Assumptions!$H$31+AO211*Credit_Assumptions!$H$32+AO212*Credit_Assumptions!$H$33</f>
        <v/>
      </c>
      <c r="AP215" s="80">
        <f>AP207*Credit_Assumptions!$H$28+AP208*Credit_Assumptions!$H$29+AP209*Credit_Assumptions!$H$30+AP210*Credit_Assumptions!$H$31+AP211*Credit_Assumptions!$H$32+AP212*Credit_Assumptions!$H$33</f>
        <v/>
      </c>
      <c r="AQ215" s="80">
        <f>AQ207*Credit_Assumptions!$H$28+AQ208*Credit_Assumptions!$H$29+AQ209*Credit_Assumptions!$H$30+AQ210*Credit_Assumptions!$H$31+AQ211*Credit_Assumptions!$H$32+AQ212*Credit_Assumptions!$H$33</f>
        <v/>
      </c>
      <c r="AR215" s="80">
        <f>AR207*Credit_Assumptions!$H$28+AR208*Credit_Assumptions!$H$29+AR209*Credit_Assumptions!$H$30+AR210*Credit_Assumptions!$H$31+AR211*Credit_Assumptions!$H$32+AR212*Credit_Assumptions!$H$33</f>
        <v/>
      </c>
      <c r="AS215" s="80">
        <f>AS207*Credit_Assumptions!$H$28+AS208*Credit_Assumptions!$H$29+AS209*Credit_Assumptions!$H$30+AS210*Credit_Assumptions!$H$31+AS211*Credit_Assumptions!$H$32+AS212*Credit_Assumptions!$H$33</f>
        <v/>
      </c>
      <c r="AT215" s="80">
        <f>AT207*Credit_Assumptions!$H$28+AT208*Credit_Assumptions!$H$29+AT209*Credit_Assumptions!$H$30+AT210*Credit_Assumptions!$H$31+AT211*Credit_Assumptions!$H$32+AT212*Credit_Assumptions!$H$33</f>
        <v/>
      </c>
      <c r="AU215" s="80">
        <f>AU207*Credit_Assumptions!$H$28+AU208*Credit_Assumptions!$H$29+AU209*Credit_Assumptions!$H$30+AU210*Credit_Assumptions!$H$31+AU211*Credit_Assumptions!$H$32+AU212*Credit_Assumptions!$H$33</f>
        <v/>
      </c>
      <c r="AV215" s="80">
        <f>AV207*Credit_Assumptions!$H$28+AV208*Credit_Assumptions!$H$29+AV209*Credit_Assumptions!$H$30+AV210*Credit_Assumptions!$H$31+AV211*Credit_Assumptions!$H$32+AV212*Credit_Assumptions!$H$33</f>
        <v/>
      </c>
      <c r="AW215" s="80">
        <f>AW207*Credit_Assumptions!$H$28+AW208*Credit_Assumptions!$H$29+AW209*Credit_Assumptions!$H$30+AW210*Credit_Assumptions!$H$31+AW211*Credit_Assumptions!$H$32+AW212*Credit_Assumptions!$H$33</f>
        <v/>
      </c>
      <c r="AX215" s="80">
        <f>AX207*Credit_Assumptions!$H$28+AX208*Credit_Assumptions!$H$29+AX209*Credit_Assumptions!$H$30+AX210*Credit_Assumptions!$H$31+AX211*Credit_Assumptions!$H$32+AX212*Credit_Assumptions!$H$33</f>
        <v/>
      </c>
      <c r="AY215" s="80">
        <f>AY207*Credit_Assumptions!$H$28+AY208*Credit_Assumptions!$H$29+AY209*Credit_Assumptions!$H$30+AY210*Credit_Assumptions!$H$31+AY211*Credit_Assumptions!$H$32+AY212*Credit_Assumptions!$H$33</f>
        <v/>
      </c>
      <c r="AZ215" s="80">
        <f>AZ207*Credit_Assumptions!$H$28+AZ208*Credit_Assumptions!$H$29+AZ209*Credit_Assumptions!$H$30+AZ210*Credit_Assumptions!$H$31+AZ211*Credit_Assumptions!$H$32+AZ212*Credit_Assumptions!$H$33</f>
        <v/>
      </c>
      <c r="BA215" s="80">
        <f>BA207*Credit_Assumptions!$H$28+BA208*Credit_Assumptions!$H$29+BA209*Credit_Assumptions!$H$30+BA210*Credit_Assumptions!$H$31+BA211*Credit_Assumptions!$H$32+BA212*Credit_Assumptions!$H$33</f>
        <v/>
      </c>
      <c r="BB215" s="80">
        <f>BB207*Credit_Assumptions!$H$28+BB208*Credit_Assumptions!$H$29+BB209*Credit_Assumptions!$H$30+BB210*Credit_Assumptions!$H$31+BB211*Credit_Assumptions!$H$32+BB212*Credit_Assumptions!$H$33</f>
        <v/>
      </c>
      <c r="BC215" s="80">
        <f>BC207*Credit_Assumptions!$H$28+BC208*Credit_Assumptions!$H$29+BC209*Credit_Assumptions!$H$30+BC210*Credit_Assumptions!$H$31+BC211*Credit_Assumptions!$H$32+BC212*Credit_Assumptions!$H$33</f>
        <v/>
      </c>
      <c r="BD215" s="80">
        <f>BD207*Credit_Assumptions!$H$28+BD208*Credit_Assumptions!$H$29+BD209*Credit_Assumptions!$H$30+BD210*Credit_Assumptions!$H$31+BD211*Credit_Assumptions!$H$32+BD212*Credit_Assumptions!$H$33</f>
        <v/>
      </c>
      <c r="BE215" s="80">
        <f>BE207*Credit_Assumptions!$H$28+BE208*Credit_Assumptions!$H$29+BE209*Credit_Assumptions!$H$30+BE210*Credit_Assumptions!$H$31+BE211*Credit_Assumptions!$H$32+BE212*Credit_Assumptions!$H$33</f>
        <v/>
      </c>
      <c r="BF215" s="80">
        <f>BF207*Credit_Assumptions!$H$28+BF208*Credit_Assumptions!$H$29+BF209*Credit_Assumptions!$H$30+BF210*Credit_Assumptions!$H$31+BF211*Credit_Assumptions!$H$32+BF212*Credit_Assumptions!$H$33</f>
        <v/>
      </c>
      <c r="BG215" s="80">
        <f>BG207*Credit_Assumptions!$H$28+BG208*Credit_Assumptions!$H$29+BG209*Credit_Assumptions!$H$30+BG210*Credit_Assumptions!$H$31+BG211*Credit_Assumptions!$H$32+BG212*Credit_Assumptions!$H$33</f>
        <v/>
      </c>
      <c r="BH215" s="80">
        <f>BH207*Credit_Assumptions!$H$28+BH208*Credit_Assumptions!$H$29+BH209*Credit_Assumptions!$H$30+BH210*Credit_Assumptions!$H$31+BH211*Credit_Assumptions!$H$32+BH212*Credit_Assumptions!$H$33</f>
        <v/>
      </c>
      <c r="BI215" s="80">
        <f>BI207*Credit_Assumptions!$H$28+BI208*Credit_Assumptions!$H$29+BI209*Credit_Assumptions!$H$30+BI210*Credit_Assumptions!$H$31+BI211*Credit_Assumptions!$H$32+BI212*Credit_Assumptions!$H$33</f>
        <v/>
      </c>
      <c r="BJ215" s="80">
        <f>BJ207*Credit_Assumptions!$H$28+BJ208*Credit_Assumptions!$H$29+BJ209*Credit_Assumptions!$H$30+BJ210*Credit_Assumptions!$H$31+BJ211*Credit_Assumptions!$H$32+BJ212*Credit_Assumptions!$H$33</f>
        <v/>
      </c>
      <c r="BK215" s="80">
        <f>BK207*Credit_Assumptions!$H$28+BK208*Credit_Assumptions!$H$29+BK209*Credit_Assumptions!$H$30+BK210*Credit_Assumptions!$H$31+BK211*Credit_Assumptions!$H$32+BK212*Credit_Assumptions!$H$33</f>
        <v/>
      </c>
      <c r="BL215" s="80">
        <f>BL207*Credit_Assumptions!$H$28+BL208*Credit_Assumptions!$H$29+BL209*Credit_Assumptions!$H$30+BL210*Credit_Assumptions!$H$31+BL211*Credit_Assumptions!$H$32+BL212*Credit_Assumptions!$H$33</f>
        <v/>
      </c>
    </row>
    <row r="216">
      <c r="A216" s="98" t="inlineStr">
        <is>
          <t>Gross resale proceeds</t>
        </is>
      </c>
      <c r="B216" s="65" t="inlineStr">
        <is>
          <t>LCY</t>
        </is>
      </c>
      <c r="C216" s="105">
        <f>SUM(E216:BL216)</f>
        <v/>
      </c>
      <c r="E216" s="80">
        <f>IF(Credit_Assumptions!$C$5=1,E189,INDEX(Credit_Input!$M$200:$M$259,E$4))</f>
        <v/>
      </c>
      <c r="F216" s="80">
        <f>IF(Credit_Assumptions!$C$5=1,F189,INDEX(Credit_Input!$M$200:$M$259,F$4))</f>
        <v/>
      </c>
      <c r="G216" s="80">
        <f>IF(Credit_Assumptions!$C$5=1,G189,INDEX(Credit_Input!$M$200:$M$259,G$4))</f>
        <v/>
      </c>
      <c r="H216" s="80">
        <f>IF(Credit_Assumptions!$C$5=1,H189,INDEX(Credit_Input!$M$200:$M$259,H$4))</f>
        <v/>
      </c>
      <c r="I216" s="80">
        <f>IF(Credit_Assumptions!$C$5=1,I189,INDEX(Credit_Input!$M$200:$M$259,I$4))</f>
        <v/>
      </c>
      <c r="J216" s="80">
        <f>IF(Credit_Assumptions!$C$5=1,J189,INDEX(Credit_Input!$M$200:$M$259,J$4))</f>
        <v/>
      </c>
      <c r="K216" s="80">
        <f>IF(Credit_Assumptions!$C$5=1,K189,INDEX(Credit_Input!$M$200:$M$259,K$4))</f>
        <v/>
      </c>
      <c r="L216" s="80">
        <f>IF(Credit_Assumptions!$C$5=1,L189,INDEX(Credit_Input!$M$200:$M$259,L$4))</f>
        <v/>
      </c>
      <c r="M216" s="80">
        <f>IF(Credit_Assumptions!$C$5=1,M189,INDEX(Credit_Input!$M$200:$M$259,M$4))</f>
        <v/>
      </c>
      <c r="N216" s="80">
        <f>IF(Credit_Assumptions!$C$5=1,N189,INDEX(Credit_Input!$M$200:$M$259,N$4))</f>
        <v/>
      </c>
      <c r="O216" s="80">
        <f>IF(Credit_Assumptions!$C$5=1,O189,INDEX(Credit_Input!$M$200:$M$259,O$4))</f>
        <v/>
      </c>
      <c r="P216" s="80">
        <f>IF(Credit_Assumptions!$C$5=1,P189,INDEX(Credit_Input!$M$200:$M$259,P$4))</f>
        <v/>
      </c>
      <c r="Q216" s="80">
        <f>IF(Credit_Assumptions!$C$5=1,Q189,INDEX(Credit_Input!$M$200:$M$259,Q$4))</f>
        <v/>
      </c>
      <c r="R216" s="80">
        <f>IF(Credit_Assumptions!$C$5=1,R189,INDEX(Credit_Input!$M$200:$M$259,R$4))</f>
        <v/>
      </c>
      <c r="S216" s="80">
        <f>IF(Credit_Assumptions!$C$5=1,S189,INDEX(Credit_Input!$M$200:$M$259,S$4))</f>
        <v/>
      </c>
      <c r="T216" s="80">
        <f>IF(Credit_Assumptions!$C$5=1,T189,INDEX(Credit_Input!$M$200:$M$259,T$4))</f>
        <v/>
      </c>
      <c r="U216" s="80">
        <f>IF(Credit_Assumptions!$C$5=1,U189,INDEX(Credit_Input!$M$200:$M$259,U$4))</f>
        <v/>
      </c>
      <c r="V216" s="80">
        <f>IF(Credit_Assumptions!$C$5=1,V189,INDEX(Credit_Input!$M$200:$M$259,V$4))</f>
        <v/>
      </c>
      <c r="W216" s="80">
        <f>IF(Credit_Assumptions!$C$5=1,W189,INDEX(Credit_Input!$M$200:$M$259,W$4))</f>
        <v/>
      </c>
      <c r="X216" s="80">
        <f>IF(Credit_Assumptions!$C$5=1,X189,INDEX(Credit_Input!$M$200:$M$259,X$4))</f>
        <v/>
      </c>
      <c r="Y216" s="80">
        <f>IF(Credit_Assumptions!$C$5=1,Y189,INDEX(Credit_Input!$M$200:$M$259,Y$4))</f>
        <v/>
      </c>
      <c r="Z216" s="80">
        <f>IF(Credit_Assumptions!$C$5=1,Z189,INDEX(Credit_Input!$M$200:$M$259,Z$4))</f>
        <v/>
      </c>
      <c r="AA216" s="80">
        <f>IF(Credit_Assumptions!$C$5=1,AA189,INDEX(Credit_Input!$M$200:$M$259,AA$4))</f>
        <v/>
      </c>
      <c r="AB216" s="80">
        <f>IF(Credit_Assumptions!$C$5=1,AB189,INDEX(Credit_Input!$M$200:$M$259,AB$4))</f>
        <v/>
      </c>
      <c r="AC216" s="80">
        <f>IF(Credit_Assumptions!$C$5=1,AC189,INDEX(Credit_Input!$M$200:$M$259,AC$4))</f>
        <v/>
      </c>
      <c r="AD216" s="80">
        <f>IF(Credit_Assumptions!$C$5=1,AD189,INDEX(Credit_Input!$M$200:$M$259,AD$4))</f>
        <v/>
      </c>
      <c r="AE216" s="80">
        <f>IF(Credit_Assumptions!$C$5=1,AE189,INDEX(Credit_Input!$M$200:$M$259,AE$4))</f>
        <v/>
      </c>
      <c r="AF216" s="80">
        <f>IF(Credit_Assumptions!$C$5=1,AF189,INDEX(Credit_Input!$M$200:$M$259,AF$4))</f>
        <v/>
      </c>
      <c r="AG216" s="80">
        <f>IF(Credit_Assumptions!$C$5=1,AG189,INDEX(Credit_Input!$M$200:$M$259,AG$4))</f>
        <v/>
      </c>
      <c r="AH216" s="80">
        <f>IF(Credit_Assumptions!$C$5=1,AH189,INDEX(Credit_Input!$M$200:$M$259,AH$4))</f>
        <v/>
      </c>
      <c r="AI216" s="80">
        <f>IF(Credit_Assumptions!$C$5=1,AI189,INDEX(Credit_Input!$M$200:$M$259,AI$4))</f>
        <v/>
      </c>
      <c r="AJ216" s="80">
        <f>IF(Credit_Assumptions!$C$5=1,AJ189,INDEX(Credit_Input!$M$200:$M$259,AJ$4))</f>
        <v/>
      </c>
      <c r="AK216" s="80">
        <f>IF(Credit_Assumptions!$C$5=1,AK189,INDEX(Credit_Input!$M$200:$M$259,AK$4))</f>
        <v/>
      </c>
      <c r="AL216" s="80">
        <f>IF(Credit_Assumptions!$C$5=1,AL189,INDEX(Credit_Input!$M$200:$M$259,AL$4))</f>
        <v/>
      </c>
      <c r="AM216" s="80">
        <f>IF(Credit_Assumptions!$C$5=1,AM189,INDEX(Credit_Input!$M$200:$M$259,AM$4))</f>
        <v/>
      </c>
      <c r="AN216" s="80">
        <f>IF(Credit_Assumptions!$C$5=1,AN189,INDEX(Credit_Input!$M$200:$M$259,AN$4))</f>
        <v/>
      </c>
      <c r="AO216" s="80">
        <f>IF(Credit_Assumptions!$C$5=1,AO189,INDEX(Credit_Input!$M$200:$M$259,AO$4))</f>
        <v/>
      </c>
      <c r="AP216" s="80">
        <f>IF(Credit_Assumptions!$C$5=1,AP189,INDEX(Credit_Input!$M$200:$M$259,AP$4))</f>
        <v/>
      </c>
      <c r="AQ216" s="80">
        <f>IF(Credit_Assumptions!$C$5=1,AQ189,INDEX(Credit_Input!$M$200:$M$259,AQ$4))</f>
        <v/>
      </c>
      <c r="AR216" s="80">
        <f>IF(Credit_Assumptions!$C$5=1,AR189,INDEX(Credit_Input!$M$200:$M$259,AR$4))</f>
        <v/>
      </c>
      <c r="AS216" s="80">
        <f>IF(Credit_Assumptions!$C$5=1,AS189,INDEX(Credit_Input!$M$200:$M$259,AS$4))</f>
        <v/>
      </c>
      <c r="AT216" s="80">
        <f>IF(Credit_Assumptions!$C$5=1,AT189,INDEX(Credit_Input!$M$200:$M$259,AT$4))</f>
        <v/>
      </c>
      <c r="AU216" s="80">
        <f>IF(Credit_Assumptions!$C$5=1,AU189,INDEX(Credit_Input!$M$200:$M$259,AU$4))</f>
        <v/>
      </c>
      <c r="AV216" s="80">
        <f>IF(Credit_Assumptions!$C$5=1,AV189,INDEX(Credit_Input!$M$200:$M$259,AV$4))</f>
        <v/>
      </c>
      <c r="AW216" s="80">
        <f>IF(Credit_Assumptions!$C$5=1,AW189,INDEX(Credit_Input!$M$200:$M$259,AW$4))</f>
        <v/>
      </c>
      <c r="AX216" s="80">
        <f>IF(Credit_Assumptions!$C$5=1,AX189,INDEX(Credit_Input!$M$200:$M$259,AX$4))</f>
        <v/>
      </c>
      <c r="AY216" s="80">
        <f>IF(Credit_Assumptions!$C$5=1,AY189,INDEX(Credit_Input!$M$200:$M$259,AY$4))</f>
        <v/>
      </c>
      <c r="AZ216" s="80">
        <f>IF(Credit_Assumptions!$C$5=1,AZ189,INDEX(Credit_Input!$M$200:$M$259,AZ$4))</f>
        <v/>
      </c>
      <c r="BA216" s="80">
        <f>IF(Credit_Assumptions!$C$5=1,BA189,INDEX(Credit_Input!$M$200:$M$259,BA$4))</f>
        <v/>
      </c>
      <c r="BB216" s="80">
        <f>IF(Credit_Assumptions!$C$5=1,BB189,INDEX(Credit_Input!$M$200:$M$259,BB$4))</f>
        <v/>
      </c>
      <c r="BC216" s="80">
        <f>IF(Credit_Assumptions!$C$5=1,BC189,INDEX(Credit_Input!$M$200:$M$259,BC$4))</f>
        <v/>
      </c>
      <c r="BD216" s="80">
        <f>IF(Credit_Assumptions!$C$5=1,BD189,INDEX(Credit_Input!$M$200:$M$259,BD$4))</f>
        <v/>
      </c>
      <c r="BE216" s="80">
        <f>IF(Credit_Assumptions!$C$5=1,BE189,INDEX(Credit_Input!$M$200:$M$259,BE$4))</f>
        <v/>
      </c>
      <c r="BF216" s="80">
        <f>IF(Credit_Assumptions!$C$5=1,BF189,INDEX(Credit_Input!$M$200:$M$259,BF$4))</f>
        <v/>
      </c>
      <c r="BG216" s="80">
        <f>IF(Credit_Assumptions!$C$5=1,BG189,INDEX(Credit_Input!$M$200:$M$259,BG$4))</f>
        <v/>
      </c>
      <c r="BH216" s="80">
        <f>IF(Credit_Assumptions!$C$5=1,BH189,INDEX(Credit_Input!$M$200:$M$259,BH$4))</f>
        <v/>
      </c>
      <c r="BI216" s="80">
        <f>IF(Credit_Assumptions!$C$5=1,BI189,INDEX(Credit_Input!$M$200:$M$259,BI$4))</f>
        <v/>
      </c>
      <c r="BJ216" s="80">
        <f>IF(Credit_Assumptions!$C$5=1,BJ189,INDEX(Credit_Input!$M$200:$M$259,BJ$4))</f>
        <v/>
      </c>
      <c r="BK216" s="80">
        <f>IF(Credit_Assumptions!$C$5=1,BK189,INDEX(Credit_Input!$M$200:$M$259,BK$4))</f>
        <v/>
      </c>
      <c r="BL216" s="80">
        <f>IF(Credit_Assumptions!$C$5=1,BL189,INDEX(Credit_Input!$M$200:$M$259,BL$4))</f>
        <v/>
      </c>
    </row>
    <row r="217">
      <c r="A217" s="98" t="inlineStr">
        <is>
          <t>Recovery costs</t>
        </is>
      </c>
      <c r="B217" s="65" t="inlineStr">
        <is>
          <t>LCY</t>
        </is>
      </c>
      <c r="C217" s="105">
        <f>SUM(E217:BL217)</f>
        <v/>
      </c>
      <c r="E217" s="80">
        <f>IF(Credit_Assumptions!$C$5=1,E190,INDEX(Credit_Input!$N$200:$N$259,E$4))</f>
        <v/>
      </c>
      <c r="F217" s="80">
        <f>IF(Credit_Assumptions!$C$5=1,F190,INDEX(Credit_Input!$N$200:$N$259,F$4))</f>
        <v/>
      </c>
      <c r="G217" s="80">
        <f>IF(Credit_Assumptions!$C$5=1,G190,INDEX(Credit_Input!$N$200:$N$259,G$4))</f>
        <v/>
      </c>
      <c r="H217" s="80">
        <f>IF(Credit_Assumptions!$C$5=1,H190,INDEX(Credit_Input!$N$200:$N$259,H$4))</f>
        <v/>
      </c>
      <c r="I217" s="80">
        <f>IF(Credit_Assumptions!$C$5=1,I190,INDEX(Credit_Input!$N$200:$N$259,I$4))</f>
        <v/>
      </c>
      <c r="J217" s="80">
        <f>IF(Credit_Assumptions!$C$5=1,J190,INDEX(Credit_Input!$N$200:$N$259,J$4))</f>
        <v/>
      </c>
      <c r="K217" s="80">
        <f>IF(Credit_Assumptions!$C$5=1,K190,INDEX(Credit_Input!$N$200:$N$259,K$4))</f>
        <v/>
      </c>
      <c r="L217" s="80">
        <f>IF(Credit_Assumptions!$C$5=1,L190,INDEX(Credit_Input!$N$200:$N$259,L$4))</f>
        <v/>
      </c>
      <c r="M217" s="80">
        <f>IF(Credit_Assumptions!$C$5=1,M190,INDEX(Credit_Input!$N$200:$N$259,M$4))</f>
        <v/>
      </c>
      <c r="N217" s="80">
        <f>IF(Credit_Assumptions!$C$5=1,N190,INDEX(Credit_Input!$N$200:$N$259,N$4))</f>
        <v/>
      </c>
      <c r="O217" s="80">
        <f>IF(Credit_Assumptions!$C$5=1,O190,INDEX(Credit_Input!$N$200:$N$259,O$4))</f>
        <v/>
      </c>
      <c r="P217" s="80">
        <f>IF(Credit_Assumptions!$C$5=1,P190,INDEX(Credit_Input!$N$200:$N$259,P$4))</f>
        <v/>
      </c>
      <c r="Q217" s="80">
        <f>IF(Credit_Assumptions!$C$5=1,Q190,INDEX(Credit_Input!$N$200:$N$259,Q$4))</f>
        <v/>
      </c>
      <c r="R217" s="80">
        <f>IF(Credit_Assumptions!$C$5=1,R190,INDEX(Credit_Input!$N$200:$N$259,R$4))</f>
        <v/>
      </c>
      <c r="S217" s="80">
        <f>IF(Credit_Assumptions!$C$5=1,S190,INDEX(Credit_Input!$N$200:$N$259,S$4))</f>
        <v/>
      </c>
      <c r="T217" s="80">
        <f>IF(Credit_Assumptions!$C$5=1,T190,INDEX(Credit_Input!$N$200:$N$259,T$4))</f>
        <v/>
      </c>
      <c r="U217" s="80">
        <f>IF(Credit_Assumptions!$C$5=1,U190,INDEX(Credit_Input!$N$200:$N$259,U$4))</f>
        <v/>
      </c>
      <c r="V217" s="80">
        <f>IF(Credit_Assumptions!$C$5=1,V190,INDEX(Credit_Input!$N$200:$N$259,V$4))</f>
        <v/>
      </c>
      <c r="W217" s="80">
        <f>IF(Credit_Assumptions!$C$5=1,W190,INDEX(Credit_Input!$N$200:$N$259,W$4))</f>
        <v/>
      </c>
      <c r="X217" s="80">
        <f>IF(Credit_Assumptions!$C$5=1,X190,INDEX(Credit_Input!$N$200:$N$259,X$4))</f>
        <v/>
      </c>
      <c r="Y217" s="80">
        <f>IF(Credit_Assumptions!$C$5=1,Y190,INDEX(Credit_Input!$N$200:$N$259,Y$4))</f>
        <v/>
      </c>
      <c r="Z217" s="80">
        <f>IF(Credit_Assumptions!$C$5=1,Z190,INDEX(Credit_Input!$N$200:$N$259,Z$4))</f>
        <v/>
      </c>
      <c r="AA217" s="80">
        <f>IF(Credit_Assumptions!$C$5=1,AA190,INDEX(Credit_Input!$N$200:$N$259,AA$4))</f>
        <v/>
      </c>
      <c r="AB217" s="80">
        <f>IF(Credit_Assumptions!$C$5=1,AB190,INDEX(Credit_Input!$N$200:$N$259,AB$4))</f>
        <v/>
      </c>
      <c r="AC217" s="80">
        <f>IF(Credit_Assumptions!$C$5=1,AC190,INDEX(Credit_Input!$N$200:$N$259,AC$4))</f>
        <v/>
      </c>
      <c r="AD217" s="80">
        <f>IF(Credit_Assumptions!$C$5=1,AD190,INDEX(Credit_Input!$N$200:$N$259,AD$4))</f>
        <v/>
      </c>
      <c r="AE217" s="80">
        <f>IF(Credit_Assumptions!$C$5=1,AE190,INDEX(Credit_Input!$N$200:$N$259,AE$4))</f>
        <v/>
      </c>
      <c r="AF217" s="80">
        <f>IF(Credit_Assumptions!$C$5=1,AF190,INDEX(Credit_Input!$N$200:$N$259,AF$4))</f>
        <v/>
      </c>
      <c r="AG217" s="80">
        <f>IF(Credit_Assumptions!$C$5=1,AG190,INDEX(Credit_Input!$N$200:$N$259,AG$4))</f>
        <v/>
      </c>
      <c r="AH217" s="80">
        <f>IF(Credit_Assumptions!$C$5=1,AH190,INDEX(Credit_Input!$N$200:$N$259,AH$4))</f>
        <v/>
      </c>
      <c r="AI217" s="80">
        <f>IF(Credit_Assumptions!$C$5=1,AI190,INDEX(Credit_Input!$N$200:$N$259,AI$4))</f>
        <v/>
      </c>
      <c r="AJ217" s="80">
        <f>IF(Credit_Assumptions!$C$5=1,AJ190,INDEX(Credit_Input!$N$200:$N$259,AJ$4))</f>
        <v/>
      </c>
      <c r="AK217" s="80">
        <f>IF(Credit_Assumptions!$C$5=1,AK190,INDEX(Credit_Input!$N$200:$N$259,AK$4))</f>
        <v/>
      </c>
      <c r="AL217" s="80">
        <f>IF(Credit_Assumptions!$C$5=1,AL190,INDEX(Credit_Input!$N$200:$N$259,AL$4))</f>
        <v/>
      </c>
      <c r="AM217" s="80">
        <f>IF(Credit_Assumptions!$C$5=1,AM190,INDEX(Credit_Input!$N$200:$N$259,AM$4))</f>
        <v/>
      </c>
      <c r="AN217" s="80">
        <f>IF(Credit_Assumptions!$C$5=1,AN190,INDEX(Credit_Input!$N$200:$N$259,AN$4))</f>
        <v/>
      </c>
      <c r="AO217" s="80">
        <f>IF(Credit_Assumptions!$C$5=1,AO190,INDEX(Credit_Input!$N$200:$N$259,AO$4))</f>
        <v/>
      </c>
      <c r="AP217" s="80">
        <f>IF(Credit_Assumptions!$C$5=1,AP190,INDEX(Credit_Input!$N$200:$N$259,AP$4))</f>
        <v/>
      </c>
      <c r="AQ217" s="80">
        <f>IF(Credit_Assumptions!$C$5=1,AQ190,INDEX(Credit_Input!$N$200:$N$259,AQ$4))</f>
        <v/>
      </c>
      <c r="AR217" s="80">
        <f>IF(Credit_Assumptions!$C$5=1,AR190,INDEX(Credit_Input!$N$200:$N$259,AR$4))</f>
        <v/>
      </c>
      <c r="AS217" s="80">
        <f>IF(Credit_Assumptions!$C$5=1,AS190,INDEX(Credit_Input!$N$200:$N$259,AS$4))</f>
        <v/>
      </c>
      <c r="AT217" s="80">
        <f>IF(Credit_Assumptions!$C$5=1,AT190,INDEX(Credit_Input!$N$200:$N$259,AT$4))</f>
        <v/>
      </c>
      <c r="AU217" s="80">
        <f>IF(Credit_Assumptions!$C$5=1,AU190,INDEX(Credit_Input!$N$200:$N$259,AU$4))</f>
        <v/>
      </c>
      <c r="AV217" s="80">
        <f>IF(Credit_Assumptions!$C$5=1,AV190,INDEX(Credit_Input!$N$200:$N$259,AV$4))</f>
        <v/>
      </c>
      <c r="AW217" s="80">
        <f>IF(Credit_Assumptions!$C$5=1,AW190,INDEX(Credit_Input!$N$200:$N$259,AW$4))</f>
        <v/>
      </c>
      <c r="AX217" s="80">
        <f>IF(Credit_Assumptions!$C$5=1,AX190,INDEX(Credit_Input!$N$200:$N$259,AX$4))</f>
        <v/>
      </c>
      <c r="AY217" s="80">
        <f>IF(Credit_Assumptions!$C$5=1,AY190,INDEX(Credit_Input!$N$200:$N$259,AY$4))</f>
        <v/>
      </c>
      <c r="AZ217" s="80">
        <f>IF(Credit_Assumptions!$C$5=1,AZ190,INDEX(Credit_Input!$N$200:$N$259,AZ$4))</f>
        <v/>
      </c>
      <c r="BA217" s="80">
        <f>IF(Credit_Assumptions!$C$5=1,BA190,INDEX(Credit_Input!$N$200:$N$259,BA$4))</f>
        <v/>
      </c>
      <c r="BB217" s="80">
        <f>IF(Credit_Assumptions!$C$5=1,BB190,INDEX(Credit_Input!$N$200:$N$259,BB$4))</f>
        <v/>
      </c>
      <c r="BC217" s="80">
        <f>IF(Credit_Assumptions!$C$5=1,BC190,INDEX(Credit_Input!$N$200:$N$259,BC$4))</f>
        <v/>
      </c>
      <c r="BD217" s="80">
        <f>IF(Credit_Assumptions!$C$5=1,BD190,INDEX(Credit_Input!$N$200:$N$259,BD$4))</f>
        <v/>
      </c>
      <c r="BE217" s="80">
        <f>IF(Credit_Assumptions!$C$5=1,BE190,INDEX(Credit_Input!$N$200:$N$259,BE$4))</f>
        <v/>
      </c>
      <c r="BF217" s="80">
        <f>IF(Credit_Assumptions!$C$5=1,BF190,INDEX(Credit_Input!$N$200:$N$259,BF$4))</f>
        <v/>
      </c>
      <c r="BG217" s="80">
        <f>IF(Credit_Assumptions!$C$5=1,BG190,INDEX(Credit_Input!$N$200:$N$259,BG$4))</f>
        <v/>
      </c>
      <c r="BH217" s="80">
        <f>IF(Credit_Assumptions!$C$5=1,BH190,INDEX(Credit_Input!$N$200:$N$259,BH$4))</f>
        <v/>
      </c>
      <c r="BI217" s="80">
        <f>IF(Credit_Assumptions!$C$5=1,BI190,INDEX(Credit_Input!$N$200:$N$259,BI$4))</f>
        <v/>
      </c>
      <c r="BJ217" s="80">
        <f>IF(Credit_Assumptions!$C$5=1,BJ190,INDEX(Credit_Input!$N$200:$N$259,BJ$4))</f>
        <v/>
      </c>
      <c r="BK217" s="80">
        <f>IF(Credit_Assumptions!$C$5=1,BK190,INDEX(Credit_Input!$N$200:$N$259,BK$4))</f>
        <v/>
      </c>
      <c r="BL217" s="80">
        <f>IF(Credit_Assumptions!$C$5=1,BL190,INDEX(Credit_Input!$N$200:$N$259,BL$4))</f>
        <v/>
      </c>
    </row>
    <row r="218">
      <c r="A218" s="98" t="inlineStr">
        <is>
          <t>Repossessions (units, approx.)</t>
        </is>
      </c>
      <c r="B218" s="65" t="inlineStr">
        <is>
          <t>LCY</t>
        </is>
      </c>
      <c r="C218" s="105">
        <f>SUM(E218:BL218)</f>
        <v/>
      </c>
      <c r="E218" s="80">
        <f>IF(Credit_Assumptions!$C$5=1,E191,INDEX(Credit_Input!$L$200:$L$259,E$4))</f>
        <v/>
      </c>
      <c r="F218" s="80">
        <f>IF(Credit_Assumptions!$C$5=1,F191,INDEX(Credit_Input!$L$200:$L$259,F$4))</f>
        <v/>
      </c>
      <c r="G218" s="80">
        <f>IF(Credit_Assumptions!$C$5=1,G191,INDEX(Credit_Input!$L$200:$L$259,G$4))</f>
        <v/>
      </c>
      <c r="H218" s="80">
        <f>IF(Credit_Assumptions!$C$5=1,H191,INDEX(Credit_Input!$L$200:$L$259,H$4))</f>
        <v/>
      </c>
      <c r="I218" s="80">
        <f>IF(Credit_Assumptions!$C$5=1,I191,INDEX(Credit_Input!$L$200:$L$259,I$4))</f>
        <v/>
      </c>
      <c r="J218" s="80">
        <f>IF(Credit_Assumptions!$C$5=1,J191,INDEX(Credit_Input!$L$200:$L$259,J$4))</f>
        <v/>
      </c>
      <c r="K218" s="80">
        <f>IF(Credit_Assumptions!$C$5=1,K191,INDEX(Credit_Input!$L$200:$L$259,K$4))</f>
        <v/>
      </c>
      <c r="L218" s="80">
        <f>IF(Credit_Assumptions!$C$5=1,L191,INDEX(Credit_Input!$L$200:$L$259,L$4))</f>
        <v/>
      </c>
      <c r="M218" s="80">
        <f>IF(Credit_Assumptions!$C$5=1,M191,INDEX(Credit_Input!$L$200:$L$259,M$4))</f>
        <v/>
      </c>
      <c r="N218" s="80">
        <f>IF(Credit_Assumptions!$C$5=1,N191,INDEX(Credit_Input!$L$200:$L$259,N$4))</f>
        <v/>
      </c>
      <c r="O218" s="80">
        <f>IF(Credit_Assumptions!$C$5=1,O191,INDEX(Credit_Input!$L$200:$L$259,O$4))</f>
        <v/>
      </c>
      <c r="P218" s="80">
        <f>IF(Credit_Assumptions!$C$5=1,P191,INDEX(Credit_Input!$L$200:$L$259,P$4))</f>
        <v/>
      </c>
      <c r="Q218" s="80">
        <f>IF(Credit_Assumptions!$C$5=1,Q191,INDEX(Credit_Input!$L$200:$L$259,Q$4))</f>
        <v/>
      </c>
      <c r="R218" s="80">
        <f>IF(Credit_Assumptions!$C$5=1,R191,INDEX(Credit_Input!$L$200:$L$259,R$4))</f>
        <v/>
      </c>
      <c r="S218" s="80">
        <f>IF(Credit_Assumptions!$C$5=1,S191,INDEX(Credit_Input!$L$200:$L$259,S$4))</f>
        <v/>
      </c>
      <c r="T218" s="80">
        <f>IF(Credit_Assumptions!$C$5=1,T191,INDEX(Credit_Input!$L$200:$L$259,T$4))</f>
        <v/>
      </c>
      <c r="U218" s="80">
        <f>IF(Credit_Assumptions!$C$5=1,U191,INDEX(Credit_Input!$L$200:$L$259,U$4))</f>
        <v/>
      </c>
      <c r="V218" s="80">
        <f>IF(Credit_Assumptions!$C$5=1,V191,INDEX(Credit_Input!$L$200:$L$259,V$4))</f>
        <v/>
      </c>
      <c r="W218" s="80">
        <f>IF(Credit_Assumptions!$C$5=1,W191,INDEX(Credit_Input!$L$200:$L$259,W$4))</f>
        <v/>
      </c>
      <c r="X218" s="80">
        <f>IF(Credit_Assumptions!$C$5=1,X191,INDEX(Credit_Input!$L$200:$L$259,X$4))</f>
        <v/>
      </c>
      <c r="Y218" s="80">
        <f>IF(Credit_Assumptions!$C$5=1,Y191,INDEX(Credit_Input!$L$200:$L$259,Y$4))</f>
        <v/>
      </c>
      <c r="Z218" s="80">
        <f>IF(Credit_Assumptions!$C$5=1,Z191,INDEX(Credit_Input!$L$200:$L$259,Z$4))</f>
        <v/>
      </c>
      <c r="AA218" s="80">
        <f>IF(Credit_Assumptions!$C$5=1,AA191,INDEX(Credit_Input!$L$200:$L$259,AA$4))</f>
        <v/>
      </c>
      <c r="AB218" s="80">
        <f>IF(Credit_Assumptions!$C$5=1,AB191,INDEX(Credit_Input!$L$200:$L$259,AB$4))</f>
        <v/>
      </c>
      <c r="AC218" s="80">
        <f>IF(Credit_Assumptions!$C$5=1,AC191,INDEX(Credit_Input!$L$200:$L$259,AC$4))</f>
        <v/>
      </c>
      <c r="AD218" s="80">
        <f>IF(Credit_Assumptions!$C$5=1,AD191,INDEX(Credit_Input!$L$200:$L$259,AD$4))</f>
        <v/>
      </c>
      <c r="AE218" s="80">
        <f>IF(Credit_Assumptions!$C$5=1,AE191,INDEX(Credit_Input!$L$200:$L$259,AE$4))</f>
        <v/>
      </c>
      <c r="AF218" s="80">
        <f>IF(Credit_Assumptions!$C$5=1,AF191,INDEX(Credit_Input!$L$200:$L$259,AF$4))</f>
        <v/>
      </c>
      <c r="AG218" s="80">
        <f>IF(Credit_Assumptions!$C$5=1,AG191,INDEX(Credit_Input!$L$200:$L$259,AG$4))</f>
        <v/>
      </c>
      <c r="AH218" s="80">
        <f>IF(Credit_Assumptions!$C$5=1,AH191,INDEX(Credit_Input!$L$200:$L$259,AH$4))</f>
        <v/>
      </c>
      <c r="AI218" s="80">
        <f>IF(Credit_Assumptions!$C$5=1,AI191,INDEX(Credit_Input!$L$200:$L$259,AI$4))</f>
        <v/>
      </c>
      <c r="AJ218" s="80">
        <f>IF(Credit_Assumptions!$C$5=1,AJ191,INDEX(Credit_Input!$L$200:$L$259,AJ$4))</f>
        <v/>
      </c>
      <c r="AK218" s="80">
        <f>IF(Credit_Assumptions!$C$5=1,AK191,INDEX(Credit_Input!$L$200:$L$259,AK$4))</f>
        <v/>
      </c>
      <c r="AL218" s="80">
        <f>IF(Credit_Assumptions!$C$5=1,AL191,INDEX(Credit_Input!$L$200:$L$259,AL$4))</f>
        <v/>
      </c>
      <c r="AM218" s="80">
        <f>IF(Credit_Assumptions!$C$5=1,AM191,INDEX(Credit_Input!$L$200:$L$259,AM$4))</f>
        <v/>
      </c>
      <c r="AN218" s="80">
        <f>IF(Credit_Assumptions!$C$5=1,AN191,INDEX(Credit_Input!$L$200:$L$259,AN$4))</f>
        <v/>
      </c>
      <c r="AO218" s="80">
        <f>IF(Credit_Assumptions!$C$5=1,AO191,INDEX(Credit_Input!$L$200:$L$259,AO$4))</f>
        <v/>
      </c>
      <c r="AP218" s="80">
        <f>IF(Credit_Assumptions!$C$5=1,AP191,INDEX(Credit_Input!$L$200:$L$259,AP$4))</f>
        <v/>
      </c>
      <c r="AQ218" s="80">
        <f>IF(Credit_Assumptions!$C$5=1,AQ191,INDEX(Credit_Input!$L$200:$L$259,AQ$4))</f>
        <v/>
      </c>
      <c r="AR218" s="80">
        <f>IF(Credit_Assumptions!$C$5=1,AR191,INDEX(Credit_Input!$L$200:$L$259,AR$4))</f>
        <v/>
      </c>
      <c r="AS218" s="80">
        <f>IF(Credit_Assumptions!$C$5=1,AS191,INDEX(Credit_Input!$L$200:$L$259,AS$4))</f>
        <v/>
      </c>
      <c r="AT218" s="80">
        <f>IF(Credit_Assumptions!$C$5=1,AT191,INDEX(Credit_Input!$L$200:$L$259,AT$4))</f>
        <v/>
      </c>
      <c r="AU218" s="80">
        <f>IF(Credit_Assumptions!$C$5=1,AU191,INDEX(Credit_Input!$L$200:$L$259,AU$4))</f>
        <v/>
      </c>
      <c r="AV218" s="80">
        <f>IF(Credit_Assumptions!$C$5=1,AV191,INDEX(Credit_Input!$L$200:$L$259,AV$4))</f>
        <v/>
      </c>
      <c r="AW218" s="80">
        <f>IF(Credit_Assumptions!$C$5=1,AW191,INDEX(Credit_Input!$L$200:$L$259,AW$4))</f>
        <v/>
      </c>
      <c r="AX218" s="80">
        <f>IF(Credit_Assumptions!$C$5=1,AX191,INDEX(Credit_Input!$L$200:$L$259,AX$4))</f>
        <v/>
      </c>
      <c r="AY218" s="80">
        <f>IF(Credit_Assumptions!$C$5=1,AY191,INDEX(Credit_Input!$L$200:$L$259,AY$4))</f>
        <v/>
      </c>
      <c r="AZ218" s="80">
        <f>IF(Credit_Assumptions!$C$5=1,AZ191,INDEX(Credit_Input!$L$200:$L$259,AZ$4))</f>
        <v/>
      </c>
      <c r="BA218" s="80">
        <f>IF(Credit_Assumptions!$C$5=1,BA191,INDEX(Credit_Input!$L$200:$L$259,BA$4))</f>
        <v/>
      </c>
      <c r="BB218" s="80">
        <f>IF(Credit_Assumptions!$C$5=1,BB191,INDEX(Credit_Input!$L$200:$L$259,BB$4))</f>
        <v/>
      </c>
      <c r="BC218" s="80">
        <f>IF(Credit_Assumptions!$C$5=1,BC191,INDEX(Credit_Input!$L$200:$L$259,BC$4))</f>
        <v/>
      </c>
      <c r="BD218" s="80">
        <f>IF(Credit_Assumptions!$C$5=1,BD191,INDEX(Credit_Input!$L$200:$L$259,BD$4))</f>
        <v/>
      </c>
      <c r="BE218" s="80">
        <f>IF(Credit_Assumptions!$C$5=1,BE191,INDEX(Credit_Input!$L$200:$L$259,BE$4))</f>
        <v/>
      </c>
      <c r="BF218" s="80">
        <f>IF(Credit_Assumptions!$C$5=1,BF191,INDEX(Credit_Input!$L$200:$L$259,BF$4))</f>
        <v/>
      </c>
      <c r="BG218" s="80">
        <f>IF(Credit_Assumptions!$C$5=1,BG191,INDEX(Credit_Input!$L$200:$L$259,BG$4))</f>
        <v/>
      </c>
      <c r="BH218" s="80">
        <f>IF(Credit_Assumptions!$C$5=1,BH191,INDEX(Credit_Input!$L$200:$L$259,BH$4))</f>
        <v/>
      </c>
      <c r="BI218" s="80">
        <f>IF(Credit_Assumptions!$C$5=1,BI191,INDEX(Credit_Input!$L$200:$L$259,BI$4))</f>
        <v/>
      </c>
      <c r="BJ218" s="80">
        <f>IF(Credit_Assumptions!$C$5=1,BJ191,INDEX(Credit_Input!$L$200:$L$259,BJ$4))</f>
        <v/>
      </c>
      <c r="BK218" s="80">
        <f>IF(Credit_Assumptions!$C$5=1,BK191,INDEX(Credit_Input!$L$200:$L$259,BK$4))</f>
        <v/>
      </c>
      <c r="BL218" s="80">
        <f>IF(Credit_Assumptions!$C$5=1,BL191,INDEX(Credit_Input!$L$200:$L$259,BL$4))</f>
        <v/>
      </c>
    </row>
    <row r="219">
      <c r="A219" s="98" t="inlineStr">
        <is>
          <t>Cures (proxy engine: none)</t>
        </is>
      </c>
      <c r="B219" s="65" t="inlineStr">
        <is>
          <t>LCY</t>
        </is>
      </c>
      <c r="C219" s="105">
        <f>SUM(E219:BL219)</f>
        <v/>
      </c>
      <c r="E219" s="80">
        <f>IF(Credit_Assumptions!$C$5=1,E192,INDEX(Credit_Input!$O$200:$O$259,E$4))</f>
        <v/>
      </c>
      <c r="F219" s="80">
        <f>IF(Credit_Assumptions!$C$5=1,F192,INDEX(Credit_Input!$O$200:$O$259,F$4))</f>
        <v/>
      </c>
      <c r="G219" s="80">
        <f>IF(Credit_Assumptions!$C$5=1,G192,INDEX(Credit_Input!$O$200:$O$259,G$4))</f>
        <v/>
      </c>
      <c r="H219" s="80">
        <f>IF(Credit_Assumptions!$C$5=1,H192,INDEX(Credit_Input!$O$200:$O$259,H$4))</f>
        <v/>
      </c>
      <c r="I219" s="80">
        <f>IF(Credit_Assumptions!$C$5=1,I192,INDEX(Credit_Input!$O$200:$O$259,I$4))</f>
        <v/>
      </c>
      <c r="J219" s="80">
        <f>IF(Credit_Assumptions!$C$5=1,J192,INDEX(Credit_Input!$O$200:$O$259,J$4))</f>
        <v/>
      </c>
      <c r="K219" s="80">
        <f>IF(Credit_Assumptions!$C$5=1,K192,INDEX(Credit_Input!$O$200:$O$259,K$4))</f>
        <v/>
      </c>
      <c r="L219" s="80">
        <f>IF(Credit_Assumptions!$C$5=1,L192,INDEX(Credit_Input!$O$200:$O$259,L$4))</f>
        <v/>
      </c>
      <c r="M219" s="80">
        <f>IF(Credit_Assumptions!$C$5=1,M192,INDEX(Credit_Input!$O$200:$O$259,M$4))</f>
        <v/>
      </c>
      <c r="N219" s="80">
        <f>IF(Credit_Assumptions!$C$5=1,N192,INDEX(Credit_Input!$O$200:$O$259,N$4))</f>
        <v/>
      </c>
      <c r="O219" s="80">
        <f>IF(Credit_Assumptions!$C$5=1,O192,INDEX(Credit_Input!$O$200:$O$259,O$4))</f>
        <v/>
      </c>
      <c r="P219" s="80">
        <f>IF(Credit_Assumptions!$C$5=1,P192,INDEX(Credit_Input!$O$200:$O$259,P$4))</f>
        <v/>
      </c>
      <c r="Q219" s="80">
        <f>IF(Credit_Assumptions!$C$5=1,Q192,INDEX(Credit_Input!$O$200:$O$259,Q$4))</f>
        <v/>
      </c>
      <c r="R219" s="80">
        <f>IF(Credit_Assumptions!$C$5=1,R192,INDEX(Credit_Input!$O$200:$O$259,R$4))</f>
        <v/>
      </c>
      <c r="S219" s="80">
        <f>IF(Credit_Assumptions!$C$5=1,S192,INDEX(Credit_Input!$O$200:$O$259,S$4))</f>
        <v/>
      </c>
      <c r="T219" s="80">
        <f>IF(Credit_Assumptions!$C$5=1,T192,INDEX(Credit_Input!$O$200:$O$259,T$4))</f>
        <v/>
      </c>
      <c r="U219" s="80">
        <f>IF(Credit_Assumptions!$C$5=1,U192,INDEX(Credit_Input!$O$200:$O$259,U$4))</f>
        <v/>
      </c>
      <c r="V219" s="80">
        <f>IF(Credit_Assumptions!$C$5=1,V192,INDEX(Credit_Input!$O$200:$O$259,V$4))</f>
        <v/>
      </c>
      <c r="W219" s="80">
        <f>IF(Credit_Assumptions!$C$5=1,W192,INDEX(Credit_Input!$O$200:$O$259,W$4))</f>
        <v/>
      </c>
      <c r="X219" s="80">
        <f>IF(Credit_Assumptions!$C$5=1,X192,INDEX(Credit_Input!$O$200:$O$259,X$4))</f>
        <v/>
      </c>
      <c r="Y219" s="80">
        <f>IF(Credit_Assumptions!$C$5=1,Y192,INDEX(Credit_Input!$O$200:$O$259,Y$4))</f>
        <v/>
      </c>
      <c r="Z219" s="80">
        <f>IF(Credit_Assumptions!$C$5=1,Z192,INDEX(Credit_Input!$O$200:$O$259,Z$4))</f>
        <v/>
      </c>
      <c r="AA219" s="80">
        <f>IF(Credit_Assumptions!$C$5=1,AA192,INDEX(Credit_Input!$O$200:$O$259,AA$4))</f>
        <v/>
      </c>
      <c r="AB219" s="80">
        <f>IF(Credit_Assumptions!$C$5=1,AB192,INDEX(Credit_Input!$O$200:$O$259,AB$4))</f>
        <v/>
      </c>
      <c r="AC219" s="80">
        <f>IF(Credit_Assumptions!$C$5=1,AC192,INDEX(Credit_Input!$O$200:$O$259,AC$4))</f>
        <v/>
      </c>
      <c r="AD219" s="80">
        <f>IF(Credit_Assumptions!$C$5=1,AD192,INDEX(Credit_Input!$O$200:$O$259,AD$4))</f>
        <v/>
      </c>
      <c r="AE219" s="80">
        <f>IF(Credit_Assumptions!$C$5=1,AE192,INDEX(Credit_Input!$O$200:$O$259,AE$4))</f>
        <v/>
      </c>
      <c r="AF219" s="80">
        <f>IF(Credit_Assumptions!$C$5=1,AF192,INDEX(Credit_Input!$O$200:$O$259,AF$4))</f>
        <v/>
      </c>
      <c r="AG219" s="80">
        <f>IF(Credit_Assumptions!$C$5=1,AG192,INDEX(Credit_Input!$O$200:$O$259,AG$4))</f>
        <v/>
      </c>
      <c r="AH219" s="80">
        <f>IF(Credit_Assumptions!$C$5=1,AH192,INDEX(Credit_Input!$O$200:$O$259,AH$4))</f>
        <v/>
      </c>
      <c r="AI219" s="80">
        <f>IF(Credit_Assumptions!$C$5=1,AI192,INDEX(Credit_Input!$O$200:$O$259,AI$4))</f>
        <v/>
      </c>
      <c r="AJ219" s="80">
        <f>IF(Credit_Assumptions!$C$5=1,AJ192,INDEX(Credit_Input!$O$200:$O$259,AJ$4))</f>
        <v/>
      </c>
      <c r="AK219" s="80">
        <f>IF(Credit_Assumptions!$C$5=1,AK192,INDEX(Credit_Input!$O$200:$O$259,AK$4))</f>
        <v/>
      </c>
      <c r="AL219" s="80">
        <f>IF(Credit_Assumptions!$C$5=1,AL192,INDEX(Credit_Input!$O$200:$O$259,AL$4))</f>
        <v/>
      </c>
      <c r="AM219" s="80">
        <f>IF(Credit_Assumptions!$C$5=1,AM192,INDEX(Credit_Input!$O$200:$O$259,AM$4))</f>
        <v/>
      </c>
      <c r="AN219" s="80">
        <f>IF(Credit_Assumptions!$C$5=1,AN192,INDEX(Credit_Input!$O$200:$O$259,AN$4))</f>
        <v/>
      </c>
      <c r="AO219" s="80">
        <f>IF(Credit_Assumptions!$C$5=1,AO192,INDEX(Credit_Input!$O$200:$O$259,AO$4))</f>
        <v/>
      </c>
      <c r="AP219" s="80">
        <f>IF(Credit_Assumptions!$C$5=1,AP192,INDEX(Credit_Input!$O$200:$O$259,AP$4))</f>
        <v/>
      </c>
      <c r="AQ219" s="80">
        <f>IF(Credit_Assumptions!$C$5=1,AQ192,INDEX(Credit_Input!$O$200:$O$259,AQ$4))</f>
        <v/>
      </c>
      <c r="AR219" s="80">
        <f>IF(Credit_Assumptions!$C$5=1,AR192,INDEX(Credit_Input!$O$200:$O$259,AR$4))</f>
        <v/>
      </c>
      <c r="AS219" s="80">
        <f>IF(Credit_Assumptions!$C$5=1,AS192,INDEX(Credit_Input!$O$200:$O$259,AS$4))</f>
        <v/>
      </c>
      <c r="AT219" s="80">
        <f>IF(Credit_Assumptions!$C$5=1,AT192,INDEX(Credit_Input!$O$200:$O$259,AT$4))</f>
        <v/>
      </c>
      <c r="AU219" s="80">
        <f>IF(Credit_Assumptions!$C$5=1,AU192,INDEX(Credit_Input!$O$200:$O$259,AU$4))</f>
        <v/>
      </c>
      <c r="AV219" s="80">
        <f>IF(Credit_Assumptions!$C$5=1,AV192,INDEX(Credit_Input!$O$200:$O$259,AV$4))</f>
        <v/>
      </c>
      <c r="AW219" s="80">
        <f>IF(Credit_Assumptions!$C$5=1,AW192,INDEX(Credit_Input!$O$200:$O$259,AW$4))</f>
        <v/>
      </c>
      <c r="AX219" s="80">
        <f>IF(Credit_Assumptions!$C$5=1,AX192,INDEX(Credit_Input!$O$200:$O$259,AX$4))</f>
        <v/>
      </c>
      <c r="AY219" s="80">
        <f>IF(Credit_Assumptions!$C$5=1,AY192,INDEX(Credit_Input!$O$200:$O$259,AY$4))</f>
        <v/>
      </c>
      <c r="AZ219" s="80">
        <f>IF(Credit_Assumptions!$C$5=1,AZ192,INDEX(Credit_Input!$O$200:$O$259,AZ$4))</f>
        <v/>
      </c>
      <c r="BA219" s="80">
        <f>IF(Credit_Assumptions!$C$5=1,BA192,INDEX(Credit_Input!$O$200:$O$259,BA$4))</f>
        <v/>
      </c>
      <c r="BB219" s="80">
        <f>IF(Credit_Assumptions!$C$5=1,BB192,INDEX(Credit_Input!$O$200:$O$259,BB$4))</f>
        <v/>
      </c>
      <c r="BC219" s="80">
        <f>IF(Credit_Assumptions!$C$5=1,BC192,INDEX(Credit_Input!$O$200:$O$259,BC$4))</f>
        <v/>
      </c>
      <c r="BD219" s="80">
        <f>IF(Credit_Assumptions!$C$5=1,BD192,INDEX(Credit_Input!$O$200:$O$259,BD$4))</f>
        <v/>
      </c>
      <c r="BE219" s="80">
        <f>IF(Credit_Assumptions!$C$5=1,BE192,INDEX(Credit_Input!$O$200:$O$259,BE$4))</f>
        <v/>
      </c>
      <c r="BF219" s="80">
        <f>IF(Credit_Assumptions!$C$5=1,BF192,INDEX(Credit_Input!$O$200:$O$259,BF$4))</f>
        <v/>
      </c>
      <c r="BG219" s="80">
        <f>IF(Credit_Assumptions!$C$5=1,BG192,INDEX(Credit_Input!$O$200:$O$259,BG$4))</f>
        <v/>
      </c>
      <c r="BH219" s="80">
        <f>IF(Credit_Assumptions!$C$5=1,BH192,INDEX(Credit_Input!$O$200:$O$259,BH$4))</f>
        <v/>
      </c>
      <c r="BI219" s="80">
        <f>IF(Credit_Assumptions!$C$5=1,BI192,INDEX(Credit_Input!$O$200:$O$259,BI$4))</f>
        <v/>
      </c>
      <c r="BJ219" s="80">
        <f>IF(Credit_Assumptions!$C$5=1,BJ192,INDEX(Credit_Input!$O$200:$O$259,BJ$4))</f>
        <v/>
      </c>
      <c r="BK219" s="80">
        <f>IF(Credit_Assumptions!$C$5=1,BK192,INDEX(Credit_Input!$O$200:$O$259,BK$4))</f>
        <v/>
      </c>
      <c r="BL219" s="80">
        <f>IF(Credit_Assumptions!$C$5=1,BL192,INDEX(Credit_Input!$O$200:$O$259,BL$4))</f>
        <v/>
      </c>
    </row>
    <row r="220">
      <c r="A220" s="98" t="inlineStr">
        <is>
          <t>Write-offs</t>
        </is>
      </c>
      <c r="B220" s="65" t="inlineStr">
        <is>
          <t>LCY</t>
        </is>
      </c>
      <c r="C220" s="105">
        <f>SUM(E220:BL220)</f>
        <v/>
      </c>
      <c r="E220" s="80">
        <f>IF(Credit_Assumptions!$C$5=1,E193,INDEX(Credit_Input!$P$200:$P$259,E$4))</f>
        <v/>
      </c>
      <c r="F220" s="80">
        <f>IF(Credit_Assumptions!$C$5=1,F193,INDEX(Credit_Input!$P$200:$P$259,F$4))</f>
        <v/>
      </c>
      <c r="G220" s="80">
        <f>IF(Credit_Assumptions!$C$5=1,G193,INDEX(Credit_Input!$P$200:$P$259,G$4))</f>
        <v/>
      </c>
      <c r="H220" s="80">
        <f>IF(Credit_Assumptions!$C$5=1,H193,INDEX(Credit_Input!$P$200:$P$259,H$4))</f>
        <v/>
      </c>
      <c r="I220" s="80">
        <f>IF(Credit_Assumptions!$C$5=1,I193,INDEX(Credit_Input!$P$200:$P$259,I$4))</f>
        <v/>
      </c>
      <c r="J220" s="80">
        <f>IF(Credit_Assumptions!$C$5=1,J193,INDEX(Credit_Input!$P$200:$P$259,J$4))</f>
        <v/>
      </c>
      <c r="K220" s="80">
        <f>IF(Credit_Assumptions!$C$5=1,K193,INDEX(Credit_Input!$P$200:$P$259,K$4))</f>
        <v/>
      </c>
      <c r="L220" s="80">
        <f>IF(Credit_Assumptions!$C$5=1,L193,INDEX(Credit_Input!$P$200:$P$259,L$4))</f>
        <v/>
      </c>
      <c r="M220" s="80">
        <f>IF(Credit_Assumptions!$C$5=1,M193,INDEX(Credit_Input!$P$200:$P$259,M$4))</f>
        <v/>
      </c>
      <c r="N220" s="80">
        <f>IF(Credit_Assumptions!$C$5=1,N193,INDEX(Credit_Input!$P$200:$P$259,N$4))</f>
        <v/>
      </c>
      <c r="O220" s="80">
        <f>IF(Credit_Assumptions!$C$5=1,O193,INDEX(Credit_Input!$P$200:$P$259,O$4))</f>
        <v/>
      </c>
      <c r="P220" s="80">
        <f>IF(Credit_Assumptions!$C$5=1,P193,INDEX(Credit_Input!$P$200:$P$259,P$4))</f>
        <v/>
      </c>
      <c r="Q220" s="80">
        <f>IF(Credit_Assumptions!$C$5=1,Q193,INDEX(Credit_Input!$P$200:$P$259,Q$4))</f>
        <v/>
      </c>
      <c r="R220" s="80">
        <f>IF(Credit_Assumptions!$C$5=1,R193,INDEX(Credit_Input!$P$200:$P$259,R$4))</f>
        <v/>
      </c>
      <c r="S220" s="80">
        <f>IF(Credit_Assumptions!$C$5=1,S193,INDEX(Credit_Input!$P$200:$P$259,S$4))</f>
        <v/>
      </c>
      <c r="T220" s="80">
        <f>IF(Credit_Assumptions!$C$5=1,T193,INDEX(Credit_Input!$P$200:$P$259,T$4))</f>
        <v/>
      </c>
      <c r="U220" s="80">
        <f>IF(Credit_Assumptions!$C$5=1,U193,INDEX(Credit_Input!$P$200:$P$259,U$4))</f>
        <v/>
      </c>
      <c r="V220" s="80">
        <f>IF(Credit_Assumptions!$C$5=1,V193,INDEX(Credit_Input!$P$200:$P$259,V$4))</f>
        <v/>
      </c>
      <c r="W220" s="80">
        <f>IF(Credit_Assumptions!$C$5=1,W193,INDEX(Credit_Input!$P$200:$P$259,W$4))</f>
        <v/>
      </c>
      <c r="X220" s="80">
        <f>IF(Credit_Assumptions!$C$5=1,X193,INDEX(Credit_Input!$P$200:$P$259,X$4))</f>
        <v/>
      </c>
      <c r="Y220" s="80">
        <f>IF(Credit_Assumptions!$C$5=1,Y193,INDEX(Credit_Input!$P$200:$P$259,Y$4))</f>
        <v/>
      </c>
      <c r="Z220" s="80">
        <f>IF(Credit_Assumptions!$C$5=1,Z193,INDEX(Credit_Input!$P$200:$P$259,Z$4))</f>
        <v/>
      </c>
      <c r="AA220" s="80">
        <f>IF(Credit_Assumptions!$C$5=1,AA193,INDEX(Credit_Input!$P$200:$P$259,AA$4))</f>
        <v/>
      </c>
      <c r="AB220" s="80">
        <f>IF(Credit_Assumptions!$C$5=1,AB193,INDEX(Credit_Input!$P$200:$P$259,AB$4))</f>
        <v/>
      </c>
      <c r="AC220" s="80">
        <f>IF(Credit_Assumptions!$C$5=1,AC193,INDEX(Credit_Input!$P$200:$P$259,AC$4))</f>
        <v/>
      </c>
      <c r="AD220" s="80">
        <f>IF(Credit_Assumptions!$C$5=1,AD193,INDEX(Credit_Input!$P$200:$P$259,AD$4))</f>
        <v/>
      </c>
      <c r="AE220" s="80">
        <f>IF(Credit_Assumptions!$C$5=1,AE193,INDEX(Credit_Input!$P$200:$P$259,AE$4))</f>
        <v/>
      </c>
      <c r="AF220" s="80">
        <f>IF(Credit_Assumptions!$C$5=1,AF193,INDEX(Credit_Input!$P$200:$P$259,AF$4))</f>
        <v/>
      </c>
      <c r="AG220" s="80">
        <f>IF(Credit_Assumptions!$C$5=1,AG193,INDEX(Credit_Input!$P$200:$P$259,AG$4))</f>
        <v/>
      </c>
      <c r="AH220" s="80">
        <f>IF(Credit_Assumptions!$C$5=1,AH193,INDEX(Credit_Input!$P$200:$P$259,AH$4))</f>
        <v/>
      </c>
      <c r="AI220" s="80">
        <f>IF(Credit_Assumptions!$C$5=1,AI193,INDEX(Credit_Input!$P$200:$P$259,AI$4))</f>
        <v/>
      </c>
      <c r="AJ220" s="80">
        <f>IF(Credit_Assumptions!$C$5=1,AJ193,INDEX(Credit_Input!$P$200:$P$259,AJ$4))</f>
        <v/>
      </c>
      <c r="AK220" s="80">
        <f>IF(Credit_Assumptions!$C$5=1,AK193,INDEX(Credit_Input!$P$200:$P$259,AK$4))</f>
        <v/>
      </c>
      <c r="AL220" s="80">
        <f>IF(Credit_Assumptions!$C$5=1,AL193,INDEX(Credit_Input!$P$200:$P$259,AL$4))</f>
        <v/>
      </c>
      <c r="AM220" s="80">
        <f>IF(Credit_Assumptions!$C$5=1,AM193,INDEX(Credit_Input!$P$200:$P$259,AM$4))</f>
        <v/>
      </c>
      <c r="AN220" s="80">
        <f>IF(Credit_Assumptions!$C$5=1,AN193,INDEX(Credit_Input!$P$200:$P$259,AN$4))</f>
        <v/>
      </c>
      <c r="AO220" s="80">
        <f>IF(Credit_Assumptions!$C$5=1,AO193,INDEX(Credit_Input!$P$200:$P$259,AO$4))</f>
        <v/>
      </c>
      <c r="AP220" s="80">
        <f>IF(Credit_Assumptions!$C$5=1,AP193,INDEX(Credit_Input!$P$200:$P$259,AP$4))</f>
        <v/>
      </c>
      <c r="AQ220" s="80">
        <f>IF(Credit_Assumptions!$C$5=1,AQ193,INDEX(Credit_Input!$P$200:$P$259,AQ$4))</f>
        <v/>
      </c>
      <c r="AR220" s="80">
        <f>IF(Credit_Assumptions!$C$5=1,AR193,INDEX(Credit_Input!$P$200:$P$259,AR$4))</f>
        <v/>
      </c>
      <c r="AS220" s="80">
        <f>IF(Credit_Assumptions!$C$5=1,AS193,INDEX(Credit_Input!$P$200:$P$259,AS$4))</f>
        <v/>
      </c>
      <c r="AT220" s="80">
        <f>IF(Credit_Assumptions!$C$5=1,AT193,INDEX(Credit_Input!$P$200:$P$259,AT$4))</f>
        <v/>
      </c>
      <c r="AU220" s="80">
        <f>IF(Credit_Assumptions!$C$5=1,AU193,INDEX(Credit_Input!$P$200:$P$259,AU$4))</f>
        <v/>
      </c>
      <c r="AV220" s="80">
        <f>IF(Credit_Assumptions!$C$5=1,AV193,INDEX(Credit_Input!$P$200:$P$259,AV$4))</f>
        <v/>
      </c>
      <c r="AW220" s="80">
        <f>IF(Credit_Assumptions!$C$5=1,AW193,INDEX(Credit_Input!$P$200:$P$259,AW$4))</f>
        <v/>
      </c>
      <c r="AX220" s="80">
        <f>IF(Credit_Assumptions!$C$5=1,AX193,INDEX(Credit_Input!$P$200:$P$259,AX$4))</f>
        <v/>
      </c>
      <c r="AY220" s="80">
        <f>IF(Credit_Assumptions!$C$5=1,AY193,INDEX(Credit_Input!$P$200:$P$259,AY$4))</f>
        <v/>
      </c>
      <c r="AZ220" s="80">
        <f>IF(Credit_Assumptions!$C$5=1,AZ193,INDEX(Credit_Input!$P$200:$P$259,AZ$4))</f>
        <v/>
      </c>
      <c r="BA220" s="80">
        <f>IF(Credit_Assumptions!$C$5=1,BA193,INDEX(Credit_Input!$P$200:$P$259,BA$4))</f>
        <v/>
      </c>
      <c r="BB220" s="80">
        <f>IF(Credit_Assumptions!$C$5=1,BB193,INDEX(Credit_Input!$P$200:$P$259,BB$4))</f>
        <v/>
      </c>
      <c r="BC220" s="80">
        <f>IF(Credit_Assumptions!$C$5=1,BC193,INDEX(Credit_Input!$P$200:$P$259,BC$4))</f>
        <v/>
      </c>
      <c r="BD220" s="80">
        <f>IF(Credit_Assumptions!$C$5=1,BD193,INDEX(Credit_Input!$P$200:$P$259,BD$4))</f>
        <v/>
      </c>
      <c r="BE220" s="80">
        <f>IF(Credit_Assumptions!$C$5=1,BE193,INDEX(Credit_Input!$P$200:$P$259,BE$4))</f>
        <v/>
      </c>
      <c r="BF220" s="80">
        <f>IF(Credit_Assumptions!$C$5=1,BF193,INDEX(Credit_Input!$P$200:$P$259,BF$4))</f>
        <v/>
      </c>
      <c r="BG220" s="80">
        <f>IF(Credit_Assumptions!$C$5=1,BG193,INDEX(Credit_Input!$P$200:$P$259,BG$4))</f>
        <v/>
      </c>
      <c r="BH220" s="80">
        <f>IF(Credit_Assumptions!$C$5=1,BH193,INDEX(Credit_Input!$P$200:$P$259,BH$4))</f>
        <v/>
      </c>
      <c r="BI220" s="80">
        <f>IF(Credit_Assumptions!$C$5=1,BI193,INDEX(Credit_Input!$P$200:$P$259,BI$4))</f>
        <v/>
      </c>
      <c r="BJ220" s="80">
        <f>IF(Credit_Assumptions!$C$5=1,BJ193,INDEX(Credit_Input!$P$200:$P$259,BJ$4))</f>
        <v/>
      </c>
      <c r="BK220" s="80">
        <f>IF(Credit_Assumptions!$C$5=1,BK193,INDEX(Credit_Input!$P$200:$P$259,BK$4))</f>
        <v/>
      </c>
      <c r="BL220" s="80">
        <f>IF(Credit_Assumptions!$C$5=1,BL193,INDEX(Credit_Input!$P$200:$P$259,BL$4))</f>
        <v/>
      </c>
    </row>
    <row r="221">
      <c r="A221" s="98" t="inlineStr">
        <is>
          <t>Collections</t>
        </is>
      </c>
      <c r="B221" s="65" t="inlineStr">
        <is>
          <t>LCY</t>
        </is>
      </c>
      <c r="C221" s="105">
        <f>SUM(E221:BL221)</f>
        <v/>
      </c>
      <c r="E221" s="80">
        <f>IF(Credit_Assumptions!$C$5=1,E194,INDEX(Credit_Input!$Q$200:$Q$259,E$4))</f>
        <v/>
      </c>
      <c r="F221" s="80">
        <f>IF(Credit_Assumptions!$C$5=1,F194,INDEX(Credit_Input!$Q$200:$Q$259,F$4))</f>
        <v/>
      </c>
      <c r="G221" s="80">
        <f>IF(Credit_Assumptions!$C$5=1,G194,INDEX(Credit_Input!$Q$200:$Q$259,G$4))</f>
        <v/>
      </c>
      <c r="H221" s="80">
        <f>IF(Credit_Assumptions!$C$5=1,H194,INDEX(Credit_Input!$Q$200:$Q$259,H$4))</f>
        <v/>
      </c>
      <c r="I221" s="80">
        <f>IF(Credit_Assumptions!$C$5=1,I194,INDEX(Credit_Input!$Q$200:$Q$259,I$4))</f>
        <v/>
      </c>
      <c r="J221" s="80">
        <f>IF(Credit_Assumptions!$C$5=1,J194,INDEX(Credit_Input!$Q$200:$Q$259,J$4))</f>
        <v/>
      </c>
      <c r="K221" s="80">
        <f>IF(Credit_Assumptions!$C$5=1,K194,INDEX(Credit_Input!$Q$200:$Q$259,K$4))</f>
        <v/>
      </c>
      <c r="L221" s="80">
        <f>IF(Credit_Assumptions!$C$5=1,L194,INDEX(Credit_Input!$Q$200:$Q$259,L$4))</f>
        <v/>
      </c>
      <c r="M221" s="80">
        <f>IF(Credit_Assumptions!$C$5=1,M194,INDEX(Credit_Input!$Q$200:$Q$259,M$4))</f>
        <v/>
      </c>
      <c r="N221" s="80">
        <f>IF(Credit_Assumptions!$C$5=1,N194,INDEX(Credit_Input!$Q$200:$Q$259,N$4))</f>
        <v/>
      </c>
      <c r="O221" s="80">
        <f>IF(Credit_Assumptions!$C$5=1,O194,INDEX(Credit_Input!$Q$200:$Q$259,O$4))</f>
        <v/>
      </c>
      <c r="P221" s="80">
        <f>IF(Credit_Assumptions!$C$5=1,P194,INDEX(Credit_Input!$Q$200:$Q$259,P$4))</f>
        <v/>
      </c>
      <c r="Q221" s="80">
        <f>IF(Credit_Assumptions!$C$5=1,Q194,INDEX(Credit_Input!$Q$200:$Q$259,Q$4))</f>
        <v/>
      </c>
      <c r="R221" s="80">
        <f>IF(Credit_Assumptions!$C$5=1,R194,INDEX(Credit_Input!$Q$200:$Q$259,R$4))</f>
        <v/>
      </c>
      <c r="S221" s="80">
        <f>IF(Credit_Assumptions!$C$5=1,S194,INDEX(Credit_Input!$Q$200:$Q$259,S$4))</f>
        <v/>
      </c>
      <c r="T221" s="80">
        <f>IF(Credit_Assumptions!$C$5=1,T194,INDEX(Credit_Input!$Q$200:$Q$259,T$4))</f>
        <v/>
      </c>
      <c r="U221" s="80">
        <f>IF(Credit_Assumptions!$C$5=1,U194,INDEX(Credit_Input!$Q$200:$Q$259,U$4))</f>
        <v/>
      </c>
      <c r="V221" s="80">
        <f>IF(Credit_Assumptions!$C$5=1,V194,INDEX(Credit_Input!$Q$200:$Q$259,V$4))</f>
        <v/>
      </c>
      <c r="W221" s="80">
        <f>IF(Credit_Assumptions!$C$5=1,W194,INDEX(Credit_Input!$Q$200:$Q$259,W$4))</f>
        <v/>
      </c>
      <c r="X221" s="80">
        <f>IF(Credit_Assumptions!$C$5=1,X194,INDEX(Credit_Input!$Q$200:$Q$259,X$4))</f>
        <v/>
      </c>
      <c r="Y221" s="80">
        <f>IF(Credit_Assumptions!$C$5=1,Y194,INDEX(Credit_Input!$Q$200:$Q$259,Y$4))</f>
        <v/>
      </c>
      <c r="Z221" s="80">
        <f>IF(Credit_Assumptions!$C$5=1,Z194,INDEX(Credit_Input!$Q$200:$Q$259,Z$4))</f>
        <v/>
      </c>
      <c r="AA221" s="80">
        <f>IF(Credit_Assumptions!$C$5=1,AA194,INDEX(Credit_Input!$Q$200:$Q$259,AA$4))</f>
        <v/>
      </c>
      <c r="AB221" s="80">
        <f>IF(Credit_Assumptions!$C$5=1,AB194,INDEX(Credit_Input!$Q$200:$Q$259,AB$4))</f>
        <v/>
      </c>
      <c r="AC221" s="80">
        <f>IF(Credit_Assumptions!$C$5=1,AC194,INDEX(Credit_Input!$Q$200:$Q$259,AC$4))</f>
        <v/>
      </c>
      <c r="AD221" s="80">
        <f>IF(Credit_Assumptions!$C$5=1,AD194,INDEX(Credit_Input!$Q$200:$Q$259,AD$4))</f>
        <v/>
      </c>
      <c r="AE221" s="80">
        <f>IF(Credit_Assumptions!$C$5=1,AE194,INDEX(Credit_Input!$Q$200:$Q$259,AE$4))</f>
        <v/>
      </c>
      <c r="AF221" s="80">
        <f>IF(Credit_Assumptions!$C$5=1,AF194,INDEX(Credit_Input!$Q$200:$Q$259,AF$4))</f>
        <v/>
      </c>
      <c r="AG221" s="80">
        <f>IF(Credit_Assumptions!$C$5=1,AG194,INDEX(Credit_Input!$Q$200:$Q$259,AG$4))</f>
        <v/>
      </c>
      <c r="AH221" s="80">
        <f>IF(Credit_Assumptions!$C$5=1,AH194,INDEX(Credit_Input!$Q$200:$Q$259,AH$4))</f>
        <v/>
      </c>
      <c r="AI221" s="80">
        <f>IF(Credit_Assumptions!$C$5=1,AI194,INDEX(Credit_Input!$Q$200:$Q$259,AI$4))</f>
        <v/>
      </c>
      <c r="AJ221" s="80">
        <f>IF(Credit_Assumptions!$C$5=1,AJ194,INDEX(Credit_Input!$Q$200:$Q$259,AJ$4))</f>
        <v/>
      </c>
      <c r="AK221" s="80">
        <f>IF(Credit_Assumptions!$C$5=1,AK194,INDEX(Credit_Input!$Q$200:$Q$259,AK$4))</f>
        <v/>
      </c>
      <c r="AL221" s="80">
        <f>IF(Credit_Assumptions!$C$5=1,AL194,INDEX(Credit_Input!$Q$200:$Q$259,AL$4))</f>
        <v/>
      </c>
      <c r="AM221" s="80">
        <f>IF(Credit_Assumptions!$C$5=1,AM194,INDEX(Credit_Input!$Q$200:$Q$259,AM$4))</f>
        <v/>
      </c>
      <c r="AN221" s="80">
        <f>IF(Credit_Assumptions!$C$5=1,AN194,INDEX(Credit_Input!$Q$200:$Q$259,AN$4))</f>
        <v/>
      </c>
      <c r="AO221" s="80">
        <f>IF(Credit_Assumptions!$C$5=1,AO194,INDEX(Credit_Input!$Q$200:$Q$259,AO$4))</f>
        <v/>
      </c>
      <c r="AP221" s="80">
        <f>IF(Credit_Assumptions!$C$5=1,AP194,INDEX(Credit_Input!$Q$200:$Q$259,AP$4))</f>
        <v/>
      </c>
      <c r="AQ221" s="80">
        <f>IF(Credit_Assumptions!$C$5=1,AQ194,INDEX(Credit_Input!$Q$200:$Q$259,AQ$4))</f>
        <v/>
      </c>
      <c r="AR221" s="80">
        <f>IF(Credit_Assumptions!$C$5=1,AR194,INDEX(Credit_Input!$Q$200:$Q$259,AR$4))</f>
        <v/>
      </c>
      <c r="AS221" s="80">
        <f>IF(Credit_Assumptions!$C$5=1,AS194,INDEX(Credit_Input!$Q$200:$Q$259,AS$4))</f>
        <v/>
      </c>
      <c r="AT221" s="80">
        <f>IF(Credit_Assumptions!$C$5=1,AT194,INDEX(Credit_Input!$Q$200:$Q$259,AT$4))</f>
        <v/>
      </c>
      <c r="AU221" s="80">
        <f>IF(Credit_Assumptions!$C$5=1,AU194,INDEX(Credit_Input!$Q$200:$Q$259,AU$4))</f>
        <v/>
      </c>
      <c r="AV221" s="80">
        <f>IF(Credit_Assumptions!$C$5=1,AV194,INDEX(Credit_Input!$Q$200:$Q$259,AV$4))</f>
        <v/>
      </c>
      <c r="AW221" s="80">
        <f>IF(Credit_Assumptions!$C$5=1,AW194,INDEX(Credit_Input!$Q$200:$Q$259,AW$4))</f>
        <v/>
      </c>
      <c r="AX221" s="80">
        <f>IF(Credit_Assumptions!$C$5=1,AX194,INDEX(Credit_Input!$Q$200:$Q$259,AX$4))</f>
        <v/>
      </c>
      <c r="AY221" s="80">
        <f>IF(Credit_Assumptions!$C$5=1,AY194,INDEX(Credit_Input!$Q$200:$Q$259,AY$4))</f>
        <v/>
      </c>
      <c r="AZ221" s="80">
        <f>IF(Credit_Assumptions!$C$5=1,AZ194,INDEX(Credit_Input!$Q$200:$Q$259,AZ$4))</f>
        <v/>
      </c>
      <c r="BA221" s="80">
        <f>IF(Credit_Assumptions!$C$5=1,BA194,INDEX(Credit_Input!$Q$200:$Q$259,BA$4))</f>
        <v/>
      </c>
      <c r="BB221" s="80">
        <f>IF(Credit_Assumptions!$C$5=1,BB194,INDEX(Credit_Input!$Q$200:$Q$259,BB$4))</f>
        <v/>
      </c>
      <c r="BC221" s="80">
        <f>IF(Credit_Assumptions!$C$5=1,BC194,INDEX(Credit_Input!$Q$200:$Q$259,BC$4))</f>
        <v/>
      </c>
      <c r="BD221" s="80">
        <f>IF(Credit_Assumptions!$C$5=1,BD194,INDEX(Credit_Input!$Q$200:$Q$259,BD$4))</f>
        <v/>
      </c>
      <c r="BE221" s="80">
        <f>IF(Credit_Assumptions!$C$5=1,BE194,INDEX(Credit_Input!$Q$200:$Q$259,BE$4))</f>
        <v/>
      </c>
      <c r="BF221" s="80">
        <f>IF(Credit_Assumptions!$C$5=1,BF194,INDEX(Credit_Input!$Q$200:$Q$259,BF$4))</f>
        <v/>
      </c>
      <c r="BG221" s="80">
        <f>IF(Credit_Assumptions!$C$5=1,BG194,INDEX(Credit_Input!$Q$200:$Q$259,BG$4))</f>
        <v/>
      </c>
      <c r="BH221" s="80">
        <f>IF(Credit_Assumptions!$C$5=1,BH194,INDEX(Credit_Input!$Q$200:$Q$259,BH$4))</f>
        <v/>
      </c>
      <c r="BI221" s="80">
        <f>IF(Credit_Assumptions!$C$5=1,BI194,INDEX(Credit_Input!$Q$200:$Q$259,BI$4))</f>
        <v/>
      </c>
      <c r="BJ221" s="80">
        <f>IF(Credit_Assumptions!$C$5=1,BJ194,INDEX(Credit_Input!$Q$200:$Q$259,BJ$4))</f>
        <v/>
      </c>
      <c r="BK221" s="80">
        <f>IF(Credit_Assumptions!$C$5=1,BK194,INDEX(Credit_Input!$Q$200:$Q$259,BK$4))</f>
        <v/>
      </c>
      <c r="BL221" s="80">
        <f>IF(Credit_Assumptions!$C$5=1,BL194,INDEX(Credit_Input!$Q$200:$Q$259,BL$4))</f>
        <v/>
      </c>
    </row>
    <row r="222">
      <c r="A222" s="98" t="inlineStr">
        <is>
          <t>Instalments due</t>
        </is>
      </c>
      <c r="B222" s="65" t="inlineStr">
        <is>
          <t>LCY</t>
        </is>
      </c>
      <c r="C222" s="105">
        <f>SUM(E222:BL222)</f>
        <v/>
      </c>
      <c r="E222" s="80">
        <f>IF(Credit_Assumptions!$C$5=1,E195,INDEX(Credit_Input!$R$200:$R$259,E$4))</f>
        <v/>
      </c>
      <c r="F222" s="80">
        <f>IF(Credit_Assumptions!$C$5=1,F195,INDEX(Credit_Input!$R$200:$R$259,F$4))</f>
        <v/>
      </c>
      <c r="G222" s="80">
        <f>IF(Credit_Assumptions!$C$5=1,G195,INDEX(Credit_Input!$R$200:$R$259,G$4))</f>
        <v/>
      </c>
      <c r="H222" s="80">
        <f>IF(Credit_Assumptions!$C$5=1,H195,INDEX(Credit_Input!$R$200:$R$259,H$4))</f>
        <v/>
      </c>
      <c r="I222" s="80">
        <f>IF(Credit_Assumptions!$C$5=1,I195,INDEX(Credit_Input!$R$200:$R$259,I$4))</f>
        <v/>
      </c>
      <c r="J222" s="80">
        <f>IF(Credit_Assumptions!$C$5=1,J195,INDEX(Credit_Input!$R$200:$R$259,J$4))</f>
        <v/>
      </c>
      <c r="K222" s="80">
        <f>IF(Credit_Assumptions!$C$5=1,K195,INDEX(Credit_Input!$R$200:$R$259,K$4))</f>
        <v/>
      </c>
      <c r="L222" s="80">
        <f>IF(Credit_Assumptions!$C$5=1,L195,INDEX(Credit_Input!$R$200:$R$259,L$4))</f>
        <v/>
      </c>
      <c r="M222" s="80">
        <f>IF(Credit_Assumptions!$C$5=1,M195,INDEX(Credit_Input!$R$200:$R$259,M$4))</f>
        <v/>
      </c>
      <c r="N222" s="80">
        <f>IF(Credit_Assumptions!$C$5=1,N195,INDEX(Credit_Input!$R$200:$R$259,N$4))</f>
        <v/>
      </c>
      <c r="O222" s="80">
        <f>IF(Credit_Assumptions!$C$5=1,O195,INDEX(Credit_Input!$R$200:$R$259,O$4))</f>
        <v/>
      </c>
      <c r="P222" s="80">
        <f>IF(Credit_Assumptions!$C$5=1,P195,INDEX(Credit_Input!$R$200:$R$259,P$4))</f>
        <v/>
      </c>
      <c r="Q222" s="80">
        <f>IF(Credit_Assumptions!$C$5=1,Q195,INDEX(Credit_Input!$R$200:$R$259,Q$4))</f>
        <v/>
      </c>
      <c r="R222" s="80">
        <f>IF(Credit_Assumptions!$C$5=1,R195,INDEX(Credit_Input!$R$200:$R$259,R$4))</f>
        <v/>
      </c>
      <c r="S222" s="80">
        <f>IF(Credit_Assumptions!$C$5=1,S195,INDEX(Credit_Input!$R$200:$R$259,S$4))</f>
        <v/>
      </c>
      <c r="T222" s="80">
        <f>IF(Credit_Assumptions!$C$5=1,T195,INDEX(Credit_Input!$R$200:$R$259,T$4))</f>
        <v/>
      </c>
      <c r="U222" s="80">
        <f>IF(Credit_Assumptions!$C$5=1,U195,INDEX(Credit_Input!$R$200:$R$259,U$4))</f>
        <v/>
      </c>
      <c r="V222" s="80">
        <f>IF(Credit_Assumptions!$C$5=1,V195,INDEX(Credit_Input!$R$200:$R$259,V$4))</f>
        <v/>
      </c>
      <c r="W222" s="80">
        <f>IF(Credit_Assumptions!$C$5=1,W195,INDEX(Credit_Input!$R$200:$R$259,W$4))</f>
        <v/>
      </c>
      <c r="X222" s="80">
        <f>IF(Credit_Assumptions!$C$5=1,X195,INDEX(Credit_Input!$R$200:$R$259,X$4))</f>
        <v/>
      </c>
      <c r="Y222" s="80">
        <f>IF(Credit_Assumptions!$C$5=1,Y195,INDEX(Credit_Input!$R$200:$R$259,Y$4))</f>
        <v/>
      </c>
      <c r="Z222" s="80">
        <f>IF(Credit_Assumptions!$C$5=1,Z195,INDEX(Credit_Input!$R$200:$R$259,Z$4))</f>
        <v/>
      </c>
      <c r="AA222" s="80">
        <f>IF(Credit_Assumptions!$C$5=1,AA195,INDEX(Credit_Input!$R$200:$R$259,AA$4))</f>
        <v/>
      </c>
      <c r="AB222" s="80">
        <f>IF(Credit_Assumptions!$C$5=1,AB195,INDEX(Credit_Input!$R$200:$R$259,AB$4))</f>
        <v/>
      </c>
      <c r="AC222" s="80">
        <f>IF(Credit_Assumptions!$C$5=1,AC195,INDEX(Credit_Input!$R$200:$R$259,AC$4))</f>
        <v/>
      </c>
      <c r="AD222" s="80">
        <f>IF(Credit_Assumptions!$C$5=1,AD195,INDEX(Credit_Input!$R$200:$R$259,AD$4))</f>
        <v/>
      </c>
      <c r="AE222" s="80">
        <f>IF(Credit_Assumptions!$C$5=1,AE195,INDEX(Credit_Input!$R$200:$R$259,AE$4))</f>
        <v/>
      </c>
      <c r="AF222" s="80">
        <f>IF(Credit_Assumptions!$C$5=1,AF195,INDEX(Credit_Input!$R$200:$R$259,AF$4))</f>
        <v/>
      </c>
      <c r="AG222" s="80">
        <f>IF(Credit_Assumptions!$C$5=1,AG195,INDEX(Credit_Input!$R$200:$R$259,AG$4))</f>
        <v/>
      </c>
      <c r="AH222" s="80">
        <f>IF(Credit_Assumptions!$C$5=1,AH195,INDEX(Credit_Input!$R$200:$R$259,AH$4))</f>
        <v/>
      </c>
      <c r="AI222" s="80">
        <f>IF(Credit_Assumptions!$C$5=1,AI195,INDEX(Credit_Input!$R$200:$R$259,AI$4))</f>
        <v/>
      </c>
      <c r="AJ222" s="80">
        <f>IF(Credit_Assumptions!$C$5=1,AJ195,INDEX(Credit_Input!$R$200:$R$259,AJ$4))</f>
        <v/>
      </c>
      <c r="AK222" s="80">
        <f>IF(Credit_Assumptions!$C$5=1,AK195,INDEX(Credit_Input!$R$200:$R$259,AK$4))</f>
        <v/>
      </c>
      <c r="AL222" s="80">
        <f>IF(Credit_Assumptions!$C$5=1,AL195,INDEX(Credit_Input!$R$200:$R$259,AL$4))</f>
        <v/>
      </c>
      <c r="AM222" s="80">
        <f>IF(Credit_Assumptions!$C$5=1,AM195,INDEX(Credit_Input!$R$200:$R$259,AM$4))</f>
        <v/>
      </c>
      <c r="AN222" s="80">
        <f>IF(Credit_Assumptions!$C$5=1,AN195,INDEX(Credit_Input!$R$200:$R$259,AN$4))</f>
        <v/>
      </c>
      <c r="AO222" s="80">
        <f>IF(Credit_Assumptions!$C$5=1,AO195,INDEX(Credit_Input!$R$200:$R$259,AO$4))</f>
        <v/>
      </c>
      <c r="AP222" s="80">
        <f>IF(Credit_Assumptions!$C$5=1,AP195,INDEX(Credit_Input!$R$200:$R$259,AP$4))</f>
        <v/>
      </c>
      <c r="AQ222" s="80">
        <f>IF(Credit_Assumptions!$C$5=1,AQ195,INDEX(Credit_Input!$R$200:$R$259,AQ$4))</f>
        <v/>
      </c>
      <c r="AR222" s="80">
        <f>IF(Credit_Assumptions!$C$5=1,AR195,INDEX(Credit_Input!$R$200:$R$259,AR$4))</f>
        <v/>
      </c>
      <c r="AS222" s="80">
        <f>IF(Credit_Assumptions!$C$5=1,AS195,INDEX(Credit_Input!$R$200:$R$259,AS$4))</f>
        <v/>
      </c>
      <c r="AT222" s="80">
        <f>IF(Credit_Assumptions!$C$5=1,AT195,INDEX(Credit_Input!$R$200:$R$259,AT$4))</f>
        <v/>
      </c>
      <c r="AU222" s="80">
        <f>IF(Credit_Assumptions!$C$5=1,AU195,INDEX(Credit_Input!$R$200:$R$259,AU$4))</f>
        <v/>
      </c>
      <c r="AV222" s="80">
        <f>IF(Credit_Assumptions!$C$5=1,AV195,INDEX(Credit_Input!$R$200:$R$259,AV$4))</f>
        <v/>
      </c>
      <c r="AW222" s="80">
        <f>IF(Credit_Assumptions!$C$5=1,AW195,INDEX(Credit_Input!$R$200:$R$259,AW$4))</f>
        <v/>
      </c>
      <c r="AX222" s="80">
        <f>IF(Credit_Assumptions!$C$5=1,AX195,INDEX(Credit_Input!$R$200:$R$259,AX$4))</f>
        <v/>
      </c>
      <c r="AY222" s="80">
        <f>IF(Credit_Assumptions!$C$5=1,AY195,INDEX(Credit_Input!$R$200:$R$259,AY$4))</f>
        <v/>
      </c>
      <c r="AZ222" s="80">
        <f>IF(Credit_Assumptions!$C$5=1,AZ195,INDEX(Credit_Input!$R$200:$R$259,AZ$4))</f>
        <v/>
      </c>
      <c r="BA222" s="80">
        <f>IF(Credit_Assumptions!$C$5=1,BA195,INDEX(Credit_Input!$R$200:$R$259,BA$4))</f>
        <v/>
      </c>
      <c r="BB222" s="80">
        <f>IF(Credit_Assumptions!$C$5=1,BB195,INDEX(Credit_Input!$R$200:$R$259,BB$4))</f>
        <v/>
      </c>
      <c r="BC222" s="80">
        <f>IF(Credit_Assumptions!$C$5=1,BC195,INDEX(Credit_Input!$R$200:$R$259,BC$4))</f>
        <v/>
      </c>
      <c r="BD222" s="80">
        <f>IF(Credit_Assumptions!$C$5=1,BD195,INDEX(Credit_Input!$R$200:$R$259,BD$4))</f>
        <v/>
      </c>
      <c r="BE222" s="80">
        <f>IF(Credit_Assumptions!$C$5=1,BE195,INDEX(Credit_Input!$R$200:$R$259,BE$4))</f>
        <v/>
      </c>
      <c r="BF222" s="80">
        <f>IF(Credit_Assumptions!$C$5=1,BF195,INDEX(Credit_Input!$R$200:$R$259,BF$4))</f>
        <v/>
      </c>
      <c r="BG222" s="80">
        <f>IF(Credit_Assumptions!$C$5=1,BG195,INDEX(Credit_Input!$R$200:$R$259,BG$4))</f>
        <v/>
      </c>
      <c r="BH222" s="80">
        <f>IF(Credit_Assumptions!$C$5=1,BH195,INDEX(Credit_Input!$R$200:$R$259,BH$4))</f>
        <v/>
      </c>
      <c r="BI222" s="80">
        <f>IF(Credit_Assumptions!$C$5=1,BI195,INDEX(Credit_Input!$R$200:$R$259,BI$4))</f>
        <v/>
      </c>
      <c r="BJ222" s="80">
        <f>IF(Credit_Assumptions!$C$5=1,BJ195,INDEX(Credit_Input!$R$200:$R$259,BJ$4))</f>
        <v/>
      </c>
      <c r="BK222" s="80">
        <f>IF(Credit_Assumptions!$C$5=1,BK195,INDEX(Credit_Input!$R$200:$R$259,BK$4))</f>
        <v/>
      </c>
      <c r="BL222" s="80">
        <f>IF(Credit_Assumptions!$C$5=1,BL195,INDEX(Credit_Input!$R$200:$R$259,BL$4))</f>
        <v/>
      </c>
    </row>
    <row r="223">
      <c r="A223" s="98" t="inlineStr">
        <is>
          <t>Ownership events (unlocks)</t>
        </is>
      </c>
      <c r="B223" s="65" t="inlineStr">
        <is>
          <t>LCY</t>
        </is>
      </c>
      <c r="C223" s="105">
        <f>SUM(E223:BL223)</f>
        <v/>
      </c>
      <c r="E223" s="80">
        <f>IF(Credit_Assumptions!$C$5=1,E196,INDEX(Credit_Input!$S$200:$S$259,E$4))</f>
        <v/>
      </c>
      <c r="F223" s="80">
        <f>IF(Credit_Assumptions!$C$5=1,F196,INDEX(Credit_Input!$S$200:$S$259,F$4))</f>
        <v/>
      </c>
      <c r="G223" s="80">
        <f>IF(Credit_Assumptions!$C$5=1,G196,INDEX(Credit_Input!$S$200:$S$259,G$4))</f>
        <v/>
      </c>
      <c r="H223" s="80">
        <f>IF(Credit_Assumptions!$C$5=1,H196,INDEX(Credit_Input!$S$200:$S$259,H$4))</f>
        <v/>
      </c>
      <c r="I223" s="80">
        <f>IF(Credit_Assumptions!$C$5=1,I196,INDEX(Credit_Input!$S$200:$S$259,I$4))</f>
        <v/>
      </c>
      <c r="J223" s="80">
        <f>IF(Credit_Assumptions!$C$5=1,J196,INDEX(Credit_Input!$S$200:$S$259,J$4))</f>
        <v/>
      </c>
      <c r="K223" s="80">
        <f>IF(Credit_Assumptions!$C$5=1,K196,INDEX(Credit_Input!$S$200:$S$259,K$4))</f>
        <v/>
      </c>
      <c r="L223" s="80">
        <f>IF(Credit_Assumptions!$C$5=1,L196,INDEX(Credit_Input!$S$200:$S$259,L$4))</f>
        <v/>
      </c>
      <c r="M223" s="80">
        <f>IF(Credit_Assumptions!$C$5=1,M196,INDEX(Credit_Input!$S$200:$S$259,M$4))</f>
        <v/>
      </c>
      <c r="N223" s="80">
        <f>IF(Credit_Assumptions!$C$5=1,N196,INDEX(Credit_Input!$S$200:$S$259,N$4))</f>
        <v/>
      </c>
      <c r="O223" s="80">
        <f>IF(Credit_Assumptions!$C$5=1,O196,INDEX(Credit_Input!$S$200:$S$259,O$4))</f>
        <v/>
      </c>
      <c r="P223" s="80">
        <f>IF(Credit_Assumptions!$C$5=1,P196,INDEX(Credit_Input!$S$200:$S$259,P$4))</f>
        <v/>
      </c>
      <c r="Q223" s="80">
        <f>IF(Credit_Assumptions!$C$5=1,Q196,INDEX(Credit_Input!$S$200:$S$259,Q$4))</f>
        <v/>
      </c>
      <c r="R223" s="80">
        <f>IF(Credit_Assumptions!$C$5=1,R196,INDEX(Credit_Input!$S$200:$S$259,R$4))</f>
        <v/>
      </c>
      <c r="S223" s="80">
        <f>IF(Credit_Assumptions!$C$5=1,S196,INDEX(Credit_Input!$S$200:$S$259,S$4))</f>
        <v/>
      </c>
      <c r="T223" s="80">
        <f>IF(Credit_Assumptions!$C$5=1,T196,INDEX(Credit_Input!$S$200:$S$259,T$4))</f>
        <v/>
      </c>
      <c r="U223" s="80">
        <f>IF(Credit_Assumptions!$C$5=1,U196,INDEX(Credit_Input!$S$200:$S$259,U$4))</f>
        <v/>
      </c>
      <c r="V223" s="80">
        <f>IF(Credit_Assumptions!$C$5=1,V196,INDEX(Credit_Input!$S$200:$S$259,V$4))</f>
        <v/>
      </c>
      <c r="W223" s="80">
        <f>IF(Credit_Assumptions!$C$5=1,W196,INDEX(Credit_Input!$S$200:$S$259,W$4))</f>
        <v/>
      </c>
      <c r="X223" s="80">
        <f>IF(Credit_Assumptions!$C$5=1,X196,INDEX(Credit_Input!$S$200:$S$259,X$4))</f>
        <v/>
      </c>
      <c r="Y223" s="80">
        <f>IF(Credit_Assumptions!$C$5=1,Y196,INDEX(Credit_Input!$S$200:$S$259,Y$4))</f>
        <v/>
      </c>
      <c r="Z223" s="80">
        <f>IF(Credit_Assumptions!$C$5=1,Z196,INDEX(Credit_Input!$S$200:$S$259,Z$4))</f>
        <v/>
      </c>
      <c r="AA223" s="80">
        <f>IF(Credit_Assumptions!$C$5=1,AA196,INDEX(Credit_Input!$S$200:$S$259,AA$4))</f>
        <v/>
      </c>
      <c r="AB223" s="80">
        <f>IF(Credit_Assumptions!$C$5=1,AB196,INDEX(Credit_Input!$S$200:$S$259,AB$4))</f>
        <v/>
      </c>
      <c r="AC223" s="80">
        <f>IF(Credit_Assumptions!$C$5=1,AC196,INDEX(Credit_Input!$S$200:$S$259,AC$4))</f>
        <v/>
      </c>
      <c r="AD223" s="80">
        <f>IF(Credit_Assumptions!$C$5=1,AD196,INDEX(Credit_Input!$S$200:$S$259,AD$4))</f>
        <v/>
      </c>
      <c r="AE223" s="80">
        <f>IF(Credit_Assumptions!$C$5=1,AE196,INDEX(Credit_Input!$S$200:$S$259,AE$4))</f>
        <v/>
      </c>
      <c r="AF223" s="80">
        <f>IF(Credit_Assumptions!$C$5=1,AF196,INDEX(Credit_Input!$S$200:$S$259,AF$4))</f>
        <v/>
      </c>
      <c r="AG223" s="80">
        <f>IF(Credit_Assumptions!$C$5=1,AG196,INDEX(Credit_Input!$S$200:$S$259,AG$4))</f>
        <v/>
      </c>
      <c r="AH223" s="80">
        <f>IF(Credit_Assumptions!$C$5=1,AH196,INDEX(Credit_Input!$S$200:$S$259,AH$4))</f>
        <v/>
      </c>
      <c r="AI223" s="80">
        <f>IF(Credit_Assumptions!$C$5=1,AI196,INDEX(Credit_Input!$S$200:$S$259,AI$4))</f>
        <v/>
      </c>
      <c r="AJ223" s="80">
        <f>IF(Credit_Assumptions!$C$5=1,AJ196,INDEX(Credit_Input!$S$200:$S$259,AJ$4))</f>
        <v/>
      </c>
      <c r="AK223" s="80">
        <f>IF(Credit_Assumptions!$C$5=1,AK196,INDEX(Credit_Input!$S$200:$S$259,AK$4))</f>
        <v/>
      </c>
      <c r="AL223" s="80">
        <f>IF(Credit_Assumptions!$C$5=1,AL196,INDEX(Credit_Input!$S$200:$S$259,AL$4))</f>
        <v/>
      </c>
      <c r="AM223" s="80">
        <f>IF(Credit_Assumptions!$C$5=1,AM196,INDEX(Credit_Input!$S$200:$S$259,AM$4))</f>
        <v/>
      </c>
      <c r="AN223" s="80">
        <f>IF(Credit_Assumptions!$C$5=1,AN196,INDEX(Credit_Input!$S$200:$S$259,AN$4))</f>
        <v/>
      </c>
      <c r="AO223" s="80">
        <f>IF(Credit_Assumptions!$C$5=1,AO196,INDEX(Credit_Input!$S$200:$S$259,AO$4))</f>
        <v/>
      </c>
      <c r="AP223" s="80">
        <f>IF(Credit_Assumptions!$C$5=1,AP196,INDEX(Credit_Input!$S$200:$S$259,AP$4))</f>
        <v/>
      </c>
      <c r="AQ223" s="80">
        <f>IF(Credit_Assumptions!$C$5=1,AQ196,INDEX(Credit_Input!$S$200:$S$259,AQ$4))</f>
        <v/>
      </c>
      <c r="AR223" s="80">
        <f>IF(Credit_Assumptions!$C$5=1,AR196,INDEX(Credit_Input!$S$200:$S$259,AR$4))</f>
        <v/>
      </c>
      <c r="AS223" s="80">
        <f>IF(Credit_Assumptions!$C$5=1,AS196,INDEX(Credit_Input!$S$200:$S$259,AS$4))</f>
        <v/>
      </c>
      <c r="AT223" s="80">
        <f>IF(Credit_Assumptions!$C$5=1,AT196,INDEX(Credit_Input!$S$200:$S$259,AT$4))</f>
        <v/>
      </c>
      <c r="AU223" s="80">
        <f>IF(Credit_Assumptions!$C$5=1,AU196,INDEX(Credit_Input!$S$200:$S$259,AU$4))</f>
        <v/>
      </c>
      <c r="AV223" s="80">
        <f>IF(Credit_Assumptions!$C$5=1,AV196,INDEX(Credit_Input!$S$200:$S$259,AV$4))</f>
        <v/>
      </c>
      <c r="AW223" s="80">
        <f>IF(Credit_Assumptions!$C$5=1,AW196,INDEX(Credit_Input!$S$200:$S$259,AW$4))</f>
        <v/>
      </c>
      <c r="AX223" s="80">
        <f>IF(Credit_Assumptions!$C$5=1,AX196,INDEX(Credit_Input!$S$200:$S$259,AX$4))</f>
        <v/>
      </c>
      <c r="AY223" s="80">
        <f>IF(Credit_Assumptions!$C$5=1,AY196,INDEX(Credit_Input!$S$200:$S$259,AY$4))</f>
        <v/>
      </c>
      <c r="AZ223" s="80">
        <f>IF(Credit_Assumptions!$C$5=1,AZ196,INDEX(Credit_Input!$S$200:$S$259,AZ$4))</f>
        <v/>
      </c>
      <c r="BA223" s="80">
        <f>IF(Credit_Assumptions!$C$5=1,BA196,INDEX(Credit_Input!$S$200:$S$259,BA$4))</f>
        <v/>
      </c>
      <c r="BB223" s="80">
        <f>IF(Credit_Assumptions!$C$5=1,BB196,INDEX(Credit_Input!$S$200:$S$259,BB$4))</f>
        <v/>
      </c>
      <c r="BC223" s="80">
        <f>IF(Credit_Assumptions!$C$5=1,BC196,INDEX(Credit_Input!$S$200:$S$259,BC$4))</f>
        <v/>
      </c>
      <c r="BD223" s="80">
        <f>IF(Credit_Assumptions!$C$5=1,BD196,INDEX(Credit_Input!$S$200:$S$259,BD$4))</f>
        <v/>
      </c>
      <c r="BE223" s="80">
        <f>IF(Credit_Assumptions!$C$5=1,BE196,INDEX(Credit_Input!$S$200:$S$259,BE$4))</f>
        <v/>
      </c>
      <c r="BF223" s="80">
        <f>IF(Credit_Assumptions!$C$5=1,BF196,INDEX(Credit_Input!$S$200:$S$259,BF$4))</f>
        <v/>
      </c>
      <c r="BG223" s="80">
        <f>IF(Credit_Assumptions!$C$5=1,BG196,INDEX(Credit_Input!$S$200:$S$259,BG$4))</f>
        <v/>
      </c>
      <c r="BH223" s="80">
        <f>IF(Credit_Assumptions!$C$5=1,BH196,INDEX(Credit_Input!$S$200:$S$259,BH$4))</f>
        <v/>
      </c>
      <c r="BI223" s="80">
        <f>IF(Credit_Assumptions!$C$5=1,BI196,INDEX(Credit_Input!$S$200:$S$259,BI$4))</f>
        <v/>
      </c>
      <c r="BJ223" s="80">
        <f>IF(Credit_Assumptions!$C$5=1,BJ196,INDEX(Credit_Input!$S$200:$S$259,BJ$4))</f>
        <v/>
      </c>
      <c r="BK223" s="80">
        <f>IF(Credit_Assumptions!$C$5=1,BK196,INDEX(Credit_Input!$S$200:$S$259,BK$4))</f>
        <v/>
      </c>
      <c r="BL223" s="80">
        <f>IF(Credit_Assumptions!$C$5=1,BL196,INDEX(Credit_Input!$S$200:$S$259,BL$4))</f>
        <v/>
      </c>
    </row>
    <row r="224">
      <c r="A224" s="98" t="inlineStr">
        <is>
          <t>Observed repayment rate (collections / due)</t>
        </is>
      </c>
      <c r="B224" s="65" t="inlineStr">
        <is>
          <t>%</t>
        </is>
      </c>
      <c r="E224" s="81">
        <f>IF(E222=0,0,E221/E222)</f>
        <v/>
      </c>
      <c r="F224" s="81">
        <f>IF(F222=0,0,F221/F222)</f>
        <v/>
      </c>
      <c r="G224" s="81">
        <f>IF(G222=0,0,G221/G222)</f>
        <v/>
      </c>
      <c r="H224" s="81">
        <f>IF(H222=0,0,H221/H222)</f>
        <v/>
      </c>
      <c r="I224" s="81">
        <f>IF(I222=0,0,I221/I222)</f>
        <v/>
      </c>
      <c r="J224" s="81">
        <f>IF(J222=0,0,J221/J222)</f>
        <v/>
      </c>
      <c r="K224" s="81">
        <f>IF(K222=0,0,K221/K222)</f>
        <v/>
      </c>
      <c r="L224" s="81">
        <f>IF(L222=0,0,L221/L222)</f>
        <v/>
      </c>
      <c r="M224" s="81">
        <f>IF(M222=0,0,M221/M222)</f>
        <v/>
      </c>
      <c r="N224" s="81">
        <f>IF(N222=0,0,N221/N222)</f>
        <v/>
      </c>
      <c r="O224" s="81">
        <f>IF(O222=0,0,O221/O222)</f>
        <v/>
      </c>
      <c r="P224" s="81">
        <f>IF(P222=0,0,P221/P222)</f>
        <v/>
      </c>
      <c r="Q224" s="81">
        <f>IF(Q222=0,0,Q221/Q222)</f>
        <v/>
      </c>
      <c r="R224" s="81">
        <f>IF(R222=0,0,R221/R222)</f>
        <v/>
      </c>
      <c r="S224" s="81">
        <f>IF(S222=0,0,S221/S222)</f>
        <v/>
      </c>
      <c r="T224" s="81">
        <f>IF(T222=0,0,T221/T222)</f>
        <v/>
      </c>
      <c r="U224" s="81">
        <f>IF(U222=0,0,U221/U222)</f>
        <v/>
      </c>
      <c r="V224" s="81">
        <f>IF(V222=0,0,V221/V222)</f>
        <v/>
      </c>
      <c r="W224" s="81">
        <f>IF(W222=0,0,W221/W222)</f>
        <v/>
      </c>
      <c r="X224" s="81">
        <f>IF(X222=0,0,X221/X222)</f>
        <v/>
      </c>
      <c r="Y224" s="81">
        <f>IF(Y222=0,0,Y221/Y222)</f>
        <v/>
      </c>
      <c r="Z224" s="81">
        <f>IF(Z222=0,0,Z221/Z222)</f>
        <v/>
      </c>
      <c r="AA224" s="81">
        <f>IF(AA222=0,0,AA221/AA222)</f>
        <v/>
      </c>
      <c r="AB224" s="81">
        <f>IF(AB222=0,0,AB221/AB222)</f>
        <v/>
      </c>
      <c r="AC224" s="81">
        <f>IF(AC222=0,0,AC221/AC222)</f>
        <v/>
      </c>
      <c r="AD224" s="81">
        <f>IF(AD222=0,0,AD221/AD222)</f>
        <v/>
      </c>
      <c r="AE224" s="81">
        <f>IF(AE222=0,0,AE221/AE222)</f>
        <v/>
      </c>
      <c r="AF224" s="81">
        <f>IF(AF222=0,0,AF221/AF222)</f>
        <v/>
      </c>
      <c r="AG224" s="81">
        <f>IF(AG222=0,0,AG221/AG222)</f>
        <v/>
      </c>
      <c r="AH224" s="81">
        <f>IF(AH222=0,0,AH221/AH222)</f>
        <v/>
      </c>
      <c r="AI224" s="81">
        <f>IF(AI222=0,0,AI221/AI222)</f>
        <v/>
      </c>
      <c r="AJ224" s="81">
        <f>IF(AJ222=0,0,AJ221/AJ222)</f>
        <v/>
      </c>
      <c r="AK224" s="81">
        <f>IF(AK222=0,0,AK221/AK222)</f>
        <v/>
      </c>
      <c r="AL224" s="81">
        <f>IF(AL222=0,0,AL221/AL222)</f>
        <v/>
      </c>
      <c r="AM224" s="81">
        <f>IF(AM222=0,0,AM221/AM222)</f>
        <v/>
      </c>
      <c r="AN224" s="81">
        <f>IF(AN222=0,0,AN221/AN222)</f>
        <v/>
      </c>
      <c r="AO224" s="81">
        <f>IF(AO222=0,0,AO221/AO222)</f>
        <v/>
      </c>
      <c r="AP224" s="81">
        <f>IF(AP222=0,0,AP221/AP222)</f>
        <v/>
      </c>
      <c r="AQ224" s="81">
        <f>IF(AQ222=0,0,AQ221/AQ222)</f>
        <v/>
      </c>
      <c r="AR224" s="81">
        <f>IF(AR222=0,0,AR221/AR222)</f>
        <v/>
      </c>
      <c r="AS224" s="81">
        <f>IF(AS222=0,0,AS221/AS222)</f>
        <v/>
      </c>
      <c r="AT224" s="81">
        <f>IF(AT222=0,0,AT221/AT222)</f>
        <v/>
      </c>
      <c r="AU224" s="81">
        <f>IF(AU222=0,0,AU221/AU222)</f>
        <v/>
      </c>
      <c r="AV224" s="81">
        <f>IF(AV222=0,0,AV221/AV222)</f>
        <v/>
      </c>
      <c r="AW224" s="81">
        <f>IF(AW222=0,0,AW221/AW222)</f>
        <v/>
      </c>
      <c r="AX224" s="81">
        <f>IF(AX222=0,0,AX221/AX222)</f>
        <v/>
      </c>
      <c r="AY224" s="81">
        <f>IF(AY222=0,0,AY221/AY222)</f>
        <v/>
      </c>
      <c r="AZ224" s="81">
        <f>IF(AZ222=0,0,AZ221/AZ222)</f>
        <v/>
      </c>
      <c r="BA224" s="81">
        <f>IF(BA222=0,0,BA221/BA222)</f>
        <v/>
      </c>
      <c r="BB224" s="81">
        <f>IF(BB222=0,0,BB221/BB222)</f>
        <v/>
      </c>
      <c r="BC224" s="81">
        <f>IF(BC222=0,0,BC221/BC222)</f>
        <v/>
      </c>
      <c r="BD224" s="81">
        <f>IF(BD222=0,0,BD221/BD222)</f>
        <v/>
      </c>
      <c r="BE224" s="81">
        <f>IF(BE222=0,0,BE221/BE222)</f>
        <v/>
      </c>
      <c r="BF224" s="81">
        <f>IF(BF222=0,0,BF221/BF222)</f>
        <v/>
      </c>
      <c r="BG224" s="81">
        <f>IF(BG222=0,0,BG221/BG222)</f>
        <v/>
      </c>
      <c r="BH224" s="81">
        <f>IF(BH222=0,0,BH221/BH222)</f>
        <v/>
      </c>
      <c r="BI224" s="81">
        <f>IF(BI222=0,0,BI221/BI222)</f>
        <v/>
      </c>
      <c r="BJ224" s="81">
        <f>IF(BJ222=0,0,BJ221/BJ222)</f>
        <v/>
      </c>
      <c r="BK224" s="81">
        <f>IF(BK222=0,0,BK221/BK222)</f>
        <v/>
      </c>
      <c r="BL224" s="81">
        <f>IF(BL222=0,0,BL221/BL222)</f>
        <v/>
      </c>
    </row>
    <row r="225">
      <c r="A225" s="98" t="inlineStr">
        <is>
          <t>12-month PD proxy (NOT an audited IFRS 9 PD)</t>
        </is>
      </c>
      <c r="B225" s="65" t="inlineStr">
        <is>
          <t>%</t>
        </is>
      </c>
      <c r="E225" s="81">
        <f>IF(Credit_Assumptions!$C$5=1,E198,IFERROR(SUM(E220:E220)/AVERAGE(E206:E206),0))</f>
        <v/>
      </c>
      <c r="F225" s="81">
        <f>IF(Credit_Assumptions!$C$5=1,F198,IFERROR(SUM(E220:F220)/AVERAGE(E206:F206),0))</f>
        <v/>
      </c>
      <c r="G225" s="81">
        <f>IF(Credit_Assumptions!$C$5=1,G198,IFERROR(SUM(E220:G220)/AVERAGE(E206:G206),0))</f>
        <v/>
      </c>
      <c r="H225" s="81">
        <f>IF(Credit_Assumptions!$C$5=1,H198,IFERROR(SUM(E220:H220)/AVERAGE(E206:H206),0))</f>
        <v/>
      </c>
      <c r="I225" s="81">
        <f>IF(Credit_Assumptions!$C$5=1,I198,IFERROR(SUM(E220:I220)/AVERAGE(E206:I206),0))</f>
        <v/>
      </c>
      <c r="J225" s="81">
        <f>IF(Credit_Assumptions!$C$5=1,J198,IFERROR(SUM(E220:J220)/AVERAGE(E206:J206),0))</f>
        <v/>
      </c>
      <c r="K225" s="81">
        <f>IF(Credit_Assumptions!$C$5=1,K198,IFERROR(SUM(E220:K220)/AVERAGE(E206:K206),0))</f>
        <v/>
      </c>
      <c r="L225" s="81">
        <f>IF(Credit_Assumptions!$C$5=1,L198,IFERROR(SUM(E220:L220)/AVERAGE(E206:L206),0))</f>
        <v/>
      </c>
      <c r="M225" s="81">
        <f>IF(Credit_Assumptions!$C$5=1,M198,IFERROR(SUM(E220:M220)/AVERAGE(E206:M206),0))</f>
        <v/>
      </c>
      <c r="N225" s="81">
        <f>IF(Credit_Assumptions!$C$5=1,N198,IFERROR(SUM(E220:N220)/AVERAGE(E206:N206),0))</f>
        <v/>
      </c>
      <c r="O225" s="81">
        <f>IF(Credit_Assumptions!$C$5=1,O198,IFERROR(SUM(E220:O220)/AVERAGE(E206:O206),0))</f>
        <v/>
      </c>
      <c r="P225" s="81">
        <f>IF(Credit_Assumptions!$C$5=1,P198,IFERROR(SUM(E220:P220)/AVERAGE(E206:P206),0))</f>
        <v/>
      </c>
      <c r="Q225" s="81">
        <f>IF(Credit_Assumptions!$C$5=1,Q198,IFERROR(SUM(F220:Q220)/AVERAGE(F206:Q206),0))</f>
        <v/>
      </c>
      <c r="R225" s="81">
        <f>IF(Credit_Assumptions!$C$5=1,R198,IFERROR(SUM(G220:R220)/AVERAGE(G206:R206),0))</f>
        <v/>
      </c>
      <c r="S225" s="81">
        <f>IF(Credit_Assumptions!$C$5=1,S198,IFERROR(SUM(H220:S220)/AVERAGE(H206:S206),0))</f>
        <v/>
      </c>
      <c r="T225" s="81">
        <f>IF(Credit_Assumptions!$C$5=1,T198,IFERROR(SUM(I220:T220)/AVERAGE(I206:T206),0))</f>
        <v/>
      </c>
      <c r="U225" s="81">
        <f>IF(Credit_Assumptions!$C$5=1,U198,IFERROR(SUM(J220:U220)/AVERAGE(J206:U206),0))</f>
        <v/>
      </c>
      <c r="V225" s="81">
        <f>IF(Credit_Assumptions!$C$5=1,V198,IFERROR(SUM(K220:V220)/AVERAGE(K206:V206),0))</f>
        <v/>
      </c>
      <c r="W225" s="81">
        <f>IF(Credit_Assumptions!$C$5=1,W198,IFERROR(SUM(L220:W220)/AVERAGE(L206:W206),0))</f>
        <v/>
      </c>
      <c r="X225" s="81">
        <f>IF(Credit_Assumptions!$C$5=1,X198,IFERROR(SUM(M220:X220)/AVERAGE(M206:X206),0))</f>
        <v/>
      </c>
      <c r="Y225" s="81">
        <f>IF(Credit_Assumptions!$C$5=1,Y198,IFERROR(SUM(N220:Y220)/AVERAGE(N206:Y206),0))</f>
        <v/>
      </c>
      <c r="Z225" s="81">
        <f>IF(Credit_Assumptions!$C$5=1,Z198,IFERROR(SUM(O220:Z220)/AVERAGE(O206:Z206),0))</f>
        <v/>
      </c>
      <c r="AA225" s="81">
        <f>IF(Credit_Assumptions!$C$5=1,AA198,IFERROR(SUM(P220:AA220)/AVERAGE(P206:AA206),0))</f>
        <v/>
      </c>
      <c r="AB225" s="81">
        <f>IF(Credit_Assumptions!$C$5=1,AB198,IFERROR(SUM(Q220:AB220)/AVERAGE(Q206:AB206),0))</f>
        <v/>
      </c>
      <c r="AC225" s="81">
        <f>IF(Credit_Assumptions!$C$5=1,AC198,IFERROR(SUM(R220:AC220)/AVERAGE(R206:AC206),0))</f>
        <v/>
      </c>
      <c r="AD225" s="81">
        <f>IF(Credit_Assumptions!$C$5=1,AD198,IFERROR(SUM(S220:AD220)/AVERAGE(S206:AD206),0))</f>
        <v/>
      </c>
      <c r="AE225" s="81">
        <f>IF(Credit_Assumptions!$C$5=1,AE198,IFERROR(SUM(T220:AE220)/AVERAGE(T206:AE206),0))</f>
        <v/>
      </c>
      <c r="AF225" s="81">
        <f>IF(Credit_Assumptions!$C$5=1,AF198,IFERROR(SUM(U220:AF220)/AVERAGE(U206:AF206),0))</f>
        <v/>
      </c>
      <c r="AG225" s="81">
        <f>IF(Credit_Assumptions!$C$5=1,AG198,IFERROR(SUM(V220:AG220)/AVERAGE(V206:AG206),0))</f>
        <v/>
      </c>
      <c r="AH225" s="81">
        <f>IF(Credit_Assumptions!$C$5=1,AH198,IFERROR(SUM(W220:AH220)/AVERAGE(W206:AH206),0))</f>
        <v/>
      </c>
      <c r="AI225" s="81">
        <f>IF(Credit_Assumptions!$C$5=1,AI198,IFERROR(SUM(X220:AI220)/AVERAGE(X206:AI206),0))</f>
        <v/>
      </c>
      <c r="AJ225" s="81">
        <f>IF(Credit_Assumptions!$C$5=1,AJ198,IFERROR(SUM(Y220:AJ220)/AVERAGE(Y206:AJ206),0))</f>
        <v/>
      </c>
      <c r="AK225" s="81">
        <f>IF(Credit_Assumptions!$C$5=1,AK198,IFERROR(SUM(Z220:AK220)/AVERAGE(Z206:AK206),0))</f>
        <v/>
      </c>
      <c r="AL225" s="81">
        <f>IF(Credit_Assumptions!$C$5=1,AL198,IFERROR(SUM(AA220:AL220)/AVERAGE(AA206:AL206),0))</f>
        <v/>
      </c>
      <c r="AM225" s="81">
        <f>IF(Credit_Assumptions!$C$5=1,AM198,IFERROR(SUM(AB220:AM220)/AVERAGE(AB206:AM206),0))</f>
        <v/>
      </c>
      <c r="AN225" s="81">
        <f>IF(Credit_Assumptions!$C$5=1,AN198,IFERROR(SUM(AC220:AN220)/AVERAGE(AC206:AN206),0))</f>
        <v/>
      </c>
      <c r="AO225" s="81">
        <f>IF(Credit_Assumptions!$C$5=1,AO198,IFERROR(SUM(AD220:AO220)/AVERAGE(AD206:AO206),0))</f>
        <v/>
      </c>
      <c r="AP225" s="81">
        <f>IF(Credit_Assumptions!$C$5=1,AP198,IFERROR(SUM(AE220:AP220)/AVERAGE(AE206:AP206),0))</f>
        <v/>
      </c>
      <c r="AQ225" s="81">
        <f>IF(Credit_Assumptions!$C$5=1,AQ198,IFERROR(SUM(AF220:AQ220)/AVERAGE(AF206:AQ206),0))</f>
        <v/>
      </c>
      <c r="AR225" s="81">
        <f>IF(Credit_Assumptions!$C$5=1,AR198,IFERROR(SUM(AG220:AR220)/AVERAGE(AG206:AR206),0))</f>
        <v/>
      </c>
      <c r="AS225" s="81">
        <f>IF(Credit_Assumptions!$C$5=1,AS198,IFERROR(SUM(AH220:AS220)/AVERAGE(AH206:AS206),0))</f>
        <v/>
      </c>
      <c r="AT225" s="81">
        <f>IF(Credit_Assumptions!$C$5=1,AT198,IFERROR(SUM(AI220:AT220)/AVERAGE(AI206:AT206),0))</f>
        <v/>
      </c>
      <c r="AU225" s="81">
        <f>IF(Credit_Assumptions!$C$5=1,AU198,IFERROR(SUM(AJ220:AU220)/AVERAGE(AJ206:AU206),0))</f>
        <v/>
      </c>
      <c r="AV225" s="81">
        <f>IF(Credit_Assumptions!$C$5=1,AV198,IFERROR(SUM(AK220:AV220)/AVERAGE(AK206:AV206),0))</f>
        <v/>
      </c>
      <c r="AW225" s="81">
        <f>IF(Credit_Assumptions!$C$5=1,AW198,IFERROR(SUM(AL220:AW220)/AVERAGE(AL206:AW206),0))</f>
        <v/>
      </c>
      <c r="AX225" s="81">
        <f>IF(Credit_Assumptions!$C$5=1,AX198,IFERROR(SUM(AM220:AX220)/AVERAGE(AM206:AX206),0))</f>
        <v/>
      </c>
      <c r="AY225" s="81">
        <f>IF(Credit_Assumptions!$C$5=1,AY198,IFERROR(SUM(AN220:AY220)/AVERAGE(AN206:AY206),0))</f>
        <v/>
      </c>
      <c r="AZ225" s="81">
        <f>IF(Credit_Assumptions!$C$5=1,AZ198,IFERROR(SUM(AO220:AZ220)/AVERAGE(AO206:AZ206),0))</f>
        <v/>
      </c>
      <c r="BA225" s="81">
        <f>IF(Credit_Assumptions!$C$5=1,BA198,IFERROR(SUM(AP220:BA220)/AVERAGE(AP206:BA206),0))</f>
        <v/>
      </c>
      <c r="BB225" s="81">
        <f>IF(Credit_Assumptions!$C$5=1,BB198,IFERROR(SUM(AQ220:BB220)/AVERAGE(AQ206:BB206),0))</f>
        <v/>
      </c>
      <c r="BC225" s="81">
        <f>IF(Credit_Assumptions!$C$5=1,BC198,IFERROR(SUM(AR220:BC220)/AVERAGE(AR206:BC206),0))</f>
        <v/>
      </c>
      <c r="BD225" s="81">
        <f>IF(Credit_Assumptions!$C$5=1,BD198,IFERROR(SUM(AS220:BD220)/AVERAGE(AS206:BD206),0))</f>
        <v/>
      </c>
      <c r="BE225" s="81">
        <f>IF(Credit_Assumptions!$C$5=1,BE198,IFERROR(SUM(AT220:BE220)/AVERAGE(AT206:BE206),0))</f>
        <v/>
      </c>
      <c r="BF225" s="81">
        <f>IF(Credit_Assumptions!$C$5=1,BF198,IFERROR(SUM(AU220:BF220)/AVERAGE(AU206:BF206),0))</f>
        <v/>
      </c>
      <c r="BG225" s="81">
        <f>IF(Credit_Assumptions!$C$5=1,BG198,IFERROR(SUM(AV220:BG220)/AVERAGE(AV206:BG206),0))</f>
        <v/>
      </c>
      <c r="BH225" s="81">
        <f>IF(Credit_Assumptions!$C$5=1,BH198,IFERROR(SUM(AW220:BH220)/AVERAGE(AW206:BH206),0))</f>
        <v/>
      </c>
      <c r="BI225" s="81">
        <f>IF(Credit_Assumptions!$C$5=1,BI198,IFERROR(SUM(AX220:BI220)/AVERAGE(AX206:BI206),0))</f>
        <v/>
      </c>
      <c r="BJ225" s="81">
        <f>IF(Credit_Assumptions!$C$5=1,BJ198,IFERROR(SUM(AY220:BJ220)/AVERAGE(AY206:BJ206),0))</f>
        <v/>
      </c>
      <c r="BK225" s="81">
        <f>IF(Credit_Assumptions!$C$5=1,BK198,IFERROR(SUM(AZ220:BK220)/AVERAGE(AZ206:BK206),0))</f>
        <v/>
      </c>
      <c r="BL225" s="81">
        <f>IF(Credit_Assumptions!$C$5=1,BL198,IFERROR(SUM(BA220:BL220)/AVERAGE(BA206:BL206),0))</f>
        <v/>
      </c>
    </row>
    <row r="226">
      <c r="A226" s="98" t="inlineStr">
        <is>
          <t>LGD proxy</t>
        </is>
      </c>
      <c r="B226" s="65" t="inlineStr">
        <is>
          <t>%</t>
        </is>
      </c>
      <c r="E226" s="81">
        <f>IF(Credit_Assumptions!$C$5=1,E199,IFERROR(MAX(0,MIN(1,1-(SUM(E216:E216)-SUM(E217:E217))/SUM(E220:E220))),E199))</f>
        <v/>
      </c>
      <c r="F226" s="81">
        <f>IF(Credit_Assumptions!$C$5=1,F199,IFERROR(MAX(0,MIN(1,1-(SUM(E216:F216)-SUM(E217:F217))/SUM(E220:F220))),F199))</f>
        <v/>
      </c>
      <c r="G226" s="81">
        <f>IF(Credit_Assumptions!$C$5=1,G199,IFERROR(MAX(0,MIN(1,1-(SUM(E216:G216)-SUM(E217:G217))/SUM(E220:G220))),G199))</f>
        <v/>
      </c>
      <c r="H226" s="81">
        <f>IF(Credit_Assumptions!$C$5=1,H199,IFERROR(MAX(0,MIN(1,1-(SUM(E216:H216)-SUM(E217:H217))/SUM(E220:H220))),H199))</f>
        <v/>
      </c>
      <c r="I226" s="81">
        <f>IF(Credit_Assumptions!$C$5=1,I199,IFERROR(MAX(0,MIN(1,1-(SUM(E216:I216)-SUM(E217:I217))/SUM(E220:I220))),I199))</f>
        <v/>
      </c>
      <c r="J226" s="81">
        <f>IF(Credit_Assumptions!$C$5=1,J199,IFERROR(MAX(0,MIN(1,1-(SUM(E216:J216)-SUM(E217:J217))/SUM(E220:J220))),J199))</f>
        <v/>
      </c>
      <c r="K226" s="81">
        <f>IF(Credit_Assumptions!$C$5=1,K199,IFERROR(MAX(0,MIN(1,1-(SUM(E216:K216)-SUM(E217:K217))/SUM(E220:K220))),K199))</f>
        <v/>
      </c>
      <c r="L226" s="81">
        <f>IF(Credit_Assumptions!$C$5=1,L199,IFERROR(MAX(0,MIN(1,1-(SUM(E216:L216)-SUM(E217:L217))/SUM(E220:L220))),L199))</f>
        <v/>
      </c>
      <c r="M226" s="81">
        <f>IF(Credit_Assumptions!$C$5=1,M199,IFERROR(MAX(0,MIN(1,1-(SUM(E216:M216)-SUM(E217:M217))/SUM(E220:M220))),M199))</f>
        <v/>
      </c>
      <c r="N226" s="81">
        <f>IF(Credit_Assumptions!$C$5=1,N199,IFERROR(MAX(0,MIN(1,1-(SUM(E216:N216)-SUM(E217:N217))/SUM(E220:N220))),N199))</f>
        <v/>
      </c>
      <c r="O226" s="81">
        <f>IF(Credit_Assumptions!$C$5=1,O199,IFERROR(MAX(0,MIN(1,1-(SUM(E216:O216)-SUM(E217:O217))/SUM(E220:O220))),O199))</f>
        <v/>
      </c>
      <c r="P226" s="81">
        <f>IF(Credit_Assumptions!$C$5=1,P199,IFERROR(MAX(0,MIN(1,1-(SUM(E216:P216)-SUM(E217:P217))/SUM(E220:P220))),P199))</f>
        <v/>
      </c>
      <c r="Q226" s="81">
        <f>IF(Credit_Assumptions!$C$5=1,Q199,IFERROR(MAX(0,MIN(1,1-(SUM(F216:Q216)-SUM(F217:Q217))/SUM(F220:Q220))),Q199))</f>
        <v/>
      </c>
      <c r="R226" s="81">
        <f>IF(Credit_Assumptions!$C$5=1,R199,IFERROR(MAX(0,MIN(1,1-(SUM(G216:R216)-SUM(G217:R217))/SUM(G220:R220))),R199))</f>
        <v/>
      </c>
      <c r="S226" s="81">
        <f>IF(Credit_Assumptions!$C$5=1,S199,IFERROR(MAX(0,MIN(1,1-(SUM(H216:S216)-SUM(H217:S217))/SUM(H220:S220))),S199))</f>
        <v/>
      </c>
      <c r="T226" s="81">
        <f>IF(Credit_Assumptions!$C$5=1,T199,IFERROR(MAX(0,MIN(1,1-(SUM(I216:T216)-SUM(I217:T217))/SUM(I220:T220))),T199))</f>
        <v/>
      </c>
      <c r="U226" s="81">
        <f>IF(Credit_Assumptions!$C$5=1,U199,IFERROR(MAX(0,MIN(1,1-(SUM(J216:U216)-SUM(J217:U217))/SUM(J220:U220))),U199))</f>
        <v/>
      </c>
      <c r="V226" s="81">
        <f>IF(Credit_Assumptions!$C$5=1,V199,IFERROR(MAX(0,MIN(1,1-(SUM(K216:V216)-SUM(K217:V217))/SUM(K220:V220))),V199))</f>
        <v/>
      </c>
      <c r="W226" s="81">
        <f>IF(Credit_Assumptions!$C$5=1,W199,IFERROR(MAX(0,MIN(1,1-(SUM(L216:W216)-SUM(L217:W217))/SUM(L220:W220))),W199))</f>
        <v/>
      </c>
      <c r="X226" s="81">
        <f>IF(Credit_Assumptions!$C$5=1,X199,IFERROR(MAX(0,MIN(1,1-(SUM(M216:X216)-SUM(M217:X217))/SUM(M220:X220))),X199))</f>
        <v/>
      </c>
      <c r="Y226" s="81">
        <f>IF(Credit_Assumptions!$C$5=1,Y199,IFERROR(MAX(0,MIN(1,1-(SUM(N216:Y216)-SUM(N217:Y217))/SUM(N220:Y220))),Y199))</f>
        <v/>
      </c>
      <c r="Z226" s="81">
        <f>IF(Credit_Assumptions!$C$5=1,Z199,IFERROR(MAX(0,MIN(1,1-(SUM(O216:Z216)-SUM(O217:Z217))/SUM(O220:Z220))),Z199))</f>
        <v/>
      </c>
      <c r="AA226" s="81">
        <f>IF(Credit_Assumptions!$C$5=1,AA199,IFERROR(MAX(0,MIN(1,1-(SUM(P216:AA216)-SUM(P217:AA217))/SUM(P220:AA220))),AA199))</f>
        <v/>
      </c>
      <c r="AB226" s="81">
        <f>IF(Credit_Assumptions!$C$5=1,AB199,IFERROR(MAX(0,MIN(1,1-(SUM(Q216:AB216)-SUM(Q217:AB217))/SUM(Q220:AB220))),AB199))</f>
        <v/>
      </c>
      <c r="AC226" s="81">
        <f>IF(Credit_Assumptions!$C$5=1,AC199,IFERROR(MAX(0,MIN(1,1-(SUM(R216:AC216)-SUM(R217:AC217))/SUM(R220:AC220))),AC199))</f>
        <v/>
      </c>
      <c r="AD226" s="81">
        <f>IF(Credit_Assumptions!$C$5=1,AD199,IFERROR(MAX(0,MIN(1,1-(SUM(S216:AD216)-SUM(S217:AD217))/SUM(S220:AD220))),AD199))</f>
        <v/>
      </c>
      <c r="AE226" s="81">
        <f>IF(Credit_Assumptions!$C$5=1,AE199,IFERROR(MAX(0,MIN(1,1-(SUM(T216:AE216)-SUM(T217:AE217))/SUM(T220:AE220))),AE199))</f>
        <v/>
      </c>
      <c r="AF226" s="81">
        <f>IF(Credit_Assumptions!$C$5=1,AF199,IFERROR(MAX(0,MIN(1,1-(SUM(U216:AF216)-SUM(U217:AF217))/SUM(U220:AF220))),AF199))</f>
        <v/>
      </c>
      <c r="AG226" s="81">
        <f>IF(Credit_Assumptions!$C$5=1,AG199,IFERROR(MAX(0,MIN(1,1-(SUM(V216:AG216)-SUM(V217:AG217))/SUM(V220:AG220))),AG199))</f>
        <v/>
      </c>
      <c r="AH226" s="81">
        <f>IF(Credit_Assumptions!$C$5=1,AH199,IFERROR(MAX(0,MIN(1,1-(SUM(W216:AH216)-SUM(W217:AH217))/SUM(W220:AH220))),AH199))</f>
        <v/>
      </c>
      <c r="AI226" s="81">
        <f>IF(Credit_Assumptions!$C$5=1,AI199,IFERROR(MAX(0,MIN(1,1-(SUM(X216:AI216)-SUM(X217:AI217))/SUM(X220:AI220))),AI199))</f>
        <v/>
      </c>
      <c r="AJ226" s="81">
        <f>IF(Credit_Assumptions!$C$5=1,AJ199,IFERROR(MAX(0,MIN(1,1-(SUM(Y216:AJ216)-SUM(Y217:AJ217))/SUM(Y220:AJ220))),AJ199))</f>
        <v/>
      </c>
      <c r="AK226" s="81">
        <f>IF(Credit_Assumptions!$C$5=1,AK199,IFERROR(MAX(0,MIN(1,1-(SUM(Z216:AK216)-SUM(Z217:AK217))/SUM(Z220:AK220))),AK199))</f>
        <v/>
      </c>
      <c r="AL226" s="81">
        <f>IF(Credit_Assumptions!$C$5=1,AL199,IFERROR(MAX(0,MIN(1,1-(SUM(AA216:AL216)-SUM(AA217:AL217))/SUM(AA220:AL220))),AL199))</f>
        <v/>
      </c>
      <c r="AM226" s="81">
        <f>IF(Credit_Assumptions!$C$5=1,AM199,IFERROR(MAX(0,MIN(1,1-(SUM(AB216:AM216)-SUM(AB217:AM217))/SUM(AB220:AM220))),AM199))</f>
        <v/>
      </c>
      <c r="AN226" s="81">
        <f>IF(Credit_Assumptions!$C$5=1,AN199,IFERROR(MAX(0,MIN(1,1-(SUM(AC216:AN216)-SUM(AC217:AN217))/SUM(AC220:AN220))),AN199))</f>
        <v/>
      </c>
      <c r="AO226" s="81">
        <f>IF(Credit_Assumptions!$C$5=1,AO199,IFERROR(MAX(0,MIN(1,1-(SUM(AD216:AO216)-SUM(AD217:AO217))/SUM(AD220:AO220))),AO199))</f>
        <v/>
      </c>
      <c r="AP226" s="81">
        <f>IF(Credit_Assumptions!$C$5=1,AP199,IFERROR(MAX(0,MIN(1,1-(SUM(AE216:AP216)-SUM(AE217:AP217))/SUM(AE220:AP220))),AP199))</f>
        <v/>
      </c>
      <c r="AQ226" s="81">
        <f>IF(Credit_Assumptions!$C$5=1,AQ199,IFERROR(MAX(0,MIN(1,1-(SUM(AF216:AQ216)-SUM(AF217:AQ217))/SUM(AF220:AQ220))),AQ199))</f>
        <v/>
      </c>
      <c r="AR226" s="81">
        <f>IF(Credit_Assumptions!$C$5=1,AR199,IFERROR(MAX(0,MIN(1,1-(SUM(AG216:AR216)-SUM(AG217:AR217))/SUM(AG220:AR220))),AR199))</f>
        <v/>
      </c>
      <c r="AS226" s="81">
        <f>IF(Credit_Assumptions!$C$5=1,AS199,IFERROR(MAX(0,MIN(1,1-(SUM(AH216:AS216)-SUM(AH217:AS217))/SUM(AH220:AS220))),AS199))</f>
        <v/>
      </c>
      <c r="AT226" s="81">
        <f>IF(Credit_Assumptions!$C$5=1,AT199,IFERROR(MAX(0,MIN(1,1-(SUM(AI216:AT216)-SUM(AI217:AT217))/SUM(AI220:AT220))),AT199))</f>
        <v/>
      </c>
      <c r="AU226" s="81">
        <f>IF(Credit_Assumptions!$C$5=1,AU199,IFERROR(MAX(0,MIN(1,1-(SUM(AJ216:AU216)-SUM(AJ217:AU217))/SUM(AJ220:AU220))),AU199))</f>
        <v/>
      </c>
      <c r="AV226" s="81">
        <f>IF(Credit_Assumptions!$C$5=1,AV199,IFERROR(MAX(0,MIN(1,1-(SUM(AK216:AV216)-SUM(AK217:AV217))/SUM(AK220:AV220))),AV199))</f>
        <v/>
      </c>
      <c r="AW226" s="81">
        <f>IF(Credit_Assumptions!$C$5=1,AW199,IFERROR(MAX(0,MIN(1,1-(SUM(AL216:AW216)-SUM(AL217:AW217))/SUM(AL220:AW220))),AW199))</f>
        <v/>
      </c>
      <c r="AX226" s="81">
        <f>IF(Credit_Assumptions!$C$5=1,AX199,IFERROR(MAX(0,MIN(1,1-(SUM(AM216:AX216)-SUM(AM217:AX217))/SUM(AM220:AX220))),AX199))</f>
        <v/>
      </c>
      <c r="AY226" s="81">
        <f>IF(Credit_Assumptions!$C$5=1,AY199,IFERROR(MAX(0,MIN(1,1-(SUM(AN216:AY216)-SUM(AN217:AY217))/SUM(AN220:AY220))),AY199))</f>
        <v/>
      </c>
      <c r="AZ226" s="81">
        <f>IF(Credit_Assumptions!$C$5=1,AZ199,IFERROR(MAX(0,MIN(1,1-(SUM(AO216:AZ216)-SUM(AO217:AZ217))/SUM(AO220:AZ220))),AZ199))</f>
        <v/>
      </c>
      <c r="BA226" s="81">
        <f>IF(Credit_Assumptions!$C$5=1,BA199,IFERROR(MAX(0,MIN(1,1-(SUM(AP216:BA216)-SUM(AP217:BA217))/SUM(AP220:BA220))),BA199))</f>
        <v/>
      </c>
      <c r="BB226" s="81">
        <f>IF(Credit_Assumptions!$C$5=1,BB199,IFERROR(MAX(0,MIN(1,1-(SUM(AQ216:BB216)-SUM(AQ217:BB217))/SUM(AQ220:BB220))),BB199))</f>
        <v/>
      </c>
      <c r="BC226" s="81">
        <f>IF(Credit_Assumptions!$C$5=1,BC199,IFERROR(MAX(0,MIN(1,1-(SUM(AR216:BC216)-SUM(AR217:BC217))/SUM(AR220:BC220))),BC199))</f>
        <v/>
      </c>
      <c r="BD226" s="81">
        <f>IF(Credit_Assumptions!$C$5=1,BD199,IFERROR(MAX(0,MIN(1,1-(SUM(AS216:BD216)-SUM(AS217:BD217))/SUM(AS220:BD220))),BD199))</f>
        <v/>
      </c>
      <c r="BE226" s="81">
        <f>IF(Credit_Assumptions!$C$5=1,BE199,IFERROR(MAX(0,MIN(1,1-(SUM(AT216:BE216)-SUM(AT217:BE217))/SUM(AT220:BE220))),BE199))</f>
        <v/>
      </c>
      <c r="BF226" s="81">
        <f>IF(Credit_Assumptions!$C$5=1,BF199,IFERROR(MAX(0,MIN(1,1-(SUM(AU216:BF216)-SUM(AU217:BF217))/SUM(AU220:BF220))),BF199))</f>
        <v/>
      </c>
      <c r="BG226" s="81">
        <f>IF(Credit_Assumptions!$C$5=1,BG199,IFERROR(MAX(0,MIN(1,1-(SUM(AV216:BG216)-SUM(AV217:BG217))/SUM(AV220:BG220))),BG199))</f>
        <v/>
      </c>
      <c r="BH226" s="81">
        <f>IF(Credit_Assumptions!$C$5=1,BH199,IFERROR(MAX(0,MIN(1,1-(SUM(AW216:BH216)-SUM(AW217:BH217))/SUM(AW220:BH220))),BH199))</f>
        <v/>
      </c>
      <c r="BI226" s="81">
        <f>IF(Credit_Assumptions!$C$5=1,BI199,IFERROR(MAX(0,MIN(1,1-(SUM(AX216:BI216)-SUM(AX217:BI217))/SUM(AX220:BI220))),BI199))</f>
        <v/>
      </c>
      <c r="BJ226" s="81">
        <f>IF(Credit_Assumptions!$C$5=1,BJ199,IFERROR(MAX(0,MIN(1,1-(SUM(AY216:BJ216)-SUM(AY217:BJ217))/SUM(AY220:BJ220))),BJ199))</f>
        <v/>
      </c>
      <c r="BK226" s="81">
        <f>IF(Credit_Assumptions!$C$5=1,BK199,IFERROR(MAX(0,MIN(1,1-(SUM(AZ216:BK216)-SUM(AZ217:BK217))/SUM(AZ220:BK220))),BK199))</f>
        <v/>
      </c>
      <c r="BL226" s="81">
        <f>IF(Credit_Assumptions!$C$5=1,BL199,IFERROR(MAX(0,MIN(1,1-(SUM(BA216:BL216)-SUM(BA217:BL217))/SUM(BA220:BL220))),BL199))</f>
        <v/>
      </c>
    </row>
    <row r="227">
      <c r="A227" s="98" t="inlineStr">
        <is>
          <t>Indicative stage-based ECL (diagnostic, not booked)</t>
        </is>
      </c>
      <c r="B227" s="65" t="inlineStr">
        <is>
          <t>LCY</t>
        </is>
      </c>
      <c r="C227" s="105">
        <f>BL227</f>
        <v/>
      </c>
      <c r="E227" s="80">
        <f>E207*CHOOSE(Credit_Assumptions!$D$28,E225*E226*(1+Credit_Assumptions!$C$17)^-0.5,(1-Credit_Assumptions!$C$16)*E226*(1+Credit_Assumptions!$C$17)^-0.5,E226)+E208*CHOOSE(Credit_Assumptions!$D$29,E225*E226*(1+Credit_Assumptions!$C$17)^-0.5,(1-Credit_Assumptions!$C$16)*E226*(1+Credit_Assumptions!$C$17)^-0.5,E226)+E209*CHOOSE(Credit_Assumptions!$D$30,E225*E226*(1+Credit_Assumptions!$C$17)^-0.5,(1-Credit_Assumptions!$C$16)*E226*(1+Credit_Assumptions!$C$17)^-0.5,E226)+E210*CHOOSE(Credit_Assumptions!$D$31,E225*E226*(1+Credit_Assumptions!$C$17)^-0.5,(1-Credit_Assumptions!$C$16)*E226*(1+Credit_Assumptions!$C$17)^-0.5,E226)+E211*CHOOSE(Credit_Assumptions!$D$32,E225*E226*(1+Credit_Assumptions!$C$17)^-0.5,(1-Credit_Assumptions!$C$16)*E226*(1+Credit_Assumptions!$C$17)^-0.5,E226)+E212*CHOOSE(Credit_Assumptions!$D$33,E225*E226*(1+Credit_Assumptions!$C$17)^-0.5,(1-Credit_Assumptions!$C$16)*E226*(1+Credit_Assumptions!$C$17)^-0.5,E226)</f>
        <v/>
      </c>
      <c r="F227" s="80">
        <f>F207*CHOOSE(Credit_Assumptions!$D$28,F225*F226*(1+Credit_Assumptions!$C$17)^-0.5,(1-Credit_Assumptions!$C$16)*F226*(1+Credit_Assumptions!$C$17)^-0.5,F226)+F208*CHOOSE(Credit_Assumptions!$D$29,F225*F226*(1+Credit_Assumptions!$C$17)^-0.5,(1-Credit_Assumptions!$C$16)*F226*(1+Credit_Assumptions!$C$17)^-0.5,F226)+F209*CHOOSE(Credit_Assumptions!$D$30,F225*F226*(1+Credit_Assumptions!$C$17)^-0.5,(1-Credit_Assumptions!$C$16)*F226*(1+Credit_Assumptions!$C$17)^-0.5,F226)+F210*CHOOSE(Credit_Assumptions!$D$31,F225*F226*(1+Credit_Assumptions!$C$17)^-0.5,(1-Credit_Assumptions!$C$16)*F226*(1+Credit_Assumptions!$C$17)^-0.5,F226)+F211*CHOOSE(Credit_Assumptions!$D$32,F225*F226*(1+Credit_Assumptions!$C$17)^-0.5,(1-Credit_Assumptions!$C$16)*F226*(1+Credit_Assumptions!$C$17)^-0.5,F226)+F212*CHOOSE(Credit_Assumptions!$D$33,F225*F226*(1+Credit_Assumptions!$C$17)^-0.5,(1-Credit_Assumptions!$C$16)*F226*(1+Credit_Assumptions!$C$17)^-0.5,F226)</f>
        <v/>
      </c>
      <c r="G227" s="80">
        <f>G207*CHOOSE(Credit_Assumptions!$D$28,G225*G226*(1+Credit_Assumptions!$C$17)^-0.5,(1-Credit_Assumptions!$C$16)*G226*(1+Credit_Assumptions!$C$17)^-0.5,G226)+G208*CHOOSE(Credit_Assumptions!$D$29,G225*G226*(1+Credit_Assumptions!$C$17)^-0.5,(1-Credit_Assumptions!$C$16)*G226*(1+Credit_Assumptions!$C$17)^-0.5,G226)+G209*CHOOSE(Credit_Assumptions!$D$30,G225*G226*(1+Credit_Assumptions!$C$17)^-0.5,(1-Credit_Assumptions!$C$16)*G226*(1+Credit_Assumptions!$C$17)^-0.5,G226)+G210*CHOOSE(Credit_Assumptions!$D$31,G225*G226*(1+Credit_Assumptions!$C$17)^-0.5,(1-Credit_Assumptions!$C$16)*G226*(1+Credit_Assumptions!$C$17)^-0.5,G226)+G211*CHOOSE(Credit_Assumptions!$D$32,G225*G226*(1+Credit_Assumptions!$C$17)^-0.5,(1-Credit_Assumptions!$C$16)*G226*(1+Credit_Assumptions!$C$17)^-0.5,G226)+G212*CHOOSE(Credit_Assumptions!$D$33,G225*G226*(1+Credit_Assumptions!$C$17)^-0.5,(1-Credit_Assumptions!$C$16)*G226*(1+Credit_Assumptions!$C$17)^-0.5,G226)</f>
        <v/>
      </c>
      <c r="H227" s="80">
        <f>H207*CHOOSE(Credit_Assumptions!$D$28,H225*H226*(1+Credit_Assumptions!$C$17)^-0.5,(1-Credit_Assumptions!$C$16)*H226*(1+Credit_Assumptions!$C$17)^-0.5,H226)+H208*CHOOSE(Credit_Assumptions!$D$29,H225*H226*(1+Credit_Assumptions!$C$17)^-0.5,(1-Credit_Assumptions!$C$16)*H226*(1+Credit_Assumptions!$C$17)^-0.5,H226)+H209*CHOOSE(Credit_Assumptions!$D$30,H225*H226*(1+Credit_Assumptions!$C$17)^-0.5,(1-Credit_Assumptions!$C$16)*H226*(1+Credit_Assumptions!$C$17)^-0.5,H226)+H210*CHOOSE(Credit_Assumptions!$D$31,H225*H226*(1+Credit_Assumptions!$C$17)^-0.5,(1-Credit_Assumptions!$C$16)*H226*(1+Credit_Assumptions!$C$17)^-0.5,H226)+H211*CHOOSE(Credit_Assumptions!$D$32,H225*H226*(1+Credit_Assumptions!$C$17)^-0.5,(1-Credit_Assumptions!$C$16)*H226*(1+Credit_Assumptions!$C$17)^-0.5,H226)+H212*CHOOSE(Credit_Assumptions!$D$33,H225*H226*(1+Credit_Assumptions!$C$17)^-0.5,(1-Credit_Assumptions!$C$16)*H226*(1+Credit_Assumptions!$C$17)^-0.5,H226)</f>
        <v/>
      </c>
      <c r="I227" s="80">
        <f>I207*CHOOSE(Credit_Assumptions!$D$28,I225*I226*(1+Credit_Assumptions!$C$17)^-0.5,(1-Credit_Assumptions!$C$16)*I226*(1+Credit_Assumptions!$C$17)^-0.5,I226)+I208*CHOOSE(Credit_Assumptions!$D$29,I225*I226*(1+Credit_Assumptions!$C$17)^-0.5,(1-Credit_Assumptions!$C$16)*I226*(1+Credit_Assumptions!$C$17)^-0.5,I226)+I209*CHOOSE(Credit_Assumptions!$D$30,I225*I226*(1+Credit_Assumptions!$C$17)^-0.5,(1-Credit_Assumptions!$C$16)*I226*(1+Credit_Assumptions!$C$17)^-0.5,I226)+I210*CHOOSE(Credit_Assumptions!$D$31,I225*I226*(1+Credit_Assumptions!$C$17)^-0.5,(1-Credit_Assumptions!$C$16)*I226*(1+Credit_Assumptions!$C$17)^-0.5,I226)+I211*CHOOSE(Credit_Assumptions!$D$32,I225*I226*(1+Credit_Assumptions!$C$17)^-0.5,(1-Credit_Assumptions!$C$16)*I226*(1+Credit_Assumptions!$C$17)^-0.5,I226)+I212*CHOOSE(Credit_Assumptions!$D$33,I225*I226*(1+Credit_Assumptions!$C$17)^-0.5,(1-Credit_Assumptions!$C$16)*I226*(1+Credit_Assumptions!$C$17)^-0.5,I226)</f>
        <v/>
      </c>
      <c r="J227" s="80">
        <f>J207*CHOOSE(Credit_Assumptions!$D$28,J225*J226*(1+Credit_Assumptions!$C$17)^-0.5,(1-Credit_Assumptions!$C$16)*J226*(1+Credit_Assumptions!$C$17)^-0.5,J226)+J208*CHOOSE(Credit_Assumptions!$D$29,J225*J226*(1+Credit_Assumptions!$C$17)^-0.5,(1-Credit_Assumptions!$C$16)*J226*(1+Credit_Assumptions!$C$17)^-0.5,J226)+J209*CHOOSE(Credit_Assumptions!$D$30,J225*J226*(1+Credit_Assumptions!$C$17)^-0.5,(1-Credit_Assumptions!$C$16)*J226*(1+Credit_Assumptions!$C$17)^-0.5,J226)+J210*CHOOSE(Credit_Assumptions!$D$31,J225*J226*(1+Credit_Assumptions!$C$17)^-0.5,(1-Credit_Assumptions!$C$16)*J226*(1+Credit_Assumptions!$C$17)^-0.5,J226)+J211*CHOOSE(Credit_Assumptions!$D$32,J225*J226*(1+Credit_Assumptions!$C$17)^-0.5,(1-Credit_Assumptions!$C$16)*J226*(1+Credit_Assumptions!$C$17)^-0.5,J226)+J212*CHOOSE(Credit_Assumptions!$D$33,J225*J226*(1+Credit_Assumptions!$C$17)^-0.5,(1-Credit_Assumptions!$C$16)*J226*(1+Credit_Assumptions!$C$17)^-0.5,J226)</f>
        <v/>
      </c>
      <c r="K227" s="80">
        <f>K207*CHOOSE(Credit_Assumptions!$D$28,K225*K226*(1+Credit_Assumptions!$C$17)^-0.5,(1-Credit_Assumptions!$C$16)*K226*(1+Credit_Assumptions!$C$17)^-0.5,K226)+K208*CHOOSE(Credit_Assumptions!$D$29,K225*K226*(1+Credit_Assumptions!$C$17)^-0.5,(1-Credit_Assumptions!$C$16)*K226*(1+Credit_Assumptions!$C$17)^-0.5,K226)+K209*CHOOSE(Credit_Assumptions!$D$30,K225*K226*(1+Credit_Assumptions!$C$17)^-0.5,(1-Credit_Assumptions!$C$16)*K226*(1+Credit_Assumptions!$C$17)^-0.5,K226)+K210*CHOOSE(Credit_Assumptions!$D$31,K225*K226*(1+Credit_Assumptions!$C$17)^-0.5,(1-Credit_Assumptions!$C$16)*K226*(1+Credit_Assumptions!$C$17)^-0.5,K226)+K211*CHOOSE(Credit_Assumptions!$D$32,K225*K226*(1+Credit_Assumptions!$C$17)^-0.5,(1-Credit_Assumptions!$C$16)*K226*(1+Credit_Assumptions!$C$17)^-0.5,K226)+K212*CHOOSE(Credit_Assumptions!$D$33,K225*K226*(1+Credit_Assumptions!$C$17)^-0.5,(1-Credit_Assumptions!$C$16)*K226*(1+Credit_Assumptions!$C$17)^-0.5,K226)</f>
        <v/>
      </c>
      <c r="L227" s="80">
        <f>L207*CHOOSE(Credit_Assumptions!$D$28,L225*L226*(1+Credit_Assumptions!$C$17)^-0.5,(1-Credit_Assumptions!$C$16)*L226*(1+Credit_Assumptions!$C$17)^-0.5,L226)+L208*CHOOSE(Credit_Assumptions!$D$29,L225*L226*(1+Credit_Assumptions!$C$17)^-0.5,(1-Credit_Assumptions!$C$16)*L226*(1+Credit_Assumptions!$C$17)^-0.5,L226)+L209*CHOOSE(Credit_Assumptions!$D$30,L225*L226*(1+Credit_Assumptions!$C$17)^-0.5,(1-Credit_Assumptions!$C$16)*L226*(1+Credit_Assumptions!$C$17)^-0.5,L226)+L210*CHOOSE(Credit_Assumptions!$D$31,L225*L226*(1+Credit_Assumptions!$C$17)^-0.5,(1-Credit_Assumptions!$C$16)*L226*(1+Credit_Assumptions!$C$17)^-0.5,L226)+L211*CHOOSE(Credit_Assumptions!$D$32,L225*L226*(1+Credit_Assumptions!$C$17)^-0.5,(1-Credit_Assumptions!$C$16)*L226*(1+Credit_Assumptions!$C$17)^-0.5,L226)+L212*CHOOSE(Credit_Assumptions!$D$33,L225*L226*(1+Credit_Assumptions!$C$17)^-0.5,(1-Credit_Assumptions!$C$16)*L226*(1+Credit_Assumptions!$C$17)^-0.5,L226)</f>
        <v/>
      </c>
      <c r="M227" s="80">
        <f>M207*CHOOSE(Credit_Assumptions!$D$28,M225*M226*(1+Credit_Assumptions!$C$17)^-0.5,(1-Credit_Assumptions!$C$16)*M226*(1+Credit_Assumptions!$C$17)^-0.5,M226)+M208*CHOOSE(Credit_Assumptions!$D$29,M225*M226*(1+Credit_Assumptions!$C$17)^-0.5,(1-Credit_Assumptions!$C$16)*M226*(1+Credit_Assumptions!$C$17)^-0.5,M226)+M209*CHOOSE(Credit_Assumptions!$D$30,M225*M226*(1+Credit_Assumptions!$C$17)^-0.5,(1-Credit_Assumptions!$C$16)*M226*(1+Credit_Assumptions!$C$17)^-0.5,M226)+M210*CHOOSE(Credit_Assumptions!$D$31,M225*M226*(1+Credit_Assumptions!$C$17)^-0.5,(1-Credit_Assumptions!$C$16)*M226*(1+Credit_Assumptions!$C$17)^-0.5,M226)+M211*CHOOSE(Credit_Assumptions!$D$32,M225*M226*(1+Credit_Assumptions!$C$17)^-0.5,(1-Credit_Assumptions!$C$16)*M226*(1+Credit_Assumptions!$C$17)^-0.5,M226)+M212*CHOOSE(Credit_Assumptions!$D$33,M225*M226*(1+Credit_Assumptions!$C$17)^-0.5,(1-Credit_Assumptions!$C$16)*M226*(1+Credit_Assumptions!$C$17)^-0.5,M226)</f>
        <v/>
      </c>
      <c r="N227" s="80">
        <f>N207*CHOOSE(Credit_Assumptions!$D$28,N225*N226*(1+Credit_Assumptions!$C$17)^-0.5,(1-Credit_Assumptions!$C$16)*N226*(1+Credit_Assumptions!$C$17)^-0.5,N226)+N208*CHOOSE(Credit_Assumptions!$D$29,N225*N226*(1+Credit_Assumptions!$C$17)^-0.5,(1-Credit_Assumptions!$C$16)*N226*(1+Credit_Assumptions!$C$17)^-0.5,N226)+N209*CHOOSE(Credit_Assumptions!$D$30,N225*N226*(1+Credit_Assumptions!$C$17)^-0.5,(1-Credit_Assumptions!$C$16)*N226*(1+Credit_Assumptions!$C$17)^-0.5,N226)+N210*CHOOSE(Credit_Assumptions!$D$31,N225*N226*(1+Credit_Assumptions!$C$17)^-0.5,(1-Credit_Assumptions!$C$16)*N226*(1+Credit_Assumptions!$C$17)^-0.5,N226)+N211*CHOOSE(Credit_Assumptions!$D$32,N225*N226*(1+Credit_Assumptions!$C$17)^-0.5,(1-Credit_Assumptions!$C$16)*N226*(1+Credit_Assumptions!$C$17)^-0.5,N226)+N212*CHOOSE(Credit_Assumptions!$D$33,N225*N226*(1+Credit_Assumptions!$C$17)^-0.5,(1-Credit_Assumptions!$C$16)*N226*(1+Credit_Assumptions!$C$17)^-0.5,N226)</f>
        <v/>
      </c>
      <c r="O227" s="80">
        <f>O207*CHOOSE(Credit_Assumptions!$D$28,O225*O226*(1+Credit_Assumptions!$C$17)^-0.5,(1-Credit_Assumptions!$C$16)*O226*(1+Credit_Assumptions!$C$17)^-0.5,O226)+O208*CHOOSE(Credit_Assumptions!$D$29,O225*O226*(1+Credit_Assumptions!$C$17)^-0.5,(1-Credit_Assumptions!$C$16)*O226*(1+Credit_Assumptions!$C$17)^-0.5,O226)+O209*CHOOSE(Credit_Assumptions!$D$30,O225*O226*(1+Credit_Assumptions!$C$17)^-0.5,(1-Credit_Assumptions!$C$16)*O226*(1+Credit_Assumptions!$C$17)^-0.5,O226)+O210*CHOOSE(Credit_Assumptions!$D$31,O225*O226*(1+Credit_Assumptions!$C$17)^-0.5,(1-Credit_Assumptions!$C$16)*O226*(1+Credit_Assumptions!$C$17)^-0.5,O226)+O211*CHOOSE(Credit_Assumptions!$D$32,O225*O226*(1+Credit_Assumptions!$C$17)^-0.5,(1-Credit_Assumptions!$C$16)*O226*(1+Credit_Assumptions!$C$17)^-0.5,O226)+O212*CHOOSE(Credit_Assumptions!$D$33,O225*O226*(1+Credit_Assumptions!$C$17)^-0.5,(1-Credit_Assumptions!$C$16)*O226*(1+Credit_Assumptions!$C$17)^-0.5,O226)</f>
        <v/>
      </c>
      <c r="P227" s="80">
        <f>P207*CHOOSE(Credit_Assumptions!$D$28,P225*P226*(1+Credit_Assumptions!$C$17)^-0.5,(1-Credit_Assumptions!$C$16)*P226*(1+Credit_Assumptions!$C$17)^-0.5,P226)+P208*CHOOSE(Credit_Assumptions!$D$29,P225*P226*(1+Credit_Assumptions!$C$17)^-0.5,(1-Credit_Assumptions!$C$16)*P226*(1+Credit_Assumptions!$C$17)^-0.5,P226)+P209*CHOOSE(Credit_Assumptions!$D$30,P225*P226*(1+Credit_Assumptions!$C$17)^-0.5,(1-Credit_Assumptions!$C$16)*P226*(1+Credit_Assumptions!$C$17)^-0.5,P226)+P210*CHOOSE(Credit_Assumptions!$D$31,P225*P226*(1+Credit_Assumptions!$C$17)^-0.5,(1-Credit_Assumptions!$C$16)*P226*(1+Credit_Assumptions!$C$17)^-0.5,P226)+P211*CHOOSE(Credit_Assumptions!$D$32,P225*P226*(1+Credit_Assumptions!$C$17)^-0.5,(1-Credit_Assumptions!$C$16)*P226*(1+Credit_Assumptions!$C$17)^-0.5,P226)+P212*CHOOSE(Credit_Assumptions!$D$33,P225*P226*(1+Credit_Assumptions!$C$17)^-0.5,(1-Credit_Assumptions!$C$16)*P226*(1+Credit_Assumptions!$C$17)^-0.5,P226)</f>
        <v/>
      </c>
      <c r="Q227" s="80">
        <f>Q207*CHOOSE(Credit_Assumptions!$D$28,Q225*Q226*(1+Credit_Assumptions!$C$17)^-0.5,(1-Credit_Assumptions!$C$16)*Q226*(1+Credit_Assumptions!$C$17)^-0.5,Q226)+Q208*CHOOSE(Credit_Assumptions!$D$29,Q225*Q226*(1+Credit_Assumptions!$C$17)^-0.5,(1-Credit_Assumptions!$C$16)*Q226*(1+Credit_Assumptions!$C$17)^-0.5,Q226)+Q209*CHOOSE(Credit_Assumptions!$D$30,Q225*Q226*(1+Credit_Assumptions!$C$17)^-0.5,(1-Credit_Assumptions!$C$16)*Q226*(1+Credit_Assumptions!$C$17)^-0.5,Q226)+Q210*CHOOSE(Credit_Assumptions!$D$31,Q225*Q226*(1+Credit_Assumptions!$C$17)^-0.5,(1-Credit_Assumptions!$C$16)*Q226*(1+Credit_Assumptions!$C$17)^-0.5,Q226)+Q211*CHOOSE(Credit_Assumptions!$D$32,Q225*Q226*(1+Credit_Assumptions!$C$17)^-0.5,(1-Credit_Assumptions!$C$16)*Q226*(1+Credit_Assumptions!$C$17)^-0.5,Q226)+Q212*CHOOSE(Credit_Assumptions!$D$33,Q225*Q226*(1+Credit_Assumptions!$C$17)^-0.5,(1-Credit_Assumptions!$C$16)*Q226*(1+Credit_Assumptions!$C$17)^-0.5,Q226)</f>
        <v/>
      </c>
      <c r="R227" s="80">
        <f>R207*CHOOSE(Credit_Assumptions!$D$28,R225*R226*(1+Credit_Assumptions!$C$17)^-0.5,(1-Credit_Assumptions!$C$16)*R226*(1+Credit_Assumptions!$C$17)^-0.5,R226)+R208*CHOOSE(Credit_Assumptions!$D$29,R225*R226*(1+Credit_Assumptions!$C$17)^-0.5,(1-Credit_Assumptions!$C$16)*R226*(1+Credit_Assumptions!$C$17)^-0.5,R226)+R209*CHOOSE(Credit_Assumptions!$D$30,R225*R226*(1+Credit_Assumptions!$C$17)^-0.5,(1-Credit_Assumptions!$C$16)*R226*(1+Credit_Assumptions!$C$17)^-0.5,R226)+R210*CHOOSE(Credit_Assumptions!$D$31,R225*R226*(1+Credit_Assumptions!$C$17)^-0.5,(1-Credit_Assumptions!$C$16)*R226*(1+Credit_Assumptions!$C$17)^-0.5,R226)+R211*CHOOSE(Credit_Assumptions!$D$32,R225*R226*(1+Credit_Assumptions!$C$17)^-0.5,(1-Credit_Assumptions!$C$16)*R226*(1+Credit_Assumptions!$C$17)^-0.5,R226)+R212*CHOOSE(Credit_Assumptions!$D$33,R225*R226*(1+Credit_Assumptions!$C$17)^-0.5,(1-Credit_Assumptions!$C$16)*R226*(1+Credit_Assumptions!$C$17)^-0.5,R226)</f>
        <v/>
      </c>
      <c r="S227" s="80">
        <f>S207*CHOOSE(Credit_Assumptions!$D$28,S225*S226*(1+Credit_Assumptions!$C$17)^-0.5,(1-Credit_Assumptions!$C$16)*S226*(1+Credit_Assumptions!$C$17)^-0.5,S226)+S208*CHOOSE(Credit_Assumptions!$D$29,S225*S226*(1+Credit_Assumptions!$C$17)^-0.5,(1-Credit_Assumptions!$C$16)*S226*(1+Credit_Assumptions!$C$17)^-0.5,S226)+S209*CHOOSE(Credit_Assumptions!$D$30,S225*S226*(1+Credit_Assumptions!$C$17)^-0.5,(1-Credit_Assumptions!$C$16)*S226*(1+Credit_Assumptions!$C$17)^-0.5,S226)+S210*CHOOSE(Credit_Assumptions!$D$31,S225*S226*(1+Credit_Assumptions!$C$17)^-0.5,(1-Credit_Assumptions!$C$16)*S226*(1+Credit_Assumptions!$C$17)^-0.5,S226)+S211*CHOOSE(Credit_Assumptions!$D$32,S225*S226*(1+Credit_Assumptions!$C$17)^-0.5,(1-Credit_Assumptions!$C$16)*S226*(1+Credit_Assumptions!$C$17)^-0.5,S226)+S212*CHOOSE(Credit_Assumptions!$D$33,S225*S226*(1+Credit_Assumptions!$C$17)^-0.5,(1-Credit_Assumptions!$C$16)*S226*(1+Credit_Assumptions!$C$17)^-0.5,S226)</f>
        <v/>
      </c>
      <c r="T227" s="80">
        <f>T207*CHOOSE(Credit_Assumptions!$D$28,T225*T226*(1+Credit_Assumptions!$C$17)^-0.5,(1-Credit_Assumptions!$C$16)*T226*(1+Credit_Assumptions!$C$17)^-0.5,T226)+T208*CHOOSE(Credit_Assumptions!$D$29,T225*T226*(1+Credit_Assumptions!$C$17)^-0.5,(1-Credit_Assumptions!$C$16)*T226*(1+Credit_Assumptions!$C$17)^-0.5,T226)+T209*CHOOSE(Credit_Assumptions!$D$30,T225*T226*(1+Credit_Assumptions!$C$17)^-0.5,(1-Credit_Assumptions!$C$16)*T226*(1+Credit_Assumptions!$C$17)^-0.5,T226)+T210*CHOOSE(Credit_Assumptions!$D$31,T225*T226*(1+Credit_Assumptions!$C$17)^-0.5,(1-Credit_Assumptions!$C$16)*T226*(1+Credit_Assumptions!$C$17)^-0.5,T226)+T211*CHOOSE(Credit_Assumptions!$D$32,T225*T226*(1+Credit_Assumptions!$C$17)^-0.5,(1-Credit_Assumptions!$C$16)*T226*(1+Credit_Assumptions!$C$17)^-0.5,T226)+T212*CHOOSE(Credit_Assumptions!$D$33,T225*T226*(1+Credit_Assumptions!$C$17)^-0.5,(1-Credit_Assumptions!$C$16)*T226*(1+Credit_Assumptions!$C$17)^-0.5,T226)</f>
        <v/>
      </c>
      <c r="U227" s="80">
        <f>U207*CHOOSE(Credit_Assumptions!$D$28,U225*U226*(1+Credit_Assumptions!$C$17)^-0.5,(1-Credit_Assumptions!$C$16)*U226*(1+Credit_Assumptions!$C$17)^-0.5,U226)+U208*CHOOSE(Credit_Assumptions!$D$29,U225*U226*(1+Credit_Assumptions!$C$17)^-0.5,(1-Credit_Assumptions!$C$16)*U226*(1+Credit_Assumptions!$C$17)^-0.5,U226)+U209*CHOOSE(Credit_Assumptions!$D$30,U225*U226*(1+Credit_Assumptions!$C$17)^-0.5,(1-Credit_Assumptions!$C$16)*U226*(1+Credit_Assumptions!$C$17)^-0.5,U226)+U210*CHOOSE(Credit_Assumptions!$D$31,U225*U226*(1+Credit_Assumptions!$C$17)^-0.5,(1-Credit_Assumptions!$C$16)*U226*(1+Credit_Assumptions!$C$17)^-0.5,U226)+U211*CHOOSE(Credit_Assumptions!$D$32,U225*U226*(1+Credit_Assumptions!$C$17)^-0.5,(1-Credit_Assumptions!$C$16)*U226*(1+Credit_Assumptions!$C$17)^-0.5,U226)+U212*CHOOSE(Credit_Assumptions!$D$33,U225*U226*(1+Credit_Assumptions!$C$17)^-0.5,(1-Credit_Assumptions!$C$16)*U226*(1+Credit_Assumptions!$C$17)^-0.5,U226)</f>
        <v/>
      </c>
      <c r="V227" s="80">
        <f>V207*CHOOSE(Credit_Assumptions!$D$28,V225*V226*(1+Credit_Assumptions!$C$17)^-0.5,(1-Credit_Assumptions!$C$16)*V226*(1+Credit_Assumptions!$C$17)^-0.5,V226)+V208*CHOOSE(Credit_Assumptions!$D$29,V225*V226*(1+Credit_Assumptions!$C$17)^-0.5,(1-Credit_Assumptions!$C$16)*V226*(1+Credit_Assumptions!$C$17)^-0.5,V226)+V209*CHOOSE(Credit_Assumptions!$D$30,V225*V226*(1+Credit_Assumptions!$C$17)^-0.5,(1-Credit_Assumptions!$C$16)*V226*(1+Credit_Assumptions!$C$17)^-0.5,V226)+V210*CHOOSE(Credit_Assumptions!$D$31,V225*V226*(1+Credit_Assumptions!$C$17)^-0.5,(1-Credit_Assumptions!$C$16)*V226*(1+Credit_Assumptions!$C$17)^-0.5,V226)+V211*CHOOSE(Credit_Assumptions!$D$32,V225*V226*(1+Credit_Assumptions!$C$17)^-0.5,(1-Credit_Assumptions!$C$16)*V226*(1+Credit_Assumptions!$C$17)^-0.5,V226)+V212*CHOOSE(Credit_Assumptions!$D$33,V225*V226*(1+Credit_Assumptions!$C$17)^-0.5,(1-Credit_Assumptions!$C$16)*V226*(1+Credit_Assumptions!$C$17)^-0.5,V226)</f>
        <v/>
      </c>
      <c r="W227" s="80">
        <f>W207*CHOOSE(Credit_Assumptions!$D$28,W225*W226*(1+Credit_Assumptions!$C$17)^-0.5,(1-Credit_Assumptions!$C$16)*W226*(1+Credit_Assumptions!$C$17)^-0.5,W226)+W208*CHOOSE(Credit_Assumptions!$D$29,W225*W226*(1+Credit_Assumptions!$C$17)^-0.5,(1-Credit_Assumptions!$C$16)*W226*(1+Credit_Assumptions!$C$17)^-0.5,W226)+W209*CHOOSE(Credit_Assumptions!$D$30,W225*W226*(1+Credit_Assumptions!$C$17)^-0.5,(1-Credit_Assumptions!$C$16)*W226*(1+Credit_Assumptions!$C$17)^-0.5,W226)+W210*CHOOSE(Credit_Assumptions!$D$31,W225*W226*(1+Credit_Assumptions!$C$17)^-0.5,(1-Credit_Assumptions!$C$16)*W226*(1+Credit_Assumptions!$C$17)^-0.5,W226)+W211*CHOOSE(Credit_Assumptions!$D$32,W225*W226*(1+Credit_Assumptions!$C$17)^-0.5,(1-Credit_Assumptions!$C$16)*W226*(1+Credit_Assumptions!$C$17)^-0.5,W226)+W212*CHOOSE(Credit_Assumptions!$D$33,W225*W226*(1+Credit_Assumptions!$C$17)^-0.5,(1-Credit_Assumptions!$C$16)*W226*(1+Credit_Assumptions!$C$17)^-0.5,W226)</f>
        <v/>
      </c>
      <c r="X227" s="80">
        <f>X207*CHOOSE(Credit_Assumptions!$D$28,X225*X226*(1+Credit_Assumptions!$C$17)^-0.5,(1-Credit_Assumptions!$C$16)*X226*(1+Credit_Assumptions!$C$17)^-0.5,X226)+X208*CHOOSE(Credit_Assumptions!$D$29,X225*X226*(1+Credit_Assumptions!$C$17)^-0.5,(1-Credit_Assumptions!$C$16)*X226*(1+Credit_Assumptions!$C$17)^-0.5,X226)+X209*CHOOSE(Credit_Assumptions!$D$30,X225*X226*(1+Credit_Assumptions!$C$17)^-0.5,(1-Credit_Assumptions!$C$16)*X226*(1+Credit_Assumptions!$C$17)^-0.5,X226)+X210*CHOOSE(Credit_Assumptions!$D$31,X225*X226*(1+Credit_Assumptions!$C$17)^-0.5,(1-Credit_Assumptions!$C$16)*X226*(1+Credit_Assumptions!$C$17)^-0.5,X226)+X211*CHOOSE(Credit_Assumptions!$D$32,X225*X226*(1+Credit_Assumptions!$C$17)^-0.5,(1-Credit_Assumptions!$C$16)*X226*(1+Credit_Assumptions!$C$17)^-0.5,X226)+X212*CHOOSE(Credit_Assumptions!$D$33,X225*X226*(1+Credit_Assumptions!$C$17)^-0.5,(1-Credit_Assumptions!$C$16)*X226*(1+Credit_Assumptions!$C$17)^-0.5,X226)</f>
        <v/>
      </c>
      <c r="Y227" s="80">
        <f>Y207*CHOOSE(Credit_Assumptions!$D$28,Y225*Y226*(1+Credit_Assumptions!$C$17)^-0.5,(1-Credit_Assumptions!$C$16)*Y226*(1+Credit_Assumptions!$C$17)^-0.5,Y226)+Y208*CHOOSE(Credit_Assumptions!$D$29,Y225*Y226*(1+Credit_Assumptions!$C$17)^-0.5,(1-Credit_Assumptions!$C$16)*Y226*(1+Credit_Assumptions!$C$17)^-0.5,Y226)+Y209*CHOOSE(Credit_Assumptions!$D$30,Y225*Y226*(1+Credit_Assumptions!$C$17)^-0.5,(1-Credit_Assumptions!$C$16)*Y226*(1+Credit_Assumptions!$C$17)^-0.5,Y226)+Y210*CHOOSE(Credit_Assumptions!$D$31,Y225*Y226*(1+Credit_Assumptions!$C$17)^-0.5,(1-Credit_Assumptions!$C$16)*Y226*(1+Credit_Assumptions!$C$17)^-0.5,Y226)+Y211*CHOOSE(Credit_Assumptions!$D$32,Y225*Y226*(1+Credit_Assumptions!$C$17)^-0.5,(1-Credit_Assumptions!$C$16)*Y226*(1+Credit_Assumptions!$C$17)^-0.5,Y226)+Y212*CHOOSE(Credit_Assumptions!$D$33,Y225*Y226*(1+Credit_Assumptions!$C$17)^-0.5,(1-Credit_Assumptions!$C$16)*Y226*(1+Credit_Assumptions!$C$17)^-0.5,Y226)</f>
        <v/>
      </c>
      <c r="Z227" s="80">
        <f>Z207*CHOOSE(Credit_Assumptions!$D$28,Z225*Z226*(1+Credit_Assumptions!$C$17)^-0.5,(1-Credit_Assumptions!$C$16)*Z226*(1+Credit_Assumptions!$C$17)^-0.5,Z226)+Z208*CHOOSE(Credit_Assumptions!$D$29,Z225*Z226*(1+Credit_Assumptions!$C$17)^-0.5,(1-Credit_Assumptions!$C$16)*Z226*(1+Credit_Assumptions!$C$17)^-0.5,Z226)+Z209*CHOOSE(Credit_Assumptions!$D$30,Z225*Z226*(1+Credit_Assumptions!$C$17)^-0.5,(1-Credit_Assumptions!$C$16)*Z226*(1+Credit_Assumptions!$C$17)^-0.5,Z226)+Z210*CHOOSE(Credit_Assumptions!$D$31,Z225*Z226*(1+Credit_Assumptions!$C$17)^-0.5,(1-Credit_Assumptions!$C$16)*Z226*(1+Credit_Assumptions!$C$17)^-0.5,Z226)+Z211*CHOOSE(Credit_Assumptions!$D$32,Z225*Z226*(1+Credit_Assumptions!$C$17)^-0.5,(1-Credit_Assumptions!$C$16)*Z226*(1+Credit_Assumptions!$C$17)^-0.5,Z226)+Z212*CHOOSE(Credit_Assumptions!$D$33,Z225*Z226*(1+Credit_Assumptions!$C$17)^-0.5,(1-Credit_Assumptions!$C$16)*Z226*(1+Credit_Assumptions!$C$17)^-0.5,Z226)</f>
        <v/>
      </c>
      <c r="AA227" s="80">
        <f>AA207*CHOOSE(Credit_Assumptions!$D$28,AA225*AA226*(1+Credit_Assumptions!$C$17)^-0.5,(1-Credit_Assumptions!$C$16)*AA226*(1+Credit_Assumptions!$C$17)^-0.5,AA226)+AA208*CHOOSE(Credit_Assumptions!$D$29,AA225*AA226*(1+Credit_Assumptions!$C$17)^-0.5,(1-Credit_Assumptions!$C$16)*AA226*(1+Credit_Assumptions!$C$17)^-0.5,AA226)+AA209*CHOOSE(Credit_Assumptions!$D$30,AA225*AA226*(1+Credit_Assumptions!$C$17)^-0.5,(1-Credit_Assumptions!$C$16)*AA226*(1+Credit_Assumptions!$C$17)^-0.5,AA226)+AA210*CHOOSE(Credit_Assumptions!$D$31,AA225*AA226*(1+Credit_Assumptions!$C$17)^-0.5,(1-Credit_Assumptions!$C$16)*AA226*(1+Credit_Assumptions!$C$17)^-0.5,AA226)+AA211*CHOOSE(Credit_Assumptions!$D$32,AA225*AA226*(1+Credit_Assumptions!$C$17)^-0.5,(1-Credit_Assumptions!$C$16)*AA226*(1+Credit_Assumptions!$C$17)^-0.5,AA226)+AA212*CHOOSE(Credit_Assumptions!$D$33,AA225*AA226*(1+Credit_Assumptions!$C$17)^-0.5,(1-Credit_Assumptions!$C$16)*AA226*(1+Credit_Assumptions!$C$17)^-0.5,AA226)</f>
        <v/>
      </c>
      <c r="AB227" s="80">
        <f>AB207*CHOOSE(Credit_Assumptions!$D$28,AB225*AB226*(1+Credit_Assumptions!$C$17)^-0.5,(1-Credit_Assumptions!$C$16)*AB226*(1+Credit_Assumptions!$C$17)^-0.5,AB226)+AB208*CHOOSE(Credit_Assumptions!$D$29,AB225*AB226*(1+Credit_Assumptions!$C$17)^-0.5,(1-Credit_Assumptions!$C$16)*AB226*(1+Credit_Assumptions!$C$17)^-0.5,AB226)+AB209*CHOOSE(Credit_Assumptions!$D$30,AB225*AB226*(1+Credit_Assumptions!$C$17)^-0.5,(1-Credit_Assumptions!$C$16)*AB226*(1+Credit_Assumptions!$C$17)^-0.5,AB226)+AB210*CHOOSE(Credit_Assumptions!$D$31,AB225*AB226*(1+Credit_Assumptions!$C$17)^-0.5,(1-Credit_Assumptions!$C$16)*AB226*(1+Credit_Assumptions!$C$17)^-0.5,AB226)+AB211*CHOOSE(Credit_Assumptions!$D$32,AB225*AB226*(1+Credit_Assumptions!$C$17)^-0.5,(1-Credit_Assumptions!$C$16)*AB226*(1+Credit_Assumptions!$C$17)^-0.5,AB226)+AB212*CHOOSE(Credit_Assumptions!$D$33,AB225*AB226*(1+Credit_Assumptions!$C$17)^-0.5,(1-Credit_Assumptions!$C$16)*AB226*(1+Credit_Assumptions!$C$17)^-0.5,AB226)</f>
        <v/>
      </c>
      <c r="AC227" s="80">
        <f>AC207*CHOOSE(Credit_Assumptions!$D$28,AC225*AC226*(1+Credit_Assumptions!$C$17)^-0.5,(1-Credit_Assumptions!$C$16)*AC226*(1+Credit_Assumptions!$C$17)^-0.5,AC226)+AC208*CHOOSE(Credit_Assumptions!$D$29,AC225*AC226*(1+Credit_Assumptions!$C$17)^-0.5,(1-Credit_Assumptions!$C$16)*AC226*(1+Credit_Assumptions!$C$17)^-0.5,AC226)+AC209*CHOOSE(Credit_Assumptions!$D$30,AC225*AC226*(1+Credit_Assumptions!$C$17)^-0.5,(1-Credit_Assumptions!$C$16)*AC226*(1+Credit_Assumptions!$C$17)^-0.5,AC226)+AC210*CHOOSE(Credit_Assumptions!$D$31,AC225*AC226*(1+Credit_Assumptions!$C$17)^-0.5,(1-Credit_Assumptions!$C$16)*AC226*(1+Credit_Assumptions!$C$17)^-0.5,AC226)+AC211*CHOOSE(Credit_Assumptions!$D$32,AC225*AC226*(1+Credit_Assumptions!$C$17)^-0.5,(1-Credit_Assumptions!$C$16)*AC226*(1+Credit_Assumptions!$C$17)^-0.5,AC226)+AC212*CHOOSE(Credit_Assumptions!$D$33,AC225*AC226*(1+Credit_Assumptions!$C$17)^-0.5,(1-Credit_Assumptions!$C$16)*AC226*(1+Credit_Assumptions!$C$17)^-0.5,AC226)</f>
        <v/>
      </c>
      <c r="AD227" s="80">
        <f>AD207*CHOOSE(Credit_Assumptions!$D$28,AD225*AD226*(1+Credit_Assumptions!$C$17)^-0.5,(1-Credit_Assumptions!$C$16)*AD226*(1+Credit_Assumptions!$C$17)^-0.5,AD226)+AD208*CHOOSE(Credit_Assumptions!$D$29,AD225*AD226*(1+Credit_Assumptions!$C$17)^-0.5,(1-Credit_Assumptions!$C$16)*AD226*(1+Credit_Assumptions!$C$17)^-0.5,AD226)+AD209*CHOOSE(Credit_Assumptions!$D$30,AD225*AD226*(1+Credit_Assumptions!$C$17)^-0.5,(1-Credit_Assumptions!$C$16)*AD226*(1+Credit_Assumptions!$C$17)^-0.5,AD226)+AD210*CHOOSE(Credit_Assumptions!$D$31,AD225*AD226*(1+Credit_Assumptions!$C$17)^-0.5,(1-Credit_Assumptions!$C$16)*AD226*(1+Credit_Assumptions!$C$17)^-0.5,AD226)+AD211*CHOOSE(Credit_Assumptions!$D$32,AD225*AD226*(1+Credit_Assumptions!$C$17)^-0.5,(1-Credit_Assumptions!$C$16)*AD226*(1+Credit_Assumptions!$C$17)^-0.5,AD226)+AD212*CHOOSE(Credit_Assumptions!$D$33,AD225*AD226*(1+Credit_Assumptions!$C$17)^-0.5,(1-Credit_Assumptions!$C$16)*AD226*(1+Credit_Assumptions!$C$17)^-0.5,AD226)</f>
        <v/>
      </c>
      <c r="AE227" s="80">
        <f>AE207*CHOOSE(Credit_Assumptions!$D$28,AE225*AE226*(1+Credit_Assumptions!$C$17)^-0.5,(1-Credit_Assumptions!$C$16)*AE226*(1+Credit_Assumptions!$C$17)^-0.5,AE226)+AE208*CHOOSE(Credit_Assumptions!$D$29,AE225*AE226*(1+Credit_Assumptions!$C$17)^-0.5,(1-Credit_Assumptions!$C$16)*AE226*(1+Credit_Assumptions!$C$17)^-0.5,AE226)+AE209*CHOOSE(Credit_Assumptions!$D$30,AE225*AE226*(1+Credit_Assumptions!$C$17)^-0.5,(1-Credit_Assumptions!$C$16)*AE226*(1+Credit_Assumptions!$C$17)^-0.5,AE226)+AE210*CHOOSE(Credit_Assumptions!$D$31,AE225*AE226*(1+Credit_Assumptions!$C$17)^-0.5,(1-Credit_Assumptions!$C$16)*AE226*(1+Credit_Assumptions!$C$17)^-0.5,AE226)+AE211*CHOOSE(Credit_Assumptions!$D$32,AE225*AE226*(1+Credit_Assumptions!$C$17)^-0.5,(1-Credit_Assumptions!$C$16)*AE226*(1+Credit_Assumptions!$C$17)^-0.5,AE226)+AE212*CHOOSE(Credit_Assumptions!$D$33,AE225*AE226*(1+Credit_Assumptions!$C$17)^-0.5,(1-Credit_Assumptions!$C$16)*AE226*(1+Credit_Assumptions!$C$17)^-0.5,AE226)</f>
        <v/>
      </c>
      <c r="AF227" s="80">
        <f>AF207*CHOOSE(Credit_Assumptions!$D$28,AF225*AF226*(1+Credit_Assumptions!$C$17)^-0.5,(1-Credit_Assumptions!$C$16)*AF226*(1+Credit_Assumptions!$C$17)^-0.5,AF226)+AF208*CHOOSE(Credit_Assumptions!$D$29,AF225*AF226*(1+Credit_Assumptions!$C$17)^-0.5,(1-Credit_Assumptions!$C$16)*AF226*(1+Credit_Assumptions!$C$17)^-0.5,AF226)+AF209*CHOOSE(Credit_Assumptions!$D$30,AF225*AF226*(1+Credit_Assumptions!$C$17)^-0.5,(1-Credit_Assumptions!$C$16)*AF226*(1+Credit_Assumptions!$C$17)^-0.5,AF226)+AF210*CHOOSE(Credit_Assumptions!$D$31,AF225*AF226*(1+Credit_Assumptions!$C$17)^-0.5,(1-Credit_Assumptions!$C$16)*AF226*(1+Credit_Assumptions!$C$17)^-0.5,AF226)+AF211*CHOOSE(Credit_Assumptions!$D$32,AF225*AF226*(1+Credit_Assumptions!$C$17)^-0.5,(1-Credit_Assumptions!$C$16)*AF226*(1+Credit_Assumptions!$C$17)^-0.5,AF226)+AF212*CHOOSE(Credit_Assumptions!$D$33,AF225*AF226*(1+Credit_Assumptions!$C$17)^-0.5,(1-Credit_Assumptions!$C$16)*AF226*(1+Credit_Assumptions!$C$17)^-0.5,AF226)</f>
        <v/>
      </c>
      <c r="AG227" s="80">
        <f>AG207*CHOOSE(Credit_Assumptions!$D$28,AG225*AG226*(1+Credit_Assumptions!$C$17)^-0.5,(1-Credit_Assumptions!$C$16)*AG226*(1+Credit_Assumptions!$C$17)^-0.5,AG226)+AG208*CHOOSE(Credit_Assumptions!$D$29,AG225*AG226*(1+Credit_Assumptions!$C$17)^-0.5,(1-Credit_Assumptions!$C$16)*AG226*(1+Credit_Assumptions!$C$17)^-0.5,AG226)+AG209*CHOOSE(Credit_Assumptions!$D$30,AG225*AG226*(1+Credit_Assumptions!$C$17)^-0.5,(1-Credit_Assumptions!$C$16)*AG226*(1+Credit_Assumptions!$C$17)^-0.5,AG226)+AG210*CHOOSE(Credit_Assumptions!$D$31,AG225*AG226*(1+Credit_Assumptions!$C$17)^-0.5,(1-Credit_Assumptions!$C$16)*AG226*(1+Credit_Assumptions!$C$17)^-0.5,AG226)+AG211*CHOOSE(Credit_Assumptions!$D$32,AG225*AG226*(1+Credit_Assumptions!$C$17)^-0.5,(1-Credit_Assumptions!$C$16)*AG226*(1+Credit_Assumptions!$C$17)^-0.5,AG226)+AG212*CHOOSE(Credit_Assumptions!$D$33,AG225*AG226*(1+Credit_Assumptions!$C$17)^-0.5,(1-Credit_Assumptions!$C$16)*AG226*(1+Credit_Assumptions!$C$17)^-0.5,AG226)</f>
        <v/>
      </c>
      <c r="AH227" s="80">
        <f>AH207*CHOOSE(Credit_Assumptions!$D$28,AH225*AH226*(1+Credit_Assumptions!$C$17)^-0.5,(1-Credit_Assumptions!$C$16)*AH226*(1+Credit_Assumptions!$C$17)^-0.5,AH226)+AH208*CHOOSE(Credit_Assumptions!$D$29,AH225*AH226*(1+Credit_Assumptions!$C$17)^-0.5,(1-Credit_Assumptions!$C$16)*AH226*(1+Credit_Assumptions!$C$17)^-0.5,AH226)+AH209*CHOOSE(Credit_Assumptions!$D$30,AH225*AH226*(1+Credit_Assumptions!$C$17)^-0.5,(1-Credit_Assumptions!$C$16)*AH226*(1+Credit_Assumptions!$C$17)^-0.5,AH226)+AH210*CHOOSE(Credit_Assumptions!$D$31,AH225*AH226*(1+Credit_Assumptions!$C$17)^-0.5,(1-Credit_Assumptions!$C$16)*AH226*(1+Credit_Assumptions!$C$17)^-0.5,AH226)+AH211*CHOOSE(Credit_Assumptions!$D$32,AH225*AH226*(1+Credit_Assumptions!$C$17)^-0.5,(1-Credit_Assumptions!$C$16)*AH226*(1+Credit_Assumptions!$C$17)^-0.5,AH226)+AH212*CHOOSE(Credit_Assumptions!$D$33,AH225*AH226*(1+Credit_Assumptions!$C$17)^-0.5,(1-Credit_Assumptions!$C$16)*AH226*(1+Credit_Assumptions!$C$17)^-0.5,AH226)</f>
        <v/>
      </c>
      <c r="AI227" s="80">
        <f>AI207*CHOOSE(Credit_Assumptions!$D$28,AI225*AI226*(1+Credit_Assumptions!$C$17)^-0.5,(1-Credit_Assumptions!$C$16)*AI226*(1+Credit_Assumptions!$C$17)^-0.5,AI226)+AI208*CHOOSE(Credit_Assumptions!$D$29,AI225*AI226*(1+Credit_Assumptions!$C$17)^-0.5,(1-Credit_Assumptions!$C$16)*AI226*(1+Credit_Assumptions!$C$17)^-0.5,AI226)+AI209*CHOOSE(Credit_Assumptions!$D$30,AI225*AI226*(1+Credit_Assumptions!$C$17)^-0.5,(1-Credit_Assumptions!$C$16)*AI226*(1+Credit_Assumptions!$C$17)^-0.5,AI226)+AI210*CHOOSE(Credit_Assumptions!$D$31,AI225*AI226*(1+Credit_Assumptions!$C$17)^-0.5,(1-Credit_Assumptions!$C$16)*AI226*(1+Credit_Assumptions!$C$17)^-0.5,AI226)+AI211*CHOOSE(Credit_Assumptions!$D$32,AI225*AI226*(1+Credit_Assumptions!$C$17)^-0.5,(1-Credit_Assumptions!$C$16)*AI226*(1+Credit_Assumptions!$C$17)^-0.5,AI226)+AI212*CHOOSE(Credit_Assumptions!$D$33,AI225*AI226*(1+Credit_Assumptions!$C$17)^-0.5,(1-Credit_Assumptions!$C$16)*AI226*(1+Credit_Assumptions!$C$17)^-0.5,AI226)</f>
        <v/>
      </c>
      <c r="AJ227" s="80">
        <f>AJ207*CHOOSE(Credit_Assumptions!$D$28,AJ225*AJ226*(1+Credit_Assumptions!$C$17)^-0.5,(1-Credit_Assumptions!$C$16)*AJ226*(1+Credit_Assumptions!$C$17)^-0.5,AJ226)+AJ208*CHOOSE(Credit_Assumptions!$D$29,AJ225*AJ226*(1+Credit_Assumptions!$C$17)^-0.5,(1-Credit_Assumptions!$C$16)*AJ226*(1+Credit_Assumptions!$C$17)^-0.5,AJ226)+AJ209*CHOOSE(Credit_Assumptions!$D$30,AJ225*AJ226*(1+Credit_Assumptions!$C$17)^-0.5,(1-Credit_Assumptions!$C$16)*AJ226*(1+Credit_Assumptions!$C$17)^-0.5,AJ226)+AJ210*CHOOSE(Credit_Assumptions!$D$31,AJ225*AJ226*(1+Credit_Assumptions!$C$17)^-0.5,(1-Credit_Assumptions!$C$16)*AJ226*(1+Credit_Assumptions!$C$17)^-0.5,AJ226)+AJ211*CHOOSE(Credit_Assumptions!$D$32,AJ225*AJ226*(1+Credit_Assumptions!$C$17)^-0.5,(1-Credit_Assumptions!$C$16)*AJ226*(1+Credit_Assumptions!$C$17)^-0.5,AJ226)+AJ212*CHOOSE(Credit_Assumptions!$D$33,AJ225*AJ226*(1+Credit_Assumptions!$C$17)^-0.5,(1-Credit_Assumptions!$C$16)*AJ226*(1+Credit_Assumptions!$C$17)^-0.5,AJ226)</f>
        <v/>
      </c>
      <c r="AK227" s="80">
        <f>AK207*CHOOSE(Credit_Assumptions!$D$28,AK225*AK226*(1+Credit_Assumptions!$C$17)^-0.5,(1-Credit_Assumptions!$C$16)*AK226*(1+Credit_Assumptions!$C$17)^-0.5,AK226)+AK208*CHOOSE(Credit_Assumptions!$D$29,AK225*AK226*(1+Credit_Assumptions!$C$17)^-0.5,(1-Credit_Assumptions!$C$16)*AK226*(1+Credit_Assumptions!$C$17)^-0.5,AK226)+AK209*CHOOSE(Credit_Assumptions!$D$30,AK225*AK226*(1+Credit_Assumptions!$C$17)^-0.5,(1-Credit_Assumptions!$C$16)*AK226*(1+Credit_Assumptions!$C$17)^-0.5,AK226)+AK210*CHOOSE(Credit_Assumptions!$D$31,AK225*AK226*(1+Credit_Assumptions!$C$17)^-0.5,(1-Credit_Assumptions!$C$16)*AK226*(1+Credit_Assumptions!$C$17)^-0.5,AK226)+AK211*CHOOSE(Credit_Assumptions!$D$32,AK225*AK226*(1+Credit_Assumptions!$C$17)^-0.5,(1-Credit_Assumptions!$C$16)*AK226*(1+Credit_Assumptions!$C$17)^-0.5,AK226)+AK212*CHOOSE(Credit_Assumptions!$D$33,AK225*AK226*(1+Credit_Assumptions!$C$17)^-0.5,(1-Credit_Assumptions!$C$16)*AK226*(1+Credit_Assumptions!$C$17)^-0.5,AK226)</f>
        <v/>
      </c>
      <c r="AL227" s="80">
        <f>AL207*CHOOSE(Credit_Assumptions!$D$28,AL225*AL226*(1+Credit_Assumptions!$C$17)^-0.5,(1-Credit_Assumptions!$C$16)*AL226*(1+Credit_Assumptions!$C$17)^-0.5,AL226)+AL208*CHOOSE(Credit_Assumptions!$D$29,AL225*AL226*(1+Credit_Assumptions!$C$17)^-0.5,(1-Credit_Assumptions!$C$16)*AL226*(1+Credit_Assumptions!$C$17)^-0.5,AL226)+AL209*CHOOSE(Credit_Assumptions!$D$30,AL225*AL226*(1+Credit_Assumptions!$C$17)^-0.5,(1-Credit_Assumptions!$C$16)*AL226*(1+Credit_Assumptions!$C$17)^-0.5,AL226)+AL210*CHOOSE(Credit_Assumptions!$D$31,AL225*AL226*(1+Credit_Assumptions!$C$17)^-0.5,(1-Credit_Assumptions!$C$16)*AL226*(1+Credit_Assumptions!$C$17)^-0.5,AL226)+AL211*CHOOSE(Credit_Assumptions!$D$32,AL225*AL226*(1+Credit_Assumptions!$C$17)^-0.5,(1-Credit_Assumptions!$C$16)*AL226*(1+Credit_Assumptions!$C$17)^-0.5,AL226)+AL212*CHOOSE(Credit_Assumptions!$D$33,AL225*AL226*(1+Credit_Assumptions!$C$17)^-0.5,(1-Credit_Assumptions!$C$16)*AL226*(1+Credit_Assumptions!$C$17)^-0.5,AL226)</f>
        <v/>
      </c>
      <c r="AM227" s="80">
        <f>AM207*CHOOSE(Credit_Assumptions!$D$28,AM225*AM226*(1+Credit_Assumptions!$C$17)^-0.5,(1-Credit_Assumptions!$C$16)*AM226*(1+Credit_Assumptions!$C$17)^-0.5,AM226)+AM208*CHOOSE(Credit_Assumptions!$D$29,AM225*AM226*(1+Credit_Assumptions!$C$17)^-0.5,(1-Credit_Assumptions!$C$16)*AM226*(1+Credit_Assumptions!$C$17)^-0.5,AM226)+AM209*CHOOSE(Credit_Assumptions!$D$30,AM225*AM226*(1+Credit_Assumptions!$C$17)^-0.5,(1-Credit_Assumptions!$C$16)*AM226*(1+Credit_Assumptions!$C$17)^-0.5,AM226)+AM210*CHOOSE(Credit_Assumptions!$D$31,AM225*AM226*(1+Credit_Assumptions!$C$17)^-0.5,(1-Credit_Assumptions!$C$16)*AM226*(1+Credit_Assumptions!$C$17)^-0.5,AM226)+AM211*CHOOSE(Credit_Assumptions!$D$32,AM225*AM226*(1+Credit_Assumptions!$C$17)^-0.5,(1-Credit_Assumptions!$C$16)*AM226*(1+Credit_Assumptions!$C$17)^-0.5,AM226)+AM212*CHOOSE(Credit_Assumptions!$D$33,AM225*AM226*(1+Credit_Assumptions!$C$17)^-0.5,(1-Credit_Assumptions!$C$16)*AM226*(1+Credit_Assumptions!$C$17)^-0.5,AM226)</f>
        <v/>
      </c>
      <c r="AN227" s="80">
        <f>AN207*CHOOSE(Credit_Assumptions!$D$28,AN225*AN226*(1+Credit_Assumptions!$C$17)^-0.5,(1-Credit_Assumptions!$C$16)*AN226*(1+Credit_Assumptions!$C$17)^-0.5,AN226)+AN208*CHOOSE(Credit_Assumptions!$D$29,AN225*AN226*(1+Credit_Assumptions!$C$17)^-0.5,(1-Credit_Assumptions!$C$16)*AN226*(1+Credit_Assumptions!$C$17)^-0.5,AN226)+AN209*CHOOSE(Credit_Assumptions!$D$30,AN225*AN226*(1+Credit_Assumptions!$C$17)^-0.5,(1-Credit_Assumptions!$C$16)*AN226*(1+Credit_Assumptions!$C$17)^-0.5,AN226)+AN210*CHOOSE(Credit_Assumptions!$D$31,AN225*AN226*(1+Credit_Assumptions!$C$17)^-0.5,(1-Credit_Assumptions!$C$16)*AN226*(1+Credit_Assumptions!$C$17)^-0.5,AN226)+AN211*CHOOSE(Credit_Assumptions!$D$32,AN225*AN226*(1+Credit_Assumptions!$C$17)^-0.5,(1-Credit_Assumptions!$C$16)*AN226*(1+Credit_Assumptions!$C$17)^-0.5,AN226)+AN212*CHOOSE(Credit_Assumptions!$D$33,AN225*AN226*(1+Credit_Assumptions!$C$17)^-0.5,(1-Credit_Assumptions!$C$16)*AN226*(1+Credit_Assumptions!$C$17)^-0.5,AN226)</f>
        <v/>
      </c>
      <c r="AO227" s="80">
        <f>AO207*CHOOSE(Credit_Assumptions!$D$28,AO225*AO226*(1+Credit_Assumptions!$C$17)^-0.5,(1-Credit_Assumptions!$C$16)*AO226*(1+Credit_Assumptions!$C$17)^-0.5,AO226)+AO208*CHOOSE(Credit_Assumptions!$D$29,AO225*AO226*(1+Credit_Assumptions!$C$17)^-0.5,(1-Credit_Assumptions!$C$16)*AO226*(1+Credit_Assumptions!$C$17)^-0.5,AO226)+AO209*CHOOSE(Credit_Assumptions!$D$30,AO225*AO226*(1+Credit_Assumptions!$C$17)^-0.5,(1-Credit_Assumptions!$C$16)*AO226*(1+Credit_Assumptions!$C$17)^-0.5,AO226)+AO210*CHOOSE(Credit_Assumptions!$D$31,AO225*AO226*(1+Credit_Assumptions!$C$17)^-0.5,(1-Credit_Assumptions!$C$16)*AO226*(1+Credit_Assumptions!$C$17)^-0.5,AO226)+AO211*CHOOSE(Credit_Assumptions!$D$32,AO225*AO226*(1+Credit_Assumptions!$C$17)^-0.5,(1-Credit_Assumptions!$C$16)*AO226*(1+Credit_Assumptions!$C$17)^-0.5,AO226)+AO212*CHOOSE(Credit_Assumptions!$D$33,AO225*AO226*(1+Credit_Assumptions!$C$17)^-0.5,(1-Credit_Assumptions!$C$16)*AO226*(1+Credit_Assumptions!$C$17)^-0.5,AO226)</f>
        <v/>
      </c>
      <c r="AP227" s="80">
        <f>AP207*CHOOSE(Credit_Assumptions!$D$28,AP225*AP226*(1+Credit_Assumptions!$C$17)^-0.5,(1-Credit_Assumptions!$C$16)*AP226*(1+Credit_Assumptions!$C$17)^-0.5,AP226)+AP208*CHOOSE(Credit_Assumptions!$D$29,AP225*AP226*(1+Credit_Assumptions!$C$17)^-0.5,(1-Credit_Assumptions!$C$16)*AP226*(1+Credit_Assumptions!$C$17)^-0.5,AP226)+AP209*CHOOSE(Credit_Assumptions!$D$30,AP225*AP226*(1+Credit_Assumptions!$C$17)^-0.5,(1-Credit_Assumptions!$C$16)*AP226*(1+Credit_Assumptions!$C$17)^-0.5,AP226)+AP210*CHOOSE(Credit_Assumptions!$D$31,AP225*AP226*(1+Credit_Assumptions!$C$17)^-0.5,(1-Credit_Assumptions!$C$16)*AP226*(1+Credit_Assumptions!$C$17)^-0.5,AP226)+AP211*CHOOSE(Credit_Assumptions!$D$32,AP225*AP226*(1+Credit_Assumptions!$C$17)^-0.5,(1-Credit_Assumptions!$C$16)*AP226*(1+Credit_Assumptions!$C$17)^-0.5,AP226)+AP212*CHOOSE(Credit_Assumptions!$D$33,AP225*AP226*(1+Credit_Assumptions!$C$17)^-0.5,(1-Credit_Assumptions!$C$16)*AP226*(1+Credit_Assumptions!$C$17)^-0.5,AP226)</f>
        <v/>
      </c>
      <c r="AQ227" s="80">
        <f>AQ207*CHOOSE(Credit_Assumptions!$D$28,AQ225*AQ226*(1+Credit_Assumptions!$C$17)^-0.5,(1-Credit_Assumptions!$C$16)*AQ226*(1+Credit_Assumptions!$C$17)^-0.5,AQ226)+AQ208*CHOOSE(Credit_Assumptions!$D$29,AQ225*AQ226*(1+Credit_Assumptions!$C$17)^-0.5,(1-Credit_Assumptions!$C$16)*AQ226*(1+Credit_Assumptions!$C$17)^-0.5,AQ226)+AQ209*CHOOSE(Credit_Assumptions!$D$30,AQ225*AQ226*(1+Credit_Assumptions!$C$17)^-0.5,(1-Credit_Assumptions!$C$16)*AQ226*(1+Credit_Assumptions!$C$17)^-0.5,AQ226)+AQ210*CHOOSE(Credit_Assumptions!$D$31,AQ225*AQ226*(1+Credit_Assumptions!$C$17)^-0.5,(1-Credit_Assumptions!$C$16)*AQ226*(1+Credit_Assumptions!$C$17)^-0.5,AQ226)+AQ211*CHOOSE(Credit_Assumptions!$D$32,AQ225*AQ226*(1+Credit_Assumptions!$C$17)^-0.5,(1-Credit_Assumptions!$C$16)*AQ226*(1+Credit_Assumptions!$C$17)^-0.5,AQ226)+AQ212*CHOOSE(Credit_Assumptions!$D$33,AQ225*AQ226*(1+Credit_Assumptions!$C$17)^-0.5,(1-Credit_Assumptions!$C$16)*AQ226*(1+Credit_Assumptions!$C$17)^-0.5,AQ226)</f>
        <v/>
      </c>
      <c r="AR227" s="80">
        <f>AR207*CHOOSE(Credit_Assumptions!$D$28,AR225*AR226*(1+Credit_Assumptions!$C$17)^-0.5,(1-Credit_Assumptions!$C$16)*AR226*(1+Credit_Assumptions!$C$17)^-0.5,AR226)+AR208*CHOOSE(Credit_Assumptions!$D$29,AR225*AR226*(1+Credit_Assumptions!$C$17)^-0.5,(1-Credit_Assumptions!$C$16)*AR226*(1+Credit_Assumptions!$C$17)^-0.5,AR226)+AR209*CHOOSE(Credit_Assumptions!$D$30,AR225*AR226*(1+Credit_Assumptions!$C$17)^-0.5,(1-Credit_Assumptions!$C$16)*AR226*(1+Credit_Assumptions!$C$17)^-0.5,AR226)+AR210*CHOOSE(Credit_Assumptions!$D$31,AR225*AR226*(1+Credit_Assumptions!$C$17)^-0.5,(1-Credit_Assumptions!$C$16)*AR226*(1+Credit_Assumptions!$C$17)^-0.5,AR226)+AR211*CHOOSE(Credit_Assumptions!$D$32,AR225*AR226*(1+Credit_Assumptions!$C$17)^-0.5,(1-Credit_Assumptions!$C$16)*AR226*(1+Credit_Assumptions!$C$17)^-0.5,AR226)+AR212*CHOOSE(Credit_Assumptions!$D$33,AR225*AR226*(1+Credit_Assumptions!$C$17)^-0.5,(1-Credit_Assumptions!$C$16)*AR226*(1+Credit_Assumptions!$C$17)^-0.5,AR226)</f>
        <v/>
      </c>
      <c r="AS227" s="80">
        <f>AS207*CHOOSE(Credit_Assumptions!$D$28,AS225*AS226*(1+Credit_Assumptions!$C$17)^-0.5,(1-Credit_Assumptions!$C$16)*AS226*(1+Credit_Assumptions!$C$17)^-0.5,AS226)+AS208*CHOOSE(Credit_Assumptions!$D$29,AS225*AS226*(1+Credit_Assumptions!$C$17)^-0.5,(1-Credit_Assumptions!$C$16)*AS226*(1+Credit_Assumptions!$C$17)^-0.5,AS226)+AS209*CHOOSE(Credit_Assumptions!$D$30,AS225*AS226*(1+Credit_Assumptions!$C$17)^-0.5,(1-Credit_Assumptions!$C$16)*AS226*(1+Credit_Assumptions!$C$17)^-0.5,AS226)+AS210*CHOOSE(Credit_Assumptions!$D$31,AS225*AS226*(1+Credit_Assumptions!$C$17)^-0.5,(1-Credit_Assumptions!$C$16)*AS226*(1+Credit_Assumptions!$C$17)^-0.5,AS226)+AS211*CHOOSE(Credit_Assumptions!$D$32,AS225*AS226*(1+Credit_Assumptions!$C$17)^-0.5,(1-Credit_Assumptions!$C$16)*AS226*(1+Credit_Assumptions!$C$17)^-0.5,AS226)+AS212*CHOOSE(Credit_Assumptions!$D$33,AS225*AS226*(1+Credit_Assumptions!$C$17)^-0.5,(1-Credit_Assumptions!$C$16)*AS226*(1+Credit_Assumptions!$C$17)^-0.5,AS226)</f>
        <v/>
      </c>
      <c r="AT227" s="80">
        <f>AT207*CHOOSE(Credit_Assumptions!$D$28,AT225*AT226*(1+Credit_Assumptions!$C$17)^-0.5,(1-Credit_Assumptions!$C$16)*AT226*(1+Credit_Assumptions!$C$17)^-0.5,AT226)+AT208*CHOOSE(Credit_Assumptions!$D$29,AT225*AT226*(1+Credit_Assumptions!$C$17)^-0.5,(1-Credit_Assumptions!$C$16)*AT226*(1+Credit_Assumptions!$C$17)^-0.5,AT226)+AT209*CHOOSE(Credit_Assumptions!$D$30,AT225*AT226*(1+Credit_Assumptions!$C$17)^-0.5,(1-Credit_Assumptions!$C$16)*AT226*(1+Credit_Assumptions!$C$17)^-0.5,AT226)+AT210*CHOOSE(Credit_Assumptions!$D$31,AT225*AT226*(1+Credit_Assumptions!$C$17)^-0.5,(1-Credit_Assumptions!$C$16)*AT226*(1+Credit_Assumptions!$C$17)^-0.5,AT226)+AT211*CHOOSE(Credit_Assumptions!$D$32,AT225*AT226*(1+Credit_Assumptions!$C$17)^-0.5,(1-Credit_Assumptions!$C$16)*AT226*(1+Credit_Assumptions!$C$17)^-0.5,AT226)+AT212*CHOOSE(Credit_Assumptions!$D$33,AT225*AT226*(1+Credit_Assumptions!$C$17)^-0.5,(1-Credit_Assumptions!$C$16)*AT226*(1+Credit_Assumptions!$C$17)^-0.5,AT226)</f>
        <v/>
      </c>
      <c r="AU227" s="80">
        <f>AU207*CHOOSE(Credit_Assumptions!$D$28,AU225*AU226*(1+Credit_Assumptions!$C$17)^-0.5,(1-Credit_Assumptions!$C$16)*AU226*(1+Credit_Assumptions!$C$17)^-0.5,AU226)+AU208*CHOOSE(Credit_Assumptions!$D$29,AU225*AU226*(1+Credit_Assumptions!$C$17)^-0.5,(1-Credit_Assumptions!$C$16)*AU226*(1+Credit_Assumptions!$C$17)^-0.5,AU226)+AU209*CHOOSE(Credit_Assumptions!$D$30,AU225*AU226*(1+Credit_Assumptions!$C$17)^-0.5,(1-Credit_Assumptions!$C$16)*AU226*(1+Credit_Assumptions!$C$17)^-0.5,AU226)+AU210*CHOOSE(Credit_Assumptions!$D$31,AU225*AU226*(1+Credit_Assumptions!$C$17)^-0.5,(1-Credit_Assumptions!$C$16)*AU226*(1+Credit_Assumptions!$C$17)^-0.5,AU226)+AU211*CHOOSE(Credit_Assumptions!$D$32,AU225*AU226*(1+Credit_Assumptions!$C$17)^-0.5,(1-Credit_Assumptions!$C$16)*AU226*(1+Credit_Assumptions!$C$17)^-0.5,AU226)+AU212*CHOOSE(Credit_Assumptions!$D$33,AU225*AU226*(1+Credit_Assumptions!$C$17)^-0.5,(1-Credit_Assumptions!$C$16)*AU226*(1+Credit_Assumptions!$C$17)^-0.5,AU226)</f>
        <v/>
      </c>
      <c r="AV227" s="80">
        <f>AV207*CHOOSE(Credit_Assumptions!$D$28,AV225*AV226*(1+Credit_Assumptions!$C$17)^-0.5,(1-Credit_Assumptions!$C$16)*AV226*(1+Credit_Assumptions!$C$17)^-0.5,AV226)+AV208*CHOOSE(Credit_Assumptions!$D$29,AV225*AV226*(1+Credit_Assumptions!$C$17)^-0.5,(1-Credit_Assumptions!$C$16)*AV226*(1+Credit_Assumptions!$C$17)^-0.5,AV226)+AV209*CHOOSE(Credit_Assumptions!$D$30,AV225*AV226*(1+Credit_Assumptions!$C$17)^-0.5,(1-Credit_Assumptions!$C$16)*AV226*(1+Credit_Assumptions!$C$17)^-0.5,AV226)+AV210*CHOOSE(Credit_Assumptions!$D$31,AV225*AV226*(1+Credit_Assumptions!$C$17)^-0.5,(1-Credit_Assumptions!$C$16)*AV226*(1+Credit_Assumptions!$C$17)^-0.5,AV226)+AV211*CHOOSE(Credit_Assumptions!$D$32,AV225*AV226*(1+Credit_Assumptions!$C$17)^-0.5,(1-Credit_Assumptions!$C$16)*AV226*(1+Credit_Assumptions!$C$17)^-0.5,AV226)+AV212*CHOOSE(Credit_Assumptions!$D$33,AV225*AV226*(1+Credit_Assumptions!$C$17)^-0.5,(1-Credit_Assumptions!$C$16)*AV226*(1+Credit_Assumptions!$C$17)^-0.5,AV226)</f>
        <v/>
      </c>
      <c r="AW227" s="80">
        <f>AW207*CHOOSE(Credit_Assumptions!$D$28,AW225*AW226*(1+Credit_Assumptions!$C$17)^-0.5,(1-Credit_Assumptions!$C$16)*AW226*(1+Credit_Assumptions!$C$17)^-0.5,AW226)+AW208*CHOOSE(Credit_Assumptions!$D$29,AW225*AW226*(1+Credit_Assumptions!$C$17)^-0.5,(1-Credit_Assumptions!$C$16)*AW226*(1+Credit_Assumptions!$C$17)^-0.5,AW226)+AW209*CHOOSE(Credit_Assumptions!$D$30,AW225*AW226*(1+Credit_Assumptions!$C$17)^-0.5,(1-Credit_Assumptions!$C$16)*AW226*(1+Credit_Assumptions!$C$17)^-0.5,AW226)+AW210*CHOOSE(Credit_Assumptions!$D$31,AW225*AW226*(1+Credit_Assumptions!$C$17)^-0.5,(1-Credit_Assumptions!$C$16)*AW226*(1+Credit_Assumptions!$C$17)^-0.5,AW226)+AW211*CHOOSE(Credit_Assumptions!$D$32,AW225*AW226*(1+Credit_Assumptions!$C$17)^-0.5,(1-Credit_Assumptions!$C$16)*AW226*(1+Credit_Assumptions!$C$17)^-0.5,AW226)+AW212*CHOOSE(Credit_Assumptions!$D$33,AW225*AW226*(1+Credit_Assumptions!$C$17)^-0.5,(1-Credit_Assumptions!$C$16)*AW226*(1+Credit_Assumptions!$C$17)^-0.5,AW226)</f>
        <v/>
      </c>
      <c r="AX227" s="80">
        <f>AX207*CHOOSE(Credit_Assumptions!$D$28,AX225*AX226*(1+Credit_Assumptions!$C$17)^-0.5,(1-Credit_Assumptions!$C$16)*AX226*(1+Credit_Assumptions!$C$17)^-0.5,AX226)+AX208*CHOOSE(Credit_Assumptions!$D$29,AX225*AX226*(1+Credit_Assumptions!$C$17)^-0.5,(1-Credit_Assumptions!$C$16)*AX226*(1+Credit_Assumptions!$C$17)^-0.5,AX226)+AX209*CHOOSE(Credit_Assumptions!$D$30,AX225*AX226*(1+Credit_Assumptions!$C$17)^-0.5,(1-Credit_Assumptions!$C$16)*AX226*(1+Credit_Assumptions!$C$17)^-0.5,AX226)+AX210*CHOOSE(Credit_Assumptions!$D$31,AX225*AX226*(1+Credit_Assumptions!$C$17)^-0.5,(1-Credit_Assumptions!$C$16)*AX226*(1+Credit_Assumptions!$C$17)^-0.5,AX226)+AX211*CHOOSE(Credit_Assumptions!$D$32,AX225*AX226*(1+Credit_Assumptions!$C$17)^-0.5,(1-Credit_Assumptions!$C$16)*AX226*(1+Credit_Assumptions!$C$17)^-0.5,AX226)+AX212*CHOOSE(Credit_Assumptions!$D$33,AX225*AX226*(1+Credit_Assumptions!$C$17)^-0.5,(1-Credit_Assumptions!$C$16)*AX226*(1+Credit_Assumptions!$C$17)^-0.5,AX226)</f>
        <v/>
      </c>
      <c r="AY227" s="80">
        <f>AY207*CHOOSE(Credit_Assumptions!$D$28,AY225*AY226*(1+Credit_Assumptions!$C$17)^-0.5,(1-Credit_Assumptions!$C$16)*AY226*(1+Credit_Assumptions!$C$17)^-0.5,AY226)+AY208*CHOOSE(Credit_Assumptions!$D$29,AY225*AY226*(1+Credit_Assumptions!$C$17)^-0.5,(1-Credit_Assumptions!$C$16)*AY226*(1+Credit_Assumptions!$C$17)^-0.5,AY226)+AY209*CHOOSE(Credit_Assumptions!$D$30,AY225*AY226*(1+Credit_Assumptions!$C$17)^-0.5,(1-Credit_Assumptions!$C$16)*AY226*(1+Credit_Assumptions!$C$17)^-0.5,AY226)+AY210*CHOOSE(Credit_Assumptions!$D$31,AY225*AY226*(1+Credit_Assumptions!$C$17)^-0.5,(1-Credit_Assumptions!$C$16)*AY226*(1+Credit_Assumptions!$C$17)^-0.5,AY226)+AY211*CHOOSE(Credit_Assumptions!$D$32,AY225*AY226*(1+Credit_Assumptions!$C$17)^-0.5,(1-Credit_Assumptions!$C$16)*AY226*(1+Credit_Assumptions!$C$17)^-0.5,AY226)+AY212*CHOOSE(Credit_Assumptions!$D$33,AY225*AY226*(1+Credit_Assumptions!$C$17)^-0.5,(1-Credit_Assumptions!$C$16)*AY226*(1+Credit_Assumptions!$C$17)^-0.5,AY226)</f>
        <v/>
      </c>
      <c r="AZ227" s="80">
        <f>AZ207*CHOOSE(Credit_Assumptions!$D$28,AZ225*AZ226*(1+Credit_Assumptions!$C$17)^-0.5,(1-Credit_Assumptions!$C$16)*AZ226*(1+Credit_Assumptions!$C$17)^-0.5,AZ226)+AZ208*CHOOSE(Credit_Assumptions!$D$29,AZ225*AZ226*(1+Credit_Assumptions!$C$17)^-0.5,(1-Credit_Assumptions!$C$16)*AZ226*(1+Credit_Assumptions!$C$17)^-0.5,AZ226)+AZ209*CHOOSE(Credit_Assumptions!$D$30,AZ225*AZ226*(1+Credit_Assumptions!$C$17)^-0.5,(1-Credit_Assumptions!$C$16)*AZ226*(1+Credit_Assumptions!$C$17)^-0.5,AZ226)+AZ210*CHOOSE(Credit_Assumptions!$D$31,AZ225*AZ226*(1+Credit_Assumptions!$C$17)^-0.5,(1-Credit_Assumptions!$C$16)*AZ226*(1+Credit_Assumptions!$C$17)^-0.5,AZ226)+AZ211*CHOOSE(Credit_Assumptions!$D$32,AZ225*AZ226*(1+Credit_Assumptions!$C$17)^-0.5,(1-Credit_Assumptions!$C$16)*AZ226*(1+Credit_Assumptions!$C$17)^-0.5,AZ226)+AZ212*CHOOSE(Credit_Assumptions!$D$33,AZ225*AZ226*(1+Credit_Assumptions!$C$17)^-0.5,(1-Credit_Assumptions!$C$16)*AZ226*(1+Credit_Assumptions!$C$17)^-0.5,AZ226)</f>
        <v/>
      </c>
      <c r="BA227" s="80">
        <f>BA207*CHOOSE(Credit_Assumptions!$D$28,BA225*BA226*(1+Credit_Assumptions!$C$17)^-0.5,(1-Credit_Assumptions!$C$16)*BA226*(1+Credit_Assumptions!$C$17)^-0.5,BA226)+BA208*CHOOSE(Credit_Assumptions!$D$29,BA225*BA226*(1+Credit_Assumptions!$C$17)^-0.5,(1-Credit_Assumptions!$C$16)*BA226*(1+Credit_Assumptions!$C$17)^-0.5,BA226)+BA209*CHOOSE(Credit_Assumptions!$D$30,BA225*BA226*(1+Credit_Assumptions!$C$17)^-0.5,(1-Credit_Assumptions!$C$16)*BA226*(1+Credit_Assumptions!$C$17)^-0.5,BA226)+BA210*CHOOSE(Credit_Assumptions!$D$31,BA225*BA226*(1+Credit_Assumptions!$C$17)^-0.5,(1-Credit_Assumptions!$C$16)*BA226*(1+Credit_Assumptions!$C$17)^-0.5,BA226)+BA211*CHOOSE(Credit_Assumptions!$D$32,BA225*BA226*(1+Credit_Assumptions!$C$17)^-0.5,(1-Credit_Assumptions!$C$16)*BA226*(1+Credit_Assumptions!$C$17)^-0.5,BA226)+BA212*CHOOSE(Credit_Assumptions!$D$33,BA225*BA226*(1+Credit_Assumptions!$C$17)^-0.5,(1-Credit_Assumptions!$C$16)*BA226*(1+Credit_Assumptions!$C$17)^-0.5,BA226)</f>
        <v/>
      </c>
      <c r="BB227" s="80">
        <f>BB207*CHOOSE(Credit_Assumptions!$D$28,BB225*BB226*(1+Credit_Assumptions!$C$17)^-0.5,(1-Credit_Assumptions!$C$16)*BB226*(1+Credit_Assumptions!$C$17)^-0.5,BB226)+BB208*CHOOSE(Credit_Assumptions!$D$29,BB225*BB226*(1+Credit_Assumptions!$C$17)^-0.5,(1-Credit_Assumptions!$C$16)*BB226*(1+Credit_Assumptions!$C$17)^-0.5,BB226)+BB209*CHOOSE(Credit_Assumptions!$D$30,BB225*BB226*(1+Credit_Assumptions!$C$17)^-0.5,(1-Credit_Assumptions!$C$16)*BB226*(1+Credit_Assumptions!$C$17)^-0.5,BB226)+BB210*CHOOSE(Credit_Assumptions!$D$31,BB225*BB226*(1+Credit_Assumptions!$C$17)^-0.5,(1-Credit_Assumptions!$C$16)*BB226*(1+Credit_Assumptions!$C$17)^-0.5,BB226)+BB211*CHOOSE(Credit_Assumptions!$D$32,BB225*BB226*(1+Credit_Assumptions!$C$17)^-0.5,(1-Credit_Assumptions!$C$16)*BB226*(1+Credit_Assumptions!$C$17)^-0.5,BB226)+BB212*CHOOSE(Credit_Assumptions!$D$33,BB225*BB226*(1+Credit_Assumptions!$C$17)^-0.5,(1-Credit_Assumptions!$C$16)*BB226*(1+Credit_Assumptions!$C$17)^-0.5,BB226)</f>
        <v/>
      </c>
      <c r="BC227" s="80">
        <f>BC207*CHOOSE(Credit_Assumptions!$D$28,BC225*BC226*(1+Credit_Assumptions!$C$17)^-0.5,(1-Credit_Assumptions!$C$16)*BC226*(1+Credit_Assumptions!$C$17)^-0.5,BC226)+BC208*CHOOSE(Credit_Assumptions!$D$29,BC225*BC226*(1+Credit_Assumptions!$C$17)^-0.5,(1-Credit_Assumptions!$C$16)*BC226*(1+Credit_Assumptions!$C$17)^-0.5,BC226)+BC209*CHOOSE(Credit_Assumptions!$D$30,BC225*BC226*(1+Credit_Assumptions!$C$17)^-0.5,(1-Credit_Assumptions!$C$16)*BC226*(1+Credit_Assumptions!$C$17)^-0.5,BC226)+BC210*CHOOSE(Credit_Assumptions!$D$31,BC225*BC226*(1+Credit_Assumptions!$C$17)^-0.5,(1-Credit_Assumptions!$C$16)*BC226*(1+Credit_Assumptions!$C$17)^-0.5,BC226)+BC211*CHOOSE(Credit_Assumptions!$D$32,BC225*BC226*(1+Credit_Assumptions!$C$17)^-0.5,(1-Credit_Assumptions!$C$16)*BC226*(1+Credit_Assumptions!$C$17)^-0.5,BC226)+BC212*CHOOSE(Credit_Assumptions!$D$33,BC225*BC226*(1+Credit_Assumptions!$C$17)^-0.5,(1-Credit_Assumptions!$C$16)*BC226*(1+Credit_Assumptions!$C$17)^-0.5,BC226)</f>
        <v/>
      </c>
      <c r="BD227" s="80">
        <f>BD207*CHOOSE(Credit_Assumptions!$D$28,BD225*BD226*(1+Credit_Assumptions!$C$17)^-0.5,(1-Credit_Assumptions!$C$16)*BD226*(1+Credit_Assumptions!$C$17)^-0.5,BD226)+BD208*CHOOSE(Credit_Assumptions!$D$29,BD225*BD226*(1+Credit_Assumptions!$C$17)^-0.5,(1-Credit_Assumptions!$C$16)*BD226*(1+Credit_Assumptions!$C$17)^-0.5,BD226)+BD209*CHOOSE(Credit_Assumptions!$D$30,BD225*BD226*(1+Credit_Assumptions!$C$17)^-0.5,(1-Credit_Assumptions!$C$16)*BD226*(1+Credit_Assumptions!$C$17)^-0.5,BD226)+BD210*CHOOSE(Credit_Assumptions!$D$31,BD225*BD226*(1+Credit_Assumptions!$C$17)^-0.5,(1-Credit_Assumptions!$C$16)*BD226*(1+Credit_Assumptions!$C$17)^-0.5,BD226)+BD211*CHOOSE(Credit_Assumptions!$D$32,BD225*BD226*(1+Credit_Assumptions!$C$17)^-0.5,(1-Credit_Assumptions!$C$16)*BD226*(1+Credit_Assumptions!$C$17)^-0.5,BD226)+BD212*CHOOSE(Credit_Assumptions!$D$33,BD225*BD226*(1+Credit_Assumptions!$C$17)^-0.5,(1-Credit_Assumptions!$C$16)*BD226*(1+Credit_Assumptions!$C$17)^-0.5,BD226)</f>
        <v/>
      </c>
      <c r="BE227" s="80">
        <f>BE207*CHOOSE(Credit_Assumptions!$D$28,BE225*BE226*(1+Credit_Assumptions!$C$17)^-0.5,(1-Credit_Assumptions!$C$16)*BE226*(1+Credit_Assumptions!$C$17)^-0.5,BE226)+BE208*CHOOSE(Credit_Assumptions!$D$29,BE225*BE226*(1+Credit_Assumptions!$C$17)^-0.5,(1-Credit_Assumptions!$C$16)*BE226*(1+Credit_Assumptions!$C$17)^-0.5,BE226)+BE209*CHOOSE(Credit_Assumptions!$D$30,BE225*BE226*(1+Credit_Assumptions!$C$17)^-0.5,(1-Credit_Assumptions!$C$16)*BE226*(1+Credit_Assumptions!$C$17)^-0.5,BE226)+BE210*CHOOSE(Credit_Assumptions!$D$31,BE225*BE226*(1+Credit_Assumptions!$C$17)^-0.5,(1-Credit_Assumptions!$C$16)*BE226*(1+Credit_Assumptions!$C$17)^-0.5,BE226)+BE211*CHOOSE(Credit_Assumptions!$D$32,BE225*BE226*(1+Credit_Assumptions!$C$17)^-0.5,(1-Credit_Assumptions!$C$16)*BE226*(1+Credit_Assumptions!$C$17)^-0.5,BE226)+BE212*CHOOSE(Credit_Assumptions!$D$33,BE225*BE226*(1+Credit_Assumptions!$C$17)^-0.5,(1-Credit_Assumptions!$C$16)*BE226*(1+Credit_Assumptions!$C$17)^-0.5,BE226)</f>
        <v/>
      </c>
      <c r="BF227" s="80">
        <f>BF207*CHOOSE(Credit_Assumptions!$D$28,BF225*BF226*(1+Credit_Assumptions!$C$17)^-0.5,(1-Credit_Assumptions!$C$16)*BF226*(1+Credit_Assumptions!$C$17)^-0.5,BF226)+BF208*CHOOSE(Credit_Assumptions!$D$29,BF225*BF226*(1+Credit_Assumptions!$C$17)^-0.5,(1-Credit_Assumptions!$C$16)*BF226*(1+Credit_Assumptions!$C$17)^-0.5,BF226)+BF209*CHOOSE(Credit_Assumptions!$D$30,BF225*BF226*(1+Credit_Assumptions!$C$17)^-0.5,(1-Credit_Assumptions!$C$16)*BF226*(1+Credit_Assumptions!$C$17)^-0.5,BF226)+BF210*CHOOSE(Credit_Assumptions!$D$31,BF225*BF226*(1+Credit_Assumptions!$C$17)^-0.5,(1-Credit_Assumptions!$C$16)*BF226*(1+Credit_Assumptions!$C$17)^-0.5,BF226)+BF211*CHOOSE(Credit_Assumptions!$D$32,BF225*BF226*(1+Credit_Assumptions!$C$17)^-0.5,(1-Credit_Assumptions!$C$16)*BF226*(1+Credit_Assumptions!$C$17)^-0.5,BF226)+BF212*CHOOSE(Credit_Assumptions!$D$33,BF225*BF226*(1+Credit_Assumptions!$C$17)^-0.5,(1-Credit_Assumptions!$C$16)*BF226*(1+Credit_Assumptions!$C$17)^-0.5,BF226)</f>
        <v/>
      </c>
      <c r="BG227" s="80">
        <f>BG207*CHOOSE(Credit_Assumptions!$D$28,BG225*BG226*(1+Credit_Assumptions!$C$17)^-0.5,(1-Credit_Assumptions!$C$16)*BG226*(1+Credit_Assumptions!$C$17)^-0.5,BG226)+BG208*CHOOSE(Credit_Assumptions!$D$29,BG225*BG226*(1+Credit_Assumptions!$C$17)^-0.5,(1-Credit_Assumptions!$C$16)*BG226*(1+Credit_Assumptions!$C$17)^-0.5,BG226)+BG209*CHOOSE(Credit_Assumptions!$D$30,BG225*BG226*(1+Credit_Assumptions!$C$17)^-0.5,(1-Credit_Assumptions!$C$16)*BG226*(1+Credit_Assumptions!$C$17)^-0.5,BG226)+BG210*CHOOSE(Credit_Assumptions!$D$31,BG225*BG226*(1+Credit_Assumptions!$C$17)^-0.5,(1-Credit_Assumptions!$C$16)*BG226*(1+Credit_Assumptions!$C$17)^-0.5,BG226)+BG211*CHOOSE(Credit_Assumptions!$D$32,BG225*BG226*(1+Credit_Assumptions!$C$17)^-0.5,(1-Credit_Assumptions!$C$16)*BG226*(1+Credit_Assumptions!$C$17)^-0.5,BG226)+BG212*CHOOSE(Credit_Assumptions!$D$33,BG225*BG226*(1+Credit_Assumptions!$C$17)^-0.5,(1-Credit_Assumptions!$C$16)*BG226*(1+Credit_Assumptions!$C$17)^-0.5,BG226)</f>
        <v/>
      </c>
      <c r="BH227" s="80">
        <f>BH207*CHOOSE(Credit_Assumptions!$D$28,BH225*BH226*(1+Credit_Assumptions!$C$17)^-0.5,(1-Credit_Assumptions!$C$16)*BH226*(1+Credit_Assumptions!$C$17)^-0.5,BH226)+BH208*CHOOSE(Credit_Assumptions!$D$29,BH225*BH226*(1+Credit_Assumptions!$C$17)^-0.5,(1-Credit_Assumptions!$C$16)*BH226*(1+Credit_Assumptions!$C$17)^-0.5,BH226)+BH209*CHOOSE(Credit_Assumptions!$D$30,BH225*BH226*(1+Credit_Assumptions!$C$17)^-0.5,(1-Credit_Assumptions!$C$16)*BH226*(1+Credit_Assumptions!$C$17)^-0.5,BH226)+BH210*CHOOSE(Credit_Assumptions!$D$31,BH225*BH226*(1+Credit_Assumptions!$C$17)^-0.5,(1-Credit_Assumptions!$C$16)*BH226*(1+Credit_Assumptions!$C$17)^-0.5,BH226)+BH211*CHOOSE(Credit_Assumptions!$D$32,BH225*BH226*(1+Credit_Assumptions!$C$17)^-0.5,(1-Credit_Assumptions!$C$16)*BH226*(1+Credit_Assumptions!$C$17)^-0.5,BH226)+BH212*CHOOSE(Credit_Assumptions!$D$33,BH225*BH226*(1+Credit_Assumptions!$C$17)^-0.5,(1-Credit_Assumptions!$C$16)*BH226*(1+Credit_Assumptions!$C$17)^-0.5,BH226)</f>
        <v/>
      </c>
      <c r="BI227" s="80">
        <f>BI207*CHOOSE(Credit_Assumptions!$D$28,BI225*BI226*(1+Credit_Assumptions!$C$17)^-0.5,(1-Credit_Assumptions!$C$16)*BI226*(1+Credit_Assumptions!$C$17)^-0.5,BI226)+BI208*CHOOSE(Credit_Assumptions!$D$29,BI225*BI226*(1+Credit_Assumptions!$C$17)^-0.5,(1-Credit_Assumptions!$C$16)*BI226*(1+Credit_Assumptions!$C$17)^-0.5,BI226)+BI209*CHOOSE(Credit_Assumptions!$D$30,BI225*BI226*(1+Credit_Assumptions!$C$17)^-0.5,(1-Credit_Assumptions!$C$16)*BI226*(1+Credit_Assumptions!$C$17)^-0.5,BI226)+BI210*CHOOSE(Credit_Assumptions!$D$31,BI225*BI226*(1+Credit_Assumptions!$C$17)^-0.5,(1-Credit_Assumptions!$C$16)*BI226*(1+Credit_Assumptions!$C$17)^-0.5,BI226)+BI211*CHOOSE(Credit_Assumptions!$D$32,BI225*BI226*(1+Credit_Assumptions!$C$17)^-0.5,(1-Credit_Assumptions!$C$16)*BI226*(1+Credit_Assumptions!$C$17)^-0.5,BI226)+BI212*CHOOSE(Credit_Assumptions!$D$33,BI225*BI226*(1+Credit_Assumptions!$C$17)^-0.5,(1-Credit_Assumptions!$C$16)*BI226*(1+Credit_Assumptions!$C$17)^-0.5,BI226)</f>
        <v/>
      </c>
      <c r="BJ227" s="80">
        <f>BJ207*CHOOSE(Credit_Assumptions!$D$28,BJ225*BJ226*(1+Credit_Assumptions!$C$17)^-0.5,(1-Credit_Assumptions!$C$16)*BJ226*(1+Credit_Assumptions!$C$17)^-0.5,BJ226)+BJ208*CHOOSE(Credit_Assumptions!$D$29,BJ225*BJ226*(1+Credit_Assumptions!$C$17)^-0.5,(1-Credit_Assumptions!$C$16)*BJ226*(1+Credit_Assumptions!$C$17)^-0.5,BJ226)+BJ209*CHOOSE(Credit_Assumptions!$D$30,BJ225*BJ226*(1+Credit_Assumptions!$C$17)^-0.5,(1-Credit_Assumptions!$C$16)*BJ226*(1+Credit_Assumptions!$C$17)^-0.5,BJ226)+BJ210*CHOOSE(Credit_Assumptions!$D$31,BJ225*BJ226*(1+Credit_Assumptions!$C$17)^-0.5,(1-Credit_Assumptions!$C$16)*BJ226*(1+Credit_Assumptions!$C$17)^-0.5,BJ226)+BJ211*CHOOSE(Credit_Assumptions!$D$32,BJ225*BJ226*(1+Credit_Assumptions!$C$17)^-0.5,(1-Credit_Assumptions!$C$16)*BJ226*(1+Credit_Assumptions!$C$17)^-0.5,BJ226)+BJ212*CHOOSE(Credit_Assumptions!$D$33,BJ225*BJ226*(1+Credit_Assumptions!$C$17)^-0.5,(1-Credit_Assumptions!$C$16)*BJ226*(1+Credit_Assumptions!$C$17)^-0.5,BJ226)</f>
        <v/>
      </c>
      <c r="BK227" s="80">
        <f>BK207*CHOOSE(Credit_Assumptions!$D$28,BK225*BK226*(1+Credit_Assumptions!$C$17)^-0.5,(1-Credit_Assumptions!$C$16)*BK226*(1+Credit_Assumptions!$C$17)^-0.5,BK226)+BK208*CHOOSE(Credit_Assumptions!$D$29,BK225*BK226*(1+Credit_Assumptions!$C$17)^-0.5,(1-Credit_Assumptions!$C$16)*BK226*(1+Credit_Assumptions!$C$17)^-0.5,BK226)+BK209*CHOOSE(Credit_Assumptions!$D$30,BK225*BK226*(1+Credit_Assumptions!$C$17)^-0.5,(1-Credit_Assumptions!$C$16)*BK226*(1+Credit_Assumptions!$C$17)^-0.5,BK226)+BK210*CHOOSE(Credit_Assumptions!$D$31,BK225*BK226*(1+Credit_Assumptions!$C$17)^-0.5,(1-Credit_Assumptions!$C$16)*BK226*(1+Credit_Assumptions!$C$17)^-0.5,BK226)+BK211*CHOOSE(Credit_Assumptions!$D$32,BK225*BK226*(1+Credit_Assumptions!$C$17)^-0.5,(1-Credit_Assumptions!$C$16)*BK226*(1+Credit_Assumptions!$C$17)^-0.5,BK226)+BK212*CHOOSE(Credit_Assumptions!$D$33,BK225*BK226*(1+Credit_Assumptions!$C$17)^-0.5,(1-Credit_Assumptions!$C$16)*BK226*(1+Credit_Assumptions!$C$17)^-0.5,BK226)</f>
        <v/>
      </c>
      <c r="BL227" s="80">
        <f>BL207*CHOOSE(Credit_Assumptions!$D$28,BL225*BL226*(1+Credit_Assumptions!$C$17)^-0.5,(1-Credit_Assumptions!$C$16)*BL226*(1+Credit_Assumptions!$C$17)^-0.5,BL226)+BL208*CHOOSE(Credit_Assumptions!$D$29,BL225*BL226*(1+Credit_Assumptions!$C$17)^-0.5,(1-Credit_Assumptions!$C$16)*BL226*(1+Credit_Assumptions!$C$17)^-0.5,BL226)+BL209*CHOOSE(Credit_Assumptions!$D$30,BL225*BL226*(1+Credit_Assumptions!$C$17)^-0.5,(1-Credit_Assumptions!$C$16)*BL226*(1+Credit_Assumptions!$C$17)^-0.5,BL226)+BL210*CHOOSE(Credit_Assumptions!$D$31,BL225*BL226*(1+Credit_Assumptions!$C$17)^-0.5,(1-Credit_Assumptions!$C$16)*BL226*(1+Credit_Assumptions!$C$17)^-0.5,BL226)+BL211*CHOOSE(Credit_Assumptions!$D$32,BL225*BL226*(1+Credit_Assumptions!$C$17)^-0.5,(1-Credit_Assumptions!$C$16)*BL226*(1+Credit_Assumptions!$C$17)^-0.5,BL226)+BL212*CHOOSE(Credit_Assumptions!$D$33,BL225*BL226*(1+Credit_Assumptions!$C$17)^-0.5,(1-Credit_Assumptions!$C$16)*BL226*(1+Credit_Assumptions!$C$17)^-0.5,BL226)</f>
        <v/>
      </c>
    </row>
    <row r="228">
      <c r="A228" s="98" t="inlineStr">
        <is>
          <t>Eligible receivables (borrowing base)</t>
        </is>
      </c>
      <c r="B228" s="65" t="inlineStr">
        <is>
          <t>LCY</t>
        </is>
      </c>
      <c r="C228" s="105">
        <f>BL228</f>
        <v/>
      </c>
      <c r="E228" s="80">
        <f>E207*Credit_Assumptions!$E$28+E208*Credit_Assumptions!$E$29+E209*Credit_Assumptions!$E$30+E210*Credit_Assumptions!$E$31+E211*Credit_Assumptions!$E$32+E212*Credit_Assumptions!$E$33</f>
        <v/>
      </c>
      <c r="F228" s="80">
        <f>F207*Credit_Assumptions!$E$28+F208*Credit_Assumptions!$E$29+F209*Credit_Assumptions!$E$30+F210*Credit_Assumptions!$E$31+F211*Credit_Assumptions!$E$32+F212*Credit_Assumptions!$E$33</f>
        <v/>
      </c>
      <c r="G228" s="80">
        <f>G207*Credit_Assumptions!$E$28+G208*Credit_Assumptions!$E$29+G209*Credit_Assumptions!$E$30+G210*Credit_Assumptions!$E$31+G211*Credit_Assumptions!$E$32+G212*Credit_Assumptions!$E$33</f>
        <v/>
      </c>
      <c r="H228" s="80">
        <f>H207*Credit_Assumptions!$E$28+H208*Credit_Assumptions!$E$29+H209*Credit_Assumptions!$E$30+H210*Credit_Assumptions!$E$31+H211*Credit_Assumptions!$E$32+H212*Credit_Assumptions!$E$33</f>
        <v/>
      </c>
      <c r="I228" s="80">
        <f>I207*Credit_Assumptions!$E$28+I208*Credit_Assumptions!$E$29+I209*Credit_Assumptions!$E$30+I210*Credit_Assumptions!$E$31+I211*Credit_Assumptions!$E$32+I212*Credit_Assumptions!$E$33</f>
        <v/>
      </c>
      <c r="J228" s="80">
        <f>J207*Credit_Assumptions!$E$28+J208*Credit_Assumptions!$E$29+J209*Credit_Assumptions!$E$30+J210*Credit_Assumptions!$E$31+J211*Credit_Assumptions!$E$32+J212*Credit_Assumptions!$E$33</f>
        <v/>
      </c>
      <c r="K228" s="80">
        <f>K207*Credit_Assumptions!$E$28+K208*Credit_Assumptions!$E$29+K209*Credit_Assumptions!$E$30+K210*Credit_Assumptions!$E$31+K211*Credit_Assumptions!$E$32+K212*Credit_Assumptions!$E$33</f>
        <v/>
      </c>
      <c r="L228" s="80">
        <f>L207*Credit_Assumptions!$E$28+L208*Credit_Assumptions!$E$29+L209*Credit_Assumptions!$E$30+L210*Credit_Assumptions!$E$31+L211*Credit_Assumptions!$E$32+L212*Credit_Assumptions!$E$33</f>
        <v/>
      </c>
      <c r="M228" s="80">
        <f>M207*Credit_Assumptions!$E$28+M208*Credit_Assumptions!$E$29+M209*Credit_Assumptions!$E$30+M210*Credit_Assumptions!$E$31+M211*Credit_Assumptions!$E$32+M212*Credit_Assumptions!$E$33</f>
        <v/>
      </c>
      <c r="N228" s="80">
        <f>N207*Credit_Assumptions!$E$28+N208*Credit_Assumptions!$E$29+N209*Credit_Assumptions!$E$30+N210*Credit_Assumptions!$E$31+N211*Credit_Assumptions!$E$32+N212*Credit_Assumptions!$E$33</f>
        <v/>
      </c>
      <c r="O228" s="80">
        <f>O207*Credit_Assumptions!$E$28+O208*Credit_Assumptions!$E$29+O209*Credit_Assumptions!$E$30+O210*Credit_Assumptions!$E$31+O211*Credit_Assumptions!$E$32+O212*Credit_Assumptions!$E$33</f>
        <v/>
      </c>
      <c r="P228" s="80">
        <f>P207*Credit_Assumptions!$E$28+P208*Credit_Assumptions!$E$29+P209*Credit_Assumptions!$E$30+P210*Credit_Assumptions!$E$31+P211*Credit_Assumptions!$E$32+P212*Credit_Assumptions!$E$33</f>
        <v/>
      </c>
      <c r="Q228" s="80">
        <f>Q207*Credit_Assumptions!$E$28+Q208*Credit_Assumptions!$E$29+Q209*Credit_Assumptions!$E$30+Q210*Credit_Assumptions!$E$31+Q211*Credit_Assumptions!$E$32+Q212*Credit_Assumptions!$E$33</f>
        <v/>
      </c>
      <c r="R228" s="80">
        <f>R207*Credit_Assumptions!$E$28+R208*Credit_Assumptions!$E$29+R209*Credit_Assumptions!$E$30+R210*Credit_Assumptions!$E$31+R211*Credit_Assumptions!$E$32+R212*Credit_Assumptions!$E$33</f>
        <v/>
      </c>
      <c r="S228" s="80">
        <f>S207*Credit_Assumptions!$E$28+S208*Credit_Assumptions!$E$29+S209*Credit_Assumptions!$E$30+S210*Credit_Assumptions!$E$31+S211*Credit_Assumptions!$E$32+S212*Credit_Assumptions!$E$33</f>
        <v/>
      </c>
      <c r="T228" s="80">
        <f>T207*Credit_Assumptions!$E$28+T208*Credit_Assumptions!$E$29+T209*Credit_Assumptions!$E$30+T210*Credit_Assumptions!$E$31+T211*Credit_Assumptions!$E$32+T212*Credit_Assumptions!$E$33</f>
        <v/>
      </c>
      <c r="U228" s="80">
        <f>U207*Credit_Assumptions!$E$28+U208*Credit_Assumptions!$E$29+U209*Credit_Assumptions!$E$30+U210*Credit_Assumptions!$E$31+U211*Credit_Assumptions!$E$32+U212*Credit_Assumptions!$E$33</f>
        <v/>
      </c>
      <c r="V228" s="80">
        <f>V207*Credit_Assumptions!$E$28+V208*Credit_Assumptions!$E$29+V209*Credit_Assumptions!$E$30+V210*Credit_Assumptions!$E$31+V211*Credit_Assumptions!$E$32+V212*Credit_Assumptions!$E$33</f>
        <v/>
      </c>
      <c r="W228" s="80">
        <f>W207*Credit_Assumptions!$E$28+W208*Credit_Assumptions!$E$29+W209*Credit_Assumptions!$E$30+W210*Credit_Assumptions!$E$31+W211*Credit_Assumptions!$E$32+W212*Credit_Assumptions!$E$33</f>
        <v/>
      </c>
      <c r="X228" s="80">
        <f>X207*Credit_Assumptions!$E$28+X208*Credit_Assumptions!$E$29+X209*Credit_Assumptions!$E$30+X210*Credit_Assumptions!$E$31+X211*Credit_Assumptions!$E$32+X212*Credit_Assumptions!$E$33</f>
        <v/>
      </c>
      <c r="Y228" s="80">
        <f>Y207*Credit_Assumptions!$E$28+Y208*Credit_Assumptions!$E$29+Y209*Credit_Assumptions!$E$30+Y210*Credit_Assumptions!$E$31+Y211*Credit_Assumptions!$E$32+Y212*Credit_Assumptions!$E$33</f>
        <v/>
      </c>
      <c r="Z228" s="80">
        <f>Z207*Credit_Assumptions!$E$28+Z208*Credit_Assumptions!$E$29+Z209*Credit_Assumptions!$E$30+Z210*Credit_Assumptions!$E$31+Z211*Credit_Assumptions!$E$32+Z212*Credit_Assumptions!$E$33</f>
        <v/>
      </c>
      <c r="AA228" s="80">
        <f>AA207*Credit_Assumptions!$E$28+AA208*Credit_Assumptions!$E$29+AA209*Credit_Assumptions!$E$30+AA210*Credit_Assumptions!$E$31+AA211*Credit_Assumptions!$E$32+AA212*Credit_Assumptions!$E$33</f>
        <v/>
      </c>
      <c r="AB228" s="80">
        <f>AB207*Credit_Assumptions!$E$28+AB208*Credit_Assumptions!$E$29+AB209*Credit_Assumptions!$E$30+AB210*Credit_Assumptions!$E$31+AB211*Credit_Assumptions!$E$32+AB212*Credit_Assumptions!$E$33</f>
        <v/>
      </c>
      <c r="AC228" s="80">
        <f>AC207*Credit_Assumptions!$E$28+AC208*Credit_Assumptions!$E$29+AC209*Credit_Assumptions!$E$30+AC210*Credit_Assumptions!$E$31+AC211*Credit_Assumptions!$E$32+AC212*Credit_Assumptions!$E$33</f>
        <v/>
      </c>
      <c r="AD228" s="80">
        <f>AD207*Credit_Assumptions!$E$28+AD208*Credit_Assumptions!$E$29+AD209*Credit_Assumptions!$E$30+AD210*Credit_Assumptions!$E$31+AD211*Credit_Assumptions!$E$32+AD212*Credit_Assumptions!$E$33</f>
        <v/>
      </c>
      <c r="AE228" s="80">
        <f>AE207*Credit_Assumptions!$E$28+AE208*Credit_Assumptions!$E$29+AE209*Credit_Assumptions!$E$30+AE210*Credit_Assumptions!$E$31+AE211*Credit_Assumptions!$E$32+AE212*Credit_Assumptions!$E$33</f>
        <v/>
      </c>
      <c r="AF228" s="80">
        <f>AF207*Credit_Assumptions!$E$28+AF208*Credit_Assumptions!$E$29+AF209*Credit_Assumptions!$E$30+AF210*Credit_Assumptions!$E$31+AF211*Credit_Assumptions!$E$32+AF212*Credit_Assumptions!$E$33</f>
        <v/>
      </c>
      <c r="AG228" s="80">
        <f>AG207*Credit_Assumptions!$E$28+AG208*Credit_Assumptions!$E$29+AG209*Credit_Assumptions!$E$30+AG210*Credit_Assumptions!$E$31+AG211*Credit_Assumptions!$E$32+AG212*Credit_Assumptions!$E$33</f>
        <v/>
      </c>
      <c r="AH228" s="80">
        <f>AH207*Credit_Assumptions!$E$28+AH208*Credit_Assumptions!$E$29+AH209*Credit_Assumptions!$E$30+AH210*Credit_Assumptions!$E$31+AH211*Credit_Assumptions!$E$32+AH212*Credit_Assumptions!$E$33</f>
        <v/>
      </c>
      <c r="AI228" s="80">
        <f>AI207*Credit_Assumptions!$E$28+AI208*Credit_Assumptions!$E$29+AI209*Credit_Assumptions!$E$30+AI210*Credit_Assumptions!$E$31+AI211*Credit_Assumptions!$E$32+AI212*Credit_Assumptions!$E$33</f>
        <v/>
      </c>
      <c r="AJ228" s="80">
        <f>AJ207*Credit_Assumptions!$E$28+AJ208*Credit_Assumptions!$E$29+AJ209*Credit_Assumptions!$E$30+AJ210*Credit_Assumptions!$E$31+AJ211*Credit_Assumptions!$E$32+AJ212*Credit_Assumptions!$E$33</f>
        <v/>
      </c>
      <c r="AK228" s="80">
        <f>AK207*Credit_Assumptions!$E$28+AK208*Credit_Assumptions!$E$29+AK209*Credit_Assumptions!$E$30+AK210*Credit_Assumptions!$E$31+AK211*Credit_Assumptions!$E$32+AK212*Credit_Assumptions!$E$33</f>
        <v/>
      </c>
      <c r="AL228" s="80">
        <f>AL207*Credit_Assumptions!$E$28+AL208*Credit_Assumptions!$E$29+AL209*Credit_Assumptions!$E$30+AL210*Credit_Assumptions!$E$31+AL211*Credit_Assumptions!$E$32+AL212*Credit_Assumptions!$E$33</f>
        <v/>
      </c>
      <c r="AM228" s="80">
        <f>AM207*Credit_Assumptions!$E$28+AM208*Credit_Assumptions!$E$29+AM209*Credit_Assumptions!$E$30+AM210*Credit_Assumptions!$E$31+AM211*Credit_Assumptions!$E$32+AM212*Credit_Assumptions!$E$33</f>
        <v/>
      </c>
      <c r="AN228" s="80">
        <f>AN207*Credit_Assumptions!$E$28+AN208*Credit_Assumptions!$E$29+AN209*Credit_Assumptions!$E$30+AN210*Credit_Assumptions!$E$31+AN211*Credit_Assumptions!$E$32+AN212*Credit_Assumptions!$E$33</f>
        <v/>
      </c>
      <c r="AO228" s="80">
        <f>AO207*Credit_Assumptions!$E$28+AO208*Credit_Assumptions!$E$29+AO209*Credit_Assumptions!$E$30+AO210*Credit_Assumptions!$E$31+AO211*Credit_Assumptions!$E$32+AO212*Credit_Assumptions!$E$33</f>
        <v/>
      </c>
      <c r="AP228" s="80">
        <f>AP207*Credit_Assumptions!$E$28+AP208*Credit_Assumptions!$E$29+AP209*Credit_Assumptions!$E$30+AP210*Credit_Assumptions!$E$31+AP211*Credit_Assumptions!$E$32+AP212*Credit_Assumptions!$E$33</f>
        <v/>
      </c>
      <c r="AQ228" s="80">
        <f>AQ207*Credit_Assumptions!$E$28+AQ208*Credit_Assumptions!$E$29+AQ209*Credit_Assumptions!$E$30+AQ210*Credit_Assumptions!$E$31+AQ211*Credit_Assumptions!$E$32+AQ212*Credit_Assumptions!$E$33</f>
        <v/>
      </c>
      <c r="AR228" s="80">
        <f>AR207*Credit_Assumptions!$E$28+AR208*Credit_Assumptions!$E$29+AR209*Credit_Assumptions!$E$30+AR210*Credit_Assumptions!$E$31+AR211*Credit_Assumptions!$E$32+AR212*Credit_Assumptions!$E$33</f>
        <v/>
      </c>
      <c r="AS228" s="80">
        <f>AS207*Credit_Assumptions!$E$28+AS208*Credit_Assumptions!$E$29+AS209*Credit_Assumptions!$E$30+AS210*Credit_Assumptions!$E$31+AS211*Credit_Assumptions!$E$32+AS212*Credit_Assumptions!$E$33</f>
        <v/>
      </c>
      <c r="AT228" s="80">
        <f>AT207*Credit_Assumptions!$E$28+AT208*Credit_Assumptions!$E$29+AT209*Credit_Assumptions!$E$30+AT210*Credit_Assumptions!$E$31+AT211*Credit_Assumptions!$E$32+AT212*Credit_Assumptions!$E$33</f>
        <v/>
      </c>
      <c r="AU228" s="80">
        <f>AU207*Credit_Assumptions!$E$28+AU208*Credit_Assumptions!$E$29+AU209*Credit_Assumptions!$E$30+AU210*Credit_Assumptions!$E$31+AU211*Credit_Assumptions!$E$32+AU212*Credit_Assumptions!$E$33</f>
        <v/>
      </c>
      <c r="AV228" s="80">
        <f>AV207*Credit_Assumptions!$E$28+AV208*Credit_Assumptions!$E$29+AV209*Credit_Assumptions!$E$30+AV210*Credit_Assumptions!$E$31+AV211*Credit_Assumptions!$E$32+AV212*Credit_Assumptions!$E$33</f>
        <v/>
      </c>
      <c r="AW228" s="80">
        <f>AW207*Credit_Assumptions!$E$28+AW208*Credit_Assumptions!$E$29+AW209*Credit_Assumptions!$E$30+AW210*Credit_Assumptions!$E$31+AW211*Credit_Assumptions!$E$32+AW212*Credit_Assumptions!$E$33</f>
        <v/>
      </c>
      <c r="AX228" s="80">
        <f>AX207*Credit_Assumptions!$E$28+AX208*Credit_Assumptions!$E$29+AX209*Credit_Assumptions!$E$30+AX210*Credit_Assumptions!$E$31+AX211*Credit_Assumptions!$E$32+AX212*Credit_Assumptions!$E$33</f>
        <v/>
      </c>
      <c r="AY228" s="80">
        <f>AY207*Credit_Assumptions!$E$28+AY208*Credit_Assumptions!$E$29+AY209*Credit_Assumptions!$E$30+AY210*Credit_Assumptions!$E$31+AY211*Credit_Assumptions!$E$32+AY212*Credit_Assumptions!$E$33</f>
        <v/>
      </c>
      <c r="AZ228" s="80">
        <f>AZ207*Credit_Assumptions!$E$28+AZ208*Credit_Assumptions!$E$29+AZ209*Credit_Assumptions!$E$30+AZ210*Credit_Assumptions!$E$31+AZ211*Credit_Assumptions!$E$32+AZ212*Credit_Assumptions!$E$33</f>
        <v/>
      </c>
      <c r="BA228" s="80">
        <f>BA207*Credit_Assumptions!$E$28+BA208*Credit_Assumptions!$E$29+BA209*Credit_Assumptions!$E$30+BA210*Credit_Assumptions!$E$31+BA211*Credit_Assumptions!$E$32+BA212*Credit_Assumptions!$E$33</f>
        <v/>
      </c>
      <c r="BB228" s="80">
        <f>BB207*Credit_Assumptions!$E$28+BB208*Credit_Assumptions!$E$29+BB209*Credit_Assumptions!$E$30+BB210*Credit_Assumptions!$E$31+BB211*Credit_Assumptions!$E$32+BB212*Credit_Assumptions!$E$33</f>
        <v/>
      </c>
      <c r="BC228" s="80">
        <f>BC207*Credit_Assumptions!$E$28+BC208*Credit_Assumptions!$E$29+BC209*Credit_Assumptions!$E$30+BC210*Credit_Assumptions!$E$31+BC211*Credit_Assumptions!$E$32+BC212*Credit_Assumptions!$E$33</f>
        <v/>
      </c>
      <c r="BD228" s="80">
        <f>BD207*Credit_Assumptions!$E$28+BD208*Credit_Assumptions!$E$29+BD209*Credit_Assumptions!$E$30+BD210*Credit_Assumptions!$E$31+BD211*Credit_Assumptions!$E$32+BD212*Credit_Assumptions!$E$33</f>
        <v/>
      </c>
      <c r="BE228" s="80">
        <f>BE207*Credit_Assumptions!$E$28+BE208*Credit_Assumptions!$E$29+BE209*Credit_Assumptions!$E$30+BE210*Credit_Assumptions!$E$31+BE211*Credit_Assumptions!$E$32+BE212*Credit_Assumptions!$E$33</f>
        <v/>
      </c>
      <c r="BF228" s="80">
        <f>BF207*Credit_Assumptions!$E$28+BF208*Credit_Assumptions!$E$29+BF209*Credit_Assumptions!$E$30+BF210*Credit_Assumptions!$E$31+BF211*Credit_Assumptions!$E$32+BF212*Credit_Assumptions!$E$33</f>
        <v/>
      </c>
      <c r="BG228" s="80">
        <f>BG207*Credit_Assumptions!$E$28+BG208*Credit_Assumptions!$E$29+BG209*Credit_Assumptions!$E$30+BG210*Credit_Assumptions!$E$31+BG211*Credit_Assumptions!$E$32+BG212*Credit_Assumptions!$E$33</f>
        <v/>
      </c>
      <c r="BH228" s="80">
        <f>BH207*Credit_Assumptions!$E$28+BH208*Credit_Assumptions!$E$29+BH209*Credit_Assumptions!$E$30+BH210*Credit_Assumptions!$E$31+BH211*Credit_Assumptions!$E$32+BH212*Credit_Assumptions!$E$33</f>
        <v/>
      </c>
      <c r="BI228" s="80">
        <f>BI207*Credit_Assumptions!$E$28+BI208*Credit_Assumptions!$E$29+BI209*Credit_Assumptions!$E$30+BI210*Credit_Assumptions!$E$31+BI211*Credit_Assumptions!$E$32+BI212*Credit_Assumptions!$E$33</f>
        <v/>
      </c>
      <c r="BJ228" s="80">
        <f>BJ207*Credit_Assumptions!$E$28+BJ208*Credit_Assumptions!$E$29+BJ209*Credit_Assumptions!$E$30+BJ210*Credit_Assumptions!$E$31+BJ211*Credit_Assumptions!$E$32+BJ212*Credit_Assumptions!$E$33</f>
        <v/>
      </c>
      <c r="BK228" s="80">
        <f>BK207*Credit_Assumptions!$E$28+BK208*Credit_Assumptions!$E$29+BK209*Credit_Assumptions!$E$30+BK210*Credit_Assumptions!$E$31+BK211*Credit_Assumptions!$E$32+BK212*Credit_Assumptions!$E$33</f>
        <v/>
      </c>
      <c r="BL228" s="80">
        <f>BL207*Credit_Assumptions!$E$28+BL208*Credit_Assumptions!$E$29+BL209*Credit_Assumptions!$E$30+BL210*Credit_Assumptions!$E$31+BL211*Credit_Assumptions!$E$32+BL212*Credit_Assumptions!$E$33</f>
        <v/>
      </c>
    </row>
    <row r="229">
      <c r="A229" s="98" t="inlineStr">
        <is>
          <t>Borrowing-base contribution (advance rate x eligible)</t>
        </is>
      </c>
      <c r="B229" s="65" t="inlineStr">
        <is>
          <t>LCY</t>
        </is>
      </c>
      <c r="C229" s="105">
        <f>BL229</f>
        <v/>
      </c>
      <c r="E229" s="80">
        <f>E228*Products!$F$31</f>
        <v/>
      </c>
      <c r="F229" s="80">
        <f>F228*Products!$F$31</f>
        <v/>
      </c>
      <c r="G229" s="80">
        <f>G228*Products!$F$31</f>
        <v/>
      </c>
      <c r="H229" s="80">
        <f>H228*Products!$F$31</f>
        <v/>
      </c>
      <c r="I229" s="80">
        <f>I228*Products!$F$31</f>
        <v/>
      </c>
      <c r="J229" s="80">
        <f>J228*Products!$F$31</f>
        <v/>
      </c>
      <c r="K229" s="80">
        <f>K228*Products!$F$31</f>
        <v/>
      </c>
      <c r="L229" s="80">
        <f>L228*Products!$F$31</f>
        <v/>
      </c>
      <c r="M229" s="80">
        <f>M228*Products!$F$31</f>
        <v/>
      </c>
      <c r="N229" s="80">
        <f>N228*Products!$F$31</f>
        <v/>
      </c>
      <c r="O229" s="80">
        <f>O228*Products!$F$31</f>
        <v/>
      </c>
      <c r="P229" s="80">
        <f>P228*Products!$F$31</f>
        <v/>
      </c>
      <c r="Q229" s="80">
        <f>Q228*Products!$F$31</f>
        <v/>
      </c>
      <c r="R229" s="80">
        <f>R228*Products!$F$31</f>
        <v/>
      </c>
      <c r="S229" s="80">
        <f>S228*Products!$F$31</f>
        <v/>
      </c>
      <c r="T229" s="80">
        <f>T228*Products!$F$31</f>
        <v/>
      </c>
      <c r="U229" s="80">
        <f>U228*Products!$F$31</f>
        <v/>
      </c>
      <c r="V229" s="80">
        <f>V228*Products!$F$31</f>
        <v/>
      </c>
      <c r="W229" s="80">
        <f>W228*Products!$F$31</f>
        <v/>
      </c>
      <c r="X229" s="80">
        <f>X228*Products!$F$31</f>
        <v/>
      </c>
      <c r="Y229" s="80">
        <f>Y228*Products!$F$31</f>
        <v/>
      </c>
      <c r="Z229" s="80">
        <f>Z228*Products!$F$31</f>
        <v/>
      </c>
      <c r="AA229" s="80">
        <f>AA228*Products!$F$31</f>
        <v/>
      </c>
      <c r="AB229" s="80">
        <f>AB228*Products!$F$31</f>
        <v/>
      </c>
      <c r="AC229" s="80">
        <f>AC228*Products!$F$31</f>
        <v/>
      </c>
      <c r="AD229" s="80">
        <f>AD228*Products!$F$31</f>
        <v/>
      </c>
      <c r="AE229" s="80">
        <f>AE228*Products!$F$31</f>
        <v/>
      </c>
      <c r="AF229" s="80">
        <f>AF228*Products!$F$31</f>
        <v/>
      </c>
      <c r="AG229" s="80">
        <f>AG228*Products!$F$31</f>
        <v/>
      </c>
      <c r="AH229" s="80">
        <f>AH228*Products!$F$31</f>
        <v/>
      </c>
      <c r="AI229" s="80">
        <f>AI228*Products!$F$31</f>
        <v/>
      </c>
      <c r="AJ229" s="80">
        <f>AJ228*Products!$F$31</f>
        <v/>
      </c>
      <c r="AK229" s="80">
        <f>AK228*Products!$F$31</f>
        <v/>
      </c>
      <c r="AL229" s="80">
        <f>AL228*Products!$F$31</f>
        <v/>
      </c>
      <c r="AM229" s="80">
        <f>AM228*Products!$F$31</f>
        <v/>
      </c>
      <c r="AN229" s="80">
        <f>AN228*Products!$F$31</f>
        <v/>
      </c>
      <c r="AO229" s="80">
        <f>AO228*Products!$F$31</f>
        <v/>
      </c>
      <c r="AP229" s="80">
        <f>AP228*Products!$F$31</f>
        <v/>
      </c>
      <c r="AQ229" s="80">
        <f>AQ228*Products!$F$31</f>
        <v/>
      </c>
      <c r="AR229" s="80">
        <f>AR228*Products!$F$31</f>
        <v/>
      </c>
      <c r="AS229" s="80">
        <f>AS228*Products!$F$31</f>
        <v/>
      </c>
      <c r="AT229" s="80">
        <f>AT228*Products!$F$31</f>
        <v/>
      </c>
      <c r="AU229" s="80">
        <f>AU228*Products!$F$31</f>
        <v/>
      </c>
      <c r="AV229" s="80">
        <f>AV228*Products!$F$31</f>
        <v/>
      </c>
      <c r="AW229" s="80">
        <f>AW228*Products!$F$31</f>
        <v/>
      </c>
      <c r="AX229" s="80">
        <f>AX228*Products!$F$31</f>
        <v/>
      </c>
      <c r="AY229" s="80">
        <f>AY228*Products!$F$31</f>
        <v/>
      </c>
      <c r="AZ229" s="80">
        <f>AZ228*Products!$F$31</f>
        <v/>
      </c>
      <c r="BA229" s="80">
        <f>BA228*Products!$F$31</f>
        <v/>
      </c>
      <c r="BB229" s="80">
        <f>BB228*Products!$F$31</f>
        <v/>
      </c>
      <c r="BC229" s="80">
        <f>BC228*Products!$F$31</f>
        <v/>
      </c>
      <c r="BD229" s="80">
        <f>BD228*Products!$F$31</f>
        <v/>
      </c>
      <c r="BE229" s="80">
        <f>BE228*Products!$F$31</f>
        <v/>
      </c>
      <c r="BF229" s="80">
        <f>BF228*Products!$F$31</f>
        <v/>
      </c>
      <c r="BG229" s="80">
        <f>BG228*Products!$F$31</f>
        <v/>
      </c>
      <c r="BH229" s="80">
        <f>BH228*Products!$F$31</f>
        <v/>
      </c>
      <c r="BI229" s="80">
        <f>BI228*Products!$F$31</f>
        <v/>
      </c>
      <c r="BJ229" s="80">
        <f>BJ228*Products!$F$31</f>
        <v/>
      </c>
      <c r="BK229" s="80">
        <f>BK228*Products!$F$31</f>
        <v/>
      </c>
      <c r="BL229" s="80">
        <f>BL228*Products!$F$31</f>
        <v/>
      </c>
    </row>
    <row r="230">
      <c r="A230" s="98" t="inlineStr">
        <is>
          <t>Reconciliation: buckets: gross (should be 0)</t>
        </is>
      </c>
      <c r="B230" s="65" t="inlineStr">
        <is>
          <t>LCY</t>
        </is>
      </c>
      <c r="C230" s="105">
        <f>BL230</f>
        <v/>
      </c>
      <c r="E230" s="80">
        <f>ROUND(SUM(E207:E212)-E206,0)</f>
        <v/>
      </c>
      <c r="F230" s="80">
        <f>ROUND(SUM(F207:F212)-F206,0)</f>
        <v/>
      </c>
      <c r="G230" s="80">
        <f>ROUND(SUM(G207:G212)-G206,0)</f>
        <v/>
      </c>
      <c r="H230" s="80">
        <f>ROUND(SUM(H207:H212)-H206,0)</f>
        <v/>
      </c>
      <c r="I230" s="80">
        <f>ROUND(SUM(I207:I212)-I206,0)</f>
        <v/>
      </c>
      <c r="J230" s="80">
        <f>ROUND(SUM(J207:J212)-J206,0)</f>
        <v/>
      </c>
      <c r="K230" s="80">
        <f>ROUND(SUM(K207:K212)-K206,0)</f>
        <v/>
      </c>
      <c r="L230" s="80">
        <f>ROUND(SUM(L207:L212)-L206,0)</f>
        <v/>
      </c>
      <c r="M230" s="80">
        <f>ROUND(SUM(M207:M212)-M206,0)</f>
        <v/>
      </c>
      <c r="N230" s="80">
        <f>ROUND(SUM(N207:N212)-N206,0)</f>
        <v/>
      </c>
      <c r="O230" s="80">
        <f>ROUND(SUM(O207:O212)-O206,0)</f>
        <v/>
      </c>
      <c r="P230" s="80">
        <f>ROUND(SUM(P207:P212)-P206,0)</f>
        <v/>
      </c>
      <c r="Q230" s="80">
        <f>ROUND(SUM(Q207:Q212)-Q206,0)</f>
        <v/>
      </c>
      <c r="R230" s="80">
        <f>ROUND(SUM(R207:R212)-R206,0)</f>
        <v/>
      </c>
      <c r="S230" s="80">
        <f>ROUND(SUM(S207:S212)-S206,0)</f>
        <v/>
      </c>
      <c r="T230" s="80">
        <f>ROUND(SUM(T207:T212)-T206,0)</f>
        <v/>
      </c>
      <c r="U230" s="80">
        <f>ROUND(SUM(U207:U212)-U206,0)</f>
        <v/>
      </c>
      <c r="V230" s="80">
        <f>ROUND(SUM(V207:V212)-V206,0)</f>
        <v/>
      </c>
      <c r="W230" s="80">
        <f>ROUND(SUM(W207:W212)-W206,0)</f>
        <v/>
      </c>
      <c r="X230" s="80">
        <f>ROUND(SUM(X207:X212)-X206,0)</f>
        <v/>
      </c>
      <c r="Y230" s="80">
        <f>ROUND(SUM(Y207:Y212)-Y206,0)</f>
        <v/>
      </c>
      <c r="Z230" s="80">
        <f>ROUND(SUM(Z207:Z212)-Z206,0)</f>
        <v/>
      </c>
      <c r="AA230" s="80">
        <f>ROUND(SUM(AA207:AA212)-AA206,0)</f>
        <v/>
      </c>
      <c r="AB230" s="80">
        <f>ROUND(SUM(AB207:AB212)-AB206,0)</f>
        <v/>
      </c>
      <c r="AC230" s="80">
        <f>ROUND(SUM(AC207:AC212)-AC206,0)</f>
        <v/>
      </c>
      <c r="AD230" s="80">
        <f>ROUND(SUM(AD207:AD212)-AD206,0)</f>
        <v/>
      </c>
      <c r="AE230" s="80">
        <f>ROUND(SUM(AE207:AE212)-AE206,0)</f>
        <v/>
      </c>
      <c r="AF230" s="80">
        <f>ROUND(SUM(AF207:AF212)-AF206,0)</f>
        <v/>
      </c>
      <c r="AG230" s="80">
        <f>ROUND(SUM(AG207:AG212)-AG206,0)</f>
        <v/>
      </c>
      <c r="AH230" s="80">
        <f>ROUND(SUM(AH207:AH212)-AH206,0)</f>
        <v/>
      </c>
      <c r="AI230" s="80">
        <f>ROUND(SUM(AI207:AI212)-AI206,0)</f>
        <v/>
      </c>
      <c r="AJ230" s="80">
        <f>ROUND(SUM(AJ207:AJ212)-AJ206,0)</f>
        <v/>
      </c>
      <c r="AK230" s="80">
        <f>ROUND(SUM(AK207:AK212)-AK206,0)</f>
        <v/>
      </c>
      <c r="AL230" s="80">
        <f>ROUND(SUM(AL207:AL212)-AL206,0)</f>
        <v/>
      </c>
      <c r="AM230" s="80">
        <f>ROUND(SUM(AM207:AM212)-AM206,0)</f>
        <v/>
      </c>
      <c r="AN230" s="80">
        <f>ROUND(SUM(AN207:AN212)-AN206,0)</f>
        <v/>
      </c>
      <c r="AO230" s="80">
        <f>ROUND(SUM(AO207:AO212)-AO206,0)</f>
        <v/>
      </c>
      <c r="AP230" s="80">
        <f>ROUND(SUM(AP207:AP212)-AP206,0)</f>
        <v/>
      </c>
      <c r="AQ230" s="80">
        <f>ROUND(SUM(AQ207:AQ212)-AQ206,0)</f>
        <v/>
      </c>
      <c r="AR230" s="80">
        <f>ROUND(SUM(AR207:AR212)-AR206,0)</f>
        <v/>
      </c>
      <c r="AS230" s="80">
        <f>ROUND(SUM(AS207:AS212)-AS206,0)</f>
        <v/>
      </c>
      <c r="AT230" s="80">
        <f>ROUND(SUM(AT207:AT212)-AT206,0)</f>
        <v/>
      </c>
      <c r="AU230" s="80">
        <f>ROUND(SUM(AU207:AU212)-AU206,0)</f>
        <v/>
      </c>
      <c r="AV230" s="80">
        <f>ROUND(SUM(AV207:AV212)-AV206,0)</f>
        <v/>
      </c>
      <c r="AW230" s="80">
        <f>ROUND(SUM(AW207:AW212)-AW206,0)</f>
        <v/>
      </c>
      <c r="AX230" s="80">
        <f>ROUND(SUM(AX207:AX212)-AX206,0)</f>
        <v/>
      </c>
      <c r="AY230" s="80">
        <f>ROUND(SUM(AY207:AY212)-AY206,0)</f>
        <v/>
      </c>
      <c r="AZ230" s="80">
        <f>ROUND(SUM(AZ207:AZ212)-AZ206,0)</f>
        <v/>
      </c>
      <c r="BA230" s="80">
        <f>ROUND(SUM(BA207:BA212)-BA206,0)</f>
        <v/>
      </c>
      <c r="BB230" s="80">
        <f>ROUND(SUM(BB207:BB212)-BB206,0)</f>
        <v/>
      </c>
      <c r="BC230" s="80">
        <f>ROUND(SUM(BC207:BC212)-BC206,0)</f>
        <v/>
      </c>
      <c r="BD230" s="80">
        <f>ROUND(SUM(BD207:BD212)-BD206,0)</f>
        <v/>
      </c>
      <c r="BE230" s="80">
        <f>ROUND(SUM(BE207:BE212)-BE206,0)</f>
        <v/>
      </c>
      <c r="BF230" s="80">
        <f>ROUND(SUM(BF207:BF212)-BF206,0)</f>
        <v/>
      </c>
      <c r="BG230" s="80">
        <f>ROUND(SUM(BG207:BG212)-BG206,0)</f>
        <v/>
      </c>
      <c r="BH230" s="80">
        <f>ROUND(SUM(BH207:BH212)-BH206,0)</f>
        <v/>
      </c>
      <c r="BI230" s="80">
        <f>ROUND(SUM(BI207:BI212)-BI206,0)</f>
        <v/>
      </c>
      <c r="BJ230" s="80">
        <f>ROUND(SUM(BJ207:BJ212)-BJ206,0)</f>
        <v/>
      </c>
      <c r="BK230" s="80">
        <f>ROUND(SUM(BK207:BK212)-BK206,0)</f>
        <v/>
      </c>
      <c r="BL230" s="80">
        <f>ROUND(SUM(BL207:BL212)-BL206,0)</f>
        <v/>
      </c>
    </row>
    <row r="231"/>
    <row r="232">
      <c r="A232" s="21" t="inlineStr">
        <is>
          <t>Tier 5: Solar inverter + lithium (~3 kWp / 10 kWh): PROXY (projection)</t>
        </is>
      </c>
      <c r="B232" s="22" t="n"/>
      <c r="C232" s="22" t="n"/>
      <c r="D232" s="22" t="n"/>
      <c r="E232" s="22" t="n"/>
      <c r="F232" s="22"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c r="AA232" s="22" t="n"/>
      <c r="AB232" s="22" t="n"/>
      <c r="AC232" s="22" t="n"/>
      <c r="AD232" s="22" t="n"/>
      <c r="AE232" s="22" t="n"/>
      <c r="AF232" s="22" t="n"/>
      <c r="AG232" s="22" t="n"/>
      <c r="AH232" s="22" t="n"/>
      <c r="AI232" s="22" t="n"/>
      <c r="AJ232" s="22" t="n"/>
      <c r="AK232" s="22" t="n"/>
      <c r="AL232" s="22" t="n"/>
      <c r="AM232" s="22" t="n"/>
      <c r="AN232" s="22" t="n"/>
      <c r="AO232" s="22" t="n"/>
      <c r="AP232" s="22" t="n"/>
      <c r="AQ232" s="22" t="n"/>
      <c r="AR232" s="22" t="n"/>
      <c r="AS232" s="22" t="n"/>
      <c r="AT232" s="22" t="n"/>
      <c r="AU232" s="22" t="n"/>
      <c r="AV232" s="22" t="n"/>
      <c r="AW232" s="22" t="n"/>
      <c r="AX232" s="22" t="n"/>
      <c r="AY232" s="22" t="n"/>
      <c r="AZ232" s="22" t="n"/>
      <c r="BA232" s="22" t="n"/>
      <c r="BB232" s="22" t="n"/>
      <c r="BC232" s="22" t="n"/>
      <c r="BD232" s="22" t="n"/>
      <c r="BE232" s="22" t="n"/>
      <c r="BF232" s="22" t="n"/>
      <c r="BG232" s="22" t="n"/>
      <c r="BH232" s="22" t="n"/>
      <c r="BI232" s="22" t="n"/>
      <c r="BJ232" s="22" t="n"/>
      <c r="BK232" s="22" t="n"/>
      <c r="BL232" s="22" t="n"/>
    </row>
    <row r="233">
      <c r="A233" s="98" t="inlineStr">
        <is>
          <t>Gross receivables</t>
        </is>
      </c>
      <c r="B233" s="65" t="inlineStr">
        <is>
          <t>LCY</t>
        </is>
      </c>
      <c r="C233" s="105">
        <f>BL233</f>
        <v/>
      </c>
      <c r="E233" s="41">
        <f>Ops!E$124</f>
        <v/>
      </c>
      <c r="F233" s="41">
        <f>Ops!F$124</f>
        <v/>
      </c>
      <c r="G233" s="41">
        <f>Ops!G$124</f>
        <v/>
      </c>
      <c r="H233" s="41">
        <f>Ops!H$124</f>
        <v/>
      </c>
      <c r="I233" s="41">
        <f>Ops!I$124</f>
        <v/>
      </c>
      <c r="J233" s="41">
        <f>Ops!J$124</f>
        <v/>
      </c>
      <c r="K233" s="41">
        <f>Ops!K$124</f>
        <v/>
      </c>
      <c r="L233" s="41">
        <f>Ops!L$124</f>
        <v/>
      </c>
      <c r="M233" s="41">
        <f>Ops!M$124</f>
        <v/>
      </c>
      <c r="N233" s="41">
        <f>Ops!N$124</f>
        <v/>
      </c>
      <c r="O233" s="41">
        <f>Ops!O$124</f>
        <v/>
      </c>
      <c r="P233" s="41">
        <f>Ops!P$124</f>
        <v/>
      </c>
      <c r="Q233" s="41">
        <f>Ops!Q$124</f>
        <v/>
      </c>
      <c r="R233" s="41">
        <f>Ops!R$124</f>
        <v/>
      </c>
      <c r="S233" s="41">
        <f>Ops!S$124</f>
        <v/>
      </c>
      <c r="T233" s="41">
        <f>Ops!T$124</f>
        <v/>
      </c>
      <c r="U233" s="41">
        <f>Ops!U$124</f>
        <v/>
      </c>
      <c r="V233" s="41">
        <f>Ops!V$124</f>
        <v/>
      </c>
      <c r="W233" s="41">
        <f>Ops!W$124</f>
        <v/>
      </c>
      <c r="X233" s="41">
        <f>Ops!X$124</f>
        <v/>
      </c>
      <c r="Y233" s="41">
        <f>Ops!Y$124</f>
        <v/>
      </c>
      <c r="Z233" s="41">
        <f>Ops!Z$124</f>
        <v/>
      </c>
      <c r="AA233" s="41">
        <f>Ops!AA$124</f>
        <v/>
      </c>
      <c r="AB233" s="41">
        <f>Ops!AB$124</f>
        <v/>
      </c>
      <c r="AC233" s="41">
        <f>Ops!AC$124</f>
        <v/>
      </c>
      <c r="AD233" s="41">
        <f>Ops!AD$124</f>
        <v/>
      </c>
      <c r="AE233" s="41">
        <f>Ops!AE$124</f>
        <v/>
      </c>
      <c r="AF233" s="41">
        <f>Ops!AF$124</f>
        <v/>
      </c>
      <c r="AG233" s="41">
        <f>Ops!AG$124</f>
        <v/>
      </c>
      <c r="AH233" s="41">
        <f>Ops!AH$124</f>
        <v/>
      </c>
      <c r="AI233" s="41">
        <f>Ops!AI$124</f>
        <v/>
      </c>
      <c r="AJ233" s="41">
        <f>Ops!AJ$124</f>
        <v/>
      </c>
      <c r="AK233" s="41">
        <f>Ops!AK$124</f>
        <v/>
      </c>
      <c r="AL233" s="41">
        <f>Ops!AL$124</f>
        <v/>
      </c>
      <c r="AM233" s="41">
        <f>Ops!AM$124</f>
        <v/>
      </c>
      <c r="AN233" s="41">
        <f>Ops!AN$124</f>
        <v/>
      </c>
      <c r="AO233" s="41">
        <f>Ops!AO$124</f>
        <v/>
      </c>
      <c r="AP233" s="41">
        <f>Ops!AP$124</f>
        <v/>
      </c>
      <c r="AQ233" s="41">
        <f>Ops!AQ$124</f>
        <v/>
      </c>
      <c r="AR233" s="41">
        <f>Ops!AR$124</f>
        <v/>
      </c>
      <c r="AS233" s="41">
        <f>Ops!AS$124</f>
        <v/>
      </c>
      <c r="AT233" s="41">
        <f>Ops!AT$124</f>
        <v/>
      </c>
      <c r="AU233" s="41">
        <f>Ops!AU$124</f>
        <v/>
      </c>
      <c r="AV233" s="41">
        <f>Ops!AV$124</f>
        <v/>
      </c>
      <c r="AW233" s="41">
        <f>Ops!AW$124</f>
        <v/>
      </c>
      <c r="AX233" s="41">
        <f>Ops!AX$124</f>
        <v/>
      </c>
      <c r="AY233" s="41">
        <f>Ops!AY$124</f>
        <v/>
      </c>
      <c r="AZ233" s="41">
        <f>Ops!AZ$124</f>
        <v/>
      </c>
      <c r="BA233" s="41">
        <f>Ops!BA$124</f>
        <v/>
      </c>
      <c r="BB233" s="41">
        <f>Ops!BB$124</f>
        <v/>
      </c>
      <c r="BC233" s="41">
        <f>Ops!BC$124</f>
        <v/>
      </c>
      <c r="BD233" s="41">
        <f>Ops!BD$124</f>
        <v/>
      </c>
      <c r="BE233" s="41">
        <f>Ops!BE$124</f>
        <v/>
      </c>
      <c r="BF233" s="41">
        <f>Ops!BF$124</f>
        <v/>
      </c>
      <c r="BG233" s="41">
        <f>Ops!BG$124</f>
        <v/>
      </c>
      <c r="BH233" s="41">
        <f>Ops!BH$124</f>
        <v/>
      </c>
      <c r="BI233" s="41">
        <f>Ops!BI$124</f>
        <v/>
      </c>
      <c r="BJ233" s="41">
        <f>Ops!BJ$124</f>
        <v/>
      </c>
      <c r="BK233" s="41">
        <f>Ops!BK$124</f>
        <v/>
      </c>
      <c r="BL233" s="41">
        <f>Ops!BL$124</f>
        <v/>
      </c>
    </row>
    <row r="234">
      <c r="A234" s="98" t="inlineStr">
        <is>
          <t>Receivables at risk (stopped paying)</t>
        </is>
      </c>
      <c r="B234" s="65" t="inlineStr">
        <is>
          <t>LCY</t>
        </is>
      </c>
      <c r="C234" s="105">
        <f>BL234</f>
        <v/>
      </c>
      <c r="E234" s="41">
        <f>Ops!E$123</f>
        <v/>
      </c>
      <c r="F234" s="41">
        <f>Ops!F$123</f>
        <v/>
      </c>
      <c r="G234" s="41">
        <f>Ops!G$123</f>
        <v/>
      </c>
      <c r="H234" s="41">
        <f>Ops!H$123</f>
        <v/>
      </c>
      <c r="I234" s="41">
        <f>Ops!I$123</f>
        <v/>
      </c>
      <c r="J234" s="41">
        <f>Ops!J$123</f>
        <v/>
      </c>
      <c r="K234" s="41">
        <f>Ops!K$123</f>
        <v/>
      </c>
      <c r="L234" s="41">
        <f>Ops!L$123</f>
        <v/>
      </c>
      <c r="M234" s="41">
        <f>Ops!M$123</f>
        <v/>
      </c>
      <c r="N234" s="41">
        <f>Ops!N$123</f>
        <v/>
      </c>
      <c r="O234" s="41">
        <f>Ops!O$123</f>
        <v/>
      </c>
      <c r="P234" s="41">
        <f>Ops!P$123</f>
        <v/>
      </c>
      <c r="Q234" s="41">
        <f>Ops!Q$123</f>
        <v/>
      </c>
      <c r="R234" s="41">
        <f>Ops!R$123</f>
        <v/>
      </c>
      <c r="S234" s="41">
        <f>Ops!S$123</f>
        <v/>
      </c>
      <c r="T234" s="41">
        <f>Ops!T$123</f>
        <v/>
      </c>
      <c r="U234" s="41">
        <f>Ops!U$123</f>
        <v/>
      </c>
      <c r="V234" s="41">
        <f>Ops!V$123</f>
        <v/>
      </c>
      <c r="W234" s="41">
        <f>Ops!W$123</f>
        <v/>
      </c>
      <c r="X234" s="41">
        <f>Ops!X$123</f>
        <v/>
      </c>
      <c r="Y234" s="41">
        <f>Ops!Y$123</f>
        <v/>
      </c>
      <c r="Z234" s="41">
        <f>Ops!Z$123</f>
        <v/>
      </c>
      <c r="AA234" s="41">
        <f>Ops!AA$123</f>
        <v/>
      </c>
      <c r="AB234" s="41">
        <f>Ops!AB$123</f>
        <v/>
      </c>
      <c r="AC234" s="41">
        <f>Ops!AC$123</f>
        <v/>
      </c>
      <c r="AD234" s="41">
        <f>Ops!AD$123</f>
        <v/>
      </c>
      <c r="AE234" s="41">
        <f>Ops!AE$123</f>
        <v/>
      </c>
      <c r="AF234" s="41">
        <f>Ops!AF$123</f>
        <v/>
      </c>
      <c r="AG234" s="41">
        <f>Ops!AG$123</f>
        <v/>
      </c>
      <c r="AH234" s="41">
        <f>Ops!AH$123</f>
        <v/>
      </c>
      <c r="AI234" s="41">
        <f>Ops!AI$123</f>
        <v/>
      </c>
      <c r="AJ234" s="41">
        <f>Ops!AJ$123</f>
        <v/>
      </c>
      <c r="AK234" s="41">
        <f>Ops!AK$123</f>
        <v/>
      </c>
      <c r="AL234" s="41">
        <f>Ops!AL$123</f>
        <v/>
      </c>
      <c r="AM234" s="41">
        <f>Ops!AM$123</f>
        <v/>
      </c>
      <c r="AN234" s="41">
        <f>Ops!AN$123</f>
        <v/>
      </c>
      <c r="AO234" s="41">
        <f>Ops!AO$123</f>
        <v/>
      </c>
      <c r="AP234" s="41">
        <f>Ops!AP$123</f>
        <v/>
      </c>
      <c r="AQ234" s="41">
        <f>Ops!AQ$123</f>
        <v/>
      </c>
      <c r="AR234" s="41">
        <f>Ops!AR$123</f>
        <v/>
      </c>
      <c r="AS234" s="41">
        <f>Ops!AS$123</f>
        <v/>
      </c>
      <c r="AT234" s="41">
        <f>Ops!AT$123</f>
        <v/>
      </c>
      <c r="AU234" s="41">
        <f>Ops!AU$123</f>
        <v/>
      </c>
      <c r="AV234" s="41">
        <f>Ops!AV$123</f>
        <v/>
      </c>
      <c r="AW234" s="41">
        <f>Ops!AW$123</f>
        <v/>
      </c>
      <c r="AX234" s="41">
        <f>Ops!AX$123</f>
        <v/>
      </c>
      <c r="AY234" s="41">
        <f>Ops!AY$123</f>
        <v/>
      </c>
      <c r="AZ234" s="41">
        <f>Ops!AZ$123</f>
        <v/>
      </c>
      <c r="BA234" s="41">
        <f>Ops!BA$123</f>
        <v/>
      </c>
      <c r="BB234" s="41">
        <f>Ops!BB$123</f>
        <v/>
      </c>
      <c r="BC234" s="41">
        <f>Ops!BC$123</f>
        <v/>
      </c>
      <c r="BD234" s="41">
        <f>Ops!BD$123</f>
        <v/>
      </c>
      <c r="BE234" s="41">
        <f>Ops!BE$123</f>
        <v/>
      </c>
      <c r="BF234" s="41">
        <f>Ops!BF$123</f>
        <v/>
      </c>
      <c r="BG234" s="41">
        <f>Ops!BG$123</f>
        <v/>
      </c>
      <c r="BH234" s="41">
        <f>Ops!BH$123</f>
        <v/>
      </c>
      <c r="BI234" s="41">
        <f>Ops!BI$123</f>
        <v/>
      </c>
      <c r="BJ234" s="41">
        <f>Ops!BJ$123</f>
        <v/>
      </c>
      <c r="BK234" s="41">
        <f>Ops!BK$123</f>
        <v/>
      </c>
      <c r="BL234" s="41">
        <f>Ops!BL$123</f>
        <v/>
      </c>
    </row>
    <row r="235">
      <c r="A235" s="98" t="inlineStr">
        <is>
          <t>Receivables of paying accounts</t>
        </is>
      </c>
      <c r="B235" s="65" t="inlineStr">
        <is>
          <t>LCY</t>
        </is>
      </c>
      <c r="C235" s="105">
        <f>BL235</f>
        <v/>
      </c>
      <c r="E235" s="80">
        <f>E233-E234</f>
        <v/>
      </c>
      <c r="F235" s="80">
        <f>F233-F234</f>
        <v/>
      </c>
      <c r="G235" s="80">
        <f>G233-G234</f>
        <v/>
      </c>
      <c r="H235" s="80">
        <f>H233-H234</f>
        <v/>
      </c>
      <c r="I235" s="80">
        <f>I233-I234</f>
        <v/>
      </c>
      <c r="J235" s="80">
        <f>J233-J234</f>
        <v/>
      </c>
      <c r="K235" s="80">
        <f>K233-K234</f>
        <v/>
      </c>
      <c r="L235" s="80">
        <f>L233-L234</f>
        <v/>
      </c>
      <c r="M235" s="80">
        <f>M233-M234</f>
        <v/>
      </c>
      <c r="N235" s="80">
        <f>N233-N234</f>
        <v/>
      </c>
      <c r="O235" s="80">
        <f>O233-O234</f>
        <v/>
      </c>
      <c r="P235" s="80">
        <f>P233-P234</f>
        <v/>
      </c>
      <c r="Q235" s="80">
        <f>Q233-Q234</f>
        <v/>
      </c>
      <c r="R235" s="80">
        <f>R233-R234</f>
        <v/>
      </c>
      <c r="S235" s="80">
        <f>S233-S234</f>
        <v/>
      </c>
      <c r="T235" s="80">
        <f>T233-T234</f>
        <v/>
      </c>
      <c r="U235" s="80">
        <f>U233-U234</f>
        <v/>
      </c>
      <c r="V235" s="80">
        <f>V233-V234</f>
        <v/>
      </c>
      <c r="W235" s="80">
        <f>W233-W234</f>
        <v/>
      </c>
      <c r="X235" s="80">
        <f>X233-X234</f>
        <v/>
      </c>
      <c r="Y235" s="80">
        <f>Y233-Y234</f>
        <v/>
      </c>
      <c r="Z235" s="80">
        <f>Z233-Z234</f>
        <v/>
      </c>
      <c r="AA235" s="80">
        <f>AA233-AA234</f>
        <v/>
      </c>
      <c r="AB235" s="80">
        <f>AB233-AB234</f>
        <v/>
      </c>
      <c r="AC235" s="80">
        <f>AC233-AC234</f>
        <v/>
      </c>
      <c r="AD235" s="80">
        <f>AD233-AD234</f>
        <v/>
      </c>
      <c r="AE235" s="80">
        <f>AE233-AE234</f>
        <v/>
      </c>
      <c r="AF235" s="80">
        <f>AF233-AF234</f>
        <v/>
      </c>
      <c r="AG235" s="80">
        <f>AG233-AG234</f>
        <v/>
      </c>
      <c r="AH235" s="80">
        <f>AH233-AH234</f>
        <v/>
      </c>
      <c r="AI235" s="80">
        <f>AI233-AI234</f>
        <v/>
      </c>
      <c r="AJ235" s="80">
        <f>AJ233-AJ234</f>
        <v/>
      </c>
      <c r="AK235" s="80">
        <f>AK233-AK234</f>
        <v/>
      </c>
      <c r="AL235" s="80">
        <f>AL233-AL234</f>
        <v/>
      </c>
      <c r="AM235" s="80">
        <f>AM233-AM234</f>
        <v/>
      </c>
      <c r="AN235" s="80">
        <f>AN233-AN234</f>
        <v/>
      </c>
      <c r="AO235" s="80">
        <f>AO233-AO234</f>
        <v/>
      </c>
      <c r="AP235" s="80">
        <f>AP233-AP234</f>
        <v/>
      </c>
      <c r="AQ235" s="80">
        <f>AQ233-AQ234</f>
        <v/>
      </c>
      <c r="AR235" s="80">
        <f>AR233-AR234</f>
        <v/>
      </c>
      <c r="AS235" s="80">
        <f>AS233-AS234</f>
        <v/>
      </c>
      <c r="AT235" s="80">
        <f>AT233-AT234</f>
        <v/>
      </c>
      <c r="AU235" s="80">
        <f>AU233-AU234</f>
        <v/>
      </c>
      <c r="AV235" s="80">
        <f>AV233-AV234</f>
        <v/>
      </c>
      <c r="AW235" s="80">
        <f>AW233-AW234</f>
        <v/>
      </c>
      <c r="AX235" s="80">
        <f>AX233-AX234</f>
        <v/>
      </c>
      <c r="AY235" s="80">
        <f>AY233-AY234</f>
        <v/>
      </c>
      <c r="AZ235" s="80">
        <f>AZ233-AZ234</f>
        <v/>
      </c>
      <c r="BA235" s="80">
        <f>BA233-BA234</f>
        <v/>
      </c>
      <c r="BB235" s="80">
        <f>BB233-BB234</f>
        <v/>
      </c>
      <c r="BC235" s="80">
        <f>BC233-BC234</f>
        <v/>
      </c>
      <c r="BD235" s="80">
        <f>BD233-BD234</f>
        <v/>
      </c>
      <c r="BE235" s="80">
        <f>BE233-BE234</f>
        <v/>
      </c>
      <c r="BF235" s="80">
        <f>BF233-BF234</f>
        <v/>
      </c>
      <c r="BG235" s="80">
        <f>BG233-BG234</f>
        <v/>
      </c>
      <c r="BH235" s="80">
        <f>BH233-BH234</f>
        <v/>
      </c>
      <c r="BI235" s="80">
        <f>BI233-BI234</f>
        <v/>
      </c>
      <c r="BJ235" s="80">
        <f>BJ233-BJ234</f>
        <v/>
      </c>
      <c r="BK235" s="80">
        <f>BK233-BK234</f>
        <v/>
      </c>
      <c r="BL235" s="80">
        <f>BL233-BL234</f>
        <v/>
      </c>
    </row>
    <row r="236">
      <c r="A236" s="98" t="inlineStr">
        <is>
          <t>Current</t>
        </is>
      </c>
      <c r="B236" s="65" t="inlineStr">
        <is>
          <t>LCY</t>
        </is>
      </c>
      <c r="C236" s="105">
        <f>BL236</f>
        <v/>
      </c>
      <c r="E236" s="80">
        <f>E235*Credit_Assumptions!$I$28</f>
        <v/>
      </c>
      <c r="F236" s="80">
        <f>F235*Credit_Assumptions!$I$28</f>
        <v/>
      </c>
      <c r="G236" s="80">
        <f>G235*Credit_Assumptions!$I$28</f>
        <v/>
      </c>
      <c r="H236" s="80">
        <f>H235*Credit_Assumptions!$I$28</f>
        <v/>
      </c>
      <c r="I236" s="80">
        <f>I235*Credit_Assumptions!$I$28</f>
        <v/>
      </c>
      <c r="J236" s="80">
        <f>J235*Credit_Assumptions!$I$28</f>
        <v/>
      </c>
      <c r="K236" s="80">
        <f>K235*Credit_Assumptions!$I$28</f>
        <v/>
      </c>
      <c r="L236" s="80">
        <f>L235*Credit_Assumptions!$I$28</f>
        <v/>
      </c>
      <c r="M236" s="80">
        <f>M235*Credit_Assumptions!$I$28</f>
        <v/>
      </c>
      <c r="N236" s="80">
        <f>N235*Credit_Assumptions!$I$28</f>
        <v/>
      </c>
      <c r="O236" s="80">
        <f>O235*Credit_Assumptions!$I$28</f>
        <v/>
      </c>
      <c r="P236" s="80">
        <f>P235*Credit_Assumptions!$I$28</f>
        <v/>
      </c>
      <c r="Q236" s="80">
        <f>Q235*Credit_Assumptions!$I$28</f>
        <v/>
      </c>
      <c r="R236" s="80">
        <f>R235*Credit_Assumptions!$I$28</f>
        <v/>
      </c>
      <c r="S236" s="80">
        <f>S235*Credit_Assumptions!$I$28</f>
        <v/>
      </c>
      <c r="T236" s="80">
        <f>T235*Credit_Assumptions!$I$28</f>
        <v/>
      </c>
      <c r="U236" s="80">
        <f>U235*Credit_Assumptions!$I$28</f>
        <v/>
      </c>
      <c r="V236" s="80">
        <f>V235*Credit_Assumptions!$I$28</f>
        <v/>
      </c>
      <c r="W236" s="80">
        <f>W235*Credit_Assumptions!$I$28</f>
        <v/>
      </c>
      <c r="X236" s="80">
        <f>X235*Credit_Assumptions!$I$28</f>
        <v/>
      </c>
      <c r="Y236" s="80">
        <f>Y235*Credit_Assumptions!$I$28</f>
        <v/>
      </c>
      <c r="Z236" s="80">
        <f>Z235*Credit_Assumptions!$I$28</f>
        <v/>
      </c>
      <c r="AA236" s="80">
        <f>AA235*Credit_Assumptions!$I$28</f>
        <v/>
      </c>
      <c r="AB236" s="80">
        <f>AB235*Credit_Assumptions!$I$28</f>
        <v/>
      </c>
      <c r="AC236" s="80">
        <f>AC235*Credit_Assumptions!$I$28</f>
        <v/>
      </c>
      <c r="AD236" s="80">
        <f>AD235*Credit_Assumptions!$I$28</f>
        <v/>
      </c>
      <c r="AE236" s="80">
        <f>AE235*Credit_Assumptions!$I$28</f>
        <v/>
      </c>
      <c r="AF236" s="80">
        <f>AF235*Credit_Assumptions!$I$28</f>
        <v/>
      </c>
      <c r="AG236" s="80">
        <f>AG235*Credit_Assumptions!$I$28</f>
        <v/>
      </c>
      <c r="AH236" s="80">
        <f>AH235*Credit_Assumptions!$I$28</f>
        <v/>
      </c>
      <c r="AI236" s="80">
        <f>AI235*Credit_Assumptions!$I$28</f>
        <v/>
      </c>
      <c r="AJ236" s="80">
        <f>AJ235*Credit_Assumptions!$I$28</f>
        <v/>
      </c>
      <c r="AK236" s="80">
        <f>AK235*Credit_Assumptions!$I$28</f>
        <v/>
      </c>
      <c r="AL236" s="80">
        <f>AL235*Credit_Assumptions!$I$28</f>
        <v/>
      </c>
      <c r="AM236" s="80">
        <f>AM235*Credit_Assumptions!$I$28</f>
        <v/>
      </c>
      <c r="AN236" s="80">
        <f>AN235*Credit_Assumptions!$I$28</f>
        <v/>
      </c>
      <c r="AO236" s="80">
        <f>AO235*Credit_Assumptions!$I$28</f>
        <v/>
      </c>
      <c r="AP236" s="80">
        <f>AP235*Credit_Assumptions!$I$28</f>
        <v/>
      </c>
      <c r="AQ236" s="80">
        <f>AQ235*Credit_Assumptions!$I$28</f>
        <v/>
      </c>
      <c r="AR236" s="80">
        <f>AR235*Credit_Assumptions!$I$28</f>
        <v/>
      </c>
      <c r="AS236" s="80">
        <f>AS235*Credit_Assumptions!$I$28</f>
        <v/>
      </c>
      <c r="AT236" s="80">
        <f>AT235*Credit_Assumptions!$I$28</f>
        <v/>
      </c>
      <c r="AU236" s="80">
        <f>AU235*Credit_Assumptions!$I$28</f>
        <v/>
      </c>
      <c r="AV236" s="80">
        <f>AV235*Credit_Assumptions!$I$28</f>
        <v/>
      </c>
      <c r="AW236" s="80">
        <f>AW235*Credit_Assumptions!$I$28</f>
        <v/>
      </c>
      <c r="AX236" s="80">
        <f>AX235*Credit_Assumptions!$I$28</f>
        <v/>
      </c>
      <c r="AY236" s="80">
        <f>AY235*Credit_Assumptions!$I$28</f>
        <v/>
      </c>
      <c r="AZ236" s="80">
        <f>AZ235*Credit_Assumptions!$I$28</f>
        <v/>
      </c>
      <c r="BA236" s="80">
        <f>BA235*Credit_Assumptions!$I$28</f>
        <v/>
      </c>
      <c r="BB236" s="80">
        <f>BB235*Credit_Assumptions!$I$28</f>
        <v/>
      </c>
      <c r="BC236" s="80">
        <f>BC235*Credit_Assumptions!$I$28</f>
        <v/>
      </c>
      <c r="BD236" s="80">
        <f>BD235*Credit_Assumptions!$I$28</f>
        <v/>
      </c>
      <c r="BE236" s="80">
        <f>BE235*Credit_Assumptions!$I$28</f>
        <v/>
      </c>
      <c r="BF236" s="80">
        <f>BF235*Credit_Assumptions!$I$28</f>
        <v/>
      </c>
      <c r="BG236" s="80">
        <f>BG235*Credit_Assumptions!$I$28</f>
        <v/>
      </c>
      <c r="BH236" s="80">
        <f>BH235*Credit_Assumptions!$I$28</f>
        <v/>
      </c>
      <c r="BI236" s="80">
        <f>BI235*Credit_Assumptions!$I$28</f>
        <v/>
      </c>
      <c r="BJ236" s="80">
        <f>BJ235*Credit_Assumptions!$I$28</f>
        <v/>
      </c>
      <c r="BK236" s="80">
        <f>BK235*Credit_Assumptions!$I$28</f>
        <v/>
      </c>
      <c r="BL236" s="80">
        <f>BL235*Credit_Assumptions!$I$28</f>
        <v/>
      </c>
    </row>
    <row r="237">
      <c r="A237" s="98" t="inlineStr">
        <is>
          <t>1-30 DPD</t>
        </is>
      </c>
      <c r="B237" s="65" t="inlineStr">
        <is>
          <t>LCY</t>
        </is>
      </c>
      <c r="C237" s="105">
        <f>BL237</f>
        <v/>
      </c>
      <c r="E237" s="80">
        <f>E235*Credit_Assumptions!$I$29</f>
        <v/>
      </c>
      <c r="F237" s="80">
        <f>F235*Credit_Assumptions!$I$29</f>
        <v/>
      </c>
      <c r="G237" s="80">
        <f>G235*Credit_Assumptions!$I$29</f>
        <v/>
      </c>
      <c r="H237" s="80">
        <f>H235*Credit_Assumptions!$I$29</f>
        <v/>
      </c>
      <c r="I237" s="80">
        <f>I235*Credit_Assumptions!$I$29</f>
        <v/>
      </c>
      <c r="J237" s="80">
        <f>J235*Credit_Assumptions!$I$29</f>
        <v/>
      </c>
      <c r="K237" s="80">
        <f>K235*Credit_Assumptions!$I$29</f>
        <v/>
      </c>
      <c r="L237" s="80">
        <f>L235*Credit_Assumptions!$I$29</f>
        <v/>
      </c>
      <c r="M237" s="80">
        <f>M235*Credit_Assumptions!$I$29</f>
        <v/>
      </c>
      <c r="N237" s="80">
        <f>N235*Credit_Assumptions!$I$29</f>
        <v/>
      </c>
      <c r="O237" s="80">
        <f>O235*Credit_Assumptions!$I$29</f>
        <v/>
      </c>
      <c r="P237" s="80">
        <f>P235*Credit_Assumptions!$I$29</f>
        <v/>
      </c>
      <c r="Q237" s="80">
        <f>Q235*Credit_Assumptions!$I$29</f>
        <v/>
      </c>
      <c r="R237" s="80">
        <f>R235*Credit_Assumptions!$I$29</f>
        <v/>
      </c>
      <c r="S237" s="80">
        <f>S235*Credit_Assumptions!$I$29</f>
        <v/>
      </c>
      <c r="T237" s="80">
        <f>T235*Credit_Assumptions!$I$29</f>
        <v/>
      </c>
      <c r="U237" s="80">
        <f>U235*Credit_Assumptions!$I$29</f>
        <v/>
      </c>
      <c r="V237" s="80">
        <f>V235*Credit_Assumptions!$I$29</f>
        <v/>
      </c>
      <c r="W237" s="80">
        <f>W235*Credit_Assumptions!$I$29</f>
        <v/>
      </c>
      <c r="X237" s="80">
        <f>X235*Credit_Assumptions!$I$29</f>
        <v/>
      </c>
      <c r="Y237" s="80">
        <f>Y235*Credit_Assumptions!$I$29</f>
        <v/>
      </c>
      <c r="Z237" s="80">
        <f>Z235*Credit_Assumptions!$I$29</f>
        <v/>
      </c>
      <c r="AA237" s="80">
        <f>AA235*Credit_Assumptions!$I$29</f>
        <v/>
      </c>
      <c r="AB237" s="80">
        <f>AB235*Credit_Assumptions!$I$29</f>
        <v/>
      </c>
      <c r="AC237" s="80">
        <f>AC235*Credit_Assumptions!$I$29</f>
        <v/>
      </c>
      <c r="AD237" s="80">
        <f>AD235*Credit_Assumptions!$I$29</f>
        <v/>
      </c>
      <c r="AE237" s="80">
        <f>AE235*Credit_Assumptions!$I$29</f>
        <v/>
      </c>
      <c r="AF237" s="80">
        <f>AF235*Credit_Assumptions!$I$29</f>
        <v/>
      </c>
      <c r="AG237" s="80">
        <f>AG235*Credit_Assumptions!$I$29</f>
        <v/>
      </c>
      <c r="AH237" s="80">
        <f>AH235*Credit_Assumptions!$I$29</f>
        <v/>
      </c>
      <c r="AI237" s="80">
        <f>AI235*Credit_Assumptions!$I$29</f>
        <v/>
      </c>
      <c r="AJ237" s="80">
        <f>AJ235*Credit_Assumptions!$I$29</f>
        <v/>
      </c>
      <c r="AK237" s="80">
        <f>AK235*Credit_Assumptions!$I$29</f>
        <v/>
      </c>
      <c r="AL237" s="80">
        <f>AL235*Credit_Assumptions!$I$29</f>
        <v/>
      </c>
      <c r="AM237" s="80">
        <f>AM235*Credit_Assumptions!$I$29</f>
        <v/>
      </c>
      <c r="AN237" s="80">
        <f>AN235*Credit_Assumptions!$I$29</f>
        <v/>
      </c>
      <c r="AO237" s="80">
        <f>AO235*Credit_Assumptions!$I$29</f>
        <v/>
      </c>
      <c r="AP237" s="80">
        <f>AP235*Credit_Assumptions!$I$29</f>
        <v/>
      </c>
      <c r="AQ237" s="80">
        <f>AQ235*Credit_Assumptions!$I$29</f>
        <v/>
      </c>
      <c r="AR237" s="80">
        <f>AR235*Credit_Assumptions!$I$29</f>
        <v/>
      </c>
      <c r="AS237" s="80">
        <f>AS235*Credit_Assumptions!$I$29</f>
        <v/>
      </c>
      <c r="AT237" s="80">
        <f>AT235*Credit_Assumptions!$I$29</f>
        <v/>
      </c>
      <c r="AU237" s="80">
        <f>AU235*Credit_Assumptions!$I$29</f>
        <v/>
      </c>
      <c r="AV237" s="80">
        <f>AV235*Credit_Assumptions!$I$29</f>
        <v/>
      </c>
      <c r="AW237" s="80">
        <f>AW235*Credit_Assumptions!$I$29</f>
        <v/>
      </c>
      <c r="AX237" s="80">
        <f>AX235*Credit_Assumptions!$I$29</f>
        <v/>
      </c>
      <c r="AY237" s="80">
        <f>AY235*Credit_Assumptions!$I$29</f>
        <v/>
      </c>
      <c r="AZ237" s="80">
        <f>AZ235*Credit_Assumptions!$I$29</f>
        <v/>
      </c>
      <c r="BA237" s="80">
        <f>BA235*Credit_Assumptions!$I$29</f>
        <v/>
      </c>
      <c r="BB237" s="80">
        <f>BB235*Credit_Assumptions!$I$29</f>
        <v/>
      </c>
      <c r="BC237" s="80">
        <f>BC235*Credit_Assumptions!$I$29</f>
        <v/>
      </c>
      <c r="BD237" s="80">
        <f>BD235*Credit_Assumptions!$I$29</f>
        <v/>
      </c>
      <c r="BE237" s="80">
        <f>BE235*Credit_Assumptions!$I$29</f>
        <v/>
      </c>
      <c r="BF237" s="80">
        <f>BF235*Credit_Assumptions!$I$29</f>
        <v/>
      </c>
      <c r="BG237" s="80">
        <f>BG235*Credit_Assumptions!$I$29</f>
        <v/>
      </c>
      <c r="BH237" s="80">
        <f>BH235*Credit_Assumptions!$I$29</f>
        <v/>
      </c>
      <c r="BI237" s="80">
        <f>BI235*Credit_Assumptions!$I$29</f>
        <v/>
      </c>
      <c r="BJ237" s="80">
        <f>BJ235*Credit_Assumptions!$I$29</f>
        <v/>
      </c>
      <c r="BK237" s="80">
        <f>BK235*Credit_Assumptions!$I$29</f>
        <v/>
      </c>
      <c r="BL237" s="80">
        <f>BL235*Credit_Assumptions!$I$29</f>
        <v/>
      </c>
    </row>
    <row r="238">
      <c r="A238" s="98" t="inlineStr">
        <is>
          <t>31-60 DPD</t>
        </is>
      </c>
      <c r="B238" s="65" t="inlineStr">
        <is>
          <t>LCY</t>
        </is>
      </c>
      <c r="C238" s="105">
        <f>BL238</f>
        <v/>
      </c>
      <c r="E238" s="80">
        <f>E234*Credit_Assumptions!$I$30</f>
        <v/>
      </c>
      <c r="F238" s="80">
        <f>F234*Credit_Assumptions!$I$30</f>
        <v/>
      </c>
      <c r="G238" s="80">
        <f>G234*Credit_Assumptions!$I$30</f>
        <v/>
      </c>
      <c r="H238" s="80">
        <f>H234*Credit_Assumptions!$I$30</f>
        <v/>
      </c>
      <c r="I238" s="80">
        <f>I234*Credit_Assumptions!$I$30</f>
        <v/>
      </c>
      <c r="J238" s="80">
        <f>J234*Credit_Assumptions!$I$30</f>
        <v/>
      </c>
      <c r="K238" s="80">
        <f>K234*Credit_Assumptions!$I$30</f>
        <v/>
      </c>
      <c r="L238" s="80">
        <f>L234*Credit_Assumptions!$I$30</f>
        <v/>
      </c>
      <c r="M238" s="80">
        <f>M234*Credit_Assumptions!$I$30</f>
        <v/>
      </c>
      <c r="N238" s="80">
        <f>N234*Credit_Assumptions!$I$30</f>
        <v/>
      </c>
      <c r="O238" s="80">
        <f>O234*Credit_Assumptions!$I$30</f>
        <v/>
      </c>
      <c r="P238" s="80">
        <f>P234*Credit_Assumptions!$I$30</f>
        <v/>
      </c>
      <c r="Q238" s="80">
        <f>Q234*Credit_Assumptions!$I$30</f>
        <v/>
      </c>
      <c r="R238" s="80">
        <f>R234*Credit_Assumptions!$I$30</f>
        <v/>
      </c>
      <c r="S238" s="80">
        <f>S234*Credit_Assumptions!$I$30</f>
        <v/>
      </c>
      <c r="T238" s="80">
        <f>T234*Credit_Assumptions!$I$30</f>
        <v/>
      </c>
      <c r="U238" s="80">
        <f>U234*Credit_Assumptions!$I$30</f>
        <v/>
      </c>
      <c r="V238" s="80">
        <f>V234*Credit_Assumptions!$I$30</f>
        <v/>
      </c>
      <c r="W238" s="80">
        <f>W234*Credit_Assumptions!$I$30</f>
        <v/>
      </c>
      <c r="X238" s="80">
        <f>X234*Credit_Assumptions!$I$30</f>
        <v/>
      </c>
      <c r="Y238" s="80">
        <f>Y234*Credit_Assumptions!$I$30</f>
        <v/>
      </c>
      <c r="Z238" s="80">
        <f>Z234*Credit_Assumptions!$I$30</f>
        <v/>
      </c>
      <c r="AA238" s="80">
        <f>AA234*Credit_Assumptions!$I$30</f>
        <v/>
      </c>
      <c r="AB238" s="80">
        <f>AB234*Credit_Assumptions!$I$30</f>
        <v/>
      </c>
      <c r="AC238" s="80">
        <f>AC234*Credit_Assumptions!$I$30</f>
        <v/>
      </c>
      <c r="AD238" s="80">
        <f>AD234*Credit_Assumptions!$I$30</f>
        <v/>
      </c>
      <c r="AE238" s="80">
        <f>AE234*Credit_Assumptions!$I$30</f>
        <v/>
      </c>
      <c r="AF238" s="80">
        <f>AF234*Credit_Assumptions!$I$30</f>
        <v/>
      </c>
      <c r="AG238" s="80">
        <f>AG234*Credit_Assumptions!$I$30</f>
        <v/>
      </c>
      <c r="AH238" s="80">
        <f>AH234*Credit_Assumptions!$I$30</f>
        <v/>
      </c>
      <c r="AI238" s="80">
        <f>AI234*Credit_Assumptions!$I$30</f>
        <v/>
      </c>
      <c r="AJ238" s="80">
        <f>AJ234*Credit_Assumptions!$I$30</f>
        <v/>
      </c>
      <c r="AK238" s="80">
        <f>AK234*Credit_Assumptions!$I$30</f>
        <v/>
      </c>
      <c r="AL238" s="80">
        <f>AL234*Credit_Assumptions!$I$30</f>
        <v/>
      </c>
      <c r="AM238" s="80">
        <f>AM234*Credit_Assumptions!$I$30</f>
        <v/>
      </c>
      <c r="AN238" s="80">
        <f>AN234*Credit_Assumptions!$I$30</f>
        <v/>
      </c>
      <c r="AO238" s="80">
        <f>AO234*Credit_Assumptions!$I$30</f>
        <v/>
      </c>
      <c r="AP238" s="80">
        <f>AP234*Credit_Assumptions!$I$30</f>
        <v/>
      </c>
      <c r="AQ238" s="80">
        <f>AQ234*Credit_Assumptions!$I$30</f>
        <v/>
      </c>
      <c r="AR238" s="80">
        <f>AR234*Credit_Assumptions!$I$30</f>
        <v/>
      </c>
      <c r="AS238" s="80">
        <f>AS234*Credit_Assumptions!$I$30</f>
        <v/>
      </c>
      <c r="AT238" s="80">
        <f>AT234*Credit_Assumptions!$I$30</f>
        <v/>
      </c>
      <c r="AU238" s="80">
        <f>AU234*Credit_Assumptions!$I$30</f>
        <v/>
      </c>
      <c r="AV238" s="80">
        <f>AV234*Credit_Assumptions!$I$30</f>
        <v/>
      </c>
      <c r="AW238" s="80">
        <f>AW234*Credit_Assumptions!$I$30</f>
        <v/>
      </c>
      <c r="AX238" s="80">
        <f>AX234*Credit_Assumptions!$I$30</f>
        <v/>
      </c>
      <c r="AY238" s="80">
        <f>AY234*Credit_Assumptions!$I$30</f>
        <v/>
      </c>
      <c r="AZ238" s="80">
        <f>AZ234*Credit_Assumptions!$I$30</f>
        <v/>
      </c>
      <c r="BA238" s="80">
        <f>BA234*Credit_Assumptions!$I$30</f>
        <v/>
      </c>
      <c r="BB238" s="80">
        <f>BB234*Credit_Assumptions!$I$30</f>
        <v/>
      </c>
      <c r="BC238" s="80">
        <f>BC234*Credit_Assumptions!$I$30</f>
        <v/>
      </c>
      <c r="BD238" s="80">
        <f>BD234*Credit_Assumptions!$I$30</f>
        <v/>
      </c>
      <c r="BE238" s="80">
        <f>BE234*Credit_Assumptions!$I$30</f>
        <v/>
      </c>
      <c r="BF238" s="80">
        <f>BF234*Credit_Assumptions!$I$30</f>
        <v/>
      </c>
      <c r="BG238" s="80">
        <f>BG234*Credit_Assumptions!$I$30</f>
        <v/>
      </c>
      <c r="BH238" s="80">
        <f>BH234*Credit_Assumptions!$I$30</f>
        <v/>
      </c>
      <c r="BI238" s="80">
        <f>BI234*Credit_Assumptions!$I$30</f>
        <v/>
      </c>
      <c r="BJ238" s="80">
        <f>BJ234*Credit_Assumptions!$I$30</f>
        <v/>
      </c>
      <c r="BK238" s="80">
        <f>BK234*Credit_Assumptions!$I$30</f>
        <v/>
      </c>
      <c r="BL238" s="80">
        <f>BL234*Credit_Assumptions!$I$30</f>
        <v/>
      </c>
    </row>
    <row r="239">
      <c r="A239" s="98" t="inlineStr">
        <is>
          <t>61-90 DPD</t>
        </is>
      </c>
      <c r="B239" s="65" t="inlineStr">
        <is>
          <t>LCY</t>
        </is>
      </c>
      <c r="C239" s="105">
        <f>BL239</f>
        <v/>
      </c>
      <c r="E239" s="80">
        <f>E234*Credit_Assumptions!$I$31</f>
        <v/>
      </c>
      <c r="F239" s="80">
        <f>F234*Credit_Assumptions!$I$31</f>
        <v/>
      </c>
      <c r="G239" s="80">
        <f>G234*Credit_Assumptions!$I$31</f>
        <v/>
      </c>
      <c r="H239" s="80">
        <f>H234*Credit_Assumptions!$I$31</f>
        <v/>
      </c>
      <c r="I239" s="80">
        <f>I234*Credit_Assumptions!$I$31</f>
        <v/>
      </c>
      <c r="J239" s="80">
        <f>J234*Credit_Assumptions!$I$31</f>
        <v/>
      </c>
      <c r="K239" s="80">
        <f>K234*Credit_Assumptions!$I$31</f>
        <v/>
      </c>
      <c r="L239" s="80">
        <f>L234*Credit_Assumptions!$I$31</f>
        <v/>
      </c>
      <c r="M239" s="80">
        <f>M234*Credit_Assumptions!$I$31</f>
        <v/>
      </c>
      <c r="N239" s="80">
        <f>N234*Credit_Assumptions!$I$31</f>
        <v/>
      </c>
      <c r="O239" s="80">
        <f>O234*Credit_Assumptions!$I$31</f>
        <v/>
      </c>
      <c r="P239" s="80">
        <f>P234*Credit_Assumptions!$I$31</f>
        <v/>
      </c>
      <c r="Q239" s="80">
        <f>Q234*Credit_Assumptions!$I$31</f>
        <v/>
      </c>
      <c r="R239" s="80">
        <f>R234*Credit_Assumptions!$I$31</f>
        <v/>
      </c>
      <c r="S239" s="80">
        <f>S234*Credit_Assumptions!$I$31</f>
        <v/>
      </c>
      <c r="T239" s="80">
        <f>T234*Credit_Assumptions!$I$31</f>
        <v/>
      </c>
      <c r="U239" s="80">
        <f>U234*Credit_Assumptions!$I$31</f>
        <v/>
      </c>
      <c r="V239" s="80">
        <f>V234*Credit_Assumptions!$I$31</f>
        <v/>
      </c>
      <c r="W239" s="80">
        <f>W234*Credit_Assumptions!$I$31</f>
        <v/>
      </c>
      <c r="X239" s="80">
        <f>X234*Credit_Assumptions!$I$31</f>
        <v/>
      </c>
      <c r="Y239" s="80">
        <f>Y234*Credit_Assumptions!$I$31</f>
        <v/>
      </c>
      <c r="Z239" s="80">
        <f>Z234*Credit_Assumptions!$I$31</f>
        <v/>
      </c>
      <c r="AA239" s="80">
        <f>AA234*Credit_Assumptions!$I$31</f>
        <v/>
      </c>
      <c r="AB239" s="80">
        <f>AB234*Credit_Assumptions!$I$31</f>
        <v/>
      </c>
      <c r="AC239" s="80">
        <f>AC234*Credit_Assumptions!$I$31</f>
        <v/>
      </c>
      <c r="AD239" s="80">
        <f>AD234*Credit_Assumptions!$I$31</f>
        <v/>
      </c>
      <c r="AE239" s="80">
        <f>AE234*Credit_Assumptions!$I$31</f>
        <v/>
      </c>
      <c r="AF239" s="80">
        <f>AF234*Credit_Assumptions!$I$31</f>
        <v/>
      </c>
      <c r="AG239" s="80">
        <f>AG234*Credit_Assumptions!$I$31</f>
        <v/>
      </c>
      <c r="AH239" s="80">
        <f>AH234*Credit_Assumptions!$I$31</f>
        <v/>
      </c>
      <c r="AI239" s="80">
        <f>AI234*Credit_Assumptions!$I$31</f>
        <v/>
      </c>
      <c r="AJ239" s="80">
        <f>AJ234*Credit_Assumptions!$I$31</f>
        <v/>
      </c>
      <c r="AK239" s="80">
        <f>AK234*Credit_Assumptions!$I$31</f>
        <v/>
      </c>
      <c r="AL239" s="80">
        <f>AL234*Credit_Assumptions!$I$31</f>
        <v/>
      </c>
      <c r="AM239" s="80">
        <f>AM234*Credit_Assumptions!$I$31</f>
        <v/>
      </c>
      <c r="AN239" s="80">
        <f>AN234*Credit_Assumptions!$I$31</f>
        <v/>
      </c>
      <c r="AO239" s="80">
        <f>AO234*Credit_Assumptions!$I$31</f>
        <v/>
      </c>
      <c r="AP239" s="80">
        <f>AP234*Credit_Assumptions!$I$31</f>
        <v/>
      </c>
      <c r="AQ239" s="80">
        <f>AQ234*Credit_Assumptions!$I$31</f>
        <v/>
      </c>
      <c r="AR239" s="80">
        <f>AR234*Credit_Assumptions!$I$31</f>
        <v/>
      </c>
      <c r="AS239" s="80">
        <f>AS234*Credit_Assumptions!$I$31</f>
        <v/>
      </c>
      <c r="AT239" s="80">
        <f>AT234*Credit_Assumptions!$I$31</f>
        <v/>
      </c>
      <c r="AU239" s="80">
        <f>AU234*Credit_Assumptions!$I$31</f>
        <v/>
      </c>
      <c r="AV239" s="80">
        <f>AV234*Credit_Assumptions!$I$31</f>
        <v/>
      </c>
      <c r="AW239" s="80">
        <f>AW234*Credit_Assumptions!$I$31</f>
        <v/>
      </c>
      <c r="AX239" s="80">
        <f>AX234*Credit_Assumptions!$I$31</f>
        <v/>
      </c>
      <c r="AY239" s="80">
        <f>AY234*Credit_Assumptions!$I$31</f>
        <v/>
      </c>
      <c r="AZ239" s="80">
        <f>AZ234*Credit_Assumptions!$I$31</f>
        <v/>
      </c>
      <c r="BA239" s="80">
        <f>BA234*Credit_Assumptions!$I$31</f>
        <v/>
      </c>
      <c r="BB239" s="80">
        <f>BB234*Credit_Assumptions!$I$31</f>
        <v/>
      </c>
      <c r="BC239" s="80">
        <f>BC234*Credit_Assumptions!$I$31</f>
        <v/>
      </c>
      <c r="BD239" s="80">
        <f>BD234*Credit_Assumptions!$I$31</f>
        <v/>
      </c>
      <c r="BE239" s="80">
        <f>BE234*Credit_Assumptions!$I$31</f>
        <v/>
      </c>
      <c r="BF239" s="80">
        <f>BF234*Credit_Assumptions!$I$31</f>
        <v/>
      </c>
      <c r="BG239" s="80">
        <f>BG234*Credit_Assumptions!$I$31</f>
        <v/>
      </c>
      <c r="BH239" s="80">
        <f>BH234*Credit_Assumptions!$I$31</f>
        <v/>
      </c>
      <c r="BI239" s="80">
        <f>BI234*Credit_Assumptions!$I$31</f>
        <v/>
      </c>
      <c r="BJ239" s="80">
        <f>BJ234*Credit_Assumptions!$I$31</f>
        <v/>
      </c>
      <c r="BK239" s="80">
        <f>BK234*Credit_Assumptions!$I$31</f>
        <v/>
      </c>
      <c r="BL239" s="80">
        <f>BL234*Credit_Assumptions!$I$31</f>
        <v/>
      </c>
    </row>
    <row r="240">
      <c r="A240" s="98" t="inlineStr">
        <is>
          <t>91-180 DPD</t>
        </is>
      </c>
      <c r="B240" s="65" t="inlineStr">
        <is>
          <t>LCY</t>
        </is>
      </c>
      <c r="C240" s="105">
        <f>BL240</f>
        <v/>
      </c>
      <c r="E240" s="80">
        <f>E234*Credit_Assumptions!$I$32</f>
        <v/>
      </c>
      <c r="F240" s="80">
        <f>F234*Credit_Assumptions!$I$32</f>
        <v/>
      </c>
      <c r="G240" s="80">
        <f>G234*Credit_Assumptions!$I$32</f>
        <v/>
      </c>
      <c r="H240" s="80">
        <f>H234*Credit_Assumptions!$I$32</f>
        <v/>
      </c>
      <c r="I240" s="80">
        <f>I234*Credit_Assumptions!$I$32</f>
        <v/>
      </c>
      <c r="J240" s="80">
        <f>J234*Credit_Assumptions!$I$32</f>
        <v/>
      </c>
      <c r="K240" s="80">
        <f>K234*Credit_Assumptions!$I$32</f>
        <v/>
      </c>
      <c r="L240" s="80">
        <f>L234*Credit_Assumptions!$I$32</f>
        <v/>
      </c>
      <c r="M240" s="80">
        <f>M234*Credit_Assumptions!$I$32</f>
        <v/>
      </c>
      <c r="N240" s="80">
        <f>N234*Credit_Assumptions!$I$32</f>
        <v/>
      </c>
      <c r="O240" s="80">
        <f>O234*Credit_Assumptions!$I$32</f>
        <v/>
      </c>
      <c r="P240" s="80">
        <f>P234*Credit_Assumptions!$I$32</f>
        <v/>
      </c>
      <c r="Q240" s="80">
        <f>Q234*Credit_Assumptions!$I$32</f>
        <v/>
      </c>
      <c r="R240" s="80">
        <f>R234*Credit_Assumptions!$I$32</f>
        <v/>
      </c>
      <c r="S240" s="80">
        <f>S234*Credit_Assumptions!$I$32</f>
        <v/>
      </c>
      <c r="T240" s="80">
        <f>T234*Credit_Assumptions!$I$32</f>
        <v/>
      </c>
      <c r="U240" s="80">
        <f>U234*Credit_Assumptions!$I$32</f>
        <v/>
      </c>
      <c r="V240" s="80">
        <f>V234*Credit_Assumptions!$I$32</f>
        <v/>
      </c>
      <c r="W240" s="80">
        <f>W234*Credit_Assumptions!$I$32</f>
        <v/>
      </c>
      <c r="X240" s="80">
        <f>X234*Credit_Assumptions!$I$32</f>
        <v/>
      </c>
      <c r="Y240" s="80">
        <f>Y234*Credit_Assumptions!$I$32</f>
        <v/>
      </c>
      <c r="Z240" s="80">
        <f>Z234*Credit_Assumptions!$I$32</f>
        <v/>
      </c>
      <c r="AA240" s="80">
        <f>AA234*Credit_Assumptions!$I$32</f>
        <v/>
      </c>
      <c r="AB240" s="80">
        <f>AB234*Credit_Assumptions!$I$32</f>
        <v/>
      </c>
      <c r="AC240" s="80">
        <f>AC234*Credit_Assumptions!$I$32</f>
        <v/>
      </c>
      <c r="AD240" s="80">
        <f>AD234*Credit_Assumptions!$I$32</f>
        <v/>
      </c>
      <c r="AE240" s="80">
        <f>AE234*Credit_Assumptions!$I$32</f>
        <v/>
      </c>
      <c r="AF240" s="80">
        <f>AF234*Credit_Assumptions!$I$32</f>
        <v/>
      </c>
      <c r="AG240" s="80">
        <f>AG234*Credit_Assumptions!$I$32</f>
        <v/>
      </c>
      <c r="AH240" s="80">
        <f>AH234*Credit_Assumptions!$I$32</f>
        <v/>
      </c>
      <c r="AI240" s="80">
        <f>AI234*Credit_Assumptions!$I$32</f>
        <v/>
      </c>
      <c r="AJ240" s="80">
        <f>AJ234*Credit_Assumptions!$I$32</f>
        <v/>
      </c>
      <c r="AK240" s="80">
        <f>AK234*Credit_Assumptions!$I$32</f>
        <v/>
      </c>
      <c r="AL240" s="80">
        <f>AL234*Credit_Assumptions!$I$32</f>
        <v/>
      </c>
      <c r="AM240" s="80">
        <f>AM234*Credit_Assumptions!$I$32</f>
        <v/>
      </c>
      <c r="AN240" s="80">
        <f>AN234*Credit_Assumptions!$I$32</f>
        <v/>
      </c>
      <c r="AO240" s="80">
        <f>AO234*Credit_Assumptions!$I$32</f>
        <v/>
      </c>
      <c r="AP240" s="80">
        <f>AP234*Credit_Assumptions!$I$32</f>
        <v/>
      </c>
      <c r="AQ240" s="80">
        <f>AQ234*Credit_Assumptions!$I$32</f>
        <v/>
      </c>
      <c r="AR240" s="80">
        <f>AR234*Credit_Assumptions!$I$32</f>
        <v/>
      </c>
      <c r="AS240" s="80">
        <f>AS234*Credit_Assumptions!$I$32</f>
        <v/>
      </c>
      <c r="AT240" s="80">
        <f>AT234*Credit_Assumptions!$I$32</f>
        <v/>
      </c>
      <c r="AU240" s="80">
        <f>AU234*Credit_Assumptions!$I$32</f>
        <v/>
      </c>
      <c r="AV240" s="80">
        <f>AV234*Credit_Assumptions!$I$32</f>
        <v/>
      </c>
      <c r="AW240" s="80">
        <f>AW234*Credit_Assumptions!$I$32</f>
        <v/>
      </c>
      <c r="AX240" s="80">
        <f>AX234*Credit_Assumptions!$I$32</f>
        <v/>
      </c>
      <c r="AY240" s="80">
        <f>AY234*Credit_Assumptions!$I$32</f>
        <v/>
      </c>
      <c r="AZ240" s="80">
        <f>AZ234*Credit_Assumptions!$I$32</f>
        <v/>
      </c>
      <c r="BA240" s="80">
        <f>BA234*Credit_Assumptions!$I$32</f>
        <v/>
      </c>
      <c r="BB240" s="80">
        <f>BB234*Credit_Assumptions!$I$32</f>
        <v/>
      </c>
      <c r="BC240" s="80">
        <f>BC234*Credit_Assumptions!$I$32</f>
        <v/>
      </c>
      <c r="BD240" s="80">
        <f>BD234*Credit_Assumptions!$I$32</f>
        <v/>
      </c>
      <c r="BE240" s="80">
        <f>BE234*Credit_Assumptions!$I$32</f>
        <v/>
      </c>
      <c r="BF240" s="80">
        <f>BF234*Credit_Assumptions!$I$32</f>
        <v/>
      </c>
      <c r="BG240" s="80">
        <f>BG234*Credit_Assumptions!$I$32</f>
        <v/>
      </c>
      <c r="BH240" s="80">
        <f>BH234*Credit_Assumptions!$I$32</f>
        <v/>
      </c>
      <c r="BI240" s="80">
        <f>BI234*Credit_Assumptions!$I$32</f>
        <v/>
      </c>
      <c r="BJ240" s="80">
        <f>BJ234*Credit_Assumptions!$I$32</f>
        <v/>
      </c>
      <c r="BK240" s="80">
        <f>BK234*Credit_Assumptions!$I$32</f>
        <v/>
      </c>
      <c r="BL240" s="80">
        <f>BL234*Credit_Assumptions!$I$32</f>
        <v/>
      </c>
    </row>
    <row r="241">
      <c r="A241" s="98" t="inlineStr">
        <is>
          <t>180+ DPD</t>
        </is>
      </c>
      <c r="B241" s="65" t="inlineStr">
        <is>
          <t>LCY</t>
        </is>
      </c>
      <c r="C241" s="105">
        <f>BL241</f>
        <v/>
      </c>
      <c r="E241" s="80">
        <f>E234*Credit_Assumptions!$I$33</f>
        <v/>
      </c>
      <c r="F241" s="80">
        <f>F234*Credit_Assumptions!$I$33</f>
        <v/>
      </c>
      <c r="G241" s="80">
        <f>G234*Credit_Assumptions!$I$33</f>
        <v/>
      </c>
      <c r="H241" s="80">
        <f>H234*Credit_Assumptions!$I$33</f>
        <v/>
      </c>
      <c r="I241" s="80">
        <f>I234*Credit_Assumptions!$I$33</f>
        <v/>
      </c>
      <c r="J241" s="80">
        <f>J234*Credit_Assumptions!$I$33</f>
        <v/>
      </c>
      <c r="K241" s="80">
        <f>K234*Credit_Assumptions!$I$33</f>
        <v/>
      </c>
      <c r="L241" s="80">
        <f>L234*Credit_Assumptions!$I$33</f>
        <v/>
      </c>
      <c r="M241" s="80">
        <f>M234*Credit_Assumptions!$I$33</f>
        <v/>
      </c>
      <c r="N241" s="80">
        <f>N234*Credit_Assumptions!$I$33</f>
        <v/>
      </c>
      <c r="O241" s="80">
        <f>O234*Credit_Assumptions!$I$33</f>
        <v/>
      </c>
      <c r="P241" s="80">
        <f>P234*Credit_Assumptions!$I$33</f>
        <v/>
      </c>
      <c r="Q241" s="80">
        <f>Q234*Credit_Assumptions!$I$33</f>
        <v/>
      </c>
      <c r="R241" s="80">
        <f>R234*Credit_Assumptions!$I$33</f>
        <v/>
      </c>
      <c r="S241" s="80">
        <f>S234*Credit_Assumptions!$I$33</f>
        <v/>
      </c>
      <c r="T241" s="80">
        <f>T234*Credit_Assumptions!$I$33</f>
        <v/>
      </c>
      <c r="U241" s="80">
        <f>U234*Credit_Assumptions!$I$33</f>
        <v/>
      </c>
      <c r="V241" s="80">
        <f>V234*Credit_Assumptions!$I$33</f>
        <v/>
      </c>
      <c r="W241" s="80">
        <f>W234*Credit_Assumptions!$I$33</f>
        <v/>
      </c>
      <c r="X241" s="80">
        <f>X234*Credit_Assumptions!$I$33</f>
        <v/>
      </c>
      <c r="Y241" s="80">
        <f>Y234*Credit_Assumptions!$I$33</f>
        <v/>
      </c>
      <c r="Z241" s="80">
        <f>Z234*Credit_Assumptions!$I$33</f>
        <v/>
      </c>
      <c r="AA241" s="80">
        <f>AA234*Credit_Assumptions!$I$33</f>
        <v/>
      </c>
      <c r="AB241" s="80">
        <f>AB234*Credit_Assumptions!$I$33</f>
        <v/>
      </c>
      <c r="AC241" s="80">
        <f>AC234*Credit_Assumptions!$I$33</f>
        <v/>
      </c>
      <c r="AD241" s="80">
        <f>AD234*Credit_Assumptions!$I$33</f>
        <v/>
      </c>
      <c r="AE241" s="80">
        <f>AE234*Credit_Assumptions!$I$33</f>
        <v/>
      </c>
      <c r="AF241" s="80">
        <f>AF234*Credit_Assumptions!$I$33</f>
        <v/>
      </c>
      <c r="AG241" s="80">
        <f>AG234*Credit_Assumptions!$I$33</f>
        <v/>
      </c>
      <c r="AH241" s="80">
        <f>AH234*Credit_Assumptions!$I$33</f>
        <v/>
      </c>
      <c r="AI241" s="80">
        <f>AI234*Credit_Assumptions!$I$33</f>
        <v/>
      </c>
      <c r="AJ241" s="80">
        <f>AJ234*Credit_Assumptions!$I$33</f>
        <v/>
      </c>
      <c r="AK241" s="80">
        <f>AK234*Credit_Assumptions!$I$33</f>
        <v/>
      </c>
      <c r="AL241" s="80">
        <f>AL234*Credit_Assumptions!$I$33</f>
        <v/>
      </c>
      <c r="AM241" s="80">
        <f>AM234*Credit_Assumptions!$I$33</f>
        <v/>
      </c>
      <c r="AN241" s="80">
        <f>AN234*Credit_Assumptions!$I$33</f>
        <v/>
      </c>
      <c r="AO241" s="80">
        <f>AO234*Credit_Assumptions!$I$33</f>
        <v/>
      </c>
      <c r="AP241" s="80">
        <f>AP234*Credit_Assumptions!$I$33</f>
        <v/>
      </c>
      <c r="AQ241" s="80">
        <f>AQ234*Credit_Assumptions!$I$33</f>
        <v/>
      </c>
      <c r="AR241" s="80">
        <f>AR234*Credit_Assumptions!$I$33</f>
        <v/>
      </c>
      <c r="AS241" s="80">
        <f>AS234*Credit_Assumptions!$I$33</f>
        <v/>
      </c>
      <c r="AT241" s="80">
        <f>AT234*Credit_Assumptions!$I$33</f>
        <v/>
      </c>
      <c r="AU241" s="80">
        <f>AU234*Credit_Assumptions!$I$33</f>
        <v/>
      </c>
      <c r="AV241" s="80">
        <f>AV234*Credit_Assumptions!$I$33</f>
        <v/>
      </c>
      <c r="AW241" s="80">
        <f>AW234*Credit_Assumptions!$I$33</f>
        <v/>
      </c>
      <c r="AX241" s="80">
        <f>AX234*Credit_Assumptions!$I$33</f>
        <v/>
      </c>
      <c r="AY241" s="80">
        <f>AY234*Credit_Assumptions!$I$33</f>
        <v/>
      </c>
      <c r="AZ241" s="80">
        <f>AZ234*Credit_Assumptions!$I$33</f>
        <v/>
      </c>
      <c r="BA241" s="80">
        <f>BA234*Credit_Assumptions!$I$33</f>
        <v/>
      </c>
      <c r="BB241" s="80">
        <f>BB234*Credit_Assumptions!$I$33</f>
        <v/>
      </c>
      <c r="BC241" s="80">
        <f>BC234*Credit_Assumptions!$I$33</f>
        <v/>
      </c>
      <c r="BD241" s="80">
        <f>BD234*Credit_Assumptions!$I$33</f>
        <v/>
      </c>
      <c r="BE241" s="80">
        <f>BE234*Credit_Assumptions!$I$33</f>
        <v/>
      </c>
      <c r="BF241" s="80">
        <f>BF234*Credit_Assumptions!$I$33</f>
        <v/>
      </c>
      <c r="BG241" s="80">
        <f>BG234*Credit_Assumptions!$I$33</f>
        <v/>
      </c>
      <c r="BH241" s="80">
        <f>BH234*Credit_Assumptions!$I$33</f>
        <v/>
      </c>
      <c r="BI241" s="80">
        <f>BI234*Credit_Assumptions!$I$33</f>
        <v/>
      </c>
      <c r="BJ241" s="80">
        <f>BJ234*Credit_Assumptions!$I$33</f>
        <v/>
      </c>
      <c r="BK241" s="80">
        <f>BK234*Credit_Assumptions!$I$33</f>
        <v/>
      </c>
      <c r="BL241" s="80">
        <f>BL234*Credit_Assumptions!$I$33</f>
        <v/>
      </c>
    </row>
    <row r="242">
      <c r="A242" s="98" t="inlineStr">
        <is>
          <t>Default EAD (beyond default definition)</t>
        </is>
      </c>
      <c r="B242" s="65" t="inlineStr">
        <is>
          <t>LCY</t>
        </is>
      </c>
      <c r="C242" s="105">
        <f>BL242</f>
        <v/>
      </c>
      <c r="E242" s="80">
        <f>E236*Credit_Assumptions!$F$28+E237*Credit_Assumptions!$F$29+E238*Credit_Assumptions!$F$30+E239*Credit_Assumptions!$F$31+E240*Credit_Assumptions!$F$32+E241*Credit_Assumptions!$F$33</f>
        <v/>
      </c>
      <c r="F242" s="80">
        <f>F236*Credit_Assumptions!$F$28+F237*Credit_Assumptions!$F$29+F238*Credit_Assumptions!$F$30+F239*Credit_Assumptions!$F$31+F240*Credit_Assumptions!$F$32+F241*Credit_Assumptions!$F$33</f>
        <v/>
      </c>
      <c r="G242" s="80">
        <f>G236*Credit_Assumptions!$F$28+G237*Credit_Assumptions!$F$29+G238*Credit_Assumptions!$F$30+G239*Credit_Assumptions!$F$31+G240*Credit_Assumptions!$F$32+G241*Credit_Assumptions!$F$33</f>
        <v/>
      </c>
      <c r="H242" s="80">
        <f>H236*Credit_Assumptions!$F$28+H237*Credit_Assumptions!$F$29+H238*Credit_Assumptions!$F$30+H239*Credit_Assumptions!$F$31+H240*Credit_Assumptions!$F$32+H241*Credit_Assumptions!$F$33</f>
        <v/>
      </c>
      <c r="I242" s="80">
        <f>I236*Credit_Assumptions!$F$28+I237*Credit_Assumptions!$F$29+I238*Credit_Assumptions!$F$30+I239*Credit_Assumptions!$F$31+I240*Credit_Assumptions!$F$32+I241*Credit_Assumptions!$F$33</f>
        <v/>
      </c>
      <c r="J242" s="80">
        <f>J236*Credit_Assumptions!$F$28+J237*Credit_Assumptions!$F$29+J238*Credit_Assumptions!$F$30+J239*Credit_Assumptions!$F$31+J240*Credit_Assumptions!$F$32+J241*Credit_Assumptions!$F$33</f>
        <v/>
      </c>
      <c r="K242" s="80">
        <f>K236*Credit_Assumptions!$F$28+K237*Credit_Assumptions!$F$29+K238*Credit_Assumptions!$F$30+K239*Credit_Assumptions!$F$31+K240*Credit_Assumptions!$F$32+K241*Credit_Assumptions!$F$33</f>
        <v/>
      </c>
      <c r="L242" s="80">
        <f>L236*Credit_Assumptions!$F$28+L237*Credit_Assumptions!$F$29+L238*Credit_Assumptions!$F$30+L239*Credit_Assumptions!$F$31+L240*Credit_Assumptions!$F$32+L241*Credit_Assumptions!$F$33</f>
        <v/>
      </c>
      <c r="M242" s="80">
        <f>M236*Credit_Assumptions!$F$28+M237*Credit_Assumptions!$F$29+M238*Credit_Assumptions!$F$30+M239*Credit_Assumptions!$F$31+M240*Credit_Assumptions!$F$32+M241*Credit_Assumptions!$F$33</f>
        <v/>
      </c>
      <c r="N242" s="80">
        <f>N236*Credit_Assumptions!$F$28+N237*Credit_Assumptions!$F$29+N238*Credit_Assumptions!$F$30+N239*Credit_Assumptions!$F$31+N240*Credit_Assumptions!$F$32+N241*Credit_Assumptions!$F$33</f>
        <v/>
      </c>
      <c r="O242" s="80">
        <f>O236*Credit_Assumptions!$F$28+O237*Credit_Assumptions!$F$29+O238*Credit_Assumptions!$F$30+O239*Credit_Assumptions!$F$31+O240*Credit_Assumptions!$F$32+O241*Credit_Assumptions!$F$33</f>
        <v/>
      </c>
      <c r="P242" s="80">
        <f>P236*Credit_Assumptions!$F$28+P237*Credit_Assumptions!$F$29+P238*Credit_Assumptions!$F$30+P239*Credit_Assumptions!$F$31+P240*Credit_Assumptions!$F$32+P241*Credit_Assumptions!$F$33</f>
        <v/>
      </c>
      <c r="Q242" s="80">
        <f>Q236*Credit_Assumptions!$F$28+Q237*Credit_Assumptions!$F$29+Q238*Credit_Assumptions!$F$30+Q239*Credit_Assumptions!$F$31+Q240*Credit_Assumptions!$F$32+Q241*Credit_Assumptions!$F$33</f>
        <v/>
      </c>
      <c r="R242" s="80">
        <f>R236*Credit_Assumptions!$F$28+R237*Credit_Assumptions!$F$29+R238*Credit_Assumptions!$F$30+R239*Credit_Assumptions!$F$31+R240*Credit_Assumptions!$F$32+R241*Credit_Assumptions!$F$33</f>
        <v/>
      </c>
      <c r="S242" s="80">
        <f>S236*Credit_Assumptions!$F$28+S237*Credit_Assumptions!$F$29+S238*Credit_Assumptions!$F$30+S239*Credit_Assumptions!$F$31+S240*Credit_Assumptions!$F$32+S241*Credit_Assumptions!$F$33</f>
        <v/>
      </c>
      <c r="T242" s="80">
        <f>T236*Credit_Assumptions!$F$28+T237*Credit_Assumptions!$F$29+T238*Credit_Assumptions!$F$30+T239*Credit_Assumptions!$F$31+T240*Credit_Assumptions!$F$32+T241*Credit_Assumptions!$F$33</f>
        <v/>
      </c>
      <c r="U242" s="80">
        <f>U236*Credit_Assumptions!$F$28+U237*Credit_Assumptions!$F$29+U238*Credit_Assumptions!$F$30+U239*Credit_Assumptions!$F$31+U240*Credit_Assumptions!$F$32+U241*Credit_Assumptions!$F$33</f>
        <v/>
      </c>
      <c r="V242" s="80">
        <f>V236*Credit_Assumptions!$F$28+V237*Credit_Assumptions!$F$29+V238*Credit_Assumptions!$F$30+V239*Credit_Assumptions!$F$31+V240*Credit_Assumptions!$F$32+V241*Credit_Assumptions!$F$33</f>
        <v/>
      </c>
      <c r="W242" s="80">
        <f>W236*Credit_Assumptions!$F$28+W237*Credit_Assumptions!$F$29+W238*Credit_Assumptions!$F$30+W239*Credit_Assumptions!$F$31+W240*Credit_Assumptions!$F$32+W241*Credit_Assumptions!$F$33</f>
        <v/>
      </c>
      <c r="X242" s="80">
        <f>X236*Credit_Assumptions!$F$28+X237*Credit_Assumptions!$F$29+X238*Credit_Assumptions!$F$30+X239*Credit_Assumptions!$F$31+X240*Credit_Assumptions!$F$32+X241*Credit_Assumptions!$F$33</f>
        <v/>
      </c>
      <c r="Y242" s="80">
        <f>Y236*Credit_Assumptions!$F$28+Y237*Credit_Assumptions!$F$29+Y238*Credit_Assumptions!$F$30+Y239*Credit_Assumptions!$F$31+Y240*Credit_Assumptions!$F$32+Y241*Credit_Assumptions!$F$33</f>
        <v/>
      </c>
      <c r="Z242" s="80">
        <f>Z236*Credit_Assumptions!$F$28+Z237*Credit_Assumptions!$F$29+Z238*Credit_Assumptions!$F$30+Z239*Credit_Assumptions!$F$31+Z240*Credit_Assumptions!$F$32+Z241*Credit_Assumptions!$F$33</f>
        <v/>
      </c>
      <c r="AA242" s="80">
        <f>AA236*Credit_Assumptions!$F$28+AA237*Credit_Assumptions!$F$29+AA238*Credit_Assumptions!$F$30+AA239*Credit_Assumptions!$F$31+AA240*Credit_Assumptions!$F$32+AA241*Credit_Assumptions!$F$33</f>
        <v/>
      </c>
      <c r="AB242" s="80">
        <f>AB236*Credit_Assumptions!$F$28+AB237*Credit_Assumptions!$F$29+AB238*Credit_Assumptions!$F$30+AB239*Credit_Assumptions!$F$31+AB240*Credit_Assumptions!$F$32+AB241*Credit_Assumptions!$F$33</f>
        <v/>
      </c>
      <c r="AC242" s="80">
        <f>AC236*Credit_Assumptions!$F$28+AC237*Credit_Assumptions!$F$29+AC238*Credit_Assumptions!$F$30+AC239*Credit_Assumptions!$F$31+AC240*Credit_Assumptions!$F$32+AC241*Credit_Assumptions!$F$33</f>
        <v/>
      </c>
      <c r="AD242" s="80">
        <f>AD236*Credit_Assumptions!$F$28+AD237*Credit_Assumptions!$F$29+AD238*Credit_Assumptions!$F$30+AD239*Credit_Assumptions!$F$31+AD240*Credit_Assumptions!$F$32+AD241*Credit_Assumptions!$F$33</f>
        <v/>
      </c>
      <c r="AE242" s="80">
        <f>AE236*Credit_Assumptions!$F$28+AE237*Credit_Assumptions!$F$29+AE238*Credit_Assumptions!$F$30+AE239*Credit_Assumptions!$F$31+AE240*Credit_Assumptions!$F$32+AE241*Credit_Assumptions!$F$33</f>
        <v/>
      </c>
      <c r="AF242" s="80">
        <f>AF236*Credit_Assumptions!$F$28+AF237*Credit_Assumptions!$F$29+AF238*Credit_Assumptions!$F$30+AF239*Credit_Assumptions!$F$31+AF240*Credit_Assumptions!$F$32+AF241*Credit_Assumptions!$F$33</f>
        <v/>
      </c>
      <c r="AG242" s="80">
        <f>AG236*Credit_Assumptions!$F$28+AG237*Credit_Assumptions!$F$29+AG238*Credit_Assumptions!$F$30+AG239*Credit_Assumptions!$F$31+AG240*Credit_Assumptions!$F$32+AG241*Credit_Assumptions!$F$33</f>
        <v/>
      </c>
      <c r="AH242" s="80">
        <f>AH236*Credit_Assumptions!$F$28+AH237*Credit_Assumptions!$F$29+AH238*Credit_Assumptions!$F$30+AH239*Credit_Assumptions!$F$31+AH240*Credit_Assumptions!$F$32+AH241*Credit_Assumptions!$F$33</f>
        <v/>
      </c>
      <c r="AI242" s="80">
        <f>AI236*Credit_Assumptions!$F$28+AI237*Credit_Assumptions!$F$29+AI238*Credit_Assumptions!$F$30+AI239*Credit_Assumptions!$F$31+AI240*Credit_Assumptions!$F$32+AI241*Credit_Assumptions!$F$33</f>
        <v/>
      </c>
      <c r="AJ242" s="80">
        <f>AJ236*Credit_Assumptions!$F$28+AJ237*Credit_Assumptions!$F$29+AJ238*Credit_Assumptions!$F$30+AJ239*Credit_Assumptions!$F$31+AJ240*Credit_Assumptions!$F$32+AJ241*Credit_Assumptions!$F$33</f>
        <v/>
      </c>
      <c r="AK242" s="80">
        <f>AK236*Credit_Assumptions!$F$28+AK237*Credit_Assumptions!$F$29+AK238*Credit_Assumptions!$F$30+AK239*Credit_Assumptions!$F$31+AK240*Credit_Assumptions!$F$32+AK241*Credit_Assumptions!$F$33</f>
        <v/>
      </c>
      <c r="AL242" s="80">
        <f>AL236*Credit_Assumptions!$F$28+AL237*Credit_Assumptions!$F$29+AL238*Credit_Assumptions!$F$30+AL239*Credit_Assumptions!$F$31+AL240*Credit_Assumptions!$F$32+AL241*Credit_Assumptions!$F$33</f>
        <v/>
      </c>
      <c r="AM242" s="80">
        <f>AM236*Credit_Assumptions!$F$28+AM237*Credit_Assumptions!$F$29+AM238*Credit_Assumptions!$F$30+AM239*Credit_Assumptions!$F$31+AM240*Credit_Assumptions!$F$32+AM241*Credit_Assumptions!$F$33</f>
        <v/>
      </c>
      <c r="AN242" s="80">
        <f>AN236*Credit_Assumptions!$F$28+AN237*Credit_Assumptions!$F$29+AN238*Credit_Assumptions!$F$30+AN239*Credit_Assumptions!$F$31+AN240*Credit_Assumptions!$F$32+AN241*Credit_Assumptions!$F$33</f>
        <v/>
      </c>
      <c r="AO242" s="80">
        <f>AO236*Credit_Assumptions!$F$28+AO237*Credit_Assumptions!$F$29+AO238*Credit_Assumptions!$F$30+AO239*Credit_Assumptions!$F$31+AO240*Credit_Assumptions!$F$32+AO241*Credit_Assumptions!$F$33</f>
        <v/>
      </c>
      <c r="AP242" s="80">
        <f>AP236*Credit_Assumptions!$F$28+AP237*Credit_Assumptions!$F$29+AP238*Credit_Assumptions!$F$30+AP239*Credit_Assumptions!$F$31+AP240*Credit_Assumptions!$F$32+AP241*Credit_Assumptions!$F$33</f>
        <v/>
      </c>
      <c r="AQ242" s="80">
        <f>AQ236*Credit_Assumptions!$F$28+AQ237*Credit_Assumptions!$F$29+AQ238*Credit_Assumptions!$F$30+AQ239*Credit_Assumptions!$F$31+AQ240*Credit_Assumptions!$F$32+AQ241*Credit_Assumptions!$F$33</f>
        <v/>
      </c>
      <c r="AR242" s="80">
        <f>AR236*Credit_Assumptions!$F$28+AR237*Credit_Assumptions!$F$29+AR238*Credit_Assumptions!$F$30+AR239*Credit_Assumptions!$F$31+AR240*Credit_Assumptions!$F$32+AR241*Credit_Assumptions!$F$33</f>
        <v/>
      </c>
      <c r="AS242" s="80">
        <f>AS236*Credit_Assumptions!$F$28+AS237*Credit_Assumptions!$F$29+AS238*Credit_Assumptions!$F$30+AS239*Credit_Assumptions!$F$31+AS240*Credit_Assumptions!$F$32+AS241*Credit_Assumptions!$F$33</f>
        <v/>
      </c>
      <c r="AT242" s="80">
        <f>AT236*Credit_Assumptions!$F$28+AT237*Credit_Assumptions!$F$29+AT238*Credit_Assumptions!$F$30+AT239*Credit_Assumptions!$F$31+AT240*Credit_Assumptions!$F$32+AT241*Credit_Assumptions!$F$33</f>
        <v/>
      </c>
      <c r="AU242" s="80">
        <f>AU236*Credit_Assumptions!$F$28+AU237*Credit_Assumptions!$F$29+AU238*Credit_Assumptions!$F$30+AU239*Credit_Assumptions!$F$31+AU240*Credit_Assumptions!$F$32+AU241*Credit_Assumptions!$F$33</f>
        <v/>
      </c>
      <c r="AV242" s="80">
        <f>AV236*Credit_Assumptions!$F$28+AV237*Credit_Assumptions!$F$29+AV238*Credit_Assumptions!$F$30+AV239*Credit_Assumptions!$F$31+AV240*Credit_Assumptions!$F$32+AV241*Credit_Assumptions!$F$33</f>
        <v/>
      </c>
      <c r="AW242" s="80">
        <f>AW236*Credit_Assumptions!$F$28+AW237*Credit_Assumptions!$F$29+AW238*Credit_Assumptions!$F$30+AW239*Credit_Assumptions!$F$31+AW240*Credit_Assumptions!$F$32+AW241*Credit_Assumptions!$F$33</f>
        <v/>
      </c>
      <c r="AX242" s="80">
        <f>AX236*Credit_Assumptions!$F$28+AX237*Credit_Assumptions!$F$29+AX238*Credit_Assumptions!$F$30+AX239*Credit_Assumptions!$F$31+AX240*Credit_Assumptions!$F$32+AX241*Credit_Assumptions!$F$33</f>
        <v/>
      </c>
      <c r="AY242" s="80">
        <f>AY236*Credit_Assumptions!$F$28+AY237*Credit_Assumptions!$F$29+AY238*Credit_Assumptions!$F$30+AY239*Credit_Assumptions!$F$31+AY240*Credit_Assumptions!$F$32+AY241*Credit_Assumptions!$F$33</f>
        <v/>
      </c>
      <c r="AZ242" s="80">
        <f>AZ236*Credit_Assumptions!$F$28+AZ237*Credit_Assumptions!$F$29+AZ238*Credit_Assumptions!$F$30+AZ239*Credit_Assumptions!$F$31+AZ240*Credit_Assumptions!$F$32+AZ241*Credit_Assumptions!$F$33</f>
        <v/>
      </c>
      <c r="BA242" s="80">
        <f>BA236*Credit_Assumptions!$F$28+BA237*Credit_Assumptions!$F$29+BA238*Credit_Assumptions!$F$30+BA239*Credit_Assumptions!$F$31+BA240*Credit_Assumptions!$F$32+BA241*Credit_Assumptions!$F$33</f>
        <v/>
      </c>
      <c r="BB242" s="80">
        <f>BB236*Credit_Assumptions!$F$28+BB237*Credit_Assumptions!$F$29+BB238*Credit_Assumptions!$F$30+BB239*Credit_Assumptions!$F$31+BB240*Credit_Assumptions!$F$32+BB241*Credit_Assumptions!$F$33</f>
        <v/>
      </c>
      <c r="BC242" s="80">
        <f>BC236*Credit_Assumptions!$F$28+BC237*Credit_Assumptions!$F$29+BC238*Credit_Assumptions!$F$30+BC239*Credit_Assumptions!$F$31+BC240*Credit_Assumptions!$F$32+BC241*Credit_Assumptions!$F$33</f>
        <v/>
      </c>
      <c r="BD242" s="80">
        <f>BD236*Credit_Assumptions!$F$28+BD237*Credit_Assumptions!$F$29+BD238*Credit_Assumptions!$F$30+BD239*Credit_Assumptions!$F$31+BD240*Credit_Assumptions!$F$32+BD241*Credit_Assumptions!$F$33</f>
        <v/>
      </c>
      <c r="BE242" s="80">
        <f>BE236*Credit_Assumptions!$F$28+BE237*Credit_Assumptions!$F$29+BE238*Credit_Assumptions!$F$30+BE239*Credit_Assumptions!$F$31+BE240*Credit_Assumptions!$F$32+BE241*Credit_Assumptions!$F$33</f>
        <v/>
      </c>
      <c r="BF242" s="80">
        <f>BF236*Credit_Assumptions!$F$28+BF237*Credit_Assumptions!$F$29+BF238*Credit_Assumptions!$F$30+BF239*Credit_Assumptions!$F$31+BF240*Credit_Assumptions!$F$32+BF241*Credit_Assumptions!$F$33</f>
        <v/>
      </c>
      <c r="BG242" s="80">
        <f>BG236*Credit_Assumptions!$F$28+BG237*Credit_Assumptions!$F$29+BG238*Credit_Assumptions!$F$30+BG239*Credit_Assumptions!$F$31+BG240*Credit_Assumptions!$F$32+BG241*Credit_Assumptions!$F$33</f>
        <v/>
      </c>
      <c r="BH242" s="80">
        <f>BH236*Credit_Assumptions!$F$28+BH237*Credit_Assumptions!$F$29+BH238*Credit_Assumptions!$F$30+BH239*Credit_Assumptions!$F$31+BH240*Credit_Assumptions!$F$32+BH241*Credit_Assumptions!$F$33</f>
        <v/>
      </c>
      <c r="BI242" s="80">
        <f>BI236*Credit_Assumptions!$F$28+BI237*Credit_Assumptions!$F$29+BI238*Credit_Assumptions!$F$30+BI239*Credit_Assumptions!$F$31+BI240*Credit_Assumptions!$F$32+BI241*Credit_Assumptions!$F$33</f>
        <v/>
      </c>
      <c r="BJ242" s="80">
        <f>BJ236*Credit_Assumptions!$F$28+BJ237*Credit_Assumptions!$F$29+BJ238*Credit_Assumptions!$F$30+BJ239*Credit_Assumptions!$F$31+BJ240*Credit_Assumptions!$F$32+BJ241*Credit_Assumptions!$F$33</f>
        <v/>
      </c>
      <c r="BK242" s="80">
        <f>BK236*Credit_Assumptions!$F$28+BK237*Credit_Assumptions!$F$29+BK238*Credit_Assumptions!$F$30+BK239*Credit_Assumptions!$F$31+BK240*Credit_Assumptions!$F$32+BK241*Credit_Assumptions!$F$33</f>
        <v/>
      </c>
      <c r="BL242" s="80">
        <f>BL236*Credit_Assumptions!$F$28+BL237*Credit_Assumptions!$F$29+BL238*Credit_Assumptions!$F$30+BL239*Credit_Assumptions!$F$31+BL240*Credit_Assumptions!$F$32+BL241*Credit_Assumptions!$F$33</f>
        <v/>
      </c>
    </row>
    <row r="243">
      <c r="A243" s="98" t="inlineStr">
        <is>
          <t>30+ DPD receivables</t>
        </is>
      </c>
      <c r="B243" s="65" t="inlineStr">
        <is>
          <t>LCY</t>
        </is>
      </c>
      <c r="C243" s="105">
        <f>BL243</f>
        <v/>
      </c>
      <c r="E243" s="80">
        <f>E236*Credit_Assumptions!$G$28+E237*Credit_Assumptions!$G$29+E238*Credit_Assumptions!$G$30+E239*Credit_Assumptions!$G$31+E240*Credit_Assumptions!$G$32+E241*Credit_Assumptions!$G$33</f>
        <v/>
      </c>
      <c r="F243" s="80">
        <f>F236*Credit_Assumptions!$G$28+F237*Credit_Assumptions!$G$29+F238*Credit_Assumptions!$G$30+F239*Credit_Assumptions!$G$31+F240*Credit_Assumptions!$G$32+F241*Credit_Assumptions!$G$33</f>
        <v/>
      </c>
      <c r="G243" s="80">
        <f>G236*Credit_Assumptions!$G$28+G237*Credit_Assumptions!$G$29+G238*Credit_Assumptions!$G$30+G239*Credit_Assumptions!$G$31+G240*Credit_Assumptions!$G$32+G241*Credit_Assumptions!$G$33</f>
        <v/>
      </c>
      <c r="H243" s="80">
        <f>H236*Credit_Assumptions!$G$28+H237*Credit_Assumptions!$G$29+H238*Credit_Assumptions!$G$30+H239*Credit_Assumptions!$G$31+H240*Credit_Assumptions!$G$32+H241*Credit_Assumptions!$G$33</f>
        <v/>
      </c>
      <c r="I243" s="80">
        <f>I236*Credit_Assumptions!$G$28+I237*Credit_Assumptions!$G$29+I238*Credit_Assumptions!$G$30+I239*Credit_Assumptions!$G$31+I240*Credit_Assumptions!$G$32+I241*Credit_Assumptions!$G$33</f>
        <v/>
      </c>
      <c r="J243" s="80">
        <f>J236*Credit_Assumptions!$G$28+J237*Credit_Assumptions!$G$29+J238*Credit_Assumptions!$G$30+J239*Credit_Assumptions!$G$31+J240*Credit_Assumptions!$G$32+J241*Credit_Assumptions!$G$33</f>
        <v/>
      </c>
      <c r="K243" s="80">
        <f>K236*Credit_Assumptions!$G$28+K237*Credit_Assumptions!$G$29+K238*Credit_Assumptions!$G$30+K239*Credit_Assumptions!$G$31+K240*Credit_Assumptions!$G$32+K241*Credit_Assumptions!$G$33</f>
        <v/>
      </c>
      <c r="L243" s="80">
        <f>L236*Credit_Assumptions!$G$28+L237*Credit_Assumptions!$G$29+L238*Credit_Assumptions!$G$30+L239*Credit_Assumptions!$G$31+L240*Credit_Assumptions!$G$32+L241*Credit_Assumptions!$G$33</f>
        <v/>
      </c>
      <c r="M243" s="80">
        <f>M236*Credit_Assumptions!$G$28+M237*Credit_Assumptions!$G$29+M238*Credit_Assumptions!$G$30+M239*Credit_Assumptions!$G$31+M240*Credit_Assumptions!$G$32+M241*Credit_Assumptions!$G$33</f>
        <v/>
      </c>
      <c r="N243" s="80">
        <f>N236*Credit_Assumptions!$G$28+N237*Credit_Assumptions!$G$29+N238*Credit_Assumptions!$G$30+N239*Credit_Assumptions!$G$31+N240*Credit_Assumptions!$G$32+N241*Credit_Assumptions!$G$33</f>
        <v/>
      </c>
      <c r="O243" s="80">
        <f>O236*Credit_Assumptions!$G$28+O237*Credit_Assumptions!$G$29+O238*Credit_Assumptions!$G$30+O239*Credit_Assumptions!$G$31+O240*Credit_Assumptions!$G$32+O241*Credit_Assumptions!$G$33</f>
        <v/>
      </c>
      <c r="P243" s="80">
        <f>P236*Credit_Assumptions!$G$28+P237*Credit_Assumptions!$G$29+P238*Credit_Assumptions!$G$30+P239*Credit_Assumptions!$G$31+P240*Credit_Assumptions!$G$32+P241*Credit_Assumptions!$G$33</f>
        <v/>
      </c>
      <c r="Q243" s="80">
        <f>Q236*Credit_Assumptions!$G$28+Q237*Credit_Assumptions!$G$29+Q238*Credit_Assumptions!$G$30+Q239*Credit_Assumptions!$G$31+Q240*Credit_Assumptions!$G$32+Q241*Credit_Assumptions!$G$33</f>
        <v/>
      </c>
      <c r="R243" s="80">
        <f>R236*Credit_Assumptions!$G$28+R237*Credit_Assumptions!$G$29+R238*Credit_Assumptions!$G$30+R239*Credit_Assumptions!$G$31+R240*Credit_Assumptions!$G$32+R241*Credit_Assumptions!$G$33</f>
        <v/>
      </c>
      <c r="S243" s="80">
        <f>S236*Credit_Assumptions!$G$28+S237*Credit_Assumptions!$G$29+S238*Credit_Assumptions!$G$30+S239*Credit_Assumptions!$G$31+S240*Credit_Assumptions!$G$32+S241*Credit_Assumptions!$G$33</f>
        <v/>
      </c>
      <c r="T243" s="80">
        <f>T236*Credit_Assumptions!$G$28+T237*Credit_Assumptions!$G$29+T238*Credit_Assumptions!$G$30+T239*Credit_Assumptions!$G$31+T240*Credit_Assumptions!$G$32+T241*Credit_Assumptions!$G$33</f>
        <v/>
      </c>
      <c r="U243" s="80">
        <f>U236*Credit_Assumptions!$G$28+U237*Credit_Assumptions!$G$29+U238*Credit_Assumptions!$G$30+U239*Credit_Assumptions!$G$31+U240*Credit_Assumptions!$G$32+U241*Credit_Assumptions!$G$33</f>
        <v/>
      </c>
      <c r="V243" s="80">
        <f>V236*Credit_Assumptions!$G$28+V237*Credit_Assumptions!$G$29+V238*Credit_Assumptions!$G$30+V239*Credit_Assumptions!$G$31+V240*Credit_Assumptions!$G$32+V241*Credit_Assumptions!$G$33</f>
        <v/>
      </c>
      <c r="W243" s="80">
        <f>W236*Credit_Assumptions!$G$28+W237*Credit_Assumptions!$G$29+W238*Credit_Assumptions!$G$30+W239*Credit_Assumptions!$G$31+W240*Credit_Assumptions!$G$32+W241*Credit_Assumptions!$G$33</f>
        <v/>
      </c>
      <c r="X243" s="80">
        <f>X236*Credit_Assumptions!$G$28+X237*Credit_Assumptions!$G$29+X238*Credit_Assumptions!$G$30+X239*Credit_Assumptions!$G$31+X240*Credit_Assumptions!$G$32+X241*Credit_Assumptions!$G$33</f>
        <v/>
      </c>
      <c r="Y243" s="80">
        <f>Y236*Credit_Assumptions!$G$28+Y237*Credit_Assumptions!$G$29+Y238*Credit_Assumptions!$G$30+Y239*Credit_Assumptions!$G$31+Y240*Credit_Assumptions!$G$32+Y241*Credit_Assumptions!$G$33</f>
        <v/>
      </c>
      <c r="Z243" s="80">
        <f>Z236*Credit_Assumptions!$G$28+Z237*Credit_Assumptions!$G$29+Z238*Credit_Assumptions!$G$30+Z239*Credit_Assumptions!$G$31+Z240*Credit_Assumptions!$G$32+Z241*Credit_Assumptions!$G$33</f>
        <v/>
      </c>
      <c r="AA243" s="80">
        <f>AA236*Credit_Assumptions!$G$28+AA237*Credit_Assumptions!$G$29+AA238*Credit_Assumptions!$G$30+AA239*Credit_Assumptions!$G$31+AA240*Credit_Assumptions!$G$32+AA241*Credit_Assumptions!$G$33</f>
        <v/>
      </c>
      <c r="AB243" s="80">
        <f>AB236*Credit_Assumptions!$G$28+AB237*Credit_Assumptions!$G$29+AB238*Credit_Assumptions!$G$30+AB239*Credit_Assumptions!$G$31+AB240*Credit_Assumptions!$G$32+AB241*Credit_Assumptions!$G$33</f>
        <v/>
      </c>
      <c r="AC243" s="80">
        <f>AC236*Credit_Assumptions!$G$28+AC237*Credit_Assumptions!$G$29+AC238*Credit_Assumptions!$G$30+AC239*Credit_Assumptions!$G$31+AC240*Credit_Assumptions!$G$32+AC241*Credit_Assumptions!$G$33</f>
        <v/>
      </c>
      <c r="AD243" s="80">
        <f>AD236*Credit_Assumptions!$G$28+AD237*Credit_Assumptions!$G$29+AD238*Credit_Assumptions!$G$30+AD239*Credit_Assumptions!$G$31+AD240*Credit_Assumptions!$G$32+AD241*Credit_Assumptions!$G$33</f>
        <v/>
      </c>
      <c r="AE243" s="80">
        <f>AE236*Credit_Assumptions!$G$28+AE237*Credit_Assumptions!$G$29+AE238*Credit_Assumptions!$G$30+AE239*Credit_Assumptions!$G$31+AE240*Credit_Assumptions!$G$32+AE241*Credit_Assumptions!$G$33</f>
        <v/>
      </c>
      <c r="AF243" s="80">
        <f>AF236*Credit_Assumptions!$G$28+AF237*Credit_Assumptions!$G$29+AF238*Credit_Assumptions!$G$30+AF239*Credit_Assumptions!$G$31+AF240*Credit_Assumptions!$G$32+AF241*Credit_Assumptions!$G$33</f>
        <v/>
      </c>
      <c r="AG243" s="80">
        <f>AG236*Credit_Assumptions!$G$28+AG237*Credit_Assumptions!$G$29+AG238*Credit_Assumptions!$G$30+AG239*Credit_Assumptions!$G$31+AG240*Credit_Assumptions!$G$32+AG241*Credit_Assumptions!$G$33</f>
        <v/>
      </c>
      <c r="AH243" s="80">
        <f>AH236*Credit_Assumptions!$G$28+AH237*Credit_Assumptions!$G$29+AH238*Credit_Assumptions!$G$30+AH239*Credit_Assumptions!$G$31+AH240*Credit_Assumptions!$G$32+AH241*Credit_Assumptions!$G$33</f>
        <v/>
      </c>
      <c r="AI243" s="80">
        <f>AI236*Credit_Assumptions!$G$28+AI237*Credit_Assumptions!$G$29+AI238*Credit_Assumptions!$G$30+AI239*Credit_Assumptions!$G$31+AI240*Credit_Assumptions!$G$32+AI241*Credit_Assumptions!$G$33</f>
        <v/>
      </c>
      <c r="AJ243" s="80">
        <f>AJ236*Credit_Assumptions!$G$28+AJ237*Credit_Assumptions!$G$29+AJ238*Credit_Assumptions!$G$30+AJ239*Credit_Assumptions!$G$31+AJ240*Credit_Assumptions!$G$32+AJ241*Credit_Assumptions!$G$33</f>
        <v/>
      </c>
      <c r="AK243" s="80">
        <f>AK236*Credit_Assumptions!$G$28+AK237*Credit_Assumptions!$G$29+AK238*Credit_Assumptions!$G$30+AK239*Credit_Assumptions!$G$31+AK240*Credit_Assumptions!$G$32+AK241*Credit_Assumptions!$G$33</f>
        <v/>
      </c>
      <c r="AL243" s="80">
        <f>AL236*Credit_Assumptions!$G$28+AL237*Credit_Assumptions!$G$29+AL238*Credit_Assumptions!$G$30+AL239*Credit_Assumptions!$G$31+AL240*Credit_Assumptions!$G$32+AL241*Credit_Assumptions!$G$33</f>
        <v/>
      </c>
      <c r="AM243" s="80">
        <f>AM236*Credit_Assumptions!$G$28+AM237*Credit_Assumptions!$G$29+AM238*Credit_Assumptions!$G$30+AM239*Credit_Assumptions!$G$31+AM240*Credit_Assumptions!$G$32+AM241*Credit_Assumptions!$G$33</f>
        <v/>
      </c>
      <c r="AN243" s="80">
        <f>AN236*Credit_Assumptions!$G$28+AN237*Credit_Assumptions!$G$29+AN238*Credit_Assumptions!$G$30+AN239*Credit_Assumptions!$G$31+AN240*Credit_Assumptions!$G$32+AN241*Credit_Assumptions!$G$33</f>
        <v/>
      </c>
      <c r="AO243" s="80">
        <f>AO236*Credit_Assumptions!$G$28+AO237*Credit_Assumptions!$G$29+AO238*Credit_Assumptions!$G$30+AO239*Credit_Assumptions!$G$31+AO240*Credit_Assumptions!$G$32+AO241*Credit_Assumptions!$G$33</f>
        <v/>
      </c>
      <c r="AP243" s="80">
        <f>AP236*Credit_Assumptions!$G$28+AP237*Credit_Assumptions!$G$29+AP238*Credit_Assumptions!$G$30+AP239*Credit_Assumptions!$G$31+AP240*Credit_Assumptions!$G$32+AP241*Credit_Assumptions!$G$33</f>
        <v/>
      </c>
      <c r="AQ243" s="80">
        <f>AQ236*Credit_Assumptions!$G$28+AQ237*Credit_Assumptions!$G$29+AQ238*Credit_Assumptions!$G$30+AQ239*Credit_Assumptions!$G$31+AQ240*Credit_Assumptions!$G$32+AQ241*Credit_Assumptions!$G$33</f>
        <v/>
      </c>
      <c r="AR243" s="80">
        <f>AR236*Credit_Assumptions!$G$28+AR237*Credit_Assumptions!$G$29+AR238*Credit_Assumptions!$G$30+AR239*Credit_Assumptions!$G$31+AR240*Credit_Assumptions!$G$32+AR241*Credit_Assumptions!$G$33</f>
        <v/>
      </c>
      <c r="AS243" s="80">
        <f>AS236*Credit_Assumptions!$G$28+AS237*Credit_Assumptions!$G$29+AS238*Credit_Assumptions!$G$30+AS239*Credit_Assumptions!$G$31+AS240*Credit_Assumptions!$G$32+AS241*Credit_Assumptions!$G$33</f>
        <v/>
      </c>
      <c r="AT243" s="80">
        <f>AT236*Credit_Assumptions!$G$28+AT237*Credit_Assumptions!$G$29+AT238*Credit_Assumptions!$G$30+AT239*Credit_Assumptions!$G$31+AT240*Credit_Assumptions!$G$32+AT241*Credit_Assumptions!$G$33</f>
        <v/>
      </c>
      <c r="AU243" s="80">
        <f>AU236*Credit_Assumptions!$G$28+AU237*Credit_Assumptions!$G$29+AU238*Credit_Assumptions!$G$30+AU239*Credit_Assumptions!$G$31+AU240*Credit_Assumptions!$G$32+AU241*Credit_Assumptions!$G$33</f>
        <v/>
      </c>
      <c r="AV243" s="80">
        <f>AV236*Credit_Assumptions!$G$28+AV237*Credit_Assumptions!$G$29+AV238*Credit_Assumptions!$G$30+AV239*Credit_Assumptions!$G$31+AV240*Credit_Assumptions!$G$32+AV241*Credit_Assumptions!$G$33</f>
        <v/>
      </c>
      <c r="AW243" s="80">
        <f>AW236*Credit_Assumptions!$G$28+AW237*Credit_Assumptions!$G$29+AW238*Credit_Assumptions!$G$30+AW239*Credit_Assumptions!$G$31+AW240*Credit_Assumptions!$G$32+AW241*Credit_Assumptions!$G$33</f>
        <v/>
      </c>
      <c r="AX243" s="80">
        <f>AX236*Credit_Assumptions!$G$28+AX237*Credit_Assumptions!$G$29+AX238*Credit_Assumptions!$G$30+AX239*Credit_Assumptions!$G$31+AX240*Credit_Assumptions!$G$32+AX241*Credit_Assumptions!$G$33</f>
        <v/>
      </c>
      <c r="AY243" s="80">
        <f>AY236*Credit_Assumptions!$G$28+AY237*Credit_Assumptions!$G$29+AY238*Credit_Assumptions!$G$30+AY239*Credit_Assumptions!$G$31+AY240*Credit_Assumptions!$G$32+AY241*Credit_Assumptions!$G$33</f>
        <v/>
      </c>
      <c r="AZ243" s="80">
        <f>AZ236*Credit_Assumptions!$G$28+AZ237*Credit_Assumptions!$G$29+AZ238*Credit_Assumptions!$G$30+AZ239*Credit_Assumptions!$G$31+AZ240*Credit_Assumptions!$G$32+AZ241*Credit_Assumptions!$G$33</f>
        <v/>
      </c>
      <c r="BA243" s="80">
        <f>BA236*Credit_Assumptions!$G$28+BA237*Credit_Assumptions!$G$29+BA238*Credit_Assumptions!$G$30+BA239*Credit_Assumptions!$G$31+BA240*Credit_Assumptions!$G$32+BA241*Credit_Assumptions!$G$33</f>
        <v/>
      </c>
      <c r="BB243" s="80">
        <f>BB236*Credit_Assumptions!$G$28+BB237*Credit_Assumptions!$G$29+BB238*Credit_Assumptions!$G$30+BB239*Credit_Assumptions!$G$31+BB240*Credit_Assumptions!$G$32+BB241*Credit_Assumptions!$G$33</f>
        <v/>
      </c>
      <c r="BC243" s="80">
        <f>BC236*Credit_Assumptions!$G$28+BC237*Credit_Assumptions!$G$29+BC238*Credit_Assumptions!$G$30+BC239*Credit_Assumptions!$G$31+BC240*Credit_Assumptions!$G$32+BC241*Credit_Assumptions!$G$33</f>
        <v/>
      </c>
      <c r="BD243" s="80">
        <f>BD236*Credit_Assumptions!$G$28+BD237*Credit_Assumptions!$G$29+BD238*Credit_Assumptions!$G$30+BD239*Credit_Assumptions!$G$31+BD240*Credit_Assumptions!$G$32+BD241*Credit_Assumptions!$G$33</f>
        <v/>
      </c>
      <c r="BE243" s="80">
        <f>BE236*Credit_Assumptions!$G$28+BE237*Credit_Assumptions!$G$29+BE238*Credit_Assumptions!$G$30+BE239*Credit_Assumptions!$G$31+BE240*Credit_Assumptions!$G$32+BE241*Credit_Assumptions!$G$33</f>
        <v/>
      </c>
      <c r="BF243" s="80">
        <f>BF236*Credit_Assumptions!$G$28+BF237*Credit_Assumptions!$G$29+BF238*Credit_Assumptions!$G$30+BF239*Credit_Assumptions!$G$31+BF240*Credit_Assumptions!$G$32+BF241*Credit_Assumptions!$G$33</f>
        <v/>
      </c>
      <c r="BG243" s="80">
        <f>BG236*Credit_Assumptions!$G$28+BG237*Credit_Assumptions!$G$29+BG238*Credit_Assumptions!$G$30+BG239*Credit_Assumptions!$G$31+BG240*Credit_Assumptions!$G$32+BG241*Credit_Assumptions!$G$33</f>
        <v/>
      </c>
      <c r="BH243" s="80">
        <f>BH236*Credit_Assumptions!$G$28+BH237*Credit_Assumptions!$G$29+BH238*Credit_Assumptions!$G$30+BH239*Credit_Assumptions!$G$31+BH240*Credit_Assumptions!$G$32+BH241*Credit_Assumptions!$G$33</f>
        <v/>
      </c>
      <c r="BI243" s="80">
        <f>BI236*Credit_Assumptions!$G$28+BI237*Credit_Assumptions!$G$29+BI238*Credit_Assumptions!$G$30+BI239*Credit_Assumptions!$G$31+BI240*Credit_Assumptions!$G$32+BI241*Credit_Assumptions!$G$33</f>
        <v/>
      </c>
      <c r="BJ243" s="80">
        <f>BJ236*Credit_Assumptions!$G$28+BJ237*Credit_Assumptions!$G$29+BJ238*Credit_Assumptions!$G$30+BJ239*Credit_Assumptions!$G$31+BJ240*Credit_Assumptions!$G$32+BJ241*Credit_Assumptions!$G$33</f>
        <v/>
      </c>
      <c r="BK243" s="80">
        <f>BK236*Credit_Assumptions!$G$28+BK237*Credit_Assumptions!$G$29+BK238*Credit_Assumptions!$G$30+BK239*Credit_Assumptions!$G$31+BK240*Credit_Assumptions!$G$32+BK241*Credit_Assumptions!$G$33</f>
        <v/>
      </c>
      <c r="BL243" s="80">
        <f>BL236*Credit_Assumptions!$G$28+BL237*Credit_Assumptions!$G$29+BL238*Credit_Assumptions!$G$30+BL239*Credit_Assumptions!$G$31+BL240*Credit_Assumptions!$G$32+BL241*Credit_Assumptions!$G$33</f>
        <v/>
      </c>
    </row>
    <row r="244">
      <c r="A244" s="98" t="inlineStr">
        <is>
          <t>90+ DPD receivables</t>
        </is>
      </c>
      <c r="B244" s="65" t="inlineStr">
        <is>
          <t>LCY</t>
        </is>
      </c>
      <c r="C244" s="105">
        <f>BL244</f>
        <v/>
      </c>
      <c r="E244" s="80">
        <f>E236*Credit_Assumptions!$H$28+E237*Credit_Assumptions!$H$29+E238*Credit_Assumptions!$H$30+E239*Credit_Assumptions!$H$31+E240*Credit_Assumptions!$H$32+E241*Credit_Assumptions!$H$33</f>
        <v/>
      </c>
      <c r="F244" s="80">
        <f>F236*Credit_Assumptions!$H$28+F237*Credit_Assumptions!$H$29+F238*Credit_Assumptions!$H$30+F239*Credit_Assumptions!$H$31+F240*Credit_Assumptions!$H$32+F241*Credit_Assumptions!$H$33</f>
        <v/>
      </c>
      <c r="G244" s="80">
        <f>G236*Credit_Assumptions!$H$28+G237*Credit_Assumptions!$H$29+G238*Credit_Assumptions!$H$30+G239*Credit_Assumptions!$H$31+G240*Credit_Assumptions!$H$32+G241*Credit_Assumptions!$H$33</f>
        <v/>
      </c>
      <c r="H244" s="80">
        <f>H236*Credit_Assumptions!$H$28+H237*Credit_Assumptions!$H$29+H238*Credit_Assumptions!$H$30+H239*Credit_Assumptions!$H$31+H240*Credit_Assumptions!$H$32+H241*Credit_Assumptions!$H$33</f>
        <v/>
      </c>
      <c r="I244" s="80">
        <f>I236*Credit_Assumptions!$H$28+I237*Credit_Assumptions!$H$29+I238*Credit_Assumptions!$H$30+I239*Credit_Assumptions!$H$31+I240*Credit_Assumptions!$H$32+I241*Credit_Assumptions!$H$33</f>
        <v/>
      </c>
      <c r="J244" s="80">
        <f>J236*Credit_Assumptions!$H$28+J237*Credit_Assumptions!$H$29+J238*Credit_Assumptions!$H$30+J239*Credit_Assumptions!$H$31+J240*Credit_Assumptions!$H$32+J241*Credit_Assumptions!$H$33</f>
        <v/>
      </c>
      <c r="K244" s="80">
        <f>K236*Credit_Assumptions!$H$28+K237*Credit_Assumptions!$H$29+K238*Credit_Assumptions!$H$30+K239*Credit_Assumptions!$H$31+K240*Credit_Assumptions!$H$32+K241*Credit_Assumptions!$H$33</f>
        <v/>
      </c>
      <c r="L244" s="80">
        <f>L236*Credit_Assumptions!$H$28+L237*Credit_Assumptions!$H$29+L238*Credit_Assumptions!$H$30+L239*Credit_Assumptions!$H$31+L240*Credit_Assumptions!$H$32+L241*Credit_Assumptions!$H$33</f>
        <v/>
      </c>
      <c r="M244" s="80">
        <f>M236*Credit_Assumptions!$H$28+M237*Credit_Assumptions!$H$29+M238*Credit_Assumptions!$H$30+M239*Credit_Assumptions!$H$31+M240*Credit_Assumptions!$H$32+M241*Credit_Assumptions!$H$33</f>
        <v/>
      </c>
      <c r="N244" s="80">
        <f>N236*Credit_Assumptions!$H$28+N237*Credit_Assumptions!$H$29+N238*Credit_Assumptions!$H$30+N239*Credit_Assumptions!$H$31+N240*Credit_Assumptions!$H$32+N241*Credit_Assumptions!$H$33</f>
        <v/>
      </c>
      <c r="O244" s="80">
        <f>O236*Credit_Assumptions!$H$28+O237*Credit_Assumptions!$H$29+O238*Credit_Assumptions!$H$30+O239*Credit_Assumptions!$H$31+O240*Credit_Assumptions!$H$32+O241*Credit_Assumptions!$H$33</f>
        <v/>
      </c>
      <c r="P244" s="80">
        <f>P236*Credit_Assumptions!$H$28+P237*Credit_Assumptions!$H$29+P238*Credit_Assumptions!$H$30+P239*Credit_Assumptions!$H$31+P240*Credit_Assumptions!$H$32+P241*Credit_Assumptions!$H$33</f>
        <v/>
      </c>
      <c r="Q244" s="80">
        <f>Q236*Credit_Assumptions!$H$28+Q237*Credit_Assumptions!$H$29+Q238*Credit_Assumptions!$H$30+Q239*Credit_Assumptions!$H$31+Q240*Credit_Assumptions!$H$32+Q241*Credit_Assumptions!$H$33</f>
        <v/>
      </c>
      <c r="R244" s="80">
        <f>R236*Credit_Assumptions!$H$28+R237*Credit_Assumptions!$H$29+R238*Credit_Assumptions!$H$30+R239*Credit_Assumptions!$H$31+R240*Credit_Assumptions!$H$32+R241*Credit_Assumptions!$H$33</f>
        <v/>
      </c>
      <c r="S244" s="80">
        <f>S236*Credit_Assumptions!$H$28+S237*Credit_Assumptions!$H$29+S238*Credit_Assumptions!$H$30+S239*Credit_Assumptions!$H$31+S240*Credit_Assumptions!$H$32+S241*Credit_Assumptions!$H$33</f>
        <v/>
      </c>
      <c r="T244" s="80">
        <f>T236*Credit_Assumptions!$H$28+T237*Credit_Assumptions!$H$29+T238*Credit_Assumptions!$H$30+T239*Credit_Assumptions!$H$31+T240*Credit_Assumptions!$H$32+T241*Credit_Assumptions!$H$33</f>
        <v/>
      </c>
      <c r="U244" s="80">
        <f>U236*Credit_Assumptions!$H$28+U237*Credit_Assumptions!$H$29+U238*Credit_Assumptions!$H$30+U239*Credit_Assumptions!$H$31+U240*Credit_Assumptions!$H$32+U241*Credit_Assumptions!$H$33</f>
        <v/>
      </c>
      <c r="V244" s="80">
        <f>V236*Credit_Assumptions!$H$28+V237*Credit_Assumptions!$H$29+V238*Credit_Assumptions!$H$30+V239*Credit_Assumptions!$H$31+V240*Credit_Assumptions!$H$32+V241*Credit_Assumptions!$H$33</f>
        <v/>
      </c>
      <c r="W244" s="80">
        <f>W236*Credit_Assumptions!$H$28+W237*Credit_Assumptions!$H$29+W238*Credit_Assumptions!$H$30+W239*Credit_Assumptions!$H$31+W240*Credit_Assumptions!$H$32+W241*Credit_Assumptions!$H$33</f>
        <v/>
      </c>
      <c r="X244" s="80">
        <f>X236*Credit_Assumptions!$H$28+X237*Credit_Assumptions!$H$29+X238*Credit_Assumptions!$H$30+X239*Credit_Assumptions!$H$31+X240*Credit_Assumptions!$H$32+X241*Credit_Assumptions!$H$33</f>
        <v/>
      </c>
      <c r="Y244" s="80">
        <f>Y236*Credit_Assumptions!$H$28+Y237*Credit_Assumptions!$H$29+Y238*Credit_Assumptions!$H$30+Y239*Credit_Assumptions!$H$31+Y240*Credit_Assumptions!$H$32+Y241*Credit_Assumptions!$H$33</f>
        <v/>
      </c>
      <c r="Z244" s="80">
        <f>Z236*Credit_Assumptions!$H$28+Z237*Credit_Assumptions!$H$29+Z238*Credit_Assumptions!$H$30+Z239*Credit_Assumptions!$H$31+Z240*Credit_Assumptions!$H$32+Z241*Credit_Assumptions!$H$33</f>
        <v/>
      </c>
      <c r="AA244" s="80">
        <f>AA236*Credit_Assumptions!$H$28+AA237*Credit_Assumptions!$H$29+AA238*Credit_Assumptions!$H$30+AA239*Credit_Assumptions!$H$31+AA240*Credit_Assumptions!$H$32+AA241*Credit_Assumptions!$H$33</f>
        <v/>
      </c>
      <c r="AB244" s="80">
        <f>AB236*Credit_Assumptions!$H$28+AB237*Credit_Assumptions!$H$29+AB238*Credit_Assumptions!$H$30+AB239*Credit_Assumptions!$H$31+AB240*Credit_Assumptions!$H$32+AB241*Credit_Assumptions!$H$33</f>
        <v/>
      </c>
      <c r="AC244" s="80">
        <f>AC236*Credit_Assumptions!$H$28+AC237*Credit_Assumptions!$H$29+AC238*Credit_Assumptions!$H$30+AC239*Credit_Assumptions!$H$31+AC240*Credit_Assumptions!$H$32+AC241*Credit_Assumptions!$H$33</f>
        <v/>
      </c>
      <c r="AD244" s="80">
        <f>AD236*Credit_Assumptions!$H$28+AD237*Credit_Assumptions!$H$29+AD238*Credit_Assumptions!$H$30+AD239*Credit_Assumptions!$H$31+AD240*Credit_Assumptions!$H$32+AD241*Credit_Assumptions!$H$33</f>
        <v/>
      </c>
      <c r="AE244" s="80">
        <f>AE236*Credit_Assumptions!$H$28+AE237*Credit_Assumptions!$H$29+AE238*Credit_Assumptions!$H$30+AE239*Credit_Assumptions!$H$31+AE240*Credit_Assumptions!$H$32+AE241*Credit_Assumptions!$H$33</f>
        <v/>
      </c>
      <c r="AF244" s="80">
        <f>AF236*Credit_Assumptions!$H$28+AF237*Credit_Assumptions!$H$29+AF238*Credit_Assumptions!$H$30+AF239*Credit_Assumptions!$H$31+AF240*Credit_Assumptions!$H$32+AF241*Credit_Assumptions!$H$33</f>
        <v/>
      </c>
      <c r="AG244" s="80">
        <f>AG236*Credit_Assumptions!$H$28+AG237*Credit_Assumptions!$H$29+AG238*Credit_Assumptions!$H$30+AG239*Credit_Assumptions!$H$31+AG240*Credit_Assumptions!$H$32+AG241*Credit_Assumptions!$H$33</f>
        <v/>
      </c>
      <c r="AH244" s="80">
        <f>AH236*Credit_Assumptions!$H$28+AH237*Credit_Assumptions!$H$29+AH238*Credit_Assumptions!$H$30+AH239*Credit_Assumptions!$H$31+AH240*Credit_Assumptions!$H$32+AH241*Credit_Assumptions!$H$33</f>
        <v/>
      </c>
      <c r="AI244" s="80">
        <f>AI236*Credit_Assumptions!$H$28+AI237*Credit_Assumptions!$H$29+AI238*Credit_Assumptions!$H$30+AI239*Credit_Assumptions!$H$31+AI240*Credit_Assumptions!$H$32+AI241*Credit_Assumptions!$H$33</f>
        <v/>
      </c>
      <c r="AJ244" s="80">
        <f>AJ236*Credit_Assumptions!$H$28+AJ237*Credit_Assumptions!$H$29+AJ238*Credit_Assumptions!$H$30+AJ239*Credit_Assumptions!$H$31+AJ240*Credit_Assumptions!$H$32+AJ241*Credit_Assumptions!$H$33</f>
        <v/>
      </c>
      <c r="AK244" s="80">
        <f>AK236*Credit_Assumptions!$H$28+AK237*Credit_Assumptions!$H$29+AK238*Credit_Assumptions!$H$30+AK239*Credit_Assumptions!$H$31+AK240*Credit_Assumptions!$H$32+AK241*Credit_Assumptions!$H$33</f>
        <v/>
      </c>
      <c r="AL244" s="80">
        <f>AL236*Credit_Assumptions!$H$28+AL237*Credit_Assumptions!$H$29+AL238*Credit_Assumptions!$H$30+AL239*Credit_Assumptions!$H$31+AL240*Credit_Assumptions!$H$32+AL241*Credit_Assumptions!$H$33</f>
        <v/>
      </c>
      <c r="AM244" s="80">
        <f>AM236*Credit_Assumptions!$H$28+AM237*Credit_Assumptions!$H$29+AM238*Credit_Assumptions!$H$30+AM239*Credit_Assumptions!$H$31+AM240*Credit_Assumptions!$H$32+AM241*Credit_Assumptions!$H$33</f>
        <v/>
      </c>
      <c r="AN244" s="80">
        <f>AN236*Credit_Assumptions!$H$28+AN237*Credit_Assumptions!$H$29+AN238*Credit_Assumptions!$H$30+AN239*Credit_Assumptions!$H$31+AN240*Credit_Assumptions!$H$32+AN241*Credit_Assumptions!$H$33</f>
        <v/>
      </c>
      <c r="AO244" s="80">
        <f>AO236*Credit_Assumptions!$H$28+AO237*Credit_Assumptions!$H$29+AO238*Credit_Assumptions!$H$30+AO239*Credit_Assumptions!$H$31+AO240*Credit_Assumptions!$H$32+AO241*Credit_Assumptions!$H$33</f>
        <v/>
      </c>
      <c r="AP244" s="80">
        <f>AP236*Credit_Assumptions!$H$28+AP237*Credit_Assumptions!$H$29+AP238*Credit_Assumptions!$H$30+AP239*Credit_Assumptions!$H$31+AP240*Credit_Assumptions!$H$32+AP241*Credit_Assumptions!$H$33</f>
        <v/>
      </c>
      <c r="AQ244" s="80">
        <f>AQ236*Credit_Assumptions!$H$28+AQ237*Credit_Assumptions!$H$29+AQ238*Credit_Assumptions!$H$30+AQ239*Credit_Assumptions!$H$31+AQ240*Credit_Assumptions!$H$32+AQ241*Credit_Assumptions!$H$33</f>
        <v/>
      </c>
      <c r="AR244" s="80">
        <f>AR236*Credit_Assumptions!$H$28+AR237*Credit_Assumptions!$H$29+AR238*Credit_Assumptions!$H$30+AR239*Credit_Assumptions!$H$31+AR240*Credit_Assumptions!$H$32+AR241*Credit_Assumptions!$H$33</f>
        <v/>
      </c>
      <c r="AS244" s="80">
        <f>AS236*Credit_Assumptions!$H$28+AS237*Credit_Assumptions!$H$29+AS238*Credit_Assumptions!$H$30+AS239*Credit_Assumptions!$H$31+AS240*Credit_Assumptions!$H$32+AS241*Credit_Assumptions!$H$33</f>
        <v/>
      </c>
      <c r="AT244" s="80">
        <f>AT236*Credit_Assumptions!$H$28+AT237*Credit_Assumptions!$H$29+AT238*Credit_Assumptions!$H$30+AT239*Credit_Assumptions!$H$31+AT240*Credit_Assumptions!$H$32+AT241*Credit_Assumptions!$H$33</f>
        <v/>
      </c>
      <c r="AU244" s="80">
        <f>AU236*Credit_Assumptions!$H$28+AU237*Credit_Assumptions!$H$29+AU238*Credit_Assumptions!$H$30+AU239*Credit_Assumptions!$H$31+AU240*Credit_Assumptions!$H$32+AU241*Credit_Assumptions!$H$33</f>
        <v/>
      </c>
      <c r="AV244" s="80">
        <f>AV236*Credit_Assumptions!$H$28+AV237*Credit_Assumptions!$H$29+AV238*Credit_Assumptions!$H$30+AV239*Credit_Assumptions!$H$31+AV240*Credit_Assumptions!$H$32+AV241*Credit_Assumptions!$H$33</f>
        <v/>
      </c>
      <c r="AW244" s="80">
        <f>AW236*Credit_Assumptions!$H$28+AW237*Credit_Assumptions!$H$29+AW238*Credit_Assumptions!$H$30+AW239*Credit_Assumptions!$H$31+AW240*Credit_Assumptions!$H$32+AW241*Credit_Assumptions!$H$33</f>
        <v/>
      </c>
      <c r="AX244" s="80">
        <f>AX236*Credit_Assumptions!$H$28+AX237*Credit_Assumptions!$H$29+AX238*Credit_Assumptions!$H$30+AX239*Credit_Assumptions!$H$31+AX240*Credit_Assumptions!$H$32+AX241*Credit_Assumptions!$H$33</f>
        <v/>
      </c>
      <c r="AY244" s="80">
        <f>AY236*Credit_Assumptions!$H$28+AY237*Credit_Assumptions!$H$29+AY238*Credit_Assumptions!$H$30+AY239*Credit_Assumptions!$H$31+AY240*Credit_Assumptions!$H$32+AY241*Credit_Assumptions!$H$33</f>
        <v/>
      </c>
      <c r="AZ244" s="80">
        <f>AZ236*Credit_Assumptions!$H$28+AZ237*Credit_Assumptions!$H$29+AZ238*Credit_Assumptions!$H$30+AZ239*Credit_Assumptions!$H$31+AZ240*Credit_Assumptions!$H$32+AZ241*Credit_Assumptions!$H$33</f>
        <v/>
      </c>
      <c r="BA244" s="80">
        <f>BA236*Credit_Assumptions!$H$28+BA237*Credit_Assumptions!$H$29+BA238*Credit_Assumptions!$H$30+BA239*Credit_Assumptions!$H$31+BA240*Credit_Assumptions!$H$32+BA241*Credit_Assumptions!$H$33</f>
        <v/>
      </c>
      <c r="BB244" s="80">
        <f>BB236*Credit_Assumptions!$H$28+BB237*Credit_Assumptions!$H$29+BB238*Credit_Assumptions!$H$30+BB239*Credit_Assumptions!$H$31+BB240*Credit_Assumptions!$H$32+BB241*Credit_Assumptions!$H$33</f>
        <v/>
      </c>
      <c r="BC244" s="80">
        <f>BC236*Credit_Assumptions!$H$28+BC237*Credit_Assumptions!$H$29+BC238*Credit_Assumptions!$H$30+BC239*Credit_Assumptions!$H$31+BC240*Credit_Assumptions!$H$32+BC241*Credit_Assumptions!$H$33</f>
        <v/>
      </c>
      <c r="BD244" s="80">
        <f>BD236*Credit_Assumptions!$H$28+BD237*Credit_Assumptions!$H$29+BD238*Credit_Assumptions!$H$30+BD239*Credit_Assumptions!$H$31+BD240*Credit_Assumptions!$H$32+BD241*Credit_Assumptions!$H$33</f>
        <v/>
      </c>
      <c r="BE244" s="80">
        <f>BE236*Credit_Assumptions!$H$28+BE237*Credit_Assumptions!$H$29+BE238*Credit_Assumptions!$H$30+BE239*Credit_Assumptions!$H$31+BE240*Credit_Assumptions!$H$32+BE241*Credit_Assumptions!$H$33</f>
        <v/>
      </c>
      <c r="BF244" s="80">
        <f>BF236*Credit_Assumptions!$H$28+BF237*Credit_Assumptions!$H$29+BF238*Credit_Assumptions!$H$30+BF239*Credit_Assumptions!$H$31+BF240*Credit_Assumptions!$H$32+BF241*Credit_Assumptions!$H$33</f>
        <v/>
      </c>
      <c r="BG244" s="80">
        <f>BG236*Credit_Assumptions!$H$28+BG237*Credit_Assumptions!$H$29+BG238*Credit_Assumptions!$H$30+BG239*Credit_Assumptions!$H$31+BG240*Credit_Assumptions!$H$32+BG241*Credit_Assumptions!$H$33</f>
        <v/>
      </c>
      <c r="BH244" s="80">
        <f>BH236*Credit_Assumptions!$H$28+BH237*Credit_Assumptions!$H$29+BH238*Credit_Assumptions!$H$30+BH239*Credit_Assumptions!$H$31+BH240*Credit_Assumptions!$H$32+BH241*Credit_Assumptions!$H$33</f>
        <v/>
      </c>
      <c r="BI244" s="80">
        <f>BI236*Credit_Assumptions!$H$28+BI237*Credit_Assumptions!$H$29+BI238*Credit_Assumptions!$H$30+BI239*Credit_Assumptions!$H$31+BI240*Credit_Assumptions!$H$32+BI241*Credit_Assumptions!$H$33</f>
        <v/>
      </c>
      <c r="BJ244" s="80">
        <f>BJ236*Credit_Assumptions!$H$28+BJ237*Credit_Assumptions!$H$29+BJ238*Credit_Assumptions!$H$30+BJ239*Credit_Assumptions!$H$31+BJ240*Credit_Assumptions!$H$32+BJ241*Credit_Assumptions!$H$33</f>
        <v/>
      </c>
      <c r="BK244" s="80">
        <f>BK236*Credit_Assumptions!$H$28+BK237*Credit_Assumptions!$H$29+BK238*Credit_Assumptions!$H$30+BK239*Credit_Assumptions!$H$31+BK240*Credit_Assumptions!$H$32+BK241*Credit_Assumptions!$H$33</f>
        <v/>
      </c>
      <c r="BL244" s="80">
        <f>BL236*Credit_Assumptions!$H$28+BL237*Credit_Assumptions!$H$29+BL238*Credit_Assumptions!$H$30+BL239*Credit_Assumptions!$H$31+BL240*Credit_Assumptions!$H$32+BL241*Credit_Assumptions!$H$33</f>
        <v/>
      </c>
    </row>
    <row r="245">
      <c r="A245" s="98" t="inlineStr">
        <is>
          <t>Gross resale proceeds</t>
        </is>
      </c>
      <c r="B245" s="65" t="inlineStr">
        <is>
          <t>LCY</t>
        </is>
      </c>
      <c r="C245" s="105">
        <f>SUM(E245:BL245)</f>
        <v/>
      </c>
      <c r="E245" s="80">
        <f>IF(Credit_Assumptions!$C$15&gt;=1,0,Ops!E$119/(1-Credit_Assumptions!$C$15))</f>
        <v/>
      </c>
      <c r="F245" s="80">
        <f>IF(Credit_Assumptions!$C$15&gt;=1,0,Ops!F$119/(1-Credit_Assumptions!$C$15))</f>
        <v/>
      </c>
      <c r="G245" s="80">
        <f>IF(Credit_Assumptions!$C$15&gt;=1,0,Ops!G$119/(1-Credit_Assumptions!$C$15))</f>
        <v/>
      </c>
      <c r="H245" s="80">
        <f>IF(Credit_Assumptions!$C$15&gt;=1,0,Ops!H$119/(1-Credit_Assumptions!$C$15))</f>
        <v/>
      </c>
      <c r="I245" s="80">
        <f>IF(Credit_Assumptions!$C$15&gt;=1,0,Ops!I$119/(1-Credit_Assumptions!$C$15))</f>
        <v/>
      </c>
      <c r="J245" s="80">
        <f>IF(Credit_Assumptions!$C$15&gt;=1,0,Ops!J$119/(1-Credit_Assumptions!$C$15))</f>
        <v/>
      </c>
      <c r="K245" s="80">
        <f>IF(Credit_Assumptions!$C$15&gt;=1,0,Ops!K$119/(1-Credit_Assumptions!$C$15))</f>
        <v/>
      </c>
      <c r="L245" s="80">
        <f>IF(Credit_Assumptions!$C$15&gt;=1,0,Ops!L$119/(1-Credit_Assumptions!$C$15))</f>
        <v/>
      </c>
      <c r="M245" s="80">
        <f>IF(Credit_Assumptions!$C$15&gt;=1,0,Ops!M$119/(1-Credit_Assumptions!$C$15))</f>
        <v/>
      </c>
      <c r="N245" s="80">
        <f>IF(Credit_Assumptions!$C$15&gt;=1,0,Ops!N$119/(1-Credit_Assumptions!$C$15))</f>
        <v/>
      </c>
      <c r="O245" s="80">
        <f>IF(Credit_Assumptions!$C$15&gt;=1,0,Ops!O$119/(1-Credit_Assumptions!$C$15))</f>
        <v/>
      </c>
      <c r="P245" s="80">
        <f>IF(Credit_Assumptions!$C$15&gt;=1,0,Ops!P$119/(1-Credit_Assumptions!$C$15))</f>
        <v/>
      </c>
      <c r="Q245" s="80">
        <f>IF(Credit_Assumptions!$C$15&gt;=1,0,Ops!Q$119/(1-Credit_Assumptions!$C$15))</f>
        <v/>
      </c>
      <c r="R245" s="80">
        <f>IF(Credit_Assumptions!$C$15&gt;=1,0,Ops!R$119/(1-Credit_Assumptions!$C$15))</f>
        <v/>
      </c>
      <c r="S245" s="80">
        <f>IF(Credit_Assumptions!$C$15&gt;=1,0,Ops!S$119/(1-Credit_Assumptions!$C$15))</f>
        <v/>
      </c>
      <c r="T245" s="80">
        <f>IF(Credit_Assumptions!$C$15&gt;=1,0,Ops!T$119/(1-Credit_Assumptions!$C$15))</f>
        <v/>
      </c>
      <c r="U245" s="80">
        <f>IF(Credit_Assumptions!$C$15&gt;=1,0,Ops!U$119/(1-Credit_Assumptions!$C$15))</f>
        <v/>
      </c>
      <c r="V245" s="80">
        <f>IF(Credit_Assumptions!$C$15&gt;=1,0,Ops!V$119/(1-Credit_Assumptions!$C$15))</f>
        <v/>
      </c>
      <c r="W245" s="80">
        <f>IF(Credit_Assumptions!$C$15&gt;=1,0,Ops!W$119/(1-Credit_Assumptions!$C$15))</f>
        <v/>
      </c>
      <c r="X245" s="80">
        <f>IF(Credit_Assumptions!$C$15&gt;=1,0,Ops!X$119/(1-Credit_Assumptions!$C$15))</f>
        <v/>
      </c>
      <c r="Y245" s="80">
        <f>IF(Credit_Assumptions!$C$15&gt;=1,0,Ops!Y$119/(1-Credit_Assumptions!$C$15))</f>
        <v/>
      </c>
      <c r="Z245" s="80">
        <f>IF(Credit_Assumptions!$C$15&gt;=1,0,Ops!Z$119/(1-Credit_Assumptions!$C$15))</f>
        <v/>
      </c>
      <c r="AA245" s="80">
        <f>IF(Credit_Assumptions!$C$15&gt;=1,0,Ops!AA$119/(1-Credit_Assumptions!$C$15))</f>
        <v/>
      </c>
      <c r="AB245" s="80">
        <f>IF(Credit_Assumptions!$C$15&gt;=1,0,Ops!AB$119/(1-Credit_Assumptions!$C$15))</f>
        <v/>
      </c>
      <c r="AC245" s="80">
        <f>IF(Credit_Assumptions!$C$15&gt;=1,0,Ops!AC$119/(1-Credit_Assumptions!$C$15))</f>
        <v/>
      </c>
      <c r="AD245" s="80">
        <f>IF(Credit_Assumptions!$C$15&gt;=1,0,Ops!AD$119/(1-Credit_Assumptions!$C$15))</f>
        <v/>
      </c>
      <c r="AE245" s="80">
        <f>IF(Credit_Assumptions!$C$15&gt;=1,0,Ops!AE$119/(1-Credit_Assumptions!$C$15))</f>
        <v/>
      </c>
      <c r="AF245" s="80">
        <f>IF(Credit_Assumptions!$C$15&gt;=1,0,Ops!AF$119/(1-Credit_Assumptions!$C$15))</f>
        <v/>
      </c>
      <c r="AG245" s="80">
        <f>IF(Credit_Assumptions!$C$15&gt;=1,0,Ops!AG$119/(1-Credit_Assumptions!$C$15))</f>
        <v/>
      </c>
      <c r="AH245" s="80">
        <f>IF(Credit_Assumptions!$C$15&gt;=1,0,Ops!AH$119/(1-Credit_Assumptions!$C$15))</f>
        <v/>
      </c>
      <c r="AI245" s="80">
        <f>IF(Credit_Assumptions!$C$15&gt;=1,0,Ops!AI$119/(1-Credit_Assumptions!$C$15))</f>
        <v/>
      </c>
      <c r="AJ245" s="80">
        <f>IF(Credit_Assumptions!$C$15&gt;=1,0,Ops!AJ$119/(1-Credit_Assumptions!$C$15))</f>
        <v/>
      </c>
      <c r="AK245" s="80">
        <f>IF(Credit_Assumptions!$C$15&gt;=1,0,Ops!AK$119/(1-Credit_Assumptions!$C$15))</f>
        <v/>
      </c>
      <c r="AL245" s="80">
        <f>IF(Credit_Assumptions!$C$15&gt;=1,0,Ops!AL$119/(1-Credit_Assumptions!$C$15))</f>
        <v/>
      </c>
      <c r="AM245" s="80">
        <f>IF(Credit_Assumptions!$C$15&gt;=1,0,Ops!AM$119/(1-Credit_Assumptions!$C$15))</f>
        <v/>
      </c>
      <c r="AN245" s="80">
        <f>IF(Credit_Assumptions!$C$15&gt;=1,0,Ops!AN$119/(1-Credit_Assumptions!$C$15))</f>
        <v/>
      </c>
      <c r="AO245" s="80">
        <f>IF(Credit_Assumptions!$C$15&gt;=1,0,Ops!AO$119/(1-Credit_Assumptions!$C$15))</f>
        <v/>
      </c>
      <c r="AP245" s="80">
        <f>IF(Credit_Assumptions!$C$15&gt;=1,0,Ops!AP$119/(1-Credit_Assumptions!$C$15))</f>
        <v/>
      </c>
      <c r="AQ245" s="80">
        <f>IF(Credit_Assumptions!$C$15&gt;=1,0,Ops!AQ$119/(1-Credit_Assumptions!$C$15))</f>
        <v/>
      </c>
      <c r="AR245" s="80">
        <f>IF(Credit_Assumptions!$C$15&gt;=1,0,Ops!AR$119/(1-Credit_Assumptions!$C$15))</f>
        <v/>
      </c>
      <c r="AS245" s="80">
        <f>IF(Credit_Assumptions!$C$15&gt;=1,0,Ops!AS$119/(1-Credit_Assumptions!$C$15))</f>
        <v/>
      </c>
      <c r="AT245" s="80">
        <f>IF(Credit_Assumptions!$C$15&gt;=1,0,Ops!AT$119/(1-Credit_Assumptions!$C$15))</f>
        <v/>
      </c>
      <c r="AU245" s="80">
        <f>IF(Credit_Assumptions!$C$15&gt;=1,0,Ops!AU$119/(1-Credit_Assumptions!$C$15))</f>
        <v/>
      </c>
      <c r="AV245" s="80">
        <f>IF(Credit_Assumptions!$C$15&gt;=1,0,Ops!AV$119/(1-Credit_Assumptions!$C$15))</f>
        <v/>
      </c>
      <c r="AW245" s="80">
        <f>IF(Credit_Assumptions!$C$15&gt;=1,0,Ops!AW$119/(1-Credit_Assumptions!$C$15))</f>
        <v/>
      </c>
      <c r="AX245" s="80">
        <f>IF(Credit_Assumptions!$C$15&gt;=1,0,Ops!AX$119/(1-Credit_Assumptions!$C$15))</f>
        <v/>
      </c>
      <c r="AY245" s="80">
        <f>IF(Credit_Assumptions!$C$15&gt;=1,0,Ops!AY$119/(1-Credit_Assumptions!$C$15))</f>
        <v/>
      </c>
      <c r="AZ245" s="80">
        <f>IF(Credit_Assumptions!$C$15&gt;=1,0,Ops!AZ$119/(1-Credit_Assumptions!$C$15))</f>
        <v/>
      </c>
      <c r="BA245" s="80">
        <f>IF(Credit_Assumptions!$C$15&gt;=1,0,Ops!BA$119/(1-Credit_Assumptions!$C$15))</f>
        <v/>
      </c>
      <c r="BB245" s="80">
        <f>IF(Credit_Assumptions!$C$15&gt;=1,0,Ops!BB$119/(1-Credit_Assumptions!$C$15))</f>
        <v/>
      </c>
      <c r="BC245" s="80">
        <f>IF(Credit_Assumptions!$C$15&gt;=1,0,Ops!BC$119/(1-Credit_Assumptions!$C$15))</f>
        <v/>
      </c>
      <c r="BD245" s="80">
        <f>IF(Credit_Assumptions!$C$15&gt;=1,0,Ops!BD$119/(1-Credit_Assumptions!$C$15))</f>
        <v/>
      </c>
      <c r="BE245" s="80">
        <f>IF(Credit_Assumptions!$C$15&gt;=1,0,Ops!BE$119/(1-Credit_Assumptions!$C$15))</f>
        <v/>
      </c>
      <c r="BF245" s="80">
        <f>IF(Credit_Assumptions!$C$15&gt;=1,0,Ops!BF$119/(1-Credit_Assumptions!$C$15))</f>
        <v/>
      </c>
      <c r="BG245" s="80">
        <f>IF(Credit_Assumptions!$C$15&gt;=1,0,Ops!BG$119/(1-Credit_Assumptions!$C$15))</f>
        <v/>
      </c>
      <c r="BH245" s="80">
        <f>IF(Credit_Assumptions!$C$15&gt;=1,0,Ops!BH$119/(1-Credit_Assumptions!$C$15))</f>
        <v/>
      </c>
      <c r="BI245" s="80">
        <f>IF(Credit_Assumptions!$C$15&gt;=1,0,Ops!BI$119/(1-Credit_Assumptions!$C$15))</f>
        <v/>
      </c>
      <c r="BJ245" s="80">
        <f>IF(Credit_Assumptions!$C$15&gt;=1,0,Ops!BJ$119/(1-Credit_Assumptions!$C$15))</f>
        <v/>
      </c>
      <c r="BK245" s="80">
        <f>IF(Credit_Assumptions!$C$15&gt;=1,0,Ops!BK$119/(1-Credit_Assumptions!$C$15))</f>
        <v/>
      </c>
      <c r="BL245" s="80">
        <f>IF(Credit_Assumptions!$C$15&gt;=1,0,Ops!BL$119/(1-Credit_Assumptions!$C$15))</f>
        <v/>
      </c>
    </row>
    <row r="246">
      <c r="A246" s="98" t="inlineStr">
        <is>
          <t>Recovery costs</t>
        </is>
      </c>
      <c r="B246" s="65" t="inlineStr">
        <is>
          <t>LCY</t>
        </is>
      </c>
      <c r="C246" s="105">
        <f>SUM(E246:BL246)</f>
        <v/>
      </c>
      <c r="E246" s="80">
        <f>E245-Ops!E$119</f>
        <v/>
      </c>
      <c r="F246" s="80">
        <f>F245-Ops!F$119</f>
        <v/>
      </c>
      <c r="G246" s="80">
        <f>G245-Ops!G$119</f>
        <v/>
      </c>
      <c r="H246" s="80">
        <f>H245-Ops!H$119</f>
        <v/>
      </c>
      <c r="I246" s="80">
        <f>I245-Ops!I$119</f>
        <v/>
      </c>
      <c r="J246" s="80">
        <f>J245-Ops!J$119</f>
        <v/>
      </c>
      <c r="K246" s="80">
        <f>K245-Ops!K$119</f>
        <v/>
      </c>
      <c r="L246" s="80">
        <f>L245-Ops!L$119</f>
        <v/>
      </c>
      <c r="M246" s="80">
        <f>M245-Ops!M$119</f>
        <v/>
      </c>
      <c r="N246" s="80">
        <f>N245-Ops!N$119</f>
        <v/>
      </c>
      <c r="O246" s="80">
        <f>O245-Ops!O$119</f>
        <v/>
      </c>
      <c r="P246" s="80">
        <f>P245-Ops!P$119</f>
        <v/>
      </c>
      <c r="Q246" s="80">
        <f>Q245-Ops!Q$119</f>
        <v/>
      </c>
      <c r="R246" s="80">
        <f>R245-Ops!R$119</f>
        <v/>
      </c>
      <c r="S246" s="80">
        <f>S245-Ops!S$119</f>
        <v/>
      </c>
      <c r="T246" s="80">
        <f>T245-Ops!T$119</f>
        <v/>
      </c>
      <c r="U246" s="80">
        <f>U245-Ops!U$119</f>
        <v/>
      </c>
      <c r="V246" s="80">
        <f>V245-Ops!V$119</f>
        <v/>
      </c>
      <c r="W246" s="80">
        <f>W245-Ops!W$119</f>
        <v/>
      </c>
      <c r="X246" s="80">
        <f>X245-Ops!X$119</f>
        <v/>
      </c>
      <c r="Y246" s="80">
        <f>Y245-Ops!Y$119</f>
        <v/>
      </c>
      <c r="Z246" s="80">
        <f>Z245-Ops!Z$119</f>
        <v/>
      </c>
      <c r="AA246" s="80">
        <f>AA245-Ops!AA$119</f>
        <v/>
      </c>
      <c r="AB246" s="80">
        <f>AB245-Ops!AB$119</f>
        <v/>
      </c>
      <c r="AC246" s="80">
        <f>AC245-Ops!AC$119</f>
        <v/>
      </c>
      <c r="AD246" s="80">
        <f>AD245-Ops!AD$119</f>
        <v/>
      </c>
      <c r="AE246" s="80">
        <f>AE245-Ops!AE$119</f>
        <v/>
      </c>
      <c r="AF246" s="80">
        <f>AF245-Ops!AF$119</f>
        <v/>
      </c>
      <c r="AG246" s="80">
        <f>AG245-Ops!AG$119</f>
        <v/>
      </c>
      <c r="AH246" s="80">
        <f>AH245-Ops!AH$119</f>
        <v/>
      </c>
      <c r="AI246" s="80">
        <f>AI245-Ops!AI$119</f>
        <v/>
      </c>
      <c r="AJ246" s="80">
        <f>AJ245-Ops!AJ$119</f>
        <v/>
      </c>
      <c r="AK246" s="80">
        <f>AK245-Ops!AK$119</f>
        <v/>
      </c>
      <c r="AL246" s="80">
        <f>AL245-Ops!AL$119</f>
        <v/>
      </c>
      <c r="AM246" s="80">
        <f>AM245-Ops!AM$119</f>
        <v/>
      </c>
      <c r="AN246" s="80">
        <f>AN245-Ops!AN$119</f>
        <v/>
      </c>
      <c r="AO246" s="80">
        <f>AO245-Ops!AO$119</f>
        <v/>
      </c>
      <c r="AP246" s="80">
        <f>AP245-Ops!AP$119</f>
        <v/>
      </c>
      <c r="AQ246" s="80">
        <f>AQ245-Ops!AQ$119</f>
        <v/>
      </c>
      <c r="AR246" s="80">
        <f>AR245-Ops!AR$119</f>
        <v/>
      </c>
      <c r="AS246" s="80">
        <f>AS245-Ops!AS$119</f>
        <v/>
      </c>
      <c r="AT246" s="80">
        <f>AT245-Ops!AT$119</f>
        <v/>
      </c>
      <c r="AU246" s="80">
        <f>AU245-Ops!AU$119</f>
        <v/>
      </c>
      <c r="AV246" s="80">
        <f>AV245-Ops!AV$119</f>
        <v/>
      </c>
      <c r="AW246" s="80">
        <f>AW245-Ops!AW$119</f>
        <v/>
      </c>
      <c r="AX246" s="80">
        <f>AX245-Ops!AX$119</f>
        <v/>
      </c>
      <c r="AY246" s="80">
        <f>AY245-Ops!AY$119</f>
        <v/>
      </c>
      <c r="AZ246" s="80">
        <f>AZ245-Ops!AZ$119</f>
        <v/>
      </c>
      <c r="BA246" s="80">
        <f>BA245-Ops!BA$119</f>
        <v/>
      </c>
      <c r="BB246" s="80">
        <f>BB245-Ops!BB$119</f>
        <v/>
      </c>
      <c r="BC246" s="80">
        <f>BC245-Ops!BC$119</f>
        <v/>
      </c>
      <c r="BD246" s="80">
        <f>BD245-Ops!BD$119</f>
        <v/>
      </c>
      <c r="BE246" s="80">
        <f>BE245-Ops!BE$119</f>
        <v/>
      </c>
      <c r="BF246" s="80">
        <f>BF245-Ops!BF$119</f>
        <v/>
      </c>
      <c r="BG246" s="80">
        <f>BG245-Ops!BG$119</f>
        <v/>
      </c>
      <c r="BH246" s="80">
        <f>BH245-Ops!BH$119</f>
        <v/>
      </c>
      <c r="BI246" s="80">
        <f>BI245-Ops!BI$119</f>
        <v/>
      </c>
      <c r="BJ246" s="80">
        <f>BJ245-Ops!BJ$119</f>
        <v/>
      </c>
      <c r="BK246" s="80">
        <f>BK245-Ops!BK$119</f>
        <v/>
      </c>
      <c r="BL246" s="80">
        <f>BL245-Ops!BL$119</f>
        <v/>
      </c>
    </row>
    <row r="247">
      <c r="A247" s="98" t="inlineStr">
        <is>
          <t>Repossessions (units, approx.)</t>
        </is>
      </c>
      <c r="B247" s="65" t="inlineStr">
        <is>
          <t>LCY</t>
        </is>
      </c>
      <c r="C247" s="105">
        <f>SUM(E247:BL247)</f>
        <v/>
      </c>
      <c r="E247" s="80">
        <f>IFERROR(E245/(Products!$G$28*Products!$G$13*Timeline!E$10),0)</f>
        <v/>
      </c>
      <c r="F247" s="80">
        <f>IFERROR(F245/(Products!$G$28*Products!$G$13*Timeline!F$10),0)</f>
        <v/>
      </c>
      <c r="G247" s="80">
        <f>IFERROR(G245/(Products!$G$28*Products!$G$13*Timeline!G$10),0)</f>
        <v/>
      </c>
      <c r="H247" s="80">
        <f>IFERROR(H245/(Products!$G$28*Products!$G$13*Timeline!H$10),0)</f>
        <v/>
      </c>
      <c r="I247" s="80">
        <f>IFERROR(I245/(Products!$G$28*Products!$G$13*Timeline!I$10),0)</f>
        <v/>
      </c>
      <c r="J247" s="80">
        <f>IFERROR(J245/(Products!$G$28*Products!$G$13*Timeline!J$10),0)</f>
        <v/>
      </c>
      <c r="K247" s="80">
        <f>IFERROR(K245/(Products!$G$28*Products!$G$13*Timeline!K$10),0)</f>
        <v/>
      </c>
      <c r="L247" s="80">
        <f>IFERROR(L245/(Products!$G$28*Products!$G$13*Timeline!L$10),0)</f>
        <v/>
      </c>
      <c r="M247" s="80">
        <f>IFERROR(M245/(Products!$G$28*Products!$G$13*Timeline!M$10),0)</f>
        <v/>
      </c>
      <c r="N247" s="80">
        <f>IFERROR(N245/(Products!$G$28*Products!$G$13*Timeline!N$10),0)</f>
        <v/>
      </c>
      <c r="O247" s="80">
        <f>IFERROR(O245/(Products!$G$28*Products!$G$13*Timeline!O$10),0)</f>
        <v/>
      </c>
      <c r="P247" s="80">
        <f>IFERROR(P245/(Products!$G$28*Products!$G$13*Timeline!P$10),0)</f>
        <v/>
      </c>
      <c r="Q247" s="80">
        <f>IFERROR(Q245/(Products!$G$28*Products!$G$13*Timeline!Q$10),0)</f>
        <v/>
      </c>
      <c r="R247" s="80">
        <f>IFERROR(R245/(Products!$G$28*Products!$G$13*Timeline!R$10),0)</f>
        <v/>
      </c>
      <c r="S247" s="80">
        <f>IFERROR(S245/(Products!$G$28*Products!$G$13*Timeline!S$10),0)</f>
        <v/>
      </c>
      <c r="T247" s="80">
        <f>IFERROR(T245/(Products!$G$28*Products!$G$13*Timeline!T$10),0)</f>
        <v/>
      </c>
      <c r="U247" s="80">
        <f>IFERROR(U245/(Products!$G$28*Products!$G$13*Timeline!U$10),0)</f>
        <v/>
      </c>
      <c r="V247" s="80">
        <f>IFERROR(V245/(Products!$G$28*Products!$G$13*Timeline!V$10),0)</f>
        <v/>
      </c>
      <c r="W247" s="80">
        <f>IFERROR(W245/(Products!$G$28*Products!$G$13*Timeline!W$10),0)</f>
        <v/>
      </c>
      <c r="X247" s="80">
        <f>IFERROR(X245/(Products!$G$28*Products!$G$13*Timeline!X$10),0)</f>
        <v/>
      </c>
      <c r="Y247" s="80">
        <f>IFERROR(Y245/(Products!$G$28*Products!$G$13*Timeline!Y$10),0)</f>
        <v/>
      </c>
      <c r="Z247" s="80">
        <f>IFERROR(Z245/(Products!$G$28*Products!$G$13*Timeline!Z$10),0)</f>
        <v/>
      </c>
      <c r="AA247" s="80">
        <f>IFERROR(AA245/(Products!$G$28*Products!$G$13*Timeline!AA$10),0)</f>
        <v/>
      </c>
      <c r="AB247" s="80">
        <f>IFERROR(AB245/(Products!$G$28*Products!$G$13*Timeline!AB$10),0)</f>
        <v/>
      </c>
      <c r="AC247" s="80">
        <f>IFERROR(AC245/(Products!$G$28*Products!$G$13*Timeline!AC$10),0)</f>
        <v/>
      </c>
      <c r="AD247" s="80">
        <f>IFERROR(AD245/(Products!$G$28*Products!$G$13*Timeline!AD$10),0)</f>
        <v/>
      </c>
      <c r="AE247" s="80">
        <f>IFERROR(AE245/(Products!$G$28*Products!$G$13*Timeline!AE$10),0)</f>
        <v/>
      </c>
      <c r="AF247" s="80">
        <f>IFERROR(AF245/(Products!$G$28*Products!$G$13*Timeline!AF$10),0)</f>
        <v/>
      </c>
      <c r="AG247" s="80">
        <f>IFERROR(AG245/(Products!$G$28*Products!$G$13*Timeline!AG$10),0)</f>
        <v/>
      </c>
      <c r="AH247" s="80">
        <f>IFERROR(AH245/(Products!$G$28*Products!$G$13*Timeline!AH$10),0)</f>
        <v/>
      </c>
      <c r="AI247" s="80">
        <f>IFERROR(AI245/(Products!$G$28*Products!$G$13*Timeline!AI$10),0)</f>
        <v/>
      </c>
      <c r="AJ247" s="80">
        <f>IFERROR(AJ245/(Products!$G$28*Products!$G$13*Timeline!AJ$10),0)</f>
        <v/>
      </c>
      <c r="AK247" s="80">
        <f>IFERROR(AK245/(Products!$G$28*Products!$G$13*Timeline!AK$10),0)</f>
        <v/>
      </c>
      <c r="AL247" s="80">
        <f>IFERROR(AL245/(Products!$G$28*Products!$G$13*Timeline!AL$10),0)</f>
        <v/>
      </c>
      <c r="AM247" s="80">
        <f>IFERROR(AM245/(Products!$G$28*Products!$G$13*Timeline!AM$10),0)</f>
        <v/>
      </c>
      <c r="AN247" s="80">
        <f>IFERROR(AN245/(Products!$G$28*Products!$G$13*Timeline!AN$10),0)</f>
        <v/>
      </c>
      <c r="AO247" s="80">
        <f>IFERROR(AO245/(Products!$G$28*Products!$G$13*Timeline!AO$10),0)</f>
        <v/>
      </c>
      <c r="AP247" s="80">
        <f>IFERROR(AP245/(Products!$G$28*Products!$G$13*Timeline!AP$10),0)</f>
        <v/>
      </c>
      <c r="AQ247" s="80">
        <f>IFERROR(AQ245/(Products!$G$28*Products!$G$13*Timeline!AQ$10),0)</f>
        <v/>
      </c>
      <c r="AR247" s="80">
        <f>IFERROR(AR245/(Products!$G$28*Products!$G$13*Timeline!AR$10),0)</f>
        <v/>
      </c>
      <c r="AS247" s="80">
        <f>IFERROR(AS245/(Products!$G$28*Products!$G$13*Timeline!AS$10),0)</f>
        <v/>
      </c>
      <c r="AT247" s="80">
        <f>IFERROR(AT245/(Products!$G$28*Products!$G$13*Timeline!AT$10),0)</f>
        <v/>
      </c>
      <c r="AU247" s="80">
        <f>IFERROR(AU245/(Products!$G$28*Products!$G$13*Timeline!AU$10),0)</f>
        <v/>
      </c>
      <c r="AV247" s="80">
        <f>IFERROR(AV245/(Products!$G$28*Products!$G$13*Timeline!AV$10),0)</f>
        <v/>
      </c>
      <c r="AW247" s="80">
        <f>IFERROR(AW245/(Products!$G$28*Products!$G$13*Timeline!AW$10),0)</f>
        <v/>
      </c>
      <c r="AX247" s="80">
        <f>IFERROR(AX245/(Products!$G$28*Products!$G$13*Timeline!AX$10),0)</f>
        <v/>
      </c>
      <c r="AY247" s="80">
        <f>IFERROR(AY245/(Products!$G$28*Products!$G$13*Timeline!AY$10),0)</f>
        <v/>
      </c>
      <c r="AZ247" s="80">
        <f>IFERROR(AZ245/(Products!$G$28*Products!$G$13*Timeline!AZ$10),0)</f>
        <v/>
      </c>
      <c r="BA247" s="80">
        <f>IFERROR(BA245/(Products!$G$28*Products!$G$13*Timeline!BA$10),0)</f>
        <v/>
      </c>
      <c r="BB247" s="80">
        <f>IFERROR(BB245/(Products!$G$28*Products!$G$13*Timeline!BB$10),0)</f>
        <v/>
      </c>
      <c r="BC247" s="80">
        <f>IFERROR(BC245/(Products!$G$28*Products!$G$13*Timeline!BC$10),0)</f>
        <v/>
      </c>
      <c r="BD247" s="80">
        <f>IFERROR(BD245/(Products!$G$28*Products!$G$13*Timeline!BD$10),0)</f>
        <v/>
      </c>
      <c r="BE247" s="80">
        <f>IFERROR(BE245/(Products!$G$28*Products!$G$13*Timeline!BE$10),0)</f>
        <v/>
      </c>
      <c r="BF247" s="80">
        <f>IFERROR(BF245/(Products!$G$28*Products!$G$13*Timeline!BF$10),0)</f>
        <v/>
      </c>
      <c r="BG247" s="80">
        <f>IFERROR(BG245/(Products!$G$28*Products!$G$13*Timeline!BG$10),0)</f>
        <v/>
      </c>
      <c r="BH247" s="80">
        <f>IFERROR(BH245/(Products!$G$28*Products!$G$13*Timeline!BH$10),0)</f>
        <v/>
      </c>
      <c r="BI247" s="80">
        <f>IFERROR(BI245/(Products!$G$28*Products!$G$13*Timeline!BI$10),0)</f>
        <v/>
      </c>
      <c r="BJ247" s="80">
        <f>IFERROR(BJ245/(Products!$G$28*Products!$G$13*Timeline!BJ$10),0)</f>
        <v/>
      </c>
      <c r="BK247" s="80">
        <f>IFERROR(BK245/(Products!$G$28*Products!$G$13*Timeline!BK$10),0)</f>
        <v/>
      </c>
      <c r="BL247" s="80">
        <f>IFERROR(BL245/(Products!$G$28*Products!$G$13*Timeline!BL$10),0)</f>
        <v/>
      </c>
    </row>
    <row r="248">
      <c r="A248" s="98" t="inlineStr">
        <is>
          <t>Cures (proxy engine: none)</t>
        </is>
      </c>
      <c r="B248" s="65" t="inlineStr">
        <is>
          <t>LCY</t>
        </is>
      </c>
      <c r="C248" s="105">
        <f>SUM(E248:BL248)</f>
        <v/>
      </c>
      <c r="E248" s="80">
        <f>0</f>
        <v/>
      </c>
      <c r="F248" s="80">
        <f>0</f>
        <v/>
      </c>
      <c r="G248" s="80">
        <f>0</f>
        <v/>
      </c>
      <c r="H248" s="80">
        <f>0</f>
        <v/>
      </c>
      <c r="I248" s="80">
        <f>0</f>
        <v/>
      </c>
      <c r="J248" s="80">
        <f>0</f>
        <v/>
      </c>
      <c r="K248" s="80">
        <f>0</f>
        <v/>
      </c>
      <c r="L248" s="80">
        <f>0</f>
        <v/>
      </c>
      <c r="M248" s="80">
        <f>0</f>
        <v/>
      </c>
      <c r="N248" s="80">
        <f>0</f>
        <v/>
      </c>
      <c r="O248" s="80">
        <f>0</f>
        <v/>
      </c>
      <c r="P248" s="80">
        <f>0</f>
        <v/>
      </c>
      <c r="Q248" s="80">
        <f>0</f>
        <v/>
      </c>
      <c r="R248" s="80">
        <f>0</f>
        <v/>
      </c>
      <c r="S248" s="80">
        <f>0</f>
        <v/>
      </c>
      <c r="T248" s="80">
        <f>0</f>
        <v/>
      </c>
      <c r="U248" s="80">
        <f>0</f>
        <v/>
      </c>
      <c r="V248" s="80">
        <f>0</f>
        <v/>
      </c>
      <c r="W248" s="80">
        <f>0</f>
        <v/>
      </c>
      <c r="X248" s="80">
        <f>0</f>
        <v/>
      </c>
      <c r="Y248" s="80">
        <f>0</f>
        <v/>
      </c>
      <c r="Z248" s="80">
        <f>0</f>
        <v/>
      </c>
      <c r="AA248" s="80">
        <f>0</f>
        <v/>
      </c>
      <c r="AB248" s="80">
        <f>0</f>
        <v/>
      </c>
      <c r="AC248" s="80">
        <f>0</f>
        <v/>
      </c>
      <c r="AD248" s="80">
        <f>0</f>
        <v/>
      </c>
      <c r="AE248" s="80">
        <f>0</f>
        <v/>
      </c>
      <c r="AF248" s="80">
        <f>0</f>
        <v/>
      </c>
      <c r="AG248" s="80">
        <f>0</f>
        <v/>
      </c>
      <c r="AH248" s="80">
        <f>0</f>
        <v/>
      </c>
      <c r="AI248" s="80">
        <f>0</f>
        <v/>
      </c>
      <c r="AJ248" s="80">
        <f>0</f>
        <v/>
      </c>
      <c r="AK248" s="80">
        <f>0</f>
        <v/>
      </c>
      <c r="AL248" s="80">
        <f>0</f>
        <v/>
      </c>
      <c r="AM248" s="80">
        <f>0</f>
        <v/>
      </c>
      <c r="AN248" s="80">
        <f>0</f>
        <v/>
      </c>
      <c r="AO248" s="80">
        <f>0</f>
        <v/>
      </c>
      <c r="AP248" s="80">
        <f>0</f>
        <v/>
      </c>
      <c r="AQ248" s="80">
        <f>0</f>
        <v/>
      </c>
      <c r="AR248" s="80">
        <f>0</f>
        <v/>
      </c>
      <c r="AS248" s="80">
        <f>0</f>
        <v/>
      </c>
      <c r="AT248" s="80">
        <f>0</f>
        <v/>
      </c>
      <c r="AU248" s="80">
        <f>0</f>
        <v/>
      </c>
      <c r="AV248" s="80">
        <f>0</f>
        <v/>
      </c>
      <c r="AW248" s="80">
        <f>0</f>
        <v/>
      </c>
      <c r="AX248" s="80">
        <f>0</f>
        <v/>
      </c>
      <c r="AY248" s="80">
        <f>0</f>
        <v/>
      </c>
      <c r="AZ248" s="80">
        <f>0</f>
        <v/>
      </c>
      <c r="BA248" s="80">
        <f>0</f>
        <v/>
      </c>
      <c r="BB248" s="80">
        <f>0</f>
        <v/>
      </c>
      <c r="BC248" s="80">
        <f>0</f>
        <v/>
      </c>
      <c r="BD248" s="80">
        <f>0</f>
        <v/>
      </c>
      <c r="BE248" s="80">
        <f>0</f>
        <v/>
      </c>
      <c r="BF248" s="80">
        <f>0</f>
        <v/>
      </c>
      <c r="BG248" s="80">
        <f>0</f>
        <v/>
      </c>
      <c r="BH248" s="80">
        <f>0</f>
        <v/>
      </c>
      <c r="BI248" s="80">
        <f>0</f>
        <v/>
      </c>
      <c r="BJ248" s="80">
        <f>0</f>
        <v/>
      </c>
      <c r="BK248" s="80">
        <f>0</f>
        <v/>
      </c>
      <c r="BL248" s="80">
        <f>0</f>
        <v/>
      </c>
    </row>
    <row r="249">
      <c r="A249" s="98" t="inlineStr">
        <is>
          <t>Write-offs</t>
        </is>
      </c>
      <c r="B249" s="65" t="inlineStr">
        <is>
          <t>LCY</t>
        </is>
      </c>
      <c r="C249" s="105">
        <f>SUM(E249:BL249)</f>
        <v/>
      </c>
      <c r="E249" s="41">
        <f>Ops!E$116</f>
        <v/>
      </c>
      <c r="F249" s="41">
        <f>Ops!F$116</f>
        <v/>
      </c>
      <c r="G249" s="41">
        <f>Ops!G$116</f>
        <v/>
      </c>
      <c r="H249" s="41">
        <f>Ops!H$116</f>
        <v/>
      </c>
      <c r="I249" s="41">
        <f>Ops!I$116</f>
        <v/>
      </c>
      <c r="J249" s="41">
        <f>Ops!J$116</f>
        <v/>
      </c>
      <c r="K249" s="41">
        <f>Ops!K$116</f>
        <v/>
      </c>
      <c r="L249" s="41">
        <f>Ops!L$116</f>
        <v/>
      </c>
      <c r="M249" s="41">
        <f>Ops!M$116</f>
        <v/>
      </c>
      <c r="N249" s="41">
        <f>Ops!N$116</f>
        <v/>
      </c>
      <c r="O249" s="41">
        <f>Ops!O$116</f>
        <v/>
      </c>
      <c r="P249" s="41">
        <f>Ops!P$116</f>
        <v/>
      </c>
      <c r="Q249" s="41">
        <f>Ops!Q$116</f>
        <v/>
      </c>
      <c r="R249" s="41">
        <f>Ops!R$116</f>
        <v/>
      </c>
      <c r="S249" s="41">
        <f>Ops!S$116</f>
        <v/>
      </c>
      <c r="T249" s="41">
        <f>Ops!T$116</f>
        <v/>
      </c>
      <c r="U249" s="41">
        <f>Ops!U$116</f>
        <v/>
      </c>
      <c r="V249" s="41">
        <f>Ops!V$116</f>
        <v/>
      </c>
      <c r="W249" s="41">
        <f>Ops!W$116</f>
        <v/>
      </c>
      <c r="X249" s="41">
        <f>Ops!X$116</f>
        <v/>
      </c>
      <c r="Y249" s="41">
        <f>Ops!Y$116</f>
        <v/>
      </c>
      <c r="Z249" s="41">
        <f>Ops!Z$116</f>
        <v/>
      </c>
      <c r="AA249" s="41">
        <f>Ops!AA$116</f>
        <v/>
      </c>
      <c r="AB249" s="41">
        <f>Ops!AB$116</f>
        <v/>
      </c>
      <c r="AC249" s="41">
        <f>Ops!AC$116</f>
        <v/>
      </c>
      <c r="AD249" s="41">
        <f>Ops!AD$116</f>
        <v/>
      </c>
      <c r="AE249" s="41">
        <f>Ops!AE$116</f>
        <v/>
      </c>
      <c r="AF249" s="41">
        <f>Ops!AF$116</f>
        <v/>
      </c>
      <c r="AG249" s="41">
        <f>Ops!AG$116</f>
        <v/>
      </c>
      <c r="AH249" s="41">
        <f>Ops!AH$116</f>
        <v/>
      </c>
      <c r="AI249" s="41">
        <f>Ops!AI$116</f>
        <v/>
      </c>
      <c r="AJ249" s="41">
        <f>Ops!AJ$116</f>
        <v/>
      </c>
      <c r="AK249" s="41">
        <f>Ops!AK$116</f>
        <v/>
      </c>
      <c r="AL249" s="41">
        <f>Ops!AL$116</f>
        <v/>
      </c>
      <c r="AM249" s="41">
        <f>Ops!AM$116</f>
        <v/>
      </c>
      <c r="AN249" s="41">
        <f>Ops!AN$116</f>
        <v/>
      </c>
      <c r="AO249" s="41">
        <f>Ops!AO$116</f>
        <v/>
      </c>
      <c r="AP249" s="41">
        <f>Ops!AP$116</f>
        <v/>
      </c>
      <c r="AQ249" s="41">
        <f>Ops!AQ$116</f>
        <v/>
      </c>
      <c r="AR249" s="41">
        <f>Ops!AR$116</f>
        <v/>
      </c>
      <c r="AS249" s="41">
        <f>Ops!AS$116</f>
        <v/>
      </c>
      <c r="AT249" s="41">
        <f>Ops!AT$116</f>
        <v/>
      </c>
      <c r="AU249" s="41">
        <f>Ops!AU$116</f>
        <v/>
      </c>
      <c r="AV249" s="41">
        <f>Ops!AV$116</f>
        <v/>
      </c>
      <c r="AW249" s="41">
        <f>Ops!AW$116</f>
        <v/>
      </c>
      <c r="AX249" s="41">
        <f>Ops!AX$116</f>
        <v/>
      </c>
      <c r="AY249" s="41">
        <f>Ops!AY$116</f>
        <v/>
      </c>
      <c r="AZ249" s="41">
        <f>Ops!AZ$116</f>
        <v/>
      </c>
      <c r="BA249" s="41">
        <f>Ops!BA$116</f>
        <v/>
      </c>
      <c r="BB249" s="41">
        <f>Ops!BB$116</f>
        <v/>
      </c>
      <c r="BC249" s="41">
        <f>Ops!BC$116</f>
        <v/>
      </c>
      <c r="BD249" s="41">
        <f>Ops!BD$116</f>
        <v/>
      </c>
      <c r="BE249" s="41">
        <f>Ops!BE$116</f>
        <v/>
      </c>
      <c r="BF249" s="41">
        <f>Ops!BF$116</f>
        <v/>
      </c>
      <c r="BG249" s="41">
        <f>Ops!BG$116</f>
        <v/>
      </c>
      <c r="BH249" s="41">
        <f>Ops!BH$116</f>
        <v/>
      </c>
      <c r="BI249" s="41">
        <f>Ops!BI$116</f>
        <v/>
      </c>
      <c r="BJ249" s="41">
        <f>Ops!BJ$116</f>
        <v/>
      </c>
      <c r="BK249" s="41">
        <f>Ops!BK$116</f>
        <v/>
      </c>
      <c r="BL249" s="41">
        <f>Ops!BL$116</f>
        <v/>
      </c>
    </row>
    <row r="250">
      <c r="A250" s="98" t="inlineStr">
        <is>
          <t>Collections</t>
        </is>
      </c>
      <c r="B250" s="65" t="inlineStr">
        <is>
          <t>LCY</t>
        </is>
      </c>
      <c r="C250" s="105">
        <f>SUM(E250:BL250)</f>
        <v/>
      </c>
      <c r="E250" s="41">
        <f>Ops!E$115</f>
        <v/>
      </c>
      <c r="F250" s="41">
        <f>Ops!F$115</f>
        <v/>
      </c>
      <c r="G250" s="41">
        <f>Ops!G$115</f>
        <v/>
      </c>
      <c r="H250" s="41">
        <f>Ops!H$115</f>
        <v/>
      </c>
      <c r="I250" s="41">
        <f>Ops!I$115</f>
        <v/>
      </c>
      <c r="J250" s="41">
        <f>Ops!J$115</f>
        <v/>
      </c>
      <c r="K250" s="41">
        <f>Ops!K$115</f>
        <v/>
      </c>
      <c r="L250" s="41">
        <f>Ops!L$115</f>
        <v/>
      </c>
      <c r="M250" s="41">
        <f>Ops!M$115</f>
        <v/>
      </c>
      <c r="N250" s="41">
        <f>Ops!N$115</f>
        <v/>
      </c>
      <c r="O250" s="41">
        <f>Ops!O$115</f>
        <v/>
      </c>
      <c r="P250" s="41">
        <f>Ops!P$115</f>
        <v/>
      </c>
      <c r="Q250" s="41">
        <f>Ops!Q$115</f>
        <v/>
      </c>
      <c r="R250" s="41">
        <f>Ops!R$115</f>
        <v/>
      </c>
      <c r="S250" s="41">
        <f>Ops!S$115</f>
        <v/>
      </c>
      <c r="T250" s="41">
        <f>Ops!T$115</f>
        <v/>
      </c>
      <c r="U250" s="41">
        <f>Ops!U$115</f>
        <v/>
      </c>
      <c r="V250" s="41">
        <f>Ops!V$115</f>
        <v/>
      </c>
      <c r="W250" s="41">
        <f>Ops!W$115</f>
        <v/>
      </c>
      <c r="X250" s="41">
        <f>Ops!X$115</f>
        <v/>
      </c>
      <c r="Y250" s="41">
        <f>Ops!Y$115</f>
        <v/>
      </c>
      <c r="Z250" s="41">
        <f>Ops!Z$115</f>
        <v/>
      </c>
      <c r="AA250" s="41">
        <f>Ops!AA$115</f>
        <v/>
      </c>
      <c r="AB250" s="41">
        <f>Ops!AB$115</f>
        <v/>
      </c>
      <c r="AC250" s="41">
        <f>Ops!AC$115</f>
        <v/>
      </c>
      <c r="AD250" s="41">
        <f>Ops!AD$115</f>
        <v/>
      </c>
      <c r="AE250" s="41">
        <f>Ops!AE$115</f>
        <v/>
      </c>
      <c r="AF250" s="41">
        <f>Ops!AF$115</f>
        <v/>
      </c>
      <c r="AG250" s="41">
        <f>Ops!AG$115</f>
        <v/>
      </c>
      <c r="AH250" s="41">
        <f>Ops!AH$115</f>
        <v/>
      </c>
      <c r="AI250" s="41">
        <f>Ops!AI$115</f>
        <v/>
      </c>
      <c r="AJ250" s="41">
        <f>Ops!AJ$115</f>
        <v/>
      </c>
      <c r="AK250" s="41">
        <f>Ops!AK$115</f>
        <v/>
      </c>
      <c r="AL250" s="41">
        <f>Ops!AL$115</f>
        <v/>
      </c>
      <c r="AM250" s="41">
        <f>Ops!AM$115</f>
        <v/>
      </c>
      <c r="AN250" s="41">
        <f>Ops!AN$115</f>
        <v/>
      </c>
      <c r="AO250" s="41">
        <f>Ops!AO$115</f>
        <v/>
      </c>
      <c r="AP250" s="41">
        <f>Ops!AP$115</f>
        <v/>
      </c>
      <c r="AQ250" s="41">
        <f>Ops!AQ$115</f>
        <v/>
      </c>
      <c r="AR250" s="41">
        <f>Ops!AR$115</f>
        <v/>
      </c>
      <c r="AS250" s="41">
        <f>Ops!AS$115</f>
        <v/>
      </c>
      <c r="AT250" s="41">
        <f>Ops!AT$115</f>
        <v/>
      </c>
      <c r="AU250" s="41">
        <f>Ops!AU$115</f>
        <v/>
      </c>
      <c r="AV250" s="41">
        <f>Ops!AV$115</f>
        <v/>
      </c>
      <c r="AW250" s="41">
        <f>Ops!AW$115</f>
        <v/>
      </c>
      <c r="AX250" s="41">
        <f>Ops!AX$115</f>
        <v/>
      </c>
      <c r="AY250" s="41">
        <f>Ops!AY$115</f>
        <v/>
      </c>
      <c r="AZ250" s="41">
        <f>Ops!AZ$115</f>
        <v/>
      </c>
      <c r="BA250" s="41">
        <f>Ops!BA$115</f>
        <v/>
      </c>
      <c r="BB250" s="41">
        <f>Ops!BB$115</f>
        <v/>
      </c>
      <c r="BC250" s="41">
        <f>Ops!BC$115</f>
        <v/>
      </c>
      <c r="BD250" s="41">
        <f>Ops!BD$115</f>
        <v/>
      </c>
      <c r="BE250" s="41">
        <f>Ops!BE$115</f>
        <v/>
      </c>
      <c r="BF250" s="41">
        <f>Ops!BF$115</f>
        <v/>
      </c>
      <c r="BG250" s="41">
        <f>Ops!BG$115</f>
        <v/>
      </c>
      <c r="BH250" s="41">
        <f>Ops!BH$115</f>
        <v/>
      </c>
      <c r="BI250" s="41">
        <f>Ops!BI$115</f>
        <v/>
      </c>
      <c r="BJ250" s="41">
        <f>Ops!BJ$115</f>
        <v/>
      </c>
      <c r="BK250" s="41">
        <f>Ops!BK$115</f>
        <v/>
      </c>
      <c r="BL250" s="41">
        <f>Ops!BL$115</f>
        <v/>
      </c>
    </row>
    <row r="251">
      <c r="A251" s="98" t="inlineStr">
        <is>
          <t>Instalments due</t>
        </is>
      </c>
      <c r="B251" s="65" t="inlineStr">
        <is>
          <t>LCY</t>
        </is>
      </c>
      <c r="C251" s="105">
        <f>SUM(E251:BL251)</f>
        <v/>
      </c>
      <c r="E251" s="41">
        <f>Ops!E$114</f>
        <v/>
      </c>
      <c r="F251" s="41">
        <f>Ops!F$114</f>
        <v/>
      </c>
      <c r="G251" s="41">
        <f>Ops!G$114</f>
        <v/>
      </c>
      <c r="H251" s="41">
        <f>Ops!H$114</f>
        <v/>
      </c>
      <c r="I251" s="41">
        <f>Ops!I$114</f>
        <v/>
      </c>
      <c r="J251" s="41">
        <f>Ops!J$114</f>
        <v/>
      </c>
      <c r="K251" s="41">
        <f>Ops!K$114</f>
        <v/>
      </c>
      <c r="L251" s="41">
        <f>Ops!L$114</f>
        <v/>
      </c>
      <c r="M251" s="41">
        <f>Ops!M$114</f>
        <v/>
      </c>
      <c r="N251" s="41">
        <f>Ops!N$114</f>
        <v/>
      </c>
      <c r="O251" s="41">
        <f>Ops!O$114</f>
        <v/>
      </c>
      <c r="P251" s="41">
        <f>Ops!P$114</f>
        <v/>
      </c>
      <c r="Q251" s="41">
        <f>Ops!Q$114</f>
        <v/>
      </c>
      <c r="R251" s="41">
        <f>Ops!R$114</f>
        <v/>
      </c>
      <c r="S251" s="41">
        <f>Ops!S$114</f>
        <v/>
      </c>
      <c r="T251" s="41">
        <f>Ops!T$114</f>
        <v/>
      </c>
      <c r="U251" s="41">
        <f>Ops!U$114</f>
        <v/>
      </c>
      <c r="V251" s="41">
        <f>Ops!V$114</f>
        <v/>
      </c>
      <c r="W251" s="41">
        <f>Ops!W$114</f>
        <v/>
      </c>
      <c r="X251" s="41">
        <f>Ops!X$114</f>
        <v/>
      </c>
      <c r="Y251" s="41">
        <f>Ops!Y$114</f>
        <v/>
      </c>
      <c r="Z251" s="41">
        <f>Ops!Z$114</f>
        <v/>
      </c>
      <c r="AA251" s="41">
        <f>Ops!AA$114</f>
        <v/>
      </c>
      <c r="AB251" s="41">
        <f>Ops!AB$114</f>
        <v/>
      </c>
      <c r="AC251" s="41">
        <f>Ops!AC$114</f>
        <v/>
      </c>
      <c r="AD251" s="41">
        <f>Ops!AD$114</f>
        <v/>
      </c>
      <c r="AE251" s="41">
        <f>Ops!AE$114</f>
        <v/>
      </c>
      <c r="AF251" s="41">
        <f>Ops!AF$114</f>
        <v/>
      </c>
      <c r="AG251" s="41">
        <f>Ops!AG$114</f>
        <v/>
      </c>
      <c r="AH251" s="41">
        <f>Ops!AH$114</f>
        <v/>
      </c>
      <c r="AI251" s="41">
        <f>Ops!AI$114</f>
        <v/>
      </c>
      <c r="AJ251" s="41">
        <f>Ops!AJ$114</f>
        <v/>
      </c>
      <c r="AK251" s="41">
        <f>Ops!AK$114</f>
        <v/>
      </c>
      <c r="AL251" s="41">
        <f>Ops!AL$114</f>
        <v/>
      </c>
      <c r="AM251" s="41">
        <f>Ops!AM$114</f>
        <v/>
      </c>
      <c r="AN251" s="41">
        <f>Ops!AN$114</f>
        <v/>
      </c>
      <c r="AO251" s="41">
        <f>Ops!AO$114</f>
        <v/>
      </c>
      <c r="AP251" s="41">
        <f>Ops!AP$114</f>
        <v/>
      </c>
      <c r="AQ251" s="41">
        <f>Ops!AQ$114</f>
        <v/>
      </c>
      <c r="AR251" s="41">
        <f>Ops!AR$114</f>
        <v/>
      </c>
      <c r="AS251" s="41">
        <f>Ops!AS$114</f>
        <v/>
      </c>
      <c r="AT251" s="41">
        <f>Ops!AT$114</f>
        <v/>
      </c>
      <c r="AU251" s="41">
        <f>Ops!AU$114</f>
        <v/>
      </c>
      <c r="AV251" s="41">
        <f>Ops!AV$114</f>
        <v/>
      </c>
      <c r="AW251" s="41">
        <f>Ops!AW$114</f>
        <v/>
      </c>
      <c r="AX251" s="41">
        <f>Ops!AX$114</f>
        <v/>
      </c>
      <c r="AY251" s="41">
        <f>Ops!AY$114</f>
        <v/>
      </c>
      <c r="AZ251" s="41">
        <f>Ops!AZ$114</f>
        <v/>
      </c>
      <c r="BA251" s="41">
        <f>Ops!BA$114</f>
        <v/>
      </c>
      <c r="BB251" s="41">
        <f>Ops!BB$114</f>
        <v/>
      </c>
      <c r="BC251" s="41">
        <f>Ops!BC$114</f>
        <v/>
      </c>
      <c r="BD251" s="41">
        <f>Ops!BD$114</f>
        <v/>
      </c>
      <c r="BE251" s="41">
        <f>Ops!BE$114</f>
        <v/>
      </c>
      <c r="BF251" s="41">
        <f>Ops!BF$114</f>
        <v/>
      </c>
      <c r="BG251" s="41">
        <f>Ops!BG$114</f>
        <v/>
      </c>
      <c r="BH251" s="41">
        <f>Ops!BH$114</f>
        <v/>
      </c>
      <c r="BI251" s="41">
        <f>Ops!BI$114</f>
        <v/>
      </c>
      <c r="BJ251" s="41">
        <f>Ops!BJ$114</f>
        <v/>
      </c>
      <c r="BK251" s="41">
        <f>Ops!BK$114</f>
        <v/>
      </c>
      <c r="BL251" s="41">
        <f>Ops!BL$114</f>
        <v/>
      </c>
    </row>
    <row r="252">
      <c r="A252" s="98" t="inlineStr">
        <is>
          <t>Ownership events (unlocks)</t>
        </is>
      </c>
      <c r="B252" s="65" t="inlineStr">
        <is>
          <t>LCY</t>
        </is>
      </c>
      <c r="C252" s="105">
        <f>SUM(E252:BL252)</f>
        <v/>
      </c>
      <c r="E252" s="41">
        <f>Ops!E$122</f>
        <v/>
      </c>
      <c r="F252" s="41">
        <f>Ops!F$122</f>
        <v/>
      </c>
      <c r="G252" s="41">
        <f>Ops!G$122</f>
        <v/>
      </c>
      <c r="H252" s="41">
        <f>Ops!H$122</f>
        <v/>
      </c>
      <c r="I252" s="41">
        <f>Ops!I$122</f>
        <v/>
      </c>
      <c r="J252" s="41">
        <f>Ops!J$122</f>
        <v/>
      </c>
      <c r="K252" s="41">
        <f>Ops!K$122</f>
        <v/>
      </c>
      <c r="L252" s="41">
        <f>Ops!L$122</f>
        <v/>
      </c>
      <c r="M252" s="41">
        <f>Ops!M$122</f>
        <v/>
      </c>
      <c r="N252" s="41">
        <f>Ops!N$122</f>
        <v/>
      </c>
      <c r="O252" s="41">
        <f>Ops!O$122</f>
        <v/>
      </c>
      <c r="P252" s="41">
        <f>Ops!P$122</f>
        <v/>
      </c>
      <c r="Q252" s="41">
        <f>Ops!Q$122</f>
        <v/>
      </c>
      <c r="R252" s="41">
        <f>Ops!R$122</f>
        <v/>
      </c>
      <c r="S252" s="41">
        <f>Ops!S$122</f>
        <v/>
      </c>
      <c r="T252" s="41">
        <f>Ops!T$122</f>
        <v/>
      </c>
      <c r="U252" s="41">
        <f>Ops!U$122</f>
        <v/>
      </c>
      <c r="V252" s="41">
        <f>Ops!V$122</f>
        <v/>
      </c>
      <c r="W252" s="41">
        <f>Ops!W$122</f>
        <v/>
      </c>
      <c r="X252" s="41">
        <f>Ops!X$122</f>
        <v/>
      </c>
      <c r="Y252" s="41">
        <f>Ops!Y$122</f>
        <v/>
      </c>
      <c r="Z252" s="41">
        <f>Ops!Z$122</f>
        <v/>
      </c>
      <c r="AA252" s="41">
        <f>Ops!AA$122</f>
        <v/>
      </c>
      <c r="AB252" s="41">
        <f>Ops!AB$122</f>
        <v/>
      </c>
      <c r="AC252" s="41">
        <f>Ops!AC$122</f>
        <v/>
      </c>
      <c r="AD252" s="41">
        <f>Ops!AD$122</f>
        <v/>
      </c>
      <c r="AE252" s="41">
        <f>Ops!AE$122</f>
        <v/>
      </c>
      <c r="AF252" s="41">
        <f>Ops!AF$122</f>
        <v/>
      </c>
      <c r="AG252" s="41">
        <f>Ops!AG$122</f>
        <v/>
      </c>
      <c r="AH252" s="41">
        <f>Ops!AH$122</f>
        <v/>
      </c>
      <c r="AI252" s="41">
        <f>Ops!AI$122</f>
        <v/>
      </c>
      <c r="AJ252" s="41">
        <f>Ops!AJ$122</f>
        <v/>
      </c>
      <c r="AK252" s="41">
        <f>Ops!AK$122</f>
        <v/>
      </c>
      <c r="AL252" s="41">
        <f>Ops!AL$122</f>
        <v/>
      </c>
      <c r="AM252" s="41">
        <f>Ops!AM$122</f>
        <v/>
      </c>
      <c r="AN252" s="41">
        <f>Ops!AN$122</f>
        <v/>
      </c>
      <c r="AO252" s="41">
        <f>Ops!AO$122</f>
        <v/>
      </c>
      <c r="AP252" s="41">
        <f>Ops!AP$122</f>
        <v/>
      </c>
      <c r="AQ252" s="41">
        <f>Ops!AQ$122</f>
        <v/>
      </c>
      <c r="AR252" s="41">
        <f>Ops!AR$122</f>
        <v/>
      </c>
      <c r="AS252" s="41">
        <f>Ops!AS$122</f>
        <v/>
      </c>
      <c r="AT252" s="41">
        <f>Ops!AT$122</f>
        <v/>
      </c>
      <c r="AU252" s="41">
        <f>Ops!AU$122</f>
        <v/>
      </c>
      <c r="AV252" s="41">
        <f>Ops!AV$122</f>
        <v/>
      </c>
      <c r="AW252" s="41">
        <f>Ops!AW$122</f>
        <v/>
      </c>
      <c r="AX252" s="41">
        <f>Ops!AX$122</f>
        <v/>
      </c>
      <c r="AY252" s="41">
        <f>Ops!AY$122</f>
        <v/>
      </c>
      <c r="AZ252" s="41">
        <f>Ops!AZ$122</f>
        <v/>
      </c>
      <c r="BA252" s="41">
        <f>Ops!BA$122</f>
        <v/>
      </c>
      <c r="BB252" s="41">
        <f>Ops!BB$122</f>
        <v/>
      </c>
      <c r="BC252" s="41">
        <f>Ops!BC$122</f>
        <v/>
      </c>
      <c r="BD252" s="41">
        <f>Ops!BD$122</f>
        <v/>
      </c>
      <c r="BE252" s="41">
        <f>Ops!BE$122</f>
        <v/>
      </c>
      <c r="BF252" s="41">
        <f>Ops!BF$122</f>
        <v/>
      </c>
      <c r="BG252" s="41">
        <f>Ops!BG$122</f>
        <v/>
      </c>
      <c r="BH252" s="41">
        <f>Ops!BH$122</f>
        <v/>
      </c>
      <c r="BI252" s="41">
        <f>Ops!BI$122</f>
        <v/>
      </c>
      <c r="BJ252" s="41">
        <f>Ops!BJ$122</f>
        <v/>
      </c>
      <c r="BK252" s="41">
        <f>Ops!BK$122</f>
        <v/>
      </c>
      <c r="BL252" s="41">
        <f>Ops!BL$122</f>
        <v/>
      </c>
    </row>
    <row r="253">
      <c r="A253" s="98" t="inlineStr">
        <is>
          <t>Observed repayment rate (collections / due)</t>
        </is>
      </c>
      <c r="B253" s="65" t="inlineStr">
        <is>
          <t>%</t>
        </is>
      </c>
      <c r="E253" s="81">
        <f>IF(E251=0,0,E250/E251)</f>
        <v/>
      </c>
      <c r="F253" s="81">
        <f>IF(F251=0,0,F250/F251)</f>
        <v/>
      </c>
      <c r="G253" s="81">
        <f>IF(G251=0,0,G250/G251)</f>
        <v/>
      </c>
      <c r="H253" s="81">
        <f>IF(H251=0,0,H250/H251)</f>
        <v/>
      </c>
      <c r="I253" s="81">
        <f>IF(I251=0,0,I250/I251)</f>
        <v/>
      </c>
      <c r="J253" s="81">
        <f>IF(J251=0,0,J250/J251)</f>
        <v/>
      </c>
      <c r="K253" s="81">
        <f>IF(K251=0,0,K250/K251)</f>
        <v/>
      </c>
      <c r="L253" s="81">
        <f>IF(L251=0,0,L250/L251)</f>
        <v/>
      </c>
      <c r="M253" s="81">
        <f>IF(M251=0,0,M250/M251)</f>
        <v/>
      </c>
      <c r="N253" s="81">
        <f>IF(N251=0,0,N250/N251)</f>
        <v/>
      </c>
      <c r="O253" s="81">
        <f>IF(O251=0,0,O250/O251)</f>
        <v/>
      </c>
      <c r="P253" s="81">
        <f>IF(P251=0,0,P250/P251)</f>
        <v/>
      </c>
      <c r="Q253" s="81">
        <f>IF(Q251=0,0,Q250/Q251)</f>
        <v/>
      </c>
      <c r="R253" s="81">
        <f>IF(R251=0,0,R250/R251)</f>
        <v/>
      </c>
      <c r="S253" s="81">
        <f>IF(S251=0,0,S250/S251)</f>
        <v/>
      </c>
      <c r="T253" s="81">
        <f>IF(T251=0,0,T250/T251)</f>
        <v/>
      </c>
      <c r="U253" s="81">
        <f>IF(U251=0,0,U250/U251)</f>
        <v/>
      </c>
      <c r="V253" s="81">
        <f>IF(V251=0,0,V250/V251)</f>
        <v/>
      </c>
      <c r="W253" s="81">
        <f>IF(W251=0,0,W250/W251)</f>
        <v/>
      </c>
      <c r="X253" s="81">
        <f>IF(X251=0,0,X250/X251)</f>
        <v/>
      </c>
      <c r="Y253" s="81">
        <f>IF(Y251=0,0,Y250/Y251)</f>
        <v/>
      </c>
      <c r="Z253" s="81">
        <f>IF(Z251=0,0,Z250/Z251)</f>
        <v/>
      </c>
      <c r="AA253" s="81">
        <f>IF(AA251=0,0,AA250/AA251)</f>
        <v/>
      </c>
      <c r="AB253" s="81">
        <f>IF(AB251=0,0,AB250/AB251)</f>
        <v/>
      </c>
      <c r="AC253" s="81">
        <f>IF(AC251=0,0,AC250/AC251)</f>
        <v/>
      </c>
      <c r="AD253" s="81">
        <f>IF(AD251=0,0,AD250/AD251)</f>
        <v/>
      </c>
      <c r="AE253" s="81">
        <f>IF(AE251=0,0,AE250/AE251)</f>
        <v/>
      </c>
      <c r="AF253" s="81">
        <f>IF(AF251=0,0,AF250/AF251)</f>
        <v/>
      </c>
      <c r="AG253" s="81">
        <f>IF(AG251=0,0,AG250/AG251)</f>
        <v/>
      </c>
      <c r="AH253" s="81">
        <f>IF(AH251=0,0,AH250/AH251)</f>
        <v/>
      </c>
      <c r="AI253" s="81">
        <f>IF(AI251=0,0,AI250/AI251)</f>
        <v/>
      </c>
      <c r="AJ253" s="81">
        <f>IF(AJ251=0,0,AJ250/AJ251)</f>
        <v/>
      </c>
      <c r="AK253" s="81">
        <f>IF(AK251=0,0,AK250/AK251)</f>
        <v/>
      </c>
      <c r="AL253" s="81">
        <f>IF(AL251=0,0,AL250/AL251)</f>
        <v/>
      </c>
      <c r="AM253" s="81">
        <f>IF(AM251=0,0,AM250/AM251)</f>
        <v/>
      </c>
      <c r="AN253" s="81">
        <f>IF(AN251=0,0,AN250/AN251)</f>
        <v/>
      </c>
      <c r="AO253" s="81">
        <f>IF(AO251=0,0,AO250/AO251)</f>
        <v/>
      </c>
      <c r="AP253" s="81">
        <f>IF(AP251=0,0,AP250/AP251)</f>
        <v/>
      </c>
      <c r="AQ253" s="81">
        <f>IF(AQ251=0,0,AQ250/AQ251)</f>
        <v/>
      </c>
      <c r="AR253" s="81">
        <f>IF(AR251=0,0,AR250/AR251)</f>
        <v/>
      </c>
      <c r="AS253" s="81">
        <f>IF(AS251=0,0,AS250/AS251)</f>
        <v/>
      </c>
      <c r="AT253" s="81">
        <f>IF(AT251=0,0,AT250/AT251)</f>
        <v/>
      </c>
      <c r="AU253" s="81">
        <f>IF(AU251=0,0,AU250/AU251)</f>
        <v/>
      </c>
      <c r="AV253" s="81">
        <f>IF(AV251=0,0,AV250/AV251)</f>
        <v/>
      </c>
      <c r="AW253" s="81">
        <f>IF(AW251=0,0,AW250/AW251)</f>
        <v/>
      </c>
      <c r="AX253" s="81">
        <f>IF(AX251=0,0,AX250/AX251)</f>
        <v/>
      </c>
      <c r="AY253" s="81">
        <f>IF(AY251=0,0,AY250/AY251)</f>
        <v/>
      </c>
      <c r="AZ253" s="81">
        <f>IF(AZ251=0,0,AZ250/AZ251)</f>
        <v/>
      </c>
      <c r="BA253" s="81">
        <f>IF(BA251=0,0,BA250/BA251)</f>
        <v/>
      </c>
      <c r="BB253" s="81">
        <f>IF(BB251=0,0,BB250/BB251)</f>
        <v/>
      </c>
      <c r="BC253" s="81">
        <f>IF(BC251=0,0,BC250/BC251)</f>
        <v/>
      </c>
      <c r="BD253" s="81">
        <f>IF(BD251=0,0,BD250/BD251)</f>
        <v/>
      </c>
      <c r="BE253" s="81">
        <f>IF(BE251=0,0,BE250/BE251)</f>
        <v/>
      </c>
      <c r="BF253" s="81">
        <f>IF(BF251=0,0,BF250/BF251)</f>
        <v/>
      </c>
      <c r="BG253" s="81">
        <f>IF(BG251=0,0,BG250/BG251)</f>
        <v/>
      </c>
      <c r="BH253" s="81">
        <f>IF(BH251=0,0,BH250/BH251)</f>
        <v/>
      </c>
      <c r="BI253" s="81">
        <f>IF(BI251=0,0,BI250/BI251)</f>
        <v/>
      </c>
      <c r="BJ253" s="81">
        <f>IF(BJ251=0,0,BJ250/BJ251)</f>
        <v/>
      </c>
      <c r="BK253" s="81">
        <f>IF(BK251=0,0,BK250/BK251)</f>
        <v/>
      </c>
      <c r="BL253" s="81">
        <f>IF(BL251=0,0,BL250/BL251)</f>
        <v/>
      </c>
    </row>
    <row r="254">
      <c r="A254" s="98" t="inlineStr">
        <is>
          <t>12-month PD proxy (NOT an audited IFRS 9 PD)</t>
        </is>
      </c>
      <c r="B254" s="65" t="inlineStr">
        <is>
          <t>%</t>
        </is>
      </c>
      <c r="E254" s="81">
        <f>1-(1-Products!$G$41)^12</f>
        <v/>
      </c>
      <c r="F254" s="81">
        <f>1-(1-Products!$G$41)^12</f>
        <v/>
      </c>
      <c r="G254" s="81">
        <f>1-(1-Products!$G$41)^12</f>
        <v/>
      </c>
      <c r="H254" s="81">
        <f>1-(1-Products!$G$41)^12</f>
        <v/>
      </c>
      <c r="I254" s="81">
        <f>1-(1-Products!$G$41)^12</f>
        <v/>
      </c>
      <c r="J254" s="81">
        <f>1-(1-Products!$G$41)^12</f>
        <v/>
      </c>
      <c r="K254" s="81">
        <f>1-(1-Products!$G$41)^12</f>
        <v/>
      </c>
      <c r="L254" s="81">
        <f>1-(1-Products!$G$41)^12</f>
        <v/>
      </c>
      <c r="M254" s="81">
        <f>1-(1-Products!$G$41)^12</f>
        <v/>
      </c>
      <c r="N254" s="81">
        <f>1-(1-Products!$G$41)^12</f>
        <v/>
      </c>
      <c r="O254" s="81">
        <f>1-(1-Products!$G$41)^12</f>
        <v/>
      </c>
      <c r="P254" s="81">
        <f>1-(1-Products!$G$41)^12</f>
        <v/>
      </c>
      <c r="Q254" s="81">
        <f>1-(1-Products!$G$41)^12</f>
        <v/>
      </c>
      <c r="R254" s="81">
        <f>1-(1-Products!$G$41)^12</f>
        <v/>
      </c>
      <c r="S254" s="81">
        <f>1-(1-Products!$G$41)^12</f>
        <v/>
      </c>
      <c r="T254" s="81">
        <f>1-(1-Products!$G$41)^12</f>
        <v/>
      </c>
      <c r="U254" s="81">
        <f>1-(1-Products!$G$41)^12</f>
        <v/>
      </c>
      <c r="V254" s="81">
        <f>1-(1-Products!$G$41)^12</f>
        <v/>
      </c>
      <c r="W254" s="81">
        <f>1-(1-Products!$G$41)^12</f>
        <v/>
      </c>
      <c r="X254" s="81">
        <f>1-(1-Products!$G$41)^12</f>
        <v/>
      </c>
      <c r="Y254" s="81">
        <f>1-(1-Products!$G$41)^12</f>
        <v/>
      </c>
      <c r="Z254" s="81">
        <f>1-(1-Products!$G$41)^12</f>
        <v/>
      </c>
      <c r="AA254" s="81">
        <f>1-(1-Products!$G$41)^12</f>
        <v/>
      </c>
      <c r="AB254" s="81">
        <f>1-(1-Products!$G$41)^12</f>
        <v/>
      </c>
      <c r="AC254" s="81">
        <f>1-(1-Products!$G$41)^12</f>
        <v/>
      </c>
      <c r="AD254" s="81">
        <f>1-(1-Products!$G$41)^12</f>
        <v/>
      </c>
      <c r="AE254" s="81">
        <f>1-(1-Products!$G$41)^12</f>
        <v/>
      </c>
      <c r="AF254" s="81">
        <f>1-(1-Products!$G$41)^12</f>
        <v/>
      </c>
      <c r="AG254" s="81">
        <f>1-(1-Products!$G$41)^12</f>
        <v/>
      </c>
      <c r="AH254" s="81">
        <f>1-(1-Products!$G$41)^12</f>
        <v/>
      </c>
      <c r="AI254" s="81">
        <f>1-(1-Products!$G$41)^12</f>
        <v/>
      </c>
      <c r="AJ254" s="81">
        <f>1-(1-Products!$G$41)^12</f>
        <v/>
      </c>
      <c r="AK254" s="81">
        <f>1-(1-Products!$G$41)^12</f>
        <v/>
      </c>
      <c r="AL254" s="81">
        <f>1-(1-Products!$G$41)^12</f>
        <v/>
      </c>
      <c r="AM254" s="81">
        <f>1-(1-Products!$G$41)^12</f>
        <v/>
      </c>
      <c r="AN254" s="81">
        <f>1-(1-Products!$G$41)^12</f>
        <v/>
      </c>
      <c r="AO254" s="81">
        <f>1-(1-Products!$G$41)^12</f>
        <v/>
      </c>
      <c r="AP254" s="81">
        <f>1-(1-Products!$G$41)^12</f>
        <v/>
      </c>
      <c r="AQ254" s="81">
        <f>1-(1-Products!$G$41)^12</f>
        <v/>
      </c>
      <c r="AR254" s="81">
        <f>1-(1-Products!$G$41)^12</f>
        <v/>
      </c>
      <c r="AS254" s="81">
        <f>1-(1-Products!$G$41)^12</f>
        <v/>
      </c>
      <c r="AT254" s="81">
        <f>1-(1-Products!$G$41)^12</f>
        <v/>
      </c>
      <c r="AU254" s="81">
        <f>1-(1-Products!$G$41)^12</f>
        <v/>
      </c>
      <c r="AV254" s="81">
        <f>1-(1-Products!$G$41)^12</f>
        <v/>
      </c>
      <c r="AW254" s="81">
        <f>1-(1-Products!$G$41)^12</f>
        <v/>
      </c>
      <c r="AX254" s="81">
        <f>1-(1-Products!$G$41)^12</f>
        <v/>
      </c>
      <c r="AY254" s="81">
        <f>1-(1-Products!$G$41)^12</f>
        <v/>
      </c>
      <c r="AZ254" s="81">
        <f>1-(1-Products!$G$41)^12</f>
        <v/>
      </c>
      <c r="BA254" s="81">
        <f>1-(1-Products!$G$41)^12</f>
        <v/>
      </c>
      <c r="BB254" s="81">
        <f>1-(1-Products!$G$41)^12</f>
        <v/>
      </c>
      <c r="BC254" s="81">
        <f>1-(1-Products!$G$41)^12</f>
        <v/>
      </c>
      <c r="BD254" s="81">
        <f>1-(1-Products!$G$41)^12</f>
        <v/>
      </c>
      <c r="BE254" s="81">
        <f>1-(1-Products!$G$41)^12</f>
        <v/>
      </c>
      <c r="BF254" s="81">
        <f>1-(1-Products!$G$41)^12</f>
        <v/>
      </c>
      <c r="BG254" s="81">
        <f>1-(1-Products!$G$41)^12</f>
        <v/>
      </c>
      <c r="BH254" s="81">
        <f>1-(1-Products!$G$41)^12</f>
        <v/>
      </c>
      <c r="BI254" s="81">
        <f>1-(1-Products!$G$41)^12</f>
        <v/>
      </c>
      <c r="BJ254" s="81">
        <f>1-(1-Products!$G$41)^12</f>
        <v/>
      </c>
      <c r="BK254" s="81">
        <f>1-(1-Products!$G$41)^12</f>
        <v/>
      </c>
      <c r="BL254" s="81">
        <f>1-(1-Products!$G$41)^12</f>
        <v/>
      </c>
    </row>
    <row r="255">
      <c r="A255" s="98" t="inlineStr">
        <is>
          <t>LGD proxy</t>
        </is>
      </c>
      <c r="B255" s="65" t="inlineStr">
        <is>
          <t>%</t>
        </is>
      </c>
      <c r="E255" s="81">
        <f>MAX(0,MIN(1,1-Products!$G$27*Products!$G$28*(1-Credit_Assumptions!$C$15)*Products!$G$13/Products!$G$38))</f>
        <v/>
      </c>
      <c r="F255" s="81">
        <f>MAX(0,MIN(1,1-Products!$G$27*Products!$G$28*(1-Credit_Assumptions!$C$15)*Products!$G$13/Products!$G$38))</f>
        <v/>
      </c>
      <c r="G255" s="81">
        <f>MAX(0,MIN(1,1-Products!$G$27*Products!$G$28*(1-Credit_Assumptions!$C$15)*Products!$G$13/Products!$G$38))</f>
        <v/>
      </c>
      <c r="H255" s="81">
        <f>MAX(0,MIN(1,1-Products!$G$27*Products!$G$28*(1-Credit_Assumptions!$C$15)*Products!$G$13/Products!$G$38))</f>
        <v/>
      </c>
      <c r="I255" s="81">
        <f>MAX(0,MIN(1,1-Products!$G$27*Products!$G$28*(1-Credit_Assumptions!$C$15)*Products!$G$13/Products!$G$38))</f>
        <v/>
      </c>
      <c r="J255" s="81">
        <f>MAX(0,MIN(1,1-Products!$G$27*Products!$G$28*(1-Credit_Assumptions!$C$15)*Products!$G$13/Products!$G$38))</f>
        <v/>
      </c>
      <c r="K255" s="81">
        <f>MAX(0,MIN(1,1-Products!$G$27*Products!$G$28*(1-Credit_Assumptions!$C$15)*Products!$G$13/Products!$G$38))</f>
        <v/>
      </c>
      <c r="L255" s="81">
        <f>MAX(0,MIN(1,1-Products!$G$27*Products!$G$28*(1-Credit_Assumptions!$C$15)*Products!$G$13/Products!$G$38))</f>
        <v/>
      </c>
      <c r="M255" s="81">
        <f>MAX(0,MIN(1,1-Products!$G$27*Products!$G$28*(1-Credit_Assumptions!$C$15)*Products!$G$13/Products!$G$38))</f>
        <v/>
      </c>
      <c r="N255" s="81">
        <f>MAX(0,MIN(1,1-Products!$G$27*Products!$G$28*(1-Credit_Assumptions!$C$15)*Products!$G$13/Products!$G$38))</f>
        <v/>
      </c>
      <c r="O255" s="81">
        <f>MAX(0,MIN(1,1-Products!$G$27*Products!$G$28*(1-Credit_Assumptions!$C$15)*Products!$G$13/Products!$G$38))</f>
        <v/>
      </c>
      <c r="P255" s="81">
        <f>MAX(0,MIN(1,1-Products!$G$27*Products!$G$28*(1-Credit_Assumptions!$C$15)*Products!$G$13/Products!$G$38))</f>
        <v/>
      </c>
      <c r="Q255" s="81">
        <f>MAX(0,MIN(1,1-Products!$G$27*Products!$G$28*(1-Credit_Assumptions!$C$15)*Products!$G$13/Products!$G$38))</f>
        <v/>
      </c>
      <c r="R255" s="81">
        <f>MAX(0,MIN(1,1-Products!$G$27*Products!$G$28*(1-Credit_Assumptions!$C$15)*Products!$G$13/Products!$G$38))</f>
        <v/>
      </c>
      <c r="S255" s="81">
        <f>MAX(0,MIN(1,1-Products!$G$27*Products!$G$28*(1-Credit_Assumptions!$C$15)*Products!$G$13/Products!$G$38))</f>
        <v/>
      </c>
      <c r="T255" s="81">
        <f>MAX(0,MIN(1,1-Products!$G$27*Products!$G$28*(1-Credit_Assumptions!$C$15)*Products!$G$13/Products!$G$38))</f>
        <v/>
      </c>
      <c r="U255" s="81">
        <f>MAX(0,MIN(1,1-Products!$G$27*Products!$G$28*(1-Credit_Assumptions!$C$15)*Products!$G$13/Products!$G$38))</f>
        <v/>
      </c>
      <c r="V255" s="81">
        <f>MAX(0,MIN(1,1-Products!$G$27*Products!$G$28*(1-Credit_Assumptions!$C$15)*Products!$G$13/Products!$G$38))</f>
        <v/>
      </c>
      <c r="W255" s="81">
        <f>MAX(0,MIN(1,1-Products!$G$27*Products!$G$28*(1-Credit_Assumptions!$C$15)*Products!$G$13/Products!$G$38))</f>
        <v/>
      </c>
      <c r="X255" s="81">
        <f>MAX(0,MIN(1,1-Products!$G$27*Products!$G$28*(1-Credit_Assumptions!$C$15)*Products!$G$13/Products!$G$38))</f>
        <v/>
      </c>
      <c r="Y255" s="81">
        <f>MAX(0,MIN(1,1-Products!$G$27*Products!$G$28*(1-Credit_Assumptions!$C$15)*Products!$G$13/Products!$G$38))</f>
        <v/>
      </c>
      <c r="Z255" s="81">
        <f>MAX(0,MIN(1,1-Products!$G$27*Products!$G$28*(1-Credit_Assumptions!$C$15)*Products!$G$13/Products!$G$38))</f>
        <v/>
      </c>
      <c r="AA255" s="81">
        <f>MAX(0,MIN(1,1-Products!$G$27*Products!$G$28*(1-Credit_Assumptions!$C$15)*Products!$G$13/Products!$G$38))</f>
        <v/>
      </c>
      <c r="AB255" s="81">
        <f>MAX(0,MIN(1,1-Products!$G$27*Products!$G$28*(1-Credit_Assumptions!$C$15)*Products!$G$13/Products!$G$38))</f>
        <v/>
      </c>
      <c r="AC255" s="81">
        <f>MAX(0,MIN(1,1-Products!$G$27*Products!$G$28*(1-Credit_Assumptions!$C$15)*Products!$G$13/Products!$G$38))</f>
        <v/>
      </c>
      <c r="AD255" s="81">
        <f>MAX(0,MIN(1,1-Products!$G$27*Products!$G$28*(1-Credit_Assumptions!$C$15)*Products!$G$13/Products!$G$38))</f>
        <v/>
      </c>
      <c r="AE255" s="81">
        <f>MAX(0,MIN(1,1-Products!$G$27*Products!$G$28*(1-Credit_Assumptions!$C$15)*Products!$G$13/Products!$G$38))</f>
        <v/>
      </c>
      <c r="AF255" s="81">
        <f>MAX(0,MIN(1,1-Products!$G$27*Products!$G$28*(1-Credit_Assumptions!$C$15)*Products!$G$13/Products!$G$38))</f>
        <v/>
      </c>
      <c r="AG255" s="81">
        <f>MAX(0,MIN(1,1-Products!$G$27*Products!$G$28*(1-Credit_Assumptions!$C$15)*Products!$G$13/Products!$G$38))</f>
        <v/>
      </c>
      <c r="AH255" s="81">
        <f>MAX(0,MIN(1,1-Products!$G$27*Products!$G$28*(1-Credit_Assumptions!$C$15)*Products!$G$13/Products!$G$38))</f>
        <v/>
      </c>
      <c r="AI255" s="81">
        <f>MAX(0,MIN(1,1-Products!$G$27*Products!$G$28*(1-Credit_Assumptions!$C$15)*Products!$G$13/Products!$G$38))</f>
        <v/>
      </c>
      <c r="AJ255" s="81">
        <f>MAX(0,MIN(1,1-Products!$G$27*Products!$G$28*(1-Credit_Assumptions!$C$15)*Products!$G$13/Products!$G$38))</f>
        <v/>
      </c>
      <c r="AK255" s="81">
        <f>MAX(0,MIN(1,1-Products!$G$27*Products!$G$28*(1-Credit_Assumptions!$C$15)*Products!$G$13/Products!$G$38))</f>
        <v/>
      </c>
      <c r="AL255" s="81">
        <f>MAX(0,MIN(1,1-Products!$G$27*Products!$G$28*(1-Credit_Assumptions!$C$15)*Products!$G$13/Products!$G$38))</f>
        <v/>
      </c>
      <c r="AM255" s="81">
        <f>MAX(0,MIN(1,1-Products!$G$27*Products!$G$28*(1-Credit_Assumptions!$C$15)*Products!$G$13/Products!$G$38))</f>
        <v/>
      </c>
      <c r="AN255" s="81">
        <f>MAX(0,MIN(1,1-Products!$G$27*Products!$G$28*(1-Credit_Assumptions!$C$15)*Products!$G$13/Products!$G$38))</f>
        <v/>
      </c>
      <c r="AO255" s="81">
        <f>MAX(0,MIN(1,1-Products!$G$27*Products!$G$28*(1-Credit_Assumptions!$C$15)*Products!$G$13/Products!$G$38))</f>
        <v/>
      </c>
      <c r="AP255" s="81">
        <f>MAX(0,MIN(1,1-Products!$G$27*Products!$G$28*(1-Credit_Assumptions!$C$15)*Products!$G$13/Products!$G$38))</f>
        <v/>
      </c>
      <c r="AQ255" s="81">
        <f>MAX(0,MIN(1,1-Products!$G$27*Products!$G$28*(1-Credit_Assumptions!$C$15)*Products!$G$13/Products!$G$38))</f>
        <v/>
      </c>
      <c r="AR255" s="81">
        <f>MAX(0,MIN(1,1-Products!$G$27*Products!$G$28*(1-Credit_Assumptions!$C$15)*Products!$G$13/Products!$G$38))</f>
        <v/>
      </c>
      <c r="AS255" s="81">
        <f>MAX(0,MIN(1,1-Products!$G$27*Products!$G$28*(1-Credit_Assumptions!$C$15)*Products!$G$13/Products!$G$38))</f>
        <v/>
      </c>
      <c r="AT255" s="81">
        <f>MAX(0,MIN(1,1-Products!$G$27*Products!$G$28*(1-Credit_Assumptions!$C$15)*Products!$G$13/Products!$G$38))</f>
        <v/>
      </c>
      <c r="AU255" s="81">
        <f>MAX(0,MIN(1,1-Products!$G$27*Products!$G$28*(1-Credit_Assumptions!$C$15)*Products!$G$13/Products!$G$38))</f>
        <v/>
      </c>
      <c r="AV255" s="81">
        <f>MAX(0,MIN(1,1-Products!$G$27*Products!$G$28*(1-Credit_Assumptions!$C$15)*Products!$G$13/Products!$G$38))</f>
        <v/>
      </c>
      <c r="AW255" s="81">
        <f>MAX(0,MIN(1,1-Products!$G$27*Products!$G$28*(1-Credit_Assumptions!$C$15)*Products!$G$13/Products!$G$38))</f>
        <v/>
      </c>
      <c r="AX255" s="81">
        <f>MAX(0,MIN(1,1-Products!$G$27*Products!$G$28*(1-Credit_Assumptions!$C$15)*Products!$G$13/Products!$G$38))</f>
        <v/>
      </c>
      <c r="AY255" s="81">
        <f>MAX(0,MIN(1,1-Products!$G$27*Products!$G$28*(1-Credit_Assumptions!$C$15)*Products!$G$13/Products!$G$38))</f>
        <v/>
      </c>
      <c r="AZ255" s="81">
        <f>MAX(0,MIN(1,1-Products!$G$27*Products!$G$28*(1-Credit_Assumptions!$C$15)*Products!$G$13/Products!$G$38))</f>
        <v/>
      </c>
      <c r="BA255" s="81">
        <f>MAX(0,MIN(1,1-Products!$G$27*Products!$G$28*(1-Credit_Assumptions!$C$15)*Products!$G$13/Products!$G$38))</f>
        <v/>
      </c>
      <c r="BB255" s="81">
        <f>MAX(0,MIN(1,1-Products!$G$27*Products!$G$28*(1-Credit_Assumptions!$C$15)*Products!$G$13/Products!$G$38))</f>
        <v/>
      </c>
      <c r="BC255" s="81">
        <f>MAX(0,MIN(1,1-Products!$G$27*Products!$G$28*(1-Credit_Assumptions!$C$15)*Products!$G$13/Products!$G$38))</f>
        <v/>
      </c>
      <c r="BD255" s="81">
        <f>MAX(0,MIN(1,1-Products!$G$27*Products!$G$28*(1-Credit_Assumptions!$C$15)*Products!$G$13/Products!$G$38))</f>
        <v/>
      </c>
      <c r="BE255" s="81">
        <f>MAX(0,MIN(1,1-Products!$G$27*Products!$G$28*(1-Credit_Assumptions!$C$15)*Products!$G$13/Products!$G$38))</f>
        <v/>
      </c>
      <c r="BF255" s="81">
        <f>MAX(0,MIN(1,1-Products!$G$27*Products!$G$28*(1-Credit_Assumptions!$C$15)*Products!$G$13/Products!$G$38))</f>
        <v/>
      </c>
      <c r="BG255" s="81">
        <f>MAX(0,MIN(1,1-Products!$G$27*Products!$G$28*(1-Credit_Assumptions!$C$15)*Products!$G$13/Products!$G$38))</f>
        <v/>
      </c>
      <c r="BH255" s="81">
        <f>MAX(0,MIN(1,1-Products!$G$27*Products!$G$28*(1-Credit_Assumptions!$C$15)*Products!$G$13/Products!$G$38))</f>
        <v/>
      </c>
      <c r="BI255" s="81">
        <f>MAX(0,MIN(1,1-Products!$G$27*Products!$G$28*(1-Credit_Assumptions!$C$15)*Products!$G$13/Products!$G$38))</f>
        <v/>
      </c>
      <c r="BJ255" s="81">
        <f>MAX(0,MIN(1,1-Products!$G$27*Products!$G$28*(1-Credit_Assumptions!$C$15)*Products!$G$13/Products!$G$38))</f>
        <v/>
      </c>
      <c r="BK255" s="81">
        <f>MAX(0,MIN(1,1-Products!$G$27*Products!$G$28*(1-Credit_Assumptions!$C$15)*Products!$G$13/Products!$G$38))</f>
        <v/>
      </c>
      <c r="BL255" s="81">
        <f>MAX(0,MIN(1,1-Products!$G$27*Products!$G$28*(1-Credit_Assumptions!$C$15)*Products!$G$13/Products!$G$38))</f>
        <v/>
      </c>
    </row>
    <row r="256">
      <c r="A256" s="98" t="inlineStr">
        <is>
          <t>Indicative stage-based ECL (diagnostic, not booked)</t>
        </is>
      </c>
      <c r="B256" s="65" t="inlineStr">
        <is>
          <t>LCY</t>
        </is>
      </c>
      <c r="C256" s="105">
        <f>BL256</f>
        <v/>
      </c>
      <c r="E256" s="80">
        <f>E236*CHOOSE(Credit_Assumptions!$D$28,E254*E255*(1+Credit_Assumptions!$C$17)^-0.5,(1-Credit_Assumptions!$C$16)*E255*(1+Credit_Assumptions!$C$17)^-0.5,E255)+E237*CHOOSE(Credit_Assumptions!$D$29,E254*E255*(1+Credit_Assumptions!$C$17)^-0.5,(1-Credit_Assumptions!$C$16)*E255*(1+Credit_Assumptions!$C$17)^-0.5,E255)+E238*CHOOSE(Credit_Assumptions!$D$30,E254*E255*(1+Credit_Assumptions!$C$17)^-0.5,(1-Credit_Assumptions!$C$16)*E255*(1+Credit_Assumptions!$C$17)^-0.5,E255)+E239*CHOOSE(Credit_Assumptions!$D$31,E254*E255*(1+Credit_Assumptions!$C$17)^-0.5,(1-Credit_Assumptions!$C$16)*E255*(1+Credit_Assumptions!$C$17)^-0.5,E255)+E240*CHOOSE(Credit_Assumptions!$D$32,E254*E255*(1+Credit_Assumptions!$C$17)^-0.5,(1-Credit_Assumptions!$C$16)*E255*(1+Credit_Assumptions!$C$17)^-0.5,E255)+E241*CHOOSE(Credit_Assumptions!$D$33,E254*E255*(1+Credit_Assumptions!$C$17)^-0.5,(1-Credit_Assumptions!$C$16)*E255*(1+Credit_Assumptions!$C$17)^-0.5,E255)</f>
        <v/>
      </c>
      <c r="F256" s="80">
        <f>F236*CHOOSE(Credit_Assumptions!$D$28,F254*F255*(1+Credit_Assumptions!$C$17)^-0.5,(1-Credit_Assumptions!$C$16)*F255*(1+Credit_Assumptions!$C$17)^-0.5,F255)+F237*CHOOSE(Credit_Assumptions!$D$29,F254*F255*(1+Credit_Assumptions!$C$17)^-0.5,(1-Credit_Assumptions!$C$16)*F255*(1+Credit_Assumptions!$C$17)^-0.5,F255)+F238*CHOOSE(Credit_Assumptions!$D$30,F254*F255*(1+Credit_Assumptions!$C$17)^-0.5,(1-Credit_Assumptions!$C$16)*F255*(1+Credit_Assumptions!$C$17)^-0.5,F255)+F239*CHOOSE(Credit_Assumptions!$D$31,F254*F255*(1+Credit_Assumptions!$C$17)^-0.5,(1-Credit_Assumptions!$C$16)*F255*(1+Credit_Assumptions!$C$17)^-0.5,F255)+F240*CHOOSE(Credit_Assumptions!$D$32,F254*F255*(1+Credit_Assumptions!$C$17)^-0.5,(1-Credit_Assumptions!$C$16)*F255*(1+Credit_Assumptions!$C$17)^-0.5,F255)+F241*CHOOSE(Credit_Assumptions!$D$33,F254*F255*(1+Credit_Assumptions!$C$17)^-0.5,(1-Credit_Assumptions!$C$16)*F255*(1+Credit_Assumptions!$C$17)^-0.5,F255)</f>
        <v/>
      </c>
      <c r="G256" s="80">
        <f>G236*CHOOSE(Credit_Assumptions!$D$28,G254*G255*(1+Credit_Assumptions!$C$17)^-0.5,(1-Credit_Assumptions!$C$16)*G255*(1+Credit_Assumptions!$C$17)^-0.5,G255)+G237*CHOOSE(Credit_Assumptions!$D$29,G254*G255*(1+Credit_Assumptions!$C$17)^-0.5,(1-Credit_Assumptions!$C$16)*G255*(1+Credit_Assumptions!$C$17)^-0.5,G255)+G238*CHOOSE(Credit_Assumptions!$D$30,G254*G255*(1+Credit_Assumptions!$C$17)^-0.5,(1-Credit_Assumptions!$C$16)*G255*(1+Credit_Assumptions!$C$17)^-0.5,G255)+G239*CHOOSE(Credit_Assumptions!$D$31,G254*G255*(1+Credit_Assumptions!$C$17)^-0.5,(1-Credit_Assumptions!$C$16)*G255*(1+Credit_Assumptions!$C$17)^-0.5,G255)+G240*CHOOSE(Credit_Assumptions!$D$32,G254*G255*(1+Credit_Assumptions!$C$17)^-0.5,(1-Credit_Assumptions!$C$16)*G255*(1+Credit_Assumptions!$C$17)^-0.5,G255)+G241*CHOOSE(Credit_Assumptions!$D$33,G254*G255*(1+Credit_Assumptions!$C$17)^-0.5,(1-Credit_Assumptions!$C$16)*G255*(1+Credit_Assumptions!$C$17)^-0.5,G255)</f>
        <v/>
      </c>
      <c r="H256" s="80">
        <f>H236*CHOOSE(Credit_Assumptions!$D$28,H254*H255*(1+Credit_Assumptions!$C$17)^-0.5,(1-Credit_Assumptions!$C$16)*H255*(1+Credit_Assumptions!$C$17)^-0.5,H255)+H237*CHOOSE(Credit_Assumptions!$D$29,H254*H255*(1+Credit_Assumptions!$C$17)^-0.5,(1-Credit_Assumptions!$C$16)*H255*(1+Credit_Assumptions!$C$17)^-0.5,H255)+H238*CHOOSE(Credit_Assumptions!$D$30,H254*H255*(1+Credit_Assumptions!$C$17)^-0.5,(1-Credit_Assumptions!$C$16)*H255*(1+Credit_Assumptions!$C$17)^-0.5,H255)+H239*CHOOSE(Credit_Assumptions!$D$31,H254*H255*(1+Credit_Assumptions!$C$17)^-0.5,(1-Credit_Assumptions!$C$16)*H255*(1+Credit_Assumptions!$C$17)^-0.5,H255)+H240*CHOOSE(Credit_Assumptions!$D$32,H254*H255*(1+Credit_Assumptions!$C$17)^-0.5,(1-Credit_Assumptions!$C$16)*H255*(1+Credit_Assumptions!$C$17)^-0.5,H255)+H241*CHOOSE(Credit_Assumptions!$D$33,H254*H255*(1+Credit_Assumptions!$C$17)^-0.5,(1-Credit_Assumptions!$C$16)*H255*(1+Credit_Assumptions!$C$17)^-0.5,H255)</f>
        <v/>
      </c>
      <c r="I256" s="80">
        <f>I236*CHOOSE(Credit_Assumptions!$D$28,I254*I255*(1+Credit_Assumptions!$C$17)^-0.5,(1-Credit_Assumptions!$C$16)*I255*(1+Credit_Assumptions!$C$17)^-0.5,I255)+I237*CHOOSE(Credit_Assumptions!$D$29,I254*I255*(1+Credit_Assumptions!$C$17)^-0.5,(1-Credit_Assumptions!$C$16)*I255*(1+Credit_Assumptions!$C$17)^-0.5,I255)+I238*CHOOSE(Credit_Assumptions!$D$30,I254*I255*(1+Credit_Assumptions!$C$17)^-0.5,(1-Credit_Assumptions!$C$16)*I255*(1+Credit_Assumptions!$C$17)^-0.5,I255)+I239*CHOOSE(Credit_Assumptions!$D$31,I254*I255*(1+Credit_Assumptions!$C$17)^-0.5,(1-Credit_Assumptions!$C$16)*I255*(1+Credit_Assumptions!$C$17)^-0.5,I255)+I240*CHOOSE(Credit_Assumptions!$D$32,I254*I255*(1+Credit_Assumptions!$C$17)^-0.5,(1-Credit_Assumptions!$C$16)*I255*(1+Credit_Assumptions!$C$17)^-0.5,I255)+I241*CHOOSE(Credit_Assumptions!$D$33,I254*I255*(1+Credit_Assumptions!$C$17)^-0.5,(1-Credit_Assumptions!$C$16)*I255*(1+Credit_Assumptions!$C$17)^-0.5,I255)</f>
        <v/>
      </c>
      <c r="J256" s="80">
        <f>J236*CHOOSE(Credit_Assumptions!$D$28,J254*J255*(1+Credit_Assumptions!$C$17)^-0.5,(1-Credit_Assumptions!$C$16)*J255*(1+Credit_Assumptions!$C$17)^-0.5,J255)+J237*CHOOSE(Credit_Assumptions!$D$29,J254*J255*(1+Credit_Assumptions!$C$17)^-0.5,(1-Credit_Assumptions!$C$16)*J255*(1+Credit_Assumptions!$C$17)^-0.5,J255)+J238*CHOOSE(Credit_Assumptions!$D$30,J254*J255*(1+Credit_Assumptions!$C$17)^-0.5,(1-Credit_Assumptions!$C$16)*J255*(1+Credit_Assumptions!$C$17)^-0.5,J255)+J239*CHOOSE(Credit_Assumptions!$D$31,J254*J255*(1+Credit_Assumptions!$C$17)^-0.5,(1-Credit_Assumptions!$C$16)*J255*(1+Credit_Assumptions!$C$17)^-0.5,J255)+J240*CHOOSE(Credit_Assumptions!$D$32,J254*J255*(1+Credit_Assumptions!$C$17)^-0.5,(1-Credit_Assumptions!$C$16)*J255*(1+Credit_Assumptions!$C$17)^-0.5,J255)+J241*CHOOSE(Credit_Assumptions!$D$33,J254*J255*(1+Credit_Assumptions!$C$17)^-0.5,(1-Credit_Assumptions!$C$16)*J255*(1+Credit_Assumptions!$C$17)^-0.5,J255)</f>
        <v/>
      </c>
      <c r="K256" s="80">
        <f>K236*CHOOSE(Credit_Assumptions!$D$28,K254*K255*(1+Credit_Assumptions!$C$17)^-0.5,(1-Credit_Assumptions!$C$16)*K255*(1+Credit_Assumptions!$C$17)^-0.5,K255)+K237*CHOOSE(Credit_Assumptions!$D$29,K254*K255*(1+Credit_Assumptions!$C$17)^-0.5,(1-Credit_Assumptions!$C$16)*K255*(1+Credit_Assumptions!$C$17)^-0.5,K255)+K238*CHOOSE(Credit_Assumptions!$D$30,K254*K255*(1+Credit_Assumptions!$C$17)^-0.5,(1-Credit_Assumptions!$C$16)*K255*(1+Credit_Assumptions!$C$17)^-0.5,K255)+K239*CHOOSE(Credit_Assumptions!$D$31,K254*K255*(1+Credit_Assumptions!$C$17)^-0.5,(1-Credit_Assumptions!$C$16)*K255*(1+Credit_Assumptions!$C$17)^-0.5,K255)+K240*CHOOSE(Credit_Assumptions!$D$32,K254*K255*(1+Credit_Assumptions!$C$17)^-0.5,(1-Credit_Assumptions!$C$16)*K255*(1+Credit_Assumptions!$C$17)^-0.5,K255)+K241*CHOOSE(Credit_Assumptions!$D$33,K254*K255*(1+Credit_Assumptions!$C$17)^-0.5,(1-Credit_Assumptions!$C$16)*K255*(1+Credit_Assumptions!$C$17)^-0.5,K255)</f>
        <v/>
      </c>
      <c r="L256" s="80">
        <f>L236*CHOOSE(Credit_Assumptions!$D$28,L254*L255*(1+Credit_Assumptions!$C$17)^-0.5,(1-Credit_Assumptions!$C$16)*L255*(1+Credit_Assumptions!$C$17)^-0.5,L255)+L237*CHOOSE(Credit_Assumptions!$D$29,L254*L255*(1+Credit_Assumptions!$C$17)^-0.5,(1-Credit_Assumptions!$C$16)*L255*(1+Credit_Assumptions!$C$17)^-0.5,L255)+L238*CHOOSE(Credit_Assumptions!$D$30,L254*L255*(1+Credit_Assumptions!$C$17)^-0.5,(1-Credit_Assumptions!$C$16)*L255*(1+Credit_Assumptions!$C$17)^-0.5,L255)+L239*CHOOSE(Credit_Assumptions!$D$31,L254*L255*(1+Credit_Assumptions!$C$17)^-0.5,(1-Credit_Assumptions!$C$16)*L255*(1+Credit_Assumptions!$C$17)^-0.5,L255)+L240*CHOOSE(Credit_Assumptions!$D$32,L254*L255*(1+Credit_Assumptions!$C$17)^-0.5,(1-Credit_Assumptions!$C$16)*L255*(1+Credit_Assumptions!$C$17)^-0.5,L255)+L241*CHOOSE(Credit_Assumptions!$D$33,L254*L255*(1+Credit_Assumptions!$C$17)^-0.5,(1-Credit_Assumptions!$C$16)*L255*(1+Credit_Assumptions!$C$17)^-0.5,L255)</f>
        <v/>
      </c>
      <c r="M256" s="80">
        <f>M236*CHOOSE(Credit_Assumptions!$D$28,M254*M255*(1+Credit_Assumptions!$C$17)^-0.5,(1-Credit_Assumptions!$C$16)*M255*(1+Credit_Assumptions!$C$17)^-0.5,M255)+M237*CHOOSE(Credit_Assumptions!$D$29,M254*M255*(1+Credit_Assumptions!$C$17)^-0.5,(1-Credit_Assumptions!$C$16)*M255*(1+Credit_Assumptions!$C$17)^-0.5,M255)+M238*CHOOSE(Credit_Assumptions!$D$30,M254*M255*(1+Credit_Assumptions!$C$17)^-0.5,(1-Credit_Assumptions!$C$16)*M255*(1+Credit_Assumptions!$C$17)^-0.5,M255)+M239*CHOOSE(Credit_Assumptions!$D$31,M254*M255*(1+Credit_Assumptions!$C$17)^-0.5,(1-Credit_Assumptions!$C$16)*M255*(1+Credit_Assumptions!$C$17)^-0.5,M255)+M240*CHOOSE(Credit_Assumptions!$D$32,M254*M255*(1+Credit_Assumptions!$C$17)^-0.5,(1-Credit_Assumptions!$C$16)*M255*(1+Credit_Assumptions!$C$17)^-0.5,M255)+M241*CHOOSE(Credit_Assumptions!$D$33,M254*M255*(1+Credit_Assumptions!$C$17)^-0.5,(1-Credit_Assumptions!$C$16)*M255*(1+Credit_Assumptions!$C$17)^-0.5,M255)</f>
        <v/>
      </c>
      <c r="N256" s="80">
        <f>N236*CHOOSE(Credit_Assumptions!$D$28,N254*N255*(1+Credit_Assumptions!$C$17)^-0.5,(1-Credit_Assumptions!$C$16)*N255*(1+Credit_Assumptions!$C$17)^-0.5,N255)+N237*CHOOSE(Credit_Assumptions!$D$29,N254*N255*(1+Credit_Assumptions!$C$17)^-0.5,(1-Credit_Assumptions!$C$16)*N255*(1+Credit_Assumptions!$C$17)^-0.5,N255)+N238*CHOOSE(Credit_Assumptions!$D$30,N254*N255*(1+Credit_Assumptions!$C$17)^-0.5,(1-Credit_Assumptions!$C$16)*N255*(1+Credit_Assumptions!$C$17)^-0.5,N255)+N239*CHOOSE(Credit_Assumptions!$D$31,N254*N255*(1+Credit_Assumptions!$C$17)^-0.5,(1-Credit_Assumptions!$C$16)*N255*(1+Credit_Assumptions!$C$17)^-0.5,N255)+N240*CHOOSE(Credit_Assumptions!$D$32,N254*N255*(1+Credit_Assumptions!$C$17)^-0.5,(1-Credit_Assumptions!$C$16)*N255*(1+Credit_Assumptions!$C$17)^-0.5,N255)+N241*CHOOSE(Credit_Assumptions!$D$33,N254*N255*(1+Credit_Assumptions!$C$17)^-0.5,(1-Credit_Assumptions!$C$16)*N255*(1+Credit_Assumptions!$C$17)^-0.5,N255)</f>
        <v/>
      </c>
      <c r="O256" s="80">
        <f>O236*CHOOSE(Credit_Assumptions!$D$28,O254*O255*(1+Credit_Assumptions!$C$17)^-0.5,(1-Credit_Assumptions!$C$16)*O255*(1+Credit_Assumptions!$C$17)^-0.5,O255)+O237*CHOOSE(Credit_Assumptions!$D$29,O254*O255*(1+Credit_Assumptions!$C$17)^-0.5,(1-Credit_Assumptions!$C$16)*O255*(1+Credit_Assumptions!$C$17)^-0.5,O255)+O238*CHOOSE(Credit_Assumptions!$D$30,O254*O255*(1+Credit_Assumptions!$C$17)^-0.5,(1-Credit_Assumptions!$C$16)*O255*(1+Credit_Assumptions!$C$17)^-0.5,O255)+O239*CHOOSE(Credit_Assumptions!$D$31,O254*O255*(1+Credit_Assumptions!$C$17)^-0.5,(1-Credit_Assumptions!$C$16)*O255*(1+Credit_Assumptions!$C$17)^-0.5,O255)+O240*CHOOSE(Credit_Assumptions!$D$32,O254*O255*(1+Credit_Assumptions!$C$17)^-0.5,(1-Credit_Assumptions!$C$16)*O255*(1+Credit_Assumptions!$C$17)^-0.5,O255)+O241*CHOOSE(Credit_Assumptions!$D$33,O254*O255*(1+Credit_Assumptions!$C$17)^-0.5,(1-Credit_Assumptions!$C$16)*O255*(1+Credit_Assumptions!$C$17)^-0.5,O255)</f>
        <v/>
      </c>
      <c r="P256" s="80">
        <f>P236*CHOOSE(Credit_Assumptions!$D$28,P254*P255*(1+Credit_Assumptions!$C$17)^-0.5,(1-Credit_Assumptions!$C$16)*P255*(1+Credit_Assumptions!$C$17)^-0.5,P255)+P237*CHOOSE(Credit_Assumptions!$D$29,P254*P255*(1+Credit_Assumptions!$C$17)^-0.5,(1-Credit_Assumptions!$C$16)*P255*(1+Credit_Assumptions!$C$17)^-0.5,P255)+P238*CHOOSE(Credit_Assumptions!$D$30,P254*P255*(1+Credit_Assumptions!$C$17)^-0.5,(1-Credit_Assumptions!$C$16)*P255*(1+Credit_Assumptions!$C$17)^-0.5,P255)+P239*CHOOSE(Credit_Assumptions!$D$31,P254*P255*(1+Credit_Assumptions!$C$17)^-0.5,(1-Credit_Assumptions!$C$16)*P255*(1+Credit_Assumptions!$C$17)^-0.5,P255)+P240*CHOOSE(Credit_Assumptions!$D$32,P254*P255*(1+Credit_Assumptions!$C$17)^-0.5,(1-Credit_Assumptions!$C$16)*P255*(1+Credit_Assumptions!$C$17)^-0.5,P255)+P241*CHOOSE(Credit_Assumptions!$D$33,P254*P255*(1+Credit_Assumptions!$C$17)^-0.5,(1-Credit_Assumptions!$C$16)*P255*(1+Credit_Assumptions!$C$17)^-0.5,P255)</f>
        <v/>
      </c>
      <c r="Q256" s="80">
        <f>Q236*CHOOSE(Credit_Assumptions!$D$28,Q254*Q255*(1+Credit_Assumptions!$C$17)^-0.5,(1-Credit_Assumptions!$C$16)*Q255*(1+Credit_Assumptions!$C$17)^-0.5,Q255)+Q237*CHOOSE(Credit_Assumptions!$D$29,Q254*Q255*(1+Credit_Assumptions!$C$17)^-0.5,(1-Credit_Assumptions!$C$16)*Q255*(1+Credit_Assumptions!$C$17)^-0.5,Q255)+Q238*CHOOSE(Credit_Assumptions!$D$30,Q254*Q255*(1+Credit_Assumptions!$C$17)^-0.5,(1-Credit_Assumptions!$C$16)*Q255*(1+Credit_Assumptions!$C$17)^-0.5,Q255)+Q239*CHOOSE(Credit_Assumptions!$D$31,Q254*Q255*(1+Credit_Assumptions!$C$17)^-0.5,(1-Credit_Assumptions!$C$16)*Q255*(1+Credit_Assumptions!$C$17)^-0.5,Q255)+Q240*CHOOSE(Credit_Assumptions!$D$32,Q254*Q255*(1+Credit_Assumptions!$C$17)^-0.5,(1-Credit_Assumptions!$C$16)*Q255*(1+Credit_Assumptions!$C$17)^-0.5,Q255)+Q241*CHOOSE(Credit_Assumptions!$D$33,Q254*Q255*(1+Credit_Assumptions!$C$17)^-0.5,(1-Credit_Assumptions!$C$16)*Q255*(1+Credit_Assumptions!$C$17)^-0.5,Q255)</f>
        <v/>
      </c>
      <c r="R256" s="80">
        <f>R236*CHOOSE(Credit_Assumptions!$D$28,R254*R255*(1+Credit_Assumptions!$C$17)^-0.5,(1-Credit_Assumptions!$C$16)*R255*(1+Credit_Assumptions!$C$17)^-0.5,R255)+R237*CHOOSE(Credit_Assumptions!$D$29,R254*R255*(1+Credit_Assumptions!$C$17)^-0.5,(1-Credit_Assumptions!$C$16)*R255*(1+Credit_Assumptions!$C$17)^-0.5,R255)+R238*CHOOSE(Credit_Assumptions!$D$30,R254*R255*(1+Credit_Assumptions!$C$17)^-0.5,(1-Credit_Assumptions!$C$16)*R255*(1+Credit_Assumptions!$C$17)^-0.5,R255)+R239*CHOOSE(Credit_Assumptions!$D$31,R254*R255*(1+Credit_Assumptions!$C$17)^-0.5,(1-Credit_Assumptions!$C$16)*R255*(1+Credit_Assumptions!$C$17)^-0.5,R255)+R240*CHOOSE(Credit_Assumptions!$D$32,R254*R255*(1+Credit_Assumptions!$C$17)^-0.5,(1-Credit_Assumptions!$C$16)*R255*(1+Credit_Assumptions!$C$17)^-0.5,R255)+R241*CHOOSE(Credit_Assumptions!$D$33,R254*R255*(1+Credit_Assumptions!$C$17)^-0.5,(1-Credit_Assumptions!$C$16)*R255*(1+Credit_Assumptions!$C$17)^-0.5,R255)</f>
        <v/>
      </c>
      <c r="S256" s="80">
        <f>S236*CHOOSE(Credit_Assumptions!$D$28,S254*S255*(1+Credit_Assumptions!$C$17)^-0.5,(1-Credit_Assumptions!$C$16)*S255*(1+Credit_Assumptions!$C$17)^-0.5,S255)+S237*CHOOSE(Credit_Assumptions!$D$29,S254*S255*(1+Credit_Assumptions!$C$17)^-0.5,(1-Credit_Assumptions!$C$16)*S255*(1+Credit_Assumptions!$C$17)^-0.5,S255)+S238*CHOOSE(Credit_Assumptions!$D$30,S254*S255*(1+Credit_Assumptions!$C$17)^-0.5,(1-Credit_Assumptions!$C$16)*S255*(1+Credit_Assumptions!$C$17)^-0.5,S255)+S239*CHOOSE(Credit_Assumptions!$D$31,S254*S255*(1+Credit_Assumptions!$C$17)^-0.5,(1-Credit_Assumptions!$C$16)*S255*(1+Credit_Assumptions!$C$17)^-0.5,S255)+S240*CHOOSE(Credit_Assumptions!$D$32,S254*S255*(1+Credit_Assumptions!$C$17)^-0.5,(1-Credit_Assumptions!$C$16)*S255*(1+Credit_Assumptions!$C$17)^-0.5,S255)+S241*CHOOSE(Credit_Assumptions!$D$33,S254*S255*(1+Credit_Assumptions!$C$17)^-0.5,(1-Credit_Assumptions!$C$16)*S255*(1+Credit_Assumptions!$C$17)^-0.5,S255)</f>
        <v/>
      </c>
      <c r="T256" s="80">
        <f>T236*CHOOSE(Credit_Assumptions!$D$28,T254*T255*(1+Credit_Assumptions!$C$17)^-0.5,(1-Credit_Assumptions!$C$16)*T255*(1+Credit_Assumptions!$C$17)^-0.5,T255)+T237*CHOOSE(Credit_Assumptions!$D$29,T254*T255*(1+Credit_Assumptions!$C$17)^-0.5,(1-Credit_Assumptions!$C$16)*T255*(1+Credit_Assumptions!$C$17)^-0.5,T255)+T238*CHOOSE(Credit_Assumptions!$D$30,T254*T255*(1+Credit_Assumptions!$C$17)^-0.5,(1-Credit_Assumptions!$C$16)*T255*(1+Credit_Assumptions!$C$17)^-0.5,T255)+T239*CHOOSE(Credit_Assumptions!$D$31,T254*T255*(1+Credit_Assumptions!$C$17)^-0.5,(1-Credit_Assumptions!$C$16)*T255*(1+Credit_Assumptions!$C$17)^-0.5,T255)+T240*CHOOSE(Credit_Assumptions!$D$32,T254*T255*(1+Credit_Assumptions!$C$17)^-0.5,(1-Credit_Assumptions!$C$16)*T255*(1+Credit_Assumptions!$C$17)^-0.5,T255)+T241*CHOOSE(Credit_Assumptions!$D$33,T254*T255*(1+Credit_Assumptions!$C$17)^-0.5,(1-Credit_Assumptions!$C$16)*T255*(1+Credit_Assumptions!$C$17)^-0.5,T255)</f>
        <v/>
      </c>
      <c r="U256" s="80">
        <f>U236*CHOOSE(Credit_Assumptions!$D$28,U254*U255*(1+Credit_Assumptions!$C$17)^-0.5,(1-Credit_Assumptions!$C$16)*U255*(1+Credit_Assumptions!$C$17)^-0.5,U255)+U237*CHOOSE(Credit_Assumptions!$D$29,U254*U255*(1+Credit_Assumptions!$C$17)^-0.5,(1-Credit_Assumptions!$C$16)*U255*(1+Credit_Assumptions!$C$17)^-0.5,U255)+U238*CHOOSE(Credit_Assumptions!$D$30,U254*U255*(1+Credit_Assumptions!$C$17)^-0.5,(1-Credit_Assumptions!$C$16)*U255*(1+Credit_Assumptions!$C$17)^-0.5,U255)+U239*CHOOSE(Credit_Assumptions!$D$31,U254*U255*(1+Credit_Assumptions!$C$17)^-0.5,(1-Credit_Assumptions!$C$16)*U255*(1+Credit_Assumptions!$C$17)^-0.5,U255)+U240*CHOOSE(Credit_Assumptions!$D$32,U254*U255*(1+Credit_Assumptions!$C$17)^-0.5,(1-Credit_Assumptions!$C$16)*U255*(1+Credit_Assumptions!$C$17)^-0.5,U255)+U241*CHOOSE(Credit_Assumptions!$D$33,U254*U255*(1+Credit_Assumptions!$C$17)^-0.5,(1-Credit_Assumptions!$C$16)*U255*(1+Credit_Assumptions!$C$17)^-0.5,U255)</f>
        <v/>
      </c>
      <c r="V256" s="80">
        <f>V236*CHOOSE(Credit_Assumptions!$D$28,V254*V255*(1+Credit_Assumptions!$C$17)^-0.5,(1-Credit_Assumptions!$C$16)*V255*(1+Credit_Assumptions!$C$17)^-0.5,V255)+V237*CHOOSE(Credit_Assumptions!$D$29,V254*V255*(1+Credit_Assumptions!$C$17)^-0.5,(1-Credit_Assumptions!$C$16)*V255*(1+Credit_Assumptions!$C$17)^-0.5,V255)+V238*CHOOSE(Credit_Assumptions!$D$30,V254*V255*(1+Credit_Assumptions!$C$17)^-0.5,(1-Credit_Assumptions!$C$16)*V255*(1+Credit_Assumptions!$C$17)^-0.5,V255)+V239*CHOOSE(Credit_Assumptions!$D$31,V254*V255*(1+Credit_Assumptions!$C$17)^-0.5,(1-Credit_Assumptions!$C$16)*V255*(1+Credit_Assumptions!$C$17)^-0.5,V255)+V240*CHOOSE(Credit_Assumptions!$D$32,V254*V255*(1+Credit_Assumptions!$C$17)^-0.5,(1-Credit_Assumptions!$C$16)*V255*(1+Credit_Assumptions!$C$17)^-0.5,V255)+V241*CHOOSE(Credit_Assumptions!$D$33,V254*V255*(1+Credit_Assumptions!$C$17)^-0.5,(1-Credit_Assumptions!$C$16)*V255*(1+Credit_Assumptions!$C$17)^-0.5,V255)</f>
        <v/>
      </c>
      <c r="W256" s="80">
        <f>W236*CHOOSE(Credit_Assumptions!$D$28,W254*W255*(1+Credit_Assumptions!$C$17)^-0.5,(1-Credit_Assumptions!$C$16)*W255*(1+Credit_Assumptions!$C$17)^-0.5,W255)+W237*CHOOSE(Credit_Assumptions!$D$29,W254*W255*(1+Credit_Assumptions!$C$17)^-0.5,(1-Credit_Assumptions!$C$16)*W255*(1+Credit_Assumptions!$C$17)^-0.5,W255)+W238*CHOOSE(Credit_Assumptions!$D$30,W254*W255*(1+Credit_Assumptions!$C$17)^-0.5,(1-Credit_Assumptions!$C$16)*W255*(1+Credit_Assumptions!$C$17)^-0.5,W255)+W239*CHOOSE(Credit_Assumptions!$D$31,W254*W255*(1+Credit_Assumptions!$C$17)^-0.5,(1-Credit_Assumptions!$C$16)*W255*(1+Credit_Assumptions!$C$17)^-0.5,W255)+W240*CHOOSE(Credit_Assumptions!$D$32,W254*W255*(1+Credit_Assumptions!$C$17)^-0.5,(1-Credit_Assumptions!$C$16)*W255*(1+Credit_Assumptions!$C$17)^-0.5,W255)+W241*CHOOSE(Credit_Assumptions!$D$33,W254*W255*(1+Credit_Assumptions!$C$17)^-0.5,(1-Credit_Assumptions!$C$16)*W255*(1+Credit_Assumptions!$C$17)^-0.5,W255)</f>
        <v/>
      </c>
      <c r="X256" s="80">
        <f>X236*CHOOSE(Credit_Assumptions!$D$28,X254*X255*(1+Credit_Assumptions!$C$17)^-0.5,(1-Credit_Assumptions!$C$16)*X255*(1+Credit_Assumptions!$C$17)^-0.5,X255)+X237*CHOOSE(Credit_Assumptions!$D$29,X254*X255*(1+Credit_Assumptions!$C$17)^-0.5,(1-Credit_Assumptions!$C$16)*X255*(1+Credit_Assumptions!$C$17)^-0.5,X255)+X238*CHOOSE(Credit_Assumptions!$D$30,X254*X255*(1+Credit_Assumptions!$C$17)^-0.5,(1-Credit_Assumptions!$C$16)*X255*(1+Credit_Assumptions!$C$17)^-0.5,X255)+X239*CHOOSE(Credit_Assumptions!$D$31,X254*X255*(1+Credit_Assumptions!$C$17)^-0.5,(1-Credit_Assumptions!$C$16)*X255*(1+Credit_Assumptions!$C$17)^-0.5,X255)+X240*CHOOSE(Credit_Assumptions!$D$32,X254*X255*(1+Credit_Assumptions!$C$17)^-0.5,(1-Credit_Assumptions!$C$16)*X255*(1+Credit_Assumptions!$C$17)^-0.5,X255)+X241*CHOOSE(Credit_Assumptions!$D$33,X254*X255*(1+Credit_Assumptions!$C$17)^-0.5,(1-Credit_Assumptions!$C$16)*X255*(1+Credit_Assumptions!$C$17)^-0.5,X255)</f>
        <v/>
      </c>
      <c r="Y256" s="80">
        <f>Y236*CHOOSE(Credit_Assumptions!$D$28,Y254*Y255*(1+Credit_Assumptions!$C$17)^-0.5,(1-Credit_Assumptions!$C$16)*Y255*(1+Credit_Assumptions!$C$17)^-0.5,Y255)+Y237*CHOOSE(Credit_Assumptions!$D$29,Y254*Y255*(1+Credit_Assumptions!$C$17)^-0.5,(1-Credit_Assumptions!$C$16)*Y255*(1+Credit_Assumptions!$C$17)^-0.5,Y255)+Y238*CHOOSE(Credit_Assumptions!$D$30,Y254*Y255*(1+Credit_Assumptions!$C$17)^-0.5,(1-Credit_Assumptions!$C$16)*Y255*(1+Credit_Assumptions!$C$17)^-0.5,Y255)+Y239*CHOOSE(Credit_Assumptions!$D$31,Y254*Y255*(1+Credit_Assumptions!$C$17)^-0.5,(1-Credit_Assumptions!$C$16)*Y255*(1+Credit_Assumptions!$C$17)^-0.5,Y255)+Y240*CHOOSE(Credit_Assumptions!$D$32,Y254*Y255*(1+Credit_Assumptions!$C$17)^-0.5,(1-Credit_Assumptions!$C$16)*Y255*(1+Credit_Assumptions!$C$17)^-0.5,Y255)+Y241*CHOOSE(Credit_Assumptions!$D$33,Y254*Y255*(1+Credit_Assumptions!$C$17)^-0.5,(1-Credit_Assumptions!$C$16)*Y255*(1+Credit_Assumptions!$C$17)^-0.5,Y255)</f>
        <v/>
      </c>
      <c r="Z256" s="80">
        <f>Z236*CHOOSE(Credit_Assumptions!$D$28,Z254*Z255*(1+Credit_Assumptions!$C$17)^-0.5,(1-Credit_Assumptions!$C$16)*Z255*(1+Credit_Assumptions!$C$17)^-0.5,Z255)+Z237*CHOOSE(Credit_Assumptions!$D$29,Z254*Z255*(1+Credit_Assumptions!$C$17)^-0.5,(1-Credit_Assumptions!$C$16)*Z255*(1+Credit_Assumptions!$C$17)^-0.5,Z255)+Z238*CHOOSE(Credit_Assumptions!$D$30,Z254*Z255*(1+Credit_Assumptions!$C$17)^-0.5,(1-Credit_Assumptions!$C$16)*Z255*(1+Credit_Assumptions!$C$17)^-0.5,Z255)+Z239*CHOOSE(Credit_Assumptions!$D$31,Z254*Z255*(1+Credit_Assumptions!$C$17)^-0.5,(1-Credit_Assumptions!$C$16)*Z255*(1+Credit_Assumptions!$C$17)^-0.5,Z255)+Z240*CHOOSE(Credit_Assumptions!$D$32,Z254*Z255*(1+Credit_Assumptions!$C$17)^-0.5,(1-Credit_Assumptions!$C$16)*Z255*(1+Credit_Assumptions!$C$17)^-0.5,Z255)+Z241*CHOOSE(Credit_Assumptions!$D$33,Z254*Z255*(1+Credit_Assumptions!$C$17)^-0.5,(1-Credit_Assumptions!$C$16)*Z255*(1+Credit_Assumptions!$C$17)^-0.5,Z255)</f>
        <v/>
      </c>
      <c r="AA256" s="80">
        <f>AA236*CHOOSE(Credit_Assumptions!$D$28,AA254*AA255*(1+Credit_Assumptions!$C$17)^-0.5,(1-Credit_Assumptions!$C$16)*AA255*(1+Credit_Assumptions!$C$17)^-0.5,AA255)+AA237*CHOOSE(Credit_Assumptions!$D$29,AA254*AA255*(1+Credit_Assumptions!$C$17)^-0.5,(1-Credit_Assumptions!$C$16)*AA255*(1+Credit_Assumptions!$C$17)^-0.5,AA255)+AA238*CHOOSE(Credit_Assumptions!$D$30,AA254*AA255*(1+Credit_Assumptions!$C$17)^-0.5,(1-Credit_Assumptions!$C$16)*AA255*(1+Credit_Assumptions!$C$17)^-0.5,AA255)+AA239*CHOOSE(Credit_Assumptions!$D$31,AA254*AA255*(1+Credit_Assumptions!$C$17)^-0.5,(1-Credit_Assumptions!$C$16)*AA255*(1+Credit_Assumptions!$C$17)^-0.5,AA255)+AA240*CHOOSE(Credit_Assumptions!$D$32,AA254*AA255*(1+Credit_Assumptions!$C$17)^-0.5,(1-Credit_Assumptions!$C$16)*AA255*(1+Credit_Assumptions!$C$17)^-0.5,AA255)+AA241*CHOOSE(Credit_Assumptions!$D$33,AA254*AA255*(1+Credit_Assumptions!$C$17)^-0.5,(1-Credit_Assumptions!$C$16)*AA255*(1+Credit_Assumptions!$C$17)^-0.5,AA255)</f>
        <v/>
      </c>
      <c r="AB256" s="80">
        <f>AB236*CHOOSE(Credit_Assumptions!$D$28,AB254*AB255*(1+Credit_Assumptions!$C$17)^-0.5,(1-Credit_Assumptions!$C$16)*AB255*(1+Credit_Assumptions!$C$17)^-0.5,AB255)+AB237*CHOOSE(Credit_Assumptions!$D$29,AB254*AB255*(1+Credit_Assumptions!$C$17)^-0.5,(1-Credit_Assumptions!$C$16)*AB255*(1+Credit_Assumptions!$C$17)^-0.5,AB255)+AB238*CHOOSE(Credit_Assumptions!$D$30,AB254*AB255*(1+Credit_Assumptions!$C$17)^-0.5,(1-Credit_Assumptions!$C$16)*AB255*(1+Credit_Assumptions!$C$17)^-0.5,AB255)+AB239*CHOOSE(Credit_Assumptions!$D$31,AB254*AB255*(1+Credit_Assumptions!$C$17)^-0.5,(1-Credit_Assumptions!$C$16)*AB255*(1+Credit_Assumptions!$C$17)^-0.5,AB255)+AB240*CHOOSE(Credit_Assumptions!$D$32,AB254*AB255*(1+Credit_Assumptions!$C$17)^-0.5,(1-Credit_Assumptions!$C$16)*AB255*(1+Credit_Assumptions!$C$17)^-0.5,AB255)+AB241*CHOOSE(Credit_Assumptions!$D$33,AB254*AB255*(1+Credit_Assumptions!$C$17)^-0.5,(1-Credit_Assumptions!$C$16)*AB255*(1+Credit_Assumptions!$C$17)^-0.5,AB255)</f>
        <v/>
      </c>
      <c r="AC256" s="80">
        <f>AC236*CHOOSE(Credit_Assumptions!$D$28,AC254*AC255*(1+Credit_Assumptions!$C$17)^-0.5,(1-Credit_Assumptions!$C$16)*AC255*(1+Credit_Assumptions!$C$17)^-0.5,AC255)+AC237*CHOOSE(Credit_Assumptions!$D$29,AC254*AC255*(1+Credit_Assumptions!$C$17)^-0.5,(1-Credit_Assumptions!$C$16)*AC255*(1+Credit_Assumptions!$C$17)^-0.5,AC255)+AC238*CHOOSE(Credit_Assumptions!$D$30,AC254*AC255*(1+Credit_Assumptions!$C$17)^-0.5,(1-Credit_Assumptions!$C$16)*AC255*(1+Credit_Assumptions!$C$17)^-0.5,AC255)+AC239*CHOOSE(Credit_Assumptions!$D$31,AC254*AC255*(1+Credit_Assumptions!$C$17)^-0.5,(1-Credit_Assumptions!$C$16)*AC255*(1+Credit_Assumptions!$C$17)^-0.5,AC255)+AC240*CHOOSE(Credit_Assumptions!$D$32,AC254*AC255*(1+Credit_Assumptions!$C$17)^-0.5,(1-Credit_Assumptions!$C$16)*AC255*(1+Credit_Assumptions!$C$17)^-0.5,AC255)+AC241*CHOOSE(Credit_Assumptions!$D$33,AC254*AC255*(1+Credit_Assumptions!$C$17)^-0.5,(1-Credit_Assumptions!$C$16)*AC255*(1+Credit_Assumptions!$C$17)^-0.5,AC255)</f>
        <v/>
      </c>
      <c r="AD256" s="80">
        <f>AD236*CHOOSE(Credit_Assumptions!$D$28,AD254*AD255*(1+Credit_Assumptions!$C$17)^-0.5,(1-Credit_Assumptions!$C$16)*AD255*(1+Credit_Assumptions!$C$17)^-0.5,AD255)+AD237*CHOOSE(Credit_Assumptions!$D$29,AD254*AD255*(1+Credit_Assumptions!$C$17)^-0.5,(1-Credit_Assumptions!$C$16)*AD255*(1+Credit_Assumptions!$C$17)^-0.5,AD255)+AD238*CHOOSE(Credit_Assumptions!$D$30,AD254*AD255*(1+Credit_Assumptions!$C$17)^-0.5,(1-Credit_Assumptions!$C$16)*AD255*(1+Credit_Assumptions!$C$17)^-0.5,AD255)+AD239*CHOOSE(Credit_Assumptions!$D$31,AD254*AD255*(1+Credit_Assumptions!$C$17)^-0.5,(1-Credit_Assumptions!$C$16)*AD255*(1+Credit_Assumptions!$C$17)^-0.5,AD255)+AD240*CHOOSE(Credit_Assumptions!$D$32,AD254*AD255*(1+Credit_Assumptions!$C$17)^-0.5,(1-Credit_Assumptions!$C$16)*AD255*(1+Credit_Assumptions!$C$17)^-0.5,AD255)+AD241*CHOOSE(Credit_Assumptions!$D$33,AD254*AD255*(1+Credit_Assumptions!$C$17)^-0.5,(1-Credit_Assumptions!$C$16)*AD255*(1+Credit_Assumptions!$C$17)^-0.5,AD255)</f>
        <v/>
      </c>
      <c r="AE256" s="80">
        <f>AE236*CHOOSE(Credit_Assumptions!$D$28,AE254*AE255*(1+Credit_Assumptions!$C$17)^-0.5,(1-Credit_Assumptions!$C$16)*AE255*(1+Credit_Assumptions!$C$17)^-0.5,AE255)+AE237*CHOOSE(Credit_Assumptions!$D$29,AE254*AE255*(1+Credit_Assumptions!$C$17)^-0.5,(1-Credit_Assumptions!$C$16)*AE255*(1+Credit_Assumptions!$C$17)^-0.5,AE255)+AE238*CHOOSE(Credit_Assumptions!$D$30,AE254*AE255*(1+Credit_Assumptions!$C$17)^-0.5,(1-Credit_Assumptions!$C$16)*AE255*(1+Credit_Assumptions!$C$17)^-0.5,AE255)+AE239*CHOOSE(Credit_Assumptions!$D$31,AE254*AE255*(1+Credit_Assumptions!$C$17)^-0.5,(1-Credit_Assumptions!$C$16)*AE255*(1+Credit_Assumptions!$C$17)^-0.5,AE255)+AE240*CHOOSE(Credit_Assumptions!$D$32,AE254*AE255*(1+Credit_Assumptions!$C$17)^-0.5,(1-Credit_Assumptions!$C$16)*AE255*(1+Credit_Assumptions!$C$17)^-0.5,AE255)+AE241*CHOOSE(Credit_Assumptions!$D$33,AE254*AE255*(1+Credit_Assumptions!$C$17)^-0.5,(1-Credit_Assumptions!$C$16)*AE255*(1+Credit_Assumptions!$C$17)^-0.5,AE255)</f>
        <v/>
      </c>
      <c r="AF256" s="80">
        <f>AF236*CHOOSE(Credit_Assumptions!$D$28,AF254*AF255*(1+Credit_Assumptions!$C$17)^-0.5,(1-Credit_Assumptions!$C$16)*AF255*(1+Credit_Assumptions!$C$17)^-0.5,AF255)+AF237*CHOOSE(Credit_Assumptions!$D$29,AF254*AF255*(1+Credit_Assumptions!$C$17)^-0.5,(1-Credit_Assumptions!$C$16)*AF255*(1+Credit_Assumptions!$C$17)^-0.5,AF255)+AF238*CHOOSE(Credit_Assumptions!$D$30,AF254*AF255*(1+Credit_Assumptions!$C$17)^-0.5,(1-Credit_Assumptions!$C$16)*AF255*(1+Credit_Assumptions!$C$17)^-0.5,AF255)+AF239*CHOOSE(Credit_Assumptions!$D$31,AF254*AF255*(1+Credit_Assumptions!$C$17)^-0.5,(1-Credit_Assumptions!$C$16)*AF255*(1+Credit_Assumptions!$C$17)^-0.5,AF255)+AF240*CHOOSE(Credit_Assumptions!$D$32,AF254*AF255*(1+Credit_Assumptions!$C$17)^-0.5,(1-Credit_Assumptions!$C$16)*AF255*(1+Credit_Assumptions!$C$17)^-0.5,AF255)+AF241*CHOOSE(Credit_Assumptions!$D$33,AF254*AF255*(1+Credit_Assumptions!$C$17)^-0.5,(1-Credit_Assumptions!$C$16)*AF255*(1+Credit_Assumptions!$C$17)^-0.5,AF255)</f>
        <v/>
      </c>
      <c r="AG256" s="80">
        <f>AG236*CHOOSE(Credit_Assumptions!$D$28,AG254*AG255*(1+Credit_Assumptions!$C$17)^-0.5,(1-Credit_Assumptions!$C$16)*AG255*(1+Credit_Assumptions!$C$17)^-0.5,AG255)+AG237*CHOOSE(Credit_Assumptions!$D$29,AG254*AG255*(1+Credit_Assumptions!$C$17)^-0.5,(1-Credit_Assumptions!$C$16)*AG255*(1+Credit_Assumptions!$C$17)^-0.5,AG255)+AG238*CHOOSE(Credit_Assumptions!$D$30,AG254*AG255*(1+Credit_Assumptions!$C$17)^-0.5,(1-Credit_Assumptions!$C$16)*AG255*(1+Credit_Assumptions!$C$17)^-0.5,AG255)+AG239*CHOOSE(Credit_Assumptions!$D$31,AG254*AG255*(1+Credit_Assumptions!$C$17)^-0.5,(1-Credit_Assumptions!$C$16)*AG255*(1+Credit_Assumptions!$C$17)^-0.5,AG255)+AG240*CHOOSE(Credit_Assumptions!$D$32,AG254*AG255*(1+Credit_Assumptions!$C$17)^-0.5,(1-Credit_Assumptions!$C$16)*AG255*(1+Credit_Assumptions!$C$17)^-0.5,AG255)+AG241*CHOOSE(Credit_Assumptions!$D$33,AG254*AG255*(1+Credit_Assumptions!$C$17)^-0.5,(1-Credit_Assumptions!$C$16)*AG255*(1+Credit_Assumptions!$C$17)^-0.5,AG255)</f>
        <v/>
      </c>
      <c r="AH256" s="80">
        <f>AH236*CHOOSE(Credit_Assumptions!$D$28,AH254*AH255*(1+Credit_Assumptions!$C$17)^-0.5,(1-Credit_Assumptions!$C$16)*AH255*(1+Credit_Assumptions!$C$17)^-0.5,AH255)+AH237*CHOOSE(Credit_Assumptions!$D$29,AH254*AH255*(1+Credit_Assumptions!$C$17)^-0.5,(1-Credit_Assumptions!$C$16)*AH255*(1+Credit_Assumptions!$C$17)^-0.5,AH255)+AH238*CHOOSE(Credit_Assumptions!$D$30,AH254*AH255*(1+Credit_Assumptions!$C$17)^-0.5,(1-Credit_Assumptions!$C$16)*AH255*(1+Credit_Assumptions!$C$17)^-0.5,AH255)+AH239*CHOOSE(Credit_Assumptions!$D$31,AH254*AH255*(1+Credit_Assumptions!$C$17)^-0.5,(1-Credit_Assumptions!$C$16)*AH255*(1+Credit_Assumptions!$C$17)^-0.5,AH255)+AH240*CHOOSE(Credit_Assumptions!$D$32,AH254*AH255*(1+Credit_Assumptions!$C$17)^-0.5,(1-Credit_Assumptions!$C$16)*AH255*(1+Credit_Assumptions!$C$17)^-0.5,AH255)+AH241*CHOOSE(Credit_Assumptions!$D$33,AH254*AH255*(1+Credit_Assumptions!$C$17)^-0.5,(1-Credit_Assumptions!$C$16)*AH255*(1+Credit_Assumptions!$C$17)^-0.5,AH255)</f>
        <v/>
      </c>
      <c r="AI256" s="80">
        <f>AI236*CHOOSE(Credit_Assumptions!$D$28,AI254*AI255*(1+Credit_Assumptions!$C$17)^-0.5,(1-Credit_Assumptions!$C$16)*AI255*(1+Credit_Assumptions!$C$17)^-0.5,AI255)+AI237*CHOOSE(Credit_Assumptions!$D$29,AI254*AI255*(1+Credit_Assumptions!$C$17)^-0.5,(1-Credit_Assumptions!$C$16)*AI255*(1+Credit_Assumptions!$C$17)^-0.5,AI255)+AI238*CHOOSE(Credit_Assumptions!$D$30,AI254*AI255*(1+Credit_Assumptions!$C$17)^-0.5,(1-Credit_Assumptions!$C$16)*AI255*(1+Credit_Assumptions!$C$17)^-0.5,AI255)+AI239*CHOOSE(Credit_Assumptions!$D$31,AI254*AI255*(1+Credit_Assumptions!$C$17)^-0.5,(1-Credit_Assumptions!$C$16)*AI255*(1+Credit_Assumptions!$C$17)^-0.5,AI255)+AI240*CHOOSE(Credit_Assumptions!$D$32,AI254*AI255*(1+Credit_Assumptions!$C$17)^-0.5,(1-Credit_Assumptions!$C$16)*AI255*(1+Credit_Assumptions!$C$17)^-0.5,AI255)+AI241*CHOOSE(Credit_Assumptions!$D$33,AI254*AI255*(1+Credit_Assumptions!$C$17)^-0.5,(1-Credit_Assumptions!$C$16)*AI255*(1+Credit_Assumptions!$C$17)^-0.5,AI255)</f>
        <v/>
      </c>
      <c r="AJ256" s="80">
        <f>AJ236*CHOOSE(Credit_Assumptions!$D$28,AJ254*AJ255*(1+Credit_Assumptions!$C$17)^-0.5,(1-Credit_Assumptions!$C$16)*AJ255*(1+Credit_Assumptions!$C$17)^-0.5,AJ255)+AJ237*CHOOSE(Credit_Assumptions!$D$29,AJ254*AJ255*(1+Credit_Assumptions!$C$17)^-0.5,(1-Credit_Assumptions!$C$16)*AJ255*(1+Credit_Assumptions!$C$17)^-0.5,AJ255)+AJ238*CHOOSE(Credit_Assumptions!$D$30,AJ254*AJ255*(1+Credit_Assumptions!$C$17)^-0.5,(1-Credit_Assumptions!$C$16)*AJ255*(1+Credit_Assumptions!$C$17)^-0.5,AJ255)+AJ239*CHOOSE(Credit_Assumptions!$D$31,AJ254*AJ255*(1+Credit_Assumptions!$C$17)^-0.5,(1-Credit_Assumptions!$C$16)*AJ255*(1+Credit_Assumptions!$C$17)^-0.5,AJ255)+AJ240*CHOOSE(Credit_Assumptions!$D$32,AJ254*AJ255*(1+Credit_Assumptions!$C$17)^-0.5,(1-Credit_Assumptions!$C$16)*AJ255*(1+Credit_Assumptions!$C$17)^-0.5,AJ255)+AJ241*CHOOSE(Credit_Assumptions!$D$33,AJ254*AJ255*(1+Credit_Assumptions!$C$17)^-0.5,(1-Credit_Assumptions!$C$16)*AJ255*(1+Credit_Assumptions!$C$17)^-0.5,AJ255)</f>
        <v/>
      </c>
      <c r="AK256" s="80">
        <f>AK236*CHOOSE(Credit_Assumptions!$D$28,AK254*AK255*(1+Credit_Assumptions!$C$17)^-0.5,(1-Credit_Assumptions!$C$16)*AK255*(1+Credit_Assumptions!$C$17)^-0.5,AK255)+AK237*CHOOSE(Credit_Assumptions!$D$29,AK254*AK255*(1+Credit_Assumptions!$C$17)^-0.5,(1-Credit_Assumptions!$C$16)*AK255*(1+Credit_Assumptions!$C$17)^-0.5,AK255)+AK238*CHOOSE(Credit_Assumptions!$D$30,AK254*AK255*(1+Credit_Assumptions!$C$17)^-0.5,(1-Credit_Assumptions!$C$16)*AK255*(1+Credit_Assumptions!$C$17)^-0.5,AK255)+AK239*CHOOSE(Credit_Assumptions!$D$31,AK254*AK255*(1+Credit_Assumptions!$C$17)^-0.5,(1-Credit_Assumptions!$C$16)*AK255*(1+Credit_Assumptions!$C$17)^-0.5,AK255)+AK240*CHOOSE(Credit_Assumptions!$D$32,AK254*AK255*(1+Credit_Assumptions!$C$17)^-0.5,(1-Credit_Assumptions!$C$16)*AK255*(1+Credit_Assumptions!$C$17)^-0.5,AK255)+AK241*CHOOSE(Credit_Assumptions!$D$33,AK254*AK255*(1+Credit_Assumptions!$C$17)^-0.5,(1-Credit_Assumptions!$C$16)*AK255*(1+Credit_Assumptions!$C$17)^-0.5,AK255)</f>
        <v/>
      </c>
      <c r="AL256" s="80">
        <f>AL236*CHOOSE(Credit_Assumptions!$D$28,AL254*AL255*(1+Credit_Assumptions!$C$17)^-0.5,(1-Credit_Assumptions!$C$16)*AL255*(1+Credit_Assumptions!$C$17)^-0.5,AL255)+AL237*CHOOSE(Credit_Assumptions!$D$29,AL254*AL255*(1+Credit_Assumptions!$C$17)^-0.5,(1-Credit_Assumptions!$C$16)*AL255*(1+Credit_Assumptions!$C$17)^-0.5,AL255)+AL238*CHOOSE(Credit_Assumptions!$D$30,AL254*AL255*(1+Credit_Assumptions!$C$17)^-0.5,(1-Credit_Assumptions!$C$16)*AL255*(1+Credit_Assumptions!$C$17)^-0.5,AL255)+AL239*CHOOSE(Credit_Assumptions!$D$31,AL254*AL255*(1+Credit_Assumptions!$C$17)^-0.5,(1-Credit_Assumptions!$C$16)*AL255*(1+Credit_Assumptions!$C$17)^-0.5,AL255)+AL240*CHOOSE(Credit_Assumptions!$D$32,AL254*AL255*(1+Credit_Assumptions!$C$17)^-0.5,(1-Credit_Assumptions!$C$16)*AL255*(1+Credit_Assumptions!$C$17)^-0.5,AL255)+AL241*CHOOSE(Credit_Assumptions!$D$33,AL254*AL255*(1+Credit_Assumptions!$C$17)^-0.5,(1-Credit_Assumptions!$C$16)*AL255*(1+Credit_Assumptions!$C$17)^-0.5,AL255)</f>
        <v/>
      </c>
      <c r="AM256" s="80">
        <f>AM236*CHOOSE(Credit_Assumptions!$D$28,AM254*AM255*(1+Credit_Assumptions!$C$17)^-0.5,(1-Credit_Assumptions!$C$16)*AM255*(1+Credit_Assumptions!$C$17)^-0.5,AM255)+AM237*CHOOSE(Credit_Assumptions!$D$29,AM254*AM255*(1+Credit_Assumptions!$C$17)^-0.5,(1-Credit_Assumptions!$C$16)*AM255*(1+Credit_Assumptions!$C$17)^-0.5,AM255)+AM238*CHOOSE(Credit_Assumptions!$D$30,AM254*AM255*(1+Credit_Assumptions!$C$17)^-0.5,(1-Credit_Assumptions!$C$16)*AM255*(1+Credit_Assumptions!$C$17)^-0.5,AM255)+AM239*CHOOSE(Credit_Assumptions!$D$31,AM254*AM255*(1+Credit_Assumptions!$C$17)^-0.5,(1-Credit_Assumptions!$C$16)*AM255*(1+Credit_Assumptions!$C$17)^-0.5,AM255)+AM240*CHOOSE(Credit_Assumptions!$D$32,AM254*AM255*(1+Credit_Assumptions!$C$17)^-0.5,(1-Credit_Assumptions!$C$16)*AM255*(1+Credit_Assumptions!$C$17)^-0.5,AM255)+AM241*CHOOSE(Credit_Assumptions!$D$33,AM254*AM255*(1+Credit_Assumptions!$C$17)^-0.5,(1-Credit_Assumptions!$C$16)*AM255*(1+Credit_Assumptions!$C$17)^-0.5,AM255)</f>
        <v/>
      </c>
      <c r="AN256" s="80">
        <f>AN236*CHOOSE(Credit_Assumptions!$D$28,AN254*AN255*(1+Credit_Assumptions!$C$17)^-0.5,(1-Credit_Assumptions!$C$16)*AN255*(1+Credit_Assumptions!$C$17)^-0.5,AN255)+AN237*CHOOSE(Credit_Assumptions!$D$29,AN254*AN255*(1+Credit_Assumptions!$C$17)^-0.5,(1-Credit_Assumptions!$C$16)*AN255*(1+Credit_Assumptions!$C$17)^-0.5,AN255)+AN238*CHOOSE(Credit_Assumptions!$D$30,AN254*AN255*(1+Credit_Assumptions!$C$17)^-0.5,(1-Credit_Assumptions!$C$16)*AN255*(1+Credit_Assumptions!$C$17)^-0.5,AN255)+AN239*CHOOSE(Credit_Assumptions!$D$31,AN254*AN255*(1+Credit_Assumptions!$C$17)^-0.5,(1-Credit_Assumptions!$C$16)*AN255*(1+Credit_Assumptions!$C$17)^-0.5,AN255)+AN240*CHOOSE(Credit_Assumptions!$D$32,AN254*AN255*(1+Credit_Assumptions!$C$17)^-0.5,(1-Credit_Assumptions!$C$16)*AN255*(1+Credit_Assumptions!$C$17)^-0.5,AN255)+AN241*CHOOSE(Credit_Assumptions!$D$33,AN254*AN255*(1+Credit_Assumptions!$C$17)^-0.5,(1-Credit_Assumptions!$C$16)*AN255*(1+Credit_Assumptions!$C$17)^-0.5,AN255)</f>
        <v/>
      </c>
      <c r="AO256" s="80">
        <f>AO236*CHOOSE(Credit_Assumptions!$D$28,AO254*AO255*(1+Credit_Assumptions!$C$17)^-0.5,(1-Credit_Assumptions!$C$16)*AO255*(1+Credit_Assumptions!$C$17)^-0.5,AO255)+AO237*CHOOSE(Credit_Assumptions!$D$29,AO254*AO255*(1+Credit_Assumptions!$C$17)^-0.5,(1-Credit_Assumptions!$C$16)*AO255*(1+Credit_Assumptions!$C$17)^-0.5,AO255)+AO238*CHOOSE(Credit_Assumptions!$D$30,AO254*AO255*(1+Credit_Assumptions!$C$17)^-0.5,(1-Credit_Assumptions!$C$16)*AO255*(1+Credit_Assumptions!$C$17)^-0.5,AO255)+AO239*CHOOSE(Credit_Assumptions!$D$31,AO254*AO255*(1+Credit_Assumptions!$C$17)^-0.5,(1-Credit_Assumptions!$C$16)*AO255*(1+Credit_Assumptions!$C$17)^-0.5,AO255)+AO240*CHOOSE(Credit_Assumptions!$D$32,AO254*AO255*(1+Credit_Assumptions!$C$17)^-0.5,(1-Credit_Assumptions!$C$16)*AO255*(1+Credit_Assumptions!$C$17)^-0.5,AO255)+AO241*CHOOSE(Credit_Assumptions!$D$33,AO254*AO255*(1+Credit_Assumptions!$C$17)^-0.5,(1-Credit_Assumptions!$C$16)*AO255*(1+Credit_Assumptions!$C$17)^-0.5,AO255)</f>
        <v/>
      </c>
      <c r="AP256" s="80">
        <f>AP236*CHOOSE(Credit_Assumptions!$D$28,AP254*AP255*(1+Credit_Assumptions!$C$17)^-0.5,(1-Credit_Assumptions!$C$16)*AP255*(1+Credit_Assumptions!$C$17)^-0.5,AP255)+AP237*CHOOSE(Credit_Assumptions!$D$29,AP254*AP255*(1+Credit_Assumptions!$C$17)^-0.5,(1-Credit_Assumptions!$C$16)*AP255*(1+Credit_Assumptions!$C$17)^-0.5,AP255)+AP238*CHOOSE(Credit_Assumptions!$D$30,AP254*AP255*(1+Credit_Assumptions!$C$17)^-0.5,(1-Credit_Assumptions!$C$16)*AP255*(1+Credit_Assumptions!$C$17)^-0.5,AP255)+AP239*CHOOSE(Credit_Assumptions!$D$31,AP254*AP255*(1+Credit_Assumptions!$C$17)^-0.5,(1-Credit_Assumptions!$C$16)*AP255*(1+Credit_Assumptions!$C$17)^-0.5,AP255)+AP240*CHOOSE(Credit_Assumptions!$D$32,AP254*AP255*(1+Credit_Assumptions!$C$17)^-0.5,(1-Credit_Assumptions!$C$16)*AP255*(1+Credit_Assumptions!$C$17)^-0.5,AP255)+AP241*CHOOSE(Credit_Assumptions!$D$33,AP254*AP255*(1+Credit_Assumptions!$C$17)^-0.5,(1-Credit_Assumptions!$C$16)*AP255*(1+Credit_Assumptions!$C$17)^-0.5,AP255)</f>
        <v/>
      </c>
      <c r="AQ256" s="80">
        <f>AQ236*CHOOSE(Credit_Assumptions!$D$28,AQ254*AQ255*(1+Credit_Assumptions!$C$17)^-0.5,(1-Credit_Assumptions!$C$16)*AQ255*(1+Credit_Assumptions!$C$17)^-0.5,AQ255)+AQ237*CHOOSE(Credit_Assumptions!$D$29,AQ254*AQ255*(1+Credit_Assumptions!$C$17)^-0.5,(1-Credit_Assumptions!$C$16)*AQ255*(1+Credit_Assumptions!$C$17)^-0.5,AQ255)+AQ238*CHOOSE(Credit_Assumptions!$D$30,AQ254*AQ255*(1+Credit_Assumptions!$C$17)^-0.5,(1-Credit_Assumptions!$C$16)*AQ255*(1+Credit_Assumptions!$C$17)^-0.5,AQ255)+AQ239*CHOOSE(Credit_Assumptions!$D$31,AQ254*AQ255*(1+Credit_Assumptions!$C$17)^-0.5,(1-Credit_Assumptions!$C$16)*AQ255*(1+Credit_Assumptions!$C$17)^-0.5,AQ255)+AQ240*CHOOSE(Credit_Assumptions!$D$32,AQ254*AQ255*(1+Credit_Assumptions!$C$17)^-0.5,(1-Credit_Assumptions!$C$16)*AQ255*(1+Credit_Assumptions!$C$17)^-0.5,AQ255)+AQ241*CHOOSE(Credit_Assumptions!$D$33,AQ254*AQ255*(1+Credit_Assumptions!$C$17)^-0.5,(1-Credit_Assumptions!$C$16)*AQ255*(1+Credit_Assumptions!$C$17)^-0.5,AQ255)</f>
        <v/>
      </c>
      <c r="AR256" s="80">
        <f>AR236*CHOOSE(Credit_Assumptions!$D$28,AR254*AR255*(1+Credit_Assumptions!$C$17)^-0.5,(1-Credit_Assumptions!$C$16)*AR255*(1+Credit_Assumptions!$C$17)^-0.5,AR255)+AR237*CHOOSE(Credit_Assumptions!$D$29,AR254*AR255*(1+Credit_Assumptions!$C$17)^-0.5,(1-Credit_Assumptions!$C$16)*AR255*(1+Credit_Assumptions!$C$17)^-0.5,AR255)+AR238*CHOOSE(Credit_Assumptions!$D$30,AR254*AR255*(1+Credit_Assumptions!$C$17)^-0.5,(1-Credit_Assumptions!$C$16)*AR255*(1+Credit_Assumptions!$C$17)^-0.5,AR255)+AR239*CHOOSE(Credit_Assumptions!$D$31,AR254*AR255*(1+Credit_Assumptions!$C$17)^-0.5,(1-Credit_Assumptions!$C$16)*AR255*(1+Credit_Assumptions!$C$17)^-0.5,AR255)+AR240*CHOOSE(Credit_Assumptions!$D$32,AR254*AR255*(1+Credit_Assumptions!$C$17)^-0.5,(1-Credit_Assumptions!$C$16)*AR255*(1+Credit_Assumptions!$C$17)^-0.5,AR255)+AR241*CHOOSE(Credit_Assumptions!$D$33,AR254*AR255*(1+Credit_Assumptions!$C$17)^-0.5,(1-Credit_Assumptions!$C$16)*AR255*(1+Credit_Assumptions!$C$17)^-0.5,AR255)</f>
        <v/>
      </c>
      <c r="AS256" s="80">
        <f>AS236*CHOOSE(Credit_Assumptions!$D$28,AS254*AS255*(1+Credit_Assumptions!$C$17)^-0.5,(1-Credit_Assumptions!$C$16)*AS255*(1+Credit_Assumptions!$C$17)^-0.5,AS255)+AS237*CHOOSE(Credit_Assumptions!$D$29,AS254*AS255*(1+Credit_Assumptions!$C$17)^-0.5,(1-Credit_Assumptions!$C$16)*AS255*(1+Credit_Assumptions!$C$17)^-0.5,AS255)+AS238*CHOOSE(Credit_Assumptions!$D$30,AS254*AS255*(1+Credit_Assumptions!$C$17)^-0.5,(1-Credit_Assumptions!$C$16)*AS255*(1+Credit_Assumptions!$C$17)^-0.5,AS255)+AS239*CHOOSE(Credit_Assumptions!$D$31,AS254*AS255*(1+Credit_Assumptions!$C$17)^-0.5,(1-Credit_Assumptions!$C$16)*AS255*(1+Credit_Assumptions!$C$17)^-0.5,AS255)+AS240*CHOOSE(Credit_Assumptions!$D$32,AS254*AS255*(1+Credit_Assumptions!$C$17)^-0.5,(1-Credit_Assumptions!$C$16)*AS255*(1+Credit_Assumptions!$C$17)^-0.5,AS255)+AS241*CHOOSE(Credit_Assumptions!$D$33,AS254*AS255*(1+Credit_Assumptions!$C$17)^-0.5,(1-Credit_Assumptions!$C$16)*AS255*(1+Credit_Assumptions!$C$17)^-0.5,AS255)</f>
        <v/>
      </c>
      <c r="AT256" s="80">
        <f>AT236*CHOOSE(Credit_Assumptions!$D$28,AT254*AT255*(1+Credit_Assumptions!$C$17)^-0.5,(1-Credit_Assumptions!$C$16)*AT255*(1+Credit_Assumptions!$C$17)^-0.5,AT255)+AT237*CHOOSE(Credit_Assumptions!$D$29,AT254*AT255*(1+Credit_Assumptions!$C$17)^-0.5,(1-Credit_Assumptions!$C$16)*AT255*(1+Credit_Assumptions!$C$17)^-0.5,AT255)+AT238*CHOOSE(Credit_Assumptions!$D$30,AT254*AT255*(1+Credit_Assumptions!$C$17)^-0.5,(1-Credit_Assumptions!$C$16)*AT255*(1+Credit_Assumptions!$C$17)^-0.5,AT255)+AT239*CHOOSE(Credit_Assumptions!$D$31,AT254*AT255*(1+Credit_Assumptions!$C$17)^-0.5,(1-Credit_Assumptions!$C$16)*AT255*(1+Credit_Assumptions!$C$17)^-0.5,AT255)+AT240*CHOOSE(Credit_Assumptions!$D$32,AT254*AT255*(1+Credit_Assumptions!$C$17)^-0.5,(1-Credit_Assumptions!$C$16)*AT255*(1+Credit_Assumptions!$C$17)^-0.5,AT255)+AT241*CHOOSE(Credit_Assumptions!$D$33,AT254*AT255*(1+Credit_Assumptions!$C$17)^-0.5,(1-Credit_Assumptions!$C$16)*AT255*(1+Credit_Assumptions!$C$17)^-0.5,AT255)</f>
        <v/>
      </c>
      <c r="AU256" s="80">
        <f>AU236*CHOOSE(Credit_Assumptions!$D$28,AU254*AU255*(1+Credit_Assumptions!$C$17)^-0.5,(1-Credit_Assumptions!$C$16)*AU255*(1+Credit_Assumptions!$C$17)^-0.5,AU255)+AU237*CHOOSE(Credit_Assumptions!$D$29,AU254*AU255*(1+Credit_Assumptions!$C$17)^-0.5,(1-Credit_Assumptions!$C$16)*AU255*(1+Credit_Assumptions!$C$17)^-0.5,AU255)+AU238*CHOOSE(Credit_Assumptions!$D$30,AU254*AU255*(1+Credit_Assumptions!$C$17)^-0.5,(1-Credit_Assumptions!$C$16)*AU255*(1+Credit_Assumptions!$C$17)^-0.5,AU255)+AU239*CHOOSE(Credit_Assumptions!$D$31,AU254*AU255*(1+Credit_Assumptions!$C$17)^-0.5,(1-Credit_Assumptions!$C$16)*AU255*(1+Credit_Assumptions!$C$17)^-0.5,AU255)+AU240*CHOOSE(Credit_Assumptions!$D$32,AU254*AU255*(1+Credit_Assumptions!$C$17)^-0.5,(1-Credit_Assumptions!$C$16)*AU255*(1+Credit_Assumptions!$C$17)^-0.5,AU255)+AU241*CHOOSE(Credit_Assumptions!$D$33,AU254*AU255*(1+Credit_Assumptions!$C$17)^-0.5,(1-Credit_Assumptions!$C$16)*AU255*(1+Credit_Assumptions!$C$17)^-0.5,AU255)</f>
        <v/>
      </c>
      <c r="AV256" s="80">
        <f>AV236*CHOOSE(Credit_Assumptions!$D$28,AV254*AV255*(1+Credit_Assumptions!$C$17)^-0.5,(1-Credit_Assumptions!$C$16)*AV255*(1+Credit_Assumptions!$C$17)^-0.5,AV255)+AV237*CHOOSE(Credit_Assumptions!$D$29,AV254*AV255*(1+Credit_Assumptions!$C$17)^-0.5,(1-Credit_Assumptions!$C$16)*AV255*(1+Credit_Assumptions!$C$17)^-0.5,AV255)+AV238*CHOOSE(Credit_Assumptions!$D$30,AV254*AV255*(1+Credit_Assumptions!$C$17)^-0.5,(1-Credit_Assumptions!$C$16)*AV255*(1+Credit_Assumptions!$C$17)^-0.5,AV255)+AV239*CHOOSE(Credit_Assumptions!$D$31,AV254*AV255*(1+Credit_Assumptions!$C$17)^-0.5,(1-Credit_Assumptions!$C$16)*AV255*(1+Credit_Assumptions!$C$17)^-0.5,AV255)+AV240*CHOOSE(Credit_Assumptions!$D$32,AV254*AV255*(1+Credit_Assumptions!$C$17)^-0.5,(1-Credit_Assumptions!$C$16)*AV255*(1+Credit_Assumptions!$C$17)^-0.5,AV255)+AV241*CHOOSE(Credit_Assumptions!$D$33,AV254*AV255*(1+Credit_Assumptions!$C$17)^-0.5,(1-Credit_Assumptions!$C$16)*AV255*(1+Credit_Assumptions!$C$17)^-0.5,AV255)</f>
        <v/>
      </c>
      <c r="AW256" s="80">
        <f>AW236*CHOOSE(Credit_Assumptions!$D$28,AW254*AW255*(1+Credit_Assumptions!$C$17)^-0.5,(1-Credit_Assumptions!$C$16)*AW255*(1+Credit_Assumptions!$C$17)^-0.5,AW255)+AW237*CHOOSE(Credit_Assumptions!$D$29,AW254*AW255*(1+Credit_Assumptions!$C$17)^-0.5,(1-Credit_Assumptions!$C$16)*AW255*(1+Credit_Assumptions!$C$17)^-0.5,AW255)+AW238*CHOOSE(Credit_Assumptions!$D$30,AW254*AW255*(1+Credit_Assumptions!$C$17)^-0.5,(1-Credit_Assumptions!$C$16)*AW255*(1+Credit_Assumptions!$C$17)^-0.5,AW255)+AW239*CHOOSE(Credit_Assumptions!$D$31,AW254*AW255*(1+Credit_Assumptions!$C$17)^-0.5,(1-Credit_Assumptions!$C$16)*AW255*(1+Credit_Assumptions!$C$17)^-0.5,AW255)+AW240*CHOOSE(Credit_Assumptions!$D$32,AW254*AW255*(1+Credit_Assumptions!$C$17)^-0.5,(1-Credit_Assumptions!$C$16)*AW255*(1+Credit_Assumptions!$C$17)^-0.5,AW255)+AW241*CHOOSE(Credit_Assumptions!$D$33,AW254*AW255*(1+Credit_Assumptions!$C$17)^-0.5,(1-Credit_Assumptions!$C$16)*AW255*(1+Credit_Assumptions!$C$17)^-0.5,AW255)</f>
        <v/>
      </c>
      <c r="AX256" s="80">
        <f>AX236*CHOOSE(Credit_Assumptions!$D$28,AX254*AX255*(1+Credit_Assumptions!$C$17)^-0.5,(1-Credit_Assumptions!$C$16)*AX255*(1+Credit_Assumptions!$C$17)^-0.5,AX255)+AX237*CHOOSE(Credit_Assumptions!$D$29,AX254*AX255*(1+Credit_Assumptions!$C$17)^-0.5,(1-Credit_Assumptions!$C$16)*AX255*(1+Credit_Assumptions!$C$17)^-0.5,AX255)+AX238*CHOOSE(Credit_Assumptions!$D$30,AX254*AX255*(1+Credit_Assumptions!$C$17)^-0.5,(1-Credit_Assumptions!$C$16)*AX255*(1+Credit_Assumptions!$C$17)^-0.5,AX255)+AX239*CHOOSE(Credit_Assumptions!$D$31,AX254*AX255*(1+Credit_Assumptions!$C$17)^-0.5,(1-Credit_Assumptions!$C$16)*AX255*(1+Credit_Assumptions!$C$17)^-0.5,AX255)+AX240*CHOOSE(Credit_Assumptions!$D$32,AX254*AX255*(1+Credit_Assumptions!$C$17)^-0.5,(1-Credit_Assumptions!$C$16)*AX255*(1+Credit_Assumptions!$C$17)^-0.5,AX255)+AX241*CHOOSE(Credit_Assumptions!$D$33,AX254*AX255*(1+Credit_Assumptions!$C$17)^-0.5,(1-Credit_Assumptions!$C$16)*AX255*(1+Credit_Assumptions!$C$17)^-0.5,AX255)</f>
        <v/>
      </c>
      <c r="AY256" s="80">
        <f>AY236*CHOOSE(Credit_Assumptions!$D$28,AY254*AY255*(1+Credit_Assumptions!$C$17)^-0.5,(1-Credit_Assumptions!$C$16)*AY255*(1+Credit_Assumptions!$C$17)^-0.5,AY255)+AY237*CHOOSE(Credit_Assumptions!$D$29,AY254*AY255*(1+Credit_Assumptions!$C$17)^-0.5,(1-Credit_Assumptions!$C$16)*AY255*(1+Credit_Assumptions!$C$17)^-0.5,AY255)+AY238*CHOOSE(Credit_Assumptions!$D$30,AY254*AY255*(1+Credit_Assumptions!$C$17)^-0.5,(1-Credit_Assumptions!$C$16)*AY255*(1+Credit_Assumptions!$C$17)^-0.5,AY255)+AY239*CHOOSE(Credit_Assumptions!$D$31,AY254*AY255*(1+Credit_Assumptions!$C$17)^-0.5,(1-Credit_Assumptions!$C$16)*AY255*(1+Credit_Assumptions!$C$17)^-0.5,AY255)+AY240*CHOOSE(Credit_Assumptions!$D$32,AY254*AY255*(1+Credit_Assumptions!$C$17)^-0.5,(1-Credit_Assumptions!$C$16)*AY255*(1+Credit_Assumptions!$C$17)^-0.5,AY255)+AY241*CHOOSE(Credit_Assumptions!$D$33,AY254*AY255*(1+Credit_Assumptions!$C$17)^-0.5,(1-Credit_Assumptions!$C$16)*AY255*(1+Credit_Assumptions!$C$17)^-0.5,AY255)</f>
        <v/>
      </c>
      <c r="AZ256" s="80">
        <f>AZ236*CHOOSE(Credit_Assumptions!$D$28,AZ254*AZ255*(1+Credit_Assumptions!$C$17)^-0.5,(1-Credit_Assumptions!$C$16)*AZ255*(1+Credit_Assumptions!$C$17)^-0.5,AZ255)+AZ237*CHOOSE(Credit_Assumptions!$D$29,AZ254*AZ255*(1+Credit_Assumptions!$C$17)^-0.5,(1-Credit_Assumptions!$C$16)*AZ255*(1+Credit_Assumptions!$C$17)^-0.5,AZ255)+AZ238*CHOOSE(Credit_Assumptions!$D$30,AZ254*AZ255*(1+Credit_Assumptions!$C$17)^-0.5,(1-Credit_Assumptions!$C$16)*AZ255*(1+Credit_Assumptions!$C$17)^-0.5,AZ255)+AZ239*CHOOSE(Credit_Assumptions!$D$31,AZ254*AZ255*(1+Credit_Assumptions!$C$17)^-0.5,(1-Credit_Assumptions!$C$16)*AZ255*(1+Credit_Assumptions!$C$17)^-0.5,AZ255)+AZ240*CHOOSE(Credit_Assumptions!$D$32,AZ254*AZ255*(1+Credit_Assumptions!$C$17)^-0.5,(1-Credit_Assumptions!$C$16)*AZ255*(1+Credit_Assumptions!$C$17)^-0.5,AZ255)+AZ241*CHOOSE(Credit_Assumptions!$D$33,AZ254*AZ255*(1+Credit_Assumptions!$C$17)^-0.5,(1-Credit_Assumptions!$C$16)*AZ255*(1+Credit_Assumptions!$C$17)^-0.5,AZ255)</f>
        <v/>
      </c>
      <c r="BA256" s="80">
        <f>BA236*CHOOSE(Credit_Assumptions!$D$28,BA254*BA255*(1+Credit_Assumptions!$C$17)^-0.5,(1-Credit_Assumptions!$C$16)*BA255*(1+Credit_Assumptions!$C$17)^-0.5,BA255)+BA237*CHOOSE(Credit_Assumptions!$D$29,BA254*BA255*(1+Credit_Assumptions!$C$17)^-0.5,(1-Credit_Assumptions!$C$16)*BA255*(1+Credit_Assumptions!$C$17)^-0.5,BA255)+BA238*CHOOSE(Credit_Assumptions!$D$30,BA254*BA255*(1+Credit_Assumptions!$C$17)^-0.5,(1-Credit_Assumptions!$C$16)*BA255*(1+Credit_Assumptions!$C$17)^-0.5,BA255)+BA239*CHOOSE(Credit_Assumptions!$D$31,BA254*BA255*(1+Credit_Assumptions!$C$17)^-0.5,(1-Credit_Assumptions!$C$16)*BA255*(1+Credit_Assumptions!$C$17)^-0.5,BA255)+BA240*CHOOSE(Credit_Assumptions!$D$32,BA254*BA255*(1+Credit_Assumptions!$C$17)^-0.5,(1-Credit_Assumptions!$C$16)*BA255*(1+Credit_Assumptions!$C$17)^-0.5,BA255)+BA241*CHOOSE(Credit_Assumptions!$D$33,BA254*BA255*(1+Credit_Assumptions!$C$17)^-0.5,(1-Credit_Assumptions!$C$16)*BA255*(1+Credit_Assumptions!$C$17)^-0.5,BA255)</f>
        <v/>
      </c>
      <c r="BB256" s="80">
        <f>BB236*CHOOSE(Credit_Assumptions!$D$28,BB254*BB255*(1+Credit_Assumptions!$C$17)^-0.5,(1-Credit_Assumptions!$C$16)*BB255*(1+Credit_Assumptions!$C$17)^-0.5,BB255)+BB237*CHOOSE(Credit_Assumptions!$D$29,BB254*BB255*(1+Credit_Assumptions!$C$17)^-0.5,(1-Credit_Assumptions!$C$16)*BB255*(1+Credit_Assumptions!$C$17)^-0.5,BB255)+BB238*CHOOSE(Credit_Assumptions!$D$30,BB254*BB255*(1+Credit_Assumptions!$C$17)^-0.5,(1-Credit_Assumptions!$C$16)*BB255*(1+Credit_Assumptions!$C$17)^-0.5,BB255)+BB239*CHOOSE(Credit_Assumptions!$D$31,BB254*BB255*(1+Credit_Assumptions!$C$17)^-0.5,(1-Credit_Assumptions!$C$16)*BB255*(1+Credit_Assumptions!$C$17)^-0.5,BB255)+BB240*CHOOSE(Credit_Assumptions!$D$32,BB254*BB255*(1+Credit_Assumptions!$C$17)^-0.5,(1-Credit_Assumptions!$C$16)*BB255*(1+Credit_Assumptions!$C$17)^-0.5,BB255)+BB241*CHOOSE(Credit_Assumptions!$D$33,BB254*BB255*(1+Credit_Assumptions!$C$17)^-0.5,(1-Credit_Assumptions!$C$16)*BB255*(1+Credit_Assumptions!$C$17)^-0.5,BB255)</f>
        <v/>
      </c>
      <c r="BC256" s="80">
        <f>BC236*CHOOSE(Credit_Assumptions!$D$28,BC254*BC255*(1+Credit_Assumptions!$C$17)^-0.5,(1-Credit_Assumptions!$C$16)*BC255*(1+Credit_Assumptions!$C$17)^-0.5,BC255)+BC237*CHOOSE(Credit_Assumptions!$D$29,BC254*BC255*(1+Credit_Assumptions!$C$17)^-0.5,(1-Credit_Assumptions!$C$16)*BC255*(1+Credit_Assumptions!$C$17)^-0.5,BC255)+BC238*CHOOSE(Credit_Assumptions!$D$30,BC254*BC255*(1+Credit_Assumptions!$C$17)^-0.5,(1-Credit_Assumptions!$C$16)*BC255*(1+Credit_Assumptions!$C$17)^-0.5,BC255)+BC239*CHOOSE(Credit_Assumptions!$D$31,BC254*BC255*(1+Credit_Assumptions!$C$17)^-0.5,(1-Credit_Assumptions!$C$16)*BC255*(1+Credit_Assumptions!$C$17)^-0.5,BC255)+BC240*CHOOSE(Credit_Assumptions!$D$32,BC254*BC255*(1+Credit_Assumptions!$C$17)^-0.5,(1-Credit_Assumptions!$C$16)*BC255*(1+Credit_Assumptions!$C$17)^-0.5,BC255)+BC241*CHOOSE(Credit_Assumptions!$D$33,BC254*BC255*(1+Credit_Assumptions!$C$17)^-0.5,(1-Credit_Assumptions!$C$16)*BC255*(1+Credit_Assumptions!$C$17)^-0.5,BC255)</f>
        <v/>
      </c>
      <c r="BD256" s="80">
        <f>BD236*CHOOSE(Credit_Assumptions!$D$28,BD254*BD255*(1+Credit_Assumptions!$C$17)^-0.5,(1-Credit_Assumptions!$C$16)*BD255*(1+Credit_Assumptions!$C$17)^-0.5,BD255)+BD237*CHOOSE(Credit_Assumptions!$D$29,BD254*BD255*(1+Credit_Assumptions!$C$17)^-0.5,(1-Credit_Assumptions!$C$16)*BD255*(1+Credit_Assumptions!$C$17)^-0.5,BD255)+BD238*CHOOSE(Credit_Assumptions!$D$30,BD254*BD255*(1+Credit_Assumptions!$C$17)^-0.5,(1-Credit_Assumptions!$C$16)*BD255*(1+Credit_Assumptions!$C$17)^-0.5,BD255)+BD239*CHOOSE(Credit_Assumptions!$D$31,BD254*BD255*(1+Credit_Assumptions!$C$17)^-0.5,(1-Credit_Assumptions!$C$16)*BD255*(1+Credit_Assumptions!$C$17)^-0.5,BD255)+BD240*CHOOSE(Credit_Assumptions!$D$32,BD254*BD255*(1+Credit_Assumptions!$C$17)^-0.5,(1-Credit_Assumptions!$C$16)*BD255*(1+Credit_Assumptions!$C$17)^-0.5,BD255)+BD241*CHOOSE(Credit_Assumptions!$D$33,BD254*BD255*(1+Credit_Assumptions!$C$17)^-0.5,(1-Credit_Assumptions!$C$16)*BD255*(1+Credit_Assumptions!$C$17)^-0.5,BD255)</f>
        <v/>
      </c>
      <c r="BE256" s="80">
        <f>BE236*CHOOSE(Credit_Assumptions!$D$28,BE254*BE255*(1+Credit_Assumptions!$C$17)^-0.5,(1-Credit_Assumptions!$C$16)*BE255*(1+Credit_Assumptions!$C$17)^-0.5,BE255)+BE237*CHOOSE(Credit_Assumptions!$D$29,BE254*BE255*(1+Credit_Assumptions!$C$17)^-0.5,(1-Credit_Assumptions!$C$16)*BE255*(1+Credit_Assumptions!$C$17)^-0.5,BE255)+BE238*CHOOSE(Credit_Assumptions!$D$30,BE254*BE255*(1+Credit_Assumptions!$C$17)^-0.5,(1-Credit_Assumptions!$C$16)*BE255*(1+Credit_Assumptions!$C$17)^-0.5,BE255)+BE239*CHOOSE(Credit_Assumptions!$D$31,BE254*BE255*(1+Credit_Assumptions!$C$17)^-0.5,(1-Credit_Assumptions!$C$16)*BE255*(1+Credit_Assumptions!$C$17)^-0.5,BE255)+BE240*CHOOSE(Credit_Assumptions!$D$32,BE254*BE255*(1+Credit_Assumptions!$C$17)^-0.5,(1-Credit_Assumptions!$C$16)*BE255*(1+Credit_Assumptions!$C$17)^-0.5,BE255)+BE241*CHOOSE(Credit_Assumptions!$D$33,BE254*BE255*(1+Credit_Assumptions!$C$17)^-0.5,(1-Credit_Assumptions!$C$16)*BE255*(1+Credit_Assumptions!$C$17)^-0.5,BE255)</f>
        <v/>
      </c>
      <c r="BF256" s="80">
        <f>BF236*CHOOSE(Credit_Assumptions!$D$28,BF254*BF255*(1+Credit_Assumptions!$C$17)^-0.5,(1-Credit_Assumptions!$C$16)*BF255*(1+Credit_Assumptions!$C$17)^-0.5,BF255)+BF237*CHOOSE(Credit_Assumptions!$D$29,BF254*BF255*(1+Credit_Assumptions!$C$17)^-0.5,(1-Credit_Assumptions!$C$16)*BF255*(1+Credit_Assumptions!$C$17)^-0.5,BF255)+BF238*CHOOSE(Credit_Assumptions!$D$30,BF254*BF255*(1+Credit_Assumptions!$C$17)^-0.5,(1-Credit_Assumptions!$C$16)*BF255*(1+Credit_Assumptions!$C$17)^-0.5,BF255)+BF239*CHOOSE(Credit_Assumptions!$D$31,BF254*BF255*(1+Credit_Assumptions!$C$17)^-0.5,(1-Credit_Assumptions!$C$16)*BF255*(1+Credit_Assumptions!$C$17)^-0.5,BF255)+BF240*CHOOSE(Credit_Assumptions!$D$32,BF254*BF255*(1+Credit_Assumptions!$C$17)^-0.5,(1-Credit_Assumptions!$C$16)*BF255*(1+Credit_Assumptions!$C$17)^-0.5,BF255)+BF241*CHOOSE(Credit_Assumptions!$D$33,BF254*BF255*(1+Credit_Assumptions!$C$17)^-0.5,(1-Credit_Assumptions!$C$16)*BF255*(1+Credit_Assumptions!$C$17)^-0.5,BF255)</f>
        <v/>
      </c>
      <c r="BG256" s="80">
        <f>BG236*CHOOSE(Credit_Assumptions!$D$28,BG254*BG255*(1+Credit_Assumptions!$C$17)^-0.5,(1-Credit_Assumptions!$C$16)*BG255*(1+Credit_Assumptions!$C$17)^-0.5,BG255)+BG237*CHOOSE(Credit_Assumptions!$D$29,BG254*BG255*(1+Credit_Assumptions!$C$17)^-0.5,(1-Credit_Assumptions!$C$16)*BG255*(1+Credit_Assumptions!$C$17)^-0.5,BG255)+BG238*CHOOSE(Credit_Assumptions!$D$30,BG254*BG255*(1+Credit_Assumptions!$C$17)^-0.5,(1-Credit_Assumptions!$C$16)*BG255*(1+Credit_Assumptions!$C$17)^-0.5,BG255)+BG239*CHOOSE(Credit_Assumptions!$D$31,BG254*BG255*(1+Credit_Assumptions!$C$17)^-0.5,(1-Credit_Assumptions!$C$16)*BG255*(1+Credit_Assumptions!$C$17)^-0.5,BG255)+BG240*CHOOSE(Credit_Assumptions!$D$32,BG254*BG255*(1+Credit_Assumptions!$C$17)^-0.5,(1-Credit_Assumptions!$C$16)*BG255*(1+Credit_Assumptions!$C$17)^-0.5,BG255)+BG241*CHOOSE(Credit_Assumptions!$D$33,BG254*BG255*(1+Credit_Assumptions!$C$17)^-0.5,(1-Credit_Assumptions!$C$16)*BG255*(1+Credit_Assumptions!$C$17)^-0.5,BG255)</f>
        <v/>
      </c>
      <c r="BH256" s="80">
        <f>BH236*CHOOSE(Credit_Assumptions!$D$28,BH254*BH255*(1+Credit_Assumptions!$C$17)^-0.5,(1-Credit_Assumptions!$C$16)*BH255*(1+Credit_Assumptions!$C$17)^-0.5,BH255)+BH237*CHOOSE(Credit_Assumptions!$D$29,BH254*BH255*(1+Credit_Assumptions!$C$17)^-0.5,(1-Credit_Assumptions!$C$16)*BH255*(1+Credit_Assumptions!$C$17)^-0.5,BH255)+BH238*CHOOSE(Credit_Assumptions!$D$30,BH254*BH255*(1+Credit_Assumptions!$C$17)^-0.5,(1-Credit_Assumptions!$C$16)*BH255*(1+Credit_Assumptions!$C$17)^-0.5,BH255)+BH239*CHOOSE(Credit_Assumptions!$D$31,BH254*BH255*(1+Credit_Assumptions!$C$17)^-0.5,(1-Credit_Assumptions!$C$16)*BH255*(1+Credit_Assumptions!$C$17)^-0.5,BH255)+BH240*CHOOSE(Credit_Assumptions!$D$32,BH254*BH255*(1+Credit_Assumptions!$C$17)^-0.5,(1-Credit_Assumptions!$C$16)*BH255*(1+Credit_Assumptions!$C$17)^-0.5,BH255)+BH241*CHOOSE(Credit_Assumptions!$D$33,BH254*BH255*(1+Credit_Assumptions!$C$17)^-0.5,(1-Credit_Assumptions!$C$16)*BH255*(1+Credit_Assumptions!$C$17)^-0.5,BH255)</f>
        <v/>
      </c>
      <c r="BI256" s="80">
        <f>BI236*CHOOSE(Credit_Assumptions!$D$28,BI254*BI255*(1+Credit_Assumptions!$C$17)^-0.5,(1-Credit_Assumptions!$C$16)*BI255*(1+Credit_Assumptions!$C$17)^-0.5,BI255)+BI237*CHOOSE(Credit_Assumptions!$D$29,BI254*BI255*(1+Credit_Assumptions!$C$17)^-0.5,(1-Credit_Assumptions!$C$16)*BI255*(1+Credit_Assumptions!$C$17)^-0.5,BI255)+BI238*CHOOSE(Credit_Assumptions!$D$30,BI254*BI255*(1+Credit_Assumptions!$C$17)^-0.5,(1-Credit_Assumptions!$C$16)*BI255*(1+Credit_Assumptions!$C$17)^-0.5,BI255)+BI239*CHOOSE(Credit_Assumptions!$D$31,BI254*BI255*(1+Credit_Assumptions!$C$17)^-0.5,(1-Credit_Assumptions!$C$16)*BI255*(1+Credit_Assumptions!$C$17)^-0.5,BI255)+BI240*CHOOSE(Credit_Assumptions!$D$32,BI254*BI255*(1+Credit_Assumptions!$C$17)^-0.5,(1-Credit_Assumptions!$C$16)*BI255*(1+Credit_Assumptions!$C$17)^-0.5,BI255)+BI241*CHOOSE(Credit_Assumptions!$D$33,BI254*BI255*(1+Credit_Assumptions!$C$17)^-0.5,(1-Credit_Assumptions!$C$16)*BI255*(1+Credit_Assumptions!$C$17)^-0.5,BI255)</f>
        <v/>
      </c>
      <c r="BJ256" s="80">
        <f>BJ236*CHOOSE(Credit_Assumptions!$D$28,BJ254*BJ255*(1+Credit_Assumptions!$C$17)^-0.5,(1-Credit_Assumptions!$C$16)*BJ255*(1+Credit_Assumptions!$C$17)^-0.5,BJ255)+BJ237*CHOOSE(Credit_Assumptions!$D$29,BJ254*BJ255*(1+Credit_Assumptions!$C$17)^-0.5,(1-Credit_Assumptions!$C$16)*BJ255*(1+Credit_Assumptions!$C$17)^-0.5,BJ255)+BJ238*CHOOSE(Credit_Assumptions!$D$30,BJ254*BJ255*(1+Credit_Assumptions!$C$17)^-0.5,(1-Credit_Assumptions!$C$16)*BJ255*(1+Credit_Assumptions!$C$17)^-0.5,BJ255)+BJ239*CHOOSE(Credit_Assumptions!$D$31,BJ254*BJ255*(1+Credit_Assumptions!$C$17)^-0.5,(1-Credit_Assumptions!$C$16)*BJ255*(1+Credit_Assumptions!$C$17)^-0.5,BJ255)+BJ240*CHOOSE(Credit_Assumptions!$D$32,BJ254*BJ255*(1+Credit_Assumptions!$C$17)^-0.5,(1-Credit_Assumptions!$C$16)*BJ255*(1+Credit_Assumptions!$C$17)^-0.5,BJ255)+BJ241*CHOOSE(Credit_Assumptions!$D$33,BJ254*BJ255*(1+Credit_Assumptions!$C$17)^-0.5,(1-Credit_Assumptions!$C$16)*BJ255*(1+Credit_Assumptions!$C$17)^-0.5,BJ255)</f>
        <v/>
      </c>
      <c r="BK256" s="80">
        <f>BK236*CHOOSE(Credit_Assumptions!$D$28,BK254*BK255*(1+Credit_Assumptions!$C$17)^-0.5,(1-Credit_Assumptions!$C$16)*BK255*(1+Credit_Assumptions!$C$17)^-0.5,BK255)+BK237*CHOOSE(Credit_Assumptions!$D$29,BK254*BK255*(1+Credit_Assumptions!$C$17)^-0.5,(1-Credit_Assumptions!$C$16)*BK255*(1+Credit_Assumptions!$C$17)^-0.5,BK255)+BK238*CHOOSE(Credit_Assumptions!$D$30,BK254*BK255*(1+Credit_Assumptions!$C$17)^-0.5,(1-Credit_Assumptions!$C$16)*BK255*(1+Credit_Assumptions!$C$17)^-0.5,BK255)+BK239*CHOOSE(Credit_Assumptions!$D$31,BK254*BK255*(1+Credit_Assumptions!$C$17)^-0.5,(1-Credit_Assumptions!$C$16)*BK255*(1+Credit_Assumptions!$C$17)^-0.5,BK255)+BK240*CHOOSE(Credit_Assumptions!$D$32,BK254*BK255*(1+Credit_Assumptions!$C$17)^-0.5,(1-Credit_Assumptions!$C$16)*BK255*(1+Credit_Assumptions!$C$17)^-0.5,BK255)+BK241*CHOOSE(Credit_Assumptions!$D$33,BK254*BK255*(1+Credit_Assumptions!$C$17)^-0.5,(1-Credit_Assumptions!$C$16)*BK255*(1+Credit_Assumptions!$C$17)^-0.5,BK255)</f>
        <v/>
      </c>
      <c r="BL256" s="80">
        <f>BL236*CHOOSE(Credit_Assumptions!$D$28,BL254*BL255*(1+Credit_Assumptions!$C$17)^-0.5,(1-Credit_Assumptions!$C$16)*BL255*(1+Credit_Assumptions!$C$17)^-0.5,BL255)+BL237*CHOOSE(Credit_Assumptions!$D$29,BL254*BL255*(1+Credit_Assumptions!$C$17)^-0.5,(1-Credit_Assumptions!$C$16)*BL255*(1+Credit_Assumptions!$C$17)^-0.5,BL255)+BL238*CHOOSE(Credit_Assumptions!$D$30,BL254*BL255*(1+Credit_Assumptions!$C$17)^-0.5,(1-Credit_Assumptions!$C$16)*BL255*(1+Credit_Assumptions!$C$17)^-0.5,BL255)+BL239*CHOOSE(Credit_Assumptions!$D$31,BL254*BL255*(1+Credit_Assumptions!$C$17)^-0.5,(1-Credit_Assumptions!$C$16)*BL255*(1+Credit_Assumptions!$C$17)^-0.5,BL255)+BL240*CHOOSE(Credit_Assumptions!$D$32,BL254*BL255*(1+Credit_Assumptions!$C$17)^-0.5,(1-Credit_Assumptions!$C$16)*BL255*(1+Credit_Assumptions!$C$17)^-0.5,BL255)+BL241*CHOOSE(Credit_Assumptions!$D$33,BL254*BL255*(1+Credit_Assumptions!$C$17)^-0.5,(1-Credit_Assumptions!$C$16)*BL255*(1+Credit_Assumptions!$C$17)^-0.5,BL255)</f>
        <v/>
      </c>
    </row>
    <row r="257">
      <c r="A257" s="98" t="inlineStr">
        <is>
          <t>Eligible receivables (borrowing base)</t>
        </is>
      </c>
      <c r="B257" s="65" t="inlineStr">
        <is>
          <t>LCY</t>
        </is>
      </c>
      <c r="C257" s="105">
        <f>BL257</f>
        <v/>
      </c>
      <c r="E257" s="80">
        <f>E236*Credit_Assumptions!$E$28+E237*Credit_Assumptions!$E$29+E238*Credit_Assumptions!$E$30+E239*Credit_Assumptions!$E$31+E240*Credit_Assumptions!$E$32+E241*Credit_Assumptions!$E$33</f>
        <v/>
      </c>
      <c r="F257" s="80">
        <f>F236*Credit_Assumptions!$E$28+F237*Credit_Assumptions!$E$29+F238*Credit_Assumptions!$E$30+F239*Credit_Assumptions!$E$31+F240*Credit_Assumptions!$E$32+F241*Credit_Assumptions!$E$33</f>
        <v/>
      </c>
      <c r="G257" s="80">
        <f>G236*Credit_Assumptions!$E$28+G237*Credit_Assumptions!$E$29+G238*Credit_Assumptions!$E$30+G239*Credit_Assumptions!$E$31+G240*Credit_Assumptions!$E$32+G241*Credit_Assumptions!$E$33</f>
        <v/>
      </c>
      <c r="H257" s="80">
        <f>H236*Credit_Assumptions!$E$28+H237*Credit_Assumptions!$E$29+H238*Credit_Assumptions!$E$30+H239*Credit_Assumptions!$E$31+H240*Credit_Assumptions!$E$32+H241*Credit_Assumptions!$E$33</f>
        <v/>
      </c>
      <c r="I257" s="80">
        <f>I236*Credit_Assumptions!$E$28+I237*Credit_Assumptions!$E$29+I238*Credit_Assumptions!$E$30+I239*Credit_Assumptions!$E$31+I240*Credit_Assumptions!$E$32+I241*Credit_Assumptions!$E$33</f>
        <v/>
      </c>
      <c r="J257" s="80">
        <f>J236*Credit_Assumptions!$E$28+J237*Credit_Assumptions!$E$29+J238*Credit_Assumptions!$E$30+J239*Credit_Assumptions!$E$31+J240*Credit_Assumptions!$E$32+J241*Credit_Assumptions!$E$33</f>
        <v/>
      </c>
      <c r="K257" s="80">
        <f>K236*Credit_Assumptions!$E$28+K237*Credit_Assumptions!$E$29+K238*Credit_Assumptions!$E$30+K239*Credit_Assumptions!$E$31+K240*Credit_Assumptions!$E$32+K241*Credit_Assumptions!$E$33</f>
        <v/>
      </c>
      <c r="L257" s="80">
        <f>L236*Credit_Assumptions!$E$28+L237*Credit_Assumptions!$E$29+L238*Credit_Assumptions!$E$30+L239*Credit_Assumptions!$E$31+L240*Credit_Assumptions!$E$32+L241*Credit_Assumptions!$E$33</f>
        <v/>
      </c>
      <c r="M257" s="80">
        <f>M236*Credit_Assumptions!$E$28+M237*Credit_Assumptions!$E$29+M238*Credit_Assumptions!$E$30+M239*Credit_Assumptions!$E$31+M240*Credit_Assumptions!$E$32+M241*Credit_Assumptions!$E$33</f>
        <v/>
      </c>
      <c r="N257" s="80">
        <f>N236*Credit_Assumptions!$E$28+N237*Credit_Assumptions!$E$29+N238*Credit_Assumptions!$E$30+N239*Credit_Assumptions!$E$31+N240*Credit_Assumptions!$E$32+N241*Credit_Assumptions!$E$33</f>
        <v/>
      </c>
      <c r="O257" s="80">
        <f>O236*Credit_Assumptions!$E$28+O237*Credit_Assumptions!$E$29+O238*Credit_Assumptions!$E$30+O239*Credit_Assumptions!$E$31+O240*Credit_Assumptions!$E$32+O241*Credit_Assumptions!$E$33</f>
        <v/>
      </c>
      <c r="P257" s="80">
        <f>P236*Credit_Assumptions!$E$28+P237*Credit_Assumptions!$E$29+P238*Credit_Assumptions!$E$30+P239*Credit_Assumptions!$E$31+P240*Credit_Assumptions!$E$32+P241*Credit_Assumptions!$E$33</f>
        <v/>
      </c>
      <c r="Q257" s="80">
        <f>Q236*Credit_Assumptions!$E$28+Q237*Credit_Assumptions!$E$29+Q238*Credit_Assumptions!$E$30+Q239*Credit_Assumptions!$E$31+Q240*Credit_Assumptions!$E$32+Q241*Credit_Assumptions!$E$33</f>
        <v/>
      </c>
      <c r="R257" s="80">
        <f>R236*Credit_Assumptions!$E$28+R237*Credit_Assumptions!$E$29+R238*Credit_Assumptions!$E$30+R239*Credit_Assumptions!$E$31+R240*Credit_Assumptions!$E$32+R241*Credit_Assumptions!$E$33</f>
        <v/>
      </c>
      <c r="S257" s="80">
        <f>S236*Credit_Assumptions!$E$28+S237*Credit_Assumptions!$E$29+S238*Credit_Assumptions!$E$30+S239*Credit_Assumptions!$E$31+S240*Credit_Assumptions!$E$32+S241*Credit_Assumptions!$E$33</f>
        <v/>
      </c>
      <c r="T257" s="80">
        <f>T236*Credit_Assumptions!$E$28+T237*Credit_Assumptions!$E$29+T238*Credit_Assumptions!$E$30+T239*Credit_Assumptions!$E$31+T240*Credit_Assumptions!$E$32+T241*Credit_Assumptions!$E$33</f>
        <v/>
      </c>
      <c r="U257" s="80">
        <f>U236*Credit_Assumptions!$E$28+U237*Credit_Assumptions!$E$29+U238*Credit_Assumptions!$E$30+U239*Credit_Assumptions!$E$31+U240*Credit_Assumptions!$E$32+U241*Credit_Assumptions!$E$33</f>
        <v/>
      </c>
      <c r="V257" s="80">
        <f>V236*Credit_Assumptions!$E$28+V237*Credit_Assumptions!$E$29+V238*Credit_Assumptions!$E$30+V239*Credit_Assumptions!$E$31+V240*Credit_Assumptions!$E$32+V241*Credit_Assumptions!$E$33</f>
        <v/>
      </c>
      <c r="W257" s="80">
        <f>W236*Credit_Assumptions!$E$28+W237*Credit_Assumptions!$E$29+W238*Credit_Assumptions!$E$30+W239*Credit_Assumptions!$E$31+W240*Credit_Assumptions!$E$32+W241*Credit_Assumptions!$E$33</f>
        <v/>
      </c>
      <c r="X257" s="80">
        <f>X236*Credit_Assumptions!$E$28+X237*Credit_Assumptions!$E$29+X238*Credit_Assumptions!$E$30+X239*Credit_Assumptions!$E$31+X240*Credit_Assumptions!$E$32+X241*Credit_Assumptions!$E$33</f>
        <v/>
      </c>
      <c r="Y257" s="80">
        <f>Y236*Credit_Assumptions!$E$28+Y237*Credit_Assumptions!$E$29+Y238*Credit_Assumptions!$E$30+Y239*Credit_Assumptions!$E$31+Y240*Credit_Assumptions!$E$32+Y241*Credit_Assumptions!$E$33</f>
        <v/>
      </c>
      <c r="Z257" s="80">
        <f>Z236*Credit_Assumptions!$E$28+Z237*Credit_Assumptions!$E$29+Z238*Credit_Assumptions!$E$30+Z239*Credit_Assumptions!$E$31+Z240*Credit_Assumptions!$E$32+Z241*Credit_Assumptions!$E$33</f>
        <v/>
      </c>
      <c r="AA257" s="80">
        <f>AA236*Credit_Assumptions!$E$28+AA237*Credit_Assumptions!$E$29+AA238*Credit_Assumptions!$E$30+AA239*Credit_Assumptions!$E$31+AA240*Credit_Assumptions!$E$32+AA241*Credit_Assumptions!$E$33</f>
        <v/>
      </c>
      <c r="AB257" s="80">
        <f>AB236*Credit_Assumptions!$E$28+AB237*Credit_Assumptions!$E$29+AB238*Credit_Assumptions!$E$30+AB239*Credit_Assumptions!$E$31+AB240*Credit_Assumptions!$E$32+AB241*Credit_Assumptions!$E$33</f>
        <v/>
      </c>
      <c r="AC257" s="80">
        <f>AC236*Credit_Assumptions!$E$28+AC237*Credit_Assumptions!$E$29+AC238*Credit_Assumptions!$E$30+AC239*Credit_Assumptions!$E$31+AC240*Credit_Assumptions!$E$32+AC241*Credit_Assumptions!$E$33</f>
        <v/>
      </c>
      <c r="AD257" s="80">
        <f>AD236*Credit_Assumptions!$E$28+AD237*Credit_Assumptions!$E$29+AD238*Credit_Assumptions!$E$30+AD239*Credit_Assumptions!$E$31+AD240*Credit_Assumptions!$E$32+AD241*Credit_Assumptions!$E$33</f>
        <v/>
      </c>
      <c r="AE257" s="80">
        <f>AE236*Credit_Assumptions!$E$28+AE237*Credit_Assumptions!$E$29+AE238*Credit_Assumptions!$E$30+AE239*Credit_Assumptions!$E$31+AE240*Credit_Assumptions!$E$32+AE241*Credit_Assumptions!$E$33</f>
        <v/>
      </c>
      <c r="AF257" s="80">
        <f>AF236*Credit_Assumptions!$E$28+AF237*Credit_Assumptions!$E$29+AF238*Credit_Assumptions!$E$30+AF239*Credit_Assumptions!$E$31+AF240*Credit_Assumptions!$E$32+AF241*Credit_Assumptions!$E$33</f>
        <v/>
      </c>
      <c r="AG257" s="80">
        <f>AG236*Credit_Assumptions!$E$28+AG237*Credit_Assumptions!$E$29+AG238*Credit_Assumptions!$E$30+AG239*Credit_Assumptions!$E$31+AG240*Credit_Assumptions!$E$32+AG241*Credit_Assumptions!$E$33</f>
        <v/>
      </c>
      <c r="AH257" s="80">
        <f>AH236*Credit_Assumptions!$E$28+AH237*Credit_Assumptions!$E$29+AH238*Credit_Assumptions!$E$30+AH239*Credit_Assumptions!$E$31+AH240*Credit_Assumptions!$E$32+AH241*Credit_Assumptions!$E$33</f>
        <v/>
      </c>
      <c r="AI257" s="80">
        <f>AI236*Credit_Assumptions!$E$28+AI237*Credit_Assumptions!$E$29+AI238*Credit_Assumptions!$E$30+AI239*Credit_Assumptions!$E$31+AI240*Credit_Assumptions!$E$32+AI241*Credit_Assumptions!$E$33</f>
        <v/>
      </c>
      <c r="AJ257" s="80">
        <f>AJ236*Credit_Assumptions!$E$28+AJ237*Credit_Assumptions!$E$29+AJ238*Credit_Assumptions!$E$30+AJ239*Credit_Assumptions!$E$31+AJ240*Credit_Assumptions!$E$32+AJ241*Credit_Assumptions!$E$33</f>
        <v/>
      </c>
      <c r="AK257" s="80">
        <f>AK236*Credit_Assumptions!$E$28+AK237*Credit_Assumptions!$E$29+AK238*Credit_Assumptions!$E$30+AK239*Credit_Assumptions!$E$31+AK240*Credit_Assumptions!$E$32+AK241*Credit_Assumptions!$E$33</f>
        <v/>
      </c>
      <c r="AL257" s="80">
        <f>AL236*Credit_Assumptions!$E$28+AL237*Credit_Assumptions!$E$29+AL238*Credit_Assumptions!$E$30+AL239*Credit_Assumptions!$E$31+AL240*Credit_Assumptions!$E$32+AL241*Credit_Assumptions!$E$33</f>
        <v/>
      </c>
      <c r="AM257" s="80">
        <f>AM236*Credit_Assumptions!$E$28+AM237*Credit_Assumptions!$E$29+AM238*Credit_Assumptions!$E$30+AM239*Credit_Assumptions!$E$31+AM240*Credit_Assumptions!$E$32+AM241*Credit_Assumptions!$E$33</f>
        <v/>
      </c>
      <c r="AN257" s="80">
        <f>AN236*Credit_Assumptions!$E$28+AN237*Credit_Assumptions!$E$29+AN238*Credit_Assumptions!$E$30+AN239*Credit_Assumptions!$E$31+AN240*Credit_Assumptions!$E$32+AN241*Credit_Assumptions!$E$33</f>
        <v/>
      </c>
      <c r="AO257" s="80">
        <f>AO236*Credit_Assumptions!$E$28+AO237*Credit_Assumptions!$E$29+AO238*Credit_Assumptions!$E$30+AO239*Credit_Assumptions!$E$31+AO240*Credit_Assumptions!$E$32+AO241*Credit_Assumptions!$E$33</f>
        <v/>
      </c>
      <c r="AP257" s="80">
        <f>AP236*Credit_Assumptions!$E$28+AP237*Credit_Assumptions!$E$29+AP238*Credit_Assumptions!$E$30+AP239*Credit_Assumptions!$E$31+AP240*Credit_Assumptions!$E$32+AP241*Credit_Assumptions!$E$33</f>
        <v/>
      </c>
      <c r="AQ257" s="80">
        <f>AQ236*Credit_Assumptions!$E$28+AQ237*Credit_Assumptions!$E$29+AQ238*Credit_Assumptions!$E$30+AQ239*Credit_Assumptions!$E$31+AQ240*Credit_Assumptions!$E$32+AQ241*Credit_Assumptions!$E$33</f>
        <v/>
      </c>
      <c r="AR257" s="80">
        <f>AR236*Credit_Assumptions!$E$28+AR237*Credit_Assumptions!$E$29+AR238*Credit_Assumptions!$E$30+AR239*Credit_Assumptions!$E$31+AR240*Credit_Assumptions!$E$32+AR241*Credit_Assumptions!$E$33</f>
        <v/>
      </c>
      <c r="AS257" s="80">
        <f>AS236*Credit_Assumptions!$E$28+AS237*Credit_Assumptions!$E$29+AS238*Credit_Assumptions!$E$30+AS239*Credit_Assumptions!$E$31+AS240*Credit_Assumptions!$E$32+AS241*Credit_Assumptions!$E$33</f>
        <v/>
      </c>
      <c r="AT257" s="80">
        <f>AT236*Credit_Assumptions!$E$28+AT237*Credit_Assumptions!$E$29+AT238*Credit_Assumptions!$E$30+AT239*Credit_Assumptions!$E$31+AT240*Credit_Assumptions!$E$32+AT241*Credit_Assumptions!$E$33</f>
        <v/>
      </c>
      <c r="AU257" s="80">
        <f>AU236*Credit_Assumptions!$E$28+AU237*Credit_Assumptions!$E$29+AU238*Credit_Assumptions!$E$30+AU239*Credit_Assumptions!$E$31+AU240*Credit_Assumptions!$E$32+AU241*Credit_Assumptions!$E$33</f>
        <v/>
      </c>
      <c r="AV257" s="80">
        <f>AV236*Credit_Assumptions!$E$28+AV237*Credit_Assumptions!$E$29+AV238*Credit_Assumptions!$E$30+AV239*Credit_Assumptions!$E$31+AV240*Credit_Assumptions!$E$32+AV241*Credit_Assumptions!$E$33</f>
        <v/>
      </c>
      <c r="AW257" s="80">
        <f>AW236*Credit_Assumptions!$E$28+AW237*Credit_Assumptions!$E$29+AW238*Credit_Assumptions!$E$30+AW239*Credit_Assumptions!$E$31+AW240*Credit_Assumptions!$E$32+AW241*Credit_Assumptions!$E$33</f>
        <v/>
      </c>
      <c r="AX257" s="80">
        <f>AX236*Credit_Assumptions!$E$28+AX237*Credit_Assumptions!$E$29+AX238*Credit_Assumptions!$E$30+AX239*Credit_Assumptions!$E$31+AX240*Credit_Assumptions!$E$32+AX241*Credit_Assumptions!$E$33</f>
        <v/>
      </c>
      <c r="AY257" s="80">
        <f>AY236*Credit_Assumptions!$E$28+AY237*Credit_Assumptions!$E$29+AY238*Credit_Assumptions!$E$30+AY239*Credit_Assumptions!$E$31+AY240*Credit_Assumptions!$E$32+AY241*Credit_Assumptions!$E$33</f>
        <v/>
      </c>
      <c r="AZ257" s="80">
        <f>AZ236*Credit_Assumptions!$E$28+AZ237*Credit_Assumptions!$E$29+AZ238*Credit_Assumptions!$E$30+AZ239*Credit_Assumptions!$E$31+AZ240*Credit_Assumptions!$E$32+AZ241*Credit_Assumptions!$E$33</f>
        <v/>
      </c>
      <c r="BA257" s="80">
        <f>BA236*Credit_Assumptions!$E$28+BA237*Credit_Assumptions!$E$29+BA238*Credit_Assumptions!$E$30+BA239*Credit_Assumptions!$E$31+BA240*Credit_Assumptions!$E$32+BA241*Credit_Assumptions!$E$33</f>
        <v/>
      </c>
      <c r="BB257" s="80">
        <f>BB236*Credit_Assumptions!$E$28+BB237*Credit_Assumptions!$E$29+BB238*Credit_Assumptions!$E$30+BB239*Credit_Assumptions!$E$31+BB240*Credit_Assumptions!$E$32+BB241*Credit_Assumptions!$E$33</f>
        <v/>
      </c>
      <c r="BC257" s="80">
        <f>BC236*Credit_Assumptions!$E$28+BC237*Credit_Assumptions!$E$29+BC238*Credit_Assumptions!$E$30+BC239*Credit_Assumptions!$E$31+BC240*Credit_Assumptions!$E$32+BC241*Credit_Assumptions!$E$33</f>
        <v/>
      </c>
      <c r="BD257" s="80">
        <f>BD236*Credit_Assumptions!$E$28+BD237*Credit_Assumptions!$E$29+BD238*Credit_Assumptions!$E$30+BD239*Credit_Assumptions!$E$31+BD240*Credit_Assumptions!$E$32+BD241*Credit_Assumptions!$E$33</f>
        <v/>
      </c>
      <c r="BE257" s="80">
        <f>BE236*Credit_Assumptions!$E$28+BE237*Credit_Assumptions!$E$29+BE238*Credit_Assumptions!$E$30+BE239*Credit_Assumptions!$E$31+BE240*Credit_Assumptions!$E$32+BE241*Credit_Assumptions!$E$33</f>
        <v/>
      </c>
      <c r="BF257" s="80">
        <f>BF236*Credit_Assumptions!$E$28+BF237*Credit_Assumptions!$E$29+BF238*Credit_Assumptions!$E$30+BF239*Credit_Assumptions!$E$31+BF240*Credit_Assumptions!$E$32+BF241*Credit_Assumptions!$E$33</f>
        <v/>
      </c>
      <c r="BG257" s="80">
        <f>BG236*Credit_Assumptions!$E$28+BG237*Credit_Assumptions!$E$29+BG238*Credit_Assumptions!$E$30+BG239*Credit_Assumptions!$E$31+BG240*Credit_Assumptions!$E$32+BG241*Credit_Assumptions!$E$33</f>
        <v/>
      </c>
      <c r="BH257" s="80">
        <f>BH236*Credit_Assumptions!$E$28+BH237*Credit_Assumptions!$E$29+BH238*Credit_Assumptions!$E$30+BH239*Credit_Assumptions!$E$31+BH240*Credit_Assumptions!$E$32+BH241*Credit_Assumptions!$E$33</f>
        <v/>
      </c>
      <c r="BI257" s="80">
        <f>BI236*Credit_Assumptions!$E$28+BI237*Credit_Assumptions!$E$29+BI238*Credit_Assumptions!$E$30+BI239*Credit_Assumptions!$E$31+BI240*Credit_Assumptions!$E$32+BI241*Credit_Assumptions!$E$33</f>
        <v/>
      </c>
      <c r="BJ257" s="80">
        <f>BJ236*Credit_Assumptions!$E$28+BJ237*Credit_Assumptions!$E$29+BJ238*Credit_Assumptions!$E$30+BJ239*Credit_Assumptions!$E$31+BJ240*Credit_Assumptions!$E$32+BJ241*Credit_Assumptions!$E$33</f>
        <v/>
      </c>
      <c r="BK257" s="80">
        <f>BK236*Credit_Assumptions!$E$28+BK237*Credit_Assumptions!$E$29+BK238*Credit_Assumptions!$E$30+BK239*Credit_Assumptions!$E$31+BK240*Credit_Assumptions!$E$32+BK241*Credit_Assumptions!$E$33</f>
        <v/>
      </c>
      <c r="BL257" s="80">
        <f>BL236*Credit_Assumptions!$E$28+BL237*Credit_Assumptions!$E$29+BL238*Credit_Assumptions!$E$30+BL239*Credit_Assumptions!$E$31+BL240*Credit_Assumptions!$E$32+BL241*Credit_Assumptions!$E$33</f>
        <v/>
      </c>
    </row>
    <row r="258">
      <c r="A258" s="98" t="inlineStr">
        <is>
          <t>Borrowing-base contribution (advance rate x eligible)</t>
        </is>
      </c>
      <c r="B258" s="65" t="inlineStr">
        <is>
          <t>LCY</t>
        </is>
      </c>
      <c r="C258" s="105">
        <f>BL258</f>
        <v/>
      </c>
      <c r="E258" s="80">
        <f>E257*Products!$G$31</f>
        <v/>
      </c>
      <c r="F258" s="80">
        <f>F257*Products!$G$31</f>
        <v/>
      </c>
      <c r="G258" s="80">
        <f>G257*Products!$G$31</f>
        <v/>
      </c>
      <c r="H258" s="80">
        <f>H257*Products!$G$31</f>
        <v/>
      </c>
      <c r="I258" s="80">
        <f>I257*Products!$G$31</f>
        <v/>
      </c>
      <c r="J258" s="80">
        <f>J257*Products!$G$31</f>
        <v/>
      </c>
      <c r="K258" s="80">
        <f>K257*Products!$G$31</f>
        <v/>
      </c>
      <c r="L258" s="80">
        <f>L257*Products!$G$31</f>
        <v/>
      </c>
      <c r="M258" s="80">
        <f>M257*Products!$G$31</f>
        <v/>
      </c>
      <c r="N258" s="80">
        <f>N257*Products!$G$31</f>
        <v/>
      </c>
      <c r="O258" s="80">
        <f>O257*Products!$G$31</f>
        <v/>
      </c>
      <c r="P258" s="80">
        <f>P257*Products!$G$31</f>
        <v/>
      </c>
      <c r="Q258" s="80">
        <f>Q257*Products!$G$31</f>
        <v/>
      </c>
      <c r="R258" s="80">
        <f>R257*Products!$G$31</f>
        <v/>
      </c>
      <c r="S258" s="80">
        <f>S257*Products!$G$31</f>
        <v/>
      </c>
      <c r="T258" s="80">
        <f>T257*Products!$G$31</f>
        <v/>
      </c>
      <c r="U258" s="80">
        <f>U257*Products!$G$31</f>
        <v/>
      </c>
      <c r="V258" s="80">
        <f>V257*Products!$G$31</f>
        <v/>
      </c>
      <c r="W258" s="80">
        <f>W257*Products!$G$31</f>
        <v/>
      </c>
      <c r="X258" s="80">
        <f>X257*Products!$G$31</f>
        <v/>
      </c>
      <c r="Y258" s="80">
        <f>Y257*Products!$G$31</f>
        <v/>
      </c>
      <c r="Z258" s="80">
        <f>Z257*Products!$G$31</f>
        <v/>
      </c>
      <c r="AA258" s="80">
        <f>AA257*Products!$G$31</f>
        <v/>
      </c>
      <c r="AB258" s="80">
        <f>AB257*Products!$G$31</f>
        <v/>
      </c>
      <c r="AC258" s="80">
        <f>AC257*Products!$G$31</f>
        <v/>
      </c>
      <c r="AD258" s="80">
        <f>AD257*Products!$G$31</f>
        <v/>
      </c>
      <c r="AE258" s="80">
        <f>AE257*Products!$G$31</f>
        <v/>
      </c>
      <c r="AF258" s="80">
        <f>AF257*Products!$G$31</f>
        <v/>
      </c>
      <c r="AG258" s="80">
        <f>AG257*Products!$G$31</f>
        <v/>
      </c>
      <c r="AH258" s="80">
        <f>AH257*Products!$G$31</f>
        <v/>
      </c>
      <c r="AI258" s="80">
        <f>AI257*Products!$G$31</f>
        <v/>
      </c>
      <c r="AJ258" s="80">
        <f>AJ257*Products!$G$31</f>
        <v/>
      </c>
      <c r="AK258" s="80">
        <f>AK257*Products!$G$31</f>
        <v/>
      </c>
      <c r="AL258" s="80">
        <f>AL257*Products!$G$31</f>
        <v/>
      </c>
      <c r="AM258" s="80">
        <f>AM257*Products!$G$31</f>
        <v/>
      </c>
      <c r="AN258" s="80">
        <f>AN257*Products!$G$31</f>
        <v/>
      </c>
      <c r="AO258" s="80">
        <f>AO257*Products!$G$31</f>
        <v/>
      </c>
      <c r="AP258" s="80">
        <f>AP257*Products!$G$31</f>
        <v/>
      </c>
      <c r="AQ258" s="80">
        <f>AQ257*Products!$G$31</f>
        <v/>
      </c>
      <c r="AR258" s="80">
        <f>AR257*Products!$G$31</f>
        <v/>
      </c>
      <c r="AS258" s="80">
        <f>AS257*Products!$G$31</f>
        <v/>
      </c>
      <c r="AT258" s="80">
        <f>AT257*Products!$G$31</f>
        <v/>
      </c>
      <c r="AU258" s="80">
        <f>AU257*Products!$G$31</f>
        <v/>
      </c>
      <c r="AV258" s="80">
        <f>AV257*Products!$G$31</f>
        <v/>
      </c>
      <c r="AW258" s="80">
        <f>AW257*Products!$G$31</f>
        <v/>
      </c>
      <c r="AX258" s="80">
        <f>AX257*Products!$G$31</f>
        <v/>
      </c>
      <c r="AY258" s="80">
        <f>AY257*Products!$G$31</f>
        <v/>
      </c>
      <c r="AZ258" s="80">
        <f>AZ257*Products!$G$31</f>
        <v/>
      </c>
      <c r="BA258" s="80">
        <f>BA257*Products!$G$31</f>
        <v/>
      </c>
      <c r="BB258" s="80">
        <f>BB257*Products!$G$31</f>
        <v/>
      </c>
      <c r="BC258" s="80">
        <f>BC257*Products!$G$31</f>
        <v/>
      </c>
      <c r="BD258" s="80">
        <f>BD257*Products!$G$31</f>
        <v/>
      </c>
      <c r="BE258" s="80">
        <f>BE257*Products!$G$31</f>
        <v/>
      </c>
      <c r="BF258" s="80">
        <f>BF257*Products!$G$31</f>
        <v/>
      </c>
      <c r="BG258" s="80">
        <f>BG257*Products!$G$31</f>
        <v/>
      </c>
      <c r="BH258" s="80">
        <f>BH257*Products!$G$31</f>
        <v/>
      </c>
      <c r="BI258" s="80">
        <f>BI257*Products!$G$31</f>
        <v/>
      </c>
      <c r="BJ258" s="80">
        <f>BJ257*Products!$G$31</f>
        <v/>
      </c>
      <c r="BK258" s="80">
        <f>BK257*Products!$G$31</f>
        <v/>
      </c>
      <c r="BL258" s="80">
        <f>BL257*Products!$G$31</f>
        <v/>
      </c>
    </row>
    <row r="259">
      <c r="A259" s="98" t="inlineStr">
        <is>
          <t>Reconciliation: buckets: gross (should be 0)</t>
        </is>
      </c>
      <c r="B259" s="65" t="inlineStr">
        <is>
          <t>LCY</t>
        </is>
      </c>
      <c r="C259" s="105">
        <f>BL259</f>
        <v/>
      </c>
      <c r="E259" s="80">
        <f>ROUND(SUM(E236:E241)-E233,0)</f>
        <v/>
      </c>
      <c r="F259" s="80">
        <f>ROUND(SUM(F236:F241)-F233,0)</f>
        <v/>
      </c>
      <c r="G259" s="80">
        <f>ROUND(SUM(G236:G241)-G233,0)</f>
        <v/>
      </c>
      <c r="H259" s="80">
        <f>ROUND(SUM(H236:H241)-H233,0)</f>
        <v/>
      </c>
      <c r="I259" s="80">
        <f>ROUND(SUM(I236:I241)-I233,0)</f>
        <v/>
      </c>
      <c r="J259" s="80">
        <f>ROUND(SUM(J236:J241)-J233,0)</f>
        <v/>
      </c>
      <c r="K259" s="80">
        <f>ROUND(SUM(K236:K241)-K233,0)</f>
        <v/>
      </c>
      <c r="L259" s="80">
        <f>ROUND(SUM(L236:L241)-L233,0)</f>
        <v/>
      </c>
      <c r="M259" s="80">
        <f>ROUND(SUM(M236:M241)-M233,0)</f>
        <v/>
      </c>
      <c r="N259" s="80">
        <f>ROUND(SUM(N236:N241)-N233,0)</f>
        <v/>
      </c>
      <c r="O259" s="80">
        <f>ROUND(SUM(O236:O241)-O233,0)</f>
        <v/>
      </c>
      <c r="P259" s="80">
        <f>ROUND(SUM(P236:P241)-P233,0)</f>
        <v/>
      </c>
      <c r="Q259" s="80">
        <f>ROUND(SUM(Q236:Q241)-Q233,0)</f>
        <v/>
      </c>
      <c r="R259" s="80">
        <f>ROUND(SUM(R236:R241)-R233,0)</f>
        <v/>
      </c>
      <c r="S259" s="80">
        <f>ROUND(SUM(S236:S241)-S233,0)</f>
        <v/>
      </c>
      <c r="T259" s="80">
        <f>ROUND(SUM(T236:T241)-T233,0)</f>
        <v/>
      </c>
      <c r="U259" s="80">
        <f>ROUND(SUM(U236:U241)-U233,0)</f>
        <v/>
      </c>
      <c r="V259" s="80">
        <f>ROUND(SUM(V236:V241)-V233,0)</f>
        <v/>
      </c>
      <c r="W259" s="80">
        <f>ROUND(SUM(W236:W241)-W233,0)</f>
        <v/>
      </c>
      <c r="X259" s="80">
        <f>ROUND(SUM(X236:X241)-X233,0)</f>
        <v/>
      </c>
      <c r="Y259" s="80">
        <f>ROUND(SUM(Y236:Y241)-Y233,0)</f>
        <v/>
      </c>
      <c r="Z259" s="80">
        <f>ROUND(SUM(Z236:Z241)-Z233,0)</f>
        <v/>
      </c>
      <c r="AA259" s="80">
        <f>ROUND(SUM(AA236:AA241)-AA233,0)</f>
        <v/>
      </c>
      <c r="AB259" s="80">
        <f>ROUND(SUM(AB236:AB241)-AB233,0)</f>
        <v/>
      </c>
      <c r="AC259" s="80">
        <f>ROUND(SUM(AC236:AC241)-AC233,0)</f>
        <v/>
      </c>
      <c r="AD259" s="80">
        <f>ROUND(SUM(AD236:AD241)-AD233,0)</f>
        <v/>
      </c>
      <c r="AE259" s="80">
        <f>ROUND(SUM(AE236:AE241)-AE233,0)</f>
        <v/>
      </c>
      <c r="AF259" s="80">
        <f>ROUND(SUM(AF236:AF241)-AF233,0)</f>
        <v/>
      </c>
      <c r="AG259" s="80">
        <f>ROUND(SUM(AG236:AG241)-AG233,0)</f>
        <v/>
      </c>
      <c r="AH259" s="80">
        <f>ROUND(SUM(AH236:AH241)-AH233,0)</f>
        <v/>
      </c>
      <c r="AI259" s="80">
        <f>ROUND(SUM(AI236:AI241)-AI233,0)</f>
        <v/>
      </c>
      <c r="AJ259" s="80">
        <f>ROUND(SUM(AJ236:AJ241)-AJ233,0)</f>
        <v/>
      </c>
      <c r="AK259" s="80">
        <f>ROUND(SUM(AK236:AK241)-AK233,0)</f>
        <v/>
      </c>
      <c r="AL259" s="80">
        <f>ROUND(SUM(AL236:AL241)-AL233,0)</f>
        <v/>
      </c>
      <c r="AM259" s="80">
        <f>ROUND(SUM(AM236:AM241)-AM233,0)</f>
        <v/>
      </c>
      <c r="AN259" s="80">
        <f>ROUND(SUM(AN236:AN241)-AN233,0)</f>
        <v/>
      </c>
      <c r="AO259" s="80">
        <f>ROUND(SUM(AO236:AO241)-AO233,0)</f>
        <v/>
      </c>
      <c r="AP259" s="80">
        <f>ROUND(SUM(AP236:AP241)-AP233,0)</f>
        <v/>
      </c>
      <c r="AQ259" s="80">
        <f>ROUND(SUM(AQ236:AQ241)-AQ233,0)</f>
        <v/>
      </c>
      <c r="AR259" s="80">
        <f>ROUND(SUM(AR236:AR241)-AR233,0)</f>
        <v/>
      </c>
      <c r="AS259" s="80">
        <f>ROUND(SUM(AS236:AS241)-AS233,0)</f>
        <v/>
      </c>
      <c r="AT259" s="80">
        <f>ROUND(SUM(AT236:AT241)-AT233,0)</f>
        <v/>
      </c>
      <c r="AU259" s="80">
        <f>ROUND(SUM(AU236:AU241)-AU233,0)</f>
        <v/>
      </c>
      <c r="AV259" s="80">
        <f>ROUND(SUM(AV236:AV241)-AV233,0)</f>
        <v/>
      </c>
      <c r="AW259" s="80">
        <f>ROUND(SUM(AW236:AW241)-AW233,0)</f>
        <v/>
      </c>
      <c r="AX259" s="80">
        <f>ROUND(SUM(AX236:AX241)-AX233,0)</f>
        <v/>
      </c>
      <c r="AY259" s="80">
        <f>ROUND(SUM(AY236:AY241)-AY233,0)</f>
        <v/>
      </c>
      <c r="AZ259" s="80">
        <f>ROUND(SUM(AZ236:AZ241)-AZ233,0)</f>
        <v/>
      </c>
      <c r="BA259" s="80">
        <f>ROUND(SUM(BA236:BA241)-BA233,0)</f>
        <v/>
      </c>
      <c r="BB259" s="80">
        <f>ROUND(SUM(BB236:BB241)-BB233,0)</f>
        <v/>
      </c>
      <c r="BC259" s="80">
        <f>ROUND(SUM(BC236:BC241)-BC233,0)</f>
        <v/>
      </c>
      <c r="BD259" s="80">
        <f>ROUND(SUM(BD236:BD241)-BD233,0)</f>
        <v/>
      </c>
      <c r="BE259" s="80">
        <f>ROUND(SUM(BE236:BE241)-BE233,0)</f>
        <v/>
      </c>
      <c r="BF259" s="80">
        <f>ROUND(SUM(BF236:BF241)-BF233,0)</f>
        <v/>
      </c>
      <c r="BG259" s="80">
        <f>ROUND(SUM(BG236:BG241)-BG233,0)</f>
        <v/>
      </c>
      <c r="BH259" s="80">
        <f>ROUND(SUM(BH236:BH241)-BH233,0)</f>
        <v/>
      </c>
      <c r="BI259" s="80">
        <f>ROUND(SUM(BI236:BI241)-BI233,0)</f>
        <v/>
      </c>
      <c r="BJ259" s="80">
        <f>ROUND(SUM(BJ236:BJ241)-BJ233,0)</f>
        <v/>
      </c>
      <c r="BK259" s="80">
        <f>ROUND(SUM(BK236:BK241)-BK233,0)</f>
        <v/>
      </c>
      <c r="BL259" s="80">
        <f>ROUND(SUM(BL236:BL241)-BL233,0)</f>
        <v/>
      </c>
    </row>
    <row r="260"/>
    <row r="261">
      <c r="A261" s="21" t="inlineStr">
        <is>
          <t>Tier 5: Solar inverter + lithium (~3 kWp / 10 kWh): SELECTED (data mode)</t>
        </is>
      </c>
      <c r="B261" s="22" t="n"/>
      <c r="C261" s="22" t="n"/>
      <c r="D261" s="22" t="n"/>
      <c r="E261" s="22" t="n"/>
      <c r="F261" s="22" t="n"/>
      <c r="G261" s="22" t="n"/>
      <c r="H261" s="22" t="n"/>
      <c r="I261" s="22" t="n"/>
      <c r="J261" s="22" t="n"/>
      <c r="K261" s="22" t="n"/>
      <c r="L261" s="22" t="n"/>
      <c r="M261" s="22" t="n"/>
      <c r="N261" s="22" t="n"/>
      <c r="O261" s="22" t="n"/>
      <c r="P261" s="22" t="n"/>
      <c r="Q261" s="22" t="n"/>
      <c r="R261" s="22" t="n"/>
      <c r="S261" s="22" t="n"/>
      <c r="T261" s="22" t="n"/>
      <c r="U261" s="22" t="n"/>
      <c r="V261" s="22" t="n"/>
      <c r="W261" s="22" t="n"/>
      <c r="X261" s="22" t="n"/>
      <c r="Y261" s="22" t="n"/>
      <c r="Z261" s="22" t="n"/>
      <c r="AA261" s="22" t="n"/>
      <c r="AB261" s="22" t="n"/>
      <c r="AC261" s="22" t="n"/>
      <c r="AD261" s="22" t="n"/>
      <c r="AE261" s="22" t="n"/>
      <c r="AF261" s="22" t="n"/>
      <c r="AG261" s="22" t="n"/>
      <c r="AH261" s="22" t="n"/>
      <c r="AI261" s="22" t="n"/>
      <c r="AJ261" s="22" t="n"/>
      <c r="AK261" s="22" t="n"/>
      <c r="AL261" s="22" t="n"/>
      <c r="AM261" s="22" t="n"/>
      <c r="AN261" s="22" t="n"/>
      <c r="AO261" s="22" t="n"/>
      <c r="AP261" s="22" t="n"/>
      <c r="AQ261" s="22" t="n"/>
      <c r="AR261" s="22" t="n"/>
      <c r="AS261" s="22" t="n"/>
      <c r="AT261" s="22" t="n"/>
      <c r="AU261" s="22" t="n"/>
      <c r="AV261" s="22" t="n"/>
      <c r="AW261" s="22" t="n"/>
      <c r="AX261" s="22" t="n"/>
      <c r="AY261" s="22" t="n"/>
      <c r="AZ261" s="22" t="n"/>
      <c r="BA261" s="22" t="n"/>
      <c r="BB261" s="22" t="n"/>
      <c r="BC261" s="22" t="n"/>
      <c r="BD261" s="22" t="n"/>
      <c r="BE261" s="22" t="n"/>
      <c r="BF261" s="22" t="n"/>
      <c r="BG261" s="22" t="n"/>
      <c r="BH261" s="22" t="n"/>
      <c r="BI261" s="22" t="n"/>
      <c r="BJ261" s="22" t="n"/>
      <c r="BK261" s="22" t="n"/>
      <c r="BL261" s="22" t="n"/>
    </row>
    <row r="262">
      <c r="A262" s="98" t="inlineStr">
        <is>
          <t>Gross receivables</t>
        </is>
      </c>
      <c r="B262" s="65" t="inlineStr">
        <is>
          <t>LCY</t>
        </is>
      </c>
      <c r="C262" s="105">
        <f>BL262</f>
        <v/>
      </c>
      <c r="E262" s="80">
        <f>IF(Credit_Assumptions!$C$5=1,E233,INDEX(Credit_Input!$D$264:$D$323,E$4))</f>
        <v/>
      </c>
      <c r="F262" s="80">
        <f>IF(Credit_Assumptions!$C$5=1,F233,INDEX(Credit_Input!$D$264:$D$323,F$4))</f>
        <v/>
      </c>
      <c r="G262" s="80">
        <f>IF(Credit_Assumptions!$C$5=1,G233,INDEX(Credit_Input!$D$264:$D$323,G$4))</f>
        <v/>
      </c>
      <c r="H262" s="80">
        <f>IF(Credit_Assumptions!$C$5=1,H233,INDEX(Credit_Input!$D$264:$D$323,H$4))</f>
        <v/>
      </c>
      <c r="I262" s="80">
        <f>IF(Credit_Assumptions!$C$5=1,I233,INDEX(Credit_Input!$D$264:$D$323,I$4))</f>
        <v/>
      </c>
      <c r="J262" s="80">
        <f>IF(Credit_Assumptions!$C$5=1,J233,INDEX(Credit_Input!$D$264:$D$323,J$4))</f>
        <v/>
      </c>
      <c r="K262" s="80">
        <f>IF(Credit_Assumptions!$C$5=1,K233,INDEX(Credit_Input!$D$264:$D$323,K$4))</f>
        <v/>
      </c>
      <c r="L262" s="80">
        <f>IF(Credit_Assumptions!$C$5=1,L233,INDEX(Credit_Input!$D$264:$D$323,L$4))</f>
        <v/>
      </c>
      <c r="M262" s="80">
        <f>IF(Credit_Assumptions!$C$5=1,M233,INDEX(Credit_Input!$D$264:$D$323,M$4))</f>
        <v/>
      </c>
      <c r="N262" s="80">
        <f>IF(Credit_Assumptions!$C$5=1,N233,INDEX(Credit_Input!$D$264:$D$323,N$4))</f>
        <v/>
      </c>
      <c r="O262" s="80">
        <f>IF(Credit_Assumptions!$C$5=1,O233,INDEX(Credit_Input!$D$264:$D$323,O$4))</f>
        <v/>
      </c>
      <c r="P262" s="80">
        <f>IF(Credit_Assumptions!$C$5=1,P233,INDEX(Credit_Input!$D$264:$D$323,P$4))</f>
        <v/>
      </c>
      <c r="Q262" s="80">
        <f>IF(Credit_Assumptions!$C$5=1,Q233,INDEX(Credit_Input!$D$264:$D$323,Q$4))</f>
        <v/>
      </c>
      <c r="R262" s="80">
        <f>IF(Credit_Assumptions!$C$5=1,R233,INDEX(Credit_Input!$D$264:$D$323,R$4))</f>
        <v/>
      </c>
      <c r="S262" s="80">
        <f>IF(Credit_Assumptions!$C$5=1,S233,INDEX(Credit_Input!$D$264:$D$323,S$4))</f>
        <v/>
      </c>
      <c r="T262" s="80">
        <f>IF(Credit_Assumptions!$C$5=1,T233,INDEX(Credit_Input!$D$264:$D$323,T$4))</f>
        <v/>
      </c>
      <c r="U262" s="80">
        <f>IF(Credit_Assumptions!$C$5=1,U233,INDEX(Credit_Input!$D$264:$D$323,U$4))</f>
        <v/>
      </c>
      <c r="V262" s="80">
        <f>IF(Credit_Assumptions!$C$5=1,V233,INDEX(Credit_Input!$D$264:$D$323,V$4))</f>
        <v/>
      </c>
      <c r="W262" s="80">
        <f>IF(Credit_Assumptions!$C$5=1,W233,INDEX(Credit_Input!$D$264:$D$323,W$4))</f>
        <v/>
      </c>
      <c r="X262" s="80">
        <f>IF(Credit_Assumptions!$C$5=1,X233,INDEX(Credit_Input!$D$264:$D$323,X$4))</f>
        <v/>
      </c>
      <c r="Y262" s="80">
        <f>IF(Credit_Assumptions!$C$5=1,Y233,INDEX(Credit_Input!$D$264:$D$323,Y$4))</f>
        <v/>
      </c>
      <c r="Z262" s="80">
        <f>IF(Credit_Assumptions!$C$5=1,Z233,INDEX(Credit_Input!$D$264:$D$323,Z$4))</f>
        <v/>
      </c>
      <c r="AA262" s="80">
        <f>IF(Credit_Assumptions!$C$5=1,AA233,INDEX(Credit_Input!$D$264:$D$323,AA$4))</f>
        <v/>
      </c>
      <c r="AB262" s="80">
        <f>IF(Credit_Assumptions!$C$5=1,AB233,INDEX(Credit_Input!$D$264:$D$323,AB$4))</f>
        <v/>
      </c>
      <c r="AC262" s="80">
        <f>IF(Credit_Assumptions!$C$5=1,AC233,INDEX(Credit_Input!$D$264:$D$323,AC$4))</f>
        <v/>
      </c>
      <c r="AD262" s="80">
        <f>IF(Credit_Assumptions!$C$5=1,AD233,INDEX(Credit_Input!$D$264:$D$323,AD$4))</f>
        <v/>
      </c>
      <c r="AE262" s="80">
        <f>IF(Credit_Assumptions!$C$5=1,AE233,INDEX(Credit_Input!$D$264:$D$323,AE$4))</f>
        <v/>
      </c>
      <c r="AF262" s="80">
        <f>IF(Credit_Assumptions!$C$5=1,AF233,INDEX(Credit_Input!$D$264:$D$323,AF$4))</f>
        <v/>
      </c>
      <c r="AG262" s="80">
        <f>IF(Credit_Assumptions!$C$5=1,AG233,INDEX(Credit_Input!$D$264:$D$323,AG$4))</f>
        <v/>
      </c>
      <c r="AH262" s="80">
        <f>IF(Credit_Assumptions!$C$5=1,AH233,INDEX(Credit_Input!$D$264:$D$323,AH$4))</f>
        <v/>
      </c>
      <c r="AI262" s="80">
        <f>IF(Credit_Assumptions!$C$5=1,AI233,INDEX(Credit_Input!$D$264:$D$323,AI$4))</f>
        <v/>
      </c>
      <c r="AJ262" s="80">
        <f>IF(Credit_Assumptions!$C$5=1,AJ233,INDEX(Credit_Input!$D$264:$D$323,AJ$4))</f>
        <v/>
      </c>
      <c r="AK262" s="80">
        <f>IF(Credit_Assumptions!$C$5=1,AK233,INDEX(Credit_Input!$D$264:$D$323,AK$4))</f>
        <v/>
      </c>
      <c r="AL262" s="80">
        <f>IF(Credit_Assumptions!$C$5=1,AL233,INDEX(Credit_Input!$D$264:$D$323,AL$4))</f>
        <v/>
      </c>
      <c r="AM262" s="80">
        <f>IF(Credit_Assumptions!$C$5=1,AM233,INDEX(Credit_Input!$D$264:$D$323,AM$4))</f>
        <v/>
      </c>
      <c r="AN262" s="80">
        <f>IF(Credit_Assumptions!$C$5=1,AN233,INDEX(Credit_Input!$D$264:$D$323,AN$4))</f>
        <v/>
      </c>
      <c r="AO262" s="80">
        <f>IF(Credit_Assumptions!$C$5=1,AO233,INDEX(Credit_Input!$D$264:$D$323,AO$4))</f>
        <v/>
      </c>
      <c r="AP262" s="80">
        <f>IF(Credit_Assumptions!$C$5=1,AP233,INDEX(Credit_Input!$D$264:$D$323,AP$4))</f>
        <v/>
      </c>
      <c r="AQ262" s="80">
        <f>IF(Credit_Assumptions!$C$5=1,AQ233,INDEX(Credit_Input!$D$264:$D$323,AQ$4))</f>
        <v/>
      </c>
      <c r="AR262" s="80">
        <f>IF(Credit_Assumptions!$C$5=1,AR233,INDEX(Credit_Input!$D$264:$D$323,AR$4))</f>
        <v/>
      </c>
      <c r="AS262" s="80">
        <f>IF(Credit_Assumptions!$C$5=1,AS233,INDEX(Credit_Input!$D$264:$D$323,AS$4))</f>
        <v/>
      </c>
      <c r="AT262" s="80">
        <f>IF(Credit_Assumptions!$C$5=1,AT233,INDEX(Credit_Input!$D$264:$D$323,AT$4))</f>
        <v/>
      </c>
      <c r="AU262" s="80">
        <f>IF(Credit_Assumptions!$C$5=1,AU233,INDEX(Credit_Input!$D$264:$D$323,AU$4))</f>
        <v/>
      </c>
      <c r="AV262" s="80">
        <f>IF(Credit_Assumptions!$C$5=1,AV233,INDEX(Credit_Input!$D$264:$D$323,AV$4))</f>
        <v/>
      </c>
      <c r="AW262" s="80">
        <f>IF(Credit_Assumptions!$C$5=1,AW233,INDEX(Credit_Input!$D$264:$D$323,AW$4))</f>
        <v/>
      </c>
      <c r="AX262" s="80">
        <f>IF(Credit_Assumptions!$C$5=1,AX233,INDEX(Credit_Input!$D$264:$D$323,AX$4))</f>
        <v/>
      </c>
      <c r="AY262" s="80">
        <f>IF(Credit_Assumptions!$C$5=1,AY233,INDEX(Credit_Input!$D$264:$D$323,AY$4))</f>
        <v/>
      </c>
      <c r="AZ262" s="80">
        <f>IF(Credit_Assumptions!$C$5=1,AZ233,INDEX(Credit_Input!$D$264:$D$323,AZ$4))</f>
        <v/>
      </c>
      <c r="BA262" s="80">
        <f>IF(Credit_Assumptions!$C$5=1,BA233,INDEX(Credit_Input!$D$264:$D$323,BA$4))</f>
        <v/>
      </c>
      <c r="BB262" s="80">
        <f>IF(Credit_Assumptions!$C$5=1,BB233,INDEX(Credit_Input!$D$264:$D$323,BB$4))</f>
        <v/>
      </c>
      <c r="BC262" s="80">
        <f>IF(Credit_Assumptions!$C$5=1,BC233,INDEX(Credit_Input!$D$264:$D$323,BC$4))</f>
        <v/>
      </c>
      <c r="BD262" s="80">
        <f>IF(Credit_Assumptions!$C$5=1,BD233,INDEX(Credit_Input!$D$264:$D$323,BD$4))</f>
        <v/>
      </c>
      <c r="BE262" s="80">
        <f>IF(Credit_Assumptions!$C$5=1,BE233,INDEX(Credit_Input!$D$264:$D$323,BE$4))</f>
        <v/>
      </c>
      <c r="BF262" s="80">
        <f>IF(Credit_Assumptions!$C$5=1,BF233,INDEX(Credit_Input!$D$264:$D$323,BF$4))</f>
        <v/>
      </c>
      <c r="BG262" s="80">
        <f>IF(Credit_Assumptions!$C$5=1,BG233,INDEX(Credit_Input!$D$264:$D$323,BG$4))</f>
        <v/>
      </c>
      <c r="BH262" s="80">
        <f>IF(Credit_Assumptions!$C$5=1,BH233,INDEX(Credit_Input!$D$264:$D$323,BH$4))</f>
        <v/>
      </c>
      <c r="BI262" s="80">
        <f>IF(Credit_Assumptions!$C$5=1,BI233,INDEX(Credit_Input!$D$264:$D$323,BI$4))</f>
        <v/>
      </c>
      <c r="BJ262" s="80">
        <f>IF(Credit_Assumptions!$C$5=1,BJ233,INDEX(Credit_Input!$D$264:$D$323,BJ$4))</f>
        <v/>
      </c>
      <c r="BK262" s="80">
        <f>IF(Credit_Assumptions!$C$5=1,BK233,INDEX(Credit_Input!$D$264:$D$323,BK$4))</f>
        <v/>
      </c>
      <c r="BL262" s="80">
        <f>IF(Credit_Assumptions!$C$5=1,BL233,INDEX(Credit_Input!$D$264:$D$323,BL$4))</f>
        <v/>
      </c>
    </row>
    <row r="263">
      <c r="A263" s="98" t="inlineStr">
        <is>
          <t>Current</t>
        </is>
      </c>
      <c r="B263" s="65" t="inlineStr">
        <is>
          <t>LCY</t>
        </is>
      </c>
      <c r="C263" s="105">
        <f>BL263</f>
        <v/>
      </c>
      <c r="E263" s="80">
        <f>IF(Credit_Assumptions!$C$5=1,E236,INDEX(Credit_Input!$E$264:$E$323,E$4))</f>
        <v/>
      </c>
      <c r="F263" s="80">
        <f>IF(Credit_Assumptions!$C$5=1,F236,INDEX(Credit_Input!$E$264:$E$323,F$4))</f>
        <v/>
      </c>
      <c r="G263" s="80">
        <f>IF(Credit_Assumptions!$C$5=1,G236,INDEX(Credit_Input!$E$264:$E$323,G$4))</f>
        <v/>
      </c>
      <c r="H263" s="80">
        <f>IF(Credit_Assumptions!$C$5=1,H236,INDEX(Credit_Input!$E$264:$E$323,H$4))</f>
        <v/>
      </c>
      <c r="I263" s="80">
        <f>IF(Credit_Assumptions!$C$5=1,I236,INDEX(Credit_Input!$E$264:$E$323,I$4))</f>
        <v/>
      </c>
      <c r="J263" s="80">
        <f>IF(Credit_Assumptions!$C$5=1,J236,INDEX(Credit_Input!$E$264:$E$323,J$4))</f>
        <v/>
      </c>
      <c r="K263" s="80">
        <f>IF(Credit_Assumptions!$C$5=1,K236,INDEX(Credit_Input!$E$264:$E$323,K$4))</f>
        <v/>
      </c>
      <c r="L263" s="80">
        <f>IF(Credit_Assumptions!$C$5=1,L236,INDEX(Credit_Input!$E$264:$E$323,L$4))</f>
        <v/>
      </c>
      <c r="M263" s="80">
        <f>IF(Credit_Assumptions!$C$5=1,M236,INDEX(Credit_Input!$E$264:$E$323,M$4))</f>
        <v/>
      </c>
      <c r="N263" s="80">
        <f>IF(Credit_Assumptions!$C$5=1,N236,INDEX(Credit_Input!$E$264:$E$323,N$4))</f>
        <v/>
      </c>
      <c r="O263" s="80">
        <f>IF(Credit_Assumptions!$C$5=1,O236,INDEX(Credit_Input!$E$264:$E$323,O$4))</f>
        <v/>
      </c>
      <c r="P263" s="80">
        <f>IF(Credit_Assumptions!$C$5=1,P236,INDEX(Credit_Input!$E$264:$E$323,P$4))</f>
        <v/>
      </c>
      <c r="Q263" s="80">
        <f>IF(Credit_Assumptions!$C$5=1,Q236,INDEX(Credit_Input!$E$264:$E$323,Q$4))</f>
        <v/>
      </c>
      <c r="R263" s="80">
        <f>IF(Credit_Assumptions!$C$5=1,R236,INDEX(Credit_Input!$E$264:$E$323,R$4))</f>
        <v/>
      </c>
      <c r="S263" s="80">
        <f>IF(Credit_Assumptions!$C$5=1,S236,INDEX(Credit_Input!$E$264:$E$323,S$4))</f>
        <v/>
      </c>
      <c r="T263" s="80">
        <f>IF(Credit_Assumptions!$C$5=1,T236,INDEX(Credit_Input!$E$264:$E$323,T$4))</f>
        <v/>
      </c>
      <c r="U263" s="80">
        <f>IF(Credit_Assumptions!$C$5=1,U236,INDEX(Credit_Input!$E$264:$E$323,U$4))</f>
        <v/>
      </c>
      <c r="V263" s="80">
        <f>IF(Credit_Assumptions!$C$5=1,V236,INDEX(Credit_Input!$E$264:$E$323,V$4))</f>
        <v/>
      </c>
      <c r="W263" s="80">
        <f>IF(Credit_Assumptions!$C$5=1,W236,INDEX(Credit_Input!$E$264:$E$323,W$4))</f>
        <v/>
      </c>
      <c r="X263" s="80">
        <f>IF(Credit_Assumptions!$C$5=1,X236,INDEX(Credit_Input!$E$264:$E$323,X$4))</f>
        <v/>
      </c>
      <c r="Y263" s="80">
        <f>IF(Credit_Assumptions!$C$5=1,Y236,INDEX(Credit_Input!$E$264:$E$323,Y$4))</f>
        <v/>
      </c>
      <c r="Z263" s="80">
        <f>IF(Credit_Assumptions!$C$5=1,Z236,INDEX(Credit_Input!$E$264:$E$323,Z$4))</f>
        <v/>
      </c>
      <c r="AA263" s="80">
        <f>IF(Credit_Assumptions!$C$5=1,AA236,INDEX(Credit_Input!$E$264:$E$323,AA$4))</f>
        <v/>
      </c>
      <c r="AB263" s="80">
        <f>IF(Credit_Assumptions!$C$5=1,AB236,INDEX(Credit_Input!$E$264:$E$323,AB$4))</f>
        <v/>
      </c>
      <c r="AC263" s="80">
        <f>IF(Credit_Assumptions!$C$5=1,AC236,INDEX(Credit_Input!$E$264:$E$323,AC$4))</f>
        <v/>
      </c>
      <c r="AD263" s="80">
        <f>IF(Credit_Assumptions!$C$5=1,AD236,INDEX(Credit_Input!$E$264:$E$323,AD$4))</f>
        <v/>
      </c>
      <c r="AE263" s="80">
        <f>IF(Credit_Assumptions!$C$5=1,AE236,INDEX(Credit_Input!$E$264:$E$323,AE$4))</f>
        <v/>
      </c>
      <c r="AF263" s="80">
        <f>IF(Credit_Assumptions!$C$5=1,AF236,INDEX(Credit_Input!$E$264:$E$323,AF$4))</f>
        <v/>
      </c>
      <c r="AG263" s="80">
        <f>IF(Credit_Assumptions!$C$5=1,AG236,INDEX(Credit_Input!$E$264:$E$323,AG$4))</f>
        <v/>
      </c>
      <c r="AH263" s="80">
        <f>IF(Credit_Assumptions!$C$5=1,AH236,INDEX(Credit_Input!$E$264:$E$323,AH$4))</f>
        <v/>
      </c>
      <c r="AI263" s="80">
        <f>IF(Credit_Assumptions!$C$5=1,AI236,INDEX(Credit_Input!$E$264:$E$323,AI$4))</f>
        <v/>
      </c>
      <c r="AJ263" s="80">
        <f>IF(Credit_Assumptions!$C$5=1,AJ236,INDEX(Credit_Input!$E$264:$E$323,AJ$4))</f>
        <v/>
      </c>
      <c r="AK263" s="80">
        <f>IF(Credit_Assumptions!$C$5=1,AK236,INDEX(Credit_Input!$E$264:$E$323,AK$4))</f>
        <v/>
      </c>
      <c r="AL263" s="80">
        <f>IF(Credit_Assumptions!$C$5=1,AL236,INDEX(Credit_Input!$E$264:$E$323,AL$4))</f>
        <v/>
      </c>
      <c r="AM263" s="80">
        <f>IF(Credit_Assumptions!$C$5=1,AM236,INDEX(Credit_Input!$E$264:$E$323,AM$4))</f>
        <v/>
      </c>
      <c r="AN263" s="80">
        <f>IF(Credit_Assumptions!$C$5=1,AN236,INDEX(Credit_Input!$E$264:$E$323,AN$4))</f>
        <v/>
      </c>
      <c r="AO263" s="80">
        <f>IF(Credit_Assumptions!$C$5=1,AO236,INDEX(Credit_Input!$E$264:$E$323,AO$4))</f>
        <v/>
      </c>
      <c r="AP263" s="80">
        <f>IF(Credit_Assumptions!$C$5=1,AP236,INDEX(Credit_Input!$E$264:$E$323,AP$4))</f>
        <v/>
      </c>
      <c r="AQ263" s="80">
        <f>IF(Credit_Assumptions!$C$5=1,AQ236,INDEX(Credit_Input!$E$264:$E$323,AQ$4))</f>
        <v/>
      </c>
      <c r="AR263" s="80">
        <f>IF(Credit_Assumptions!$C$5=1,AR236,INDEX(Credit_Input!$E$264:$E$323,AR$4))</f>
        <v/>
      </c>
      <c r="AS263" s="80">
        <f>IF(Credit_Assumptions!$C$5=1,AS236,INDEX(Credit_Input!$E$264:$E$323,AS$4))</f>
        <v/>
      </c>
      <c r="AT263" s="80">
        <f>IF(Credit_Assumptions!$C$5=1,AT236,INDEX(Credit_Input!$E$264:$E$323,AT$4))</f>
        <v/>
      </c>
      <c r="AU263" s="80">
        <f>IF(Credit_Assumptions!$C$5=1,AU236,INDEX(Credit_Input!$E$264:$E$323,AU$4))</f>
        <v/>
      </c>
      <c r="AV263" s="80">
        <f>IF(Credit_Assumptions!$C$5=1,AV236,INDEX(Credit_Input!$E$264:$E$323,AV$4))</f>
        <v/>
      </c>
      <c r="AW263" s="80">
        <f>IF(Credit_Assumptions!$C$5=1,AW236,INDEX(Credit_Input!$E$264:$E$323,AW$4))</f>
        <v/>
      </c>
      <c r="AX263" s="80">
        <f>IF(Credit_Assumptions!$C$5=1,AX236,INDEX(Credit_Input!$E$264:$E$323,AX$4))</f>
        <v/>
      </c>
      <c r="AY263" s="80">
        <f>IF(Credit_Assumptions!$C$5=1,AY236,INDEX(Credit_Input!$E$264:$E$323,AY$4))</f>
        <v/>
      </c>
      <c r="AZ263" s="80">
        <f>IF(Credit_Assumptions!$C$5=1,AZ236,INDEX(Credit_Input!$E$264:$E$323,AZ$4))</f>
        <v/>
      </c>
      <c r="BA263" s="80">
        <f>IF(Credit_Assumptions!$C$5=1,BA236,INDEX(Credit_Input!$E$264:$E$323,BA$4))</f>
        <v/>
      </c>
      <c r="BB263" s="80">
        <f>IF(Credit_Assumptions!$C$5=1,BB236,INDEX(Credit_Input!$E$264:$E$323,BB$4))</f>
        <v/>
      </c>
      <c r="BC263" s="80">
        <f>IF(Credit_Assumptions!$C$5=1,BC236,INDEX(Credit_Input!$E$264:$E$323,BC$4))</f>
        <v/>
      </c>
      <c r="BD263" s="80">
        <f>IF(Credit_Assumptions!$C$5=1,BD236,INDEX(Credit_Input!$E$264:$E$323,BD$4))</f>
        <v/>
      </c>
      <c r="BE263" s="80">
        <f>IF(Credit_Assumptions!$C$5=1,BE236,INDEX(Credit_Input!$E$264:$E$323,BE$4))</f>
        <v/>
      </c>
      <c r="BF263" s="80">
        <f>IF(Credit_Assumptions!$C$5=1,BF236,INDEX(Credit_Input!$E$264:$E$323,BF$4))</f>
        <v/>
      </c>
      <c r="BG263" s="80">
        <f>IF(Credit_Assumptions!$C$5=1,BG236,INDEX(Credit_Input!$E$264:$E$323,BG$4))</f>
        <v/>
      </c>
      <c r="BH263" s="80">
        <f>IF(Credit_Assumptions!$C$5=1,BH236,INDEX(Credit_Input!$E$264:$E$323,BH$4))</f>
        <v/>
      </c>
      <c r="BI263" s="80">
        <f>IF(Credit_Assumptions!$C$5=1,BI236,INDEX(Credit_Input!$E$264:$E$323,BI$4))</f>
        <v/>
      </c>
      <c r="BJ263" s="80">
        <f>IF(Credit_Assumptions!$C$5=1,BJ236,INDEX(Credit_Input!$E$264:$E$323,BJ$4))</f>
        <v/>
      </c>
      <c r="BK263" s="80">
        <f>IF(Credit_Assumptions!$C$5=1,BK236,INDEX(Credit_Input!$E$264:$E$323,BK$4))</f>
        <v/>
      </c>
      <c r="BL263" s="80">
        <f>IF(Credit_Assumptions!$C$5=1,BL236,INDEX(Credit_Input!$E$264:$E$323,BL$4))</f>
        <v/>
      </c>
    </row>
    <row r="264">
      <c r="A264" s="98" t="inlineStr">
        <is>
          <t>1-30 DPD</t>
        </is>
      </c>
      <c r="B264" s="65" t="inlineStr">
        <is>
          <t>LCY</t>
        </is>
      </c>
      <c r="C264" s="105">
        <f>BL264</f>
        <v/>
      </c>
      <c r="E264" s="80">
        <f>IF(Credit_Assumptions!$C$5=1,E237,INDEX(Credit_Input!$F$264:$F$323,E$4))</f>
        <v/>
      </c>
      <c r="F264" s="80">
        <f>IF(Credit_Assumptions!$C$5=1,F237,INDEX(Credit_Input!$F$264:$F$323,F$4))</f>
        <v/>
      </c>
      <c r="G264" s="80">
        <f>IF(Credit_Assumptions!$C$5=1,G237,INDEX(Credit_Input!$F$264:$F$323,G$4))</f>
        <v/>
      </c>
      <c r="H264" s="80">
        <f>IF(Credit_Assumptions!$C$5=1,H237,INDEX(Credit_Input!$F$264:$F$323,H$4))</f>
        <v/>
      </c>
      <c r="I264" s="80">
        <f>IF(Credit_Assumptions!$C$5=1,I237,INDEX(Credit_Input!$F$264:$F$323,I$4))</f>
        <v/>
      </c>
      <c r="J264" s="80">
        <f>IF(Credit_Assumptions!$C$5=1,J237,INDEX(Credit_Input!$F$264:$F$323,J$4))</f>
        <v/>
      </c>
      <c r="K264" s="80">
        <f>IF(Credit_Assumptions!$C$5=1,K237,INDEX(Credit_Input!$F$264:$F$323,K$4))</f>
        <v/>
      </c>
      <c r="L264" s="80">
        <f>IF(Credit_Assumptions!$C$5=1,L237,INDEX(Credit_Input!$F$264:$F$323,L$4))</f>
        <v/>
      </c>
      <c r="M264" s="80">
        <f>IF(Credit_Assumptions!$C$5=1,M237,INDEX(Credit_Input!$F$264:$F$323,M$4))</f>
        <v/>
      </c>
      <c r="N264" s="80">
        <f>IF(Credit_Assumptions!$C$5=1,N237,INDEX(Credit_Input!$F$264:$F$323,N$4))</f>
        <v/>
      </c>
      <c r="O264" s="80">
        <f>IF(Credit_Assumptions!$C$5=1,O237,INDEX(Credit_Input!$F$264:$F$323,O$4))</f>
        <v/>
      </c>
      <c r="P264" s="80">
        <f>IF(Credit_Assumptions!$C$5=1,P237,INDEX(Credit_Input!$F$264:$F$323,P$4))</f>
        <v/>
      </c>
      <c r="Q264" s="80">
        <f>IF(Credit_Assumptions!$C$5=1,Q237,INDEX(Credit_Input!$F$264:$F$323,Q$4))</f>
        <v/>
      </c>
      <c r="R264" s="80">
        <f>IF(Credit_Assumptions!$C$5=1,R237,INDEX(Credit_Input!$F$264:$F$323,R$4))</f>
        <v/>
      </c>
      <c r="S264" s="80">
        <f>IF(Credit_Assumptions!$C$5=1,S237,INDEX(Credit_Input!$F$264:$F$323,S$4))</f>
        <v/>
      </c>
      <c r="T264" s="80">
        <f>IF(Credit_Assumptions!$C$5=1,T237,INDEX(Credit_Input!$F$264:$F$323,T$4))</f>
        <v/>
      </c>
      <c r="U264" s="80">
        <f>IF(Credit_Assumptions!$C$5=1,U237,INDEX(Credit_Input!$F$264:$F$323,U$4))</f>
        <v/>
      </c>
      <c r="V264" s="80">
        <f>IF(Credit_Assumptions!$C$5=1,V237,INDEX(Credit_Input!$F$264:$F$323,V$4))</f>
        <v/>
      </c>
      <c r="W264" s="80">
        <f>IF(Credit_Assumptions!$C$5=1,W237,INDEX(Credit_Input!$F$264:$F$323,W$4))</f>
        <v/>
      </c>
      <c r="X264" s="80">
        <f>IF(Credit_Assumptions!$C$5=1,X237,INDEX(Credit_Input!$F$264:$F$323,X$4))</f>
        <v/>
      </c>
      <c r="Y264" s="80">
        <f>IF(Credit_Assumptions!$C$5=1,Y237,INDEX(Credit_Input!$F$264:$F$323,Y$4))</f>
        <v/>
      </c>
      <c r="Z264" s="80">
        <f>IF(Credit_Assumptions!$C$5=1,Z237,INDEX(Credit_Input!$F$264:$F$323,Z$4))</f>
        <v/>
      </c>
      <c r="AA264" s="80">
        <f>IF(Credit_Assumptions!$C$5=1,AA237,INDEX(Credit_Input!$F$264:$F$323,AA$4))</f>
        <v/>
      </c>
      <c r="AB264" s="80">
        <f>IF(Credit_Assumptions!$C$5=1,AB237,INDEX(Credit_Input!$F$264:$F$323,AB$4))</f>
        <v/>
      </c>
      <c r="AC264" s="80">
        <f>IF(Credit_Assumptions!$C$5=1,AC237,INDEX(Credit_Input!$F$264:$F$323,AC$4))</f>
        <v/>
      </c>
      <c r="AD264" s="80">
        <f>IF(Credit_Assumptions!$C$5=1,AD237,INDEX(Credit_Input!$F$264:$F$323,AD$4))</f>
        <v/>
      </c>
      <c r="AE264" s="80">
        <f>IF(Credit_Assumptions!$C$5=1,AE237,INDEX(Credit_Input!$F$264:$F$323,AE$4))</f>
        <v/>
      </c>
      <c r="AF264" s="80">
        <f>IF(Credit_Assumptions!$C$5=1,AF237,INDEX(Credit_Input!$F$264:$F$323,AF$4))</f>
        <v/>
      </c>
      <c r="AG264" s="80">
        <f>IF(Credit_Assumptions!$C$5=1,AG237,INDEX(Credit_Input!$F$264:$F$323,AG$4))</f>
        <v/>
      </c>
      <c r="AH264" s="80">
        <f>IF(Credit_Assumptions!$C$5=1,AH237,INDEX(Credit_Input!$F$264:$F$323,AH$4))</f>
        <v/>
      </c>
      <c r="AI264" s="80">
        <f>IF(Credit_Assumptions!$C$5=1,AI237,INDEX(Credit_Input!$F$264:$F$323,AI$4))</f>
        <v/>
      </c>
      <c r="AJ264" s="80">
        <f>IF(Credit_Assumptions!$C$5=1,AJ237,INDEX(Credit_Input!$F$264:$F$323,AJ$4))</f>
        <v/>
      </c>
      <c r="AK264" s="80">
        <f>IF(Credit_Assumptions!$C$5=1,AK237,INDEX(Credit_Input!$F$264:$F$323,AK$4))</f>
        <v/>
      </c>
      <c r="AL264" s="80">
        <f>IF(Credit_Assumptions!$C$5=1,AL237,INDEX(Credit_Input!$F$264:$F$323,AL$4))</f>
        <v/>
      </c>
      <c r="AM264" s="80">
        <f>IF(Credit_Assumptions!$C$5=1,AM237,INDEX(Credit_Input!$F$264:$F$323,AM$4))</f>
        <v/>
      </c>
      <c r="AN264" s="80">
        <f>IF(Credit_Assumptions!$C$5=1,AN237,INDEX(Credit_Input!$F$264:$F$323,AN$4))</f>
        <v/>
      </c>
      <c r="AO264" s="80">
        <f>IF(Credit_Assumptions!$C$5=1,AO237,INDEX(Credit_Input!$F$264:$F$323,AO$4))</f>
        <v/>
      </c>
      <c r="AP264" s="80">
        <f>IF(Credit_Assumptions!$C$5=1,AP237,INDEX(Credit_Input!$F$264:$F$323,AP$4))</f>
        <v/>
      </c>
      <c r="AQ264" s="80">
        <f>IF(Credit_Assumptions!$C$5=1,AQ237,INDEX(Credit_Input!$F$264:$F$323,AQ$4))</f>
        <v/>
      </c>
      <c r="AR264" s="80">
        <f>IF(Credit_Assumptions!$C$5=1,AR237,INDEX(Credit_Input!$F$264:$F$323,AR$4))</f>
        <v/>
      </c>
      <c r="AS264" s="80">
        <f>IF(Credit_Assumptions!$C$5=1,AS237,INDEX(Credit_Input!$F$264:$F$323,AS$4))</f>
        <v/>
      </c>
      <c r="AT264" s="80">
        <f>IF(Credit_Assumptions!$C$5=1,AT237,INDEX(Credit_Input!$F$264:$F$323,AT$4))</f>
        <v/>
      </c>
      <c r="AU264" s="80">
        <f>IF(Credit_Assumptions!$C$5=1,AU237,INDEX(Credit_Input!$F$264:$F$323,AU$4))</f>
        <v/>
      </c>
      <c r="AV264" s="80">
        <f>IF(Credit_Assumptions!$C$5=1,AV237,INDEX(Credit_Input!$F$264:$F$323,AV$4))</f>
        <v/>
      </c>
      <c r="AW264" s="80">
        <f>IF(Credit_Assumptions!$C$5=1,AW237,INDEX(Credit_Input!$F$264:$F$323,AW$4))</f>
        <v/>
      </c>
      <c r="AX264" s="80">
        <f>IF(Credit_Assumptions!$C$5=1,AX237,INDEX(Credit_Input!$F$264:$F$323,AX$4))</f>
        <v/>
      </c>
      <c r="AY264" s="80">
        <f>IF(Credit_Assumptions!$C$5=1,AY237,INDEX(Credit_Input!$F$264:$F$323,AY$4))</f>
        <v/>
      </c>
      <c r="AZ264" s="80">
        <f>IF(Credit_Assumptions!$C$5=1,AZ237,INDEX(Credit_Input!$F$264:$F$323,AZ$4))</f>
        <v/>
      </c>
      <c r="BA264" s="80">
        <f>IF(Credit_Assumptions!$C$5=1,BA237,INDEX(Credit_Input!$F$264:$F$323,BA$4))</f>
        <v/>
      </c>
      <c r="BB264" s="80">
        <f>IF(Credit_Assumptions!$C$5=1,BB237,INDEX(Credit_Input!$F$264:$F$323,BB$4))</f>
        <v/>
      </c>
      <c r="BC264" s="80">
        <f>IF(Credit_Assumptions!$C$5=1,BC237,INDEX(Credit_Input!$F$264:$F$323,BC$4))</f>
        <v/>
      </c>
      <c r="BD264" s="80">
        <f>IF(Credit_Assumptions!$C$5=1,BD237,INDEX(Credit_Input!$F$264:$F$323,BD$4))</f>
        <v/>
      </c>
      <c r="BE264" s="80">
        <f>IF(Credit_Assumptions!$C$5=1,BE237,INDEX(Credit_Input!$F$264:$F$323,BE$4))</f>
        <v/>
      </c>
      <c r="BF264" s="80">
        <f>IF(Credit_Assumptions!$C$5=1,BF237,INDEX(Credit_Input!$F$264:$F$323,BF$4))</f>
        <v/>
      </c>
      <c r="BG264" s="80">
        <f>IF(Credit_Assumptions!$C$5=1,BG237,INDEX(Credit_Input!$F$264:$F$323,BG$4))</f>
        <v/>
      </c>
      <c r="BH264" s="80">
        <f>IF(Credit_Assumptions!$C$5=1,BH237,INDEX(Credit_Input!$F$264:$F$323,BH$4))</f>
        <v/>
      </c>
      <c r="BI264" s="80">
        <f>IF(Credit_Assumptions!$C$5=1,BI237,INDEX(Credit_Input!$F$264:$F$323,BI$4))</f>
        <v/>
      </c>
      <c r="BJ264" s="80">
        <f>IF(Credit_Assumptions!$C$5=1,BJ237,INDEX(Credit_Input!$F$264:$F$323,BJ$4))</f>
        <v/>
      </c>
      <c r="BK264" s="80">
        <f>IF(Credit_Assumptions!$C$5=1,BK237,INDEX(Credit_Input!$F$264:$F$323,BK$4))</f>
        <v/>
      </c>
      <c r="BL264" s="80">
        <f>IF(Credit_Assumptions!$C$5=1,BL237,INDEX(Credit_Input!$F$264:$F$323,BL$4))</f>
        <v/>
      </c>
    </row>
    <row r="265">
      <c r="A265" s="98" t="inlineStr">
        <is>
          <t>31-60 DPD</t>
        </is>
      </c>
      <c r="B265" s="65" t="inlineStr">
        <is>
          <t>LCY</t>
        </is>
      </c>
      <c r="C265" s="105">
        <f>BL265</f>
        <v/>
      </c>
      <c r="E265" s="80">
        <f>IF(Credit_Assumptions!$C$5=1,E238,INDEX(Credit_Input!$G$264:$G$323,E$4))</f>
        <v/>
      </c>
      <c r="F265" s="80">
        <f>IF(Credit_Assumptions!$C$5=1,F238,INDEX(Credit_Input!$G$264:$G$323,F$4))</f>
        <v/>
      </c>
      <c r="G265" s="80">
        <f>IF(Credit_Assumptions!$C$5=1,G238,INDEX(Credit_Input!$G$264:$G$323,G$4))</f>
        <v/>
      </c>
      <c r="H265" s="80">
        <f>IF(Credit_Assumptions!$C$5=1,H238,INDEX(Credit_Input!$G$264:$G$323,H$4))</f>
        <v/>
      </c>
      <c r="I265" s="80">
        <f>IF(Credit_Assumptions!$C$5=1,I238,INDEX(Credit_Input!$G$264:$G$323,I$4))</f>
        <v/>
      </c>
      <c r="J265" s="80">
        <f>IF(Credit_Assumptions!$C$5=1,J238,INDEX(Credit_Input!$G$264:$G$323,J$4))</f>
        <v/>
      </c>
      <c r="K265" s="80">
        <f>IF(Credit_Assumptions!$C$5=1,K238,INDEX(Credit_Input!$G$264:$G$323,K$4))</f>
        <v/>
      </c>
      <c r="L265" s="80">
        <f>IF(Credit_Assumptions!$C$5=1,L238,INDEX(Credit_Input!$G$264:$G$323,L$4))</f>
        <v/>
      </c>
      <c r="M265" s="80">
        <f>IF(Credit_Assumptions!$C$5=1,M238,INDEX(Credit_Input!$G$264:$G$323,M$4))</f>
        <v/>
      </c>
      <c r="N265" s="80">
        <f>IF(Credit_Assumptions!$C$5=1,N238,INDEX(Credit_Input!$G$264:$G$323,N$4))</f>
        <v/>
      </c>
      <c r="O265" s="80">
        <f>IF(Credit_Assumptions!$C$5=1,O238,INDEX(Credit_Input!$G$264:$G$323,O$4))</f>
        <v/>
      </c>
      <c r="P265" s="80">
        <f>IF(Credit_Assumptions!$C$5=1,P238,INDEX(Credit_Input!$G$264:$G$323,P$4))</f>
        <v/>
      </c>
      <c r="Q265" s="80">
        <f>IF(Credit_Assumptions!$C$5=1,Q238,INDEX(Credit_Input!$G$264:$G$323,Q$4))</f>
        <v/>
      </c>
      <c r="R265" s="80">
        <f>IF(Credit_Assumptions!$C$5=1,R238,INDEX(Credit_Input!$G$264:$G$323,R$4))</f>
        <v/>
      </c>
      <c r="S265" s="80">
        <f>IF(Credit_Assumptions!$C$5=1,S238,INDEX(Credit_Input!$G$264:$G$323,S$4))</f>
        <v/>
      </c>
      <c r="T265" s="80">
        <f>IF(Credit_Assumptions!$C$5=1,T238,INDEX(Credit_Input!$G$264:$G$323,T$4))</f>
        <v/>
      </c>
      <c r="U265" s="80">
        <f>IF(Credit_Assumptions!$C$5=1,U238,INDEX(Credit_Input!$G$264:$G$323,U$4))</f>
        <v/>
      </c>
      <c r="V265" s="80">
        <f>IF(Credit_Assumptions!$C$5=1,V238,INDEX(Credit_Input!$G$264:$G$323,V$4))</f>
        <v/>
      </c>
      <c r="W265" s="80">
        <f>IF(Credit_Assumptions!$C$5=1,W238,INDEX(Credit_Input!$G$264:$G$323,W$4))</f>
        <v/>
      </c>
      <c r="X265" s="80">
        <f>IF(Credit_Assumptions!$C$5=1,X238,INDEX(Credit_Input!$G$264:$G$323,X$4))</f>
        <v/>
      </c>
      <c r="Y265" s="80">
        <f>IF(Credit_Assumptions!$C$5=1,Y238,INDEX(Credit_Input!$G$264:$G$323,Y$4))</f>
        <v/>
      </c>
      <c r="Z265" s="80">
        <f>IF(Credit_Assumptions!$C$5=1,Z238,INDEX(Credit_Input!$G$264:$G$323,Z$4))</f>
        <v/>
      </c>
      <c r="AA265" s="80">
        <f>IF(Credit_Assumptions!$C$5=1,AA238,INDEX(Credit_Input!$G$264:$G$323,AA$4))</f>
        <v/>
      </c>
      <c r="AB265" s="80">
        <f>IF(Credit_Assumptions!$C$5=1,AB238,INDEX(Credit_Input!$G$264:$G$323,AB$4))</f>
        <v/>
      </c>
      <c r="AC265" s="80">
        <f>IF(Credit_Assumptions!$C$5=1,AC238,INDEX(Credit_Input!$G$264:$G$323,AC$4))</f>
        <v/>
      </c>
      <c r="AD265" s="80">
        <f>IF(Credit_Assumptions!$C$5=1,AD238,INDEX(Credit_Input!$G$264:$G$323,AD$4))</f>
        <v/>
      </c>
      <c r="AE265" s="80">
        <f>IF(Credit_Assumptions!$C$5=1,AE238,INDEX(Credit_Input!$G$264:$G$323,AE$4))</f>
        <v/>
      </c>
      <c r="AF265" s="80">
        <f>IF(Credit_Assumptions!$C$5=1,AF238,INDEX(Credit_Input!$G$264:$G$323,AF$4))</f>
        <v/>
      </c>
      <c r="AG265" s="80">
        <f>IF(Credit_Assumptions!$C$5=1,AG238,INDEX(Credit_Input!$G$264:$G$323,AG$4))</f>
        <v/>
      </c>
      <c r="AH265" s="80">
        <f>IF(Credit_Assumptions!$C$5=1,AH238,INDEX(Credit_Input!$G$264:$G$323,AH$4))</f>
        <v/>
      </c>
      <c r="AI265" s="80">
        <f>IF(Credit_Assumptions!$C$5=1,AI238,INDEX(Credit_Input!$G$264:$G$323,AI$4))</f>
        <v/>
      </c>
      <c r="AJ265" s="80">
        <f>IF(Credit_Assumptions!$C$5=1,AJ238,INDEX(Credit_Input!$G$264:$G$323,AJ$4))</f>
        <v/>
      </c>
      <c r="AK265" s="80">
        <f>IF(Credit_Assumptions!$C$5=1,AK238,INDEX(Credit_Input!$G$264:$G$323,AK$4))</f>
        <v/>
      </c>
      <c r="AL265" s="80">
        <f>IF(Credit_Assumptions!$C$5=1,AL238,INDEX(Credit_Input!$G$264:$G$323,AL$4))</f>
        <v/>
      </c>
      <c r="AM265" s="80">
        <f>IF(Credit_Assumptions!$C$5=1,AM238,INDEX(Credit_Input!$G$264:$G$323,AM$4))</f>
        <v/>
      </c>
      <c r="AN265" s="80">
        <f>IF(Credit_Assumptions!$C$5=1,AN238,INDEX(Credit_Input!$G$264:$G$323,AN$4))</f>
        <v/>
      </c>
      <c r="AO265" s="80">
        <f>IF(Credit_Assumptions!$C$5=1,AO238,INDEX(Credit_Input!$G$264:$G$323,AO$4))</f>
        <v/>
      </c>
      <c r="AP265" s="80">
        <f>IF(Credit_Assumptions!$C$5=1,AP238,INDEX(Credit_Input!$G$264:$G$323,AP$4))</f>
        <v/>
      </c>
      <c r="AQ265" s="80">
        <f>IF(Credit_Assumptions!$C$5=1,AQ238,INDEX(Credit_Input!$G$264:$G$323,AQ$4))</f>
        <v/>
      </c>
      <c r="AR265" s="80">
        <f>IF(Credit_Assumptions!$C$5=1,AR238,INDEX(Credit_Input!$G$264:$G$323,AR$4))</f>
        <v/>
      </c>
      <c r="AS265" s="80">
        <f>IF(Credit_Assumptions!$C$5=1,AS238,INDEX(Credit_Input!$G$264:$G$323,AS$4))</f>
        <v/>
      </c>
      <c r="AT265" s="80">
        <f>IF(Credit_Assumptions!$C$5=1,AT238,INDEX(Credit_Input!$G$264:$G$323,AT$4))</f>
        <v/>
      </c>
      <c r="AU265" s="80">
        <f>IF(Credit_Assumptions!$C$5=1,AU238,INDEX(Credit_Input!$G$264:$G$323,AU$4))</f>
        <v/>
      </c>
      <c r="AV265" s="80">
        <f>IF(Credit_Assumptions!$C$5=1,AV238,INDEX(Credit_Input!$G$264:$G$323,AV$4))</f>
        <v/>
      </c>
      <c r="AW265" s="80">
        <f>IF(Credit_Assumptions!$C$5=1,AW238,INDEX(Credit_Input!$G$264:$G$323,AW$4))</f>
        <v/>
      </c>
      <c r="AX265" s="80">
        <f>IF(Credit_Assumptions!$C$5=1,AX238,INDEX(Credit_Input!$G$264:$G$323,AX$4))</f>
        <v/>
      </c>
      <c r="AY265" s="80">
        <f>IF(Credit_Assumptions!$C$5=1,AY238,INDEX(Credit_Input!$G$264:$G$323,AY$4))</f>
        <v/>
      </c>
      <c r="AZ265" s="80">
        <f>IF(Credit_Assumptions!$C$5=1,AZ238,INDEX(Credit_Input!$G$264:$G$323,AZ$4))</f>
        <v/>
      </c>
      <c r="BA265" s="80">
        <f>IF(Credit_Assumptions!$C$5=1,BA238,INDEX(Credit_Input!$G$264:$G$323,BA$4))</f>
        <v/>
      </c>
      <c r="BB265" s="80">
        <f>IF(Credit_Assumptions!$C$5=1,BB238,INDEX(Credit_Input!$G$264:$G$323,BB$4))</f>
        <v/>
      </c>
      <c r="BC265" s="80">
        <f>IF(Credit_Assumptions!$C$5=1,BC238,INDEX(Credit_Input!$G$264:$G$323,BC$4))</f>
        <v/>
      </c>
      <c r="BD265" s="80">
        <f>IF(Credit_Assumptions!$C$5=1,BD238,INDEX(Credit_Input!$G$264:$G$323,BD$4))</f>
        <v/>
      </c>
      <c r="BE265" s="80">
        <f>IF(Credit_Assumptions!$C$5=1,BE238,INDEX(Credit_Input!$G$264:$G$323,BE$4))</f>
        <v/>
      </c>
      <c r="BF265" s="80">
        <f>IF(Credit_Assumptions!$C$5=1,BF238,INDEX(Credit_Input!$G$264:$G$323,BF$4))</f>
        <v/>
      </c>
      <c r="BG265" s="80">
        <f>IF(Credit_Assumptions!$C$5=1,BG238,INDEX(Credit_Input!$G$264:$G$323,BG$4))</f>
        <v/>
      </c>
      <c r="BH265" s="80">
        <f>IF(Credit_Assumptions!$C$5=1,BH238,INDEX(Credit_Input!$G$264:$G$323,BH$4))</f>
        <v/>
      </c>
      <c r="BI265" s="80">
        <f>IF(Credit_Assumptions!$C$5=1,BI238,INDEX(Credit_Input!$G$264:$G$323,BI$4))</f>
        <v/>
      </c>
      <c r="BJ265" s="80">
        <f>IF(Credit_Assumptions!$C$5=1,BJ238,INDEX(Credit_Input!$G$264:$G$323,BJ$4))</f>
        <v/>
      </c>
      <c r="BK265" s="80">
        <f>IF(Credit_Assumptions!$C$5=1,BK238,INDEX(Credit_Input!$G$264:$G$323,BK$4))</f>
        <v/>
      </c>
      <c r="BL265" s="80">
        <f>IF(Credit_Assumptions!$C$5=1,BL238,INDEX(Credit_Input!$G$264:$G$323,BL$4))</f>
        <v/>
      </c>
    </row>
    <row r="266">
      <c r="A266" s="98" t="inlineStr">
        <is>
          <t>61-90 DPD</t>
        </is>
      </c>
      <c r="B266" s="65" t="inlineStr">
        <is>
          <t>LCY</t>
        </is>
      </c>
      <c r="C266" s="105">
        <f>BL266</f>
        <v/>
      </c>
      <c r="E266" s="80">
        <f>IF(Credit_Assumptions!$C$5=1,E239,INDEX(Credit_Input!$H$264:$H$323,E$4))</f>
        <v/>
      </c>
      <c r="F266" s="80">
        <f>IF(Credit_Assumptions!$C$5=1,F239,INDEX(Credit_Input!$H$264:$H$323,F$4))</f>
        <v/>
      </c>
      <c r="G266" s="80">
        <f>IF(Credit_Assumptions!$C$5=1,G239,INDEX(Credit_Input!$H$264:$H$323,G$4))</f>
        <v/>
      </c>
      <c r="H266" s="80">
        <f>IF(Credit_Assumptions!$C$5=1,H239,INDEX(Credit_Input!$H$264:$H$323,H$4))</f>
        <v/>
      </c>
      <c r="I266" s="80">
        <f>IF(Credit_Assumptions!$C$5=1,I239,INDEX(Credit_Input!$H$264:$H$323,I$4))</f>
        <v/>
      </c>
      <c r="J266" s="80">
        <f>IF(Credit_Assumptions!$C$5=1,J239,INDEX(Credit_Input!$H$264:$H$323,J$4))</f>
        <v/>
      </c>
      <c r="K266" s="80">
        <f>IF(Credit_Assumptions!$C$5=1,K239,INDEX(Credit_Input!$H$264:$H$323,K$4))</f>
        <v/>
      </c>
      <c r="L266" s="80">
        <f>IF(Credit_Assumptions!$C$5=1,L239,INDEX(Credit_Input!$H$264:$H$323,L$4))</f>
        <v/>
      </c>
      <c r="M266" s="80">
        <f>IF(Credit_Assumptions!$C$5=1,M239,INDEX(Credit_Input!$H$264:$H$323,M$4))</f>
        <v/>
      </c>
      <c r="N266" s="80">
        <f>IF(Credit_Assumptions!$C$5=1,N239,INDEX(Credit_Input!$H$264:$H$323,N$4))</f>
        <v/>
      </c>
      <c r="O266" s="80">
        <f>IF(Credit_Assumptions!$C$5=1,O239,INDEX(Credit_Input!$H$264:$H$323,O$4))</f>
        <v/>
      </c>
      <c r="P266" s="80">
        <f>IF(Credit_Assumptions!$C$5=1,P239,INDEX(Credit_Input!$H$264:$H$323,P$4))</f>
        <v/>
      </c>
      <c r="Q266" s="80">
        <f>IF(Credit_Assumptions!$C$5=1,Q239,INDEX(Credit_Input!$H$264:$H$323,Q$4))</f>
        <v/>
      </c>
      <c r="R266" s="80">
        <f>IF(Credit_Assumptions!$C$5=1,R239,INDEX(Credit_Input!$H$264:$H$323,R$4))</f>
        <v/>
      </c>
      <c r="S266" s="80">
        <f>IF(Credit_Assumptions!$C$5=1,S239,INDEX(Credit_Input!$H$264:$H$323,S$4))</f>
        <v/>
      </c>
      <c r="T266" s="80">
        <f>IF(Credit_Assumptions!$C$5=1,T239,INDEX(Credit_Input!$H$264:$H$323,T$4))</f>
        <v/>
      </c>
      <c r="U266" s="80">
        <f>IF(Credit_Assumptions!$C$5=1,U239,INDEX(Credit_Input!$H$264:$H$323,U$4))</f>
        <v/>
      </c>
      <c r="V266" s="80">
        <f>IF(Credit_Assumptions!$C$5=1,V239,INDEX(Credit_Input!$H$264:$H$323,V$4))</f>
        <v/>
      </c>
      <c r="W266" s="80">
        <f>IF(Credit_Assumptions!$C$5=1,W239,INDEX(Credit_Input!$H$264:$H$323,W$4))</f>
        <v/>
      </c>
      <c r="X266" s="80">
        <f>IF(Credit_Assumptions!$C$5=1,X239,INDEX(Credit_Input!$H$264:$H$323,X$4))</f>
        <v/>
      </c>
      <c r="Y266" s="80">
        <f>IF(Credit_Assumptions!$C$5=1,Y239,INDEX(Credit_Input!$H$264:$H$323,Y$4))</f>
        <v/>
      </c>
      <c r="Z266" s="80">
        <f>IF(Credit_Assumptions!$C$5=1,Z239,INDEX(Credit_Input!$H$264:$H$323,Z$4))</f>
        <v/>
      </c>
      <c r="AA266" s="80">
        <f>IF(Credit_Assumptions!$C$5=1,AA239,INDEX(Credit_Input!$H$264:$H$323,AA$4))</f>
        <v/>
      </c>
      <c r="AB266" s="80">
        <f>IF(Credit_Assumptions!$C$5=1,AB239,INDEX(Credit_Input!$H$264:$H$323,AB$4))</f>
        <v/>
      </c>
      <c r="AC266" s="80">
        <f>IF(Credit_Assumptions!$C$5=1,AC239,INDEX(Credit_Input!$H$264:$H$323,AC$4))</f>
        <v/>
      </c>
      <c r="AD266" s="80">
        <f>IF(Credit_Assumptions!$C$5=1,AD239,INDEX(Credit_Input!$H$264:$H$323,AD$4))</f>
        <v/>
      </c>
      <c r="AE266" s="80">
        <f>IF(Credit_Assumptions!$C$5=1,AE239,INDEX(Credit_Input!$H$264:$H$323,AE$4))</f>
        <v/>
      </c>
      <c r="AF266" s="80">
        <f>IF(Credit_Assumptions!$C$5=1,AF239,INDEX(Credit_Input!$H$264:$H$323,AF$4))</f>
        <v/>
      </c>
      <c r="AG266" s="80">
        <f>IF(Credit_Assumptions!$C$5=1,AG239,INDEX(Credit_Input!$H$264:$H$323,AG$4))</f>
        <v/>
      </c>
      <c r="AH266" s="80">
        <f>IF(Credit_Assumptions!$C$5=1,AH239,INDEX(Credit_Input!$H$264:$H$323,AH$4))</f>
        <v/>
      </c>
      <c r="AI266" s="80">
        <f>IF(Credit_Assumptions!$C$5=1,AI239,INDEX(Credit_Input!$H$264:$H$323,AI$4))</f>
        <v/>
      </c>
      <c r="AJ266" s="80">
        <f>IF(Credit_Assumptions!$C$5=1,AJ239,INDEX(Credit_Input!$H$264:$H$323,AJ$4))</f>
        <v/>
      </c>
      <c r="AK266" s="80">
        <f>IF(Credit_Assumptions!$C$5=1,AK239,INDEX(Credit_Input!$H$264:$H$323,AK$4))</f>
        <v/>
      </c>
      <c r="AL266" s="80">
        <f>IF(Credit_Assumptions!$C$5=1,AL239,INDEX(Credit_Input!$H$264:$H$323,AL$4))</f>
        <v/>
      </c>
      <c r="AM266" s="80">
        <f>IF(Credit_Assumptions!$C$5=1,AM239,INDEX(Credit_Input!$H$264:$H$323,AM$4))</f>
        <v/>
      </c>
      <c r="AN266" s="80">
        <f>IF(Credit_Assumptions!$C$5=1,AN239,INDEX(Credit_Input!$H$264:$H$323,AN$4))</f>
        <v/>
      </c>
      <c r="AO266" s="80">
        <f>IF(Credit_Assumptions!$C$5=1,AO239,INDEX(Credit_Input!$H$264:$H$323,AO$4))</f>
        <v/>
      </c>
      <c r="AP266" s="80">
        <f>IF(Credit_Assumptions!$C$5=1,AP239,INDEX(Credit_Input!$H$264:$H$323,AP$4))</f>
        <v/>
      </c>
      <c r="AQ266" s="80">
        <f>IF(Credit_Assumptions!$C$5=1,AQ239,INDEX(Credit_Input!$H$264:$H$323,AQ$4))</f>
        <v/>
      </c>
      <c r="AR266" s="80">
        <f>IF(Credit_Assumptions!$C$5=1,AR239,INDEX(Credit_Input!$H$264:$H$323,AR$4))</f>
        <v/>
      </c>
      <c r="AS266" s="80">
        <f>IF(Credit_Assumptions!$C$5=1,AS239,INDEX(Credit_Input!$H$264:$H$323,AS$4))</f>
        <v/>
      </c>
      <c r="AT266" s="80">
        <f>IF(Credit_Assumptions!$C$5=1,AT239,INDEX(Credit_Input!$H$264:$H$323,AT$4))</f>
        <v/>
      </c>
      <c r="AU266" s="80">
        <f>IF(Credit_Assumptions!$C$5=1,AU239,INDEX(Credit_Input!$H$264:$H$323,AU$4))</f>
        <v/>
      </c>
      <c r="AV266" s="80">
        <f>IF(Credit_Assumptions!$C$5=1,AV239,INDEX(Credit_Input!$H$264:$H$323,AV$4))</f>
        <v/>
      </c>
      <c r="AW266" s="80">
        <f>IF(Credit_Assumptions!$C$5=1,AW239,INDEX(Credit_Input!$H$264:$H$323,AW$4))</f>
        <v/>
      </c>
      <c r="AX266" s="80">
        <f>IF(Credit_Assumptions!$C$5=1,AX239,INDEX(Credit_Input!$H$264:$H$323,AX$4))</f>
        <v/>
      </c>
      <c r="AY266" s="80">
        <f>IF(Credit_Assumptions!$C$5=1,AY239,INDEX(Credit_Input!$H$264:$H$323,AY$4))</f>
        <v/>
      </c>
      <c r="AZ266" s="80">
        <f>IF(Credit_Assumptions!$C$5=1,AZ239,INDEX(Credit_Input!$H$264:$H$323,AZ$4))</f>
        <v/>
      </c>
      <c r="BA266" s="80">
        <f>IF(Credit_Assumptions!$C$5=1,BA239,INDEX(Credit_Input!$H$264:$H$323,BA$4))</f>
        <v/>
      </c>
      <c r="BB266" s="80">
        <f>IF(Credit_Assumptions!$C$5=1,BB239,INDEX(Credit_Input!$H$264:$H$323,BB$4))</f>
        <v/>
      </c>
      <c r="BC266" s="80">
        <f>IF(Credit_Assumptions!$C$5=1,BC239,INDEX(Credit_Input!$H$264:$H$323,BC$4))</f>
        <v/>
      </c>
      <c r="BD266" s="80">
        <f>IF(Credit_Assumptions!$C$5=1,BD239,INDEX(Credit_Input!$H$264:$H$323,BD$4))</f>
        <v/>
      </c>
      <c r="BE266" s="80">
        <f>IF(Credit_Assumptions!$C$5=1,BE239,INDEX(Credit_Input!$H$264:$H$323,BE$4))</f>
        <v/>
      </c>
      <c r="BF266" s="80">
        <f>IF(Credit_Assumptions!$C$5=1,BF239,INDEX(Credit_Input!$H$264:$H$323,BF$4))</f>
        <v/>
      </c>
      <c r="BG266" s="80">
        <f>IF(Credit_Assumptions!$C$5=1,BG239,INDEX(Credit_Input!$H$264:$H$323,BG$4))</f>
        <v/>
      </c>
      <c r="BH266" s="80">
        <f>IF(Credit_Assumptions!$C$5=1,BH239,INDEX(Credit_Input!$H$264:$H$323,BH$4))</f>
        <v/>
      </c>
      <c r="BI266" s="80">
        <f>IF(Credit_Assumptions!$C$5=1,BI239,INDEX(Credit_Input!$H$264:$H$323,BI$4))</f>
        <v/>
      </c>
      <c r="BJ266" s="80">
        <f>IF(Credit_Assumptions!$C$5=1,BJ239,INDEX(Credit_Input!$H$264:$H$323,BJ$4))</f>
        <v/>
      </c>
      <c r="BK266" s="80">
        <f>IF(Credit_Assumptions!$C$5=1,BK239,INDEX(Credit_Input!$H$264:$H$323,BK$4))</f>
        <v/>
      </c>
      <c r="BL266" s="80">
        <f>IF(Credit_Assumptions!$C$5=1,BL239,INDEX(Credit_Input!$H$264:$H$323,BL$4))</f>
        <v/>
      </c>
    </row>
    <row r="267">
      <c r="A267" s="98" t="inlineStr">
        <is>
          <t>91-180 DPD</t>
        </is>
      </c>
      <c r="B267" s="65" t="inlineStr">
        <is>
          <t>LCY</t>
        </is>
      </c>
      <c r="C267" s="105">
        <f>BL267</f>
        <v/>
      </c>
      <c r="E267" s="80">
        <f>IF(Credit_Assumptions!$C$5=1,E240,INDEX(Credit_Input!$I$264:$I$323,E$4))</f>
        <v/>
      </c>
      <c r="F267" s="80">
        <f>IF(Credit_Assumptions!$C$5=1,F240,INDEX(Credit_Input!$I$264:$I$323,F$4))</f>
        <v/>
      </c>
      <c r="G267" s="80">
        <f>IF(Credit_Assumptions!$C$5=1,G240,INDEX(Credit_Input!$I$264:$I$323,G$4))</f>
        <v/>
      </c>
      <c r="H267" s="80">
        <f>IF(Credit_Assumptions!$C$5=1,H240,INDEX(Credit_Input!$I$264:$I$323,H$4))</f>
        <v/>
      </c>
      <c r="I267" s="80">
        <f>IF(Credit_Assumptions!$C$5=1,I240,INDEX(Credit_Input!$I$264:$I$323,I$4))</f>
        <v/>
      </c>
      <c r="J267" s="80">
        <f>IF(Credit_Assumptions!$C$5=1,J240,INDEX(Credit_Input!$I$264:$I$323,J$4))</f>
        <v/>
      </c>
      <c r="K267" s="80">
        <f>IF(Credit_Assumptions!$C$5=1,K240,INDEX(Credit_Input!$I$264:$I$323,K$4))</f>
        <v/>
      </c>
      <c r="L267" s="80">
        <f>IF(Credit_Assumptions!$C$5=1,L240,INDEX(Credit_Input!$I$264:$I$323,L$4))</f>
        <v/>
      </c>
      <c r="M267" s="80">
        <f>IF(Credit_Assumptions!$C$5=1,M240,INDEX(Credit_Input!$I$264:$I$323,M$4))</f>
        <v/>
      </c>
      <c r="N267" s="80">
        <f>IF(Credit_Assumptions!$C$5=1,N240,INDEX(Credit_Input!$I$264:$I$323,N$4))</f>
        <v/>
      </c>
      <c r="O267" s="80">
        <f>IF(Credit_Assumptions!$C$5=1,O240,INDEX(Credit_Input!$I$264:$I$323,O$4))</f>
        <v/>
      </c>
      <c r="P267" s="80">
        <f>IF(Credit_Assumptions!$C$5=1,P240,INDEX(Credit_Input!$I$264:$I$323,P$4))</f>
        <v/>
      </c>
      <c r="Q267" s="80">
        <f>IF(Credit_Assumptions!$C$5=1,Q240,INDEX(Credit_Input!$I$264:$I$323,Q$4))</f>
        <v/>
      </c>
      <c r="R267" s="80">
        <f>IF(Credit_Assumptions!$C$5=1,R240,INDEX(Credit_Input!$I$264:$I$323,R$4))</f>
        <v/>
      </c>
      <c r="S267" s="80">
        <f>IF(Credit_Assumptions!$C$5=1,S240,INDEX(Credit_Input!$I$264:$I$323,S$4))</f>
        <v/>
      </c>
      <c r="T267" s="80">
        <f>IF(Credit_Assumptions!$C$5=1,T240,INDEX(Credit_Input!$I$264:$I$323,T$4))</f>
        <v/>
      </c>
      <c r="U267" s="80">
        <f>IF(Credit_Assumptions!$C$5=1,U240,INDEX(Credit_Input!$I$264:$I$323,U$4))</f>
        <v/>
      </c>
      <c r="V267" s="80">
        <f>IF(Credit_Assumptions!$C$5=1,V240,INDEX(Credit_Input!$I$264:$I$323,V$4))</f>
        <v/>
      </c>
      <c r="W267" s="80">
        <f>IF(Credit_Assumptions!$C$5=1,W240,INDEX(Credit_Input!$I$264:$I$323,W$4))</f>
        <v/>
      </c>
      <c r="X267" s="80">
        <f>IF(Credit_Assumptions!$C$5=1,X240,INDEX(Credit_Input!$I$264:$I$323,X$4))</f>
        <v/>
      </c>
      <c r="Y267" s="80">
        <f>IF(Credit_Assumptions!$C$5=1,Y240,INDEX(Credit_Input!$I$264:$I$323,Y$4))</f>
        <v/>
      </c>
      <c r="Z267" s="80">
        <f>IF(Credit_Assumptions!$C$5=1,Z240,INDEX(Credit_Input!$I$264:$I$323,Z$4))</f>
        <v/>
      </c>
      <c r="AA267" s="80">
        <f>IF(Credit_Assumptions!$C$5=1,AA240,INDEX(Credit_Input!$I$264:$I$323,AA$4))</f>
        <v/>
      </c>
      <c r="AB267" s="80">
        <f>IF(Credit_Assumptions!$C$5=1,AB240,INDEX(Credit_Input!$I$264:$I$323,AB$4))</f>
        <v/>
      </c>
      <c r="AC267" s="80">
        <f>IF(Credit_Assumptions!$C$5=1,AC240,INDEX(Credit_Input!$I$264:$I$323,AC$4))</f>
        <v/>
      </c>
      <c r="AD267" s="80">
        <f>IF(Credit_Assumptions!$C$5=1,AD240,INDEX(Credit_Input!$I$264:$I$323,AD$4))</f>
        <v/>
      </c>
      <c r="AE267" s="80">
        <f>IF(Credit_Assumptions!$C$5=1,AE240,INDEX(Credit_Input!$I$264:$I$323,AE$4))</f>
        <v/>
      </c>
      <c r="AF267" s="80">
        <f>IF(Credit_Assumptions!$C$5=1,AF240,INDEX(Credit_Input!$I$264:$I$323,AF$4))</f>
        <v/>
      </c>
      <c r="AG267" s="80">
        <f>IF(Credit_Assumptions!$C$5=1,AG240,INDEX(Credit_Input!$I$264:$I$323,AG$4))</f>
        <v/>
      </c>
      <c r="AH267" s="80">
        <f>IF(Credit_Assumptions!$C$5=1,AH240,INDEX(Credit_Input!$I$264:$I$323,AH$4))</f>
        <v/>
      </c>
      <c r="AI267" s="80">
        <f>IF(Credit_Assumptions!$C$5=1,AI240,INDEX(Credit_Input!$I$264:$I$323,AI$4))</f>
        <v/>
      </c>
      <c r="AJ267" s="80">
        <f>IF(Credit_Assumptions!$C$5=1,AJ240,INDEX(Credit_Input!$I$264:$I$323,AJ$4))</f>
        <v/>
      </c>
      <c r="AK267" s="80">
        <f>IF(Credit_Assumptions!$C$5=1,AK240,INDEX(Credit_Input!$I$264:$I$323,AK$4))</f>
        <v/>
      </c>
      <c r="AL267" s="80">
        <f>IF(Credit_Assumptions!$C$5=1,AL240,INDEX(Credit_Input!$I$264:$I$323,AL$4))</f>
        <v/>
      </c>
      <c r="AM267" s="80">
        <f>IF(Credit_Assumptions!$C$5=1,AM240,INDEX(Credit_Input!$I$264:$I$323,AM$4))</f>
        <v/>
      </c>
      <c r="AN267" s="80">
        <f>IF(Credit_Assumptions!$C$5=1,AN240,INDEX(Credit_Input!$I$264:$I$323,AN$4))</f>
        <v/>
      </c>
      <c r="AO267" s="80">
        <f>IF(Credit_Assumptions!$C$5=1,AO240,INDEX(Credit_Input!$I$264:$I$323,AO$4))</f>
        <v/>
      </c>
      <c r="AP267" s="80">
        <f>IF(Credit_Assumptions!$C$5=1,AP240,INDEX(Credit_Input!$I$264:$I$323,AP$4))</f>
        <v/>
      </c>
      <c r="AQ267" s="80">
        <f>IF(Credit_Assumptions!$C$5=1,AQ240,INDEX(Credit_Input!$I$264:$I$323,AQ$4))</f>
        <v/>
      </c>
      <c r="AR267" s="80">
        <f>IF(Credit_Assumptions!$C$5=1,AR240,INDEX(Credit_Input!$I$264:$I$323,AR$4))</f>
        <v/>
      </c>
      <c r="AS267" s="80">
        <f>IF(Credit_Assumptions!$C$5=1,AS240,INDEX(Credit_Input!$I$264:$I$323,AS$4))</f>
        <v/>
      </c>
      <c r="AT267" s="80">
        <f>IF(Credit_Assumptions!$C$5=1,AT240,INDEX(Credit_Input!$I$264:$I$323,AT$4))</f>
        <v/>
      </c>
      <c r="AU267" s="80">
        <f>IF(Credit_Assumptions!$C$5=1,AU240,INDEX(Credit_Input!$I$264:$I$323,AU$4))</f>
        <v/>
      </c>
      <c r="AV267" s="80">
        <f>IF(Credit_Assumptions!$C$5=1,AV240,INDEX(Credit_Input!$I$264:$I$323,AV$4))</f>
        <v/>
      </c>
      <c r="AW267" s="80">
        <f>IF(Credit_Assumptions!$C$5=1,AW240,INDEX(Credit_Input!$I$264:$I$323,AW$4))</f>
        <v/>
      </c>
      <c r="AX267" s="80">
        <f>IF(Credit_Assumptions!$C$5=1,AX240,INDEX(Credit_Input!$I$264:$I$323,AX$4))</f>
        <v/>
      </c>
      <c r="AY267" s="80">
        <f>IF(Credit_Assumptions!$C$5=1,AY240,INDEX(Credit_Input!$I$264:$I$323,AY$4))</f>
        <v/>
      </c>
      <c r="AZ267" s="80">
        <f>IF(Credit_Assumptions!$C$5=1,AZ240,INDEX(Credit_Input!$I$264:$I$323,AZ$4))</f>
        <v/>
      </c>
      <c r="BA267" s="80">
        <f>IF(Credit_Assumptions!$C$5=1,BA240,INDEX(Credit_Input!$I$264:$I$323,BA$4))</f>
        <v/>
      </c>
      <c r="BB267" s="80">
        <f>IF(Credit_Assumptions!$C$5=1,BB240,INDEX(Credit_Input!$I$264:$I$323,BB$4))</f>
        <v/>
      </c>
      <c r="BC267" s="80">
        <f>IF(Credit_Assumptions!$C$5=1,BC240,INDEX(Credit_Input!$I$264:$I$323,BC$4))</f>
        <v/>
      </c>
      <c r="BD267" s="80">
        <f>IF(Credit_Assumptions!$C$5=1,BD240,INDEX(Credit_Input!$I$264:$I$323,BD$4))</f>
        <v/>
      </c>
      <c r="BE267" s="80">
        <f>IF(Credit_Assumptions!$C$5=1,BE240,INDEX(Credit_Input!$I$264:$I$323,BE$4))</f>
        <v/>
      </c>
      <c r="BF267" s="80">
        <f>IF(Credit_Assumptions!$C$5=1,BF240,INDEX(Credit_Input!$I$264:$I$323,BF$4))</f>
        <v/>
      </c>
      <c r="BG267" s="80">
        <f>IF(Credit_Assumptions!$C$5=1,BG240,INDEX(Credit_Input!$I$264:$I$323,BG$4))</f>
        <v/>
      </c>
      <c r="BH267" s="80">
        <f>IF(Credit_Assumptions!$C$5=1,BH240,INDEX(Credit_Input!$I$264:$I$323,BH$4))</f>
        <v/>
      </c>
      <c r="BI267" s="80">
        <f>IF(Credit_Assumptions!$C$5=1,BI240,INDEX(Credit_Input!$I$264:$I$323,BI$4))</f>
        <v/>
      </c>
      <c r="BJ267" s="80">
        <f>IF(Credit_Assumptions!$C$5=1,BJ240,INDEX(Credit_Input!$I$264:$I$323,BJ$4))</f>
        <v/>
      </c>
      <c r="BK267" s="80">
        <f>IF(Credit_Assumptions!$C$5=1,BK240,INDEX(Credit_Input!$I$264:$I$323,BK$4))</f>
        <v/>
      </c>
      <c r="BL267" s="80">
        <f>IF(Credit_Assumptions!$C$5=1,BL240,INDEX(Credit_Input!$I$264:$I$323,BL$4))</f>
        <v/>
      </c>
    </row>
    <row r="268">
      <c r="A268" s="98" t="inlineStr">
        <is>
          <t>180+ DPD</t>
        </is>
      </c>
      <c r="B268" s="65" t="inlineStr">
        <is>
          <t>LCY</t>
        </is>
      </c>
      <c r="C268" s="105">
        <f>BL268</f>
        <v/>
      </c>
      <c r="E268" s="80">
        <f>IF(Credit_Assumptions!$C$5=1,E241,INDEX(Credit_Input!$J$264:$J$323,E$4))</f>
        <v/>
      </c>
      <c r="F268" s="80">
        <f>IF(Credit_Assumptions!$C$5=1,F241,INDEX(Credit_Input!$J$264:$J$323,F$4))</f>
        <v/>
      </c>
      <c r="G268" s="80">
        <f>IF(Credit_Assumptions!$C$5=1,G241,INDEX(Credit_Input!$J$264:$J$323,G$4))</f>
        <v/>
      </c>
      <c r="H268" s="80">
        <f>IF(Credit_Assumptions!$C$5=1,H241,INDEX(Credit_Input!$J$264:$J$323,H$4))</f>
        <v/>
      </c>
      <c r="I268" s="80">
        <f>IF(Credit_Assumptions!$C$5=1,I241,INDEX(Credit_Input!$J$264:$J$323,I$4))</f>
        <v/>
      </c>
      <c r="J268" s="80">
        <f>IF(Credit_Assumptions!$C$5=1,J241,INDEX(Credit_Input!$J$264:$J$323,J$4))</f>
        <v/>
      </c>
      <c r="K268" s="80">
        <f>IF(Credit_Assumptions!$C$5=1,K241,INDEX(Credit_Input!$J$264:$J$323,K$4))</f>
        <v/>
      </c>
      <c r="L268" s="80">
        <f>IF(Credit_Assumptions!$C$5=1,L241,INDEX(Credit_Input!$J$264:$J$323,L$4))</f>
        <v/>
      </c>
      <c r="M268" s="80">
        <f>IF(Credit_Assumptions!$C$5=1,M241,INDEX(Credit_Input!$J$264:$J$323,M$4))</f>
        <v/>
      </c>
      <c r="N268" s="80">
        <f>IF(Credit_Assumptions!$C$5=1,N241,INDEX(Credit_Input!$J$264:$J$323,N$4))</f>
        <v/>
      </c>
      <c r="O268" s="80">
        <f>IF(Credit_Assumptions!$C$5=1,O241,INDEX(Credit_Input!$J$264:$J$323,O$4))</f>
        <v/>
      </c>
      <c r="P268" s="80">
        <f>IF(Credit_Assumptions!$C$5=1,P241,INDEX(Credit_Input!$J$264:$J$323,P$4))</f>
        <v/>
      </c>
      <c r="Q268" s="80">
        <f>IF(Credit_Assumptions!$C$5=1,Q241,INDEX(Credit_Input!$J$264:$J$323,Q$4))</f>
        <v/>
      </c>
      <c r="R268" s="80">
        <f>IF(Credit_Assumptions!$C$5=1,R241,INDEX(Credit_Input!$J$264:$J$323,R$4))</f>
        <v/>
      </c>
      <c r="S268" s="80">
        <f>IF(Credit_Assumptions!$C$5=1,S241,INDEX(Credit_Input!$J$264:$J$323,S$4))</f>
        <v/>
      </c>
      <c r="T268" s="80">
        <f>IF(Credit_Assumptions!$C$5=1,T241,INDEX(Credit_Input!$J$264:$J$323,T$4))</f>
        <v/>
      </c>
      <c r="U268" s="80">
        <f>IF(Credit_Assumptions!$C$5=1,U241,INDEX(Credit_Input!$J$264:$J$323,U$4))</f>
        <v/>
      </c>
      <c r="V268" s="80">
        <f>IF(Credit_Assumptions!$C$5=1,V241,INDEX(Credit_Input!$J$264:$J$323,V$4))</f>
        <v/>
      </c>
      <c r="W268" s="80">
        <f>IF(Credit_Assumptions!$C$5=1,W241,INDEX(Credit_Input!$J$264:$J$323,W$4))</f>
        <v/>
      </c>
      <c r="X268" s="80">
        <f>IF(Credit_Assumptions!$C$5=1,X241,INDEX(Credit_Input!$J$264:$J$323,X$4))</f>
        <v/>
      </c>
      <c r="Y268" s="80">
        <f>IF(Credit_Assumptions!$C$5=1,Y241,INDEX(Credit_Input!$J$264:$J$323,Y$4))</f>
        <v/>
      </c>
      <c r="Z268" s="80">
        <f>IF(Credit_Assumptions!$C$5=1,Z241,INDEX(Credit_Input!$J$264:$J$323,Z$4))</f>
        <v/>
      </c>
      <c r="AA268" s="80">
        <f>IF(Credit_Assumptions!$C$5=1,AA241,INDEX(Credit_Input!$J$264:$J$323,AA$4))</f>
        <v/>
      </c>
      <c r="AB268" s="80">
        <f>IF(Credit_Assumptions!$C$5=1,AB241,INDEX(Credit_Input!$J$264:$J$323,AB$4))</f>
        <v/>
      </c>
      <c r="AC268" s="80">
        <f>IF(Credit_Assumptions!$C$5=1,AC241,INDEX(Credit_Input!$J$264:$J$323,AC$4))</f>
        <v/>
      </c>
      <c r="AD268" s="80">
        <f>IF(Credit_Assumptions!$C$5=1,AD241,INDEX(Credit_Input!$J$264:$J$323,AD$4))</f>
        <v/>
      </c>
      <c r="AE268" s="80">
        <f>IF(Credit_Assumptions!$C$5=1,AE241,INDEX(Credit_Input!$J$264:$J$323,AE$4))</f>
        <v/>
      </c>
      <c r="AF268" s="80">
        <f>IF(Credit_Assumptions!$C$5=1,AF241,INDEX(Credit_Input!$J$264:$J$323,AF$4))</f>
        <v/>
      </c>
      <c r="AG268" s="80">
        <f>IF(Credit_Assumptions!$C$5=1,AG241,INDEX(Credit_Input!$J$264:$J$323,AG$4))</f>
        <v/>
      </c>
      <c r="AH268" s="80">
        <f>IF(Credit_Assumptions!$C$5=1,AH241,INDEX(Credit_Input!$J$264:$J$323,AH$4))</f>
        <v/>
      </c>
      <c r="AI268" s="80">
        <f>IF(Credit_Assumptions!$C$5=1,AI241,INDEX(Credit_Input!$J$264:$J$323,AI$4))</f>
        <v/>
      </c>
      <c r="AJ268" s="80">
        <f>IF(Credit_Assumptions!$C$5=1,AJ241,INDEX(Credit_Input!$J$264:$J$323,AJ$4))</f>
        <v/>
      </c>
      <c r="AK268" s="80">
        <f>IF(Credit_Assumptions!$C$5=1,AK241,INDEX(Credit_Input!$J$264:$J$323,AK$4))</f>
        <v/>
      </c>
      <c r="AL268" s="80">
        <f>IF(Credit_Assumptions!$C$5=1,AL241,INDEX(Credit_Input!$J$264:$J$323,AL$4))</f>
        <v/>
      </c>
      <c r="AM268" s="80">
        <f>IF(Credit_Assumptions!$C$5=1,AM241,INDEX(Credit_Input!$J$264:$J$323,AM$4))</f>
        <v/>
      </c>
      <c r="AN268" s="80">
        <f>IF(Credit_Assumptions!$C$5=1,AN241,INDEX(Credit_Input!$J$264:$J$323,AN$4))</f>
        <v/>
      </c>
      <c r="AO268" s="80">
        <f>IF(Credit_Assumptions!$C$5=1,AO241,INDEX(Credit_Input!$J$264:$J$323,AO$4))</f>
        <v/>
      </c>
      <c r="AP268" s="80">
        <f>IF(Credit_Assumptions!$C$5=1,AP241,INDEX(Credit_Input!$J$264:$J$323,AP$4))</f>
        <v/>
      </c>
      <c r="AQ268" s="80">
        <f>IF(Credit_Assumptions!$C$5=1,AQ241,INDEX(Credit_Input!$J$264:$J$323,AQ$4))</f>
        <v/>
      </c>
      <c r="AR268" s="80">
        <f>IF(Credit_Assumptions!$C$5=1,AR241,INDEX(Credit_Input!$J$264:$J$323,AR$4))</f>
        <v/>
      </c>
      <c r="AS268" s="80">
        <f>IF(Credit_Assumptions!$C$5=1,AS241,INDEX(Credit_Input!$J$264:$J$323,AS$4))</f>
        <v/>
      </c>
      <c r="AT268" s="80">
        <f>IF(Credit_Assumptions!$C$5=1,AT241,INDEX(Credit_Input!$J$264:$J$323,AT$4))</f>
        <v/>
      </c>
      <c r="AU268" s="80">
        <f>IF(Credit_Assumptions!$C$5=1,AU241,INDEX(Credit_Input!$J$264:$J$323,AU$4))</f>
        <v/>
      </c>
      <c r="AV268" s="80">
        <f>IF(Credit_Assumptions!$C$5=1,AV241,INDEX(Credit_Input!$J$264:$J$323,AV$4))</f>
        <v/>
      </c>
      <c r="AW268" s="80">
        <f>IF(Credit_Assumptions!$C$5=1,AW241,INDEX(Credit_Input!$J$264:$J$323,AW$4))</f>
        <v/>
      </c>
      <c r="AX268" s="80">
        <f>IF(Credit_Assumptions!$C$5=1,AX241,INDEX(Credit_Input!$J$264:$J$323,AX$4))</f>
        <v/>
      </c>
      <c r="AY268" s="80">
        <f>IF(Credit_Assumptions!$C$5=1,AY241,INDEX(Credit_Input!$J$264:$J$323,AY$4))</f>
        <v/>
      </c>
      <c r="AZ268" s="80">
        <f>IF(Credit_Assumptions!$C$5=1,AZ241,INDEX(Credit_Input!$J$264:$J$323,AZ$4))</f>
        <v/>
      </c>
      <c r="BA268" s="80">
        <f>IF(Credit_Assumptions!$C$5=1,BA241,INDEX(Credit_Input!$J$264:$J$323,BA$4))</f>
        <v/>
      </c>
      <c r="BB268" s="80">
        <f>IF(Credit_Assumptions!$C$5=1,BB241,INDEX(Credit_Input!$J$264:$J$323,BB$4))</f>
        <v/>
      </c>
      <c r="BC268" s="80">
        <f>IF(Credit_Assumptions!$C$5=1,BC241,INDEX(Credit_Input!$J$264:$J$323,BC$4))</f>
        <v/>
      </c>
      <c r="BD268" s="80">
        <f>IF(Credit_Assumptions!$C$5=1,BD241,INDEX(Credit_Input!$J$264:$J$323,BD$4))</f>
        <v/>
      </c>
      <c r="BE268" s="80">
        <f>IF(Credit_Assumptions!$C$5=1,BE241,INDEX(Credit_Input!$J$264:$J$323,BE$4))</f>
        <v/>
      </c>
      <c r="BF268" s="80">
        <f>IF(Credit_Assumptions!$C$5=1,BF241,INDEX(Credit_Input!$J$264:$J$323,BF$4))</f>
        <v/>
      </c>
      <c r="BG268" s="80">
        <f>IF(Credit_Assumptions!$C$5=1,BG241,INDEX(Credit_Input!$J$264:$J$323,BG$4))</f>
        <v/>
      </c>
      <c r="BH268" s="80">
        <f>IF(Credit_Assumptions!$C$5=1,BH241,INDEX(Credit_Input!$J$264:$J$323,BH$4))</f>
        <v/>
      </c>
      <c r="BI268" s="80">
        <f>IF(Credit_Assumptions!$C$5=1,BI241,INDEX(Credit_Input!$J$264:$J$323,BI$4))</f>
        <v/>
      </c>
      <c r="BJ268" s="80">
        <f>IF(Credit_Assumptions!$C$5=1,BJ241,INDEX(Credit_Input!$J$264:$J$323,BJ$4))</f>
        <v/>
      </c>
      <c r="BK268" s="80">
        <f>IF(Credit_Assumptions!$C$5=1,BK241,INDEX(Credit_Input!$J$264:$J$323,BK$4))</f>
        <v/>
      </c>
      <c r="BL268" s="80">
        <f>IF(Credit_Assumptions!$C$5=1,BL241,INDEX(Credit_Input!$J$264:$J$323,BL$4))</f>
        <v/>
      </c>
    </row>
    <row r="269">
      <c r="A269" s="98" t="inlineStr">
        <is>
          <t>Default EAD (beyond default definition)</t>
        </is>
      </c>
      <c r="B269" s="65" t="inlineStr">
        <is>
          <t>LCY</t>
        </is>
      </c>
      <c r="C269" s="105">
        <f>BL269</f>
        <v/>
      </c>
      <c r="E269" s="80">
        <f>IF(Credit_Assumptions!$C$5=1,E242,INDEX(Credit_Input!$K$264:$K$323,E$4))</f>
        <v/>
      </c>
      <c r="F269" s="80">
        <f>IF(Credit_Assumptions!$C$5=1,F242,INDEX(Credit_Input!$K$264:$K$323,F$4))</f>
        <v/>
      </c>
      <c r="G269" s="80">
        <f>IF(Credit_Assumptions!$C$5=1,G242,INDEX(Credit_Input!$K$264:$K$323,G$4))</f>
        <v/>
      </c>
      <c r="H269" s="80">
        <f>IF(Credit_Assumptions!$C$5=1,H242,INDEX(Credit_Input!$K$264:$K$323,H$4))</f>
        <v/>
      </c>
      <c r="I269" s="80">
        <f>IF(Credit_Assumptions!$C$5=1,I242,INDEX(Credit_Input!$K$264:$K$323,I$4))</f>
        <v/>
      </c>
      <c r="J269" s="80">
        <f>IF(Credit_Assumptions!$C$5=1,J242,INDEX(Credit_Input!$K$264:$K$323,J$4))</f>
        <v/>
      </c>
      <c r="K269" s="80">
        <f>IF(Credit_Assumptions!$C$5=1,K242,INDEX(Credit_Input!$K$264:$K$323,K$4))</f>
        <v/>
      </c>
      <c r="L269" s="80">
        <f>IF(Credit_Assumptions!$C$5=1,L242,INDEX(Credit_Input!$K$264:$K$323,L$4))</f>
        <v/>
      </c>
      <c r="M269" s="80">
        <f>IF(Credit_Assumptions!$C$5=1,M242,INDEX(Credit_Input!$K$264:$K$323,M$4))</f>
        <v/>
      </c>
      <c r="N269" s="80">
        <f>IF(Credit_Assumptions!$C$5=1,N242,INDEX(Credit_Input!$K$264:$K$323,N$4))</f>
        <v/>
      </c>
      <c r="O269" s="80">
        <f>IF(Credit_Assumptions!$C$5=1,O242,INDEX(Credit_Input!$K$264:$K$323,O$4))</f>
        <v/>
      </c>
      <c r="P269" s="80">
        <f>IF(Credit_Assumptions!$C$5=1,P242,INDEX(Credit_Input!$K$264:$K$323,P$4))</f>
        <v/>
      </c>
      <c r="Q269" s="80">
        <f>IF(Credit_Assumptions!$C$5=1,Q242,INDEX(Credit_Input!$K$264:$K$323,Q$4))</f>
        <v/>
      </c>
      <c r="R269" s="80">
        <f>IF(Credit_Assumptions!$C$5=1,R242,INDEX(Credit_Input!$K$264:$K$323,R$4))</f>
        <v/>
      </c>
      <c r="S269" s="80">
        <f>IF(Credit_Assumptions!$C$5=1,S242,INDEX(Credit_Input!$K$264:$K$323,S$4))</f>
        <v/>
      </c>
      <c r="T269" s="80">
        <f>IF(Credit_Assumptions!$C$5=1,T242,INDEX(Credit_Input!$K$264:$K$323,T$4))</f>
        <v/>
      </c>
      <c r="U269" s="80">
        <f>IF(Credit_Assumptions!$C$5=1,U242,INDEX(Credit_Input!$K$264:$K$323,U$4))</f>
        <v/>
      </c>
      <c r="V269" s="80">
        <f>IF(Credit_Assumptions!$C$5=1,V242,INDEX(Credit_Input!$K$264:$K$323,V$4))</f>
        <v/>
      </c>
      <c r="W269" s="80">
        <f>IF(Credit_Assumptions!$C$5=1,W242,INDEX(Credit_Input!$K$264:$K$323,W$4))</f>
        <v/>
      </c>
      <c r="X269" s="80">
        <f>IF(Credit_Assumptions!$C$5=1,X242,INDEX(Credit_Input!$K$264:$K$323,X$4))</f>
        <v/>
      </c>
      <c r="Y269" s="80">
        <f>IF(Credit_Assumptions!$C$5=1,Y242,INDEX(Credit_Input!$K$264:$K$323,Y$4))</f>
        <v/>
      </c>
      <c r="Z269" s="80">
        <f>IF(Credit_Assumptions!$C$5=1,Z242,INDEX(Credit_Input!$K$264:$K$323,Z$4))</f>
        <v/>
      </c>
      <c r="AA269" s="80">
        <f>IF(Credit_Assumptions!$C$5=1,AA242,INDEX(Credit_Input!$K$264:$K$323,AA$4))</f>
        <v/>
      </c>
      <c r="AB269" s="80">
        <f>IF(Credit_Assumptions!$C$5=1,AB242,INDEX(Credit_Input!$K$264:$K$323,AB$4))</f>
        <v/>
      </c>
      <c r="AC269" s="80">
        <f>IF(Credit_Assumptions!$C$5=1,AC242,INDEX(Credit_Input!$K$264:$K$323,AC$4))</f>
        <v/>
      </c>
      <c r="AD269" s="80">
        <f>IF(Credit_Assumptions!$C$5=1,AD242,INDEX(Credit_Input!$K$264:$K$323,AD$4))</f>
        <v/>
      </c>
      <c r="AE269" s="80">
        <f>IF(Credit_Assumptions!$C$5=1,AE242,INDEX(Credit_Input!$K$264:$K$323,AE$4))</f>
        <v/>
      </c>
      <c r="AF269" s="80">
        <f>IF(Credit_Assumptions!$C$5=1,AF242,INDEX(Credit_Input!$K$264:$K$323,AF$4))</f>
        <v/>
      </c>
      <c r="AG269" s="80">
        <f>IF(Credit_Assumptions!$C$5=1,AG242,INDEX(Credit_Input!$K$264:$K$323,AG$4))</f>
        <v/>
      </c>
      <c r="AH269" s="80">
        <f>IF(Credit_Assumptions!$C$5=1,AH242,INDEX(Credit_Input!$K$264:$K$323,AH$4))</f>
        <v/>
      </c>
      <c r="AI269" s="80">
        <f>IF(Credit_Assumptions!$C$5=1,AI242,INDEX(Credit_Input!$K$264:$K$323,AI$4))</f>
        <v/>
      </c>
      <c r="AJ269" s="80">
        <f>IF(Credit_Assumptions!$C$5=1,AJ242,INDEX(Credit_Input!$K$264:$K$323,AJ$4))</f>
        <v/>
      </c>
      <c r="AK269" s="80">
        <f>IF(Credit_Assumptions!$C$5=1,AK242,INDEX(Credit_Input!$K$264:$K$323,AK$4))</f>
        <v/>
      </c>
      <c r="AL269" s="80">
        <f>IF(Credit_Assumptions!$C$5=1,AL242,INDEX(Credit_Input!$K$264:$K$323,AL$4))</f>
        <v/>
      </c>
      <c r="AM269" s="80">
        <f>IF(Credit_Assumptions!$C$5=1,AM242,INDEX(Credit_Input!$K$264:$K$323,AM$4))</f>
        <v/>
      </c>
      <c r="AN269" s="80">
        <f>IF(Credit_Assumptions!$C$5=1,AN242,INDEX(Credit_Input!$K$264:$K$323,AN$4))</f>
        <v/>
      </c>
      <c r="AO269" s="80">
        <f>IF(Credit_Assumptions!$C$5=1,AO242,INDEX(Credit_Input!$K$264:$K$323,AO$4))</f>
        <v/>
      </c>
      <c r="AP269" s="80">
        <f>IF(Credit_Assumptions!$C$5=1,AP242,INDEX(Credit_Input!$K$264:$K$323,AP$4))</f>
        <v/>
      </c>
      <c r="AQ269" s="80">
        <f>IF(Credit_Assumptions!$C$5=1,AQ242,INDEX(Credit_Input!$K$264:$K$323,AQ$4))</f>
        <v/>
      </c>
      <c r="AR269" s="80">
        <f>IF(Credit_Assumptions!$C$5=1,AR242,INDEX(Credit_Input!$K$264:$K$323,AR$4))</f>
        <v/>
      </c>
      <c r="AS269" s="80">
        <f>IF(Credit_Assumptions!$C$5=1,AS242,INDEX(Credit_Input!$K$264:$K$323,AS$4))</f>
        <v/>
      </c>
      <c r="AT269" s="80">
        <f>IF(Credit_Assumptions!$C$5=1,AT242,INDEX(Credit_Input!$K$264:$K$323,AT$4))</f>
        <v/>
      </c>
      <c r="AU269" s="80">
        <f>IF(Credit_Assumptions!$C$5=1,AU242,INDEX(Credit_Input!$K$264:$K$323,AU$4))</f>
        <v/>
      </c>
      <c r="AV269" s="80">
        <f>IF(Credit_Assumptions!$C$5=1,AV242,INDEX(Credit_Input!$K$264:$K$323,AV$4))</f>
        <v/>
      </c>
      <c r="AW269" s="80">
        <f>IF(Credit_Assumptions!$C$5=1,AW242,INDEX(Credit_Input!$K$264:$K$323,AW$4))</f>
        <v/>
      </c>
      <c r="AX269" s="80">
        <f>IF(Credit_Assumptions!$C$5=1,AX242,INDEX(Credit_Input!$K$264:$K$323,AX$4))</f>
        <v/>
      </c>
      <c r="AY269" s="80">
        <f>IF(Credit_Assumptions!$C$5=1,AY242,INDEX(Credit_Input!$K$264:$K$323,AY$4))</f>
        <v/>
      </c>
      <c r="AZ269" s="80">
        <f>IF(Credit_Assumptions!$C$5=1,AZ242,INDEX(Credit_Input!$K$264:$K$323,AZ$4))</f>
        <v/>
      </c>
      <c r="BA269" s="80">
        <f>IF(Credit_Assumptions!$C$5=1,BA242,INDEX(Credit_Input!$K$264:$K$323,BA$4))</f>
        <v/>
      </c>
      <c r="BB269" s="80">
        <f>IF(Credit_Assumptions!$C$5=1,BB242,INDEX(Credit_Input!$K$264:$K$323,BB$4))</f>
        <v/>
      </c>
      <c r="BC269" s="80">
        <f>IF(Credit_Assumptions!$C$5=1,BC242,INDEX(Credit_Input!$K$264:$K$323,BC$4))</f>
        <v/>
      </c>
      <c r="BD269" s="80">
        <f>IF(Credit_Assumptions!$C$5=1,BD242,INDEX(Credit_Input!$K$264:$K$323,BD$4))</f>
        <v/>
      </c>
      <c r="BE269" s="80">
        <f>IF(Credit_Assumptions!$C$5=1,BE242,INDEX(Credit_Input!$K$264:$K$323,BE$4))</f>
        <v/>
      </c>
      <c r="BF269" s="80">
        <f>IF(Credit_Assumptions!$C$5=1,BF242,INDEX(Credit_Input!$K$264:$K$323,BF$4))</f>
        <v/>
      </c>
      <c r="BG269" s="80">
        <f>IF(Credit_Assumptions!$C$5=1,BG242,INDEX(Credit_Input!$K$264:$K$323,BG$4))</f>
        <v/>
      </c>
      <c r="BH269" s="80">
        <f>IF(Credit_Assumptions!$C$5=1,BH242,INDEX(Credit_Input!$K$264:$K$323,BH$4))</f>
        <v/>
      </c>
      <c r="BI269" s="80">
        <f>IF(Credit_Assumptions!$C$5=1,BI242,INDEX(Credit_Input!$K$264:$K$323,BI$4))</f>
        <v/>
      </c>
      <c r="BJ269" s="80">
        <f>IF(Credit_Assumptions!$C$5=1,BJ242,INDEX(Credit_Input!$K$264:$K$323,BJ$4))</f>
        <v/>
      </c>
      <c r="BK269" s="80">
        <f>IF(Credit_Assumptions!$C$5=1,BK242,INDEX(Credit_Input!$K$264:$K$323,BK$4))</f>
        <v/>
      </c>
      <c r="BL269" s="80">
        <f>IF(Credit_Assumptions!$C$5=1,BL242,INDEX(Credit_Input!$K$264:$K$323,BL$4))</f>
        <v/>
      </c>
    </row>
    <row r="270">
      <c r="A270" s="98" t="inlineStr">
        <is>
          <t>30+ DPD receivables</t>
        </is>
      </c>
      <c r="B270" s="65" t="inlineStr">
        <is>
          <t>LCY</t>
        </is>
      </c>
      <c r="C270" s="105">
        <f>BL270</f>
        <v/>
      </c>
      <c r="E270" s="80">
        <f>E263*Credit_Assumptions!$G$28+E264*Credit_Assumptions!$G$29+E265*Credit_Assumptions!$G$30+E266*Credit_Assumptions!$G$31+E267*Credit_Assumptions!$G$32+E268*Credit_Assumptions!$G$33</f>
        <v/>
      </c>
      <c r="F270" s="80">
        <f>F263*Credit_Assumptions!$G$28+F264*Credit_Assumptions!$G$29+F265*Credit_Assumptions!$G$30+F266*Credit_Assumptions!$G$31+F267*Credit_Assumptions!$G$32+F268*Credit_Assumptions!$G$33</f>
        <v/>
      </c>
      <c r="G270" s="80">
        <f>G263*Credit_Assumptions!$G$28+G264*Credit_Assumptions!$G$29+G265*Credit_Assumptions!$G$30+G266*Credit_Assumptions!$G$31+G267*Credit_Assumptions!$G$32+G268*Credit_Assumptions!$G$33</f>
        <v/>
      </c>
      <c r="H270" s="80">
        <f>H263*Credit_Assumptions!$G$28+H264*Credit_Assumptions!$G$29+H265*Credit_Assumptions!$G$30+H266*Credit_Assumptions!$G$31+H267*Credit_Assumptions!$G$32+H268*Credit_Assumptions!$G$33</f>
        <v/>
      </c>
      <c r="I270" s="80">
        <f>I263*Credit_Assumptions!$G$28+I264*Credit_Assumptions!$G$29+I265*Credit_Assumptions!$G$30+I266*Credit_Assumptions!$G$31+I267*Credit_Assumptions!$G$32+I268*Credit_Assumptions!$G$33</f>
        <v/>
      </c>
      <c r="J270" s="80">
        <f>J263*Credit_Assumptions!$G$28+J264*Credit_Assumptions!$G$29+J265*Credit_Assumptions!$G$30+J266*Credit_Assumptions!$G$31+J267*Credit_Assumptions!$G$32+J268*Credit_Assumptions!$G$33</f>
        <v/>
      </c>
      <c r="K270" s="80">
        <f>K263*Credit_Assumptions!$G$28+K264*Credit_Assumptions!$G$29+K265*Credit_Assumptions!$G$30+K266*Credit_Assumptions!$G$31+K267*Credit_Assumptions!$G$32+K268*Credit_Assumptions!$G$33</f>
        <v/>
      </c>
      <c r="L270" s="80">
        <f>L263*Credit_Assumptions!$G$28+L264*Credit_Assumptions!$G$29+L265*Credit_Assumptions!$G$30+L266*Credit_Assumptions!$G$31+L267*Credit_Assumptions!$G$32+L268*Credit_Assumptions!$G$33</f>
        <v/>
      </c>
      <c r="M270" s="80">
        <f>M263*Credit_Assumptions!$G$28+M264*Credit_Assumptions!$G$29+M265*Credit_Assumptions!$G$30+M266*Credit_Assumptions!$G$31+M267*Credit_Assumptions!$G$32+M268*Credit_Assumptions!$G$33</f>
        <v/>
      </c>
      <c r="N270" s="80">
        <f>N263*Credit_Assumptions!$G$28+N264*Credit_Assumptions!$G$29+N265*Credit_Assumptions!$G$30+N266*Credit_Assumptions!$G$31+N267*Credit_Assumptions!$G$32+N268*Credit_Assumptions!$G$33</f>
        <v/>
      </c>
      <c r="O270" s="80">
        <f>O263*Credit_Assumptions!$G$28+O264*Credit_Assumptions!$G$29+O265*Credit_Assumptions!$G$30+O266*Credit_Assumptions!$G$31+O267*Credit_Assumptions!$G$32+O268*Credit_Assumptions!$G$33</f>
        <v/>
      </c>
      <c r="P270" s="80">
        <f>P263*Credit_Assumptions!$G$28+P264*Credit_Assumptions!$G$29+P265*Credit_Assumptions!$G$30+P266*Credit_Assumptions!$G$31+P267*Credit_Assumptions!$G$32+P268*Credit_Assumptions!$G$33</f>
        <v/>
      </c>
      <c r="Q270" s="80">
        <f>Q263*Credit_Assumptions!$G$28+Q264*Credit_Assumptions!$G$29+Q265*Credit_Assumptions!$G$30+Q266*Credit_Assumptions!$G$31+Q267*Credit_Assumptions!$G$32+Q268*Credit_Assumptions!$G$33</f>
        <v/>
      </c>
      <c r="R270" s="80">
        <f>R263*Credit_Assumptions!$G$28+R264*Credit_Assumptions!$G$29+R265*Credit_Assumptions!$G$30+R266*Credit_Assumptions!$G$31+R267*Credit_Assumptions!$G$32+R268*Credit_Assumptions!$G$33</f>
        <v/>
      </c>
      <c r="S270" s="80">
        <f>S263*Credit_Assumptions!$G$28+S264*Credit_Assumptions!$G$29+S265*Credit_Assumptions!$G$30+S266*Credit_Assumptions!$G$31+S267*Credit_Assumptions!$G$32+S268*Credit_Assumptions!$G$33</f>
        <v/>
      </c>
      <c r="T270" s="80">
        <f>T263*Credit_Assumptions!$G$28+T264*Credit_Assumptions!$G$29+T265*Credit_Assumptions!$G$30+T266*Credit_Assumptions!$G$31+T267*Credit_Assumptions!$G$32+T268*Credit_Assumptions!$G$33</f>
        <v/>
      </c>
      <c r="U270" s="80">
        <f>U263*Credit_Assumptions!$G$28+U264*Credit_Assumptions!$G$29+U265*Credit_Assumptions!$G$30+U266*Credit_Assumptions!$G$31+U267*Credit_Assumptions!$G$32+U268*Credit_Assumptions!$G$33</f>
        <v/>
      </c>
      <c r="V270" s="80">
        <f>V263*Credit_Assumptions!$G$28+V264*Credit_Assumptions!$G$29+V265*Credit_Assumptions!$G$30+V266*Credit_Assumptions!$G$31+V267*Credit_Assumptions!$G$32+V268*Credit_Assumptions!$G$33</f>
        <v/>
      </c>
      <c r="W270" s="80">
        <f>W263*Credit_Assumptions!$G$28+W264*Credit_Assumptions!$G$29+W265*Credit_Assumptions!$G$30+W266*Credit_Assumptions!$G$31+W267*Credit_Assumptions!$G$32+W268*Credit_Assumptions!$G$33</f>
        <v/>
      </c>
      <c r="X270" s="80">
        <f>X263*Credit_Assumptions!$G$28+X264*Credit_Assumptions!$G$29+X265*Credit_Assumptions!$G$30+X266*Credit_Assumptions!$G$31+X267*Credit_Assumptions!$G$32+X268*Credit_Assumptions!$G$33</f>
        <v/>
      </c>
      <c r="Y270" s="80">
        <f>Y263*Credit_Assumptions!$G$28+Y264*Credit_Assumptions!$G$29+Y265*Credit_Assumptions!$G$30+Y266*Credit_Assumptions!$G$31+Y267*Credit_Assumptions!$G$32+Y268*Credit_Assumptions!$G$33</f>
        <v/>
      </c>
      <c r="Z270" s="80">
        <f>Z263*Credit_Assumptions!$G$28+Z264*Credit_Assumptions!$G$29+Z265*Credit_Assumptions!$G$30+Z266*Credit_Assumptions!$G$31+Z267*Credit_Assumptions!$G$32+Z268*Credit_Assumptions!$G$33</f>
        <v/>
      </c>
      <c r="AA270" s="80">
        <f>AA263*Credit_Assumptions!$G$28+AA264*Credit_Assumptions!$G$29+AA265*Credit_Assumptions!$G$30+AA266*Credit_Assumptions!$G$31+AA267*Credit_Assumptions!$G$32+AA268*Credit_Assumptions!$G$33</f>
        <v/>
      </c>
      <c r="AB270" s="80">
        <f>AB263*Credit_Assumptions!$G$28+AB264*Credit_Assumptions!$G$29+AB265*Credit_Assumptions!$G$30+AB266*Credit_Assumptions!$G$31+AB267*Credit_Assumptions!$G$32+AB268*Credit_Assumptions!$G$33</f>
        <v/>
      </c>
      <c r="AC270" s="80">
        <f>AC263*Credit_Assumptions!$G$28+AC264*Credit_Assumptions!$G$29+AC265*Credit_Assumptions!$G$30+AC266*Credit_Assumptions!$G$31+AC267*Credit_Assumptions!$G$32+AC268*Credit_Assumptions!$G$33</f>
        <v/>
      </c>
      <c r="AD270" s="80">
        <f>AD263*Credit_Assumptions!$G$28+AD264*Credit_Assumptions!$G$29+AD265*Credit_Assumptions!$G$30+AD266*Credit_Assumptions!$G$31+AD267*Credit_Assumptions!$G$32+AD268*Credit_Assumptions!$G$33</f>
        <v/>
      </c>
      <c r="AE270" s="80">
        <f>AE263*Credit_Assumptions!$G$28+AE264*Credit_Assumptions!$G$29+AE265*Credit_Assumptions!$G$30+AE266*Credit_Assumptions!$G$31+AE267*Credit_Assumptions!$G$32+AE268*Credit_Assumptions!$G$33</f>
        <v/>
      </c>
      <c r="AF270" s="80">
        <f>AF263*Credit_Assumptions!$G$28+AF264*Credit_Assumptions!$G$29+AF265*Credit_Assumptions!$G$30+AF266*Credit_Assumptions!$G$31+AF267*Credit_Assumptions!$G$32+AF268*Credit_Assumptions!$G$33</f>
        <v/>
      </c>
      <c r="AG270" s="80">
        <f>AG263*Credit_Assumptions!$G$28+AG264*Credit_Assumptions!$G$29+AG265*Credit_Assumptions!$G$30+AG266*Credit_Assumptions!$G$31+AG267*Credit_Assumptions!$G$32+AG268*Credit_Assumptions!$G$33</f>
        <v/>
      </c>
      <c r="AH270" s="80">
        <f>AH263*Credit_Assumptions!$G$28+AH264*Credit_Assumptions!$G$29+AH265*Credit_Assumptions!$G$30+AH266*Credit_Assumptions!$G$31+AH267*Credit_Assumptions!$G$32+AH268*Credit_Assumptions!$G$33</f>
        <v/>
      </c>
      <c r="AI270" s="80">
        <f>AI263*Credit_Assumptions!$G$28+AI264*Credit_Assumptions!$G$29+AI265*Credit_Assumptions!$G$30+AI266*Credit_Assumptions!$G$31+AI267*Credit_Assumptions!$G$32+AI268*Credit_Assumptions!$G$33</f>
        <v/>
      </c>
      <c r="AJ270" s="80">
        <f>AJ263*Credit_Assumptions!$G$28+AJ264*Credit_Assumptions!$G$29+AJ265*Credit_Assumptions!$G$30+AJ266*Credit_Assumptions!$G$31+AJ267*Credit_Assumptions!$G$32+AJ268*Credit_Assumptions!$G$33</f>
        <v/>
      </c>
      <c r="AK270" s="80">
        <f>AK263*Credit_Assumptions!$G$28+AK264*Credit_Assumptions!$G$29+AK265*Credit_Assumptions!$G$30+AK266*Credit_Assumptions!$G$31+AK267*Credit_Assumptions!$G$32+AK268*Credit_Assumptions!$G$33</f>
        <v/>
      </c>
      <c r="AL270" s="80">
        <f>AL263*Credit_Assumptions!$G$28+AL264*Credit_Assumptions!$G$29+AL265*Credit_Assumptions!$G$30+AL266*Credit_Assumptions!$G$31+AL267*Credit_Assumptions!$G$32+AL268*Credit_Assumptions!$G$33</f>
        <v/>
      </c>
      <c r="AM270" s="80">
        <f>AM263*Credit_Assumptions!$G$28+AM264*Credit_Assumptions!$G$29+AM265*Credit_Assumptions!$G$30+AM266*Credit_Assumptions!$G$31+AM267*Credit_Assumptions!$G$32+AM268*Credit_Assumptions!$G$33</f>
        <v/>
      </c>
      <c r="AN270" s="80">
        <f>AN263*Credit_Assumptions!$G$28+AN264*Credit_Assumptions!$G$29+AN265*Credit_Assumptions!$G$30+AN266*Credit_Assumptions!$G$31+AN267*Credit_Assumptions!$G$32+AN268*Credit_Assumptions!$G$33</f>
        <v/>
      </c>
      <c r="AO270" s="80">
        <f>AO263*Credit_Assumptions!$G$28+AO264*Credit_Assumptions!$G$29+AO265*Credit_Assumptions!$G$30+AO266*Credit_Assumptions!$G$31+AO267*Credit_Assumptions!$G$32+AO268*Credit_Assumptions!$G$33</f>
        <v/>
      </c>
      <c r="AP270" s="80">
        <f>AP263*Credit_Assumptions!$G$28+AP264*Credit_Assumptions!$G$29+AP265*Credit_Assumptions!$G$30+AP266*Credit_Assumptions!$G$31+AP267*Credit_Assumptions!$G$32+AP268*Credit_Assumptions!$G$33</f>
        <v/>
      </c>
      <c r="AQ270" s="80">
        <f>AQ263*Credit_Assumptions!$G$28+AQ264*Credit_Assumptions!$G$29+AQ265*Credit_Assumptions!$G$30+AQ266*Credit_Assumptions!$G$31+AQ267*Credit_Assumptions!$G$32+AQ268*Credit_Assumptions!$G$33</f>
        <v/>
      </c>
      <c r="AR270" s="80">
        <f>AR263*Credit_Assumptions!$G$28+AR264*Credit_Assumptions!$G$29+AR265*Credit_Assumptions!$G$30+AR266*Credit_Assumptions!$G$31+AR267*Credit_Assumptions!$G$32+AR268*Credit_Assumptions!$G$33</f>
        <v/>
      </c>
      <c r="AS270" s="80">
        <f>AS263*Credit_Assumptions!$G$28+AS264*Credit_Assumptions!$G$29+AS265*Credit_Assumptions!$G$30+AS266*Credit_Assumptions!$G$31+AS267*Credit_Assumptions!$G$32+AS268*Credit_Assumptions!$G$33</f>
        <v/>
      </c>
      <c r="AT270" s="80">
        <f>AT263*Credit_Assumptions!$G$28+AT264*Credit_Assumptions!$G$29+AT265*Credit_Assumptions!$G$30+AT266*Credit_Assumptions!$G$31+AT267*Credit_Assumptions!$G$32+AT268*Credit_Assumptions!$G$33</f>
        <v/>
      </c>
      <c r="AU270" s="80">
        <f>AU263*Credit_Assumptions!$G$28+AU264*Credit_Assumptions!$G$29+AU265*Credit_Assumptions!$G$30+AU266*Credit_Assumptions!$G$31+AU267*Credit_Assumptions!$G$32+AU268*Credit_Assumptions!$G$33</f>
        <v/>
      </c>
      <c r="AV270" s="80">
        <f>AV263*Credit_Assumptions!$G$28+AV264*Credit_Assumptions!$G$29+AV265*Credit_Assumptions!$G$30+AV266*Credit_Assumptions!$G$31+AV267*Credit_Assumptions!$G$32+AV268*Credit_Assumptions!$G$33</f>
        <v/>
      </c>
      <c r="AW270" s="80">
        <f>AW263*Credit_Assumptions!$G$28+AW264*Credit_Assumptions!$G$29+AW265*Credit_Assumptions!$G$30+AW266*Credit_Assumptions!$G$31+AW267*Credit_Assumptions!$G$32+AW268*Credit_Assumptions!$G$33</f>
        <v/>
      </c>
      <c r="AX270" s="80">
        <f>AX263*Credit_Assumptions!$G$28+AX264*Credit_Assumptions!$G$29+AX265*Credit_Assumptions!$G$30+AX266*Credit_Assumptions!$G$31+AX267*Credit_Assumptions!$G$32+AX268*Credit_Assumptions!$G$33</f>
        <v/>
      </c>
      <c r="AY270" s="80">
        <f>AY263*Credit_Assumptions!$G$28+AY264*Credit_Assumptions!$G$29+AY265*Credit_Assumptions!$G$30+AY266*Credit_Assumptions!$G$31+AY267*Credit_Assumptions!$G$32+AY268*Credit_Assumptions!$G$33</f>
        <v/>
      </c>
      <c r="AZ270" s="80">
        <f>AZ263*Credit_Assumptions!$G$28+AZ264*Credit_Assumptions!$G$29+AZ265*Credit_Assumptions!$G$30+AZ266*Credit_Assumptions!$G$31+AZ267*Credit_Assumptions!$G$32+AZ268*Credit_Assumptions!$G$33</f>
        <v/>
      </c>
      <c r="BA270" s="80">
        <f>BA263*Credit_Assumptions!$G$28+BA264*Credit_Assumptions!$G$29+BA265*Credit_Assumptions!$G$30+BA266*Credit_Assumptions!$G$31+BA267*Credit_Assumptions!$G$32+BA268*Credit_Assumptions!$G$33</f>
        <v/>
      </c>
      <c r="BB270" s="80">
        <f>BB263*Credit_Assumptions!$G$28+BB264*Credit_Assumptions!$G$29+BB265*Credit_Assumptions!$G$30+BB266*Credit_Assumptions!$G$31+BB267*Credit_Assumptions!$G$32+BB268*Credit_Assumptions!$G$33</f>
        <v/>
      </c>
      <c r="BC270" s="80">
        <f>BC263*Credit_Assumptions!$G$28+BC264*Credit_Assumptions!$G$29+BC265*Credit_Assumptions!$G$30+BC266*Credit_Assumptions!$G$31+BC267*Credit_Assumptions!$G$32+BC268*Credit_Assumptions!$G$33</f>
        <v/>
      </c>
      <c r="BD270" s="80">
        <f>BD263*Credit_Assumptions!$G$28+BD264*Credit_Assumptions!$G$29+BD265*Credit_Assumptions!$G$30+BD266*Credit_Assumptions!$G$31+BD267*Credit_Assumptions!$G$32+BD268*Credit_Assumptions!$G$33</f>
        <v/>
      </c>
      <c r="BE270" s="80">
        <f>BE263*Credit_Assumptions!$G$28+BE264*Credit_Assumptions!$G$29+BE265*Credit_Assumptions!$G$30+BE266*Credit_Assumptions!$G$31+BE267*Credit_Assumptions!$G$32+BE268*Credit_Assumptions!$G$33</f>
        <v/>
      </c>
      <c r="BF270" s="80">
        <f>BF263*Credit_Assumptions!$G$28+BF264*Credit_Assumptions!$G$29+BF265*Credit_Assumptions!$G$30+BF266*Credit_Assumptions!$G$31+BF267*Credit_Assumptions!$G$32+BF268*Credit_Assumptions!$G$33</f>
        <v/>
      </c>
      <c r="BG270" s="80">
        <f>BG263*Credit_Assumptions!$G$28+BG264*Credit_Assumptions!$G$29+BG265*Credit_Assumptions!$G$30+BG266*Credit_Assumptions!$G$31+BG267*Credit_Assumptions!$G$32+BG268*Credit_Assumptions!$G$33</f>
        <v/>
      </c>
      <c r="BH270" s="80">
        <f>BH263*Credit_Assumptions!$G$28+BH264*Credit_Assumptions!$G$29+BH265*Credit_Assumptions!$G$30+BH266*Credit_Assumptions!$G$31+BH267*Credit_Assumptions!$G$32+BH268*Credit_Assumptions!$G$33</f>
        <v/>
      </c>
      <c r="BI270" s="80">
        <f>BI263*Credit_Assumptions!$G$28+BI264*Credit_Assumptions!$G$29+BI265*Credit_Assumptions!$G$30+BI266*Credit_Assumptions!$G$31+BI267*Credit_Assumptions!$G$32+BI268*Credit_Assumptions!$G$33</f>
        <v/>
      </c>
      <c r="BJ270" s="80">
        <f>BJ263*Credit_Assumptions!$G$28+BJ264*Credit_Assumptions!$G$29+BJ265*Credit_Assumptions!$G$30+BJ266*Credit_Assumptions!$G$31+BJ267*Credit_Assumptions!$G$32+BJ268*Credit_Assumptions!$G$33</f>
        <v/>
      </c>
      <c r="BK270" s="80">
        <f>BK263*Credit_Assumptions!$G$28+BK264*Credit_Assumptions!$G$29+BK265*Credit_Assumptions!$G$30+BK266*Credit_Assumptions!$G$31+BK267*Credit_Assumptions!$G$32+BK268*Credit_Assumptions!$G$33</f>
        <v/>
      </c>
      <c r="BL270" s="80">
        <f>BL263*Credit_Assumptions!$G$28+BL264*Credit_Assumptions!$G$29+BL265*Credit_Assumptions!$G$30+BL266*Credit_Assumptions!$G$31+BL267*Credit_Assumptions!$G$32+BL268*Credit_Assumptions!$G$33</f>
        <v/>
      </c>
    </row>
    <row r="271">
      <c r="A271" s="98" t="inlineStr">
        <is>
          <t>90+ DPD receivables</t>
        </is>
      </c>
      <c r="B271" s="65" t="inlineStr">
        <is>
          <t>LCY</t>
        </is>
      </c>
      <c r="C271" s="105">
        <f>BL271</f>
        <v/>
      </c>
      <c r="E271" s="80">
        <f>E263*Credit_Assumptions!$H$28+E264*Credit_Assumptions!$H$29+E265*Credit_Assumptions!$H$30+E266*Credit_Assumptions!$H$31+E267*Credit_Assumptions!$H$32+E268*Credit_Assumptions!$H$33</f>
        <v/>
      </c>
      <c r="F271" s="80">
        <f>F263*Credit_Assumptions!$H$28+F264*Credit_Assumptions!$H$29+F265*Credit_Assumptions!$H$30+F266*Credit_Assumptions!$H$31+F267*Credit_Assumptions!$H$32+F268*Credit_Assumptions!$H$33</f>
        <v/>
      </c>
      <c r="G271" s="80">
        <f>G263*Credit_Assumptions!$H$28+G264*Credit_Assumptions!$H$29+G265*Credit_Assumptions!$H$30+G266*Credit_Assumptions!$H$31+G267*Credit_Assumptions!$H$32+G268*Credit_Assumptions!$H$33</f>
        <v/>
      </c>
      <c r="H271" s="80">
        <f>H263*Credit_Assumptions!$H$28+H264*Credit_Assumptions!$H$29+H265*Credit_Assumptions!$H$30+H266*Credit_Assumptions!$H$31+H267*Credit_Assumptions!$H$32+H268*Credit_Assumptions!$H$33</f>
        <v/>
      </c>
      <c r="I271" s="80">
        <f>I263*Credit_Assumptions!$H$28+I264*Credit_Assumptions!$H$29+I265*Credit_Assumptions!$H$30+I266*Credit_Assumptions!$H$31+I267*Credit_Assumptions!$H$32+I268*Credit_Assumptions!$H$33</f>
        <v/>
      </c>
      <c r="J271" s="80">
        <f>J263*Credit_Assumptions!$H$28+J264*Credit_Assumptions!$H$29+J265*Credit_Assumptions!$H$30+J266*Credit_Assumptions!$H$31+J267*Credit_Assumptions!$H$32+J268*Credit_Assumptions!$H$33</f>
        <v/>
      </c>
      <c r="K271" s="80">
        <f>K263*Credit_Assumptions!$H$28+K264*Credit_Assumptions!$H$29+K265*Credit_Assumptions!$H$30+K266*Credit_Assumptions!$H$31+K267*Credit_Assumptions!$H$32+K268*Credit_Assumptions!$H$33</f>
        <v/>
      </c>
      <c r="L271" s="80">
        <f>L263*Credit_Assumptions!$H$28+L264*Credit_Assumptions!$H$29+L265*Credit_Assumptions!$H$30+L266*Credit_Assumptions!$H$31+L267*Credit_Assumptions!$H$32+L268*Credit_Assumptions!$H$33</f>
        <v/>
      </c>
      <c r="M271" s="80">
        <f>M263*Credit_Assumptions!$H$28+M264*Credit_Assumptions!$H$29+M265*Credit_Assumptions!$H$30+M266*Credit_Assumptions!$H$31+M267*Credit_Assumptions!$H$32+M268*Credit_Assumptions!$H$33</f>
        <v/>
      </c>
      <c r="N271" s="80">
        <f>N263*Credit_Assumptions!$H$28+N264*Credit_Assumptions!$H$29+N265*Credit_Assumptions!$H$30+N266*Credit_Assumptions!$H$31+N267*Credit_Assumptions!$H$32+N268*Credit_Assumptions!$H$33</f>
        <v/>
      </c>
      <c r="O271" s="80">
        <f>O263*Credit_Assumptions!$H$28+O264*Credit_Assumptions!$H$29+O265*Credit_Assumptions!$H$30+O266*Credit_Assumptions!$H$31+O267*Credit_Assumptions!$H$32+O268*Credit_Assumptions!$H$33</f>
        <v/>
      </c>
      <c r="P271" s="80">
        <f>P263*Credit_Assumptions!$H$28+P264*Credit_Assumptions!$H$29+P265*Credit_Assumptions!$H$30+P266*Credit_Assumptions!$H$31+P267*Credit_Assumptions!$H$32+P268*Credit_Assumptions!$H$33</f>
        <v/>
      </c>
      <c r="Q271" s="80">
        <f>Q263*Credit_Assumptions!$H$28+Q264*Credit_Assumptions!$H$29+Q265*Credit_Assumptions!$H$30+Q266*Credit_Assumptions!$H$31+Q267*Credit_Assumptions!$H$32+Q268*Credit_Assumptions!$H$33</f>
        <v/>
      </c>
      <c r="R271" s="80">
        <f>R263*Credit_Assumptions!$H$28+R264*Credit_Assumptions!$H$29+R265*Credit_Assumptions!$H$30+R266*Credit_Assumptions!$H$31+R267*Credit_Assumptions!$H$32+R268*Credit_Assumptions!$H$33</f>
        <v/>
      </c>
      <c r="S271" s="80">
        <f>S263*Credit_Assumptions!$H$28+S264*Credit_Assumptions!$H$29+S265*Credit_Assumptions!$H$30+S266*Credit_Assumptions!$H$31+S267*Credit_Assumptions!$H$32+S268*Credit_Assumptions!$H$33</f>
        <v/>
      </c>
      <c r="T271" s="80">
        <f>T263*Credit_Assumptions!$H$28+T264*Credit_Assumptions!$H$29+T265*Credit_Assumptions!$H$30+T266*Credit_Assumptions!$H$31+T267*Credit_Assumptions!$H$32+T268*Credit_Assumptions!$H$33</f>
        <v/>
      </c>
      <c r="U271" s="80">
        <f>U263*Credit_Assumptions!$H$28+U264*Credit_Assumptions!$H$29+U265*Credit_Assumptions!$H$30+U266*Credit_Assumptions!$H$31+U267*Credit_Assumptions!$H$32+U268*Credit_Assumptions!$H$33</f>
        <v/>
      </c>
      <c r="V271" s="80">
        <f>V263*Credit_Assumptions!$H$28+V264*Credit_Assumptions!$H$29+V265*Credit_Assumptions!$H$30+V266*Credit_Assumptions!$H$31+V267*Credit_Assumptions!$H$32+V268*Credit_Assumptions!$H$33</f>
        <v/>
      </c>
      <c r="W271" s="80">
        <f>W263*Credit_Assumptions!$H$28+W264*Credit_Assumptions!$H$29+W265*Credit_Assumptions!$H$30+W266*Credit_Assumptions!$H$31+W267*Credit_Assumptions!$H$32+W268*Credit_Assumptions!$H$33</f>
        <v/>
      </c>
      <c r="X271" s="80">
        <f>X263*Credit_Assumptions!$H$28+X264*Credit_Assumptions!$H$29+X265*Credit_Assumptions!$H$30+X266*Credit_Assumptions!$H$31+X267*Credit_Assumptions!$H$32+X268*Credit_Assumptions!$H$33</f>
        <v/>
      </c>
      <c r="Y271" s="80">
        <f>Y263*Credit_Assumptions!$H$28+Y264*Credit_Assumptions!$H$29+Y265*Credit_Assumptions!$H$30+Y266*Credit_Assumptions!$H$31+Y267*Credit_Assumptions!$H$32+Y268*Credit_Assumptions!$H$33</f>
        <v/>
      </c>
      <c r="Z271" s="80">
        <f>Z263*Credit_Assumptions!$H$28+Z264*Credit_Assumptions!$H$29+Z265*Credit_Assumptions!$H$30+Z266*Credit_Assumptions!$H$31+Z267*Credit_Assumptions!$H$32+Z268*Credit_Assumptions!$H$33</f>
        <v/>
      </c>
      <c r="AA271" s="80">
        <f>AA263*Credit_Assumptions!$H$28+AA264*Credit_Assumptions!$H$29+AA265*Credit_Assumptions!$H$30+AA266*Credit_Assumptions!$H$31+AA267*Credit_Assumptions!$H$32+AA268*Credit_Assumptions!$H$33</f>
        <v/>
      </c>
      <c r="AB271" s="80">
        <f>AB263*Credit_Assumptions!$H$28+AB264*Credit_Assumptions!$H$29+AB265*Credit_Assumptions!$H$30+AB266*Credit_Assumptions!$H$31+AB267*Credit_Assumptions!$H$32+AB268*Credit_Assumptions!$H$33</f>
        <v/>
      </c>
      <c r="AC271" s="80">
        <f>AC263*Credit_Assumptions!$H$28+AC264*Credit_Assumptions!$H$29+AC265*Credit_Assumptions!$H$30+AC266*Credit_Assumptions!$H$31+AC267*Credit_Assumptions!$H$32+AC268*Credit_Assumptions!$H$33</f>
        <v/>
      </c>
      <c r="AD271" s="80">
        <f>AD263*Credit_Assumptions!$H$28+AD264*Credit_Assumptions!$H$29+AD265*Credit_Assumptions!$H$30+AD266*Credit_Assumptions!$H$31+AD267*Credit_Assumptions!$H$32+AD268*Credit_Assumptions!$H$33</f>
        <v/>
      </c>
      <c r="AE271" s="80">
        <f>AE263*Credit_Assumptions!$H$28+AE264*Credit_Assumptions!$H$29+AE265*Credit_Assumptions!$H$30+AE266*Credit_Assumptions!$H$31+AE267*Credit_Assumptions!$H$32+AE268*Credit_Assumptions!$H$33</f>
        <v/>
      </c>
      <c r="AF271" s="80">
        <f>AF263*Credit_Assumptions!$H$28+AF264*Credit_Assumptions!$H$29+AF265*Credit_Assumptions!$H$30+AF266*Credit_Assumptions!$H$31+AF267*Credit_Assumptions!$H$32+AF268*Credit_Assumptions!$H$33</f>
        <v/>
      </c>
      <c r="AG271" s="80">
        <f>AG263*Credit_Assumptions!$H$28+AG264*Credit_Assumptions!$H$29+AG265*Credit_Assumptions!$H$30+AG266*Credit_Assumptions!$H$31+AG267*Credit_Assumptions!$H$32+AG268*Credit_Assumptions!$H$33</f>
        <v/>
      </c>
      <c r="AH271" s="80">
        <f>AH263*Credit_Assumptions!$H$28+AH264*Credit_Assumptions!$H$29+AH265*Credit_Assumptions!$H$30+AH266*Credit_Assumptions!$H$31+AH267*Credit_Assumptions!$H$32+AH268*Credit_Assumptions!$H$33</f>
        <v/>
      </c>
      <c r="AI271" s="80">
        <f>AI263*Credit_Assumptions!$H$28+AI264*Credit_Assumptions!$H$29+AI265*Credit_Assumptions!$H$30+AI266*Credit_Assumptions!$H$31+AI267*Credit_Assumptions!$H$32+AI268*Credit_Assumptions!$H$33</f>
        <v/>
      </c>
      <c r="AJ271" s="80">
        <f>AJ263*Credit_Assumptions!$H$28+AJ264*Credit_Assumptions!$H$29+AJ265*Credit_Assumptions!$H$30+AJ266*Credit_Assumptions!$H$31+AJ267*Credit_Assumptions!$H$32+AJ268*Credit_Assumptions!$H$33</f>
        <v/>
      </c>
      <c r="AK271" s="80">
        <f>AK263*Credit_Assumptions!$H$28+AK264*Credit_Assumptions!$H$29+AK265*Credit_Assumptions!$H$30+AK266*Credit_Assumptions!$H$31+AK267*Credit_Assumptions!$H$32+AK268*Credit_Assumptions!$H$33</f>
        <v/>
      </c>
      <c r="AL271" s="80">
        <f>AL263*Credit_Assumptions!$H$28+AL264*Credit_Assumptions!$H$29+AL265*Credit_Assumptions!$H$30+AL266*Credit_Assumptions!$H$31+AL267*Credit_Assumptions!$H$32+AL268*Credit_Assumptions!$H$33</f>
        <v/>
      </c>
      <c r="AM271" s="80">
        <f>AM263*Credit_Assumptions!$H$28+AM264*Credit_Assumptions!$H$29+AM265*Credit_Assumptions!$H$30+AM266*Credit_Assumptions!$H$31+AM267*Credit_Assumptions!$H$32+AM268*Credit_Assumptions!$H$33</f>
        <v/>
      </c>
      <c r="AN271" s="80">
        <f>AN263*Credit_Assumptions!$H$28+AN264*Credit_Assumptions!$H$29+AN265*Credit_Assumptions!$H$30+AN266*Credit_Assumptions!$H$31+AN267*Credit_Assumptions!$H$32+AN268*Credit_Assumptions!$H$33</f>
        <v/>
      </c>
      <c r="AO271" s="80">
        <f>AO263*Credit_Assumptions!$H$28+AO264*Credit_Assumptions!$H$29+AO265*Credit_Assumptions!$H$30+AO266*Credit_Assumptions!$H$31+AO267*Credit_Assumptions!$H$32+AO268*Credit_Assumptions!$H$33</f>
        <v/>
      </c>
      <c r="AP271" s="80">
        <f>AP263*Credit_Assumptions!$H$28+AP264*Credit_Assumptions!$H$29+AP265*Credit_Assumptions!$H$30+AP266*Credit_Assumptions!$H$31+AP267*Credit_Assumptions!$H$32+AP268*Credit_Assumptions!$H$33</f>
        <v/>
      </c>
      <c r="AQ271" s="80">
        <f>AQ263*Credit_Assumptions!$H$28+AQ264*Credit_Assumptions!$H$29+AQ265*Credit_Assumptions!$H$30+AQ266*Credit_Assumptions!$H$31+AQ267*Credit_Assumptions!$H$32+AQ268*Credit_Assumptions!$H$33</f>
        <v/>
      </c>
      <c r="AR271" s="80">
        <f>AR263*Credit_Assumptions!$H$28+AR264*Credit_Assumptions!$H$29+AR265*Credit_Assumptions!$H$30+AR266*Credit_Assumptions!$H$31+AR267*Credit_Assumptions!$H$32+AR268*Credit_Assumptions!$H$33</f>
        <v/>
      </c>
      <c r="AS271" s="80">
        <f>AS263*Credit_Assumptions!$H$28+AS264*Credit_Assumptions!$H$29+AS265*Credit_Assumptions!$H$30+AS266*Credit_Assumptions!$H$31+AS267*Credit_Assumptions!$H$32+AS268*Credit_Assumptions!$H$33</f>
        <v/>
      </c>
      <c r="AT271" s="80">
        <f>AT263*Credit_Assumptions!$H$28+AT264*Credit_Assumptions!$H$29+AT265*Credit_Assumptions!$H$30+AT266*Credit_Assumptions!$H$31+AT267*Credit_Assumptions!$H$32+AT268*Credit_Assumptions!$H$33</f>
        <v/>
      </c>
      <c r="AU271" s="80">
        <f>AU263*Credit_Assumptions!$H$28+AU264*Credit_Assumptions!$H$29+AU265*Credit_Assumptions!$H$30+AU266*Credit_Assumptions!$H$31+AU267*Credit_Assumptions!$H$32+AU268*Credit_Assumptions!$H$33</f>
        <v/>
      </c>
      <c r="AV271" s="80">
        <f>AV263*Credit_Assumptions!$H$28+AV264*Credit_Assumptions!$H$29+AV265*Credit_Assumptions!$H$30+AV266*Credit_Assumptions!$H$31+AV267*Credit_Assumptions!$H$32+AV268*Credit_Assumptions!$H$33</f>
        <v/>
      </c>
      <c r="AW271" s="80">
        <f>AW263*Credit_Assumptions!$H$28+AW264*Credit_Assumptions!$H$29+AW265*Credit_Assumptions!$H$30+AW266*Credit_Assumptions!$H$31+AW267*Credit_Assumptions!$H$32+AW268*Credit_Assumptions!$H$33</f>
        <v/>
      </c>
      <c r="AX271" s="80">
        <f>AX263*Credit_Assumptions!$H$28+AX264*Credit_Assumptions!$H$29+AX265*Credit_Assumptions!$H$30+AX266*Credit_Assumptions!$H$31+AX267*Credit_Assumptions!$H$32+AX268*Credit_Assumptions!$H$33</f>
        <v/>
      </c>
      <c r="AY271" s="80">
        <f>AY263*Credit_Assumptions!$H$28+AY264*Credit_Assumptions!$H$29+AY265*Credit_Assumptions!$H$30+AY266*Credit_Assumptions!$H$31+AY267*Credit_Assumptions!$H$32+AY268*Credit_Assumptions!$H$33</f>
        <v/>
      </c>
      <c r="AZ271" s="80">
        <f>AZ263*Credit_Assumptions!$H$28+AZ264*Credit_Assumptions!$H$29+AZ265*Credit_Assumptions!$H$30+AZ266*Credit_Assumptions!$H$31+AZ267*Credit_Assumptions!$H$32+AZ268*Credit_Assumptions!$H$33</f>
        <v/>
      </c>
      <c r="BA271" s="80">
        <f>BA263*Credit_Assumptions!$H$28+BA264*Credit_Assumptions!$H$29+BA265*Credit_Assumptions!$H$30+BA266*Credit_Assumptions!$H$31+BA267*Credit_Assumptions!$H$32+BA268*Credit_Assumptions!$H$33</f>
        <v/>
      </c>
      <c r="BB271" s="80">
        <f>BB263*Credit_Assumptions!$H$28+BB264*Credit_Assumptions!$H$29+BB265*Credit_Assumptions!$H$30+BB266*Credit_Assumptions!$H$31+BB267*Credit_Assumptions!$H$32+BB268*Credit_Assumptions!$H$33</f>
        <v/>
      </c>
      <c r="BC271" s="80">
        <f>BC263*Credit_Assumptions!$H$28+BC264*Credit_Assumptions!$H$29+BC265*Credit_Assumptions!$H$30+BC266*Credit_Assumptions!$H$31+BC267*Credit_Assumptions!$H$32+BC268*Credit_Assumptions!$H$33</f>
        <v/>
      </c>
      <c r="BD271" s="80">
        <f>BD263*Credit_Assumptions!$H$28+BD264*Credit_Assumptions!$H$29+BD265*Credit_Assumptions!$H$30+BD266*Credit_Assumptions!$H$31+BD267*Credit_Assumptions!$H$32+BD268*Credit_Assumptions!$H$33</f>
        <v/>
      </c>
      <c r="BE271" s="80">
        <f>BE263*Credit_Assumptions!$H$28+BE264*Credit_Assumptions!$H$29+BE265*Credit_Assumptions!$H$30+BE266*Credit_Assumptions!$H$31+BE267*Credit_Assumptions!$H$32+BE268*Credit_Assumptions!$H$33</f>
        <v/>
      </c>
      <c r="BF271" s="80">
        <f>BF263*Credit_Assumptions!$H$28+BF264*Credit_Assumptions!$H$29+BF265*Credit_Assumptions!$H$30+BF266*Credit_Assumptions!$H$31+BF267*Credit_Assumptions!$H$32+BF268*Credit_Assumptions!$H$33</f>
        <v/>
      </c>
      <c r="BG271" s="80">
        <f>BG263*Credit_Assumptions!$H$28+BG264*Credit_Assumptions!$H$29+BG265*Credit_Assumptions!$H$30+BG266*Credit_Assumptions!$H$31+BG267*Credit_Assumptions!$H$32+BG268*Credit_Assumptions!$H$33</f>
        <v/>
      </c>
      <c r="BH271" s="80">
        <f>BH263*Credit_Assumptions!$H$28+BH264*Credit_Assumptions!$H$29+BH265*Credit_Assumptions!$H$30+BH266*Credit_Assumptions!$H$31+BH267*Credit_Assumptions!$H$32+BH268*Credit_Assumptions!$H$33</f>
        <v/>
      </c>
      <c r="BI271" s="80">
        <f>BI263*Credit_Assumptions!$H$28+BI264*Credit_Assumptions!$H$29+BI265*Credit_Assumptions!$H$30+BI266*Credit_Assumptions!$H$31+BI267*Credit_Assumptions!$H$32+BI268*Credit_Assumptions!$H$33</f>
        <v/>
      </c>
      <c r="BJ271" s="80">
        <f>BJ263*Credit_Assumptions!$H$28+BJ264*Credit_Assumptions!$H$29+BJ265*Credit_Assumptions!$H$30+BJ266*Credit_Assumptions!$H$31+BJ267*Credit_Assumptions!$H$32+BJ268*Credit_Assumptions!$H$33</f>
        <v/>
      </c>
      <c r="BK271" s="80">
        <f>BK263*Credit_Assumptions!$H$28+BK264*Credit_Assumptions!$H$29+BK265*Credit_Assumptions!$H$30+BK266*Credit_Assumptions!$H$31+BK267*Credit_Assumptions!$H$32+BK268*Credit_Assumptions!$H$33</f>
        <v/>
      </c>
      <c r="BL271" s="80">
        <f>BL263*Credit_Assumptions!$H$28+BL264*Credit_Assumptions!$H$29+BL265*Credit_Assumptions!$H$30+BL266*Credit_Assumptions!$H$31+BL267*Credit_Assumptions!$H$32+BL268*Credit_Assumptions!$H$33</f>
        <v/>
      </c>
    </row>
    <row r="272">
      <c r="A272" s="98" t="inlineStr">
        <is>
          <t>Gross resale proceeds</t>
        </is>
      </c>
      <c r="B272" s="65" t="inlineStr">
        <is>
          <t>LCY</t>
        </is>
      </c>
      <c r="C272" s="105">
        <f>SUM(E272:BL272)</f>
        <v/>
      </c>
      <c r="E272" s="80">
        <f>IF(Credit_Assumptions!$C$5=1,E245,INDEX(Credit_Input!$M$264:$M$323,E$4))</f>
        <v/>
      </c>
      <c r="F272" s="80">
        <f>IF(Credit_Assumptions!$C$5=1,F245,INDEX(Credit_Input!$M$264:$M$323,F$4))</f>
        <v/>
      </c>
      <c r="G272" s="80">
        <f>IF(Credit_Assumptions!$C$5=1,G245,INDEX(Credit_Input!$M$264:$M$323,G$4))</f>
        <v/>
      </c>
      <c r="H272" s="80">
        <f>IF(Credit_Assumptions!$C$5=1,H245,INDEX(Credit_Input!$M$264:$M$323,H$4))</f>
        <v/>
      </c>
      <c r="I272" s="80">
        <f>IF(Credit_Assumptions!$C$5=1,I245,INDEX(Credit_Input!$M$264:$M$323,I$4))</f>
        <v/>
      </c>
      <c r="J272" s="80">
        <f>IF(Credit_Assumptions!$C$5=1,J245,INDEX(Credit_Input!$M$264:$M$323,J$4))</f>
        <v/>
      </c>
      <c r="K272" s="80">
        <f>IF(Credit_Assumptions!$C$5=1,K245,INDEX(Credit_Input!$M$264:$M$323,K$4))</f>
        <v/>
      </c>
      <c r="L272" s="80">
        <f>IF(Credit_Assumptions!$C$5=1,L245,INDEX(Credit_Input!$M$264:$M$323,L$4))</f>
        <v/>
      </c>
      <c r="M272" s="80">
        <f>IF(Credit_Assumptions!$C$5=1,M245,INDEX(Credit_Input!$M$264:$M$323,M$4))</f>
        <v/>
      </c>
      <c r="N272" s="80">
        <f>IF(Credit_Assumptions!$C$5=1,N245,INDEX(Credit_Input!$M$264:$M$323,N$4))</f>
        <v/>
      </c>
      <c r="O272" s="80">
        <f>IF(Credit_Assumptions!$C$5=1,O245,INDEX(Credit_Input!$M$264:$M$323,O$4))</f>
        <v/>
      </c>
      <c r="P272" s="80">
        <f>IF(Credit_Assumptions!$C$5=1,P245,INDEX(Credit_Input!$M$264:$M$323,P$4))</f>
        <v/>
      </c>
      <c r="Q272" s="80">
        <f>IF(Credit_Assumptions!$C$5=1,Q245,INDEX(Credit_Input!$M$264:$M$323,Q$4))</f>
        <v/>
      </c>
      <c r="R272" s="80">
        <f>IF(Credit_Assumptions!$C$5=1,R245,INDEX(Credit_Input!$M$264:$M$323,R$4))</f>
        <v/>
      </c>
      <c r="S272" s="80">
        <f>IF(Credit_Assumptions!$C$5=1,S245,INDEX(Credit_Input!$M$264:$M$323,S$4))</f>
        <v/>
      </c>
      <c r="T272" s="80">
        <f>IF(Credit_Assumptions!$C$5=1,T245,INDEX(Credit_Input!$M$264:$M$323,T$4))</f>
        <v/>
      </c>
      <c r="U272" s="80">
        <f>IF(Credit_Assumptions!$C$5=1,U245,INDEX(Credit_Input!$M$264:$M$323,U$4))</f>
        <v/>
      </c>
      <c r="V272" s="80">
        <f>IF(Credit_Assumptions!$C$5=1,V245,INDEX(Credit_Input!$M$264:$M$323,V$4))</f>
        <v/>
      </c>
      <c r="W272" s="80">
        <f>IF(Credit_Assumptions!$C$5=1,W245,INDEX(Credit_Input!$M$264:$M$323,W$4))</f>
        <v/>
      </c>
      <c r="X272" s="80">
        <f>IF(Credit_Assumptions!$C$5=1,X245,INDEX(Credit_Input!$M$264:$M$323,X$4))</f>
        <v/>
      </c>
      <c r="Y272" s="80">
        <f>IF(Credit_Assumptions!$C$5=1,Y245,INDEX(Credit_Input!$M$264:$M$323,Y$4))</f>
        <v/>
      </c>
      <c r="Z272" s="80">
        <f>IF(Credit_Assumptions!$C$5=1,Z245,INDEX(Credit_Input!$M$264:$M$323,Z$4))</f>
        <v/>
      </c>
      <c r="AA272" s="80">
        <f>IF(Credit_Assumptions!$C$5=1,AA245,INDEX(Credit_Input!$M$264:$M$323,AA$4))</f>
        <v/>
      </c>
      <c r="AB272" s="80">
        <f>IF(Credit_Assumptions!$C$5=1,AB245,INDEX(Credit_Input!$M$264:$M$323,AB$4))</f>
        <v/>
      </c>
      <c r="AC272" s="80">
        <f>IF(Credit_Assumptions!$C$5=1,AC245,INDEX(Credit_Input!$M$264:$M$323,AC$4))</f>
        <v/>
      </c>
      <c r="AD272" s="80">
        <f>IF(Credit_Assumptions!$C$5=1,AD245,INDEX(Credit_Input!$M$264:$M$323,AD$4))</f>
        <v/>
      </c>
      <c r="AE272" s="80">
        <f>IF(Credit_Assumptions!$C$5=1,AE245,INDEX(Credit_Input!$M$264:$M$323,AE$4))</f>
        <v/>
      </c>
      <c r="AF272" s="80">
        <f>IF(Credit_Assumptions!$C$5=1,AF245,INDEX(Credit_Input!$M$264:$M$323,AF$4))</f>
        <v/>
      </c>
      <c r="AG272" s="80">
        <f>IF(Credit_Assumptions!$C$5=1,AG245,INDEX(Credit_Input!$M$264:$M$323,AG$4))</f>
        <v/>
      </c>
      <c r="AH272" s="80">
        <f>IF(Credit_Assumptions!$C$5=1,AH245,INDEX(Credit_Input!$M$264:$M$323,AH$4))</f>
        <v/>
      </c>
      <c r="AI272" s="80">
        <f>IF(Credit_Assumptions!$C$5=1,AI245,INDEX(Credit_Input!$M$264:$M$323,AI$4))</f>
        <v/>
      </c>
      <c r="AJ272" s="80">
        <f>IF(Credit_Assumptions!$C$5=1,AJ245,INDEX(Credit_Input!$M$264:$M$323,AJ$4))</f>
        <v/>
      </c>
      <c r="AK272" s="80">
        <f>IF(Credit_Assumptions!$C$5=1,AK245,INDEX(Credit_Input!$M$264:$M$323,AK$4))</f>
        <v/>
      </c>
      <c r="AL272" s="80">
        <f>IF(Credit_Assumptions!$C$5=1,AL245,INDEX(Credit_Input!$M$264:$M$323,AL$4))</f>
        <v/>
      </c>
      <c r="AM272" s="80">
        <f>IF(Credit_Assumptions!$C$5=1,AM245,INDEX(Credit_Input!$M$264:$M$323,AM$4))</f>
        <v/>
      </c>
      <c r="AN272" s="80">
        <f>IF(Credit_Assumptions!$C$5=1,AN245,INDEX(Credit_Input!$M$264:$M$323,AN$4))</f>
        <v/>
      </c>
      <c r="AO272" s="80">
        <f>IF(Credit_Assumptions!$C$5=1,AO245,INDEX(Credit_Input!$M$264:$M$323,AO$4))</f>
        <v/>
      </c>
      <c r="AP272" s="80">
        <f>IF(Credit_Assumptions!$C$5=1,AP245,INDEX(Credit_Input!$M$264:$M$323,AP$4))</f>
        <v/>
      </c>
      <c r="AQ272" s="80">
        <f>IF(Credit_Assumptions!$C$5=1,AQ245,INDEX(Credit_Input!$M$264:$M$323,AQ$4))</f>
        <v/>
      </c>
      <c r="AR272" s="80">
        <f>IF(Credit_Assumptions!$C$5=1,AR245,INDEX(Credit_Input!$M$264:$M$323,AR$4))</f>
        <v/>
      </c>
      <c r="AS272" s="80">
        <f>IF(Credit_Assumptions!$C$5=1,AS245,INDEX(Credit_Input!$M$264:$M$323,AS$4))</f>
        <v/>
      </c>
      <c r="AT272" s="80">
        <f>IF(Credit_Assumptions!$C$5=1,AT245,INDEX(Credit_Input!$M$264:$M$323,AT$4))</f>
        <v/>
      </c>
      <c r="AU272" s="80">
        <f>IF(Credit_Assumptions!$C$5=1,AU245,INDEX(Credit_Input!$M$264:$M$323,AU$4))</f>
        <v/>
      </c>
      <c r="AV272" s="80">
        <f>IF(Credit_Assumptions!$C$5=1,AV245,INDEX(Credit_Input!$M$264:$M$323,AV$4))</f>
        <v/>
      </c>
      <c r="AW272" s="80">
        <f>IF(Credit_Assumptions!$C$5=1,AW245,INDEX(Credit_Input!$M$264:$M$323,AW$4))</f>
        <v/>
      </c>
      <c r="AX272" s="80">
        <f>IF(Credit_Assumptions!$C$5=1,AX245,INDEX(Credit_Input!$M$264:$M$323,AX$4))</f>
        <v/>
      </c>
      <c r="AY272" s="80">
        <f>IF(Credit_Assumptions!$C$5=1,AY245,INDEX(Credit_Input!$M$264:$M$323,AY$4))</f>
        <v/>
      </c>
      <c r="AZ272" s="80">
        <f>IF(Credit_Assumptions!$C$5=1,AZ245,INDEX(Credit_Input!$M$264:$M$323,AZ$4))</f>
        <v/>
      </c>
      <c r="BA272" s="80">
        <f>IF(Credit_Assumptions!$C$5=1,BA245,INDEX(Credit_Input!$M$264:$M$323,BA$4))</f>
        <v/>
      </c>
      <c r="BB272" s="80">
        <f>IF(Credit_Assumptions!$C$5=1,BB245,INDEX(Credit_Input!$M$264:$M$323,BB$4))</f>
        <v/>
      </c>
      <c r="BC272" s="80">
        <f>IF(Credit_Assumptions!$C$5=1,BC245,INDEX(Credit_Input!$M$264:$M$323,BC$4))</f>
        <v/>
      </c>
      <c r="BD272" s="80">
        <f>IF(Credit_Assumptions!$C$5=1,BD245,INDEX(Credit_Input!$M$264:$M$323,BD$4))</f>
        <v/>
      </c>
      <c r="BE272" s="80">
        <f>IF(Credit_Assumptions!$C$5=1,BE245,INDEX(Credit_Input!$M$264:$M$323,BE$4))</f>
        <v/>
      </c>
      <c r="BF272" s="80">
        <f>IF(Credit_Assumptions!$C$5=1,BF245,INDEX(Credit_Input!$M$264:$M$323,BF$4))</f>
        <v/>
      </c>
      <c r="BG272" s="80">
        <f>IF(Credit_Assumptions!$C$5=1,BG245,INDEX(Credit_Input!$M$264:$M$323,BG$4))</f>
        <v/>
      </c>
      <c r="BH272" s="80">
        <f>IF(Credit_Assumptions!$C$5=1,BH245,INDEX(Credit_Input!$M$264:$M$323,BH$4))</f>
        <v/>
      </c>
      <c r="BI272" s="80">
        <f>IF(Credit_Assumptions!$C$5=1,BI245,INDEX(Credit_Input!$M$264:$M$323,BI$4))</f>
        <v/>
      </c>
      <c r="BJ272" s="80">
        <f>IF(Credit_Assumptions!$C$5=1,BJ245,INDEX(Credit_Input!$M$264:$M$323,BJ$4))</f>
        <v/>
      </c>
      <c r="BK272" s="80">
        <f>IF(Credit_Assumptions!$C$5=1,BK245,INDEX(Credit_Input!$M$264:$M$323,BK$4))</f>
        <v/>
      </c>
      <c r="BL272" s="80">
        <f>IF(Credit_Assumptions!$C$5=1,BL245,INDEX(Credit_Input!$M$264:$M$323,BL$4))</f>
        <v/>
      </c>
    </row>
    <row r="273">
      <c r="A273" s="98" t="inlineStr">
        <is>
          <t>Recovery costs</t>
        </is>
      </c>
      <c r="B273" s="65" t="inlineStr">
        <is>
          <t>LCY</t>
        </is>
      </c>
      <c r="C273" s="105">
        <f>SUM(E273:BL273)</f>
        <v/>
      </c>
      <c r="E273" s="80">
        <f>IF(Credit_Assumptions!$C$5=1,E246,INDEX(Credit_Input!$N$264:$N$323,E$4))</f>
        <v/>
      </c>
      <c r="F273" s="80">
        <f>IF(Credit_Assumptions!$C$5=1,F246,INDEX(Credit_Input!$N$264:$N$323,F$4))</f>
        <v/>
      </c>
      <c r="G273" s="80">
        <f>IF(Credit_Assumptions!$C$5=1,G246,INDEX(Credit_Input!$N$264:$N$323,G$4))</f>
        <v/>
      </c>
      <c r="H273" s="80">
        <f>IF(Credit_Assumptions!$C$5=1,H246,INDEX(Credit_Input!$N$264:$N$323,H$4))</f>
        <v/>
      </c>
      <c r="I273" s="80">
        <f>IF(Credit_Assumptions!$C$5=1,I246,INDEX(Credit_Input!$N$264:$N$323,I$4))</f>
        <v/>
      </c>
      <c r="J273" s="80">
        <f>IF(Credit_Assumptions!$C$5=1,J246,INDEX(Credit_Input!$N$264:$N$323,J$4))</f>
        <v/>
      </c>
      <c r="K273" s="80">
        <f>IF(Credit_Assumptions!$C$5=1,K246,INDEX(Credit_Input!$N$264:$N$323,K$4))</f>
        <v/>
      </c>
      <c r="L273" s="80">
        <f>IF(Credit_Assumptions!$C$5=1,L246,INDEX(Credit_Input!$N$264:$N$323,L$4))</f>
        <v/>
      </c>
      <c r="M273" s="80">
        <f>IF(Credit_Assumptions!$C$5=1,M246,INDEX(Credit_Input!$N$264:$N$323,M$4))</f>
        <v/>
      </c>
      <c r="N273" s="80">
        <f>IF(Credit_Assumptions!$C$5=1,N246,INDEX(Credit_Input!$N$264:$N$323,N$4))</f>
        <v/>
      </c>
      <c r="O273" s="80">
        <f>IF(Credit_Assumptions!$C$5=1,O246,INDEX(Credit_Input!$N$264:$N$323,O$4))</f>
        <v/>
      </c>
      <c r="P273" s="80">
        <f>IF(Credit_Assumptions!$C$5=1,P246,INDEX(Credit_Input!$N$264:$N$323,P$4))</f>
        <v/>
      </c>
      <c r="Q273" s="80">
        <f>IF(Credit_Assumptions!$C$5=1,Q246,INDEX(Credit_Input!$N$264:$N$323,Q$4))</f>
        <v/>
      </c>
      <c r="R273" s="80">
        <f>IF(Credit_Assumptions!$C$5=1,R246,INDEX(Credit_Input!$N$264:$N$323,R$4))</f>
        <v/>
      </c>
      <c r="S273" s="80">
        <f>IF(Credit_Assumptions!$C$5=1,S246,INDEX(Credit_Input!$N$264:$N$323,S$4))</f>
        <v/>
      </c>
      <c r="T273" s="80">
        <f>IF(Credit_Assumptions!$C$5=1,T246,INDEX(Credit_Input!$N$264:$N$323,T$4))</f>
        <v/>
      </c>
      <c r="U273" s="80">
        <f>IF(Credit_Assumptions!$C$5=1,U246,INDEX(Credit_Input!$N$264:$N$323,U$4))</f>
        <v/>
      </c>
      <c r="V273" s="80">
        <f>IF(Credit_Assumptions!$C$5=1,V246,INDEX(Credit_Input!$N$264:$N$323,V$4))</f>
        <v/>
      </c>
      <c r="W273" s="80">
        <f>IF(Credit_Assumptions!$C$5=1,W246,INDEX(Credit_Input!$N$264:$N$323,W$4))</f>
        <v/>
      </c>
      <c r="X273" s="80">
        <f>IF(Credit_Assumptions!$C$5=1,X246,INDEX(Credit_Input!$N$264:$N$323,X$4))</f>
        <v/>
      </c>
      <c r="Y273" s="80">
        <f>IF(Credit_Assumptions!$C$5=1,Y246,INDEX(Credit_Input!$N$264:$N$323,Y$4))</f>
        <v/>
      </c>
      <c r="Z273" s="80">
        <f>IF(Credit_Assumptions!$C$5=1,Z246,INDEX(Credit_Input!$N$264:$N$323,Z$4))</f>
        <v/>
      </c>
      <c r="AA273" s="80">
        <f>IF(Credit_Assumptions!$C$5=1,AA246,INDEX(Credit_Input!$N$264:$N$323,AA$4))</f>
        <v/>
      </c>
      <c r="AB273" s="80">
        <f>IF(Credit_Assumptions!$C$5=1,AB246,INDEX(Credit_Input!$N$264:$N$323,AB$4))</f>
        <v/>
      </c>
      <c r="AC273" s="80">
        <f>IF(Credit_Assumptions!$C$5=1,AC246,INDEX(Credit_Input!$N$264:$N$323,AC$4))</f>
        <v/>
      </c>
      <c r="AD273" s="80">
        <f>IF(Credit_Assumptions!$C$5=1,AD246,INDEX(Credit_Input!$N$264:$N$323,AD$4))</f>
        <v/>
      </c>
      <c r="AE273" s="80">
        <f>IF(Credit_Assumptions!$C$5=1,AE246,INDEX(Credit_Input!$N$264:$N$323,AE$4))</f>
        <v/>
      </c>
      <c r="AF273" s="80">
        <f>IF(Credit_Assumptions!$C$5=1,AF246,INDEX(Credit_Input!$N$264:$N$323,AF$4))</f>
        <v/>
      </c>
      <c r="AG273" s="80">
        <f>IF(Credit_Assumptions!$C$5=1,AG246,INDEX(Credit_Input!$N$264:$N$323,AG$4))</f>
        <v/>
      </c>
      <c r="AH273" s="80">
        <f>IF(Credit_Assumptions!$C$5=1,AH246,INDEX(Credit_Input!$N$264:$N$323,AH$4))</f>
        <v/>
      </c>
      <c r="AI273" s="80">
        <f>IF(Credit_Assumptions!$C$5=1,AI246,INDEX(Credit_Input!$N$264:$N$323,AI$4))</f>
        <v/>
      </c>
      <c r="AJ273" s="80">
        <f>IF(Credit_Assumptions!$C$5=1,AJ246,INDEX(Credit_Input!$N$264:$N$323,AJ$4))</f>
        <v/>
      </c>
      <c r="AK273" s="80">
        <f>IF(Credit_Assumptions!$C$5=1,AK246,INDEX(Credit_Input!$N$264:$N$323,AK$4))</f>
        <v/>
      </c>
      <c r="AL273" s="80">
        <f>IF(Credit_Assumptions!$C$5=1,AL246,INDEX(Credit_Input!$N$264:$N$323,AL$4))</f>
        <v/>
      </c>
      <c r="AM273" s="80">
        <f>IF(Credit_Assumptions!$C$5=1,AM246,INDEX(Credit_Input!$N$264:$N$323,AM$4))</f>
        <v/>
      </c>
      <c r="AN273" s="80">
        <f>IF(Credit_Assumptions!$C$5=1,AN246,INDEX(Credit_Input!$N$264:$N$323,AN$4))</f>
        <v/>
      </c>
      <c r="AO273" s="80">
        <f>IF(Credit_Assumptions!$C$5=1,AO246,INDEX(Credit_Input!$N$264:$N$323,AO$4))</f>
        <v/>
      </c>
      <c r="AP273" s="80">
        <f>IF(Credit_Assumptions!$C$5=1,AP246,INDEX(Credit_Input!$N$264:$N$323,AP$4))</f>
        <v/>
      </c>
      <c r="AQ273" s="80">
        <f>IF(Credit_Assumptions!$C$5=1,AQ246,INDEX(Credit_Input!$N$264:$N$323,AQ$4))</f>
        <v/>
      </c>
      <c r="AR273" s="80">
        <f>IF(Credit_Assumptions!$C$5=1,AR246,INDEX(Credit_Input!$N$264:$N$323,AR$4))</f>
        <v/>
      </c>
      <c r="AS273" s="80">
        <f>IF(Credit_Assumptions!$C$5=1,AS246,INDEX(Credit_Input!$N$264:$N$323,AS$4))</f>
        <v/>
      </c>
      <c r="AT273" s="80">
        <f>IF(Credit_Assumptions!$C$5=1,AT246,INDEX(Credit_Input!$N$264:$N$323,AT$4))</f>
        <v/>
      </c>
      <c r="AU273" s="80">
        <f>IF(Credit_Assumptions!$C$5=1,AU246,INDEX(Credit_Input!$N$264:$N$323,AU$4))</f>
        <v/>
      </c>
      <c r="AV273" s="80">
        <f>IF(Credit_Assumptions!$C$5=1,AV246,INDEX(Credit_Input!$N$264:$N$323,AV$4))</f>
        <v/>
      </c>
      <c r="AW273" s="80">
        <f>IF(Credit_Assumptions!$C$5=1,AW246,INDEX(Credit_Input!$N$264:$N$323,AW$4))</f>
        <v/>
      </c>
      <c r="AX273" s="80">
        <f>IF(Credit_Assumptions!$C$5=1,AX246,INDEX(Credit_Input!$N$264:$N$323,AX$4))</f>
        <v/>
      </c>
      <c r="AY273" s="80">
        <f>IF(Credit_Assumptions!$C$5=1,AY246,INDEX(Credit_Input!$N$264:$N$323,AY$4))</f>
        <v/>
      </c>
      <c r="AZ273" s="80">
        <f>IF(Credit_Assumptions!$C$5=1,AZ246,INDEX(Credit_Input!$N$264:$N$323,AZ$4))</f>
        <v/>
      </c>
      <c r="BA273" s="80">
        <f>IF(Credit_Assumptions!$C$5=1,BA246,INDEX(Credit_Input!$N$264:$N$323,BA$4))</f>
        <v/>
      </c>
      <c r="BB273" s="80">
        <f>IF(Credit_Assumptions!$C$5=1,BB246,INDEX(Credit_Input!$N$264:$N$323,BB$4))</f>
        <v/>
      </c>
      <c r="BC273" s="80">
        <f>IF(Credit_Assumptions!$C$5=1,BC246,INDEX(Credit_Input!$N$264:$N$323,BC$4))</f>
        <v/>
      </c>
      <c r="BD273" s="80">
        <f>IF(Credit_Assumptions!$C$5=1,BD246,INDEX(Credit_Input!$N$264:$N$323,BD$4))</f>
        <v/>
      </c>
      <c r="BE273" s="80">
        <f>IF(Credit_Assumptions!$C$5=1,BE246,INDEX(Credit_Input!$N$264:$N$323,BE$4))</f>
        <v/>
      </c>
      <c r="BF273" s="80">
        <f>IF(Credit_Assumptions!$C$5=1,BF246,INDEX(Credit_Input!$N$264:$N$323,BF$4))</f>
        <v/>
      </c>
      <c r="BG273" s="80">
        <f>IF(Credit_Assumptions!$C$5=1,BG246,INDEX(Credit_Input!$N$264:$N$323,BG$4))</f>
        <v/>
      </c>
      <c r="BH273" s="80">
        <f>IF(Credit_Assumptions!$C$5=1,BH246,INDEX(Credit_Input!$N$264:$N$323,BH$4))</f>
        <v/>
      </c>
      <c r="BI273" s="80">
        <f>IF(Credit_Assumptions!$C$5=1,BI246,INDEX(Credit_Input!$N$264:$N$323,BI$4))</f>
        <v/>
      </c>
      <c r="BJ273" s="80">
        <f>IF(Credit_Assumptions!$C$5=1,BJ246,INDEX(Credit_Input!$N$264:$N$323,BJ$4))</f>
        <v/>
      </c>
      <c r="BK273" s="80">
        <f>IF(Credit_Assumptions!$C$5=1,BK246,INDEX(Credit_Input!$N$264:$N$323,BK$4))</f>
        <v/>
      </c>
      <c r="BL273" s="80">
        <f>IF(Credit_Assumptions!$C$5=1,BL246,INDEX(Credit_Input!$N$264:$N$323,BL$4))</f>
        <v/>
      </c>
    </row>
    <row r="274">
      <c r="A274" s="98" t="inlineStr">
        <is>
          <t>Repossessions (units, approx.)</t>
        </is>
      </c>
      <c r="B274" s="65" t="inlineStr">
        <is>
          <t>LCY</t>
        </is>
      </c>
      <c r="C274" s="105">
        <f>SUM(E274:BL274)</f>
        <v/>
      </c>
      <c r="E274" s="80">
        <f>IF(Credit_Assumptions!$C$5=1,E247,INDEX(Credit_Input!$L$264:$L$323,E$4))</f>
        <v/>
      </c>
      <c r="F274" s="80">
        <f>IF(Credit_Assumptions!$C$5=1,F247,INDEX(Credit_Input!$L$264:$L$323,F$4))</f>
        <v/>
      </c>
      <c r="G274" s="80">
        <f>IF(Credit_Assumptions!$C$5=1,G247,INDEX(Credit_Input!$L$264:$L$323,G$4))</f>
        <v/>
      </c>
      <c r="H274" s="80">
        <f>IF(Credit_Assumptions!$C$5=1,H247,INDEX(Credit_Input!$L$264:$L$323,H$4))</f>
        <v/>
      </c>
      <c r="I274" s="80">
        <f>IF(Credit_Assumptions!$C$5=1,I247,INDEX(Credit_Input!$L$264:$L$323,I$4))</f>
        <v/>
      </c>
      <c r="J274" s="80">
        <f>IF(Credit_Assumptions!$C$5=1,J247,INDEX(Credit_Input!$L$264:$L$323,J$4))</f>
        <v/>
      </c>
      <c r="K274" s="80">
        <f>IF(Credit_Assumptions!$C$5=1,K247,INDEX(Credit_Input!$L$264:$L$323,K$4))</f>
        <v/>
      </c>
      <c r="L274" s="80">
        <f>IF(Credit_Assumptions!$C$5=1,L247,INDEX(Credit_Input!$L$264:$L$323,L$4))</f>
        <v/>
      </c>
      <c r="M274" s="80">
        <f>IF(Credit_Assumptions!$C$5=1,M247,INDEX(Credit_Input!$L$264:$L$323,M$4))</f>
        <v/>
      </c>
      <c r="N274" s="80">
        <f>IF(Credit_Assumptions!$C$5=1,N247,INDEX(Credit_Input!$L$264:$L$323,N$4))</f>
        <v/>
      </c>
      <c r="O274" s="80">
        <f>IF(Credit_Assumptions!$C$5=1,O247,INDEX(Credit_Input!$L$264:$L$323,O$4))</f>
        <v/>
      </c>
      <c r="P274" s="80">
        <f>IF(Credit_Assumptions!$C$5=1,P247,INDEX(Credit_Input!$L$264:$L$323,P$4))</f>
        <v/>
      </c>
      <c r="Q274" s="80">
        <f>IF(Credit_Assumptions!$C$5=1,Q247,INDEX(Credit_Input!$L$264:$L$323,Q$4))</f>
        <v/>
      </c>
      <c r="R274" s="80">
        <f>IF(Credit_Assumptions!$C$5=1,R247,INDEX(Credit_Input!$L$264:$L$323,R$4))</f>
        <v/>
      </c>
      <c r="S274" s="80">
        <f>IF(Credit_Assumptions!$C$5=1,S247,INDEX(Credit_Input!$L$264:$L$323,S$4))</f>
        <v/>
      </c>
      <c r="T274" s="80">
        <f>IF(Credit_Assumptions!$C$5=1,T247,INDEX(Credit_Input!$L$264:$L$323,T$4))</f>
        <v/>
      </c>
      <c r="U274" s="80">
        <f>IF(Credit_Assumptions!$C$5=1,U247,INDEX(Credit_Input!$L$264:$L$323,U$4))</f>
        <v/>
      </c>
      <c r="V274" s="80">
        <f>IF(Credit_Assumptions!$C$5=1,V247,INDEX(Credit_Input!$L$264:$L$323,V$4))</f>
        <v/>
      </c>
      <c r="W274" s="80">
        <f>IF(Credit_Assumptions!$C$5=1,W247,INDEX(Credit_Input!$L$264:$L$323,W$4))</f>
        <v/>
      </c>
      <c r="X274" s="80">
        <f>IF(Credit_Assumptions!$C$5=1,X247,INDEX(Credit_Input!$L$264:$L$323,X$4))</f>
        <v/>
      </c>
      <c r="Y274" s="80">
        <f>IF(Credit_Assumptions!$C$5=1,Y247,INDEX(Credit_Input!$L$264:$L$323,Y$4))</f>
        <v/>
      </c>
      <c r="Z274" s="80">
        <f>IF(Credit_Assumptions!$C$5=1,Z247,INDEX(Credit_Input!$L$264:$L$323,Z$4))</f>
        <v/>
      </c>
      <c r="AA274" s="80">
        <f>IF(Credit_Assumptions!$C$5=1,AA247,INDEX(Credit_Input!$L$264:$L$323,AA$4))</f>
        <v/>
      </c>
      <c r="AB274" s="80">
        <f>IF(Credit_Assumptions!$C$5=1,AB247,INDEX(Credit_Input!$L$264:$L$323,AB$4))</f>
        <v/>
      </c>
      <c r="AC274" s="80">
        <f>IF(Credit_Assumptions!$C$5=1,AC247,INDEX(Credit_Input!$L$264:$L$323,AC$4))</f>
        <v/>
      </c>
      <c r="AD274" s="80">
        <f>IF(Credit_Assumptions!$C$5=1,AD247,INDEX(Credit_Input!$L$264:$L$323,AD$4))</f>
        <v/>
      </c>
      <c r="AE274" s="80">
        <f>IF(Credit_Assumptions!$C$5=1,AE247,INDEX(Credit_Input!$L$264:$L$323,AE$4))</f>
        <v/>
      </c>
      <c r="AF274" s="80">
        <f>IF(Credit_Assumptions!$C$5=1,AF247,INDEX(Credit_Input!$L$264:$L$323,AF$4))</f>
        <v/>
      </c>
      <c r="AG274" s="80">
        <f>IF(Credit_Assumptions!$C$5=1,AG247,INDEX(Credit_Input!$L$264:$L$323,AG$4))</f>
        <v/>
      </c>
      <c r="AH274" s="80">
        <f>IF(Credit_Assumptions!$C$5=1,AH247,INDEX(Credit_Input!$L$264:$L$323,AH$4))</f>
        <v/>
      </c>
      <c r="AI274" s="80">
        <f>IF(Credit_Assumptions!$C$5=1,AI247,INDEX(Credit_Input!$L$264:$L$323,AI$4))</f>
        <v/>
      </c>
      <c r="AJ274" s="80">
        <f>IF(Credit_Assumptions!$C$5=1,AJ247,INDEX(Credit_Input!$L$264:$L$323,AJ$4))</f>
        <v/>
      </c>
      <c r="AK274" s="80">
        <f>IF(Credit_Assumptions!$C$5=1,AK247,INDEX(Credit_Input!$L$264:$L$323,AK$4))</f>
        <v/>
      </c>
      <c r="AL274" s="80">
        <f>IF(Credit_Assumptions!$C$5=1,AL247,INDEX(Credit_Input!$L$264:$L$323,AL$4))</f>
        <v/>
      </c>
      <c r="AM274" s="80">
        <f>IF(Credit_Assumptions!$C$5=1,AM247,INDEX(Credit_Input!$L$264:$L$323,AM$4))</f>
        <v/>
      </c>
      <c r="AN274" s="80">
        <f>IF(Credit_Assumptions!$C$5=1,AN247,INDEX(Credit_Input!$L$264:$L$323,AN$4))</f>
        <v/>
      </c>
      <c r="AO274" s="80">
        <f>IF(Credit_Assumptions!$C$5=1,AO247,INDEX(Credit_Input!$L$264:$L$323,AO$4))</f>
        <v/>
      </c>
      <c r="AP274" s="80">
        <f>IF(Credit_Assumptions!$C$5=1,AP247,INDEX(Credit_Input!$L$264:$L$323,AP$4))</f>
        <v/>
      </c>
      <c r="AQ274" s="80">
        <f>IF(Credit_Assumptions!$C$5=1,AQ247,INDEX(Credit_Input!$L$264:$L$323,AQ$4))</f>
        <v/>
      </c>
      <c r="AR274" s="80">
        <f>IF(Credit_Assumptions!$C$5=1,AR247,INDEX(Credit_Input!$L$264:$L$323,AR$4))</f>
        <v/>
      </c>
      <c r="AS274" s="80">
        <f>IF(Credit_Assumptions!$C$5=1,AS247,INDEX(Credit_Input!$L$264:$L$323,AS$4))</f>
        <v/>
      </c>
      <c r="AT274" s="80">
        <f>IF(Credit_Assumptions!$C$5=1,AT247,INDEX(Credit_Input!$L$264:$L$323,AT$4))</f>
        <v/>
      </c>
      <c r="AU274" s="80">
        <f>IF(Credit_Assumptions!$C$5=1,AU247,INDEX(Credit_Input!$L$264:$L$323,AU$4))</f>
        <v/>
      </c>
      <c r="AV274" s="80">
        <f>IF(Credit_Assumptions!$C$5=1,AV247,INDEX(Credit_Input!$L$264:$L$323,AV$4))</f>
        <v/>
      </c>
      <c r="AW274" s="80">
        <f>IF(Credit_Assumptions!$C$5=1,AW247,INDEX(Credit_Input!$L$264:$L$323,AW$4))</f>
        <v/>
      </c>
      <c r="AX274" s="80">
        <f>IF(Credit_Assumptions!$C$5=1,AX247,INDEX(Credit_Input!$L$264:$L$323,AX$4))</f>
        <v/>
      </c>
      <c r="AY274" s="80">
        <f>IF(Credit_Assumptions!$C$5=1,AY247,INDEX(Credit_Input!$L$264:$L$323,AY$4))</f>
        <v/>
      </c>
      <c r="AZ274" s="80">
        <f>IF(Credit_Assumptions!$C$5=1,AZ247,INDEX(Credit_Input!$L$264:$L$323,AZ$4))</f>
        <v/>
      </c>
      <c r="BA274" s="80">
        <f>IF(Credit_Assumptions!$C$5=1,BA247,INDEX(Credit_Input!$L$264:$L$323,BA$4))</f>
        <v/>
      </c>
      <c r="BB274" s="80">
        <f>IF(Credit_Assumptions!$C$5=1,BB247,INDEX(Credit_Input!$L$264:$L$323,BB$4))</f>
        <v/>
      </c>
      <c r="BC274" s="80">
        <f>IF(Credit_Assumptions!$C$5=1,BC247,INDEX(Credit_Input!$L$264:$L$323,BC$4))</f>
        <v/>
      </c>
      <c r="BD274" s="80">
        <f>IF(Credit_Assumptions!$C$5=1,BD247,INDEX(Credit_Input!$L$264:$L$323,BD$4))</f>
        <v/>
      </c>
      <c r="BE274" s="80">
        <f>IF(Credit_Assumptions!$C$5=1,BE247,INDEX(Credit_Input!$L$264:$L$323,BE$4))</f>
        <v/>
      </c>
      <c r="BF274" s="80">
        <f>IF(Credit_Assumptions!$C$5=1,BF247,INDEX(Credit_Input!$L$264:$L$323,BF$4))</f>
        <v/>
      </c>
      <c r="BG274" s="80">
        <f>IF(Credit_Assumptions!$C$5=1,BG247,INDEX(Credit_Input!$L$264:$L$323,BG$4))</f>
        <v/>
      </c>
      <c r="BH274" s="80">
        <f>IF(Credit_Assumptions!$C$5=1,BH247,INDEX(Credit_Input!$L$264:$L$323,BH$4))</f>
        <v/>
      </c>
      <c r="BI274" s="80">
        <f>IF(Credit_Assumptions!$C$5=1,BI247,INDEX(Credit_Input!$L$264:$L$323,BI$4))</f>
        <v/>
      </c>
      <c r="BJ274" s="80">
        <f>IF(Credit_Assumptions!$C$5=1,BJ247,INDEX(Credit_Input!$L$264:$L$323,BJ$4))</f>
        <v/>
      </c>
      <c r="BK274" s="80">
        <f>IF(Credit_Assumptions!$C$5=1,BK247,INDEX(Credit_Input!$L$264:$L$323,BK$4))</f>
        <v/>
      </c>
      <c r="BL274" s="80">
        <f>IF(Credit_Assumptions!$C$5=1,BL247,INDEX(Credit_Input!$L$264:$L$323,BL$4))</f>
        <v/>
      </c>
    </row>
    <row r="275">
      <c r="A275" s="98" t="inlineStr">
        <is>
          <t>Cures (proxy engine: none)</t>
        </is>
      </c>
      <c r="B275" s="65" t="inlineStr">
        <is>
          <t>LCY</t>
        </is>
      </c>
      <c r="C275" s="105">
        <f>SUM(E275:BL275)</f>
        <v/>
      </c>
      <c r="E275" s="80">
        <f>IF(Credit_Assumptions!$C$5=1,E248,INDEX(Credit_Input!$O$264:$O$323,E$4))</f>
        <v/>
      </c>
      <c r="F275" s="80">
        <f>IF(Credit_Assumptions!$C$5=1,F248,INDEX(Credit_Input!$O$264:$O$323,F$4))</f>
        <v/>
      </c>
      <c r="G275" s="80">
        <f>IF(Credit_Assumptions!$C$5=1,G248,INDEX(Credit_Input!$O$264:$O$323,G$4))</f>
        <v/>
      </c>
      <c r="H275" s="80">
        <f>IF(Credit_Assumptions!$C$5=1,H248,INDEX(Credit_Input!$O$264:$O$323,H$4))</f>
        <v/>
      </c>
      <c r="I275" s="80">
        <f>IF(Credit_Assumptions!$C$5=1,I248,INDEX(Credit_Input!$O$264:$O$323,I$4))</f>
        <v/>
      </c>
      <c r="J275" s="80">
        <f>IF(Credit_Assumptions!$C$5=1,J248,INDEX(Credit_Input!$O$264:$O$323,J$4))</f>
        <v/>
      </c>
      <c r="K275" s="80">
        <f>IF(Credit_Assumptions!$C$5=1,K248,INDEX(Credit_Input!$O$264:$O$323,K$4))</f>
        <v/>
      </c>
      <c r="L275" s="80">
        <f>IF(Credit_Assumptions!$C$5=1,L248,INDEX(Credit_Input!$O$264:$O$323,L$4))</f>
        <v/>
      </c>
      <c r="M275" s="80">
        <f>IF(Credit_Assumptions!$C$5=1,M248,INDEX(Credit_Input!$O$264:$O$323,M$4))</f>
        <v/>
      </c>
      <c r="N275" s="80">
        <f>IF(Credit_Assumptions!$C$5=1,N248,INDEX(Credit_Input!$O$264:$O$323,N$4))</f>
        <v/>
      </c>
      <c r="O275" s="80">
        <f>IF(Credit_Assumptions!$C$5=1,O248,INDEX(Credit_Input!$O$264:$O$323,O$4))</f>
        <v/>
      </c>
      <c r="P275" s="80">
        <f>IF(Credit_Assumptions!$C$5=1,P248,INDEX(Credit_Input!$O$264:$O$323,P$4))</f>
        <v/>
      </c>
      <c r="Q275" s="80">
        <f>IF(Credit_Assumptions!$C$5=1,Q248,INDEX(Credit_Input!$O$264:$O$323,Q$4))</f>
        <v/>
      </c>
      <c r="R275" s="80">
        <f>IF(Credit_Assumptions!$C$5=1,R248,INDEX(Credit_Input!$O$264:$O$323,R$4))</f>
        <v/>
      </c>
      <c r="S275" s="80">
        <f>IF(Credit_Assumptions!$C$5=1,S248,INDEX(Credit_Input!$O$264:$O$323,S$4))</f>
        <v/>
      </c>
      <c r="T275" s="80">
        <f>IF(Credit_Assumptions!$C$5=1,T248,INDEX(Credit_Input!$O$264:$O$323,T$4))</f>
        <v/>
      </c>
      <c r="U275" s="80">
        <f>IF(Credit_Assumptions!$C$5=1,U248,INDEX(Credit_Input!$O$264:$O$323,U$4))</f>
        <v/>
      </c>
      <c r="V275" s="80">
        <f>IF(Credit_Assumptions!$C$5=1,V248,INDEX(Credit_Input!$O$264:$O$323,V$4))</f>
        <v/>
      </c>
      <c r="W275" s="80">
        <f>IF(Credit_Assumptions!$C$5=1,W248,INDEX(Credit_Input!$O$264:$O$323,W$4))</f>
        <v/>
      </c>
      <c r="X275" s="80">
        <f>IF(Credit_Assumptions!$C$5=1,X248,INDEX(Credit_Input!$O$264:$O$323,X$4))</f>
        <v/>
      </c>
      <c r="Y275" s="80">
        <f>IF(Credit_Assumptions!$C$5=1,Y248,INDEX(Credit_Input!$O$264:$O$323,Y$4))</f>
        <v/>
      </c>
      <c r="Z275" s="80">
        <f>IF(Credit_Assumptions!$C$5=1,Z248,INDEX(Credit_Input!$O$264:$O$323,Z$4))</f>
        <v/>
      </c>
      <c r="AA275" s="80">
        <f>IF(Credit_Assumptions!$C$5=1,AA248,INDEX(Credit_Input!$O$264:$O$323,AA$4))</f>
        <v/>
      </c>
      <c r="AB275" s="80">
        <f>IF(Credit_Assumptions!$C$5=1,AB248,INDEX(Credit_Input!$O$264:$O$323,AB$4))</f>
        <v/>
      </c>
      <c r="AC275" s="80">
        <f>IF(Credit_Assumptions!$C$5=1,AC248,INDEX(Credit_Input!$O$264:$O$323,AC$4))</f>
        <v/>
      </c>
      <c r="AD275" s="80">
        <f>IF(Credit_Assumptions!$C$5=1,AD248,INDEX(Credit_Input!$O$264:$O$323,AD$4))</f>
        <v/>
      </c>
      <c r="AE275" s="80">
        <f>IF(Credit_Assumptions!$C$5=1,AE248,INDEX(Credit_Input!$O$264:$O$323,AE$4))</f>
        <v/>
      </c>
      <c r="AF275" s="80">
        <f>IF(Credit_Assumptions!$C$5=1,AF248,INDEX(Credit_Input!$O$264:$O$323,AF$4))</f>
        <v/>
      </c>
      <c r="AG275" s="80">
        <f>IF(Credit_Assumptions!$C$5=1,AG248,INDEX(Credit_Input!$O$264:$O$323,AG$4))</f>
        <v/>
      </c>
      <c r="AH275" s="80">
        <f>IF(Credit_Assumptions!$C$5=1,AH248,INDEX(Credit_Input!$O$264:$O$323,AH$4))</f>
        <v/>
      </c>
      <c r="AI275" s="80">
        <f>IF(Credit_Assumptions!$C$5=1,AI248,INDEX(Credit_Input!$O$264:$O$323,AI$4))</f>
        <v/>
      </c>
      <c r="AJ275" s="80">
        <f>IF(Credit_Assumptions!$C$5=1,AJ248,INDEX(Credit_Input!$O$264:$O$323,AJ$4))</f>
        <v/>
      </c>
      <c r="AK275" s="80">
        <f>IF(Credit_Assumptions!$C$5=1,AK248,INDEX(Credit_Input!$O$264:$O$323,AK$4))</f>
        <v/>
      </c>
      <c r="AL275" s="80">
        <f>IF(Credit_Assumptions!$C$5=1,AL248,INDEX(Credit_Input!$O$264:$O$323,AL$4))</f>
        <v/>
      </c>
      <c r="AM275" s="80">
        <f>IF(Credit_Assumptions!$C$5=1,AM248,INDEX(Credit_Input!$O$264:$O$323,AM$4))</f>
        <v/>
      </c>
      <c r="AN275" s="80">
        <f>IF(Credit_Assumptions!$C$5=1,AN248,INDEX(Credit_Input!$O$264:$O$323,AN$4))</f>
        <v/>
      </c>
      <c r="AO275" s="80">
        <f>IF(Credit_Assumptions!$C$5=1,AO248,INDEX(Credit_Input!$O$264:$O$323,AO$4))</f>
        <v/>
      </c>
      <c r="AP275" s="80">
        <f>IF(Credit_Assumptions!$C$5=1,AP248,INDEX(Credit_Input!$O$264:$O$323,AP$4))</f>
        <v/>
      </c>
      <c r="AQ275" s="80">
        <f>IF(Credit_Assumptions!$C$5=1,AQ248,INDEX(Credit_Input!$O$264:$O$323,AQ$4))</f>
        <v/>
      </c>
      <c r="AR275" s="80">
        <f>IF(Credit_Assumptions!$C$5=1,AR248,INDEX(Credit_Input!$O$264:$O$323,AR$4))</f>
        <v/>
      </c>
      <c r="AS275" s="80">
        <f>IF(Credit_Assumptions!$C$5=1,AS248,INDEX(Credit_Input!$O$264:$O$323,AS$4))</f>
        <v/>
      </c>
      <c r="AT275" s="80">
        <f>IF(Credit_Assumptions!$C$5=1,AT248,INDEX(Credit_Input!$O$264:$O$323,AT$4))</f>
        <v/>
      </c>
      <c r="AU275" s="80">
        <f>IF(Credit_Assumptions!$C$5=1,AU248,INDEX(Credit_Input!$O$264:$O$323,AU$4))</f>
        <v/>
      </c>
      <c r="AV275" s="80">
        <f>IF(Credit_Assumptions!$C$5=1,AV248,INDEX(Credit_Input!$O$264:$O$323,AV$4))</f>
        <v/>
      </c>
      <c r="AW275" s="80">
        <f>IF(Credit_Assumptions!$C$5=1,AW248,INDEX(Credit_Input!$O$264:$O$323,AW$4))</f>
        <v/>
      </c>
      <c r="AX275" s="80">
        <f>IF(Credit_Assumptions!$C$5=1,AX248,INDEX(Credit_Input!$O$264:$O$323,AX$4))</f>
        <v/>
      </c>
      <c r="AY275" s="80">
        <f>IF(Credit_Assumptions!$C$5=1,AY248,INDEX(Credit_Input!$O$264:$O$323,AY$4))</f>
        <v/>
      </c>
      <c r="AZ275" s="80">
        <f>IF(Credit_Assumptions!$C$5=1,AZ248,INDEX(Credit_Input!$O$264:$O$323,AZ$4))</f>
        <v/>
      </c>
      <c r="BA275" s="80">
        <f>IF(Credit_Assumptions!$C$5=1,BA248,INDEX(Credit_Input!$O$264:$O$323,BA$4))</f>
        <v/>
      </c>
      <c r="BB275" s="80">
        <f>IF(Credit_Assumptions!$C$5=1,BB248,INDEX(Credit_Input!$O$264:$O$323,BB$4))</f>
        <v/>
      </c>
      <c r="BC275" s="80">
        <f>IF(Credit_Assumptions!$C$5=1,BC248,INDEX(Credit_Input!$O$264:$O$323,BC$4))</f>
        <v/>
      </c>
      <c r="BD275" s="80">
        <f>IF(Credit_Assumptions!$C$5=1,BD248,INDEX(Credit_Input!$O$264:$O$323,BD$4))</f>
        <v/>
      </c>
      <c r="BE275" s="80">
        <f>IF(Credit_Assumptions!$C$5=1,BE248,INDEX(Credit_Input!$O$264:$O$323,BE$4))</f>
        <v/>
      </c>
      <c r="BF275" s="80">
        <f>IF(Credit_Assumptions!$C$5=1,BF248,INDEX(Credit_Input!$O$264:$O$323,BF$4))</f>
        <v/>
      </c>
      <c r="BG275" s="80">
        <f>IF(Credit_Assumptions!$C$5=1,BG248,INDEX(Credit_Input!$O$264:$O$323,BG$4))</f>
        <v/>
      </c>
      <c r="BH275" s="80">
        <f>IF(Credit_Assumptions!$C$5=1,BH248,INDEX(Credit_Input!$O$264:$O$323,BH$4))</f>
        <v/>
      </c>
      <c r="BI275" s="80">
        <f>IF(Credit_Assumptions!$C$5=1,BI248,INDEX(Credit_Input!$O$264:$O$323,BI$4))</f>
        <v/>
      </c>
      <c r="BJ275" s="80">
        <f>IF(Credit_Assumptions!$C$5=1,BJ248,INDEX(Credit_Input!$O$264:$O$323,BJ$4))</f>
        <v/>
      </c>
      <c r="BK275" s="80">
        <f>IF(Credit_Assumptions!$C$5=1,BK248,INDEX(Credit_Input!$O$264:$O$323,BK$4))</f>
        <v/>
      </c>
      <c r="BL275" s="80">
        <f>IF(Credit_Assumptions!$C$5=1,BL248,INDEX(Credit_Input!$O$264:$O$323,BL$4))</f>
        <v/>
      </c>
    </row>
    <row r="276">
      <c r="A276" s="98" t="inlineStr">
        <is>
          <t>Write-offs</t>
        </is>
      </c>
      <c r="B276" s="65" t="inlineStr">
        <is>
          <t>LCY</t>
        </is>
      </c>
      <c r="C276" s="105">
        <f>SUM(E276:BL276)</f>
        <v/>
      </c>
      <c r="E276" s="80">
        <f>IF(Credit_Assumptions!$C$5=1,E249,INDEX(Credit_Input!$P$264:$P$323,E$4))</f>
        <v/>
      </c>
      <c r="F276" s="80">
        <f>IF(Credit_Assumptions!$C$5=1,F249,INDEX(Credit_Input!$P$264:$P$323,F$4))</f>
        <v/>
      </c>
      <c r="G276" s="80">
        <f>IF(Credit_Assumptions!$C$5=1,G249,INDEX(Credit_Input!$P$264:$P$323,G$4))</f>
        <v/>
      </c>
      <c r="H276" s="80">
        <f>IF(Credit_Assumptions!$C$5=1,H249,INDEX(Credit_Input!$P$264:$P$323,H$4))</f>
        <v/>
      </c>
      <c r="I276" s="80">
        <f>IF(Credit_Assumptions!$C$5=1,I249,INDEX(Credit_Input!$P$264:$P$323,I$4))</f>
        <v/>
      </c>
      <c r="J276" s="80">
        <f>IF(Credit_Assumptions!$C$5=1,J249,INDEX(Credit_Input!$P$264:$P$323,J$4))</f>
        <v/>
      </c>
      <c r="K276" s="80">
        <f>IF(Credit_Assumptions!$C$5=1,K249,INDEX(Credit_Input!$P$264:$P$323,K$4))</f>
        <v/>
      </c>
      <c r="L276" s="80">
        <f>IF(Credit_Assumptions!$C$5=1,L249,INDEX(Credit_Input!$P$264:$P$323,L$4))</f>
        <v/>
      </c>
      <c r="M276" s="80">
        <f>IF(Credit_Assumptions!$C$5=1,M249,INDEX(Credit_Input!$P$264:$P$323,M$4))</f>
        <v/>
      </c>
      <c r="N276" s="80">
        <f>IF(Credit_Assumptions!$C$5=1,N249,INDEX(Credit_Input!$P$264:$P$323,N$4))</f>
        <v/>
      </c>
      <c r="O276" s="80">
        <f>IF(Credit_Assumptions!$C$5=1,O249,INDEX(Credit_Input!$P$264:$P$323,O$4))</f>
        <v/>
      </c>
      <c r="P276" s="80">
        <f>IF(Credit_Assumptions!$C$5=1,P249,INDEX(Credit_Input!$P$264:$P$323,P$4))</f>
        <v/>
      </c>
      <c r="Q276" s="80">
        <f>IF(Credit_Assumptions!$C$5=1,Q249,INDEX(Credit_Input!$P$264:$P$323,Q$4))</f>
        <v/>
      </c>
      <c r="R276" s="80">
        <f>IF(Credit_Assumptions!$C$5=1,R249,INDEX(Credit_Input!$P$264:$P$323,R$4))</f>
        <v/>
      </c>
      <c r="S276" s="80">
        <f>IF(Credit_Assumptions!$C$5=1,S249,INDEX(Credit_Input!$P$264:$P$323,S$4))</f>
        <v/>
      </c>
      <c r="T276" s="80">
        <f>IF(Credit_Assumptions!$C$5=1,T249,INDEX(Credit_Input!$P$264:$P$323,T$4))</f>
        <v/>
      </c>
      <c r="U276" s="80">
        <f>IF(Credit_Assumptions!$C$5=1,U249,INDEX(Credit_Input!$P$264:$P$323,U$4))</f>
        <v/>
      </c>
      <c r="V276" s="80">
        <f>IF(Credit_Assumptions!$C$5=1,V249,INDEX(Credit_Input!$P$264:$P$323,V$4))</f>
        <v/>
      </c>
      <c r="W276" s="80">
        <f>IF(Credit_Assumptions!$C$5=1,W249,INDEX(Credit_Input!$P$264:$P$323,W$4))</f>
        <v/>
      </c>
      <c r="X276" s="80">
        <f>IF(Credit_Assumptions!$C$5=1,X249,INDEX(Credit_Input!$P$264:$P$323,X$4))</f>
        <v/>
      </c>
      <c r="Y276" s="80">
        <f>IF(Credit_Assumptions!$C$5=1,Y249,INDEX(Credit_Input!$P$264:$P$323,Y$4))</f>
        <v/>
      </c>
      <c r="Z276" s="80">
        <f>IF(Credit_Assumptions!$C$5=1,Z249,INDEX(Credit_Input!$P$264:$P$323,Z$4))</f>
        <v/>
      </c>
      <c r="AA276" s="80">
        <f>IF(Credit_Assumptions!$C$5=1,AA249,INDEX(Credit_Input!$P$264:$P$323,AA$4))</f>
        <v/>
      </c>
      <c r="AB276" s="80">
        <f>IF(Credit_Assumptions!$C$5=1,AB249,INDEX(Credit_Input!$P$264:$P$323,AB$4))</f>
        <v/>
      </c>
      <c r="AC276" s="80">
        <f>IF(Credit_Assumptions!$C$5=1,AC249,INDEX(Credit_Input!$P$264:$P$323,AC$4))</f>
        <v/>
      </c>
      <c r="AD276" s="80">
        <f>IF(Credit_Assumptions!$C$5=1,AD249,INDEX(Credit_Input!$P$264:$P$323,AD$4))</f>
        <v/>
      </c>
      <c r="AE276" s="80">
        <f>IF(Credit_Assumptions!$C$5=1,AE249,INDEX(Credit_Input!$P$264:$P$323,AE$4))</f>
        <v/>
      </c>
      <c r="AF276" s="80">
        <f>IF(Credit_Assumptions!$C$5=1,AF249,INDEX(Credit_Input!$P$264:$P$323,AF$4))</f>
        <v/>
      </c>
      <c r="AG276" s="80">
        <f>IF(Credit_Assumptions!$C$5=1,AG249,INDEX(Credit_Input!$P$264:$P$323,AG$4))</f>
        <v/>
      </c>
      <c r="AH276" s="80">
        <f>IF(Credit_Assumptions!$C$5=1,AH249,INDEX(Credit_Input!$P$264:$P$323,AH$4))</f>
        <v/>
      </c>
      <c r="AI276" s="80">
        <f>IF(Credit_Assumptions!$C$5=1,AI249,INDEX(Credit_Input!$P$264:$P$323,AI$4))</f>
        <v/>
      </c>
      <c r="AJ276" s="80">
        <f>IF(Credit_Assumptions!$C$5=1,AJ249,INDEX(Credit_Input!$P$264:$P$323,AJ$4))</f>
        <v/>
      </c>
      <c r="AK276" s="80">
        <f>IF(Credit_Assumptions!$C$5=1,AK249,INDEX(Credit_Input!$P$264:$P$323,AK$4))</f>
        <v/>
      </c>
      <c r="AL276" s="80">
        <f>IF(Credit_Assumptions!$C$5=1,AL249,INDEX(Credit_Input!$P$264:$P$323,AL$4))</f>
        <v/>
      </c>
      <c r="AM276" s="80">
        <f>IF(Credit_Assumptions!$C$5=1,AM249,INDEX(Credit_Input!$P$264:$P$323,AM$4))</f>
        <v/>
      </c>
      <c r="AN276" s="80">
        <f>IF(Credit_Assumptions!$C$5=1,AN249,INDEX(Credit_Input!$P$264:$P$323,AN$4))</f>
        <v/>
      </c>
      <c r="AO276" s="80">
        <f>IF(Credit_Assumptions!$C$5=1,AO249,INDEX(Credit_Input!$P$264:$P$323,AO$4))</f>
        <v/>
      </c>
      <c r="AP276" s="80">
        <f>IF(Credit_Assumptions!$C$5=1,AP249,INDEX(Credit_Input!$P$264:$P$323,AP$4))</f>
        <v/>
      </c>
      <c r="AQ276" s="80">
        <f>IF(Credit_Assumptions!$C$5=1,AQ249,INDEX(Credit_Input!$P$264:$P$323,AQ$4))</f>
        <v/>
      </c>
      <c r="AR276" s="80">
        <f>IF(Credit_Assumptions!$C$5=1,AR249,INDEX(Credit_Input!$P$264:$P$323,AR$4))</f>
        <v/>
      </c>
      <c r="AS276" s="80">
        <f>IF(Credit_Assumptions!$C$5=1,AS249,INDEX(Credit_Input!$P$264:$P$323,AS$4))</f>
        <v/>
      </c>
      <c r="AT276" s="80">
        <f>IF(Credit_Assumptions!$C$5=1,AT249,INDEX(Credit_Input!$P$264:$P$323,AT$4))</f>
        <v/>
      </c>
      <c r="AU276" s="80">
        <f>IF(Credit_Assumptions!$C$5=1,AU249,INDEX(Credit_Input!$P$264:$P$323,AU$4))</f>
        <v/>
      </c>
      <c r="AV276" s="80">
        <f>IF(Credit_Assumptions!$C$5=1,AV249,INDEX(Credit_Input!$P$264:$P$323,AV$4))</f>
        <v/>
      </c>
      <c r="AW276" s="80">
        <f>IF(Credit_Assumptions!$C$5=1,AW249,INDEX(Credit_Input!$P$264:$P$323,AW$4))</f>
        <v/>
      </c>
      <c r="AX276" s="80">
        <f>IF(Credit_Assumptions!$C$5=1,AX249,INDEX(Credit_Input!$P$264:$P$323,AX$4))</f>
        <v/>
      </c>
      <c r="AY276" s="80">
        <f>IF(Credit_Assumptions!$C$5=1,AY249,INDEX(Credit_Input!$P$264:$P$323,AY$4))</f>
        <v/>
      </c>
      <c r="AZ276" s="80">
        <f>IF(Credit_Assumptions!$C$5=1,AZ249,INDEX(Credit_Input!$P$264:$P$323,AZ$4))</f>
        <v/>
      </c>
      <c r="BA276" s="80">
        <f>IF(Credit_Assumptions!$C$5=1,BA249,INDEX(Credit_Input!$P$264:$P$323,BA$4))</f>
        <v/>
      </c>
      <c r="BB276" s="80">
        <f>IF(Credit_Assumptions!$C$5=1,BB249,INDEX(Credit_Input!$P$264:$P$323,BB$4))</f>
        <v/>
      </c>
      <c r="BC276" s="80">
        <f>IF(Credit_Assumptions!$C$5=1,BC249,INDEX(Credit_Input!$P$264:$P$323,BC$4))</f>
        <v/>
      </c>
      <c r="BD276" s="80">
        <f>IF(Credit_Assumptions!$C$5=1,BD249,INDEX(Credit_Input!$P$264:$P$323,BD$4))</f>
        <v/>
      </c>
      <c r="BE276" s="80">
        <f>IF(Credit_Assumptions!$C$5=1,BE249,INDEX(Credit_Input!$P$264:$P$323,BE$4))</f>
        <v/>
      </c>
      <c r="BF276" s="80">
        <f>IF(Credit_Assumptions!$C$5=1,BF249,INDEX(Credit_Input!$P$264:$P$323,BF$4))</f>
        <v/>
      </c>
      <c r="BG276" s="80">
        <f>IF(Credit_Assumptions!$C$5=1,BG249,INDEX(Credit_Input!$P$264:$P$323,BG$4))</f>
        <v/>
      </c>
      <c r="BH276" s="80">
        <f>IF(Credit_Assumptions!$C$5=1,BH249,INDEX(Credit_Input!$P$264:$P$323,BH$4))</f>
        <v/>
      </c>
      <c r="BI276" s="80">
        <f>IF(Credit_Assumptions!$C$5=1,BI249,INDEX(Credit_Input!$P$264:$P$323,BI$4))</f>
        <v/>
      </c>
      <c r="BJ276" s="80">
        <f>IF(Credit_Assumptions!$C$5=1,BJ249,INDEX(Credit_Input!$P$264:$P$323,BJ$4))</f>
        <v/>
      </c>
      <c r="BK276" s="80">
        <f>IF(Credit_Assumptions!$C$5=1,BK249,INDEX(Credit_Input!$P$264:$P$323,BK$4))</f>
        <v/>
      </c>
      <c r="BL276" s="80">
        <f>IF(Credit_Assumptions!$C$5=1,BL249,INDEX(Credit_Input!$P$264:$P$323,BL$4))</f>
        <v/>
      </c>
    </row>
    <row r="277">
      <c r="A277" s="98" t="inlineStr">
        <is>
          <t>Collections</t>
        </is>
      </c>
      <c r="B277" s="65" t="inlineStr">
        <is>
          <t>LCY</t>
        </is>
      </c>
      <c r="C277" s="105">
        <f>SUM(E277:BL277)</f>
        <v/>
      </c>
      <c r="E277" s="80">
        <f>IF(Credit_Assumptions!$C$5=1,E250,INDEX(Credit_Input!$Q$264:$Q$323,E$4))</f>
        <v/>
      </c>
      <c r="F277" s="80">
        <f>IF(Credit_Assumptions!$C$5=1,F250,INDEX(Credit_Input!$Q$264:$Q$323,F$4))</f>
        <v/>
      </c>
      <c r="G277" s="80">
        <f>IF(Credit_Assumptions!$C$5=1,G250,INDEX(Credit_Input!$Q$264:$Q$323,G$4))</f>
        <v/>
      </c>
      <c r="H277" s="80">
        <f>IF(Credit_Assumptions!$C$5=1,H250,INDEX(Credit_Input!$Q$264:$Q$323,H$4))</f>
        <v/>
      </c>
      <c r="I277" s="80">
        <f>IF(Credit_Assumptions!$C$5=1,I250,INDEX(Credit_Input!$Q$264:$Q$323,I$4))</f>
        <v/>
      </c>
      <c r="J277" s="80">
        <f>IF(Credit_Assumptions!$C$5=1,J250,INDEX(Credit_Input!$Q$264:$Q$323,J$4))</f>
        <v/>
      </c>
      <c r="K277" s="80">
        <f>IF(Credit_Assumptions!$C$5=1,K250,INDEX(Credit_Input!$Q$264:$Q$323,K$4))</f>
        <v/>
      </c>
      <c r="L277" s="80">
        <f>IF(Credit_Assumptions!$C$5=1,L250,INDEX(Credit_Input!$Q$264:$Q$323,L$4))</f>
        <v/>
      </c>
      <c r="M277" s="80">
        <f>IF(Credit_Assumptions!$C$5=1,M250,INDEX(Credit_Input!$Q$264:$Q$323,M$4))</f>
        <v/>
      </c>
      <c r="N277" s="80">
        <f>IF(Credit_Assumptions!$C$5=1,N250,INDEX(Credit_Input!$Q$264:$Q$323,N$4))</f>
        <v/>
      </c>
      <c r="O277" s="80">
        <f>IF(Credit_Assumptions!$C$5=1,O250,INDEX(Credit_Input!$Q$264:$Q$323,O$4))</f>
        <v/>
      </c>
      <c r="P277" s="80">
        <f>IF(Credit_Assumptions!$C$5=1,P250,INDEX(Credit_Input!$Q$264:$Q$323,P$4))</f>
        <v/>
      </c>
      <c r="Q277" s="80">
        <f>IF(Credit_Assumptions!$C$5=1,Q250,INDEX(Credit_Input!$Q$264:$Q$323,Q$4))</f>
        <v/>
      </c>
      <c r="R277" s="80">
        <f>IF(Credit_Assumptions!$C$5=1,R250,INDEX(Credit_Input!$Q$264:$Q$323,R$4))</f>
        <v/>
      </c>
      <c r="S277" s="80">
        <f>IF(Credit_Assumptions!$C$5=1,S250,INDEX(Credit_Input!$Q$264:$Q$323,S$4))</f>
        <v/>
      </c>
      <c r="T277" s="80">
        <f>IF(Credit_Assumptions!$C$5=1,T250,INDEX(Credit_Input!$Q$264:$Q$323,T$4))</f>
        <v/>
      </c>
      <c r="U277" s="80">
        <f>IF(Credit_Assumptions!$C$5=1,U250,INDEX(Credit_Input!$Q$264:$Q$323,U$4))</f>
        <v/>
      </c>
      <c r="V277" s="80">
        <f>IF(Credit_Assumptions!$C$5=1,V250,INDEX(Credit_Input!$Q$264:$Q$323,V$4))</f>
        <v/>
      </c>
      <c r="W277" s="80">
        <f>IF(Credit_Assumptions!$C$5=1,W250,INDEX(Credit_Input!$Q$264:$Q$323,W$4))</f>
        <v/>
      </c>
      <c r="X277" s="80">
        <f>IF(Credit_Assumptions!$C$5=1,X250,INDEX(Credit_Input!$Q$264:$Q$323,X$4))</f>
        <v/>
      </c>
      <c r="Y277" s="80">
        <f>IF(Credit_Assumptions!$C$5=1,Y250,INDEX(Credit_Input!$Q$264:$Q$323,Y$4))</f>
        <v/>
      </c>
      <c r="Z277" s="80">
        <f>IF(Credit_Assumptions!$C$5=1,Z250,INDEX(Credit_Input!$Q$264:$Q$323,Z$4))</f>
        <v/>
      </c>
      <c r="AA277" s="80">
        <f>IF(Credit_Assumptions!$C$5=1,AA250,INDEX(Credit_Input!$Q$264:$Q$323,AA$4))</f>
        <v/>
      </c>
      <c r="AB277" s="80">
        <f>IF(Credit_Assumptions!$C$5=1,AB250,INDEX(Credit_Input!$Q$264:$Q$323,AB$4))</f>
        <v/>
      </c>
      <c r="AC277" s="80">
        <f>IF(Credit_Assumptions!$C$5=1,AC250,INDEX(Credit_Input!$Q$264:$Q$323,AC$4))</f>
        <v/>
      </c>
      <c r="AD277" s="80">
        <f>IF(Credit_Assumptions!$C$5=1,AD250,INDEX(Credit_Input!$Q$264:$Q$323,AD$4))</f>
        <v/>
      </c>
      <c r="AE277" s="80">
        <f>IF(Credit_Assumptions!$C$5=1,AE250,INDEX(Credit_Input!$Q$264:$Q$323,AE$4))</f>
        <v/>
      </c>
      <c r="AF277" s="80">
        <f>IF(Credit_Assumptions!$C$5=1,AF250,INDEX(Credit_Input!$Q$264:$Q$323,AF$4))</f>
        <v/>
      </c>
      <c r="AG277" s="80">
        <f>IF(Credit_Assumptions!$C$5=1,AG250,INDEX(Credit_Input!$Q$264:$Q$323,AG$4))</f>
        <v/>
      </c>
      <c r="AH277" s="80">
        <f>IF(Credit_Assumptions!$C$5=1,AH250,INDEX(Credit_Input!$Q$264:$Q$323,AH$4))</f>
        <v/>
      </c>
      <c r="AI277" s="80">
        <f>IF(Credit_Assumptions!$C$5=1,AI250,INDEX(Credit_Input!$Q$264:$Q$323,AI$4))</f>
        <v/>
      </c>
      <c r="AJ277" s="80">
        <f>IF(Credit_Assumptions!$C$5=1,AJ250,INDEX(Credit_Input!$Q$264:$Q$323,AJ$4))</f>
        <v/>
      </c>
      <c r="AK277" s="80">
        <f>IF(Credit_Assumptions!$C$5=1,AK250,INDEX(Credit_Input!$Q$264:$Q$323,AK$4))</f>
        <v/>
      </c>
      <c r="AL277" s="80">
        <f>IF(Credit_Assumptions!$C$5=1,AL250,INDEX(Credit_Input!$Q$264:$Q$323,AL$4))</f>
        <v/>
      </c>
      <c r="AM277" s="80">
        <f>IF(Credit_Assumptions!$C$5=1,AM250,INDEX(Credit_Input!$Q$264:$Q$323,AM$4))</f>
        <v/>
      </c>
      <c r="AN277" s="80">
        <f>IF(Credit_Assumptions!$C$5=1,AN250,INDEX(Credit_Input!$Q$264:$Q$323,AN$4))</f>
        <v/>
      </c>
      <c r="AO277" s="80">
        <f>IF(Credit_Assumptions!$C$5=1,AO250,INDEX(Credit_Input!$Q$264:$Q$323,AO$4))</f>
        <v/>
      </c>
      <c r="AP277" s="80">
        <f>IF(Credit_Assumptions!$C$5=1,AP250,INDEX(Credit_Input!$Q$264:$Q$323,AP$4))</f>
        <v/>
      </c>
      <c r="AQ277" s="80">
        <f>IF(Credit_Assumptions!$C$5=1,AQ250,INDEX(Credit_Input!$Q$264:$Q$323,AQ$4))</f>
        <v/>
      </c>
      <c r="AR277" s="80">
        <f>IF(Credit_Assumptions!$C$5=1,AR250,INDEX(Credit_Input!$Q$264:$Q$323,AR$4))</f>
        <v/>
      </c>
      <c r="AS277" s="80">
        <f>IF(Credit_Assumptions!$C$5=1,AS250,INDEX(Credit_Input!$Q$264:$Q$323,AS$4))</f>
        <v/>
      </c>
      <c r="AT277" s="80">
        <f>IF(Credit_Assumptions!$C$5=1,AT250,INDEX(Credit_Input!$Q$264:$Q$323,AT$4))</f>
        <v/>
      </c>
      <c r="AU277" s="80">
        <f>IF(Credit_Assumptions!$C$5=1,AU250,INDEX(Credit_Input!$Q$264:$Q$323,AU$4))</f>
        <v/>
      </c>
      <c r="AV277" s="80">
        <f>IF(Credit_Assumptions!$C$5=1,AV250,INDEX(Credit_Input!$Q$264:$Q$323,AV$4))</f>
        <v/>
      </c>
      <c r="AW277" s="80">
        <f>IF(Credit_Assumptions!$C$5=1,AW250,INDEX(Credit_Input!$Q$264:$Q$323,AW$4))</f>
        <v/>
      </c>
      <c r="AX277" s="80">
        <f>IF(Credit_Assumptions!$C$5=1,AX250,INDEX(Credit_Input!$Q$264:$Q$323,AX$4))</f>
        <v/>
      </c>
      <c r="AY277" s="80">
        <f>IF(Credit_Assumptions!$C$5=1,AY250,INDEX(Credit_Input!$Q$264:$Q$323,AY$4))</f>
        <v/>
      </c>
      <c r="AZ277" s="80">
        <f>IF(Credit_Assumptions!$C$5=1,AZ250,INDEX(Credit_Input!$Q$264:$Q$323,AZ$4))</f>
        <v/>
      </c>
      <c r="BA277" s="80">
        <f>IF(Credit_Assumptions!$C$5=1,BA250,INDEX(Credit_Input!$Q$264:$Q$323,BA$4))</f>
        <v/>
      </c>
      <c r="BB277" s="80">
        <f>IF(Credit_Assumptions!$C$5=1,BB250,INDEX(Credit_Input!$Q$264:$Q$323,BB$4))</f>
        <v/>
      </c>
      <c r="BC277" s="80">
        <f>IF(Credit_Assumptions!$C$5=1,BC250,INDEX(Credit_Input!$Q$264:$Q$323,BC$4))</f>
        <v/>
      </c>
      <c r="BD277" s="80">
        <f>IF(Credit_Assumptions!$C$5=1,BD250,INDEX(Credit_Input!$Q$264:$Q$323,BD$4))</f>
        <v/>
      </c>
      <c r="BE277" s="80">
        <f>IF(Credit_Assumptions!$C$5=1,BE250,INDEX(Credit_Input!$Q$264:$Q$323,BE$4))</f>
        <v/>
      </c>
      <c r="BF277" s="80">
        <f>IF(Credit_Assumptions!$C$5=1,BF250,INDEX(Credit_Input!$Q$264:$Q$323,BF$4))</f>
        <v/>
      </c>
      <c r="BG277" s="80">
        <f>IF(Credit_Assumptions!$C$5=1,BG250,INDEX(Credit_Input!$Q$264:$Q$323,BG$4))</f>
        <v/>
      </c>
      <c r="BH277" s="80">
        <f>IF(Credit_Assumptions!$C$5=1,BH250,INDEX(Credit_Input!$Q$264:$Q$323,BH$4))</f>
        <v/>
      </c>
      <c r="BI277" s="80">
        <f>IF(Credit_Assumptions!$C$5=1,BI250,INDEX(Credit_Input!$Q$264:$Q$323,BI$4))</f>
        <v/>
      </c>
      <c r="BJ277" s="80">
        <f>IF(Credit_Assumptions!$C$5=1,BJ250,INDEX(Credit_Input!$Q$264:$Q$323,BJ$4))</f>
        <v/>
      </c>
      <c r="BK277" s="80">
        <f>IF(Credit_Assumptions!$C$5=1,BK250,INDEX(Credit_Input!$Q$264:$Q$323,BK$4))</f>
        <v/>
      </c>
      <c r="BL277" s="80">
        <f>IF(Credit_Assumptions!$C$5=1,BL250,INDEX(Credit_Input!$Q$264:$Q$323,BL$4))</f>
        <v/>
      </c>
    </row>
    <row r="278">
      <c r="A278" s="98" t="inlineStr">
        <is>
          <t>Instalments due</t>
        </is>
      </c>
      <c r="B278" s="65" t="inlineStr">
        <is>
          <t>LCY</t>
        </is>
      </c>
      <c r="C278" s="105">
        <f>SUM(E278:BL278)</f>
        <v/>
      </c>
      <c r="E278" s="80">
        <f>IF(Credit_Assumptions!$C$5=1,E251,INDEX(Credit_Input!$R$264:$R$323,E$4))</f>
        <v/>
      </c>
      <c r="F278" s="80">
        <f>IF(Credit_Assumptions!$C$5=1,F251,INDEX(Credit_Input!$R$264:$R$323,F$4))</f>
        <v/>
      </c>
      <c r="G278" s="80">
        <f>IF(Credit_Assumptions!$C$5=1,G251,INDEX(Credit_Input!$R$264:$R$323,G$4))</f>
        <v/>
      </c>
      <c r="H278" s="80">
        <f>IF(Credit_Assumptions!$C$5=1,H251,INDEX(Credit_Input!$R$264:$R$323,H$4))</f>
        <v/>
      </c>
      <c r="I278" s="80">
        <f>IF(Credit_Assumptions!$C$5=1,I251,INDEX(Credit_Input!$R$264:$R$323,I$4))</f>
        <v/>
      </c>
      <c r="J278" s="80">
        <f>IF(Credit_Assumptions!$C$5=1,J251,INDEX(Credit_Input!$R$264:$R$323,J$4))</f>
        <v/>
      </c>
      <c r="K278" s="80">
        <f>IF(Credit_Assumptions!$C$5=1,K251,INDEX(Credit_Input!$R$264:$R$323,K$4))</f>
        <v/>
      </c>
      <c r="L278" s="80">
        <f>IF(Credit_Assumptions!$C$5=1,L251,INDEX(Credit_Input!$R$264:$R$323,L$4))</f>
        <v/>
      </c>
      <c r="M278" s="80">
        <f>IF(Credit_Assumptions!$C$5=1,M251,INDEX(Credit_Input!$R$264:$R$323,M$4))</f>
        <v/>
      </c>
      <c r="N278" s="80">
        <f>IF(Credit_Assumptions!$C$5=1,N251,INDEX(Credit_Input!$R$264:$R$323,N$4))</f>
        <v/>
      </c>
      <c r="O278" s="80">
        <f>IF(Credit_Assumptions!$C$5=1,O251,INDEX(Credit_Input!$R$264:$R$323,O$4))</f>
        <v/>
      </c>
      <c r="P278" s="80">
        <f>IF(Credit_Assumptions!$C$5=1,P251,INDEX(Credit_Input!$R$264:$R$323,P$4))</f>
        <v/>
      </c>
      <c r="Q278" s="80">
        <f>IF(Credit_Assumptions!$C$5=1,Q251,INDEX(Credit_Input!$R$264:$R$323,Q$4))</f>
        <v/>
      </c>
      <c r="R278" s="80">
        <f>IF(Credit_Assumptions!$C$5=1,R251,INDEX(Credit_Input!$R$264:$R$323,R$4))</f>
        <v/>
      </c>
      <c r="S278" s="80">
        <f>IF(Credit_Assumptions!$C$5=1,S251,INDEX(Credit_Input!$R$264:$R$323,S$4))</f>
        <v/>
      </c>
      <c r="T278" s="80">
        <f>IF(Credit_Assumptions!$C$5=1,T251,INDEX(Credit_Input!$R$264:$R$323,T$4))</f>
        <v/>
      </c>
      <c r="U278" s="80">
        <f>IF(Credit_Assumptions!$C$5=1,U251,INDEX(Credit_Input!$R$264:$R$323,U$4))</f>
        <v/>
      </c>
      <c r="V278" s="80">
        <f>IF(Credit_Assumptions!$C$5=1,V251,INDEX(Credit_Input!$R$264:$R$323,V$4))</f>
        <v/>
      </c>
      <c r="W278" s="80">
        <f>IF(Credit_Assumptions!$C$5=1,W251,INDEX(Credit_Input!$R$264:$R$323,W$4))</f>
        <v/>
      </c>
      <c r="X278" s="80">
        <f>IF(Credit_Assumptions!$C$5=1,X251,INDEX(Credit_Input!$R$264:$R$323,X$4))</f>
        <v/>
      </c>
      <c r="Y278" s="80">
        <f>IF(Credit_Assumptions!$C$5=1,Y251,INDEX(Credit_Input!$R$264:$R$323,Y$4))</f>
        <v/>
      </c>
      <c r="Z278" s="80">
        <f>IF(Credit_Assumptions!$C$5=1,Z251,INDEX(Credit_Input!$R$264:$R$323,Z$4))</f>
        <v/>
      </c>
      <c r="AA278" s="80">
        <f>IF(Credit_Assumptions!$C$5=1,AA251,INDEX(Credit_Input!$R$264:$R$323,AA$4))</f>
        <v/>
      </c>
      <c r="AB278" s="80">
        <f>IF(Credit_Assumptions!$C$5=1,AB251,INDEX(Credit_Input!$R$264:$R$323,AB$4))</f>
        <v/>
      </c>
      <c r="AC278" s="80">
        <f>IF(Credit_Assumptions!$C$5=1,AC251,INDEX(Credit_Input!$R$264:$R$323,AC$4))</f>
        <v/>
      </c>
      <c r="AD278" s="80">
        <f>IF(Credit_Assumptions!$C$5=1,AD251,INDEX(Credit_Input!$R$264:$R$323,AD$4))</f>
        <v/>
      </c>
      <c r="AE278" s="80">
        <f>IF(Credit_Assumptions!$C$5=1,AE251,INDEX(Credit_Input!$R$264:$R$323,AE$4))</f>
        <v/>
      </c>
      <c r="AF278" s="80">
        <f>IF(Credit_Assumptions!$C$5=1,AF251,INDEX(Credit_Input!$R$264:$R$323,AF$4))</f>
        <v/>
      </c>
      <c r="AG278" s="80">
        <f>IF(Credit_Assumptions!$C$5=1,AG251,INDEX(Credit_Input!$R$264:$R$323,AG$4))</f>
        <v/>
      </c>
      <c r="AH278" s="80">
        <f>IF(Credit_Assumptions!$C$5=1,AH251,INDEX(Credit_Input!$R$264:$R$323,AH$4))</f>
        <v/>
      </c>
      <c r="AI278" s="80">
        <f>IF(Credit_Assumptions!$C$5=1,AI251,INDEX(Credit_Input!$R$264:$R$323,AI$4))</f>
        <v/>
      </c>
      <c r="AJ278" s="80">
        <f>IF(Credit_Assumptions!$C$5=1,AJ251,INDEX(Credit_Input!$R$264:$R$323,AJ$4))</f>
        <v/>
      </c>
      <c r="AK278" s="80">
        <f>IF(Credit_Assumptions!$C$5=1,AK251,INDEX(Credit_Input!$R$264:$R$323,AK$4))</f>
        <v/>
      </c>
      <c r="AL278" s="80">
        <f>IF(Credit_Assumptions!$C$5=1,AL251,INDEX(Credit_Input!$R$264:$R$323,AL$4))</f>
        <v/>
      </c>
      <c r="AM278" s="80">
        <f>IF(Credit_Assumptions!$C$5=1,AM251,INDEX(Credit_Input!$R$264:$R$323,AM$4))</f>
        <v/>
      </c>
      <c r="AN278" s="80">
        <f>IF(Credit_Assumptions!$C$5=1,AN251,INDEX(Credit_Input!$R$264:$R$323,AN$4))</f>
        <v/>
      </c>
      <c r="AO278" s="80">
        <f>IF(Credit_Assumptions!$C$5=1,AO251,INDEX(Credit_Input!$R$264:$R$323,AO$4))</f>
        <v/>
      </c>
      <c r="AP278" s="80">
        <f>IF(Credit_Assumptions!$C$5=1,AP251,INDEX(Credit_Input!$R$264:$R$323,AP$4))</f>
        <v/>
      </c>
      <c r="AQ278" s="80">
        <f>IF(Credit_Assumptions!$C$5=1,AQ251,INDEX(Credit_Input!$R$264:$R$323,AQ$4))</f>
        <v/>
      </c>
      <c r="AR278" s="80">
        <f>IF(Credit_Assumptions!$C$5=1,AR251,INDEX(Credit_Input!$R$264:$R$323,AR$4))</f>
        <v/>
      </c>
      <c r="AS278" s="80">
        <f>IF(Credit_Assumptions!$C$5=1,AS251,INDEX(Credit_Input!$R$264:$R$323,AS$4))</f>
        <v/>
      </c>
      <c r="AT278" s="80">
        <f>IF(Credit_Assumptions!$C$5=1,AT251,INDEX(Credit_Input!$R$264:$R$323,AT$4))</f>
        <v/>
      </c>
      <c r="AU278" s="80">
        <f>IF(Credit_Assumptions!$C$5=1,AU251,INDEX(Credit_Input!$R$264:$R$323,AU$4))</f>
        <v/>
      </c>
      <c r="AV278" s="80">
        <f>IF(Credit_Assumptions!$C$5=1,AV251,INDEX(Credit_Input!$R$264:$R$323,AV$4))</f>
        <v/>
      </c>
      <c r="AW278" s="80">
        <f>IF(Credit_Assumptions!$C$5=1,AW251,INDEX(Credit_Input!$R$264:$R$323,AW$4))</f>
        <v/>
      </c>
      <c r="AX278" s="80">
        <f>IF(Credit_Assumptions!$C$5=1,AX251,INDEX(Credit_Input!$R$264:$R$323,AX$4))</f>
        <v/>
      </c>
      <c r="AY278" s="80">
        <f>IF(Credit_Assumptions!$C$5=1,AY251,INDEX(Credit_Input!$R$264:$R$323,AY$4))</f>
        <v/>
      </c>
      <c r="AZ278" s="80">
        <f>IF(Credit_Assumptions!$C$5=1,AZ251,INDEX(Credit_Input!$R$264:$R$323,AZ$4))</f>
        <v/>
      </c>
      <c r="BA278" s="80">
        <f>IF(Credit_Assumptions!$C$5=1,BA251,INDEX(Credit_Input!$R$264:$R$323,BA$4))</f>
        <v/>
      </c>
      <c r="BB278" s="80">
        <f>IF(Credit_Assumptions!$C$5=1,BB251,INDEX(Credit_Input!$R$264:$R$323,BB$4))</f>
        <v/>
      </c>
      <c r="BC278" s="80">
        <f>IF(Credit_Assumptions!$C$5=1,BC251,INDEX(Credit_Input!$R$264:$R$323,BC$4))</f>
        <v/>
      </c>
      <c r="BD278" s="80">
        <f>IF(Credit_Assumptions!$C$5=1,BD251,INDEX(Credit_Input!$R$264:$R$323,BD$4))</f>
        <v/>
      </c>
      <c r="BE278" s="80">
        <f>IF(Credit_Assumptions!$C$5=1,BE251,INDEX(Credit_Input!$R$264:$R$323,BE$4))</f>
        <v/>
      </c>
      <c r="BF278" s="80">
        <f>IF(Credit_Assumptions!$C$5=1,BF251,INDEX(Credit_Input!$R$264:$R$323,BF$4))</f>
        <v/>
      </c>
      <c r="BG278" s="80">
        <f>IF(Credit_Assumptions!$C$5=1,BG251,INDEX(Credit_Input!$R$264:$R$323,BG$4))</f>
        <v/>
      </c>
      <c r="BH278" s="80">
        <f>IF(Credit_Assumptions!$C$5=1,BH251,INDEX(Credit_Input!$R$264:$R$323,BH$4))</f>
        <v/>
      </c>
      <c r="BI278" s="80">
        <f>IF(Credit_Assumptions!$C$5=1,BI251,INDEX(Credit_Input!$R$264:$R$323,BI$4))</f>
        <v/>
      </c>
      <c r="BJ278" s="80">
        <f>IF(Credit_Assumptions!$C$5=1,BJ251,INDEX(Credit_Input!$R$264:$R$323,BJ$4))</f>
        <v/>
      </c>
      <c r="BK278" s="80">
        <f>IF(Credit_Assumptions!$C$5=1,BK251,INDEX(Credit_Input!$R$264:$R$323,BK$4))</f>
        <v/>
      </c>
      <c r="BL278" s="80">
        <f>IF(Credit_Assumptions!$C$5=1,BL251,INDEX(Credit_Input!$R$264:$R$323,BL$4))</f>
        <v/>
      </c>
    </row>
    <row r="279">
      <c r="A279" s="98" t="inlineStr">
        <is>
          <t>Ownership events (unlocks)</t>
        </is>
      </c>
      <c r="B279" s="65" t="inlineStr">
        <is>
          <t>LCY</t>
        </is>
      </c>
      <c r="C279" s="105">
        <f>SUM(E279:BL279)</f>
        <v/>
      </c>
      <c r="E279" s="80">
        <f>IF(Credit_Assumptions!$C$5=1,E252,INDEX(Credit_Input!$S$264:$S$323,E$4))</f>
        <v/>
      </c>
      <c r="F279" s="80">
        <f>IF(Credit_Assumptions!$C$5=1,F252,INDEX(Credit_Input!$S$264:$S$323,F$4))</f>
        <v/>
      </c>
      <c r="G279" s="80">
        <f>IF(Credit_Assumptions!$C$5=1,G252,INDEX(Credit_Input!$S$264:$S$323,G$4))</f>
        <v/>
      </c>
      <c r="H279" s="80">
        <f>IF(Credit_Assumptions!$C$5=1,H252,INDEX(Credit_Input!$S$264:$S$323,H$4))</f>
        <v/>
      </c>
      <c r="I279" s="80">
        <f>IF(Credit_Assumptions!$C$5=1,I252,INDEX(Credit_Input!$S$264:$S$323,I$4))</f>
        <v/>
      </c>
      <c r="J279" s="80">
        <f>IF(Credit_Assumptions!$C$5=1,J252,INDEX(Credit_Input!$S$264:$S$323,J$4))</f>
        <v/>
      </c>
      <c r="K279" s="80">
        <f>IF(Credit_Assumptions!$C$5=1,K252,INDEX(Credit_Input!$S$264:$S$323,K$4))</f>
        <v/>
      </c>
      <c r="L279" s="80">
        <f>IF(Credit_Assumptions!$C$5=1,L252,INDEX(Credit_Input!$S$264:$S$323,L$4))</f>
        <v/>
      </c>
      <c r="M279" s="80">
        <f>IF(Credit_Assumptions!$C$5=1,M252,INDEX(Credit_Input!$S$264:$S$323,M$4))</f>
        <v/>
      </c>
      <c r="N279" s="80">
        <f>IF(Credit_Assumptions!$C$5=1,N252,INDEX(Credit_Input!$S$264:$S$323,N$4))</f>
        <v/>
      </c>
      <c r="O279" s="80">
        <f>IF(Credit_Assumptions!$C$5=1,O252,INDEX(Credit_Input!$S$264:$S$323,O$4))</f>
        <v/>
      </c>
      <c r="P279" s="80">
        <f>IF(Credit_Assumptions!$C$5=1,P252,INDEX(Credit_Input!$S$264:$S$323,P$4))</f>
        <v/>
      </c>
      <c r="Q279" s="80">
        <f>IF(Credit_Assumptions!$C$5=1,Q252,INDEX(Credit_Input!$S$264:$S$323,Q$4))</f>
        <v/>
      </c>
      <c r="R279" s="80">
        <f>IF(Credit_Assumptions!$C$5=1,R252,INDEX(Credit_Input!$S$264:$S$323,R$4))</f>
        <v/>
      </c>
      <c r="S279" s="80">
        <f>IF(Credit_Assumptions!$C$5=1,S252,INDEX(Credit_Input!$S$264:$S$323,S$4))</f>
        <v/>
      </c>
      <c r="T279" s="80">
        <f>IF(Credit_Assumptions!$C$5=1,T252,INDEX(Credit_Input!$S$264:$S$323,T$4))</f>
        <v/>
      </c>
      <c r="U279" s="80">
        <f>IF(Credit_Assumptions!$C$5=1,U252,INDEX(Credit_Input!$S$264:$S$323,U$4))</f>
        <v/>
      </c>
      <c r="V279" s="80">
        <f>IF(Credit_Assumptions!$C$5=1,V252,INDEX(Credit_Input!$S$264:$S$323,V$4))</f>
        <v/>
      </c>
      <c r="W279" s="80">
        <f>IF(Credit_Assumptions!$C$5=1,W252,INDEX(Credit_Input!$S$264:$S$323,W$4))</f>
        <v/>
      </c>
      <c r="X279" s="80">
        <f>IF(Credit_Assumptions!$C$5=1,X252,INDEX(Credit_Input!$S$264:$S$323,X$4))</f>
        <v/>
      </c>
      <c r="Y279" s="80">
        <f>IF(Credit_Assumptions!$C$5=1,Y252,INDEX(Credit_Input!$S$264:$S$323,Y$4))</f>
        <v/>
      </c>
      <c r="Z279" s="80">
        <f>IF(Credit_Assumptions!$C$5=1,Z252,INDEX(Credit_Input!$S$264:$S$323,Z$4))</f>
        <v/>
      </c>
      <c r="AA279" s="80">
        <f>IF(Credit_Assumptions!$C$5=1,AA252,INDEX(Credit_Input!$S$264:$S$323,AA$4))</f>
        <v/>
      </c>
      <c r="AB279" s="80">
        <f>IF(Credit_Assumptions!$C$5=1,AB252,INDEX(Credit_Input!$S$264:$S$323,AB$4))</f>
        <v/>
      </c>
      <c r="AC279" s="80">
        <f>IF(Credit_Assumptions!$C$5=1,AC252,INDEX(Credit_Input!$S$264:$S$323,AC$4))</f>
        <v/>
      </c>
      <c r="AD279" s="80">
        <f>IF(Credit_Assumptions!$C$5=1,AD252,INDEX(Credit_Input!$S$264:$S$323,AD$4))</f>
        <v/>
      </c>
      <c r="AE279" s="80">
        <f>IF(Credit_Assumptions!$C$5=1,AE252,INDEX(Credit_Input!$S$264:$S$323,AE$4))</f>
        <v/>
      </c>
      <c r="AF279" s="80">
        <f>IF(Credit_Assumptions!$C$5=1,AF252,INDEX(Credit_Input!$S$264:$S$323,AF$4))</f>
        <v/>
      </c>
      <c r="AG279" s="80">
        <f>IF(Credit_Assumptions!$C$5=1,AG252,INDEX(Credit_Input!$S$264:$S$323,AG$4))</f>
        <v/>
      </c>
      <c r="AH279" s="80">
        <f>IF(Credit_Assumptions!$C$5=1,AH252,INDEX(Credit_Input!$S$264:$S$323,AH$4))</f>
        <v/>
      </c>
      <c r="AI279" s="80">
        <f>IF(Credit_Assumptions!$C$5=1,AI252,INDEX(Credit_Input!$S$264:$S$323,AI$4))</f>
        <v/>
      </c>
      <c r="AJ279" s="80">
        <f>IF(Credit_Assumptions!$C$5=1,AJ252,INDEX(Credit_Input!$S$264:$S$323,AJ$4))</f>
        <v/>
      </c>
      <c r="AK279" s="80">
        <f>IF(Credit_Assumptions!$C$5=1,AK252,INDEX(Credit_Input!$S$264:$S$323,AK$4))</f>
        <v/>
      </c>
      <c r="AL279" s="80">
        <f>IF(Credit_Assumptions!$C$5=1,AL252,INDEX(Credit_Input!$S$264:$S$323,AL$4))</f>
        <v/>
      </c>
      <c r="AM279" s="80">
        <f>IF(Credit_Assumptions!$C$5=1,AM252,INDEX(Credit_Input!$S$264:$S$323,AM$4))</f>
        <v/>
      </c>
      <c r="AN279" s="80">
        <f>IF(Credit_Assumptions!$C$5=1,AN252,INDEX(Credit_Input!$S$264:$S$323,AN$4))</f>
        <v/>
      </c>
      <c r="AO279" s="80">
        <f>IF(Credit_Assumptions!$C$5=1,AO252,INDEX(Credit_Input!$S$264:$S$323,AO$4))</f>
        <v/>
      </c>
      <c r="AP279" s="80">
        <f>IF(Credit_Assumptions!$C$5=1,AP252,INDEX(Credit_Input!$S$264:$S$323,AP$4))</f>
        <v/>
      </c>
      <c r="AQ279" s="80">
        <f>IF(Credit_Assumptions!$C$5=1,AQ252,INDEX(Credit_Input!$S$264:$S$323,AQ$4))</f>
        <v/>
      </c>
      <c r="AR279" s="80">
        <f>IF(Credit_Assumptions!$C$5=1,AR252,INDEX(Credit_Input!$S$264:$S$323,AR$4))</f>
        <v/>
      </c>
      <c r="AS279" s="80">
        <f>IF(Credit_Assumptions!$C$5=1,AS252,INDEX(Credit_Input!$S$264:$S$323,AS$4))</f>
        <v/>
      </c>
      <c r="AT279" s="80">
        <f>IF(Credit_Assumptions!$C$5=1,AT252,INDEX(Credit_Input!$S$264:$S$323,AT$4))</f>
        <v/>
      </c>
      <c r="AU279" s="80">
        <f>IF(Credit_Assumptions!$C$5=1,AU252,INDEX(Credit_Input!$S$264:$S$323,AU$4))</f>
        <v/>
      </c>
      <c r="AV279" s="80">
        <f>IF(Credit_Assumptions!$C$5=1,AV252,INDEX(Credit_Input!$S$264:$S$323,AV$4))</f>
        <v/>
      </c>
      <c r="AW279" s="80">
        <f>IF(Credit_Assumptions!$C$5=1,AW252,INDEX(Credit_Input!$S$264:$S$323,AW$4))</f>
        <v/>
      </c>
      <c r="AX279" s="80">
        <f>IF(Credit_Assumptions!$C$5=1,AX252,INDEX(Credit_Input!$S$264:$S$323,AX$4))</f>
        <v/>
      </c>
      <c r="AY279" s="80">
        <f>IF(Credit_Assumptions!$C$5=1,AY252,INDEX(Credit_Input!$S$264:$S$323,AY$4))</f>
        <v/>
      </c>
      <c r="AZ279" s="80">
        <f>IF(Credit_Assumptions!$C$5=1,AZ252,INDEX(Credit_Input!$S$264:$S$323,AZ$4))</f>
        <v/>
      </c>
      <c r="BA279" s="80">
        <f>IF(Credit_Assumptions!$C$5=1,BA252,INDEX(Credit_Input!$S$264:$S$323,BA$4))</f>
        <v/>
      </c>
      <c r="BB279" s="80">
        <f>IF(Credit_Assumptions!$C$5=1,BB252,INDEX(Credit_Input!$S$264:$S$323,BB$4))</f>
        <v/>
      </c>
      <c r="BC279" s="80">
        <f>IF(Credit_Assumptions!$C$5=1,BC252,INDEX(Credit_Input!$S$264:$S$323,BC$4))</f>
        <v/>
      </c>
      <c r="BD279" s="80">
        <f>IF(Credit_Assumptions!$C$5=1,BD252,INDEX(Credit_Input!$S$264:$S$323,BD$4))</f>
        <v/>
      </c>
      <c r="BE279" s="80">
        <f>IF(Credit_Assumptions!$C$5=1,BE252,INDEX(Credit_Input!$S$264:$S$323,BE$4))</f>
        <v/>
      </c>
      <c r="BF279" s="80">
        <f>IF(Credit_Assumptions!$C$5=1,BF252,INDEX(Credit_Input!$S$264:$S$323,BF$4))</f>
        <v/>
      </c>
      <c r="BG279" s="80">
        <f>IF(Credit_Assumptions!$C$5=1,BG252,INDEX(Credit_Input!$S$264:$S$323,BG$4))</f>
        <v/>
      </c>
      <c r="BH279" s="80">
        <f>IF(Credit_Assumptions!$C$5=1,BH252,INDEX(Credit_Input!$S$264:$S$323,BH$4))</f>
        <v/>
      </c>
      <c r="BI279" s="80">
        <f>IF(Credit_Assumptions!$C$5=1,BI252,INDEX(Credit_Input!$S$264:$S$323,BI$4))</f>
        <v/>
      </c>
      <c r="BJ279" s="80">
        <f>IF(Credit_Assumptions!$C$5=1,BJ252,INDEX(Credit_Input!$S$264:$S$323,BJ$4))</f>
        <v/>
      </c>
      <c r="BK279" s="80">
        <f>IF(Credit_Assumptions!$C$5=1,BK252,INDEX(Credit_Input!$S$264:$S$323,BK$4))</f>
        <v/>
      </c>
      <c r="BL279" s="80">
        <f>IF(Credit_Assumptions!$C$5=1,BL252,INDEX(Credit_Input!$S$264:$S$323,BL$4))</f>
        <v/>
      </c>
    </row>
    <row r="280">
      <c r="A280" s="98" t="inlineStr">
        <is>
          <t>Observed repayment rate (collections / due)</t>
        </is>
      </c>
      <c r="B280" s="65" t="inlineStr">
        <is>
          <t>%</t>
        </is>
      </c>
      <c r="E280" s="81">
        <f>IF(E278=0,0,E277/E278)</f>
        <v/>
      </c>
      <c r="F280" s="81">
        <f>IF(F278=0,0,F277/F278)</f>
        <v/>
      </c>
      <c r="G280" s="81">
        <f>IF(G278=0,0,G277/G278)</f>
        <v/>
      </c>
      <c r="H280" s="81">
        <f>IF(H278=0,0,H277/H278)</f>
        <v/>
      </c>
      <c r="I280" s="81">
        <f>IF(I278=0,0,I277/I278)</f>
        <v/>
      </c>
      <c r="J280" s="81">
        <f>IF(J278=0,0,J277/J278)</f>
        <v/>
      </c>
      <c r="K280" s="81">
        <f>IF(K278=0,0,K277/K278)</f>
        <v/>
      </c>
      <c r="L280" s="81">
        <f>IF(L278=0,0,L277/L278)</f>
        <v/>
      </c>
      <c r="M280" s="81">
        <f>IF(M278=0,0,M277/M278)</f>
        <v/>
      </c>
      <c r="N280" s="81">
        <f>IF(N278=0,0,N277/N278)</f>
        <v/>
      </c>
      <c r="O280" s="81">
        <f>IF(O278=0,0,O277/O278)</f>
        <v/>
      </c>
      <c r="P280" s="81">
        <f>IF(P278=0,0,P277/P278)</f>
        <v/>
      </c>
      <c r="Q280" s="81">
        <f>IF(Q278=0,0,Q277/Q278)</f>
        <v/>
      </c>
      <c r="R280" s="81">
        <f>IF(R278=0,0,R277/R278)</f>
        <v/>
      </c>
      <c r="S280" s="81">
        <f>IF(S278=0,0,S277/S278)</f>
        <v/>
      </c>
      <c r="T280" s="81">
        <f>IF(T278=0,0,T277/T278)</f>
        <v/>
      </c>
      <c r="U280" s="81">
        <f>IF(U278=0,0,U277/U278)</f>
        <v/>
      </c>
      <c r="V280" s="81">
        <f>IF(V278=0,0,V277/V278)</f>
        <v/>
      </c>
      <c r="W280" s="81">
        <f>IF(W278=0,0,W277/W278)</f>
        <v/>
      </c>
      <c r="X280" s="81">
        <f>IF(X278=0,0,X277/X278)</f>
        <v/>
      </c>
      <c r="Y280" s="81">
        <f>IF(Y278=0,0,Y277/Y278)</f>
        <v/>
      </c>
      <c r="Z280" s="81">
        <f>IF(Z278=0,0,Z277/Z278)</f>
        <v/>
      </c>
      <c r="AA280" s="81">
        <f>IF(AA278=0,0,AA277/AA278)</f>
        <v/>
      </c>
      <c r="AB280" s="81">
        <f>IF(AB278=0,0,AB277/AB278)</f>
        <v/>
      </c>
      <c r="AC280" s="81">
        <f>IF(AC278=0,0,AC277/AC278)</f>
        <v/>
      </c>
      <c r="AD280" s="81">
        <f>IF(AD278=0,0,AD277/AD278)</f>
        <v/>
      </c>
      <c r="AE280" s="81">
        <f>IF(AE278=0,0,AE277/AE278)</f>
        <v/>
      </c>
      <c r="AF280" s="81">
        <f>IF(AF278=0,0,AF277/AF278)</f>
        <v/>
      </c>
      <c r="AG280" s="81">
        <f>IF(AG278=0,0,AG277/AG278)</f>
        <v/>
      </c>
      <c r="AH280" s="81">
        <f>IF(AH278=0,0,AH277/AH278)</f>
        <v/>
      </c>
      <c r="AI280" s="81">
        <f>IF(AI278=0,0,AI277/AI278)</f>
        <v/>
      </c>
      <c r="AJ280" s="81">
        <f>IF(AJ278=0,0,AJ277/AJ278)</f>
        <v/>
      </c>
      <c r="AK280" s="81">
        <f>IF(AK278=0,0,AK277/AK278)</f>
        <v/>
      </c>
      <c r="AL280" s="81">
        <f>IF(AL278=0,0,AL277/AL278)</f>
        <v/>
      </c>
      <c r="AM280" s="81">
        <f>IF(AM278=0,0,AM277/AM278)</f>
        <v/>
      </c>
      <c r="AN280" s="81">
        <f>IF(AN278=0,0,AN277/AN278)</f>
        <v/>
      </c>
      <c r="AO280" s="81">
        <f>IF(AO278=0,0,AO277/AO278)</f>
        <v/>
      </c>
      <c r="AP280" s="81">
        <f>IF(AP278=0,0,AP277/AP278)</f>
        <v/>
      </c>
      <c r="AQ280" s="81">
        <f>IF(AQ278=0,0,AQ277/AQ278)</f>
        <v/>
      </c>
      <c r="AR280" s="81">
        <f>IF(AR278=0,0,AR277/AR278)</f>
        <v/>
      </c>
      <c r="AS280" s="81">
        <f>IF(AS278=0,0,AS277/AS278)</f>
        <v/>
      </c>
      <c r="AT280" s="81">
        <f>IF(AT278=0,0,AT277/AT278)</f>
        <v/>
      </c>
      <c r="AU280" s="81">
        <f>IF(AU278=0,0,AU277/AU278)</f>
        <v/>
      </c>
      <c r="AV280" s="81">
        <f>IF(AV278=0,0,AV277/AV278)</f>
        <v/>
      </c>
      <c r="AW280" s="81">
        <f>IF(AW278=0,0,AW277/AW278)</f>
        <v/>
      </c>
      <c r="AX280" s="81">
        <f>IF(AX278=0,0,AX277/AX278)</f>
        <v/>
      </c>
      <c r="AY280" s="81">
        <f>IF(AY278=0,0,AY277/AY278)</f>
        <v/>
      </c>
      <c r="AZ280" s="81">
        <f>IF(AZ278=0,0,AZ277/AZ278)</f>
        <v/>
      </c>
      <c r="BA280" s="81">
        <f>IF(BA278=0,0,BA277/BA278)</f>
        <v/>
      </c>
      <c r="BB280" s="81">
        <f>IF(BB278=0,0,BB277/BB278)</f>
        <v/>
      </c>
      <c r="BC280" s="81">
        <f>IF(BC278=0,0,BC277/BC278)</f>
        <v/>
      </c>
      <c r="BD280" s="81">
        <f>IF(BD278=0,0,BD277/BD278)</f>
        <v/>
      </c>
      <c r="BE280" s="81">
        <f>IF(BE278=0,0,BE277/BE278)</f>
        <v/>
      </c>
      <c r="BF280" s="81">
        <f>IF(BF278=0,0,BF277/BF278)</f>
        <v/>
      </c>
      <c r="BG280" s="81">
        <f>IF(BG278=0,0,BG277/BG278)</f>
        <v/>
      </c>
      <c r="BH280" s="81">
        <f>IF(BH278=0,0,BH277/BH278)</f>
        <v/>
      </c>
      <c r="BI280" s="81">
        <f>IF(BI278=0,0,BI277/BI278)</f>
        <v/>
      </c>
      <c r="BJ280" s="81">
        <f>IF(BJ278=0,0,BJ277/BJ278)</f>
        <v/>
      </c>
      <c r="BK280" s="81">
        <f>IF(BK278=0,0,BK277/BK278)</f>
        <v/>
      </c>
      <c r="BL280" s="81">
        <f>IF(BL278=0,0,BL277/BL278)</f>
        <v/>
      </c>
    </row>
    <row r="281">
      <c r="A281" s="98" t="inlineStr">
        <is>
          <t>12-month PD proxy (NOT an audited IFRS 9 PD)</t>
        </is>
      </c>
      <c r="B281" s="65" t="inlineStr">
        <is>
          <t>%</t>
        </is>
      </c>
      <c r="E281" s="81">
        <f>IF(Credit_Assumptions!$C$5=1,E254,IFERROR(SUM(E276:E276)/AVERAGE(E262:E262),0))</f>
        <v/>
      </c>
      <c r="F281" s="81">
        <f>IF(Credit_Assumptions!$C$5=1,F254,IFERROR(SUM(E276:F276)/AVERAGE(E262:F262),0))</f>
        <v/>
      </c>
      <c r="G281" s="81">
        <f>IF(Credit_Assumptions!$C$5=1,G254,IFERROR(SUM(E276:G276)/AVERAGE(E262:G262),0))</f>
        <v/>
      </c>
      <c r="H281" s="81">
        <f>IF(Credit_Assumptions!$C$5=1,H254,IFERROR(SUM(E276:H276)/AVERAGE(E262:H262),0))</f>
        <v/>
      </c>
      <c r="I281" s="81">
        <f>IF(Credit_Assumptions!$C$5=1,I254,IFERROR(SUM(E276:I276)/AVERAGE(E262:I262),0))</f>
        <v/>
      </c>
      <c r="J281" s="81">
        <f>IF(Credit_Assumptions!$C$5=1,J254,IFERROR(SUM(E276:J276)/AVERAGE(E262:J262),0))</f>
        <v/>
      </c>
      <c r="K281" s="81">
        <f>IF(Credit_Assumptions!$C$5=1,K254,IFERROR(SUM(E276:K276)/AVERAGE(E262:K262),0))</f>
        <v/>
      </c>
      <c r="L281" s="81">
        <f>IF(Credit_Assumptions!$C$5=1,L254,IFERROR(SUM(E276:L276)/AVERAGE(E262:L262),0))</f>
        <v/>
      </c>
      <c r="M281" s="81">
        <f>IF(Credit_Assumptions!$C$5=1,M254,IFERROR(SUM(E276:M276)/AVERAGE(E262:M262),0))</f>
        <v/>
      </c>
      <c r="N281" s="81">
        <f>IF(Credit_Assumptions!$C$5=1,N254,IFERROR(SUM(E276:N276)/AVERAGE(E262:N262),0))</f>
        <v/>
      </c>
      <c r="O281" s="81">
        <f>IF(Credit_Assumptions!$C$5=1,O254,IFERROR(SUM(E276:O276)/AVERAGE(E262:O262),0))</f>
        <v/>
      </c>
      <c r="P281" s="81">
        <f>IF(Credit_Assumptions!$C$5=1,P254,IFERROR(SUM(E276:P276)/AVERAGE(E262:P262),0))</f>
        <v/>
      </c>
      <c r="Q281" s="81">
        <f>IF(Credit_Assumptions!$C$5=1,Q254,IFERROR(SUM(F276:Q276)/AVERAGE(F262:Q262),0))</f>
        <v/>
      </c>
      <c r="R281" s="81">
        <f>IF(Credit_Assumptions!$C$5=1,R254,IFERROR(SUM(G276:R276)/AVERAGE(G262:R262),0))</f>
        <v/>
      </c>
      <c r="S281" s="81">
        <f>IF(Credit_Assumptions!$C$5=1,S254,IFERROR(SUM(H276:S276)/AVERAGE(H262:S262),0))</f>
        <v/>
      </c>
      <c r="T281" s="81">
        <f>IF(Credit_Assumptions!$C$5=1,T254,IFERROR(SUM(I276:T276)/AVERAGE(I262:T262),0))</f>
        <v/>
      </c>
      <c r="U281" s="81">
        <f>IF(Credit_Assumptions!$C$5=1,U254,IFERROR(SUM(J276:U276)/AVERAGE(J262:U262),0))</f>
        <v/>
      </c>
      <c r="V281" s="81">
        <f>IF(Credit_Assumptions!$C$5=1,V254,IFERROR(SUM(K276:V276)/AVERAGE(K262:V262),0))</f>
        <v/>
      </c>
      <c r="W281" s="81">
        <f>IF(Credit_Assumptions!$C$5=1,W254,IFERROR(SUM(L276:W276)/AVERAGE(L262:W262),0))</f>
        <v/>
      </c>
      <c r="X281" s="81">
        <f>IF(Credit_Assumptions!$C$5=1,X254,IFERROR(SUM(M276:X276)/AVERAGE(M262:X262),0))</f>
        <v/>
      </c>
      <c r="Y281" s="81">
        <f>IF(Credit_Assumptions!$C$5=1,Y254,IFERROR(SUM(N276:Y276)/AVERAGE(N262:Y262),0))</f>
        <v/>
      </c>
      <c r="Z281" s="81">
        <f>IF(Credit_Assumptions!$C$5=1,Z254,IFERROR(SUM(O276:Z276)/AVERAGE(O262:Z262),0))</f>
        <v/>
      </c>
      <c r="AA281" s="81">
        <f>IF(Credit_Assumptions!$C$5=1,AA254,IFERROR(SUM(P276:AA276)/AVERAGE(P262:AA262),0))</f>
        <v/>
      </c>
      <c r="AB281" s="81">
        <f>IF(Credit_Assumptions!$C$5=1,AB254,IFERROR(SUM(Q276:AB276)/AVERAGE(Q262:AB262),0))</f>
        <v/>
      </c>
      <c r="AC281" s="81">
        <f>IF(Credit_Assumptions!$C$5=1,AC254,IFERROR(SUM(R276:AC276)/AVERAGE(R262:AC262),0))</f>
        <v/>
      </c>
      <c r="AD281" s="81">
        <f>IF(Credit_Assumptions!$C$5=1,AD254,IFERROR(SUM(S276:AD276)/AVERAGE(S262:AD262),0))</f>
        <v/>
      </c>
      <c r="AE281" s="81">
        <f>IF(Credit_Assumptions!$C$5=1,AE254,IFERROR(SUM(T276:AE276)/AVERAGE(T262:AE262),0))</f>
        <v/>
      </c>
      <c r="AF281" s="81">
        <f>IF(Credit_Assumptions!$C$5=1,AF254,IFERROR(SUM(U276:AF276)/AVERAGE(U262:AF262),0))</f>
        <v/>
      </c>
      <c r="AG281" s="81">
        <f>IF(Credit_Assumptions!$C$5=1,AG254,IFERROR(SUM(V276:AG276)/AVERAGE(V262:AG262),0))</f>
        <v/>
      </c>
      <c r="AH281" s="81">
        <f>IF(Credit_Assumptions!$C$5=1,AH254,IFERROR(SUM(W276:AH276)/AVERAGE(W262:AH262),0))</f>
        <v/>
      </c>
      <c r="AI281" s="81">
        <f>IF(Credit_Assumptions!$C$5=1,AI254,IFERROR(SUM(X276:AI276)/AVERAGE(X262:AI262),0))</f>
        <v/>
      </c>
      <c r="AJ281" s="81">
        <f>IF(Credit_Assumptions!$C$5=1,AJ254,IFERROR(SUM(Y276:AJ276)/AVERAGE(Y262:AJ262),0))</f>
        <v/>
      </c>
      <c r="AK281" s="81">
        <f>IF(Credit_Assumptions!$C$5=1,AK254,IFERROR(SUM(Z276:AK276)/AVERAGE(Z262:AK262),0))</f>
        <v/>
      </c>
      <c r="AL281" s="81">
        <f>IF(Credit_Assumptions!$C$5=1,AL254,IFERROR(SUM(AA276:AL276)/AVERAGE(AA262:AL262),0))</f>
        <v/>
      </c>
      <c r="AM281" s="81">
        <f>IF(Credit_Assumptions!$C$5=1,AM254,IFERROR(SUM(AB276:AM276)/AVERAGE(AB262:AM262),0))</f>
        <v/>
      </c>
      <c r="AN281" s="81">
        <f>IF(Credit_Assumptions!$C$5=1,AN254,IFERROR(SUM(AC276:AN276)/AVERAGE(AC262:AN262),0))</f>
        <v/>
      </c>
      <c r="AO281" s="81">
        <f>IF(Credit_Assumptions!$C$5=1,AO254,IFERROR(SUM(AD276:AO276)/AVERAGE(AD262:AO262),0))</f>
        <v/>
      </c>
      <c r="AP281" s="81">
        <f>IF(Credit_Assumptions!$C$5=1,AP254,IFERROR(SUM(AE276:AP276)/AVERAGE(AE262:AP262),0))</f>
        <v/>
      </c>
      <c r="AQ281" s="81">
        <f>IF(Credit_Assumptions!$C$5=1,AQ254,IFERROR(SUM(AF276:AQ276)/AVERAGE(AF262:AQ262),0))</f>
        <v/>
      </c>
      <c r="AR281" s="81">
        <f>IF(Credit_Assumptions!$C$5=1,AR254,IFERROR(SUM(AG276:AR276)/AVERAGE(AG262:AR262),0))</f>
        <v/>
      </c>
      <c r="AS281" s="81">
        <f>IF(Credit_Assumptions!$C$5=1,AS254,IFERROR(SUM(AH276:AS276)/AVERAGE(AH262:AS262),0))</f>
        <v/>
      </c>
      <c r="AT281" s="81">
        <f>IF(Credit_Assumptions!$C$5=1,AT254,IFERROR(SUM(AI276:AT276)/AVERAGE(AI262:AT262),0))</f>
        <v/>
      </c>
      <c r="AU281" s="81">
        <f>IF(Credit_Assumptions!$C$5=1,AU254,IFERROR(SUM(AJ276:AU276)/AVERAGE(AJ262:AU262),0))</f>
        <v/>
      </c>
      <c r="AV281" s="81">
        <f>IF(Credit_Assumptions!$C$5=1,AV254,IFERROR(SUM(AK276:AV276)/AVERAGE(AK262:AV262),0))</f>
        <v/>
      </c>
      <c r="AW281" s="81">
        <f>IF(Credit_Assumptions!$C$5=1,AW254,IFERROR(SUM(AL276:AW276)/AVERAGE(AL262:AW262),0))</f>
        <v/>
      </c>
      <c r="AX281" s="81">
        <f>IF(Credit_Assumptions!$C$5=1,AX254,IFERROR(SUM(AM276:AX276)/AVERAGE(AM262:AX262),0))</f>
        <v/>
      </c>
      <c r="AY281" s="81">
        <f>IF(Credit_Assumptions!$C$5=1,AY254,IFERROR(SUM(AN276:AY276)/AVERAGE(AN262:AY262),0))</f>
        <v/>
      </c>
      <c r="AZ281" s="81">
        <f>IF(Credit_Assumptions!$C$5=1,AZ254,IFERROR(SUM(AO276:AZ276)/AVERAGE(AO262:AZ262),0))</f>
        <v/>
      </c>
      <c r="BA281" s="81">
        <f>IF(Credit_Assumptions!$C$5=1,BA254,IFERROR(SUM(AP276:BA276)/AVERAGE(AP262:BA262),0))</f>
        <v/>
      </c>
      <c r="BB281" s="81">
        <f>IF(Credit_Assumptions!$C$5=1,BB254,IFERROR(SUM(AQ276:BB276)/AVERAGE(AQ262:BB262),0))</f>
        <v/>
      </c>
      <c r="BC281" s="81">
        <f>IF(Credit_Assumptions!$C$5=1,BC254,IFERROR(SUM(AR276:BC276)/AVERAGE(AR262:BC262),0))</f>
        <v/>
      </c>
      <c r="BD281" s="81">
        <f>IF(Credit_Assumptions!$C$5=1,BD254,IFERROR(SUM(AS276:BD276)/AVERAGE(AS262:BD262),0))</f>
        <v/>
      </c>
      <c r="BE281" s="81">
        <f>IF(Credit_Assumptions!$C$5=1,BE254,IFERROR(SUM(AT276:BE276)/AVERAGE(AT262:BE262),0))</f>
        <v/>
      </c>
      <c r="BF281" s="81">
        <f>IF(Credit_Assumptions!$C$5=1,BF254,IFERROR(SUM(AU276:BF276)/AVERAGE(AU262:BF262),0))</f>
        <v/>
      </c>
      <c r="BG281" s="81">
        <f>IF(Credit_Assumptions!$C$5=1,BG254,IFERROR(SUM(AV276:BG276)/AVERAGE(AV262:BG262),0))</f>
        <v/>
      </c>
      <c r="BH281" s="81">
        <f>IF(Credit_Assumptions!$C$5=1,BH254,IFERROR(SUM(AW276:BH276)/AVERAGE(AW262:BH262),0))</f>
        <v/>
      </c>
      <c r="BI281" s="81">
        <f>IF(Credit_Assumptions!$C$5=1,BI254,IFERROR(SUM(AX276:BI276)/AVERAGE(AX262:BI262),0))</f>
        <v/>
      </c>
      <c r="BJ281" s="81">
        <f>IF(Credit_Assumptions!$C$5=1,BJ254,IFERROR(SUM(AY276:BJ276)/AVERAGE(AY262:BJ262),0))</f>
        <v/>
      </c>
      <c r="BK281" s="81">
        <f>IF(Credit_Assumptions!$C$5=1,BK254,IFERROR(SUM(AZ276:BK276)/AVERAGE(AZ262:BK262),0))</f>
        <v/>
      </c>
      <c r="BL281" s="81">
        <f>IF(Credit_Assumptions!$C$5=1,BL254,IFERROR(SUM(BA276:BL276)/AVERAGE(BA262:BL262),0))</f>
        <v/>
      </c>
    </row>
    <row r="282">
      <c r="A282" s="98" t="inlineStr">
        <is>
          <t>LGD proxy</t>
        </is>
      </c>
      <c r="B282" s="65" t="inlineStr">
        <is>
          <t>%</t>
        </is>
      </c>
      <c r="E282" s="81">
        <f>IF(Credit_Assumptions!$C$5=1,E255,IFERROR(MAX(0,MIN(1,1-(SUM(E272:E272)-SUM(E273:E273))/SUM(E276:E276))),E255))</f>
        <v/>
      </c>
      <c r="F282" s="81">
        <f>IF(Credit_Assumptions!$C$5=1,F255,IFERROR(MAX(0,MIN(1,1-(SUM(E272:F272)-SUM(E273:F273))/SUM(E276:F276))),F255))</f>
        <v/>
      </c>
      <c r="G282" s="81">
        <f>IF(Credit_Assumptions!$C$5=1,G255,IFERROR(MAX(0,MIN(1,1-(SUM(E272:G272)-SUM(E273:G273))/SUM(E276:G276))),G255))</f>
        <v/>
      </c>
      <c r="H282" s="81">
        <f>IF(Credit_Assumptions!$C$5=1,H255,IFERROR(MAX(0,MIN(1,1-(SUM(E272:H272)-SUM(E273:H273))/SUM(E276:H276))),H255))</f>
        <v/>
      </c>
      <c r="I282" s="81">
        <f>IF(Credit_Assumptions!$C$5=1,I255,IFERROR(MAX(0,MIN(1,1-(SUM(E272:I272)-SUM(E273:I273))/SUM(E276:I276))),I255))</f>
        <v/>
      </c>
      <c r="J282" s="81">
        <f>IF(Credit_Assumptions!$C$5=1,J255,IFERROR(MAX(0,MIN(1,1-(SUM(E272:J272)-SUM(E273:J273))/SUM(E276:J276))),J255))</f>
        <v/>
      </c>
      <c r="K282" s="81">
        <f>IF(Credit_Assumptions!$C$5=1,K255,IFERROR(MAX(0,MIN(1,1-(SUM(E272:K272)-SUM(E273:K273))/SUM(E276:K276))),K255))</f>
        <v/>
      </c>
      <c r="L282" s="81">
        <f>IF(Credit_Assumptions!$C$5=1,L255,IFERROR(MAX(0,MIN(1,1-(SUM(E272:L272)-SUM(E273:L273))/SUM(E276:L276))),L255))</f>
        <v/>
      </c>
      <c r="M282" s="81">
        <f>IF(Credit_Assumptions!$C$5=1,M255,IFERROR(MAX(0,MIN(1,1-(SUM(E272:M272)-SUM(E273:M273))/SUM(E276:M276))),M255))</f>
        <v/>
      </c>
      <c r="N282" s="81">
        <f>IF(Credit_Assumptions!$C$5=1,N255,IFERROR(MAX(0,MIN(1,1-(SUM(E272:N272)-SUM(E273:N273))/SUM(E276:N276))),N255))</f>
        <v/>
      </c>
      <c r="O282" s="81">
        <f>IF(Credit_Assumptions!$C$5=1,O255,IFERROR(MAX(0,MIN(1,1-(SUM(E272:O272)-SUM(E273:O273))/SUM(E276:O276))),O255))</f>
        <v/>
      </c>
      <c r="P282" s="81">
        <f>IF(Credit_Assumptions!$C$5=1,P255,IFERROR(MAX(0,MIN(1,1-(SUM(E272:P272)-SUM(E273:P273))/SUM(E276:P276))),P255))</f>
        <v/>
      </c>
      <c r="Q282" s="81">
        <f>IF(Credit_Assumptions!$C$5=1,Q255,IFERROR(MAX(0,MIN(1,1-(SUM(F272:Q272)-SUM(F273:Q273))/SUM(F276:Q276))),Q255))</f>
        <v/>
      </c>
      <c r="R282" s="81">
        <f>IF(Credit_Assumptions!$C$5=1,R255,IFERROR(MAX(0,MIN(1,1-(SUM(G272:R272)-SUM(G273:R273))/SUM(G276:R276))),R255))</f>
        <v/>
      </c>
      <c r="S282" s="81">
        <f>IF(Credit_Assumptions!$C$5=1,S255,IFERROR(MAX(0,MIN(1,1-(SUM(H272:S272)-SUM(H273:S273))/SUM(H276:S276))),S255))</f>
        <v/>
      </c>
      <c r="T282" s="81">
        <f>IF(Credit_Assumptions!$C$5=1,T255,IFERROR(MAX(0,MIN(1,1-(SUM(I272:T272)-SUM(I273:T273))/SUM(I276:T276))),T255))</f>
        <v/>
      </c>
      <c r="U282" s="81">
        <f>IF(Credit_Assumptions!$C$5=1,U255,IFERROR(MAX(0,MIN(1,1-(SUM(J272:U272)-SUM(J273:U273))/SUM(J276:U276))),U255))</f>
        <v/>
      </c>
      <c r="V282" s="81">
        <f>IF(Credit_Assumptions!$C$5=1,V255,IFERROR(MAX(0,MIN(1,1-(SUM(K272:V272)-SUM(K273:V273))/SUM(K276:V276))),V255))</f>
        <v/>
      </c>
      <c r="W282" s="81">
        <f>IF(Credit_Assumptions!$C$5=1,W255,IFERROR(MAX(0,MIN(1,1-(SUM(L272:W272)-SUM(L273:W273))/SUM(L276:W276))),W255))</f>
        <v/>
      </c>
      <c r="X282" s="81">
        <f>IF(Credit_Assumptions!$C$5=1,X255,IFERROR(MAX(0,MIN(1,1-(SUM(M272:X272)-SUM(M273:X273))/SUM(M276:X276))),X255))</f>
        <v/>
      </c>
      <c r="Y282" s="81">
        <f>IF(Credit_Assumptions!$C$5=1,Y255,IFERROR(MAX(0,MIN(1,1-(SUM(N272:Y272)-SUM(N273:Y273))/SUM(N276:Y276))),Y255))</f>
        <v/>
      </c>
      <c r="Z282" s="81">
        <f>IF(Credit_Assumptions!$C$5=1,Z255,IFERROR(MAX(0,MIN(1,1-(SUM(O272:Z272)-SUM(O273:Z273))/SUM(O276:Z276))),Z255))</f>
        <v/>
      </c>
      <c r="AA282" s="81">
        <f>IF(Credit_Assumptions!$C$5=1,AA255,IFERROR(MAX(0,MIN(1,1-(SUM(P272:AA272)-SUM(P273:AA273))/SUM(P276:AA276))),AA255))</f>
        <v/>
      </c>
      <c r="AB282" s="81">
        <f>IF(Credit_Assumptions!$C$5=1,AB255,IFERROR(MAX(0,MIN(1,1-(SUM(Q272:AB272)-SUM(Q273:AB273))/SUM(Q276:AB276))),AB255))</f>
        <v/>
      </c>
      <c r="AC282" s="81">
        <f>IF(Credit_Assumptions!$C$5=1,AC255,IFERROR(MAX(0,MIN(1,1-(SUM(R272:AC272)-SUM(R273:AC273))/SUM(R276:AC276))),AC255))</f>
        <v/>
      </c>
      <c r="AD282" s="81">
        <f>IF(Credit_Assumptions!$C$5=1,AD255,IFERROR(MAX(0,MIN(1,1-(SUM(S272:AD272)-SUM(S273:AD273))/SUM(S276:AD276))),AD255))</f>
        <v/>
      </c>
      <c r="AE282" s="81">
        <f>IF(Credit_Assumptions!$C$5=1,AE255,IFERROR(MAX(0,MIN(1,1-(SUM(T272:AE272)-SUM(T273:AE273))/SUM(T276:AE276))),AE255))</f>
        <v/>
      </c>
      <c r="AF282" s="81">
        <f>IF(Credit_Assumptions!$C$5=1,AF255,IFERROR(MAX(0,MIN(1,1-(SUM(U272:AF272)-SUM(U273:AF273))/SUM(U276:AF276))),AF255))</f>
        <v/>
      </c>
      <c r="AG282" s="81">
        <f>IF(Credit_Assumptions!$C$5=1,AG255,IFERROR(MAX(0,MIN(1,1-(SUM(V272:AG272)-SUM(V273:AG273))/SUM(V276:AG276))),AG255))</f>
        <v/>
      </c>
      <c r="AH282" s="81">
        <f>IF(Credit_Assumptions!$C$5=1,AH255,IFERROR(MAX(0,MIN(1,1-(SUM(W272:AH272)-SUM(W273:AH273))/SUM(W276:AH276))),AH255))</f>
        <v/>
      </c>
      <c r="AI282" s="81">
        <f>IF(Credit_Assumptions!$C$5=1,AI255,IFERROR(MAX(0,MIN(1,1-(SUM(X272:AI272)-SUM(X273:AI273))/SUM(X276:AI276))),AI255))</f>
        <v/>
      </c>
      <c r="AJ282" s="81">
        <f>IF(Credit_Assumptions!$C$5=1,AJ255,IFERROR(MAX(0,MIN(1,1-(SUM(Y272:AJ272)-SUM(Y273:AJ273))/SUM(Y276:AJ276))),AJ255))</f>
        <v/>
      </c>
      <c r="AK282" s="81">
        <f>IF(Credit_Assumptions!$C$5=1,AK255,IFERROR(MAX(0,MIN(1,1-(SUM(Z272:AK272)-SUM(Z273:AK273))/SUM(Z276:AK276))),AK255))</f>
        <v/>
      </c>
      <c r="AL282" s="81">
        <f>IF(Credit_Assumptions!$C$5=1,AL255,IFERROR(MAX(0,MIN(1,1-(SUM(AA272:AL272)-SUM(AA273:AL273))/SUM(AA276:AL276))),AL255))</f>
        <v/>
      </c>
      <c r="AM282" s="81">
        <f>IF(Credit_Assumptions!$C$5=1,AM255,IFERROR(MAX(0,MIN(1,1-(SUM(AB272:AM272)-SUM(AB273:AM273))/SUM(AB276:AM276))),AM255))</f>
        <v/>
      </c>
      <c r="AN282" s="81">
        <f>IF(Credit_Assumptions!$C$5=1,AN255,IFERROR(MAX(0,MIN(1,1-(SUM(AC272:AN272)-SUM(AC273:AN273))/SUM(AC276:AN276))),AN255))</f>
        <v/>
      </c>
      <c r="AO282" s="81">
        <f>IF(Credit_Assumptions!$C$5=1,AO255,IFERROR(MAX(0,MIN(1,1-(SUM(AD272:AO272)-SUM(AD273:AO273))/SUM(AD276:AO276))),AO255))</f>
        <v/>
      </c>
      <c r="AP282" s="81">
        <f>IF(Credit_Assumptions!$C$5=1,AP255,IFERROR(MAX(0,MIN(1,1-(SUM(AE272:AP272)-SUM(AE273:AP273))/SUM(AE276:AP276))),AP255))</f>
        <v/>
      </c>
      <c r="AQ282" s="81">
        <f>IF(Credit_Assumptions!$C$5=1,AQ255,IFERROR(MAX(0,MIN(1,1-(SUM(AF272:AQ272)-SUM(AF273:AQ273))/SUM(AF276:AQ276))),AQ255))</f>
        <v/>
      </c>
      <c r="AR282" s="81">
        <f>IF(Credit_Assumptions!$C$5=1,AR255,IFERROR(MAX(0,MIN(1,1-(SUM(AG272:AR272)-SUM(AG273:AR273))/SUM(AG276:AR276))),AR255))</f>
        <v/>
      </c>
      <c r="AS282" s="81">
        <f>IF(Credit_Assumptions!$C$5=1,AS255,IFERROR(MAX(0,MIN(1,1-(SUM(AH272:AS272)-SUM(AH273:AS273))/SUM(AH276:AS276))),AS255))</f>
        <v/>
      </c>
      <c r="AT282" s="81">
        <f>IF(Credit_Assumptions!$C$5=1,AT255,IFERROR(MAX(0,MIN(1,1-(SUM(AI272:AT272)-SUM(AI273:AT273))/SUM(AI276:AT276))),AT255))</f>
        <v/>
      </c>
      <c r="AU282" s="81">
        <f>IF(Credit_Assumptions!$C$5=1,AU255,IFERROR(MAX(0,MIN(1,1-(SUM(AJ272:AU272)-SUM(AJ273:AU273))/SUM(AJ276:AU276))),AU255))</f>
        <v/>
      </c>
      <c r="AV282" s="81">
        <f>IF(Credit_Assumptions!$C$5=1,AV255,IFERROR(MAX(0,MIN(1,1-(SUM(AK272:AV272)-SUM(AK273:AV273))/SUM(AK276:AV276))),AV255))</f>
        <v/>
      </c>
      <c r="AW282" s="81">
        <f>IF(Credit_Assumptions!$C$5=1,AW255,IFERROR(MAX(0,MIN(1,1-(SUM(AL272:AW272)-SUM(AL273:AW273))/SUM(AL276:AW276))),AW255))</f>
        <v/>
      </c>
      <c r="AX282" s="81">
        <f>IF(Credit_Assumptions!$C$5=1,AX255,IFERROR(MAX(0,MIN(1,1-(SUM(AM272:AX272)-SUM(AM273:AX273))/SUM(AM276:AX276))),AX255))</f>
        <v/>
      </c>
      <c r="AY282" s="81">
        <f>IF(Credit_Assumptions!$C$5=1,AY255,IFERROR(MAX(0,MIN(1,1-(SUM(AN272:AY272)-SUM(AN273:AY273))/SUM(AN276:AY276))),AY255))</f>
        <v/>
      </c>
      <c r="AZ282" s="81">
        <f>IF(Credit_Assumptions!$C$5=1,AZ255,IFERROR(MAX(0,MIN(1,1-(SUM(AO272:AZ272)-SUM(AO273:AZ273))/SUM(AO276:AZ276))),AZ255))</f>
        <v/>
      </c>
      <c r="BA282" s="81">
        <f>IF(Credit_Assumptions!$C$5=1,BA255,IFERROR(MAX(0,MIN(1,1-(SUM(AP272:BA272)-SUM(AP273:BA273))/SUM(AP276:BA276))),BA255))</f>
        <v/>
      </c>
      <c r="BB282" s="81">
        <f>IF(Credit_Assumptions!$C$5=1,BB255,IFERROR(MAX(0,MIN(1,1-(SUM(AQ272:BB272)-SUM(AQ273:BB273))/SUM(AQ276:BB276))),BB255))</f>
        <v/>
      </c>
      <c r="BC282" s="81">
        <f>IF(Credit_Assumptions!$C$5=1,BC255,IFERROR(MAX(0,MIN(1,1-(SUM(AR272:BC272)-SUM(AR273:BC273))/SUM(AR276:BC276))),BC255))</f>
        <v/>
      </c>
      <c r="BD282" s="81">
        <f>IF(Credit_Assumptions!$C$5=1,BD255,IFERROR(MAX(0,MIN(1,1-(SUM(AS272:BD272)-SUM(AS273:BD273))/SUM(AS276:BD276))),BD255))</f>
        <v/>
      </c>
      <c r="BE282" s="81">
        <f>IF(Credit_Assumptions!$C$5=1,BE255,IFERROR(MAX(0,MIN(1,1-(SUM(AT272:BE272)-SUM(AT273:BE273))/SUM(AT276:BE276))),BE255))</f>
        <v/>
      </c>
      <c r="BF282" s="81">
        <f>IF(Credit_Assumptions!$C$5=1,BF255,IFERROR(MAX(0,MIN(1,1-(SUM(AU272:BF272)-SUM(AU273:BF273))/SUM(AU276:BF276))),BF255))</f>
        <v/>
      </c>
      <c r="BG282" s="81">
        <f>IF(Credit_Assumptions!$C$5=1,BG255,IFERROR(MAX(0,MIN(1,1-(SUM(AV272:BG272)-SUM(AV273:BG273))/SUM(AV276:BG276))),BG255))</f>
        <v/>
      </c>
      <c r="BH282" s="81">
        <f>IF(Credit_Assumptions!$C$5=1,BH255,IFERROR(MAX(0,MIN(1,1-(SUM(AW272:BH272)-SUM(AW273:BH273))/SUM(AW276:BH276))),BH255))</f>
        <v/>
      </c>
      <c r="BI282" s="81">
        <f>IF(Credit_Assumptions!$C$5=1,BI255,IFERROR(MAX(0,MIN(1,1-(SUM(AX272:BI272)-SUM(AX273:BI273))/SUM(AX276:BI276))),BI255))</f>
        <v/>
      </c>
      <c r="BJ282" s="81">
        <f>IF(Credit_Assumptions!$C$5=1,BJ255,IFERROR(MAX(0,MIN(1,1-(SUM(AY272:BJ272)-SUM(AY273:BJ273))/SUM(AY276:BJ276))),BJ255))</f>
        <v/>
      </c>
      <c r="BK282" s="81">
        <f>IF(Credit_Assumptions!$C$5=1,BK255,IFERROR(MAX(0,MIN(1,1-(SUM(AZ272:BK272)-SUM(AZ273:BK273))/SUM(AZ276:BK276))),BK255))</f>
        <v/>
      </c>
      <c r="BL282" s="81">
        <f>IF(Credit_Assumptions!$C$5=1,BL255,IFERROR(MAX(0,MIN(1,1-(SUM(BA272:BL272)-SUM(BA273:BL273))/SUM(BA276:BL276))),BL255))</f>
        <v/>
      </c>
    </row>
    <row r="283">
      <c r="A283" s="98" t="inlineStr">
        <is>
          <t>Indicative stage-based ECL (diagnostic, not booked)</t>
        </is>
      </c>
      <c r="B283" s="65" t="inlineStr">
        <is>
          <t>LCY</t>
        </is>
      </c>
      <c r="C283" s="105">
        <f>BL283</f>
        <v/>
      </c>
      <c r="E283" s="80">
        <f>E263*CHOOSE(Credit_Assumptions!$D$28,E281*E282*(1+Credit_Assumptions!$C$17)^-0.5,(1-Credit_Assumptions!$C$16)*E282*(1+Credit_Assumptions!$C$17)^-0.5,E282)+E264*CHOOSE(Credit_Assumptions!$D$29,E281*E282*(1+Credit_Assumptions!$C$17)^-0.5,(1-Credit_Assumptions!$C$16)*E282*(1+Credit_Assumptions!$C$17)^-0.5,E282)+E265*CHOOSE(Credit_Assumptions!$D$30,E281*E282*(1+Credit_Assumptions!$C$17)^-0.5,(1-Credit_Assumptions!$C$16)*E282*(1+Credit_Assumptions!$C$17)^-0.5,E282)+E266*CHOOSE(Credit_Assumptions!$D$31,E281*E282*(1+Credit_Assumptions!$C$17)^-0.5,(1-Credit_Assumptions!$C$16)*E282*(1+Credit_Assumptions!$C$17)^-0.5,E282)+E267*CHOOSE(Credit_Assumptions!$D$32,E281*E282*(1+Credit_Assumptions!$C$17)^-0.5,(1-Credit_Assumptions!$C$16)*E282*(1+Credit_Assumptions!$C$17)^-0.5,E282)+E268*CHOOSE(Credit_Assumptions!$D$33,E281*E282*(1+Credit_Assumptions!$C$17)^-0.5,(1-Credit_Assumptions!$C$16)*E282*(1+Credit_Assumptions!$C$17)^-0.5,E282)</f>
        <v/>
      </c>
      <c r="F283" s="80">
        <f>F263*CHOOSE(Credit_Assumptions!$D$28,F281*F282*(1+Credit_Assumptions!$C$17)^-0.5,(1-Credit_Assumptions!$C$16)*F282*(1+Credit_Assumptions!$C$17)^-0.5,F282)+F264*CHOOSE(Credit_Assumptions!$D$29,F281*F282*(1+Credit_Assumptions!$C$17)^-0.5,(1-Credit_Assumptions!$C$16)*F282*(1+Credit_Assumptions!$C$17)^-0.5,F282)+F265*CHOOSE(Credit_Assumptions!$D$30,F281*F282*(1+Credit_Assumptions!$C$17)^-0.5,(1-Credit_Assumptions!$C$16)*F282*(1+Credit_Assumptions!$C$17)^-0.5,F282)+F266*CHOOSE(Credit_Assumptions!$D$31,F281*F282*(1+Credit_Assumptions!$C$17)^-0.5,(1-Credit_Assumptions!$C$16)*F282*(1+Credit_Assumptions!$C$17)^-0.5,F282)+F267*CHOOSE(Credit_Assumptions!$D$32,F281*F282*(1+Credit_Assumptions!$C$17)^-0.5,(1-Credit_Assumptions!$C$16)*F282*(1+Credit_Assumptions!$C$17)^-0.5,F282)+F268*CHOOSE(Credit_Assumptions!$D$33,F281*F282*(1+Credit_Assumptions!$C$17)^-0.5,(1-Credit_Assumptions!$C$16)*F282*(1+Credit_Assumptions!$C$17)^-0.5,F282)</f>
        <v/>
      </c>
      <c r="G283" s="80">
        <f>G263*CHOOSE(Credit_Assumptions!$D$28,G281*G282*(1+Credit_Assumptions!$C$17)^-0.5,(1-Credit_Assumptions!$C$16)*G282*(1+Credit_Assumptions!$C$17)^-0.5,G282)+G264*CHOOSE(Credit_Assumptions!$D$29,G281*G282*(1+Credit_Assumptions!$C$17)^-0.5,(1-Credit_Assumptions!$C$16)*G282*(1+Credit_Assumptions!$C$17)^-0.5,G282)+G265*CHOOSE(Credit_Assumptions!$D$30,G281*G282*(1+Credit_Assumptions!$C$17)^-0.5,(1-Credit_Assumptions!$C$16)*G282*(1+Credit_Assumptions!$C$17)^-0.5,G282)+G266*CHOOSE(Credit_Assumptions!$D$31,G281*G282*(1+Credit_Assumptions!$C$17)^-0.5,(1-Credit_Assumptions!$C$16)*G282*(1+Credit_Assumptions!$C$17)^-0.5,G282)+G267*CHOOSE(Credit_Assumptions!$D$32,G281*G282*(1+Credit_Assumptions!$C$17)^-0.5,(1-Credit_Assumptions!$C$16)*G282*(1+Credit_Assumptions!$C$17)^-0.5,G282)+G268*CHOOSE(Credit_Assumptions!$D$33,G281*G282*(1+Credit_Assumptions!$C$17)^-0.5,(1-Credit_Assumptions!$C$16)*G282*(1+Credit_Assumptions!$C$17)^-0.5,G282)</f>
        <v/>
      </c>
      <c r="H283" s="80">
        <f>H263*CHOOSE(Credit_Assumptions!$D$28,H281*H282*(1+Credit_Assumptions!$C$17)^-0.5,(1-Credit_Assumptions!$C$16)*H282*(1+Credit_Assumptions!$C$17)^-0.5,H282)+H264*CHOOSE(Credit_Assumptions!$D$29,H281*H282*(1+Credit_Assumptions!$C$17)^-0.5,(1-Credit_Assumptions!$C$16)*H282*(1+Credit_Assumptions!$C$17)^-0.5,H282)+H265*CHOOSE(Credit_Assumptions!$D$30,H281*H282*(1+Credit_Assumptions!$C$17)^-0.5,(1-Credit_Assumptions!$C$16)*H282*(1+Credit_Assumptions!$C$17)^-0.5,H282)+H266*CHOOSE(Credit_Assumptions!$D$31,H281*H282*(1+Credit_Assumptions!$C$17)^-0.5,(1-Credit_Assumptions!$C$16)*H282*(1+Credit_Assumptions!$C$17)^-0.5,H282)+H267*CHOOSE(Credit_Assumptions!$D$32,H281*H282*(1+Credit_Assumptions!$C$17)^-0.5,(1-Credit_Assumptions!$C$16)*H282*(1+Credit_Assumptions!$C$17)^-0.5,H282)+H268*CHOOSE(Credit_Assumptions!$D$33,H281*H282*(1+Credit_Assumptions!$C$17)^-0.5,(1-Credit_Assumptions!$C$16)*H282*(1+Credit_Assumptions!$C$17)^-0.5,H282)</f>
        <v/>
      </c>
      <c r="I283" s="80">
        <f>I263*CHOOSE(Credit_Assumptions!$D$28,I281*I282*(1+Credit_Assumptions!$C$17)^-0.5,(1-Credit_Assumptions!$C$16)*I282*(1+Credit_Assumptions!$C$17)^-0.5,I282)+I264*CHOOSE(Credit_Assumptions!$D$29,I281*I282*(1+Credit_Assumptions!$C$17)^-0.5,(1-Credit_Assumptions!$C$16)*I282*(1+Credit_Assumptions!$C$17)^-0.5,I282)+I265*CHOOSE(Credit_Assumptions!$D$30,I281*I282*(1+Credit_Assumptions!$C$17)^-0.5,(1-Credit_Assumptions!$C$16)*I282*(1+Credit_Assumptions!$C$17)^-0.5,I282)+I266*CHOOSE(Credit_Assumptions!$D$31,I281*I282*(1+Credit_Assumptions!$C$17)^-0.5,(1-Credit_Assumptions!$C$16)*I282*(1+Credit_Assumptions!$C$17)^-0.5,I282)+I267*CHOOSE(Credit_Assumptions!$D$32,I281*I282*(1+Credit_Assumptions!$C$17)^-0.5,(1-Credit_Assumptions!$C$16)*I282*(1+Credit_Assumptions!$C$17)^-0.5,I282)+I268*CHOOSE(Credit_Assumptions!$D$33,I281*I282*(1+Credit_Assumptions!$C$17)^-0.5,(1-Credit_Assumptions!$C$16)*I282*(1+Credit_Assumptions!$C$17)^-0.5,I282)</f>
        <v/>
      </c>
      <c r="J283" s="80">
        <f>J263*CHOOSE(Credit_Assumptions!$D$28,J281*J282*(1+Credit_Assumptions!$C$17)^-0.5,(1-Credit_Assumptions!$C$16)*J282*(1+Credit_Assumptions!$C$17)^-0.5,J282)+J264*CHOOSE(Credit_Assumptions!$D$29,J281*J282*(1+Credit_Assumptions!$C$17)^-0.5,(1-Credit_Assumptions!$C$16)*J282*(1+Credit_Assumptions!$C$17)^-0.5,J282)+J265*CHOOSE(Credit_Assumptions!$D$30,J281*J282*(1+Credit_Assumptions!$C$17)^-0.5,(1-Credit_Assumptions!$C$16)*J282*(1+Credit_Assumptions!$C$17)^-0.5,J282)+J266*CHOOSE(Credit_Assumptions!$D$31,J281*J282*(1+Credit_Assumptions!$C$17)^-0.5,(1-Credit_Assumptions!$C$16)*J282*(1+Credit_Assumptions!$C$17)^-0.5,J282)+J267*CHOOSE(Credit_Assumptions!$D$32,J281*J282*(1+Credit_Assumptions!$C$17)^-0.5,(1-Credit_Assumptions!$C$16)*J282*(1+Credit_Assumptions!$C$17)^-0.5,J282)+J268*CHOOSE(Credit_Assumptions!$D$33,J281*J282*(1+Credit_Assumptions!$C$17)^-0.5,(1-Credit_Assumptions!$C$16)*J282*(1+Credit_Assumptions!$C$17)^-0.5,J282)</f>
        <v/>
      </c>
      <c r="K283" s="80">
        <f>K263*CHOOSE(Credit_Assumptions!$D$28,K281*K282*(1+Credit_Assumptions!$C$17)^-0.5,(1-Credit_Assumptions!$C$16)*K282*(1+Credit_Assumptions!$C$17)^-0.5,K282)+K264*CHOOSE(Credit_Assumptions!$D$29,K281*K282*(1+Credit_Assumptions!$C$17)^-0.5,(1-Credit_Assumptions!$C$16)*K282*(1+Credit_Assumptions!$C$17)^-0.5,K282)+K265*CHOOSE(Credit_Assumptions!$D$30,K281*K282*(1+Credit_Assumptions!$C$17)^-0.5,(1-Credit_Assumptions!$C$16)*K282*(1+Credit_Assumptions!$C$17)^-0.5,K282)+K266*CHOOSE(Credit_Assumptions!$D$31,K281*K282*(1+Credit_Assumptions!$C$17)^-0.5,(1-Credit_Assumptions!$C$16)*K282*(1+Credit_Assumptions!$C$17)^-0.5,K282)+K267*CHOOSE(Credit_Assumptions!$D$32,K281*K282*(1+Credit_Assumptions!$C$17)^-0.5,(1-Credit_Assumptions!$C$16)*K282*(1+Credit_Assumptions!$C$17)^-0.5,K282)+K268*CHOOSE(Credit_Assumptions!$D$33,K281*K282*(1+Credit_Assumptions!$C$17)^-0.5,(1-Credit_Assumptions!$C$16)*K282*(1+Credit_Assumptions!$C$17)^-0.5,K282)</f>
        <v/>
      </c>
      <c r="L283" s="80">
        <f>L263*CHOOSE(Credit_Assumptions!$D$28,L281*L282*(1+Credit_Assumptions!$C$17)^-0.5,(1-Credit_Assumptions!$C$16)*L282*(1+Credit_Assumptions!$C$17)^-0.5,L282)+L264*CHOOSE(Credit_Assumptions!$D$29,L281*L282*(1+Credit_Assumptions!$C$17)^-0.5,(1-Credit_Assumptions!$C$16)*L282*(1+Credit_Assumptions!$C$17)^-0.5,L282)+L265*CHOOSE(Credit_Assumptions!$D$30,L281*L282*(1+Credit_Assumptions!$C$17)^-0.5,(1-Credit_Assumptions!$C$16)*L282*(1+Credit_Assumptions!$C$17)^-0.5,L282)+L266*CHOOSE(Credit_Assumptions!$D$31,L281*L282*(1+Credit_Assumptions!$C$17)^-0.5,(1-Credit_Assumptions!$C$16)*L282*(1+Credit_Assumptions!$C$17)^-0.5,L282)+L267*CHOOSE(Credit_Assumptions!$D$32,L281*L282*(1+Credit_Assumptions!$C$17)^-0.5,(1-Credit_Assumptions!$C$16)*L282*(1+Credit_Assumptions!$C$17)^-0.5,L282)+L268*CHOOSE(Credit_Assumptions!$D$33,L281*L282*(1+Credit_Assumptions!$C$17)^-0.5,(1-Credit_Assumptions!$C$16)*L282*(1+Credit_Assumptions!$C$17)^-0.5,L282)</f>
        <v/>
      </c>
      <c r="M283" s="80">
        <f>M263*CHOOSE(Credit_Assumptions!$D$28,M281*M282*(1+Credit_Assumptions!$C$17)^-0.5,(1-Credit_Assumptions!$C$16)*M282*(1+Credit_Assumptions!$C$17)^-0.5,M282)+M264*CHOOSE(Credit_Assumptions!$D$29,M281*M282*(1+Credit_Assumptions!$C$17)^-0.5,(1-Credit_Assumptions!$C$16)*M282*(1+Credit_Assumptions!$C$17)^-0.5,M282)+M265*CHOOSE(Credit_Assumptions!$D$30,M281*M282*(1+Credit_Assumptions!$C$17)^-0.5,(1-Credit_Assumptions!$C$16)*M282*(1+Credit_Assumptions!$C$17)^-0.5,M282)+M266*CHOOSE(Credit_Assumptions!$D$31,M281*M282*(1+Credit_Assumptions!$C$17)^-0.5,(1-Credit_Assumptions!$C$16)*M282*(1+Credit_Assumptions!$C$17)^-0.5,M282)+M267*CHOOSE(Credit_Assumptions!$D$32,M281*M282*(1+Credit_Assumptions!$C$17)^-0.5,(1-Credit_Assumptions!$C$16)*M282*(1+Credit_Assumptions!$C$17)^-0.5,M282)+M268*CHOOSE(Credit_Assumptions!$D$33,M281*M282*(1+Credit_Assumptions!$C$17)^-0.5,(1-Credit_Assumptions!$C$16)*M282*(1+Credit_Assumptions!$C$17)^-0.5,M282)</f>
        <v/>
      </c>
      <c r="N283" s="80">
        <f>N263*CHOOSE(Credit_Assumptions!$D$28,N281*N282*(1+Credit_Assumptions!$C$17)^-0.5,(1-Credit_Assumptions!$C$16)*N282*(1+Credit_Assumptions!$C$17)^-0.5,N282)+N264*CHOOSE(Credit_Assumptions!$D$29,N281*N282*(1+Credit_Assumptions!$C$17)^-0.5,(1-Credit_Assumptions!$C$16)*N282*(1+Credit_Assumptions!$C$17)^-0.5,N282)+N265*CHOOSE(Credit_Assumptions!$D$30,N281*N282*(1+Credit_Assumptions!$C$17)^-0.5,(1-Credit_Assumptions!$C$16)*N282*(1+Credit_Assumptions!$C$17)^-0.5,N282)+N266*CHOOSE(Credit_Assumptions!$D$31,N281*N282*(1+Credit_Assumptions!$C$17)^-0.5,(1-Credit_Assumptions!$C$16)*N282*(1+Credit_Assumptions!$C$17)^-0.5,N282)+N267*CHOOSE(Credit_Assumptions!$D$32,N281*N282*(1+Credit_Assumptions!$C$17)^-0.5,(1-Credit_Assumptions!$C$16)*N282*(1+Credit_Assumptions!$C$17)^-0.5,N282)+N268*CHOOSE(Credit_Assumptions!$D$33,N281*N282*(1+Credit_Assumptions!$C$17)^-0.5,(1-Credit_Assumptions!$C$16)*N282*(1+Credit_Assumptions!$C$17)^-0.5,N282)</f>
        <v/>
      </c>
      <c r="O283" s="80">
        <f>O263*CHOOSE(Credit_Assumptions!$D$28,O281*O282*(1+Credit_Assumptions!$C$17)^-0.5,(1-Credit_Assumptions!$C$16)*O282*(1+Credit_Assumptions!$C$17)^-0.5,O282)+O264*CHOOSE(Credit_Assumptions!$D$29,O281*O282*(1+Credit_Assumptions!$C$17)^-0.5,(1-Credit_Assumptions!$C$16)*O282*(1+Credit_Assumptions!$C$17)^-0.5,O282)+O265*CHOOSE(Credit_Assumptions!$D$30,O281*O282*(1+Credit_Assumptions!$C$17)^-0.5,(1-Credit_Assumptions!$C$16)*O282*(1+Credit_Assumptions!$C$17)^-0.5,O282)+O266*CHOOSE(Credit_Assumptions!$D$31,O281*O282*(1+Credit_Assumptions!$C$17)^-0.5,(1-Credit_Assumptions!$C$16)*O282*(1+Credit_Assumptions!$C$17)^-0.5,O282)+O267*CHOOSE(Credit_Assumptions!$D$32,O281*O282*(1+Credit_Assumptions!$C$17)^-0.5,(1-Credit_Assumptions!$C$16)*O282*(1+Credit_Assumptions!$C$17)^-0.5,O282)+O268*CHOOSE(Credit_Assumptions!$D$33,O281*O282*(1+Credit_Assumptions!$C$17)^-0.5,(1-Credit_Assumptions!$C$16)*O282*(1+Credit_Assumptions!$C$17)^-0.5,O282)</f>
        <v/>
      </c>
      <c r="P283" s="80">
        <f>P263*CHOOSE(Credit_Assumptions!$D$28,P281*P282*(1+Credit_Assumptions!$C$17)^-0.5,(1-Credit_Assumptions!$C$16)*P282*(1+Credit_Assumptions!$C$17)^-0.5,P282)+P264*CHOOSE(Credit_Assumptions!$D$29,P281*P282*(1+Credit_Assumptions!$C$17)^-0.5,(1-Credit_Assumptions!$C$16)*P282*(1+Credit_Assumptions!$C$17)^-0.5,P282)+P265*CHOOSE(Credit_Assumptions!$D$30,P281*P282*(1+Credit_Assumptions!$C$17)^-0.5,(1-Credit_Assumptions!$C$16)*P282*(1+Credit_Assumptions!$C$17)^-0.5,P282)+P266*CHOOSE(Credit_Assumptions!$D$31,P281*P282*(1+Credit_Assumptions!$C$17)^-0.5,(1-Credit_Assumptions!$C$16)*P282*(1+Credit_Assumptions!$C$17)^-0.5,P282)+P267*CHOOSE(Credit_Assumptions!$D$32,P281*P282*(1+Credit_Assumptions!$C$17)^-0.5,(1-Credit_Assumptions!$C$16)*P282*(1+Credit_Assumptions!$C$17)^-0.5,P282)+P268*CHOOSE(Credit_Assumptions!$D$33,P281*P282*(1+Credit_Assumptions!$C$17)^-0.5,(1-Credit_Assumptions!$C$16)*P282*(1+Credit_Assumptions!$C$17)^-0.5,P282)</f>
        <v/>
      </c>
      <c r="Q283" s="80">
        <f>Q263*CHOOSE(Credit_Assumptions!$D$28,Q281*Q282*(1+Credit_Assumptions!$C$17)^-0.5,(1-Credit_Assumptions!$C$16)*Q282*(1+Credit_Assumptions!$C$17)^-0.5,Q282)+Q264*CHOOSE(Credit_Assumptions!$D$29,Q281*Q282*(1+Credit_Assumptions!$C$17)^-0.5,(1-Credit_Assumptions!$C$16)*Q282*(1+Credit_Assumptions!$C$17)^-0.5,Q282)+Q265*CHOOSE(Credit_Assumptions!$D$30,Q281*Q282*(1+Credit_Assumptions!$C$17)^-0.5,(1-Credit_Assumptions!$C$16)*Q282*(1+Credit_Assumptions!$C$17)^-0.5,Q282)+Q266*CHOOSE(Credit_Assumptions!$D$31,Q281*Q282*(1+Credit_Assumptions!$C$17)^-0.5,(1-Credit_Assumptions!$C$16)*Q282*(1+Credit_Assumptions!$C$17)^-0.5,Q282)+Q267*CHOOSE(Credit_Assumptions!$D$32,Q281*Q282*(1+Credit_Assumptions!$C$17)^-0.5,(1-Credit_Assumptions!$C$16)*Q282*(1+Credit_Assumptions!$C$17)^-0.5,Q282)+Q268*CHOOSE(Credit_Assumptions!$D$33,Q281*Q282*(1+Credit_Assumptions!$C$17)^-0.5,(1-Credit_Assumptions!$C$16)*Q282*(1+Credit_Assumptions!$C$17)^-0.5,Q282)</f>
        <v/>
      </c>
      <c r="R283" s="80">
        <f>R263*CHOOSE(Credit_Assumptions!$D$28,R281*R282*(1+Credit_Assumptions!$C$17)^-0.5,(1-Credit_Assumptions!$C$16)*R282*(1+Credit_Assumptions!$C$17)^-0.5,R282)+R264*CHOOSE(Credit_Assumptions!$D$29,R281*R282*(1+Credit_Assumptions!$C$17)^-0.5,(1-Credit_Assumptions!$C$16)*R282*(1+Credit_Assumptions!$C$17)^-0.5,R282)+R265*CHOOSE(Credit_Assumptions!$D$30,R281*R282*(1+Credit_Assumptions!$C$17)^-0.5,(1-Credit_Assumptions!$C$16)*R282*(1+Credit_Assumptions!$C$17)^-0.5,R282)+R266*CHOOSE(Credit_Assumptions!$D$31,R281*R282*(1+Credit_Assumptions!$C$17)^-0.5,(1-Credit_Assumptions!$C$16)*R282*(1+Credit_Assumptions!$C$17)^-0.5,R282)+R267*CHOOSE(Credit_Assumptions!$D$32,R281*R282*(1+Credit_Assumptions!$C$17)^-0.5,(1-Credit_Assumptions!$C$16)*R282*(1+Credit_Assumptions!$C$17)^-0.5,R282)+R268*CHOOSE(Credit_Assumptions!$D$33,R281*R282*(1+Credit_Assumptions!$C$17)^-0.5,(1-Credit_Assumptions!$C$16)*R282*(1+Credit_Assumptions!$C$17)^-0.5,R282)</f>
        <v/>
      </c>
      <c r="S283" s="80">
        <f>S263*CHOOSE(Credit_Assumptions!$D$28,S281*S282*(1+Credit_Assumptions!$C$17)^-0.5,(1-Credit_Assumptions!$C$16)*S282*(1+Credit_Assumptions!$C$17)^-0.5,S282)+S264*CHOOSE(Credit_Assumptions!$D$29,S281*S282*(1+Credit_Assumptions!$C$17)^-0.5,(1-Credit_Assumptions!$C$16)*S282*(1+Credit_Assumptions!$C$17)^-0.5,S282)+S265*CHOOSE(Credit_Assumptions!$D$30,S281*S282*(1+Credit_Assumptions!$C$17)^-0.5,(1-Credit_Assumptions!$C$16)*S282*(1+Credit_Assumptions!$C$17)^-0.5,S282)+S266*CHOOSE(Credit_Assumptions!$D$31,S281*S282*(1+Credit_Assumptions!$C$17)^-0.5,(1-Credit_Assumptions!$C$16)*S282*(1+Credit_Assumptions!$C$17)^-0.5,S282)+S267*CHOOSE(Credit_Assumptions!$D$32,S281*S282*(1+Credit_Assumptions!$C$17)^-0.5,(1-Credit_Assumptions!$C$16)*S282*(1+Credit_Assumptions!$C$17)^-0.5,S282)+S268*CHOOSE(Credit_Assumptions!$D$33,S281*S282*(1+Credit_Assumptions!$C$17)^-0.5,(1-Credit_Assumptions!$C$16)*S282*(1+Credit_Assumptions!$C$17)^-0.5,S282)</f>
        <v/>
      </c>
      <c r="T283" s="80">
        <f>T263*CHOOSE(Credit_Assumptions!$D$28,T281*T282*(1+Credit_Assumptions!$C$17)^-0.5,(1-Credit_Assumptions!$C$16)*T282*(1+Credit_Assumptions!$C$17)^-0.5,T282)+T264*CHOOSE(Credit_Assumptions!$D$29,T281*T282*(1+Credit_Assumptions!$C$17)^-0.5,(1-Credit_Assumptions!$C$16)*T282*(1+Credit_Assumptions!$C$17)^-0.5,T282)+T265*CHOOSE(Credit_Assumptions!$D$30,T281*T282*(1+Credit_Assumptions!$C$17)^-0.5,(1-Credit_Assumptions!$C$16)*T282*(1+Credit_Assumptions!$C$17)^-0.5,T282)+T266*CHOOSE(Credit_Assumptions!$D$31,T281*T282*(1+Credit_Assumptions!$C$17)^-0.5,(1-Credit_Assumptions!$C$16)*T282*(1+Credit_Assumptions!$C$17)^-0.5,T282)+T267*CHOOSE(Credit_Assumptions!$D$32,T281*T282*(1+Credit_Assumptions!$C$17)^-0.5,(1-Credit_Assumptions!$C$16)*T282*(1+Credit_Assumptions!$C$17)^-0.5,T282)+T268*CHOOSE(Credit_Assumptions!$D$33,T281*T282*(1+Credit_Assumptions!$C$17)^-0.5,(1-Credit_Assumptions!$C$16)*T282*(1+Credit_Assumptions!$C$17)^-0.5,T282)</f>
        <v/>
      </c>
      <c r="U283" s="80">
        <f>U263*CHOOSE(Credit_Assumptions!$D$28,U281*U282*(1+Credit_Assumptions!$C$17)^-0.5,(1-Credit_Assumptions!$C$16)*U282*(1+Credit_Assumptions!$C$17)^-0.5,U282)+U264*CHOOSE(Credit_Assumptions!$D$29,U281*U282*(1+Credit_Assumptions!$C$17)^-0.5,(1-Credit_Assumptions!$C$16)*U282*(1+Credit_Assumptions!$C$17)^-0.5,U282)+U265*CHOOSE(Credit_Assumptions!$D$30,U281*U282*(1+Credit_Assumptions!$C$17)^-0.5,(1-Credit_Assumptions!$C$16)*U282*(1+Credit_Assumptions!$C$17)^-0.5,U282)+U266*CHOOSE(Credit_Assumptions!$D$31,U281*U282*(1+Credit_Assumptions!$C$17)^-0.5,(1-Credit_Assumptions!$C$16)*U282*(1+Credit_Assumptions!$C$17)^-0.5,U282)+U267*CHOOSE(Credit_Assumptions!$D$32,U281*U282*(1+Credit_Assumptions!$C$17)^-0.5,(1-Credit_Assumptions!$C$16)*U282*(1+Credit_Assumptions!$C$17)^-0.5,U282)+U268*CHOOSE(Credit_Assumptions!$D$33,U281*U282*(1+Credit_Assumptions!$C$17)^-0.5,(1-Credit_Assumptions!$C$16)*U282*(1+Credit_Assumptions!$C$17)^-0.5,U282)</f>
        <v/>
      </c>
      <c r="V283" s="80">
        <f>V263*CHOOSE(Credit_Assumptions!$D$28,V281*V282*(1+Credit_Assumptions!$C$17)^-0.5,(1-Credit_Assumptions!$C$16)*V282*(1+Credit_Assumptions!$C$17)^-0.5,V282)+V264*CHOOSE(Credit_Assumptions!$D$29,V281*V282*(1+Credit_Assumptions!$C$17)^-0.5,(1-Credit_Assumptions!$C$16)*V282*(1+Credit_Assumptions!$C$17)^-0.5,V282)+V265*CHOOSE(Credit_Assumptions!$D$30,V281*V282*(1+Credit_Assumptions!$C$17)^-0.5,(1-Credit_Assumptions!$C$16)*V282*(1+Credit_Assumptions!$C$17)^-0.5,V282)+V266*CHOOSE(Credit_Assumptions!$D$31,V281*V282*(1+Credit_Assumptions!$C$17)^-0.5,(1-Credit_Assumptions!$C$16)*V282*(1+Credit_Assumptions!$C$17)^-0.5,V282)+V267*CHOOSE(Credit_Assumptions!$D$32,V281*V282*(1+Credit_Assumptions!$C$17)^-0.5,(1-Credit_Assumptions!$C$16)*V282*(1+Credit_Assumptions!$C$17)^-0.5,V282)+V268*CHOOSE(Credit_Assumptions!$D$33,V281*V282*(1+Credit_Assumptions!$C$17)^-0.5,(1-Credit_Assumptions!$C$16)*V282*(1+Credit_Assumptions!$C$17)^-0.5,V282)</f>
        <v/>
      </c>
      <c r="W283" s="80">
        <f>W263*CHOOSE(Credit_Assumptions!$D$28,W281*W282*(1+Credit_Assumptions!$C$17)^-0.5,(1-Credit_Assumptions!$C$16)*W282*(1+Credit_Assumptions!$C$17)^-0.5,W282)+W264*CHOOSE(Credit_Assumptions!$D$29,W281*W282*(1+Credit_Assumptions!$C$17)^-0.5,(1-Credit_Assumptions!$C$16)*W282*(1+Credit_Assumptions!$C$17)^-0.5,W282)+W265*CHOOSE(Credit_Assumptions!$D$30,W281*W282*(1+Credit_Assumptions!$C$17)^-0.5,(1-Credit_Assumptions!$C$16)*W282*(1+Credit_Assumptions!$C$17)^-0.5,W282)+W266*CHOOSE(Credit_Assumptions!$D$31,W281*W282*(1+Credit_Assumptions!$C$17)^-0.5,(1-Credit_Assumptions!$C$16)*W282*(1+Credit_Assumptions!$C$17)^-0.5,W282)+W267*CHOOSE(Credit_Assumptions!$D$32,W281*W282*(1+Credit_Assumptions!$C$17)^-0.5,(1-Credit_Assumptions!$C$16)*W282*(1+Credit_Assumptions!$C$17)^-0.5,W282)+W268*CHOOSE(Credit_Assumptions!$D$33,W281*W282*(1+Credit_Assumptions!$C$17)^-0.5,(1-Credit_Assumptions!$C$16)*W282*(1+Credit_Assumptions!$C$17)^-0.5,W282)</f>
        <v/>
      </c>
      <c r="X283" s="80">
        <f>X263*CHOOSE(Credit_Assumptions!$D$28,X281*X282*(1+Credit_Assumptions!$C$17)^-0.5,(1-Credit_Assumptions!$C$16)*X282*(1+Credit_Assumptions!$C$17)^-0.5,X282)+X264*CHOOSE(Credit_Assumptions!$D$29,X281*X282*(1+Credit_Assumptions!$C$17)^-0.5,(1-Credit_Assumptions!$C$16)*X282*(1+Credit_Assumptions!$C$17)^-0.5,X282)+X265*CHOOSE(Credit_Assumptions!$D$30,X281*X282*(1+Credit_Assumptions!$C$17)^-0.5,(1-Credit_Assumptions!$C$16)*X282*(1+Credit_Assumptions!$C$17)^-0.5,X282)+X266*CHOOSE(Credit_Assumptions!$D$31,X281*X282*(1+Credit_Assumptions!$C$17)^-0.5,(1-Credit_Assumptions!$C$16)*X282*(1+Credit_Assumptions!$C$17)^-0.5,X282)+X267*CHOOSE(Credit_Assumptions!$D$32,X281*X282*(1+Credit_Assumptions!$C$17)^-0.5,(1-Credit_Assumptions!$C$16)*X282*(1+Credit_Assumptions!$C$17)^-0.5,X282)+X268*CHOOSE(Credit_Assumptions!$D$33,X281*X282*(1+Credit_Assumptions!$C$17)^-0.5,(1-Credit_Assumptions!$C$16)*X282*(1+Credit_Assumptions!$C$17)^-0.5,X282)</f>
        <v/>
      </c>
      <c r="Y283" s="80">
        <f>Y263*CHOOSE(Credit_Assumptions!$D$28,Y281*Y282*(1+Credit_Assumptions!$C$17)^-0.5,(1-Credit_Assumptions!$C$16)*Y282*(1+Credit_Assumptions!$C$17)^-0.5,Y282)+Y264*CHOOSE(Credit_Assumptions!$D$29,Y281*Y282*(1+Credit_Assumptions!$C$17)^-0.5,(1-Credit_Assumptions!$C$16)*Y282*(1+Credit_Assumptions!$C$17)^-0.5,Y282)+Y265*CHOOSE(Credit_Assumptions!$D$30,Y281*Y282*(1+Credit_Assumptions!$C$17)^-0.5,(1-Credit_Assumptions!$C$16)*Y282*(1+Credit_Assumptions!$C$17)^-0.5,Y282)+Y266*CHOOSE(Credit_Assumptions!$D$31,Y281*Y282*(1+Credit_Assumptions!$C$17)^-0.5,(1-Credit_Assumptions!$C$16)*Y282*(1+Credit_Assumptions!$C$17)^-0.5,Y282)+Y267*CHOOSE(Credit_Assumptions!$D$32,Y281*Y282*(1+Credit_Assumptions!$C$17)^-0.5,(1-Credit_Assumptions!$C$16)*Y282*(1+Credit_Assumptions!$C$17)^-0.5,Y282)+Y268*CHOOSE(Credit_Assumptions!$D$33,Y281*Y282*(1+Credit_Assumptions!$C$17)^-0.5,(1-Credit_Assumptions!$C$16)*Y282*(1+Credit_Assumptions!$C$17)^-0.5,Y282)</f>
        <v/>
      </c>
      <c r="Z283" s="80">
        <f>Z263*CHOOSE(Credit_Assumptions!$D$28,Z281*Z282*(1+Credit_Assumptions!$C$17)^-0.5,(1-Credit_Assumptions!$C$16)*Z282*(1+Credit_Assumptions!$C$17)^-0.5,Z282)+Z264*CHOOSE(Credit_Assumptions!$D$29,Z281*Z282*(1+Credit_Assumptions!$C$17)^-0.5,(1-Credit_Assumptions!$C$16)*Z282*(1+Credit_Assumptions!$C$17)^-0.5,Z282)+Z265*CHOOSE(Credit_Assumptions!$D$30,Z281*Z282*(1+Credit_Assumptions!$C$17)^-0.5,(1-Credit_Assumptions!$C$16)*Z282*(1+Credit_Assumptions!$C$17)^-0.5,Z282)+Z266*CHOOSE(Credit_Assumptions!$D$31,Z281*Z282*(1+Credit_Assumptions!$C$17)^-0.5,(1-Credit_Assumptions!$C$16)*Z282*(1+Credit_Assumptions!$C$17)^-0.5,Z282)+Z267*CHOOSE(Credit_Assumptions!$D$32,Z281*Z282*(1+Credit_Assumptions!$C$17)^-0.5,(1-Credit_Assumptions!$C$16)*Z282*(1+Credit_Assumptions!$C$17)^-0.5,Z282)+Z268*CHOOSE(Credit_Assumptions!$D$33,Z281*Z282*(1+Credit_Assumptions!$C$17)^-0.5,(1-Credit_Assumptions!$C$16)*Z282*(1+Credit_Assumptions!$C$17)^-0.5,Z282)</f>
        <v/>
      </c>
      <c r="AA283" s="80">
        <f>AA263*CHOOSE(Credit_Assumptions!$D$28,AA281*AA282*(1+Credit_Assumptions!$C$17)^-0.5,(1-Credit_Assumptions!$C$16)*AA282*(1+Credit_Assumptions!$C$17)^-0.5,AA282)+AA264*CHOOSE(Credit_Assumptions!$D$29,AA281*AA282*(1+Credit_Assumptions!$C$17)^-0.5,(1-Credit_Assumptions!$C$16)*AA282*(1+Credit_Assumptions!$C$17)^-0.5,AA282)+AA265*CHOOSE(Credit_Assumptions!$D$30,AA281*AA282*(1+Credit_Assumptions!$C$17)^-0.5,(1-Credit_Assumptions!$C$16)*AA282*(1+Credit_Assumptions!$C$17)^-0.5,AA282)+AA266*CHOOSE(Credit_Assumptions!$D$31,AA281*AA282*(1+Credit_Assumptions!$C$17)^-0.5,(1-Credit_Assumptions!$C$16)*AA282*(1+Credit_Assumptions!$C$17)^-0.5,AA282)+AA267*CHOOSE(Credit_Assumptions!$D$32,AA281*AA282*(1+Credit_Assumptions!$C$17)^-0.5,(1-Credit_Assumptions!$C$16)*AA282*(1+Credit_Assumptions!$C$17)^-0.5,AA282)+AA268*CHOOSE(Credit_Assumptions!$D$33,AA281*AA282*(1+Credit_Assumptions!$C$17)^-0.5,(1-Credit_Assumptions!$C$16)*AA282*(1+Credit_Assumptions!$C$17)^-0.5,AA282)</f>
        <v/>
      </c>
      <c r="AB283" s="80">
        <f>AB263*CHOOSE(Credit_Assumptions!$D$28,AB281*AB282*(1+Credit_Assumptions!$C$17)^-0.5,(1-Credit_Assumptions!$C$16)*AB282*(1+Credit_Assumptions!$C$17)^-0.5,AB282)+AB264*CHOOSE(Credit_Assumptions!$D$29,AB281*AB282*(1+Credit_Assumptions!$C$17)^-0.5,(1-Credit_Assumptions!$C$16)*AB282*(1+Credit_Assumptions!$C$17)^-0.5,AB282)+AB265*CHOOSE(Credit_Assumptions!$D$30,AB281*AB282*(1+Credit_Assumptions!$C$17)^-0.5,(1-Credit_Assumptions!$C$16)*AB282*(1+Credit_Assumptions!$C$17)^-0.5,AB282)+AB266*CHOOSE(Credit_Assumptions!$D$31,AB281*AB282*(1+Credit_Assumptions!$C$17)^-0.5,(1-Credit_Assumptions!$C$16)*AB282*(1+Credit_Assumptions!$C$17)^-0.5,AB282)+AB267*CHOOSE(Credit_Assumptions!$D$32,AB281*AB282*(1+Credit_Assumptions!$C$17)^-0.5,(1-Credit_Assumptions!$C$16)*AB282*(1+Credit_Assumptions!$C$17)^-0.5,AB282)+AB268*CHOOSE(Credit_Assumptions!$D$33,AB281*AB282*(1+Credit_Assumptions!$C$17)^-0.5,(1-Credit_Assumptions!$C$16)*AB282*(1+Credit_Assumptions!$C$17)^-0.5,AB282)</f>
        <v/>
      </c>
      <c r="AC283" s="80">
        <f>AC263*CHOOSE(Credit_Assumptions!$D$28,AC281*AC282*(1+Credit_Assumptions!$C$17)^-0.5,(1-Credit_Assumptions!$C$16)*AC282*(1+Credit_Assumptions!$C$17)^-0.5,AC282)+AC264*CHOOSE(Credit_Assumptions!$D$29,AC281*AC282*(1+Credit_Assumptions!$C$17)^-0.5,(1-Credit_Assumptions!$C$16)*AC282*(1+Credit_Assumptions!$C$17)^-0.5,AC282)+AC265*CHOOSE(Credit_Assumptions!$D$30,AC281*AC282*(1+Credit_Assumptions!$C$17)^-0.5,(1-Credit_Assumptions!$C$16)*AC282*(1+Credit_Assumptions!$C$17)^-0.5,AC282)+AC266*CHOOSE(Credit_Assumptions!$D$31,AC281*AC282*(1+Credit_Assumptions!$C$17)^-0.5,(1-Credit_Assumptions!$C$16)*AC282*(1+Credit_Assumptions!$C$17)^-0.5,AC282)+AC267*CHOOSE(Credit_Assumptions!$D$32,AC281*AC282*(1+Credit_Assumptions!$C$17)^-0.5,(1-Credit_Assumptions!$C$16)*AC282*(1+Credit_Assumptions!$C$17)^-0.5,AC282)+AC268*CHOOSE(Credit_Assumptions!$D$33,AC281*AC282*(1+Credit_Assumptions!$C$17)^-0.5,(1-Credit_Assumptions!$C$16)*AC282*(1+Credit_Assumptions!$C$17)^-0.5,AC282)</f>
        <v/>
      </c>
      <c r="AD283" s="80">
        <f>AD263*CHOOSE(Credit_Assumptions!$D$28,AD281*AD282*(1+Credit_Assumptions!$C$17)^-0.5,(1-Credit_Assumptions!$C$16)*AD282*(1+Credit_Assumptions!$C$17)^-0.5,AD282)+AD264*CHOOSE(Credit_Assumptions!$D$29,AD281*AD282*(1+Credit_Assumptions!$C$17)^-0.5,(1-Credit_Assumptions!$C$16)*AD282*(1+Credit_Assumptions!$C$17)^-0.5,AD282)+AD265*CHOOSE(Credit_Assumptions!$D$30,AD281*AD282*(1+Credit_Assumptions!$C$17)^-0.5,(1-Credit_Assumptions!$C$16)*AD282*(1+Credit_Assumptions!$C$17)^-0.5,AD282)+AD266*CHOOSE(Credit_Assumptions!$D$31,AD281*AD282*(1+Credit_Assumptions!$C$17)^-0.5,(1-Credit_Assumptions!$C$16)*AD282*(1+Credit_Assumptions!$C$17)^-0.5,AD282)+AD267*CHOOSE(Credit_Assumptions!$D$32,AD281*AD282*(1+Credit_Assumptions!$C$17)^-0.5,(1-Credit_Assumptions!$C$16)*AD282*(1+Credit_Assumptions!$C$17)^-0.5,AD282)+AD268*CHOOSE(Credit_Assumptions!$D$33,AD281*AD282*(1+Credit_Assumptions!$C$17)^-0.5,(1-Credit_Assumptions!$C$16)*AD282*(1+Credit_Assumptions!$C$17)^-0.5,AD282)</f>
        <v/>
      </c>
      <c r="AE283" s="80">
        <f>AE263*CHOOSE(Credit_Assumptions!$D$28,AE281*AE282*(1+Credit_Assumptions!$C$17)^-0.5,(1-Credit_Assumptions!$C$16)*AE282*(1+Credit_Assumptions!$C$17)^-0.5,AE282)+AE264*CHOOSE(Credit_Assumptions!$D$29,AE281*AE282*(1+Credit_Assumptions!$C$17)^-0.5,(1-Credit_Assumptions!$C$16)*AE282*(1+Credit_Assumptions!$C$17)^-0.5,AE282)+AE265*CHOOSE(Credit_Assumptions!$D$30,AE281*AE282*(1+Credit_Assumptions!$C$17)^-0.5,(1-Credit_Assumptions!$C$16)*AE282*(1+Credit_Assumptions!$C$17)^-0.5,AE282)+AE266*CHOOSE(Credit_Assumptions!$D$31,AE281*AE282*(1+Credit_Assumptions!$C$17)^-0.5,(1-Credit_Assumptions!$C$16)*AE282*(1+Credit_Assumptions!$C$17)^-0.5,AE282)+AE267*CHOOSE(Credit_Assumptions!$D$32,AE281*AE282*(1+Credit_Assumptions!$C$17)^-0.5,(1-Credit_Assumptions!$C$16)*AE282*(1+Credit_Assumptions!$C$17)^-0.5,AE282)+AE268*CHOOSE(Credit_Assumptions!$D$33,AE281*AE282*(1+Credit_Assumptions!$C$17)^-0.5,(1-Credit_Assumptions!$C$16)*AE282*(1+Credit_Assumptions!$C$17)^-0.5,AE282)</f>
        <v/>
      </c>
      <c r="AF283" s="80">
        <f>AF263*CHOOSE(Credit_Assumptions!$D$28,AF281*AF282*(1+Credit_Assumptions!$C$17)^-0.5,(1-Credit_Assumptions!$C$16)*AF282*(1+Credit_Assumptions!$C$17)^-0.5,AF282)+AF264*CHOOSE(Credit_Assumptions!$D$29,AF281*AF282*(1+Credit_Assumptions!$C$17)^-0.5,(1-Credit_Assumptions!$C$16)*AF282*(1+Credit_Assumptions!$C$17)^-0.5,AF282)+AF265*CHOOSE(Credit_Assumptions!$D$30,AF281*AF282*(1+Credit_Assumptions!$C$17)^-0.5,(1-Credit_Assumptions!$C$16)*AF282*(1+Credit_Assumptions!$C$17)^-0.5,AF282)+AF266*CHOOSE(Credit_Assumptions!$D$31,AF281*AF282*(1+Credit_Assumptions!$C$17)^-0.5,(1-Credit_Assumptions!$C$16)*AF282*(1+Credit_Assumptions!$C$17)^-0.5,AF282)+AF267*CHOOSE(Credit_Assumptions!$D$32,AF281*AF282*(1+Credit_Assumptions!$C$17)^-0.5,(1-Credit_Assumptions!$C$16)*AF282*(1+Credit_Assumptions!$C$17)^-0.5,AF282)+AF268*CHOOSE(Credit_Assumptions!$D$33,AF281*AF282*(1+Credit_Assumptions!$C$17)^-0.5,(1-Credit_Assumptions!$C$16)*AF282*(1+Credit_Assumptions!$C$17)^-0.5,AF282)</f>
        <v/>
      </c>
      <c r="AG283" s="80">
        <f>AG263*CHOOSE(Credit_Assumptions!$D$28,AG281*AG282*(1+Credit_Assumptions!$C$17)^-0.5,(1-Credit_Assumptions!$C$16)*AG282*(1+Credit_Assumptions!$C$17)^-0.5,AG282)+AG264*CHOOSE(Credit_Assumptions!$D$29,AG281*AG282*(1+Credit_Assumptions!$C$17)^-0.5,(1-Credit_Assumptions!$C$16)*AG282*(1+Credit_Assumptions!$C$17)^-0.5,AG282)+AG265*CHOOSE(Credit_Assumptions!$D$30,AG281*AG282*(1+Credit_Assumptions!$C$17)^-0.5,(1-Credit_Assumptions!$C$16)*AG282*(1+Credit_Assumptions!$C$17)^-0.5,AG282)+AG266*CHOOSE(Credit_Assumptions!$D$31,AG281*AG282*(1+Credit_Assumptions!$C$17)^-0.5,(1-Credit_Assumptions!$C$16)*AG282*(1+Credit_Assumptions!$C$17)^-0.5,AG282)+AG267*CHOOSE(Credit_Assumptions!$D$32,AG281*AG282*(1+Credit_Assumptions!$C$17)^-0.5,(1-Credit_Assumptions!$C$16)*AG282*(1+Credit_Assumptions!$C$17)^-0.5,AG282)+AG268*CHOOSE(Credit_Assumptions!$D$33,AG281*AG282*(1+Credit_Assumptions!$C$17)^-0.5,(1-Credit_Assumptions!$C$16)*AG282*(1+Credit_Assumptions!$C$17)^-0.5,AG282)</f>
        <v/>
      </c>
      <c r="AH283" s="80">
        <f>AH263*CHOOSE(Credit_Assumptions!$D$28,AH281*AH282*(1+Credit_Assumptions!$C$17)^-0.5,(1-Credit_Assumptions!$C$16)*AH282*(1+Credit_Assumptions!$C$17)^-0.5,AH282)+AH264*CHOOSE(Credit_Assumptions!$D$29,AH281*AH282*(1+Credit_Assumptions!$C$17)^-0.5,(1-Credit_Assumptions!$C$16)*AH282*(1+Credit_Assumptions!$C$17)^-0.5,AH282)+AH265*CHOOSE(Credit_Assumptions!$D$30,AH281*AH282*(1+Credit_Assumptions!$C$17)^-0.5,(1-Credit_Assumptions!$C$16)*AH282*(1+Credit_Assumptions!$C$17)^-0.5,AH282)+AH266*CHOOSE(Credit_Assumptions!$D$31,AH281*AH282*(1+Credit_Assumptions!$C$17)^-0.5,(1-Credit_Assumptions!$C$16)*AH282*(1+Credit_Assumptions!$C$17)^-0.5,AH282)+AH267*CHOOSE(Credit_Assumptions!$D$32,AH281*AH282*(1+Credit_Assumptions!$C$17)^-0.5,(1-Credit_Assumptions!$C$16)*AH282*(1+Credit_Assumptions!$C$17)^-0.5,AH282)+AH268*CHOOSE(Credit_Assumptions!$D$33,AH281*AH282*(1+Credit_Assumptions!$C$17)^-0.5,(1-Credit_Assumptions!$C$16)*AH282*(1+Credit_Assumptions!$C$17)^-0.5,AH282)</f>
        <v/>
      </c>
      <c r="AI283" s="80">
        <f>AI263*CHOOSE(Credit_Assumptions!$D$28,AI281*AI282*(1+Credit_Assumptions!$C$17)^-0.5,(1-Credit_Assumptions!$C$16)*AI282*(1+Credit_Assumptions!$C$17)^-0.5,AI282)+AI264*CHOOSE(Credit_Assumptions!$D$29,AI281*AI282*(1+Credit_Assumptions!$C$17)^-0.5,(1-Credit_Assumptions!$C$16)*AI282*(1+Credit_Assumptions!$C$17)^-0.5,AI282)+AI265*CHOOSE(Credit_Assumptions!$D$30,AI281*AI282*(1+Credit_Assumptions!$C$17)^-0.5,(1-Credit_Assumptions!$C$16)*AI282*(1+Credit_Assumptions!$C$17)^-0.5,AI282)+AI266*CHOOSE(Credit_Assumptions!$D$31,AI281*AI282*(1+Credit_Assumptions!$C$17)^-0.5,(1-Credit_Assumptions!$C$16)*AI282*(1+Credit_Assumptions!$C$17)^-0.5,AI282)+AI267*CHOOSE(Credit_Assumptions!$D$32,AI281*AI282*(1+Credit_Assumptions!$C$17)^-0.5,(1-Credit_Assumptions!$C$16)*AI282*(1+Credit_Assumptions!$C$17)^-0.5,AI282)+AI268*CHOOSE(Credit_Assumptions!$D$33,AI281*AI282*(1+Credit_Assumptions!$C$17)^-0.5,(1-Credit_Assumptions!$C$16)*AI282*(1+Credit_Assumptions!$C$17)^-0.5,AI282)</f>
        <v/>
      </c>
      <c r="AJ283" s="80">
        <f>AJ263*CHOOSE(Credit_Assumptions!$D$28,AJ281*AJ282*(1+Credit_Assumptions!$C$17)^-0.5,(1-Credit_Assumptions!$C$16)*AJ282*(1+Credit_Assumptions!$C$17)^-0.5,AJ282)+AJ264*CHOOSE(Credit_Assumptions!$D$29,AJ281*AJ282*(1+Credit_Assumptions!$C$17)^-0.5,(1-Credit_Assumptions!$C$16)*AJ282*(1+Credit_Assumptions!$C$17)^-0.5,AJ282)+AJ265*CHOOSE(Credit_Assumptions!$D$30,AJ281*AJ282*(1+Credit_Assumptions!$C$17)^-0.5,(1-Credit_Assumptions!$C$16)*AJ282*(1+Credit_Assumptions!$C$17)^-0.5,AJ282)+AJ266*CHOOSE(Credit_Assumptions!$D$31,AJ281*AJ282*(1+Credit_Assumptions!$C$17)^-0.5,(1-Credit_Assumptions!$C$16)*AJ282*(1+Credit_Assumptions!$C$17)^-0.5,AJ282)+AJ267*CHOOSE(Credit_Assumptions!$D$32,AJ281*AJ282*(1+Credit_Assumptions!$C$17)^-0.5,(1-Credit_Assumptions!$C$16)*AJ282*(1+Credit_Assumptions!$C$17)^-0.5,AJ282)+AJ268*CHOOSE(Credit_Assumptions!$D$33,AJ281*AJ282*(1+Credit_Assumptions!$C$17)^-0.5,(1-Credit_Assumptions!$C$16)*AJ282*(1+Credit_Assumptions!$C$17)^-0.5,AJ282)</f>
        <v/>
      </c>
      <c r="AK283" s="80">
        <f>AK263*CHOOSE(Credit_Assumptions!$D$28,AK281*AK282*(1+Credit_Assumptions!$C$17)^-0.5,(1-Credit_Assumptions!$C$16)*AK282*(1+Credit_Assumptions!$C$17)^-0.5,AK282)+AK264*CHOOSE(Credit_Assumptions!$D$29,AK281*AK282*(1+Credit_Assumptions!$C$17)^-0.5,(1-Credit_Assumptions!$C$16)*AK282*(1+Credit_Assumptions!$C$17)^-0.5,AK282)+AK265*CHOOSE(Credit_Assumptions!$D$30,AK281*AK282*(1+Credit_Assumptions!$C$17)^-0.5,(1-Credit_Assumptions!$C$16)*AK282*(1+Credit_Assumptions!$C$17)^-0.5,AK282)+AK266*CHOOSE(Credit_Assumptions!$D$31,AK281*AK282*(1+Credit_Assumptions!$C$17)^-0.5,(1-Credit_Assumptions!$C$16)*AK282*(1+Credit_Assumptions!$C$17)^-0.5,AK282)+AK267*CHOOSE(Credit_Assumptions!$D$32,AK281*AK282*(1+Credit_Assumptions!$C$17)^-0.5,(1-Credit_Assumptions!$C$16)*AK282*(1+Credit_Assumptions!$C$17)^-0.5,AK282)+AK268*CHOOSE(Credit_Assumptions!$D$33,AK281*AK282*(1+Credit_Assumptions!$C$17)^-0.5,(1-Credit_Assumptions!$C$16)*AK282*(1+Credit_Assumptions!$C$17)^-0.5,AK282)</f>
        <v/>
      </c>
      <c r="AL283" s="80">
        <f>AL263*CHOOSE(Credit_Assumptions!$D$28,AL281*AL282*(1+Credit_Assumptions!$C$17)^-0.5,(1-Credit_Assumptions!$C$16)*AL282*(1+Credit_Assumptions!$C$17)^-0.5,AL282)+AL264*CHOOSE(Credit_Assumptions!$D$29,AL281*AL282*(1+Credit_Assumptions!$C$17)^-0.5,(1-Credit_Assumptions!$C$16)*AL282*(1+Credit_Assumptions!$C$17)^-0.5,AL282)+AL265*CHOOSE(Credit_Assumptions!$D$30,AL281*AL282*(1+Credit_Assumptions!$C$17)^-0.5,(1-Credit_Assumptions!$C$16)*AL282*(1+Credit_Assumptions!$C$17)^-0.5,AL282)+AL266*CHOOSE(Credit_Assumptions!$D$31,AL281*AL282*(1+Credit_Assumptions!$C$17)^-0.5,(1-Credit_Assumptions!$C$16)*AL282*(1+Credit_Assumptions!$C$17)^-0.5,AL282)+AL267*CHOOSE(Credit_Assumptions!$D$32,AL281*AL282*(1+Credit_Assumptions!$C$17)^-0.5,(1-Credit_Assumptions!$C$16)*AL282*(1+Credit_Assumptions!$C$17)^-0.5,AL282)+AL268*CHOOSE(Credit_Assumptions!$D$33,AL281*AL282*(1+Credit_Assumptions!$C$17)^-0.5,(1-Credit_Assumptions!$C$16)*AL282*(1+Credit_Assumptions!$C$17)^-0.5,AL282)</f>
        <v/>
      </c>
      <c r="AM283" s="80">
        <f>AM263*CHOOSE(Credit_Assumptions!$D$28,AM281*AM282*(1+Credit_Assumptions!$C$17)^-0.5,(1-Credit_Assumptions!$C$16)*AM282*(1+Credit_Assumptions!$C$17)^-0.5,AM282)+AM264*CHOOSE(Credit_Assumptions!$D$29,AM281*AM282*(1+Credit_Assumptions!$C$17)^-0.5,(1-Credit_Assumptions!$C$16)*AM282*(1+Credit_Assumptions!$C$17)^-0.5,AM282)+AM265*CHOOSE(Credit_Assumptions!$D$30,AM281*AM282*(1+Credit_Assumptions!$C$17)^-0.5,(1-Credit_Assumptions!$C$16)*AM282*(1+Credit_Assumptions!$C$17)^-0.5,AM282)+AM266*CHOOSE(Credit_Assumptions!$D$31,AM281*AM282*(1+Credit_Assumptions!$C$17)^-0.5,(1-Credit_Assumptions!$C$16)*AM282*(1+Credit_Assumptions!$C$17)^-0.5,AM282)+AM267*CHOOSE(Credit_Assumptions!$D$32,AM281*AM282*(1+Credit_Assumptions!$C$17)^-0.5,(1-Credit_Assumptions!$C$16)*AM282*(1+Credit_Assumptions!$C$17)^-0.5,AM282)+AM268*CHOOSE(Credit_Assumptions!$D$33,AM281*AM282*(1+Credit_Assumptions!$C$17)^-0.5,(1-Credit_Assumptions!$C$16)*AM282*(1+Credit_Assumptions!$C$17)^-0.5,AM282)</f>
        <v/>
      </c>
      <c r="AN283" s="80">
        <f>AN263*CHOOSE(Credit_Assumptions!$D$28,AN281*AN282*(1+Credit_Assumptions!$C$17)^-0.5,(1-Credit_Assumptions!$C$16)*AN282*(1+Credit_Assumptions!$C$17)^-0.5,AN282)+AN264*CHOOSE(Credit_Assumptions!$D$29,AN281*AN282*(1+Credit_Assumptions!$C$17)^-0.5,(1-Credit_Assumptions!$C$16)*AN282*(1+Credit_Assumptions!$C$17)^-0.5,AN282)+AN265*CHOOSE(Credit_Assumptions!$D$30,AN281*AN282*(1+Credit_Assumptions!$C$17)^-0.5,(1-Credit_Assumptions!$C$16)*AN282*(1+Credit_Assumptions!$C$17)^-0.5,AN282)+AN266*CHOOSE(Credit_Assumptions!$D$31,AN281*AN282*(1+Credit_Assumptions!$C$17)^-0.5,(1-Credit_Assumptions!$C$16)*AN282*(1+Credit_Assumptions!$C$17)^-0.5,AN282)+AN267*CHOOSE(Credit_Assumptions!$D$32,AN281*AN282*(1+Credit_Assumptions!$C$17)^-0.5,(1-Credit_Assumptions!$C$16)*AN282*(1+Credit_Assumptions!$C$17)^-0.5,AN282)+AN268*CHOOSE(Credit_Assumptions!$D$33,AN281*AN282*(1+Credit_Assumptions!$C$17)^-0.5,(1-Credit_Assumptions!$C$16)*AN282*(1+Credit_Assumptions!$C$17)^-0.5,AN282)</f>
        <v/>
      </c>
      <c r="AO283" s="80">
        <f>AO263*CHOOSE(Credit_Assumptions!$D$28,AO281*AO282*(1+Credit_Assumptions!$C$17)^-0.5,(1-Credit_Assumptions!$C$16)*AO282*(1+Credit_Assumptions!$C$17)^-0.5,AO282)+AO264*CHOOSE(Credit_Assumptions!$D$29,AO281*AO282*(1+Credit_Assumptions!$C$17)^-0.5,(1-Credit_Assumptions!$C$16)*AO282*(1+Credit_Assumptions!$C$17)^-0.5,AO282)+AO265*CHOOSE(Credit_Assumptions!$D$30,AO281*AO282*(1+Credit_Assumptions!$C$17)^-0.5,(1-Credit_Assumptions!$C$16)*AO282*(1+Credit_Assumptions!$C$17)^-0.5,AO282)+AO266*CHOOSE(Credit_Assumptions!$D$31,AO281*AO282*(1+Credit_Assumptions!$C$17)^-0.5,(1-Credit_Assumptions!$C$16)*AO282*(1+Credit_Assumptions!$C$17)^-0.5,AO282)+AO267*CHOOSE(Credit_Assumptions!$D$32,AO281*AO282*(1+Credit_Assumptions!$C$17)^-0.5,(1-Credit_Assumptions!$C$16)*AO282*(1+Credit_Assumptions!$C$17)^-0.5,AO282)+AO268*CHOOSE(Credit_Assumptions!$D$33,AO281*AO282*(1+Credit_Assumptions!$C$17)^-0.5,(1-Credit_Assumptions!$C$16)*AO282*(1+Credit_Assumptions!$C$17)^-0.5,AO282)</f>
        <v/>
      </c>
      <c r="AP283" s="80">
        <f>AP263*CHOOSE(Credit_Assumptions!$D$28,AP281*AP282*(1+Credit_Assumptions!$C$17)^-0.5,(1-Credit_Assumptions!$C$16)*AP282*(1+Credit_Assumptions!$C$17)^-0.5,AP282)+AP264*CHOOSE(Credit_Assumptions!$D$29,AP281*AP282*(1+Credit_Assumptions!$C$17)^-0.5,(1-Credit_Assumptions!$C$16)*AP282*(1+Credit_Assumptions!$C$17)^-0.5,AP282)+AP265*CHOOSE(Credit_Assumptions!$D$30,AP281*AP282*(1+Credit_Assumptions!$C$17)^-0.5,(1-Credit_Assumptions!$C$16)*AP282*(1+Credit_Assumptions!$C$17)^-0.5,AP282)+AP266*CHOOSE(Credit_Assumptions!$D$31,AP281*AP282*(1+Credit_Assumptions!$C$17)^-0.5,(1-Credit_Assumptions!$C$16)*AP282*(1+Credit_Assumptions!$C$17)^-0.5,AP282)+AP267*CHOOSE(Credit_Assumptions!$D$32,AP281*AP282*(1+Credit_Assumptions!$C$17)^-0.5,(1-Credit_Assumptions!$C$16)*AP282*(1+Credit_Assumptions!$C$17)^-0.5,AP282)+AP268*CHOOSE(Credit_Assumptions!$D$33,AP281*AP282*(1+Credit_Assumptions!$C$17)^-0.5,(1-Credit_Assumptions!$C$16)*AP282*(1+Credit_Assumptions!$C$17)^-0.5,AP282)</f>
        <v/>
      </c>
      <c r="AQ283" s="80">
        <f>AQ263*CHOOSE(Credit_Assumptions!$D$28,AQ281*AQ282*(1+Credit_Assumptions!$C$17)^-0.5,(1-Credit_Assumptions!$C$16)*AQ282*(1+Credit_Assumptions!$C$17)^-0.5,AQ282)+AQ264*CHOOSE(Credit_Assumptions!$D$29,AQ281*AQ282*(1+Credit_Assumptions!$C$17)^-0.5,(1-Credit_Assumptions!$C$16)*AQ282*(1+Credit_Assumptions!$C$17)^-0.5,AQ282)+AQ265*CHOOSE(Credit_Assumptions!$D$30,AQ281*AQ282*(1+Credit_Assumptions!$C$17)^-0.5,(1-Credit_Assumptions!$C$16)*AQ282*(1+Credit_Assumptions!$C$17)^-0.5,AQ282)+AQ266*CHOOSE(Credit_Assumptions!$D$31,AQ281*AQ282*(1+Credit_Assumptions!$C$17)^-0.5,(1-Credit_Assumptions!$C$16)*AQ282*(1+Credit_Assumptions!$C$17)^-0.5,AQ282)+AQ267*CHOOSE(Credit_Assumptions!$D$32,AQ281*AQ282*(1+Credit_Assumptions!$C$17)^-0.5,(1-Credit_Assumptions!$C$16)*AQ282*(1+Credit_Assumptions!$C$17)^-0.5,AQ282)+AQ268*CHOOSE(Credit_Assumptions!$D$33,AQ281*AQ282*(1+Credit_Assumptions!$C$17)^-0.5,(1-Credit_Assumptions!$C$16)*AQ282*(1+Credit_Assumptions!$C$17)^-0.5,AQ282)</f>
        <v/>
      </c>
      <c r="AR283" s="80">
        <f>AR263*CHOOSE(Credit_Assumptions!$D$28,AR281*AR282*(1+Credit_Assumptions!$C$17)^-0.5,(1-Credit_Assumptions!$C$16)*AR282*(1+Credit_Assumptions!$C$17)^-0.5,AR282)+AR264*CHOOSE(Credit_Assumptions!$D$29,AR281*AR282*(1+Credit_Assumptions!$C$17)^-0.5,(1-Credit_Assumptions!$C$16)*AR282*(1+Credit_Assumptions!$C$17)^-0.5,AR282)+AR265*CHOOSE(Credit_Assumptions!$D$30,AR281*AR282*(1+Credit_Assumptions!$C$17)^-0.5,(1-Credit_Assumptions!$C$16)*AR282*(1+Credit_Assumptions!$C$17)^-0.5,AR282)+AR266*CHOOSE(Credit_Assumptions!$D$31,AR281*AR282*(1+Credit_Assumptions!$C$17)^-0.5,(1-Credit_Assumptions!$C$16)*AR282*(1+Credit_Assumptions!$C$17)^-0.5,AR282)+AR267*CHOOSE(Credit_Assumptions!$D$32,AR281*AR282*(1+Credit_Assumptions!$C$17)^-0.5,(1-Credit_Assumptions!$C$16)*AR282*(1+Credit_Assumptions!$C$17)^-0.5,AR282)+AR268*CHOOSE(Credit_Assumptions!$D$33,AR281*AR282*(1+Credit_Assumptions!$C$17)^-0.5,(1-Credit_Assumptions!$C$16)*AR282*(1+Credit_Assumptions!$C$17)^-0.5,AR282)</f>
        <v/>
      </c>
      <c r="AS283" s="80">
        <f>AS263*CHOOSE(Credit_Assumptions!$D$28,AS281*AS282*(1+Credit_Assumptions!$C$17)^-0.5,(1-Credit_Assumptions!$C$16)*AS282*(1+Credit_Assumptions!$C$17)^-0.5,AS282)+AS264*CHOOSE(Credit_Assumptions!$D$29,AS281*AS282*(1+Credit_Assumptions!$C$17)^-0.5,(1-Credit_Assumptions!$C$16)*AS282*(1+Credit_Assumptions!$C$17)^-0.5,AS282)+AS265*CHOOSE(Credit_Assumptions!$D$30,AS281*AS282*(1+Credit_Assumptions!$C$17)^-0.5,(1-Credit_Assumptions!$C$16)*AS282*(1+Credit_Assumptions!$C$17)^-0.5,AS282)+AS266*CHOOSE(Credit_Assumptions!$D$31,AS281*AS282*(1+Credit_Assumptions!$C$17)^-0.5,(1-Credit_Assumptions!$C$16)*AS282*(1+Credit_Assumptions!$C$17)^-0.5,AS282)+AS267*CHOOSE(Credit_Assumptions!$D$32,AS281*AS282*(1+Credit_Assumptions!$C$17)^-0.5,(1-Credit_Assumptions!$C$16)*AS282*(1+Credit_Assumptions!$C$17)^-0.5,AS282)+AS268*CHOOSE(Credit_Assumptions!$D$33,AS281*AS282*(1+Credit_Assumptions!$C$17)^-0.5,(1-Credit_Assumptions!$C$16)*AS282*(1+Credit_Assumptions!$C$17)^-0.5,AS282)</f>
        <v/>
      </c>
      <c r="AT283" s="80">
        <f>AT263*CHOOSE(Credit_Assumptions!$D$28,AT281*AT282*(1+Credit_Assumptions!$C$17)^-0.5,(1-Credit_Assumptions!$C$16)*AT282*(1+Credit_Assumptions!$C$17)^-0.5,AT282)+AT264*CHOOSE(Credit_Assumptions!$D$29,AT281*AT282*(1+Credit_Assumptions!$C$17)^-0.5,(1-Credit_Assumptions!$C$16)*AT282*(1+Credit_Assumptions!$C$17)^-0.5,AT282)+AT265*CHOOSE(Credit_Assumptions!$D$30,AT281*AT282*(1+Credit_Assumptions!$C$17)^-0.5,(1-Credit_Assumptions!$C$16)*AT282*(1+Credit_Assumptions!$C$17)^-0.5,AT282)+AT266*CHOOSE(Credit_Assumptions!$D$31,AT281*AT282*(1+Credit_Assumptions!$C$17)^-0.5,(1-Credit_Assumptions!$C$16)*AT282*(1+Credit_Assumptions!$C$17)^-0.5,AT282)+AT267*CHOOSE(Credit_Assumptions!$D$32,AT281*AT282*(1+Credit_Assumptions!$C$17)^-0.5,(1-Credit_Assumptions!$C$16)*AT282*(1+Credit_Assumptions!$C$17)^-0.5,AT282)+AT268*CHOOSE(Credit_Assumptions!$D$33,AT281*AT282*(1+Credit_Assumptions!$C$17)^-0.5,(1-Credit_Assumptions!$C$16)*AT282*(1+Credit_Assumptions!$C$17)^-0.5,AT282)</f>
        <v/>
      </c>
      <c r="AU283" s="80">
        <f>AU263*CHOOSE(Credit_Assumptions!$D$28,AU281*AU282*(1+Credit_Assumptions!$C$17)^-0.5,(1-Credit_Assumptions!$C$16)*AU282*(1+Credit_Assumptions!$C$17)^-0.5,AU282)+AU264*CHOOSE(Credit_Assumptions!$D$29,AU281*AU282*(1+Credit_Assumptions!$C$17)^-0.5,(1-Credit_Assumptions!$C$16)*AU282*(1+Credit_Assumptions!$C$17)^-0.5,AU282)+AU265*CHOOSE(Credit_Assumptions!$D$30,AU281*AU282*(1+Credit_Assumptions!$C$17)^-0.5,(1-Credit_Assumptions!$C$16)*AU282*(1+Credit_Assumptions!$C$17)^-0.5,AU282)+AU266*CHOOSE(Credit_Assumptions!$D$31,AU281*AU282*(1+Credit_Assumptions!$C$17)^-0.5,(1-Credit_Assumptions!$C$16)*AU282*(1+Credit_Assumptions!$C$17)^-0.5,AU282)+AU267*CHOOSE(Credit_Assumptions!$D$32,AU281*AU282*(1+Credit_Assumptions!$C$17)^-0.5,(1-Credit_Assumptions!$C$16)*AU282*(1+Credit_Assumptions!$C$17)^-0.5,AU282)+AU268*CHOOSE(Credit_Assumptions!$D$33,AU281*AU282*(1+Credit_Assumptions!$C$17)^-0.5,(1-Credit_Assumptions!$C$16)*AU282*(1+Credit_Assumptions!$C$17)^-0.5,AU282)</f>
        <v/>
      </c>
      <c r="AV283" s="80">
        <f>AV263*CHOOSE(Credit_Assumptions!$D$28,AV281*AV282*(1+Credit_Assumptions!$C$17)^-0.5,(1-Credit_Assumptions!$C$16)*AV282*(1+Credit_Assumptions!$C$17)^-0.5,AV282)+AV264*CHOOSE(Credit_Assumptions!$D$29,AV281*AV282*(1+Credit_Assumptions!$C$17)^-0.5,(1-Credit_Assumptions!$C$16)*AV282*(1+Credit_Assumptions!$C$17)^-0.5,AV282)+AV265*CHOOSE(Credit_Assumptions!$D$30,AV281*AV282*(1+Credit_Assumptions!$C$17)^-0.5,(1-Credit_Assumptions!$C$16)*AV282*(1+Credit_Assumptions!$C$17)^-0.5,AV282)+AV266*CHOOSE(Credit_Assumptions!$D$31,AV281*AV282*(1+Credit_Assumptions!$C$17)^-0.5,(1-Credit_Assumptions!$C$16)*AV282*(1+Credit_Assumptions!$C$17)^-0.5,AV282)+AV267*CHOOSE(Credit_Assumptions!$D$32,AV281*AV282*(1+Credit_Assumptions!$C$17)^-0.5,(1-Credit_Assumptions!$C$16)*AV282*(1+Credit_Assumptions!$C$17)^-0.5,AV282)+AV268*CHOOSE(Credit_Assumptions!$D$33,AV281*AV282*(1+Credit_Assumptions!$C$17)^-0.5,(1-Credit_Assumptions!$C$16)*AV282*(1+Credit_Assumptions!$C$17)^-0.5,AV282)</f>
        <v/>
      </c>
      <c r="AW283" s="80">
        <f>AW263*CHOOSE(Credit_Assumptions!$D$28,AW281*AW282*(1+Credit_Assumptions!$C$17)^-0.5,(1-Credit_Assumptions!$C$16)*AW282*(1+Credit_Assumptions!$C$17)^-0.5,AW282)+AW264*CHOOSE(Credit_Assumptions!$D$29,AW281*AW282*(1+Credit_Assumptions!$C$17)^-0.5,(1-Credit_Assumptions!$C$16)*AW282*(1+Credit_Assumptions!$C$17)^-0.5,AW282)+AW265*CHOOSE(Credit_Assumptions!$D$30,AW281*AW282*(1+Credit_Assumptions!$C$17)^-0.5,(1-Credit_Assumptions!$C$16)*AW282*(1+Credit_Assumptions!$C$17)^-0.5,AW282)+AW266*CHOOSE(Credit_Assumptions!$D$31,AW281*AW282*(1+Credit_Assumptions!$C$17)^-0.5,(1-Credit_Assumptions!$C$16)*AW282*(1+Credit_Assumptions!$C$17)^-0.5,AW282)+AW267*CHOOSE(Credit_Assumptions!$D$32,AW281*AW282*(1+Credit_Assumptions!$C$17)^-0.5,(1-Credit_Assumptions!$C$16)*AW282*(1+Credit_Assumptions!$C$17)^-0.5,AW282)+AW268*CHOOSE(Credit_Assumptions!$D$33,AW281*AW282*(1+Credit_Assumptions!$C$17)^-0.5,(1-Credit_Assumptions!$C$16)*AW282*(1+Credit_Assumptions!$C$17)^-0.5,AW282)</f>
        <v/>
      </c>
      <c r="AX283" s="80">
        <f>AX263*CHOOSE(Credit_Assumptions!$D$28,AX281*AX282*(1+Credit_Assumptions!$C$17)^-0.5,(1-Credit_Assumptions!$C$16)*AX282*(1+Credit_Assumptions!$C$17)^-0.5,AX282)+AX264*CHOOSE(Credit_Assumptions!$D$29,AX281*AX282*(1+Credit_Assumptions!$C$17)^-0.5,(1-Credit_Assumptions!$C$16)*AX282*(1+Credit_Assumptions!$C$17)^-0.5,AX282)+AX265*CHOOSE(Credit_Assumptions!$D$30,AX281*AX282*(1+Credit_Assumptions!$C$17)^-0.5,(1-Credit_Assumptions!$C$16)*AX282*(1+Credit_Assumptions!$C$17)^-0.5,AX282)+AX266*CHOOSE(Credit_Assumptions!$D$31,AX281*AX282*(1+Credit_Assumptions!$C$17)^-0.5,(1-Credit_Assumptions!$C$16)*AX282*(1+Credit_Assumptions!$C$17)^-0.5,AX282)+AX267*CHOOSE(Credit_Assumptions!$D$32,AX281*AX282*(1+Credit_Assumptions!$C$17)^-0.5,(1-Credit_Assumptions!$C$16)*AX282*(1+Credit_Assumptions!$C$17)^-0.5,AX282)+AX268*CHOOSE(Credit_Assumptions!$D$33,AX281*AX282*(1+Credit_Assumptions!$C$17)^-0.5,(1-Credit_Assumptions!$C$16)*AX282*(1+Credit_Assumptions!$C$17)^-0.5,AX282)</f>
        <v/>
      </c>
      <c r="AY283" s="80">
        <f>AY263*CHOOSE(Credit_Assumptions!$D$28,AY281*AY282*(1+Credit_Assumptions!$C$17)^-0.5,(1-Credit_Assumptions!$C$16)*AY282*(1+Credit_Assumptions!$C$17)^-0.5,AY282)+AY264*CHOOSE(Credit_Assumptions!$D$29,AY281*AY282*(1+Credit_Assumptions!$C$17)^-0.5,(1-Credit_Assumptions!$C$16)*AY282*(1+Credit_Assumptions!$C$17)^-0.5,AY282)+AY265*CHOOSE(Credit_Assumptions!$D$30,AY281*AY282*(1+Credit_Assumptions!$C$17)^-0.5,(1-Credit_Assumptions!$C$16)*AY282*(1+Credit_Assumptions!$C$17)^-0.5,AY282)+AY266*CHOOSE(Credit_Assumptions!$D$31,AY281*AY282*(1+Credit_Assumptions!$C$17)^-0.5,(1-Credit_Assumptions!$C$16)*AY282*(1+Credit_Assumptions!$C$17)^-0.5,AY282)+AY267*CHOOSE(Credit_Assumptions!$D$32,AY281*AY282*(1+Credit_Assumptions!$C$17)^-0.5,(1-Credit_Assumptions!$C$16)*AY282*(1+Credit_Assumptions!$C$17)^-0.5,AY282)+AY268*CHOOSE(Credit_Assumptions!$D$33,AY281*AY282*(1+Credit_Assumptions!$C$17)^-0.5,(1-Credit_Assumptions!$C$16)*AY282*(1+Credit_Assumptions!$C$17)^-0.5,AY282)</f>
        <v/>
      </c>
      <c r="AZ283" s="80">
        <f>AZ263*CHOOSE(Credit_Assumptions!$D$28,AZ281*AZ282*(1+Credit_Assumptions!$C$17)^-0.5,(1-Credit_Assumptions!$C$16)*AZ282*(1+Credit_Assumptions!$C$17)^-0.5,AZ282)+AZ264*CHOOSE(Credit_Assumptions!$D$29,AZ281*AZ282*(1+Credit_Assumptions!$C$17)^-0.5,(1-Credit_Assumptions!$C$16)*AZ282*(1+Credit_Assumptions!$C$17)^-0.5,AZ282)+AZ265*CHOOSE(Credit_Assumptions!$D$30,AZ281*AZ282*(1+Credit_Assumptions!$C$17)^-0.5,(1-Credit_Assumptions!$C$16)*AZ282*(1+Credit_Assumptions!$C$17)^-0.5,AZ282)+AZ266*CHOOSE(Credit_Assumptions!$D$31,AZ281*AZ282*(1+Credit_Assumptions!$C$17)^-0.5,(1-Credit_Assumptions!$C$16)*AZ282*(1+Credit_Assumptions!$C$17)^-0.5,AZ282)+AZ267*CHOOSE(Credit_Assumptions!$D$32,AZ281*AZ282*(1+Credit_Assumptions!$C$17)^-0.5,(1-Credit_Assumptions!$C$16)*AZ282*(1+Credit_Assumptions!$C$17)^-0.5,AZ282)+AZ268*CHOOSE(Credit_Assumptions!$D$33,AZ281*AZ282*(1+Credit_Assumptions!$C$17)^-0.5,(1-Credit_Assumptions!$C$16)*AZ282*(1+Credit_Assumptions!$C$17)^-0.5,AZ282)</f>
        <v/>
      </c>
      <c r="BA283" s="80">
        <f>BA263*CHOOSE(Credit_Assumptions!$D$28,BA281*BA282*(1+Credit_Assumptions!$C$17)^-0.5,(1-Credit_Assumptions!$C$16)*BA282*(1+Credit_Assumptions!$C$17)^-0.5,BA282)+BA264*CHOOSE(Credit_Assumptions!$D$29,BA281*BA282*(1+Credit_Assumptions!$C$17)^-0.5,(1-Credit_Assumptions!$C$16)*BA282*(1+Credit_Assumptions!$C$17)^-0.5,BA282)+BA265*CHOOSE(Credit_Assumptions!$D$30,BA281*BA282*(1+Credit_Assumptions!$C$17)^-0.5,(1-Credit_Assumptions!$C$16)*BA282*(1+Credit_Assumptions!$C$17)^-0.5,BA282)+BA266*CHOOSE(Credit_Assumptions!$D$31,BA281*BA282*(1+Credit_Assumptions!$C$17)^-0.5,(1-Credit_Assumptions!$C$16)*BA282*(1+Credit_Assumptions!$C$17)^-0.5,BA282)+BA267*CHOOSE(Credit_Assumptions!$D$32,BA281*BA282*(1+Credit_Assumptions!$C$17)^-0.5,(1-Credit_Assumptions!$C$16)*BA282*(1+Credit_Assumptions!$C$17)^-0.5,BA282)+BA268*CHOOSE(Credit_Assumptions!$D$33,BA281*BA282*(1+Credit_Assumptions!$C$17)^-0.5,(1-Credit_Assumptions!$C$16)*BA282*(1+Credit_Assumptions!$C$17)^-0.5,BA282)</f>
        <v/>
      </c>
      <c r="BB283" s="80">
        <f>BB263*CHOOSE(Credit_Assumptions!$D$28,BB281*BB282*(1+Credit_Assumptions!$C$17)^-0.5,(1-Credit_Assumptions!$C$16)*BB282*(1+Credit_Assumptions!$C$17)^-0.5,BB282)+BB264*CHOOSE(Credit_Assumptions!$D$29,BB281*BB282*(1+Credit_Assumptions!$C$17)^-0.5,(1-Credit_Assumptions!$C$16)*BB282*(1+Credit_Assumptions!$C$17)^-0.5,BB282)+BB265*CHOOSE(Credit_Assumptions!$D$30,BB281*BB282*(1+Credit_Assumptions!$C$17)^-0.5,(1-Credit_Assumptions!$C$16)*BB282*(1+Credit_Assumptions!$C$17)^-0.5,BB282)+BB266*CHOOSE(Credit_Assumptions!$D$31,BB281*BB282*(1+Credit_Assumptions!$C$17)^-0.5,(1-Credit_Assumptions!$C$16)*BB282*(1+Credit_Assumptions!$C$17)^-0.5,BB282)+BB267*CHOOSE(Credit_Assumptions!$D$32,BB281*BB282*(1+Credit_Assumptions!$C$17)^-0.5,(1-Credit_Assumptions!$C$16)*BB282*(1+Credit_Assumptions!$C$17)^-0.5,BB282)+BB268*CHOOSE(Credit_Assumptions!$D$33,BB281*BB282*(1+Credit_Assumptions!$C$17)^-0.5,(1-Credit_Assumptions!$C$16)*BB282*(1+Credit_Assumptions!$C$17)^-0.5,BB282)</f>
        <v/>
      </c>
      <c r="BC283" s="80">
        <f>BC263*CHOOSE(Credit_Assumptions!$D$28,BC281*BC282*(1+Credit_Assumptions!$C$17)^-0.5,(1-Credit_Assumptions!$C$16)*BC282*(1+Credit_Assumptions!$C$17)^-0.5,BC282)+BC264*CHOOSE(Credit_Assumptions!$D$29,BC281*BC282*(1+Credit_Assumptions!$C$17)^-0.5,(1-Credit_Assumptions!$C$16)*BC282*(1+Credit_Assumptions!$C$17)^-0.5,BC282)+BC265*CHOOSE(Credit_Assumptions!$D$30,BC281*BC282*(1+Credit_Assumptions!$C$17)^-0.5,(1-Credit_Assumptions!$C$16)*BC282*(1+Credit_Assumptions!$C$17)^-0.5,BC282)+BC266*CHOOSE(Credit_Assumptions!$D$31,BC281*BC282*(1+Credit_Assumptions!$C$17)^-0.5,(1-Credit_Assumptions!$C$16)*BC282*(1+Credit_Assumptions!$C$17)^-0.5,BC282)+BC267*CHOOSE(Credit_Assumptions!$D$32,BC281*BC282*(1+Credit_Assumptions!$C$17)^-0.5,(1-Credit_Assumptions!$C$16)*BC282*(1+Credit_Assumptions!$C$17)^-0.5,BC282)+BC268*CHOOSE(Credit_Assumptions!$D$33,BC281*BC282*(1+Credit_Assumptions!$C$17)^-0.5,(1-Credit_Assumptions!$C$16)*BC282*(1+Credit_Assumptions!$C$17)^-0.5,BC282)</f>
        <v/>
      </c>
      <c r="BD283" s="80">
        <f>BD263*CHOOSE(Credit_Assumptions!$D$28,BD281*BD282*(1+Credit_Assumptions!$C$17)^-0.5,(1-Credit_Assumptions!$C$16)*BD282*(1+Credit_Assumptions!$C$17)^-0.5,BD282)+BD264*CHOOSE(Credit_Assumptions!$D$29,BD281*BD282*(1+Credit_Assumptions!$C$17)^-0.5,(1-Credit_Assumptions!$C$16)*BD282*(1+Credit_Assumptions!$C$17)^-0.5,BD282)+BD265*CHOOSE(Credit_Assumptions!$D$30,BD281*BD282*(1+Credit_Assumptions!$C$17)^-0.5,(1-Credit_Assumptions!$C$16)*BD282*(1+Credit_Assumptions!$C$17)^-0.5,BD282)+BD266*CHOOSE(Credit_Assumptions!$D$31,BD281*BD282*(1+Credit_Assumptions!$C$17)^-0.5,(1-Credit_Assumptions!$C$16)*BD282*(1+Credit_Assumptions!$C$17)^-0.5,BD282)+BD267*CHOOSE(Credit_Assumptions!$D$32,BD281*BD282*(1+Credit_Assumptions!$C$17)^-0.5,(1-Credit_Assumptions!$C$16)*BD282*(1+Credit_Assumptions!$C$17)^-0.5,BD282)+BD268*CHOOSE(Credit_Assumptions!$D$33,BD281*BD282*(1+Credit_Assumptions!$C$17)^-0.5,(1-Credit_Assumptions!$C$16)*BD282*(1+Credit_Assumptions!$C$17)^-0.5,BD282)</f>
        <v/>
      </c>
      <c r="BE283" s="80">
        <f>BE263*CHOOSE(Credit_Assumptions!$D$28,BE281*BE282*(1+Credit_Assumptions!$C$17)^-0.5,(1-Credit_Assumptions!$C$16)*BE282*(1+Credit_Assumptions!$C$17)^-0.5,BE282)+BE264*CHOOSE(Credit_Assumptions!$D$29,BE281*BE282*(1+Credit_Assumptions!$C$17)^-0.5,(1-Credit_Assumptions!$C$16)*BE282*(1+Credit_Assumptions!$C$17)^-0.5,BE282)+BE265*CHOOSE(Credit_Assumptions!$D$30,BE281*BE282*(1+Credit_Assumptions!$C$17)^-0.5,(1-Credit_Assumptions!$C$16)*BE282*(1+Credit_Assumptions!$C$17)^-0.5,BE282)+BE266*CHOOSE(Credit_Assumptions!$D$31,BE281*BE282*(1+Credit_Assumptions!$C$17)^-0.5,(1-Credit_Assumptions!$C$16)*BE282*(1+Credit_Assumptions!$C$17)^-0.5,BE282)+BE267*CHOOSE(Credit_Assumptions!$D$32,BE281*BE282*(1+Credit_Assumptions!$C$17)^-0.5,(1-Credit_Assumptions!$C$16)*BE282*(1+Credit_Assumptions!$C$17)^-0.5,BE282)+BE268*CHOOSE(Credit_Assumptions!$D$33,BE281*BE282*(1+Credit_Assumptions!$C$17)^-0.5,(1-Credit_Assumptions!$C$16)*BE282*(1+Credit_Assumptions!$C$17)^-0.5,BE282)</f>
        <v/>
      </c>
      <c r="BF283" s="80">
        <f>BF263*CHOOSE(Credit_Assumptions!$D$28,BF281*BF282*(1+Credit_Assumptions!$C$17)^-0.5,(1-Credit_Assumptions!$C$16)*BF282*(1+Credit_Assumptions!$C$17)^-0.5,BF282)+BF264*CHOOSE(Credit_Assumptions!$D$29,BF281*BF282*(1+Credit_Assumptions!$C$17)^-0.5,(1-Credit_Assumptions!$C$16)*BF282*(1+Credit_Assumptions!$C$17)^-0.5,BF282)+BF265*CHOOSE(Credit_Assumptions!$D$30,BF281*BF282*(1+Credit_Assumptions!$C$17)^-0.5,(1-Credit_Assumptions!$C$16)*BF282*(1+Credit_Assumptions!$C$17)^-0.5,BF282)+BF266*CHOOSE(Credit_Assumptions!$D$31,BF281*BF282*(1+Credit_Assumptions!$C$17)^-0.5,(1-Credit_Assumptions!$C$16)*BF282*(1+Credit_Assumptions!$C$17)^-0.5,BF282)+BF267*CHOOSE(Credit_Assumptions!$D$32,BF281*BF282*(1+Credit_Assumptions!$C$17)^-0.5,(1-Credit_Assumptions!$C$16)*BF282*(1+Credit_Assumptions!$C$17)^-0.5,BF282)+BF268*CHOOSE(Credit_Assumptions!$D$33,BF281*BF282*(1+Credit_Assumptions!$C$17)^-0.5,(1-Credit_Assumptions!$C$16)*BF282*(1+Credit_Assumptions!$C$17)^-0.5,BF282)</f>
        <v/>
      </c>
      <c r="BG283" s="80">
        <f>BG263*CHOOSE(Credit_Assumptions!$D$28,BG281*BG282*(1+Credit_Assumptions!$C$17)^-0.5,(1-Credit_Assumptions!$C$16)*BG282*(1+Credit_Assumptions!$C$17)^-0.5,BG282)+BG264*CHOOSE(Credit_Assumptions!$D$29,BG281*BG282*(1+Credit_Assumptions!$C$17)^-0.5,(1-Credit_Assumptions!$C$16)*BG282*(1+Credit_Assumptions!$C$17)^-0.5,BG282)+BG265*CHOOSE(Credit_Assumptions!$D$30,BG281*BG282*(1+Credit_Assumptions!$C$17)^-0.5,(1-Credit_Assumptions!$C$16)*BG282*(1+Credit_Assumptions!$C$17)^-0.5,BG282)+BG266*CHOOSE(Credit_Assumptions!$D$31,BG281*BG282*(1+Credit_Assumptions!$C$17)^-0.5,(1-Credit_Assumptions!$C$16)*BG282*(1+Credit_Assumptions!$C$17)^-0.5,BG282)+BG267*CHOOSE(Credit_Assumptions!$D$32,BG281*BG282*(1+Credit_Assumptions!$C$17)^-0.5,(1-Credit_Assumptions!$C$16)*BG282*(1+Credit_Assumptions!$C$17)^-0.5,BG282)+BG268*CHOOSE(Credit_Assumptions!$D$33,BG281*BG282*(1+Credit_Assumptions!$C$17)^-0.5,(1-Credit_Assumptions!$C$16)*BG282*(1+Credit_Assumptions!$C$17)^-0.5,BG282)</f>
        <v/>
      </c>
      <c r="BH283" s="80">
        <f>BH263*CHOOSE(Credit_Assumptions!$D$28,BH281*BH282*(1+Credit_Assumptions!$C$17)^-0.5,(1-Credit_Assumptions!$C$16)*BH282*(1+Credit_Assumptions!$C$17)^-0.5,BH282)+BH264*CHOOSE(Credit_Assumptions!$D$29,BH281*BH282*(1+Credit_Assumptions!$C$17)^-0.5,(1-Credit_Assumptions!$C$16)*BH282*(1+Credit_Assumptions!$C$17)^-0.5,BH282)+BH265*CHOOSE(Credit_Assumptions!$D$30,BH281*BH282*(1+Credit_Assumptions!$C$17)^-0.5,(1-Credit_Assumptions!$C$16)*BH282*(1+Credit_Assumptions!$C$17)^-0.5,BH282)+BH266*CHOOSE(Credit_Assumptions!$D$31,BH281*BH282*(1+Credit_Assumptions!$C$17)^-0.5,(1-Credit_Assumptions!$C$16)*BH282*(1+Credit_Assumptions!$C$17)^-0.5,BH282)+BH267*CHOOSE(Credit_Assumptions!$D$32,BH281*BH282*(1+Credit_Assumptions!$C$17)^-0.5,(1-Credit_Assumptions!$C$16)*BH282*(1+Credit_Assumptions!$C$17)^-0.5,BH282)+BH268*CHOOSE(Credit_Assumptions!$D$33,BH281*BH282*(1+Credit_Assumptions!$C$17)^-0.5,(1-Credit_Assumptions!$C$16)*BH282*(1+Credit_Assumptions!$C$17)^-0.5,BH282)</f>
        <v/>
      </c>
      <c r="BI283" s="80">
        <f>BI263*CHOOSE(Credit_Assumptions!$D$28,BI281*BI282*(1+Credit_Assumptions!$C$17)^-0.5,(1-Credit_Assumptions!$C$16)*BI282*(1+Credit_Assumptions!$C$17)^-0.5,BI282)+BI264*CHOOSE(Credit_Assumptions!$D$29,BI281*BI282*(1+Credit_Assumptions!$C$17)^-0.5,(1-Credit_Assumptions!$C$16)*BI282*(1+Credit_Assumptions!$C$17)^-0.5,BI282)+BI265*CHOOSE(Credit_Assumptions!$D$30,BI281*BI282*(1+Credit_Assumptions!$C$17)^-0.5,(1-Credit_Assumptions!$C$16)*BI282*(1+Credit_Assumptions!$C$17)^-0.5,BI282)+BI266*CHOOSE(Credit_Assumptions!$D$31,BI281*BI282*(1+Credit_Assumptions!$C$17)^-0.5,(1-Credit_Assumptions!$C$16)*BI282*(1+Credit_Assumptions!$C$17)^-0.5,BI282)+BI267*CHOOSE(Credit_Assumptions!$D$32,BI281*BI282*(1+Credit_Assumptions!$C$17)^-0.5,(1-Credit_Assumptions!$C$16)*BI282*(1+Credit_Assumptions!$C$17)^-0.5,BI282)+BI268*CHOOSE(Credit_Assumptions!$D$33,BI281*BI282*(1+Credit_Assumptions!$C$17)^-0.5,(1-Credit_Assumptions!$C$16)*BI282*(1+Credit_Assumptions!$C$17)^-0.5,BI282)</f>
        <v/>
      </c>
      <c r="BJ283" s="80">
        <f>BJ263*CHOOSE(Credit_Assumptions!$D$28,BJ281*BJ282*(1+Credit_Assumptions!$C$17)^-0.5,(1-Credit_Assumptions!$C$16)*BJ282*(1+Credit_Assumptions!$C$17)^-0.5,BJ282)+BJ264*CHOOSE(Credit_Assumptions!$D$29,BJ281*BJ282*(1+Credit_Assumptions!$C$17)^-0.5,(1-Credit_Assumptions!$C$16)*BJ282*(1+Credit_Assumptions!$C$17)^-0.5,BJ282)+BJ265*CHOOSE(Credit_Assumptions!$D$30,BJ281*BJ282*(1+Credit_Assumptions!$C$17)^-0.5,(1-Credit_Assumptions!$C$16)*BJ282*(1+Credit_Assumptions!$C$17)^-0.5,BJ282)+BJ266*CHOOSE(Credit_Assumptions!$D$31,BJ281*BJ282*(1+Credit_Assumptions!$C$17)^-0.5,(1-Credit_Assumptions!$C$16)*BJ282*(1+Credit_Assumptions!$C$17)^-0.5,BJ282)+BJ267*CHOOSE(Credit_Assumptions!$D$32,BJ281*BJ282*(1+Credit_Assumptions!$C$17)^-0.5,(1-Credit_Assumptions!$C$16)*BJ282*(1+Credit_Assumptions!$C$17)^-0.5,BJ282)+BJ268*CHOOSE(Credit_Assumptions!$D$33,BJ281*BJ282*(1+Credit_Assumptions!$C$17)^-0.5,(1-Credit_Assumptions!$C$16)*BJ282*(1+Credit_Assumptions!$C$17)^-0.5,BJ282)</f>
        <v/>
      </c>
      <c r="BK283" s="80">
        <f>BK263*CHOOSE(Credit_Assumptions!$D$28,BK281*BK282*(1+Credit_Assumptions!$C$17)^-0.5,(1-Credit_Assumptions!$C$16)*BK282*(1+Credit_Assumptions!$C$17)^-0.5,BK282)+BK264*CHOOSE(Credit_Assumptions!$D$29,BK281*BK282*(1+Credit_Assumptions!$C$17)^-0.5,(1-Credit_Assumptions!$C$16)*BK282*(1+Credit_Assumptions!$C$17)^-0.5,BK282)+BK265*CHOOSE(Credit_Assumptions!$D$30,BK281*BK282*(1+Credit_Assumptions!$C$17)^-0.5,(1-Credit_Assumptions!$C$16)*BK282*(1+Credit_Assumptions!$C$17)^-0.5,BK282)+BK266*CHOOSE(Credit_Assumptions!$D$31,BK281*BK282*(1+Credit_Assumptions!$C$17)^-0.5,(1-Credit_Assumptions!$C$16)*BK282*(1+Credit_Assumptions!$C$17)^-0.5,BK282)+BK267*CHOOSE(Credit_Assumptions!$D$32,BK281*BK282*(1+Credit_Assumptions!$C$17)^-0.5,(1-Credit_Assumptions!$C$16)*BK282*(1+Credit_Assumptions!$C$17)^-0.5,BK282)+BK268*CHOOSE(Credit_Assumptions!$D$33,BK281*BK282*(1+Credit_Assumptions!$C$17)^-0.5,(1-Credit_Assumptions!$C$16)*BK282*(1+Credit_Assumptions!$C$17)^-0.5,BK282)</f>
        <v/>
      </c>
      <c r="BL283" s="80">
        <f>BL263*CHOOSE(Credit_Assumptions!$D$28,BL281*BL282*(1+Credit_Assumptions!$C$17)^-0.5,(1-Credit_Assumptions!$C$16)*BL282*(1+Credit_Assumptions!$C$17)^-0.5,BL282)+BL264*CHOOSE(Credit_Assumptions!$D$29,BL281*BL282*(1+Credit_Assumptions!$C$17)^-0.5,(1-Credit_Assumptions!$C$16)*BL282*(1+Credit_Assumptions!$C$17)^-0.5,BL282)+BL265*CHOOSE(Credit_Assumptions!$D$30,BL281*BL282*(1+Credit_Assumptions!$C$17)^-0.5,(1-Credit_Assumptions!$C$16)*BL282*(1+Credit_Assumptions!$C$17)^-0.5,BL282)+BL266*CHOOSE(Credit_Assumptions!$D$31,BL281*BL282*(1+Credit_Assumptions!$C$17)^-0.5,(1-Credit_Assumptions!$C$16)*BL282*(1+Credit_Assumptions!$C$17)^-0.5,BL282)+BL267*CHOOSE(Credit_Assumptions!$D$32,BL281*BL282*(1+Credit_Assumptions!$C$17)^-0.5,(1-Credit_Assumptions!$C$16)*BL282*(1+Credit_Assumptions!$C$17)^-0.5,BL282)+BL268*CHOOSE(Credit_Assumptions!$D$33,BL281*BL282*(1+Credit_Assumptions!$C$17)^-0.5,(1-Credit_Assumptions!$C$16)*BL282*(1+Credit_Assumptions!$C$17)^-0.5,BL282)</f>
        <v/>
      </c>
    </row>
    <row r="284">
      <c r="A284" s="98" t="inlineStr">
        <is>
          <t>Eligible receivables (borrowing base)</t>
        </is>
      </c>
      <c r="B284" s="65" t="inlineStr">
        <is>
          <t>LCY</t>
        </is>
      </c>
      <c r="C284" s="105">
        <f>BL284</f>
        <v/>
      </c>
      <c r="E284" s="80">
        <f>E263*Credit_Assumptions!$E$28+E264*Credit_Assumptions!$E$29+E265*Credit_Assumptions!$E$30+E266*Credit_Assumptions!$E$31+E267*Credit_Assumptions!$E$32+E268*Credit_Assumptions!$E$33</f>
        <v/>
      </c>
      <c r="F284" s="80">
        <f>F263*Credit_Assumptions!$E$28+F264*Credit_Assumptions!$E$29+F265*Credit_Assumptions!$E$30+F266*Credit_Assumptions!$E$31+F267*Credit_Assumptions!$E$32+F268*Credit_Assumptions!$E$33</f>
        <v/>
      </c>
      <c r="G284" s="80">
        <f>G263*Credit_Assumptions!$E$28+G264*Credit_Assumptions!$E$29+G265*Credit_Assumptions!$E$30+G266*Credit_Assumptions!$E$31+G267*Credit_Assumptions!$E$32+G268*Credit_Assumptions!$E$33</f>
        <v/>
      </c>
      <c r="H284" s="80">
        <f>H263*Credit_Assumptions!$E$28+H264*Credit_Assumptions!$E$29+H265*Credit_Assumptions!$E$30+H266*Credit_Assumptions!$E$31+H267*Credit_Assumptions!$E$32+H268*Credit_Assumptions!$E$33</f>
        <v/>
      </c>
      <c r="I284" s="80">
        <f>I263*Credit_Assumptions!$E$28+I264*Credit_Assumptions!$E$29+I265*Credit_Assumptions!$E$30+I266*Credit_Assumptions!$E$31+I267*Credit_Assumptions!$E$32+I268*Credit_Assumptions!$E$33</f>
        <v/>
      </c>
      <c r="J284" s="80">
        <f>J263*Credit_Assumptions!$E$28+J264*Credit_Assumptions!$E$29+J265*Credit_Assumptions!$E$30+J266*Credit_Assumptions!$E$31+J267*Credit_Assumptions!$E$32+J268*Credit_Assumptions!$E$33</f>
        <v/>
      </c>
      <c r="K284" s="80">
        <f>K263*Credit_Assumptions!$E$28+K264*Credit_Assumptions!$E$29+K265*Credit_Assumptions!$E$30+K266*Credit_Assumptions!$E$31+K267*Credit_Assumptions!$E$32+K268*Credit_Assumptions!$E$33</f>
        <v/>
      </c>
      <c r="L284" s="80">
        <f>L263*Credit_Assumptions!$E$28+L264*Credit_Assumptions!$E$29+L265*Credit_Assumptions!$E$30+L266*Credit_Assumptions!$E$31+L267*Credit_Assumptions!$E$32+L268*Credit_Assumptions!$E$33</f>
        <v/>
      </c>
      <c r="M284" s="80">
        <f>M263*Credit_Assumptions!$E$28+M264*Credit_Assumptions!$E$29+M265*Credit_Assumptions!$E$30+M266*Credit_Assumptions!$E$31+M267*Credit_Assumptions!$E$32+M268*Credit_Assumptions!$E$33</f>
        <v/>
      </c>
      <c r="N284" s="80">
        <f>N263*Credit_Assumptions!$E$28+N264*Credit_Assumptions!$E$29+N265*Credit_Assumptions!$E$30+N266*Credit_Assumptions!$E$31+N267*Credit_Assumptions!$E$32+N268*Credit_Assumptions!$E$33</f>
        <v/>
      </c>
      <c r="O284" s="80">
        <f>O263*Credit_Assumptions!$E$28+O264*Credit_Assumptions!$E$29+O265*Credit_Assumptions!$E$30+O266*Credit_Assumptions!$E$31+O267*Credit_Assumptions!$E$32+O268*Credit_Assumptions!$E$33</f>
        <v/>
      </c>
      <c r="P284" s="80">
        <f>P263*Credit_Assumptions!$E$28+P264*Credit_Assumptions!$E$29+P265*Credit_Assumptions!$E$30+P266*Credit_Assumptions!$E$31+P267*Credit_Assumptions!$E$32+P268*Credit_Assumptions!$E$33</f>
        <v/>
      </c>
      <c r="Q284" s="80">
        <f>Q263*Credit_Assumptions!$E$28+Q264*Credit_Assumptions!$E$29+Q265*Credit_Assumptions!$E$30+Q266*Credit_Assumptions!$E$31+Q267*Credit_Assumptions!$E$32+Q268*Credit_Assumptions!$E$33</f>
        <v/>
      </c>
      <c r="R284" s="80">
        <f>R263*Credit_Assumptions!$E$28+R264*Credit_Assumptions!$E$29+R265*Credit_Assumptions!$E$30+R266*Credit_Assumptions!$E$31+R267*Credit_Assumptions!$E$32+R268*Credit_Assumptions!$E$33</f>
        <v/>
      </c>
      <c r="S284" s="80">
        <f>S263*Credit_Assumptions!$E$28+S264*Credit_Assumptions!$E$29+S265*Credit_Assumptions!$E$30+S266*Credit_Assumptions!$E$31+S267*Credit_Assumptions!$E$32+S268*Credit_Assumptions!$E$33</f>
        <v/>
      </c>
      <c r="T284" s="80">
        <f>T263*Credit_Assumptions!$E$28+T264*Credit_Assumptions!$E$29+T265*Credit_Assumptions!$E$30+T266*Credit_Assumptions!$E$31+T267*Credit_Assumptions!$E$32+T268*Credit_Assumptions!$E$33</f>
        <v/>
      </c>
      <c r="U284" s="80">
        <f>U263*Credit_Assumptions!$E$28+U264*Credit_Assumptions!$E$29+U265*Credit_Assumptions!$E$30+U266*Credit_Assumptions!$E$31+U267*Credit_Assumptions!$E$32+U268*Credit_Assumptions!$E$33</f>
        <v/>
      </c>
      <c r="V284" s="80">
        <f>V263*Credit_Assumptions!$E$28+V264*Credit_Assumptions!$E$29+V265*Credit_Assumptions!$E$30+V266*Credit_Assumptions!$E$31+V267*Credit_Assumptions!$E$32+V268*Credit_Assumptions!$E$33</f>
        <v/>
      </c>
      <c r="W284" s="80">
        <f>W263*Credit_Assumptions!$E$28+W264*Credit_Assumptions!$E$29+W265*Credit_Assumptions!$E$30+W266*Credit_Assumptions!$E$31+W267*Credit_Assumptions!$E$32+W268*Credit_Assumptions!$E$33</f>
        <v/>
      </c>
      <c r="X284" s="80">
        <f>X263*Credit_Assumptions!$E$28+X264*Credit_Assumptions!$E$29+X265*Credit_Assumptions!$E$30+X266*Credit_Assumptions!$E$31+X267*Credit_Assumptions!$E$32+X268*Credit_Assumptions!$E$33</f>
        <v/>
      </c>
      <c r="Y284" s="80">
        <f>Y263*Credit_Assumptions!$E$28+Y264*Credit_Assumptions!$E$29+Y265*Credit_Assumptions!$E$30+Y266*Credit_Assumptions!$E$31+Y267*Credit_Assumptions!$E$32+Y268*Credit_Assumptions!$E$33</f>
        <v/>
      </c>
      <c r="Z284" s="80">
        <f>Z263*Credit_Assumptions!$E$28+Z264*Credit_Assumptions!$E$29+Z265*Credit_Assumptions!$E$30+Z266*Credit_Assumptions!$E$31+Z267*Credit_Assumptions!$E$32+Z268*Credit_Assumptions!$E$33</f>
        <v/>
      </c>
      <c r="AA284" s="80">
        <f>AA263*Credit_Assumptions!$E$28+AA264*Credit_Assumptions!$E$29+AA265*Credit_Assumptions!$E$30+AA266*Credit_Assumptions!$E$31+AA267*Credit_Assumptions!$E$32+AA268*Credit_Assumptions!$E$33</f>
        <v/>
      </c>
      <c r="AB284" s="80">
        <f>AB263*Credit_Assumptions!$E$28+AB264*Credit_Assumptions!$E$29+AB265*Credit_Assumptions!$E$30+AB266*Credit_Assumptions!$E$31+AB267*Credit_Assumptions!$E$32+AB268*Credit_Assumptions!$E$33</f>
        <v/>
      </c>
      <c r="AC284" s="80">
        <f>AC263*Credit_Assumptions!$E$28+AC264*Credit_Assumptions!$E$29+AC265*Credit_Assumptions!$E$30+AC266*Credit_Assumptions!$E$31+AC267*Credit_Assumptions!$E$32+AC268*Credit_Assumptions!$E$33</f>
        <v/>
      </c>
      <c r="AD284" s="80">
        <f>AD263*Credit_Assumptions!$E$28+AD264*Credit_Assumptions!$E$29+AD265*Credit_Assumptions!$E$30+AD266*Credit_Assumptions!$E$31+AD267*Credit_Assumptions!$E$32+AD268*Credit_Assumptions!$E$33</f>
        <v/>
      </c>
      <c r="AE284" s="80">
        <f>AE263*Credit_Assumptions!$E$28+AE264*Credit_Assumptions!$E$29+AE265*Credit_Assumptions!$E$30+AE266*Credit_Assumptions!$E$31+AE267*Credit_Assumptions!$E$32+AE268*Credit_Assumptions!$E$33</f>
        <v/>
      </c>
      <c r="AF284" s="80">
        <f>AF263*Credit_Assumptions!$E$28+AF264*Credit_Assumptions!$E$29+AF265*Credit_Assumptions!$E$30+AF266*Credit_Assumptions!$E$31+AF267*Credit_Assumptions!$E$32+AF268*Credit_Assumptions!$E$33</f>
        <v/>
      </c>
      <c r="AG284" s="80">
        <f>AG263*Credit_Assumptions!$E$28+AG264*Credit_Assumptions!$E$29+AG265*Credit_Assumptions!$E$30+AG266*Credit_Assumptions!$E$31+AG267*Credit_Assumptions!$E$32+AG268*Credit_Assumptions!$E$33</f>
        <v/>
      </c>
      <c r="AH284" s="80">
        <f>AH263*Credit_Assumptions!$E$28+AH264*Credit_Assumptions!$E$29+AH265*Credit_Assumptions!$E$30+AH266*Credit_Assumptions!$E$31+AH267*Credit_Assumptions!$E$32+AH268*Credit_Assumptions!$E$33</f>
        <v/>
      </c>
      <c r="AI284" s="80">
        <f>AI263*Credit_Assumptions!$E$28+AI264*Credit_Assumptions!$E$29+AI265*Credit_Assumptions!$E$30+AI266*Credit_Assumptions!$E$31+AI267*Credit_Assumptions!$E$32+AI268*Credit_Assumptions!$E$33</f>
        <v/>
      </c>
      <c r="AJ284" s="80">
        <f>AJ263*Credit_Assumptions!$E$28+AJ264*Credit_Assumptions!$E$29+AJ265*Credit_Assumptions!$E$30+AJ266*Credit_Assumptions!$E$31+AJ267*Credit_Assumptions!$E$32+AJ268*Credit_Assumptions!$E$33</f>
        <v/>
      </c>
      <c r="AK284" s="80">
        <f>AK263*Credit_Assumptions!$E$28+AK264*Credit_Assumptions!$E$29+AK265*Credit_Assumptions!$E$30+AK266*Credit_Assumptions!$E$31+AK267*Credit_Assumptions!$E$32+AK268*Credit_Assumptions!$E$33</f>
        <v/>
      </c>
      <c r="AL284" s="80">
        <f>AL263*Credit_Assumptions!$E$28+AL264*Credit_Assumptions!$E$29+AL265*Credit_Assumptions!$E$30+AL266*Credit_Assumptions!$E$31+AL267*Credit_Assumptions!$E$32+AL268*Credit_Assumptions!$E$33</f>
        <v/>
      </c>
      <c r="AM284" s="80">
        <f>AM263*Credit_Assumptions!$E$28+AM264*Credit_Assumptions!$E$29+AM265*Credit_Assumptions!$E$30+AM266*Credit_Assumptions!$E$31+AM267*Credit_Assumptions!$E$32+AM268*Credit_Assumptions!$E$33</f>
        <v/>
      </c>
      <c r="AN284" s="80">
        <f>AN263*Credit_Assumptions!$E$28+AN264*Credit_Assumptions!$E$29+AN265*Credit_Assumptions!$E$30+AN266*Credit_Assumptions!$E$31+AN267*Credit_Assumptions!$E$32+AN268*Credit_Assumptions!$E$33</f>
        <v/>
      </c>
      <c r="AO284" s="80">
        <f>AO263*Credit_Assumptions!$E$28+AO264*Credit_Assumptions!$E$29+AO265*Credit_Assumptions!$E$30+AO266*Credit_Assumptions!$E$31+AO267*Credit_Assumptions!$E$32+AO268*Credit_Assumptions!$E$33</f>
        <v/>
      </c>
      <c r="AP284" s="80">
        <f>AP263*Credit_Assumptions!$E$28+AP264*Credit_Assumptions!$E$29+AP265*Credit_Assumptions!$E$30+AP266*Credit_Assumptions!$E$31+AP267*Credit_Assumptions!$E$32+AP268*Credit_Assumptions!$E$33</f>
        <v/>
      </c>
      <c r="AQ284" s="80">
        <f>AQ263*Credit_Assumptions!$E$28+AQ264*Credit_Assumptions!$E$29+AQ265*Credit_Assumptions!$E$30+AQ266*Credit_Assumptions!$E$31+AQ267*Credit_Assumptions!$E$32+AQ268*Credit_Assumptions!$E$33</f>
        <v/>
      </c>
      <c r="AR284" s="80">
        <f>AR263*Credit_Assumptions!$E$28+AR264*Credit_Assumptions!$E$29+AR265*Credit_Assumptions!$E$30+AR266*Credit_Assumptions!$E$31+AR267*Credit_Assumptions!$E$32+AR268*Credit_Assumptions!$E$33</f>
        <v/>
      </c>
      <c r="AS284" s="80">
        <f>AS263*Credit_Assumptions!$E$28+AS264*Credit_Assumptions!$E$29+AS265*Credit_Assumptions!$E$30+AS266*Credit_Assumptions!$E$31+AS267*Credit_Assumptions!$E$32+AS268*Credit_Assumptions!$E$33</f>
        <v/>
      </c>
      <c r="AT284" s="80">
        <f>AT263*Credit_Assumptions!$E$28+AT264*Credit_Assumptions!$E$29+AT265*Credit_Assumptions!$E$30+AT266*Credit_Assumptions!$E$31+AT267*Credit_Assumptions!$E$32+AT268*Credit_Assumptions!$E$33</f>
        <v/>
      </c>
      <c r="AU284" s="80">
        <f>AU263*Credit_Assumptions!$E$28+AU264*Credit_Assumptions!$E$29+AU265*Credit_Assumptions!$E$30+AU266*Credit_Assumptions!$E$31+AU267*Credit_Assumptions!$E$32+AU268*Credit_Assumptions!$E$33</f>
        <v/>
      </c>
      <c r="AV284" s="80">
        <f>AV263*Credit_Assumptions!$E$28+AV264*Credit_Assumptions!$E$29+AV265*Credit_Assumptions!$E$30+AV266*Credit_Assumptions!$E$31+AV267*Credit_Assumptions!$E$32+AV268*Credit_Assumptions!$E$33</f>
        <v/>
      </c>
      <c r="AW284" s="80">
        <f>AW263*Credit_Assumptions!$E$28+AW264*Credit_Assumptions!$E$29+AW265*Credit_Assumptions!$E$30+AW266*Credit_Assumptions!$E$31+AW267*Credit_Assumptions!$E$32+AW268*Credit_Assumptions!$E$33</f>
        <v/>
      </c>
      <c r="AX284" s="80">
        <f>AX263*Credit_Assumptions!$E$28+AX264*Credit_Assumptions!$E$29+AX265*Credit_Assumptions!$E$30+AX266*Credit_Assumptions!$E$31+AX267*Credit_Assumptions!$E$32+AX268*Credit_Assumptions!$E$33</f>
        <v/>
      </c>
      <c r="AY284" s="80">
        <f>AY263*Credit_Assumptions!$E$28+AY264*Credit_Assumptions!$E$29+AY265*Credit_Assumptions!$E$30+AY266*Credit_Assumptions!$E$31+AY267*Credit_Assumptions!$E$32+AY268*Credit_Assumptions!$E$33</f>
        <v/>
      </c>
      <c r="AZ284" s="80">
        <f>AZ263*Credit_Assumptions!$E$28+AZ264*Credit_Assumptions!$E$29+AZ265*Credit_Assumptions!$E$30+AZ266*Credit_Assumptions!$E$31+AZ267*Credit_Assumptions!$E$32+AZ268*Credit_Assumptions!$E$33</f>
        <v/>
      </c>
      <c r="BA284" s="80">
        <f>BA263*Credit_Assumptions!$E$28+BA264*Credit_Assumptions!$E$29+BA265*Credit_Assumptions!$E$30+BA266*Credit_Assumptions!$E$31+BA267*Credit_Assumptions!$E$32+BA268*Credit_Assumptions!$E$33</f>
        <v/>
      </c>
      <c r="BB284" s="80">
        <f>BB263*Credit_Assumptions!$E$28+BB264*Credit_Assumptions!$E$29+BB265*Credit_Assumptions!$E$30+BB266*Credit_Assumptions!$E$31+BB267*Credit_Assumptions!$E$32+BB268*Credit_Assumptions!$E$33</f>
        <v/>
      </c>
      <c r="BC284" s="80">
        <f>BC263*Credit_Assumptions!$E$28+BC264*Credit_Assumptions!$E$29+BC265*Credit_Assumptions!$E$30+BC266*Credit_Assumptions!$E$31+BC267*Credit_Assumptions!$E$32+BC268*Credit_Assumptions!$E$33</f>
        <v/>
      </c>
      <c r="BD284" s="80">
        <f>BD263*Credit_Assumptions!$E$28+BD264*Credit_Assumptions!$E$29+BD265*Credit_Assumptions!$E$30+BD266*Credit_Assumptions!$E$31+BD267*Credit_Assumptions!$E$32+BD268*Credit_Assumptions!$E$33</f>
        <v/>
      </c>
      <c r="BE284" s="80">
        <f>BE263*Credit_Assumptions!$E$28+BE264*Credit_Assumptions!$E$29+BE265*Credit_Assumptions!$E$30+BE266*Credit_Assumptions!$E$31+BE267*Credit_Assumptions!$E$32+BE268*Credit_Assumptions!$E$33</f>
        <v/>
      </c>
      <c r="BF284" s="80">
        <f>BF263*Credit_Assumptions!$E$28+BF264*Credit_Assumptions!$E$29+BF265*Credit_Assumptions!$E$30+BF266*Credit_Assumptions!$E$31+BF267*Credit_Assumptions!$E$32+BF268*Credit_Assumptions!$E$33</f>
        <v/>
      </c>
      <c r="BG284" s="80">
        <f>BG263*Credit_Assumptions!$E$28+BG264*Credit_Assumptions!$E$29+BG265*Credit_Assumptions!$E$30+BG266*Credit_Assumptions!$E$31+BG267*Credit_Assumptions!$E$32+BG268*Credit_Assumptions!$E$33</f>
        <v/>
      </c>
      <c r="BH284" s="80">
        <f>BH263*Credit_Assumptions!$E$28+BH264*Credit_Assumptions!$E$29+BH265*Credit_Assumptions!$E$30+BH266*Credit_Assumptions!$E$31+BH267*Credit_Assumptions!$E$32+BH268*Credit_Assumptions!$E$33</f>
        <v/>
      </c>
      <c r="BI284" s="80">
        <f>BI263*Credit_Assumptions!$E$28+BI264*Credit_Assumptions!$E$29+BI265*Credit_Assumptions!$E$30+BI266*Credit_Assumptions!$E$31+BI267*Credit_Assumptions!$E$32+BI268*Credit_Assumptions!$E$33</f>
        <v/>
      </c>
      <c r="BJ284" s="80">
        <f>BJ263*Credit_Assumptions!$E$28+BJ264*Credit_Assumptions!$E$29+BJ265*Credit_Assumptions!$E$30+BJ266*Credit_Assumptions!$E$31+BJ267*Credit_Assumptions!$E$32+BJ268*Credit_Assumptions!$E$33</f>
        <v/>
      </c>
      <c r="BK284" s="80">
        <f>BK263*Credit_Assumptions!$E$28+BK264*Credit_Assumptions!$E$29+BK265*Credit_Assumptions!$E$30+BK266*Credit_Assumptions!$E$31+BK267*Credit_Assumptions!$E$32+BK268*Credit_Assumptions!$E$33</f>
        <v/>
      </c>
      <c r="BL284" s="80">
        <f>BL263*Credit_Assumptions!$E$28+BL264*Credit_Assumptions!$E$29+BL265*Credit_Assumptions!$E$30+BL266*Credit_Assumptions!$E$31+BL267*Credit_Assumptions!$E$32+BL268*Credit_Assumptions!$E$33</f>
        <v/>
      </c>
    </row>
    <row r="285">
      <c r="A285" s="98" t="inlineStr">
        <is>
          <t>Borrowing-base contribution (advance rate x eligible)</t>
        </is>
      </c>
      <c r="B285" s="65" t="inlineStr">
        <is>
          <t>LCY</t>
        </is>
      </c>
      <c r="C285" s="105">
        <f>BL285</f>
        <v/>
      </c>
      <c r="E285" s="80">
        <f>E284*Products!$G$31</f>
        <v/>
      </c>
      <c r="F285" s="80">
        <f>F284*Products!$G$31</f>
        <v/>
      </c>
      <c r="G285" s="80">
        <f>G284*Products!$G$31</f>
        <v/>
      </c>
      <c r="H285" s="80">
        <f>H284*Products!$G$31</f>
        <v/>
      </c>
      <c r="I285" s="80">
        <f>I284*Products!$G$31</f>
        <v/>
      </c>
      <c r="J285" s="80">
        <f>J284*Products!$G$31</f>
        <v/>
      </c>
      <c r="K285" s="80">
        <f>K284*Products!$G$31</f>
        <v/>
      </c>
      <c r="L285" s="80">
        <f>L284*Products!$G$31</f>
        <v/>
      </c>
      <c r="M285" s="80">
        <f>M284*Products!$G$31</f>
        <v/>
      </c>
      <c r="N285" s="80">
        <f>N284*Products!$G$31</f>
        <v/>
      </c>
      <c r="O285" s="80">
        <f>O284*Products!$G$31</f>
        <v/>
      </c>
      <c r="P285" s="80">
        <f>P284*Products!$G$31</f>
        <v/>
      </c>
      <c r="Q285" s="80">
        <f>Q284*Products!$G$31</f>
        <v/>
      </c>
      <c r="R285" s="80">
        <f>R284*Products!$G$31</f>
        <v/>
      </c>
      <c r="S285" s="80">
        <f>S284*Products!$G$31</f>
        <v/>
      </c>
      <c r="T285" s="80">
        <f>T284*Products!$G$31</f>
        <v/>
      </c>
      <c r="U285" s="80">
        <f>U284*Products!$G$31</f>
        <v/>
      </c>
      <c r="V285" s="80">
        <f>V284*Products!$G$31</f>
        <v/>
      </c>
      <c r="W285" s="80">
        <f>W284*Products!$G$31</f>
        <v/>
      </c>
      <c r="X285" s="80">
        <f>X284*Products!$G$31</f>
        <v/>
      </c>
      <c r="Y285" s="80">
        <f>Y284*Products!$G$31</f>
        <v/>
      </c>
      <c r="Z285" s="80">
        <f>Z284*Products!$G$31</f>
        <v/>
      </c>
      <c r="AA285" s="80">
        <f>AA284*Products!$G$31</f>
        <v/>
      </c>
      <c r="AB285" s="80">
        <f>AB284*Products!$G$31</f>
        <v/>
      </c>
      <c r="AC285" s="80">
        <f>AC284*Products!$G$31</f>
        <v/>
      </c>
      <c r="AD285" s="80">
        <f>AD284*Products!$G$31</f>
        <v/>
      </c>
      <c r="AE285" s="80">
        <f>AE284*Products!$G$31</f>
        <v/>
      </c>
      <c r="AF285" s="80">
        <f>AF284*Products!$G$31</f>
        <v/>
      </c>
      <c r="AG285" s="80">
        <f>AG284*Products!$G$31</f>
        <v/>
      </c>
      <c r="AH285" s="80">
        <f>AH284*Products!$G$31</f>
        <v/>
      </c>
      <c r="AI285" s="80">
        <f>AI284*Products!$G$31</f>
        <v/>
      </c>
      <c r="AJ285" s="80">
        <f>AJ284*Products!$G$31</f>
        <v/>
      </c>
      <c r="AK285" s="80">
        <f>AK284*Products!$G$31</f>
        <v/>
      </c>
      <c r="AL285" s="80">
        <f>AL284*Products!$G$31</f>
        <v/>
      </c>
      <c r="AM285" s="80">
        <f>AM284*Products!$G$31</f>
        <v/>
      </c>
      <c r="AN285" s="80">
        <f>AN284*Products!$G$31</f>
        <v/>
      </c>
      <c r="AO285" s="80">
        <f>AO284*Products!$G$31</f>
        <v/>
      </c>
      <c r="AP285" s="80">
        <f>AP284*Products!$G$31</f>
        <v/>
      </c>
      <c r="AQ285" s="80">
        <f>AQ284*Products!$G$31</f>
        <v/>
      </c>
      <c r="AR285" s="80">
        <f>AR284*Products!$G$31</f>
        <v/>
      </c>
      <c r="AS285" s="80">
        <f>AS284*Products!$G$31</f>
        <v/>
      </c>
      <c r="AT285" s="80">
        <f>AT284*Products!$G$31</f>
        <v/>
      </c>
      <c r="AU285" s="80">
        <f>AU284*Products!$G$31</f>
        <v/>
      </c>
      <c r="AV285" s="80">
        <f>AV284*Products!$G$31</f>
        <v/>
      </c>
      <c r="AW285" s="80">
        <f>AW284*Products!$G$31</f>
        <v/>
      </c>
      <c r="AX285" s="80">
        <f>AX284*Products!$G$31</f>
        <v/>
      </c>
      <c r="AY285" s="80">
        <f>AY284*Products!$G$31</f>
        <v/>
      </c>
      <c r="AZ285" s="80">
        <f>AZ284*Products!$G$31</f>
        <v/>
      </c>
      <c r="BA285" s="80">
        <f>BA284*Products!$G$31</f>
        <v/>
      </c>
      <c r="BB285" s="80">
        <f>BB284*Products!$G$31</f>
        <v/>
      </c>
      <c r="BC285" s="80">
        <f>BC284*Products!$G$31</f>
        <v/>
      </c>
      <c r="BD285" s="80">
        <f>BD284*Products!$G$31</f>
        <v/>
      </c>
      <c r="BE285" s="80">
        <f>BE284*Products!$G$31</f>
        <v/>
      </c>
      <c r="BF285" s="80">
        <f>BF284*Products!$G$31</f>
        <v/>
      </c>
      <c r="BG285" s="80">
        <f>BG284*Products!$G$31</f>
        <v/>
      </c>
      <c r="BH285" s="80">
        <f>BH284*Products!$G$31</f>
        <v/>
      </c>
      <c r="BI285" s="80">
        <f>BI284*Products!$G$31</f>
        <v/>
      </c>
      <c r="BJ285" s="80">
        <f>BJ284*Products!$G$31</f>
        <v/>
      </c>
      <c r="BK285" s="80">
        <f>BK284*Products!$G$31</f>
        <v/>
      </c>
      <c r="BL285" s="80">
        <f>BL284*Products!$G$31</f>
        <v/>
      </c>
    </row>
    <row r="286">
      <c r="A286" s="98" t="inlineStr">
        <is>
          <t>Reconciliation: buckets: gross (should be 0)</t>
        </is>
      </c>
      <c r="B286" s="65" t="inlineStr">
        <is>
          <t>LCY</t>
        </is>
      </c>
      <c r="C286" s="105">
        <f>BL286</f>
        <v/>
      </c>
      <c r="E286" s="80">
        <f>ROUND(SUM(E263:E268)-E262,0)</f>
        <v/>
      </c>
      <c r="F286" s="80">
        <f>ROUND(SUM(F263:F268)-F262,0)</f>
        <v/>
      </c>
      <c r="G286" s="80">
        <f>ROUND(SUM(G263:G268)-G262,0)</f>
        <v/>
      </c>
      <c r="H286" s="80">
        <f>ROUND(SUM(H263:H268)-H262,0)</f>
        <v/>
      </c>
      <c r="I286" s="80">
        <f>ROUND(SUM(I263:I268)-I262,0)</f>
        <v/>
      </c>
      <c r="J286" s="80">
        <f>ROUND(SUM(J263:J268)-J262,0)</f>
        <v/>
      </c>
      <c r="K286" s="80">
        <f>ROUND(SUM(K263:K268)-K262,0)</f>
        <v/>
      </c>
      <c r="L286" s="80">
        <f>ROUND(SUM(L263:L268)-L262,0)</f>
        <v/>
      </c>
      <c r="M286" s="80">
        <f>ROUND(SUM(M263:M268)-M262,0)</f>
        <v/>
      </c>
      <c r="N286" s="80">
        <f>ROUND(SUM(N263:N268)-N262,0)</f>
        <v/>
      </c>
      <c r="O286" s="80">
        <f>ROUND(SUM(O263:O268)-O262,0)</f>
        <v/>
      </c>
      <c r="P286" s="80">
        <f>ROUND(SUM(P263:P268)-P262,0)</f>
        <v/>
      </c>
      <c r="Q286" s="80">
        <f>ROUND(SUM(Q263:Q268)-Q262,0)</f>
        <v/>
      </c>
      <c r="R286" s="80">
        <f>ROUND(SUM(R263:R268)-R262,0)</f>
        <v/>
      </c>
      <c r="S286" s="80">
        <f>ROUND(SUM(S263:S268)-S262,0)</f>
        <v/>
      </c>
      <c r="T286" s="80">
        <f>ROUND(SUM(T263:T268)-T262,0)</f>
        <v/>
      </c>
      <c r="U286" s="80">
        <f>ROUND(SUM(U263:U268)-U262,0)</f>
        <v/>
      </c>
      <c r="V286" s="80">
        <f>ROUND(SUM(V263:V268)-V262,0)</f>
        <v/>
      </c>
      <c r="W286" s="80">
        <f>ROUND(SUM(W263:W268)-W262,0)</f>
        <v/>
      </c>
      <c r="X286" s="80">
        <f>ROUND(SUM(X263:X268)-X262,0)</f>
        <v/>
      </c>
      <c r="Y286" s="80">
        <f>ROUND(SUM(Y263:Y268)-Y262,0)</f>
        <v/>
      </c>
      <c r="Z286" s="80">
        <f>ROUND(SUM(Z263:Z268)-Z262,0)</f>
        <v/>
      </c>
      <c r="AA286" s="80">
        <f>ROUND(SUM(AA263:AA268)-AA262,0)</f>
        <v/>
      </c>
      <c r="AB286" s="80">
        <f>ROUND(SUM(AB263:AB268)-AB262,0)</f>
        <v/>
      </c>
      <c r="AC286" s="80">
        <f>ROUND(SUM(AC263:AC268)-AC262,0)</f>
        <v/>
      </c>
      <c r="AD286" s="80">
        <f>ROUND(SUM(AD263:AD268)-AD262,0)</f>
        <v/>
      </c>
      <c r="AE286" s="80">
        <f>ROUND(SUM(AE263:AE268)-AE262,0)</f>
        <v/>
      </c>
      <c r="AF286" s="80">
        <f>ROUND(SUM(AF263:AF268)-AF262,0)</f>
        <v/>
      </c>
      <c r="AG286" s="80">
        <f>ROUND(SUM(AG263:AG268)-AG262,0)</f>
        <v/>
      </c>
      <c r="AH286" s="80">
        <f>ROUND(SUM(AH263:AH268)-AH262,0)</f>
        <v/>
      </c>
      <c r="AI286" s="80">
        <f>ROUND(SUM(AI263:AI268)-AI262,0)</f>
        <v/>
      </c>
      <c r="AJ286" s="80">
        <f>ROUND(SUM(AJ263:AJ268)-AJ262,0)</f>
        <v/>
      </c>
      <c r="AK286" s="80">
        <f>ROUND(SUM(AK263:AK268)-AK262,0)</f>
        <v/>
      </c>
      <c r="AL286" s="80">
        <f>ROUND(SUM(AL263:AL268)-AL262,0)</f>
        <v/>
      </c>
      <c r="AM286" s="80">
        <f>ROUND(SUM(AM263:AM268)-AM262,0)</f>
        <v/>
      </c>
      <c r="AN286" s="80">
        <f>ROUND(SUM(AN263:AN268)-AN262,0)</f>
        <v/>
      </c>
      <c r="AO286" s="80">
        <f>ROUND(SUM(AO263:AO268)-AO262,0)</f>
        <v/>
      </c>
      <c r="AP286" s="80">
        <f>ROUND(SUM(AP263:AP268)-AP262,0)</f>
        <v/>
      </c>
      <c r="AQ286" s="80">
        <f>ROUND(SUM(AQ263:AQ268)-AQ262,0)</f>
        <v/>
      </c>
      <c r="AR286" s="80">
        <f>ROUND(SUM(AR263:AR268)-AR262,0)</f>
        <v/>
      </c>
      <c r="AS286" s="80">
        <f>ROUND(SUM(AS263:AS268)-AS262,0)</f>
        <v/>
      </c>
      <c r="AT286" s="80">
        <f>ROUND(SUM(AT263:AT268)-AT262,0)</f>
        <v/>
      </c>
      <c r="AU286" s="80">
        <f>ROUND(SUM(AU263:AU268)-AU262,0)</f>
        <v/>
      </c>
      <c r="AV286" s="80">
        <f>ROUND(SUM(AV263:AV268)-AV262,0)</f>
        <v/>
      </c>
      <c r="AW286" s="80">
        <f>ROUND(SUM(AW263:AW268)-AW262,0)</f>
        <v/>
      </c>
      <c r="AX286" s="80">
        <f>ROUND(SUM(AX263:AX268)-AX262,0)</f>
        <v/>
      </c>
      <c r="AY286" s="80">
        <f>ROUND(SUM(AY263:AY268)-AY262,0)</f>
        <v/>
      </c>
      <c r="AZ286" s="80">
        <f>ROUND(SUM(AZ263:AZ268)-AZ262,0)</f>
        <v/>
      </c>
      <c r="BA286" s="80">
        <f>ROUND(SUM(BA263:BA268)-BA262,0)</f>
        <v/>
      </c>
      <c r="BB286" s="80">
        <f>ROUND(SUM(BB263:BB268)-BB262,0)</f>
        <v/>
      </c>
      <c r="BC286" s="80">
        <f>ROUND(SUM(BC263:BC268)-BC262,0)</f>
        <v/>
      </c>
      <c r="BD286" s="80">
        <f>ROUND(SUM(BD263:BD268)-BD262,0)</f>
        <v/>
      </c>
      <c r="BE286" s="80">
        <f>ROUND(SUM(BE263:BE268)-BE262,0)</f>
        <v/>
      </c>
      <c r="BF286" s="80">
        <f>ROUND(SUM(BF263:BF268)-BF262,0)</f>
        <v/>
      </c>
      <c r="BG286" s="80">
        <f>ROUND(SUM(BG263:BG268)-BG262,0)</f>
        <v/>
      </c>
      <c r="BH286" s="80">
        <f>ROUND(SUM(BH263:BH268)-BH262,0)</f>
        <v/>
      </c>
      <c r="BI286" s="80">
        <f>ROUND(SUM(BI263:BI268)-BI262,0)</f>
        <v/>
      </c>
      <c r="BJ286" s="80">
        <f>ROUND(SUM(BJ263:BJ268)-BJ262,0)</f>
        <v/>
      </c>
      <c r="BK286" s="80">
        <f>ROUND(SUM(BK263:BK268)-BK262,0)</f>
        <v/>
      </c>
      <c r="BL286" s="80">
        <f>ROUND(SUM(BL263:BL268)-BL262,0)</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BL37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44" customWidth="1" min="1" max="1"/>
    <col width="12" customWidth="1" min="2" max="2"/>
    <col width="16" customWidth="1" min="3" max="3"/>
  </cols>
  <sheetData>
    <row r="1">
      <c r="A1" s="17" t="inlineStr">
        <is>
          <t>Vintage engine: cohort -&gt; repayment -&gt; DPD -&gt; default -&gt; recovery -&gt; ownership -&gt; economics</t>
        </is>
      </c>
    </row>
    <row r="2">
      <c r="A2" s="18" t="inlineStr">
        <is>
          <t>[ACTUAL cohorts and FORECAST proxy]  Proxy cohorts use the model curves (identical within a tier). Actual cohorts use Vintage_Input. Ownership is 0 in Proxy mode. DPD exposure = cumulative arrears of accounts at or beyond the threshold (incl. written off) + their outstanding balance.</t>
        </is>
      </c>
    </row>
    <row r="3"/>
    <row r="4"/>
    <row r="5">
      <c r="A5" s="21" t="inlineStr">
        <is>
          <t>A. Proxy curve values by tier and checkpoint</t>
        </is>
      </c>
      <c r="B5" s="22" t="n"/>
      <c r="C5" s="22" t="n"/>
      <c r="D5" s="22" t="n"/>
      <c r="E5" s="22" t="n"/>
      <c r="F5" s="22" t="n"/>
      <c r="G5" s="22" t="n"/>
      <c r="H5" s="22" t="n"/>
      <c r="I5" s="22" t="n"/>
      <c r="J5" s="22" t="n"/>
      <c r="K5" s="22" t="n"/>
      <c r="L5" s="22" t="n"/>
      <c r="M5" s="22" t="n"/>
      <c r="N5" s="22" t="n"/>
      <c r="O5" s="22" t="n"/>
      <c r="P5" s="22" t="n"/>
      <c r="Q5" s="22" t="n"/>
      <c r="R5" s="22" t="n"/>
      <c r="S5" s="22" t="n"/>
      <c r="T5" s="22" t="n"/>
      <c r="U5" s="22" t="n"/>
      <c r="V5" s="22" t="n"/>
      <c r="W5" s="22" t="n"/>
      <c r="X5" s="22" t="n"/>
      <c r="Y5" s="22" t="n"/>
      <c r="Z5" s="22" t="n"/>
      <c r="AA5" s="22" t="n"/>
      <c r="AB5" s="22" t="n"/>
      <c r="AC5" s="22" t="n"/>
      <c r="AD5" s="22" t="n"/>
      <c r="AE5" s="22" t="n"/>
      <c r="AF5" s="22" t="n"/>
      <c r="AG5" s="22" t="n"/>
      <c r="AH5" s="22" t="n"/>
      <c r="AI5" s="22" t="n"/>
      <c r="AJ5" s="22" t="n"/>
      <c r="AK5" s="22" t="n"/>
      <c r="AL5" s="22" t="n"/>
      <c r="AM5" s="22" t="n"/>
      <c r="AN5" s="22" t="n"/>
      <c r="AO5" s="22" t="n"/>
      <c r="AP5" s="22" t="n"/>
      <c r="AQ5" s="22" t="n"/>
      <c r="AR5" s="22" t="n"/>
      <c r="AS5" s="22" t="n"/>
      <c r="AT5" s="22" t="n"/>
      <c r="AU5" s="22" t="n"/>
      <c r="AV5" s="22" t="n"/>
      <c r="AW5" s="22" t="n"/>
      <c r="AX5" s="22" t="n"/>
      <c r="AY5" s="22" t="n"/>
      <c r="AZ5" s="22" t="n"/>
      <c r="BA5" s="22" t="n"/>
      <c r="BB5" s="22" t="n"/>
      <c r="BC5" s="22" t="n"/>
      <c r="BD5" s="22" t="n"/>
      <c r="BE5" s="22" t="n"/>
      <c r="BF5" s="22" t="n"/>
      <c r="BG5" s="22" t="n"/>
      <c r="BH5" s="22" t="n"/>
      <c r="BI5" s="22" t="n"/>
      <c r="BJ5" s="22" t="n"/>
      <c r="BK5" s="22" t="n"/>
      <c r="BL5" s="22" t="n"/>
    </row>
    <row r="6">
      <c r="A6" s="111" t="inlineStr">
        <is>
          <t>Tier 1: Pico solar kit</t>
        </is>
      </c>
    </row>
    <row r="7">
      <c r="A7" s="40" t="inlineStr">
        <is>
          <t>KPI</t>
        </is>
      </c>
      <c r="B7" s="40" t="inlineStr">
        <is>
          <t>M3</t>
        </is>
      </c>
      <c r="C7" s="40" t="inlineStr">
        <is>
          <t>M6</t>
        </is>
      </c>
      <c r="D7" s="40" t="inlineStr">
        <is>
          <t>M12</t>
        </is>
      </c>
      <c r="E7" s="40" t="inlineStr">
        <is>
          <t>M18</t>
        </is>
      </c>
      <c r="F7" s="40" t="inlineStr">
        <is>
          <t>M24</t>
        </is>
      </c>
      <c r="G7" s="40" t="inlineStr">
        <is>
          <t>M36</t>
        </is>
      </c>
      <c r="H7" s="40" t="inlineStr">
        <is>
          <t>M48</t>
        </is>
      </c>
      <c r="I7" s="40" t="inlineStr">
        <is>
          <t>M60</t>
        </is>
      </c>
    </row>
    <row r="8">
      <c r="A8" s="34" t="inlineStr">
        <is>
          <t>Cohort repayment ratio (not PERFORM)</t>
        </is>
      </c>
      <c r="B8" s="81">
        <f>IFERROR(SUMIFS(Curves!$D$8:$D$68,Curves!$A$8:$A$68,"&lt;="&amp;3)/SUMIFS(Curves!$C$8:$C$68,Curves!$A$8:$A$68,"&lt;="&amp;3),0)</f>
        <v/>
      </c>
      <c r="C8" s="81">
        <f>IFERROR(SUMIFS(Curves!$D$8:$D$68,Curves!$A$8:$A$68,"&lt;="&amp;6)/SUMIFS(Curves!$C$8:$C$68,Curves!$A$8:$A$68,"&lt;="&amp;6),0)</f>
        <v/>
      </c>
      <c r="D8" s="81">
        <f>IFERROR(SUMIFS(Curves!$D$8:$D$68,Curves!$A$8:$A$68,"&lt;="&amp;12)/SUMIFS(Curves!$C$8:$C$68,Curves!$A$8:$A$68,"&lt;="&amp;12),0)</f>
        <v/>
      </c>
      <c r="E8" s="81">
        <f>IFERROR(SUMIFS(Curves!$D$8:$D$68,Curves!$A$8:$A$68,"&lt;="&amp;18)/SUMIFS(Curves!$C$8:$C$68,Curves!$A$8:$A$68,"&lt;="&amp;18),0)</f>
        <v/>
      </c>
      <c r="F8" s="81">
        <f>IFERROR(SUMIFS(Curves!$D$8:$D$68,Curves!$A$8:$A$68,"&lt;="&amp;24)/SUMIFS(Curves!$C$8:$C$68,Curves!$A$8:$A$68,"&lt;="&amp;24),0)</f>
        <v/>
      </c>
      <c r="G8" s="81">
        <f>IFERROR(SUMIFS(Curves!$D$8:$D$68,Curves!$A$8:$A$68,"&lt;="&amp;36)/SUMIFS(Curves!$C$8:$C$68,Curves!$A$8:$A$68,"&lt;="&amp;36),0)</f>
        <v/>
      </c>
      <c r="H8" s="81">
        <f>IFERROR(SUMIFS(Curves!$D$8:$D$68,Curves!$A$8:$A$68,"&lt;="&amp;48)/SUMIFS(Curves!$C$8:$C$68,Curves!$A$8:$A$68,"&lt;="&amp;48),0)</f>
        <v/>
      </c>
      <c r="I8" s="81">
        <f>IFERROR(SUMIFS(Curves!$D$8:$D$68,Curves!$A$8:$A$68,"&lt;="&amp;60)/SUMIFS(Curves!$C$8:$C$68,Curves!$A$8:$A$68,"&lt;="&amp;60),0)</f>
        <v/>
      </c>
    </row>
    <row r="9">
      <c r="A9" s="34" t="inlineStr">
        <is>
          <t>30+ DPD exposure / due</t>
        </is>
      </c>
      <c r="B9" s="81">
        <f>IFERROR(((SUMIFS(Curves!$M$8:$M$68,Curves!$A$8:$A$68,"&lt;="&amp;MAX(0,MIN(MIN(3,Products!$C$16),3-2+1)))+MAX(0,MIN(3,Products!$C$16)-MAX(0,MIN(MIN(3,Products!$C$16),3-2+1)))*Products!$C$33*(1-INDEX(Curves!$B$8:$B$68,MAX(0,MIN(MIN(3,Products!$C$16),3-2+1))+1)))+INDEX(Curves!$F$8:$F$68,3+1)*(Credit_Assumptions!$I$30*Credit_Assumptions!$G$30+Credit_Assumptions!$I$31*Credit_Assumptions!$G$31+Credit_Assumptions!$I$32*Credit_Assumptions!$G$32+Credit_Assumptions!$I$33*Credit_Assumptions!$G$33))/SUMIFS(Curves!$C$8:$C$68,Curves!$A$8:$A$68,"&lt;="&amp;3),0)</f>
        <v/>
      </c>
      <c r="C9" s="81">
        <f>IFERROR(((SUMIFS(Curves!$M$8:$M$68,Curves!$A$8:$A$68,"&lt;="&amp;MAX(0,MIN(MIN(6,Products!$C$16),6-2+1)))+MAX(0,MIN(6,Products!$C$16)-MAX(0,MIN(MIN(6,Products!$C$16),6-2+1)))*Products!$C$33*(1-INDEX(Curves!$B$8:$B$68,MAX(0,MIN(MIN(6,Products!$C$16),6-2+1))+1)))+INDEX(Curves!$F$8:$F$68,6+1)*(Credit_Assumptions!$I$30*Credit_Assumptions!$G$30+Credit_Assumptions!$I$31*Credit_Assumptions!$G$31+Credit_Assumptions!$I$32*Credit_Assumptions!$G$32+Credit_Assumptions!$I$33*Credit_Assumptions!$G$33))/SUMIFS(Curves!$C$8:$C$68,Curves!$A$8:$A$68,"&lt;="&amp;6),0)</f>
        <v/>
      </c>
      <c r="D9" s="81">
        <f>IFERROR(((SUMIFS(Curves!$M$8:$M$68,Curves!$A$8:$A$68,"&lt;="&amp;MAX(0,MIN(MIN(12,Products!$C$16),12-2+1)))+MAX(0,MIN(12,Products!$C$16)-MAX(0,MIN(MIN(12,Products!$C$16),12-2+1)))*Products!$C$33*(1-INDEX(Curves!$B$8:$B$68,MAX(0,MIN(MIN(12,Products!$C$16),12-2+1))+1)))+INDEX(Curves!$F$8:$F$68,12+1)*(Credit_Assumptions!$I$30*Credit_Assumptions!$G$30+Credit_Assumptions!$I$31*Credit_Assumptions!$G$31+Credit_Assumptions!$I$32*Credit_Assumptions!$G$32+Credit_Assumptions!$I$33*Credit_Assumptions!$G$33))/SUMIFS(Curves!$C$8:$C$68,Curves!$A$8:$A$68,"&lt;="&amp;12),0)</f>
        <v/>
      </c>
      <c r="E9" s="81">
        <f>IFERROR(((SUMIFS(Curves!$M$8:$M$68,Curves!$A$8:$A$68,"&lt;="&amp;MAX(0,MIN(MIN(18,Products!$C$16),18-2+1)))+MAX(0,MIN(18,Products!$C$16)-MAX(0,MIN(MIN(18,Products!$C$16),18-2+1)))*Products!$C$33*(1-INDEX(Curves!$B$8:$B$68,MAX(0,MIN(MIN(18,Products!$C$16),18-2+1))+1)))+INDEX(Curves!$F$8:$F$68,18+1)*(Credit_Assumptions!$I$30*Credit_Assumptions!$G$30+Credit_Assumptions!$I$31*Credit_Assumptions!$G$31+Credit_Assumptions!$I$32*Credit_Assumptions!$G$32+Credit_Assumptions!$I$33*Credit_Assumptions!$G$33))/SUMIFS(Curves!$C$8:$C$68,Curves!$A$8:$A$68,"&lt;="&amp;18),0)</f>
        <v/>
      </c>
      <c r="F9" s="81">
        <f>IFERROR(((SUMIFS(Curves!$M$8:$M$68,Curves!$A$8:$A$68,"&lt;="&amp;MAX(0,MIN(MIN(24,Products!$C$16),24-2+1)))+MAX(0,MIN(24,Products!$C$16)-MAX(0,MIN(MIN(24,Products!$C$16),24-2+1)))*Products!$C$33*(1-INDEX(Curves!$B$8:$B$68,MAX(0,MIN(MIN(24,Products!$C$16),24-2+1))+1)))+INDEX(Curves!$F$8:$F$68,24+1)*(Credit_Assumptions!$I$30*Credit_Assumptions!$G$30+Credit_Assumptions!$I$31*Credit_Assumptions!$G$31+Credit_Assumptions!$I$32*Credit_Assumptions!$G$32+Credit_Assumptions!$I$33*Credit_Assumptions!$G$33))/SUMIFS(Curves!$C$8:$C$68,Curves!$A$8:$A$68,"&lt;="&amp;24),0)</f>
        <v/>
      </c>
      <c r="G9" s="81">
        <f>IFERROR(((SUMIFS(Curves!$M$8:$M$68,Curves!$A$8:$A$68,"&lt;="&amp;MAX(0,MIN(MIN(36,Products!$C$16),36-2+1)))+MAX(0,MIN(36,Products!$C$16)-MAX(0,MIN(MIN(36,Products!$C$16),36-2+1)))*Products!$C$33*(1-INDEX(Curves!$B$8:$B$68,MAX(0,MIN(MIN(36,Products!$C$16),36-2+1))+1)))+INDEX(Curves!$F$8:$F$68,36+1)*(Credit_Assumptions!$I$30*Credit_Assumptions!$G$30+Credit_Assumptions!$I$31*Credit_Assumptions!$G$31+Credit_Assumptions!$I$32*Credit_Assumptions!$G$32+Credit_Assumptions!$I$33*Credit_Assumptions!$G$33))/SUMIFS(Curves!$C$8:$C$68,Curves!$A$8:$A$68,"&lt;="&amp;36),0)</f>
        <v/>
      </c>
      <c r="H9" s="81">
        <f>IFERROR(((SUMIFS(Curves!$M$8:$M$68,Curves!$A$8:$A$68,"&lt;="&amp;MAX(0,MIN(MIN(48,Products!$C$16),48-2+1)))+MAX(0,MIN(48,Products!$C$16)-MAX(0,MIN(MIN(48,Products!$C$16),48-2+1)))*Products!$C$33*(1-INDEX(Curves!$B$8:$B$68,MAX(0,MIN(MIN(48,Products!$C$16),48-2+1))+1)))+INDEX(Curves!$F$8:$F$68,48+1)*(Credit_Assumptions!$I$30*Credit_Assumptions!$G$30+Credit_Assumptions!$I$31*Credit_Assumptions!$G$31+Credit_Assumptions!$I$32*Credit_Assumptions!$G$32+Credit_Assumptions!$I$33*Credit_Assumptions!$G$33))/SUMIFS(Curves!$C$8:$C$68,Curves!$A$8:$A$68,"&lt;="&amp;48),0)</f>
        <v/>
      </c>
      <c r="I9" s="81">
        <f>IFERROR(((SUMIFS(Curves!$M$8:$M$68,Curves!$A$8:$A$68,"&lt;="&amp;MAX(0,MIN(MIN(60,Products!$C$16),60-2+1)))+MAX(0,MIN(60,Products!$C$16)-MAX(0,MIN(MIN(60,Products!$C$16),60-2+1)))*Products!$C$33*(1-INDEX(Curves!$B$8:$B$68,MAX(0,MIN(MIN(60,Products!$C$16),60-2+1))+1)))+INDEX(Curves!$F$8:$F$68,60+1)*(Credit_Assumptions!$I$30*Credit_Assumptions!$G$30+Credit_Assumptions!$I$31*Credit_Assumptions!$G$31+Credit_Assumptions!$I$32*Credit_Assumptions!$G$32+Credit_Assumptions!$I$33*Credit_Assumptions!$G$33))/SUMIFS(Curves!$C$8:$C$68,Curves!$A$8:$A$68,"&lt;="&amp;60),0)</f>
        <v/>
      </c>
    </row>
    <row r="10">
      <c r="A10" s="34" t="inlineStr">
        <is>
          <t>90+ DPD exposure / due</t>
        </is>
      </c>
      <c r="B10" s="81">
        <f>IFERROR(((SUMIFS(Curves!$M$8:$M$68,Curves!$A$8:$A$68,"&lt;="&amp;MAX(0,MIN(MIN(3,Products!$C$16),3-4+1)))+MAX(0,MIN(3,Products!$C$16)-MAX(0,MIN(MIN(3,Products!$C$16),3-4+1)))*Products!$C$33*(1-INDEX(Curves!$B$8:$B$68,MAX(0,MIN(MIN(3,Products!$C$16),3-4+1))+1)))+INDEX(Curves!$F$8:$F$68,3+1)*(Credit_Assumptions!$I$30*Credit_Assumptions!$H$30+Credit_Assumptions!$I$31*Credit_Assumptions!$H$31+Credit_Assumptions!$I$32*Credit_Assumptions!$H$32+Credit_Assumptions!$I$33*Credit_Assumptions!$H$33))/SUMIFS(Curves!$C$8:$C$68,Curves!$A$8:$A$68,"&lt;="&amp;3),0)</f>
        <v/>
      </c>
      <c r="C10" s="81">
        <f>IFERROR(((SUMIFS(Curves!$M$8:$M$68,Curves!$A$8:$A$68,"&lt;="&amp;MAX(0,MIN(MIN(6,Products!$C$16),6-4+1)))+MAX(0,MIN(6,Products!$C$16)-MAX(0,MIN(MIN(6,Products!$C$16),6-4+1)))*Products!$C$33*(1-INDEX(Curves!$B$8:$B$68,MAX(0,MIN(MIN(6,Products!$C$16),6-4+1))+1)))+INDEX(Curves!$F$8:$F$68,6+1)*(Credit_Assumptions!$I$30*Credit_Assumptions!$H$30+Credit_Assumptions!$I$31*Credit_Assumptions!$H$31+Credit_Assumptions!$I$32*Credit_Assumptions!$H$32+Credit_Assumptions!$I$33*Credit_Assumptions!$H$33))/SUMIFS(Curves!$C$8:$C$68,Curves!$A$8:$A$68,"&lt;="&amp;6),0)</f>
        <v/>
      </c>
      <c r="D10" s="81">
        <f>IFERROR(((SUMIFS(Curves!$M$8:$M$68,Curves!$A$8:$A$68,"&lt;="&amp;MAX(0,MIN(MIN(12,Products!$C$16),12-4+1)))+MAX(0,MIN(12,Products!$C$16)-MAX(0,MIN(MIN(12,Products!$C$16),12-4+1)))*Products!$C$33*(1-INDEX(Curves!$B$8:$B$68,MAX(0,MIN(MIN(12,Products!$C$16),12-4+1))+1)))+INDEX(Curves!$F$8:$F$68,12+1)*(Credit_Assumptions!$I$30*Credit_Assumptions!$H$30+Credit_Assumptions!$I$31*Credit_Assumptions!$H$31+Credit_Assumptions!$I$32*Credit_Assumptions!$H$32+Credit_Assumptions!$I$33*Credit_Assumptions!$H$33))/SUMIFS(Curves!$C$8:$C$68,Curves!$A$8:$A$68,"&lt;="&amp;12),0)</f>
        <v/>
      </c>
      <c r="E10" s="81">
        <f>IFERROR(((SUMIFS(Curves!$M$8:$M$68,Curves!$A$8:$A$68,"&lt;="&amp;MAX(0,MIN(MIN(18,Products!$C$16),18-4+1)))+MAX(0,MIN(18,Products!$C$16)-MAX(0,MIN(MIN(18,Products!$C$16),18-4+1)))*Products!$C$33*(1-INDEX(Curves!$B$8:$B$68,MAX(0,MIN(MIN(18,Products!$C$16),18-4+1))+1)))+INDEX(Curves!$F$8:$F$68,18+1)*(Credit_Assumptions!$I$30*Credit_Assumptions!$H$30+Credit_Assumptions!$I$31*Credit_Assumptions!$H$31+Credit_Assumptions!$I$32*Credit_Assumptions!$H$32+Credit_Assumptions!$I$33*Credit_Assumptions!$H$33))/SUMIFS(Curves!$C$8:$C$68,Curves!$A$8:$A$68,"&lt;="&amp;18),0)</f>
        <v/>
      </c>
      <c r="F10" s="81">
        <f>IFERROR(((SUMIFS(Curves!$M$8:$M$68,Curves!$A$8:$A$68,"&lt;="&amp;MAX(0,MIN(MIN(24,Products!$C$16),24-4+1)))+MAX(0,MIN(24,Products!$C$16)-MAX(0,MIN(MIN(24,Products!$C$16),24-4+1)))*Products!$C$33*(1-INDEX(Curves!$B$8:$B$68,MAX(0,MIN(MIN(24,Products!$C$16),24-4+1))+1)))+INDEX(Curves!$F$8:$F$68,24+1)*(Credit_Assumptions!$I$30*Credit_Assumptions!$H$30+Credit_Assumptions!$I$31*Credit_Assumptions!$H$31+Credit_Assumptions!$I$32*Credit_Assumptions!$H$32+Credit_Assumptions!$I$33*Credit_Assumptions!$H$33))/SUMIFS(Curves!$C$8:$C$68,Curves!$A$8:$A$68,"&lt;="&amp;24),0)</f>
        <v/>
      </c>
      <c r="G10" s="81">
        <f>IFERROR(((SUMIFS(Curves!$M$8:$M$68,Curves!$A$8:$A$68,"&lt;="&amp;MAX(0,MIN(MIN(36,Products!$C$16),36-4+1)))+MAX(0,MIN(36,Products!$C$16)-MAX(0,MIN(MIN(36,Products!$C$16),36-4+1)))*Products!$C$33*(1-INDEX(Curves!$B$8:$B$68,MAX(0,MIN(MIN(36,Products!$C$16),36-4+1))+1)))+INDEX(Curves!$F$8:$F$68,36+1)*(Credit_Assumptions!$I$30*Credit_Assumptions!$H$30+Credit_Assumptions!$I$31*Credit_Assumptions!$H$31+Credit_Assumptions!$I$32*Credit_Assumptions!$H$32+Credit_Assumptions!$I$33*Credit_Assumptions!$H$33))/SUMIFS(Curves!$C$8:$C$68,Curves!$A$8:$A$68,"&lt;="&amp;36),0)</f>
        <v/>
      </c>
      <c r="H10" s="81">
        <f>IFERROR(((SUMIFS(Curves!$M$8:$M$68,Curves!$A$8:$A$68,"&lt;="&amp;MAX(0,MIN(MIN(48,Products!$C$16),48-4+1)))+MAX(0,MIN(48,Products!$C$16)-MAX(0,MIN(MIN(48,Products!$C$16),48-4+1)))*Products!$C$33*(1-INDEX(Curves!$B$8:$B$68,MAX(0,MIN(MIN(48,Products!$C$16),48-4+1))+1)))+INDEX(Curves!$F$8:$F$68,48+1)*(Credit_Assumptions!$I$30*Credit_Assumptions!$H$30+Credit_Assumptions!$I$31*Credit_Assumptions!$H$31+Credit_Assumptions!$I$32*Credit_Assumptions!$H$32+Credit_Assumptions!$I$33*Credit_Assumptions!$H$33))/SUMIFS(Curves!$C$8:$C$68,Curves!$A$8:$A$68,"&lt;="&amp;48),0)</f>
        <v/>
      </c>
      <c r="I10" s="81">
        <f>IFERROR(((SUMIFS(Curves!$M$8:$M$68,Curves!$A$8:$A$68,"&lt;="&amp;MAX(0,MIN(MIN(60,Products!$C$16),60-4+1)))+MAX(0,MIN(60,Products!$C$16)-MAX(0,MIN(MIN(60,Products!$C$16),60-4+1)))*Products!$C$33*(1-INDEX(Curves!$B$8:$B$68,MAX(0,MIN(MIN(60,Products!$C$16),60-4+1))+1)))+INDEX(Curves!$F$8:$F$68,60+1)*(Credit_Assumptions!$I$30*Credit_Assumptions!$H$30+Credit_Assumptions!$I$31*Credit_Assumptions!$H$31+Credit_Assumptions!$I$32*Credit_Assumptions!$H$32+Credit_Assumptions!$I$33*Credit_Assumptions!$H$33))/SUMIFS(Curves!$C$8:$C$68,Curves!$A$8:$A$68,"&lt;="&amp;60),0)</f>
        <v/>
      </c>
    </row>
    <row r="11">
      <c r="A11" s="34" t="inlineStr">
        <is>
          <t>180+ default exposure / due</t>
        </is>
      </c>
      <c r="B11" s="81">
        <f>IFERROR(((SUMIFS(Curves!$M$8:$M$68,Curves!$A$8:$A$68,"&lt;="&amp;MAX(0,MIN(MIN(3,Products!$C$16),3-7+1)))+MAX(0,MIN(3,Products!$C$16)-MAX(0,MIN(MIN(3,Products!$C$16),3-7+1)))*Products!$C$33*(1-INDEX(Curves!$B$8:$B$68,MAX(0,MIN(MIN(3,Products!$C$16),3-7+1))+1)))+INDEX(Curves!$F$8:$F$68,3+1)*(Credit_Assumptions!$I$30*Credit_Assumptions!$F$30+Credit_Assumptions!$I$31*Credit_Assumptions!$F$31+Credit_Assumptions!$I$32*Credit_Assumptions!$F$32+Credit_Assumptions!$I$33*Credit_Assumptions!$F$33))/SUMIFS(Curves!$C$8:$C$68,Curves!$A$8:$A$68,"&lt;="&amp;3),0)</f>
        <v/>
      </c>
      <c r="C11" s="81">
        <f>IFERROR(((SUMIFS(Curves!$M$8:$M$68,Curves!$A$8:$A$68,"&lt;="&amp;MAX(0,MIN(MIN(6,Products!$C$16),6-7+1)))+MAX(0,MIN(6,Products!$C$16)-MAX(0,MIN(MIN(6,Products!$C$16),6-7+1)))*Products!$C$33*(1-INDEX(Curves!$B$8:$B$68,MAX(0,MIN(MIN(6,Products!$C$16),6-7+1))+1)))+INDEX(Curves!$F$8:$F$68,6+1)*(Credit_Assumptions!$I$30*Credit_Assumptions!$F$30+Credit_Assumptions!$I$31*Credit_Assumptions!$F$31+Credit_Assumptions!$I$32*Credit_Assumptions!$F$32+Credit_Assumptions!$I$33*Credit_Assumptions!$F$33))/SUMIFS(Curves!$C$8:$C$68,Curves!$A$8:$A$68,"&lt;="&amp;6),0)</f>
        <v/>
      </c>
      <c r="D11" s="81">
        <f>IFERROR(((SUMIFS(Curves!$M$8:$M$68,Curves!$A$8:$A$68,"&lt;="&amp;MAX(0,MIN(MIN(12,Products!$C$16),12-7+1)))+MAX(0,MIN(12,Products!$C$16)-MAX(0,MIN(MIN(12,Products!$C$16),12-7+1)))*Products!$C$33*(1-INDEX(Curves!$B$8:$B$68,MAX(0,MIN(MIN(12,Products!$C$16),12-7+1))+1)))+INDEX(Curves!$F$8:$F$68,12+1)*(Credit_Assumptions!$I$30*Credit_Assumptions!$F$30+Credit_Assumptions!$I$31*Credit_Assumptions!$F$31+Credit_Assumptions!$I$32*Credit_Assumptions!$F$32+Credit_Assumptions!$I$33*Credit_Assumptions!$F$33))/SUMIFS(Curves!$C$8:$C$68,Curves!$A$8:$A$68,"&lt;="&amp;12),0)</f>
        <v/>
      </c>
      <c r="E11" s="81">
        <f>IFERROR(((SUMIFS(Curves!$M$8:$M$68,Curves!$A$8:$A$68,"&lt;="&amp;MAX(0,MIN(MIN(18,Products!$C$16),18-7+1)))+MAX(0,MIN(18,Products!$C$16)-MAX(0,MIN(MIN(18,Products!$C$16),18-7+1)))*Products!$C$33*(1-INDEX(Curves!$B$8:$B$68,MAX(0,MIN(MIN(18,Products!$C$16),18-7+1))+1)))+INDEX(Curves!$F$8:$F$68,18+1)*(Credit_Assumptions!$I$30*Credit_Assumptions!$F$30+Credit_Assumptions!$I$31*Credit_Assumptions!$F$31+Credit_Assumptions!$I$32*Credit_Assumptions!$F$32+Credit_Assumptions!$I$33*Credit_Assumptions!$F$33))/SUMIFS(Curves!$C$8:$C$68,Curves!$A$8:$A$68,"&lt;="&amp;18),0)</f>
        <v/>
      </c>
      <c r="F11" s="81">
        <f>IFERROR(((SUMIFS(Curves!$M$8:$M$68,Curves!$A$8:$A$68,"&lt;="&amp;MAX(0,MIN(MIN(24,Products!$C$16),24-7+1)))+MAX(0,MIN(24,Products!$C$16)-MAX(0,MIN(MIN(24,Products!$C$16),24-7+1)))*Products!$C$33*(1-INDEX(Curves!$B$8:$B$68,MAX(0,MIN(MIN(24,Products!$C$16),24-7+1))+1)))+INDEX(Curves!$F$8:$F$68,24+1)*(Credit_Assumptions!$I$30*Credit_Assumptions!$F$30+Credit_Assumptions!$I$31*Credit_Assumptions!$F$31+Credit_Assumptions!$I$32*Credit_Assumptions!$F$32+Credit_Assumptions!$I$33*Credit_Assumptions!$F$33))/SUMIFS(Curves!$C$8:$C$68,Curves!$A$8:$A$68,"&lt;="&amp;24),0)</f>
        <v/>
      </c>
      <c r="G11" s="81">
        <f>IFERROR(((SUMIFS(Curves!$M$8:$M$68,Curves!$A$8:$A$68,"&lt;="&amp;MAX(0,MIN(MIN(36,Products!$C$16),36-7+1)))+MAX(0,MIN(36,Products!$C$16)-MAX(0,MIN(MIN(36,Products!$C$16),36-7+1)))*Products!$C$33*(1-INDEX(Curves!$B$8:$B$68,MAX(0,MIN(MIN(36,Products!$C$16),36-7+1))+1)))+INDEX(Curves!$F$8:$F$68,36+1)*(Credit_Assumptions!$I$30*Credit_Assumptions!$F$30+Credit_Assumptions!$I$31*Credit_Assumptions!$F$31+Credit_Assumptions!$I$32*Credit_Assumptions!$F$32+Credit_Assumptions!$I$33*Credit_Assumptions!$F$33))/SUMIFS(Curves!$C$8:$C$68,Curves!$A$8:$A$68,"&lt;="&amp;36),0)</f>
        <v/>
      </c>
      <c r="H11" s="81">
        <f>IFERROR(((SUMIFS(Curves!$M$8:$M$68,Curves!$A$8:$A$68,"&lt;="&amp;MAX(0,MIN(MIN(48,Products!$C$16),48-7+1)))+MAX(0,MIN(48,Products!$C$16)-MAX(0,MIN(MIN(48,Products!$C$16),48-7+1)))*Products!$C$33*(1-INDEX(Curves!$B$8:$B$68,MAX(0,MIN(MIN(48,Products!$C$16),48-7+1))+1)))+INDEX(Curves!$F$8:$F$68,48+1)*(Credit_Assumptions!$I$30*Credit_Assumptions!$F$30+Credit_Assumptions!$I$31*Credit_Assumptions!$F$31+Credit_Assumptions!$I$32*Credit_Assumptions!$F$32+Credit_Assumptions!$I$33*Credit_Assumptions!$F$33))/SUMIFS(Curves!$C$8:$C$68,Curves!$A$8:$A$68,"&lt;="&amp;48),0)</f>
        <v/>
      </c>
      <c r="I11" s="81">
        <f>IFERROR(((SUMIFS(Curves!$M$8:$M$68,Curves!$A$8:$A$68,"&lt;="&amp;MAX(0,MIN(MIN(60,Products!$C$16),60-7+1)))+MAX(0,MIN(60,Products!$C$16)-MAX(0,MIN(MIN(60,Products!$C$16),60-7+1)))*Products!$C$33*(1-INDEX(Curves!$B$8:$B$68,MAX(0,MIN(MIN(60,Products!$C$16),60-7+1))+1)))+INDEX(Curves!$F$8:$F$68,60+1)*(Credit_Assumptions!$I$30*Credit_Assumptions!$F$30+Credit_Assumptions!$I$31*Credit_Assumptions!$F$31+Credit_Assumptions!$I$32*Credit_Assumptions!$F$32+Credit_Assumptions!$I$33*Credit_Assumptions!$F$33))/SUMIFS(Curves!$C$8:$C$68,Curves!$A$8:$A$68,"&lt;="&amp;60),0)</f>
        <v/>
      </c>
    </row>
    <row r="12">
      <c r="A12" s="34" t="inlineStr">
        <is>
          <t>Recovery / default</t>
        </is>
      </c>
      <c r="B12" s="81">
        <f>IFERROR(SUMIFS(Curves!$I$8:$I$68,Curves!$A$8:$A$68,"&lt;="&amp;3)/SUMIFS(Curves!$E$8:$E$68,Curves!$A$8:$A$68,"&lt;="&amp;3),0)</f>
        <v/>
      </c>
      <c r="C12" s="81">
        <f>IFERROR(SUMIFS(Curves!$I$8:$I$68,Curves!$A$8:$A$68,"&lt;="&amp;6)/SUMIFS(Curves!$E$8:$E$68,Curves!$A$8:$A$68,"&lt;="&amp;6),0)</f>
        <v/>
      </c>
      <c r="D12" s="81">
        <f>IFERROR(SUMIFS(Curves!$I$8:$I$68,Curves!$A$8:$A$68,"&lt;="&amp;12)/SUMIFS(Curves!$E$8:$E$68,Curves!$A$8:$A$68,"&lt;="&amp;12),0)</f>
        <v/>
      </c>
      <c r="E12" s="81">
        <f>IFERROR(SUMIFS(Curves!$I$8:$I$68,Curves!$A$8:$A$68,"&lt;="&amp;18)/SUMIFS(Curves!$E$8:$E$68,Curves!$A$8:$A$68,"&lt;="&amp;18),0)</f>
        <v/>
      </c>
      <c r="F12" s="81">
        <f>IFERROR(SUMIFS(Curves!$I$8:$I$68,Curves!$A$8:$A$68,"&lt;="&amp;24)/SUMIFS(Curves!$E$8:$E$68,Curves!$A$8:$A$68,"&lt;="&amp;24),0)</f>
        <v/>
      </c>
      <c r="G12" s="81">
        <f>IFERROR(SUMIFS(Curves!$I$8:$I$68,Curves!$A$8:$A$68,"&lt;="&amp;36)/SUMIFS(Curves!$E$8:$E$68,Curves!$A$8:$A$68,"&lt;="&amp;36),0)</f>
        <v/>
      </c>
      <c r="H12" s="81">
        <f>IFERROR(SUMIFS(Curves!$I$8:$I$68,Curves!$A$8:$A$68,"&lt;="&amp;48)/SUMIFS(Curves!$E$8:$E$68,Curves!$A$8:$A$68,"&lt;="&amp;48),0)</f>
        <v/>
      </c>
      <c r="I12" s="81">
        <f>IFERROR(SUMIFS(Curves!$I$8:$I$68,Curves!$A$8:$A$68,"&lt;="&amp;60)/SUMIFS(Curves!$E$8:$E$68,Curves!$A$8:$A$68,"&lt;="&amp;60),0)</f>
        <v/>
      </c>
    </row>
    <row r="13">
      <c r="A13" s="34" t="inlineStr">
        <is>
          <t>Active account share</t>
        </is>
      </c>
      <c r="B13" s="81">
        <f>INDEX(Curves!$G$8:$G$68,3+1)</f>
        <v/>
      </c>
      <c r="C13" s="81">
        <f>INDEX(Curves!$G$8:$G$68,6+1)</f>
        <v/>
      </c>
      <c r="D13" s="81">
        <f>INDEX(Curves!$G$8:$G$68,12+1)</f>
        <v/>
      </c>
      <c r="E13" s="81">
        <f>INDEX(Curves!$G$8:$G$68,18+1)</f>
        <v/>
      </c>
      <c r="F13" s="81">
        <f>INDEX(Curves!$G$8:$G$68,24+1)</f>
        <v/>
      </c>
      <c r="G13" s="81">
        <f>INDEX(Curves!$G$8:$G$68,36+1)</f>
        <v/>
      </c>
      <c r="H13" s="81">
        <f>INDEX(Curves!$G$8:$G$68,48+1)</f>
        <v/>
      </c>
      <c r="I13" s="81">
        <f>INDEX(Curves!$G$8:$G$68,60+1)</f>
        <v/>
      </c>
    </row>
    <row r="14">
      <c r="A14" s="34" t="inlineStr">
        <is>
          <t>Cumulative contribution per unit (LCY)</t>
        </is>
      </c>
      <c r="B14" s="80">
        <f>INDEX(Curves!$L$8:$L$68,3+1)</f>
        <v/>
      </c>
      <c r="C14" s="80">
        <f>INDEX(Curves!$L$8:$L$68,6+1)</f>
        <v/>
      </c>
      <c r="D14" s="80">
        <f>INDEX(Curves!$L$8:$L$68,12+1)</f>
        <v/>
      </c>
      <c r="E14" s="80">
        <f>INDEX(Curves!$L$8:$L$68,18+1)</f>
        <v/>
      </c>
      <c r="F14" s="80">
        <f>INDEX(Curves!$L$8:$L$68,24+1)</f>
        <v/>
      </c>
      <c r="G14" s="80">
        <f>INDEX(Curves!$L$8:$L$68,36+1)</f>
        <v/>
      </c>
      <c r="H14" s="80">
        <f>INDEX(Curves!$L$8:$L$68,48+1)</f>
        <v/>
      </c>
      <c r="I14" s="80">
        <f>INDEX(Curves!$L$8:$L$68,60+1)</f>
        <v/>
      </c>
    </row>
    <row r="15"/>
    <row r="16">
      <c r="A16" s="111" t="inlineStr">
        <is>
          <t>Tier 2: SHS with TV</t>
        </is>
      </c>
    </row>
    <row r="17">
      <c r="A17" s="40" t="inlineStr">
        <is>
          <t>KPI</t>
        </is>
      </c>
      <c r="B17" s="40" t="inlineStr">
        <is>
          <t>M3</t>
        </is>
      </c>
      <c r="C17" s="40" t="inlineStr">
        <is>
          <t>M6</t>
        </is>
      </c>
      <c r="D17" s="40" t="inlineStr">
        <is>
          <t>M12</t>
        </is>
      </c>
      <c r="E17" s="40" t="inlineStr">
        <is>
          <t>M18</t>
        </is>
      </c>
      <c r="F17" s="40" t="inlineStr">
        <is>
          <t>M24</t>
        </is>
      </c>
      <c r="G17" s="40" t="inlineStr">
        <is>
          <t>M36</t>
        </is>
      </c>
      <c r="H17" s="40" t="inlineStr">
        <is>
          <t>M48</t>
        </is>
      </c>
      <c r="I17" s="40" t="inlineStr">
        <is>
          <t>M60</t>
        </is>
      </c>
    </row>
    <row r="18">
      <c r="A18" s="34" t="inlineStr">
        <is>
          <t>Cohort repayment ratio (not PERFORM)</t>
        </is>
      </c>
      <c r="B18" s="81">
        <f>IFERROR(SUMIFS(Curves!$Q$8:$Q$68,Curves!$A$8:$A$68,"&lt;="&amp;3)/SUMIFS(Curves!$P$8:$P$68,Curves!$A$8:$A$68,"&lt;="&amp;3),0)</f>
        <v/>
      </c>
      <c r="C18" s="81">
        <f>IFERROR(SUMIFS(Curves!$Q$8:$Q$68,Curves!$A$8:$A$68,"&lt;="&amp;6)/SUMIFS(Curves!$P$8:$P$68,Curves!$A$8:$A$68,"&lt;="&amp;6),0)</f>
        <v/>
      </c>
      <c r="D18" s="81">
        <f>IFERROR(SUMIFS(Curves!$Q$8:$Q$68,Curves!$A$8:$A$68,"&lt;="&amp;12)/SUMIFS(Curves!$P$8:$P$68,Curves!$A$8:$A$68,"&lt;="&amp;12),0)</f>
        <v/>
      </c>
      <c r="E18" s="81">
        <f>IFERROR(SUMIFS(Curves!$Q$8:$Q$68,Curves!$A$8:$A$68,"&lt;="&amp;18)/SUMIFS(Curves!$P$8:$P$68,Curves!$A$8:$A$68,"&lt;="&amp;18),0)</f>
        <v/>
      </c>
      <c r="F18" s="81">
        <f>IFERROR(SUMIFS(Curves!$Q$8:$Q$68,Curves!$A$8:$A$68,"&lt;="&amp;24)/SUMIFS(Curves!$P$8:$P$68,Curves!$A$8:$A$68,"&lt;="&amp;24),0)</f>
        <v/>
      </c>
      <c r="G18" s="81">
        <f>IFERROR(SUMIFS(Curves!$Q$8:$Q$68,Curves!$A$8:$A$68,"&lt;="&amp;36)/SUMIFS(Curves!$P$8:$P$68,Curves!$A$8:$A$68,"&lt;="&amp;36),0)</f>
        <v/>
      </c>
      <c r="H18" s="81">
        <f>IFERROR(SUMIFS(Curves!$Q$8:$Q$68,Curves!$A$8:$A$68,"&lt;="&amp;48)/SUMIFS(Curves!$P$8:$P$68,Curves!$A$8:$A$68,"&lt;="&amp;48),0)</f>
        <v/>
      </c>
      <c r="I18" s="81">
        <f>IFERROR(SUMIFS(Curves!$Q$8:$Q$68,Curves!$A$8:$A$68,"&lt;="&amp;60)/SUMIFS(Curves!$P$8:$P$68,Curves!$A$8:$A$68,"&lt;="&amp;60),0)</f>
        <v/>
      </c>
    </row>
    <row r="19">
      <c r="A19" s="34" t="inlineStr">
        <is>
          <t>30+ DPD exposure / due</t>
        </is>
      </c>
      <c r="B19" s="81">
        <f>IFERROR(((SUMIFS(Curves!$Z$8:$Z$68,Curves!$A$8:$A$68,"&lt;="&amp;MAX(0,MIN(MIN(3,Products!$D$16),3-2+1)))+MAX(0,MIN(3,Products!$D$16)-MAX(0,MIN(MIN(3,Products!$D$16),3-2+1)))*Products!$D$33*(1-INDEX(Curves!$O$8:$O$68,MAX(0,MIN(MIN(3,Products!$D$16),3-2+1))+1)))+INDEX(Curves!$S$8:$S$68,3+1)*(Credit_Assumptions!$I$30*Credit_Assumptions!$G$30+Credit_Assumptions!$I$31*Credit_Assumptions!$G$31+Credit_Assumptions!$I$32*Credit_Assumptions!$G$32+Credit_Assumptions!$I$33*Credit_Assumptions!$G$33))/SUMIFS(Curves!$P$8:$P$68,Curves!$A$8:$A$68,"&lt;="&amp;3),0)</f>
        <v/>
      </c>
      <c r="C19" s="81">
        <f>IFERROR(((SUMIFS(Curves!$Z$8:$Z$68,Curves!$A$8:$A$68,"&lt;="&amp;MAX(0,MIN(MIN(6,Products!$D$16),6-2+1)))+MAX(0,MIN(6,Products!$D$16)-MAX(0,MIN(MIN(6,Products!$D$16),6-2+1)))*Products!$D$33*(1-INDEX(Curves!$O$8:$O$68,MAX(0,MIN(MIN(6,Products!$D$16),6-2+1))+1)))+INDEX(Curves!$S$8:$S$68,6+1)*(Credit_Assumptions!$I$30*Credit_Assumptions!$G$30+Credit_Assumptions!$I$31*Credit_Assumptions!$G$31+Credit_Assumptions!$I$32*Credit_Assumptions!$G$32+Credit_Assumptions!$I$33*Credit_Assumptions!$G$33))/SUMIFS(Curves!$P$8:$P$68,Curves!$A$8:$A$68,"&lt;="&amp;6),0)</f>
        <v/>
      </c>
      <c r="D19" s="81">
        <f>IFERROR(((SUMIFS(Curves!$Z$8:$Z$68,Curves!$A$8:$A$68,"&lt;="&amp;MAX(0,MIN(MIN(12,Products!$D$16),12-2+1)))+MAX(0,MIN(12,Products!$D$16)-MAX(0,MIN(MIN(12,Products!$D$16),12-2+1)))*Products!$D$33*(1-INDEX(Curves!$O$8:$O$68,MAX(0,MIN(MIN(12,Products!$D$16),12-2+1))+1)))+INDEX(Curves!$S$8:$S$68,12+1)*(Credit_Assumptions!$I$30*Credit_Assumptions!$G$30+Credit_Assumptions!$I$31*Credit_Assumptions!$G$31+Credit_Assumptions!$I$32*Credit_Assumptions!$G$32+Credit_Assumptions!$I$33*Credit_Assumptions!$G$33))/SUMIFS(Curves!$P$8:$P$68,Curves!$A$8:$A$68,"&lt;="&amp;12),0)</f>
        <v/>
      </c>
      <c r="E19" s="81">
        <f>IFERROR(((SUMIFS(Curves!$Z$8:$Z$68,Curves!$A$8:$A$68,"&lt;="&amp;MAX(0,MIN(MIN(18,Products!$D$16),18-2+1)))+MAX(0,MIN(18,Products!$D$16)-MAX(0,MIN(MIN(18,Products!$D$16),18-2+1)))*Products!$D$33*(1-INDEX(Curves!$O$8:$O$68,MAX(0,MIN(MIN(18,Products!$D$16),18-2+1))+1)))+INDEX(Curves!$S$8:$S$68,18+1)*(Credit_Assumptions!$I$30*Credit_Assumptions!$G$30+Credit_Assumptions!$I$31*Credit_Assumptions!$G$31+Credit_Assumptions!$I$32*Credit_Assumptions!$G$32+Credit_Assumptions!$I$33*Credit_Assumptions!$G$33))/SUMIFS(Curves!$P$8:$P$68,Curves!$A$8:$A$68,"&lt;="&amp;18),0)</f>
        <v/>
      </c>
      <c r="F19" s="81">
        <f>IFERROR(((SUMIFS(Curves!$Z$8:$Z$68,Curves!$A$8:$A$68,"&lt;="&amp;MAX(0,MIN(MIN(24,Products!$D$16),24-2+1)))+MAX(0,MIN(24,Products!$D$16)-MAX(0,MIN(MIN(24,Products!$D$16),24-2+1)))*Products!$D$33*(1-INDEX(Curves!$O$8:$O$68,MAX(0,MIN(MIN(24,Products!$D$16),24-2+1))+1)))+INDEX(Curves!$S$8:$S$68,24+1)*(Credit_Assumptions!$I$30*Credit_Assumptions!$G$30+Credit_Assumptions!$I$31*Credit_Assumptions!$G$31+Credit_Assumptions!$I$32*Credit_Assumptions!$G$32+Credit_Assumptions!$I$33*Credit_Assumptions!$G$33))/SUMIFS(Curves!$P$8:$P$68,Curves!$A$8:$A$68,"&lt;="&amp;24),0)</f>
        <v/>
      </c>
      <c r="G19" s="81">
        <f>IFERROR(((SUMIFS(Curves!$Z$8:$Z$68,Curves!$A$8:$A$68,"&lt;="&amp;MAX(0,MIN(MIN(36,Products!$D$16),36-2+1)))+MAX(0,MIN(36,Products!$D$16)-MAX(0,MIN(MIN(36,Products!$D$16),36-2+1)))*Products!$D$33*(1-INDEX(Curves!$O$8:$O$68,MAX(0,MIN(MIN(36,Products!$D$16),36-2+1))+1)))+INDEX(Curves!$S$8:$S$68,36+1)*(Credit_Assumptions!$I$30*Credit_Assumptions!$G$30+Credit_Assumptions!$I$31*Credit_Assumptions!$G$31+Credit_Assumptions!$I$32*Credit_Assumptions!$G$32+Credit_Assumptions!$I$33*Credit_Assumptions!$G$33))/SUMIFS(Curves!$P$8:$P$68,Curves!$A$8:$A$68,"&lt;="&amp;36),0)</f>
        <v/>
      </c>
      <c r="H19" s="81">
        <f>IFERROR(((SUMIFS(Curves!$Z$8:$Z$68,Curves!$A$8:$A$68,"&lt;="&amp;MAX(0,MIN(MIN(48,Products!$D$16),48-2+1)))+MAX(0,MIN(48,Products!$D$16)-MAX(0,MIN(MIN(48,Products!$D$16),48-2+1)))*Products!$D$33*(1-INDEX(Curves!$O$8:$O$68,MAX(0,MIN(MIN(48,Products!$D$16),48-2+1))+1)))+INDEX(Curves!$S$8:$S$68,48+1)*(Credit_Assumptions!$I$30*Credit_Assumptions!$G$30+Credit_Assumptions!$I$31*Credit_Assumptions!$G$31+Credit_Assumptions!$I$32*Credit_Assumptions!$G$32+Credit_Assumptions!$I$33*Credit_Assumptions!$G$33))/SUMIFS(Curves!$P$8:$P$68,Curves!$A$8:$A$68,"&lt;="&amp;48),0)</f>
        <v/>
      </c>
      <c r="I19" s="81">
        <f>IFERROR(((SUMIFS(Curves!$Z$8:$Z$68,Curves!$A$8:$A$68,"&lt;="&amp;MAX(0,MIN(MIN(60,Products!$D$16),60-2+1)))+MAX(0,MIN(60,Products!$D$16)-MAX(0,MIN(MIN(60,Products!$D$16),60-2+1)))*Products!$D$33*(1-INDEX(Curves!$O$8:$O$68,MAX(0,MIN(MIN(60,Products!$D$16),60-2+1))+1)))+INDEX(Curves!$S$8:$S$68,60+1)*(Credit_Assumptions!$I$30*Credit_Assumptions!$G$30+Credit_Assumptions!$I$31*Credit_Assumptions!$G$31+Credit_Assumptions!$I$32*Credit_Assumptions!$G$32+Credit_Assumptions!$I$33*Credit_Assumptions!$G$33))/SUMIFS(Curves!$P$8:$P$68,Curves!$A$8:$A$68,"&lt;="&amp;60),0)</f>
        <v/>
      </c>
    </row>
    <row r="20">
      <c r="A20" s="34" t="inlineStr">
        <is>
          <t>90+ DPD exposure / due</t>
        </is>
      </c>
      <c r="B20" s="81">
        <f>IFERROR(((SUMIFS(Curves!$Z$8:$Z$68,Curves!$A$8:$A$68,"&lt;="&amp;MAX(0,MIN(MIN(3,Products!$D$16),3-4+1)))+MAX(0,MIN(3,Products!$D$16)-MAX(0,MIN(MIN(3,Products!$D$16),3-4+1)))*Products!$D$33*(1-INDEX(Curves!$O$8:$O$68,MAX(0,MIN(MIN(3,Products!$D$16),3-4+1))+1)))+INDEX(Curves!$S$8:$S$68,3+1)*(Credit_Assumptions!$I$30*Credit_Assumptions!$H$30+Credit_Assumptions!$I$31*Credit_Assumptions!$H$31+Credit_Assumptions!$I$32*Credit_Assumptions!$H$32+Credit_Assumptions!$I$33*Credit_Assumptions!$H$33))/SUMIFS(Curves!$P$8:$P$68,Curves!$A$8:$A$68,"&lt;="&amp;3),0)</f>
        <v/>
      </c>
      <c r="C20" s="81">
        <f>IFERROR(((SUMIFS(Curves!$Z$8:$Z$68,Curves!$A$8:$A$68,"&lt;="&amp;MAX(0,MIN(MIN(6,Products!$D$16),6-4+1)))+MAX(0,MIN(6,Products!$D$16)-MAX(0,MIN(MIN(6,Products!$D$16),6-4+1)))*Products!$D$33*(1-INDEX(Curves!$O$8:$O$68,MAX(0,MIN(MIN(6,Products!$D$16),6-4+1))+1)))+INDEX(Curves!$S$8:$S$68,6+1)*(Credit_Assumptions!$I$30*Credit_Assumptions!$H$30+Credit_Assumptions!$I$31*Credit_Assumptions!$H$31+Credit_Assumptions!$I$32*Credit_Assumptions!$H$32+Credit_Assumptions!$I$33*Credit_Assumptions!$H$33))/SUMIFS(Curves!$P$8:$P$68,Curves!$A$8:$A$68,"&lt;="&amp;6),0)</f>
        <v/>
      </c>
      <c r="D20" s="81">
        <f>IFERROR(((SUMIFS(Curves!$Z$8:$Z$68,Curves!$A$8:$A$68,"&lt;="&amp;MAX(0,MIN(MIN(12,Products!$D$16),12-4+1)))+MAX(0,MIN(12,Products!$D$16)-MAX(0,MIN(MIN(12,Products!$D$16),12-4+1)))*Products!$D$33*(1-INDEX(Curves!$O$8:$O$68,MAX(0,MIN(MIN(12,Products!$D$16),12-4+1))+1)))+INDEX(Curves!$S$8:$S$68,12+1)*(Credit_Assumptions!$I$30*Credit_Assumptions!$H$30+Credit_Assumptions!$I$31*Credit_Assumptions!$H$31+Credit_Assumptions!$I$32*Credit_Assumptions!$H$32+Credit_Assumptions!$I$33*Credit_Assumptions!$H$33))/SUMIFS(Curves!$P$8:$P$68,Curves!$A$8:$A$68,"&lt;="&amp;12),0)</f>
        <v/>
      </c>
      <c r="E20" s="81">
        <f>IFERROR(((SUMIFS(Curves!$Z$8:$Z$68,Curves!$A$8:$A$68,"&lt;="&amp;MAX(0,MIN(MIN(18,Products!$D$16),18-4+1)))+MAX(0,MIN(18,Products!$D$16)-MAX(0,MIN(MIN(18,Products!$D$16),18-4+1)))*Products!$D$33*(1-INDEX(Curves!$O$8:$O$68,MAX(0,MIN(MIN(18,Products!$D$16),18-4+1))+1)))+INDEX(Curves!$S$8:$S$68,18+1)*(Credit_Assumptions!$I$30*Credit_Assumptions!$H$30+Credit_Assumptions!$I$31*Credit_Assumptions!$H$31+Credit_Assumptions!$I$32*Credit_Assumptions!$H$32+Credit_Assumptions!$I$33*Credit_Assumptions!$H$33))/SUMIFS(Curves!$P$8:$P$68,Curves!$A$8:$A$68,"&lt;="&amp;18),0)</f>
        <v/>
      </c>
      <c r="F20" s="81">
        <f>IFERROR(((SUMIFS(Curves!$Z$8:$Z$68,Curves!$A$8:$A$68,"&lt;="&amp;MAX(0,MIN(MIN(24,Products!$D$16),24-4+1)))+MAX(0,MIN(24,Products!$D$16)-MAX(0,MIN(MIN(24,Products!$D$16),24-4+1)))*Products!$D$33*(1-INDEX(Curves!$O$8:$O$68,MAX(0,MIN(MIN(24,Products!$D$16),24-4+1))+1)))+INDEX(Curves!$S$8:$S$68,24+1)*(Credit_Assumptions!$I$30*Credit_Assumptions!$H$30+Credit_Assumptions!$I$31*Credit_Assumptions!$H$31+Credit_Assumptions!$I$32*Credit_Assumptions!$H$32+Credit_Assumptions!$I$33*Credit_Assumptions!$H$33))/SUMIFS(Curves!$P$8:$P$68,Curves!$A$8:$A$68,"&lt;="&amp;24),0)</f>
        <v/>
      </c>
      <c r="G20" s="81">
        <f>IFERROR(((SUMIFS(Curves!$Z$8:$Z$68,Curves!$A$8:$A$68,"&lt;="&amp;MAX(0,MIN(MIN(36,Products!$D$16),36-4+1)))+MAX(0,MIN(36,Products!$D$16)-MAX(0,MIN(MIN(36,Products!$D$16),36-4+1)))*Products!$D$33*(1-INDEX(Curves!$O$8:$O$68,MAX(0,MIN(MIN(36,Products!$D$16),36-4+1))+1)))+INDEX(Curves!$S$8:$S$68,36+1)*(Credit_Assumptions!$I$30*Credit_Assumptions!$H$30+Credit_Assumptions!$I$31*Credit_Assumptions!$H$31+Credit_Assumptions!$I$32*Credit_Assumptions!$H$32+Credit_Assumptions!$I$33*Credit_Assumptions!$H$33))/SUMIFS(Curves!$P$8:$P$68,Curves!$A$8:$A$68,"&lt;="&amp;36),0)</f>
        <v/>
      </c>
      <c r="H20" s="81">
        <f>IFERROR(((SUMIFS(Curves!$Z$8:$Z$68,Curves!$A$8:$A$68,"&lt;="&amp;MAX(0,MIN(MIN(48,Products!$D$16),48-4+1)))+MAX(0,MIN(48,Products!$D$16)-MAX(0,MIN(MIN(48,Products!$D$16),48-4+1)))*Products!$D$33*(1-INDEX(Curves!$O$8:$O$68,MAX(0,MIN(MIN(48,Products!$D$16),48-4+1))+1)))+INDEX(Curves!$S$8:$S$68,48+1)*(Credit_Assumptions!$I$30*Credit_Assumptions!$H$30+Credit_Assumptions!$I$31*Credit_Assumptions!$H$31+Credit_Assumptions!$I$32*Credit_Assumptions!$H$32+Credit_Assumptions!$I$33*Credit_Assumptions!$H$33))/SUMIFS(Curves!$P$8:$P$68,Curves!$A$8:$A$68,"&lt;="&amp;48),0)</f>
        <v/>
      </c>
      <c r="I20" s="81">
        <f>IFERROR(((SUMIFS(Curves!$Z$8:$Z$68,Curves!$A$8:$A$68,"&lt;="&amp;MAX(0,MIN(MIN(60,Products!$D$16),60-4+1)))+MAX(0,MIN(60,Products!$D$16)-MAX(0,MIN(MIN(60,Products!$D$16),60-4+1)))*Products!$D$33*(1-INDEX(Curves!$O$8:$O$68,MAX(0,MIN(MIN(60,Products!$D$16),60-4+1))+1)))+INDEX(Curves!$S$8:$S$68,60+1)*(Credit_Assumptions!$I$30*Credit_Assumptions!$H$30+Credit_Assumptions!$I$31*Credit_Assumptions!$H$31+Credit_Assumptions!$I$32*Credit_Assumptions!$H$32+Credit_Assumptions!$I$33*Credit_Assumptions!$H$33))/SUMIFS(Curves!$P$8:$P$68,Curves!$A$8:$A$68,"&lt;="&amp;60),0)</f>
        <v/>
      </c>
    </row>
    <row r="21">
      <c r="A21" s="34" t="inlineStr">
        <is>
          <t>180+ default exposure / due</t>
        </is>
      </c>
      <c r="B21" s="81">
        <f>IFERROR(((SUMIFS(Curves!$Z$8:$Z$68,Curves!$A$8:$A$68,"&lt;="&amp;MAX(0,MIN(MIN(3,Products!$D$16),3-7+1)))+MAX(0,MIN(3,Products!$D$16)-MAX(0,MIN(MIN(3,Products!$D$16),3-7+1)))*Products!$D$33*(1-INDEX(Curves!$O$8:$O$68,MAX(0,MIN(MIN(3,Products!$D$16),3-7+1))+1)))+INDEX(Curves!$S$8:$S$68,3+1)*(Credit_Assumptions!$I$30*Credit_Assumptions!$F$30+Credit_Assumptions!$I$31*Credit_Assumptions!$F$31+Credit_Assumptions!$I$32*Credit_Assumptions!$F$32+Credit_Assumptions!$I$33*Credit_Assumptions!$F$33))/SUMIFS(Curves!$P$8:$P$68,Curves!$A$8:$A$68,"&lt;="&amp;3),0)</f>
        <v/>
      </c>
      <c r="C21" s="81">
        <f>IFERROR(((SUMIFS(Curves!$Z$8:$Z$68,Curves!$A$8:$A$68,"&lt;="&amp;MAX(0,MIN(MIN(6,Products!$D$16),6-7+1)))+MAX(0,MIN(6,Products!$D$16)-MAX(0,MIN(MIN(6,Products!$D$16),6-7+1)))*Products!$D$33*(1-INDEX(Curves!$O$8:$O$68,MAX(0,MIN(MIN(6,Products!$D$16),6-7+1))+1)))+INDEX(Curves!$S$8:$S$68,6+1)*(Credit_Assumptions!$I$30*Credit_Assumptions!$F$30+Credit_Assumptions!$I$31*Credit_Assumptions!$F$31+Credit_Assumptions!$I$32*Credit_Assumptions!$F$32+Credit_Assumptions!$I$33*Credit_Assumptions!$F$33))/SUMIFS(Curves!$P$8:$P$68,Curves!$A$8:$A$68,"&lt;="&amp;6),0)</f>
        <v/>
      </c>
      <c r="D21" s="81">
        <f>IFERROR(((SUMIFS(Curves!$Z$8:$Z$68,Curves!$A$8:$A$68,"&lt;="&amp;MAX(0,MIN(MIN(12,Products!$D$16),12-7+1)))+MAX(0,MIN(12,Products!$D$16)-MAX(0,MIN(MIN(12,Products!$D$16),12-7+1)))*Products!$D$33*(1-INDEX(Curves!$O$8:$O$68,MAX(0,MIN(MIN(12,Products!$D$16),12-7+1))+1)))+INDEX(Curves!$S$8:$S$68,12+1)*(Credit_Assumptions!$I$30*Credit_Assumptions!$F$30+Credit_Assumptions!$I$31*Credit_Assumptions!$F$31+Credit_Assumptions!$I$32*Credit_Assumptions!$F$32+Credit_Assumptions!$I$33*Credit_Assumptions!$F$33))/SUMIFS(Curves!$P$8:$P$68,Curves!$A$8:$A$68,"&lt;="&amp;12),0)</f>
        <v/>
      </c>
      <c r="E21" s="81">
        <f>IFERROR(((SUMIFS(Curves!$Z$8:$Z$68,Curves!$A$8:$A$68,"&lt;="&amp;MAX(0,MIN(MIN(18,Products!$D$16),18-7+1)))+MAX(0,MIN(18,Products!$D$16)-MAX(0,MIN(MIN(18,Products!$D$16),18-7+1)))*Products!$D$33*(1-INDEX(Curves!$O$8:$O$68,MAX(0,MIN(MIN(18,Products!$D$16),18-7+1))+1)))+INDEX(Curves!$S$8:$S$68,18+1)*(Credit_Assumptions!$I$30*Credit_Assumptions!$F$30+Credit_Assumptions!$I$31*Credit_Assumptions!$F$31+Credit_Assumptions!$I$32*Credit_Assumptions!$F$32+Credit_Assumptions!$I$33*Credit_Assumptions!$F$33))/SUMIFS(Curves!$P$8:$P$68,Curves!$A$8:$A$68,"&lt;="&amp;18),0)</f>
        <v/>
      </c>
      <c r="F21" s="81">
        <f>IFERROR(((SUMIFS(Curves!$Z$8:$Z$68,Curves!$A$8:$A$68,"&lt;="&amp;MAX(0,MIN(MIN(24,Products!$D$16),24-7+1)))+MAX(0,MIN(24,Products!$D$16)-MAX(0,MIN(MIN(24,Products!$D$16),24-7+1)))*Products!$D$33*(1-INDEX(Curves!$O$8:$O$68,MAX(0,MIN(MIN(24,Products!$D$16),24-7+1))+1)))+INDEX(Curves!$S$8:$S$68,24+1)*(Credit_Assumptions!$I$30*Credit_Assumptions!$F$30+Credit_Assumptions!$I$31*Credit_Assumptions!$F$31+Credit_Assumptions!$I$32*Credit_Assumptions!$F$32+Credit_Assumptions!$I$33*Credit_Assumptions!$F$33))/SUMIFS(Curves!$P$8:$P$68,Curves!$A$8:$A$68,"&lt;="&amp;24),0)</f>
        <v/>
      </c>
      <c r="G21" s="81">
        <f>IFERROR(((SUMIFS(Curves!$Z$8:$Z$68,Curves!$A$8:$A$68,"&lt;="&amp;MAX(0,MIN(MIN(36,Products!$D$16),36-7+1)))+MAX(0,MIN(36,Products!$D$16)-MAX(0,MIN(MIN(36,Products!$D$16),36-7+1)))*Products!$D$33*(1-INDEX(Curves!$O$8:$O$68,MAX(0,MIN(MIN(36,Products!$D$16),36-7+1))+1)))+INDEX(Curves!$S$8:$S$68,36+1)*(Credit_Assumptions!$I$30*Credit_Assumptions!$F$30+Credit_Assumptions!$I$31*Credit_Assumptions!$F$31+Credit_Assumptions!$I$32*Credit_Assumptions!$F$32+Credit_Assumptions!$I$33*Credit_Assumptions!$F$33))/SUMIFS(Curves!$P$8:$P$68,Curves!$A$8:$A$68,"&lt;="&amp;36),0)</f>
        <v/>
      </c>
      <c r="H21" s="81">
        <f>IFERROR(((SUMIFS(Curves!$Z$8:$Z$68,Curves!$A$8:$A$68,"&lt;="&amp;MAX(0,MIN(MIN(48,Products!$D$16),48-7+1)))+MAX(0,MIN(48,Products!$D$16)-MAX(0,MIN(MIN(48,Products!$D$16),48-7+1)))*Products!$D$33*(1-INDEX(Curves!$O$8:$O$68,MAX(0,MIN(MIN(48,Products!$D$16),48-7+1))+1)))+INDEX(Curves!$S$8:$S$68,48+1)*(Credit_Assumptions!$I$30*Credit_Assumptions!$F$30+Credit_Assumptions!$I$31*Credit_Assumptions!$F$31+Credit_Assumptions!$I$32*Credit_Assumptions!$F$32+Credit_Assumptions!$I$33*Credit_Assumptions!$F$33))/SUMIFS(Curves!$P$8:$P$68,Curves!$A$8:$A$68,"&lt;="&amp;48),0)</f>
        <v/>
      </c>
      <c r="I21" s="81">
        <f>IFERROR(((SUMIFS(Curves!$Z$8:$Z$68,Curves!$A$8:$A$68,"&lt;="&amp;MAX(0,MIN(MIN(60,Products!$D$16),60-7+1)))+MAX(0,MIN(60,Products!$D$16)-MAX(0,MIN(MIN(60,Products!$D$16),60-7+1)))*Products!$D$33*(1-INDEX(Curves!$O$8:$O$68,MAX(0,MIN(MIN(60,Products!$D$16),60-7+1))+1)))+INDEX(Curves!$S$8:$S$68,60+1)*(Credit_Assumptions!$I$30*Credit_Assumptions!$F$30+Credit_Assumptions!$I$31*Credit_Assumptions!$F$31+Credit_Assumptions!$I$32*Credit_Assumptions!$F$32+Credit_Assumptions!$I$33*Credit_Assumptions!$F$33))/SUMIFS(Curves!$P$8:$P$68,Curves!$A$8:$A$68,"&lt;="&amp;60),0)</f>
        <v/>
      </c>
    </row>
    <row r="22">
      <c r="A22" s="34" t="inlineStr">
        <is>
          <t>Recovery / default</t>
        </is>
      </c>
      <c r="B22" s="81">
        <f>IFERROR(SUMIFS(Curves!$V$8:$V$68,Curves!$A$8:$A$68,"&lt;="&amp;3)/SUMIFS(Curves!$R$8:$R$68,Curves!$A$8:$A$68,"&lt;="&amp;3),0)</f>
        <v/>
      </c>
      <c r="C22" s="81">
        <f>IFERROR(SUMIFS(Curves!$V$8:$V$68,Curves!$A$8:$A$68,"&lt;="&amp;6)/SUMIFS(Curves!$R$8:$R$68,Curves!$A$8:$A$68,"&lt;="&amp;6),0)</f>
        <v/>
      </c>
      <c r="D22" s="81">
        <f>IFERROR(SUMIFS(Curves!$V$8:$V$68,Curves!$A$8:$A$68,"&lt;="&amp;12)/SUMIFS(Curves!$R$8:$R$68,Curves!$A$8:$A$68,"&lt;="&amp;12),0)</f>
        <v/>
      </c>
      <c r="E22" s="81">
        <f>IFERROR(SUMIFS(Curves!$V$8:$V$68,Curves!$A$8:$A$68,"&lt;="&amp;18)/SUMIFS(Curves!$R$8:$R$68,Curves!$A$8:$A$68,"&lt;="&amp;18),0)</f>
        <v/>
      </c>
      <c r="F22" s="81">
        <f>IFERROR(SUMIFS(Curves!$V$8:$V$68,Curves!$A$8:$A$68,"&lt;="&amp;24)/SUMIFS(Curves!$R$8:$R$68,Curves!$A$8:$A$68,"&lt;="&amp;24),0)</f>
        <v/>
      </c>
      <c r="G22" s="81">
        <f>IFERROR(SUMIFS(Curves!$V$8:$V$68,Curves!$A$8:$A$68,"&lt;="&amp;36)/SUMIFS(Curves!$R$8:$R$68,Curves!$A$8:$A$68,"&lt;="&amp;36),0)</f>
        <v/>
      </c>
      <c r="H22" s="81">
        <f>IFERROR(SUMIFS(Curves!$V$8:$V$68,Curves!$A$8:$A$68,"&lt;="&amp;48)/SUMIFS(Curves!$R$8:$R$68,Curves!$A$8:$A$68,"&lt;="&amp;48),0)</f>
        <v/>
      </c>
      <c r="I22" s="81">
        <f>IFERROR(SUMIFS(Curves!$V$8:$V$68,Curves!$A$8:$A$68,"&lt;="&amp;60)/SUMIFS(Curves!$R$8:$R$68,Curves!$A$8:$A$68,"&lt;="&amp;60),0)</f>
        <v/>
      </c>
    </row>
    <row r="23">
      <c r="A23" s="34" t="inlineStr">
        <is>
          <t>Active account share</t>
        </is>
      </c>
      <c r="B23" s="81">
        <f>INDEX(Curves!$T$8:$T$68,3+1)</f>
        <v/>
      </c>
      <c r="C23" s="81">
        <f>INDEX(Curves!$T$8:$T$68,6+1)</f>
        <v/>
      </c>
      <c r="D23" s="81">
        <f>INDEX(Curves!$T$8:$T$68,12+1)</f>
        <v/>
      </c>
      <c r="E23" s="81">
        <f>INDEX(Curves!$T$8:$T$68,18+1)</f>
        <v/>
      </c>
      <c r="F23" s="81">
        <f>INDEX(Curves!$T$8:$T$68,24+1)</f>
        <v/>
      </c>
      <c r="G23" s="81">
        <f>INDEX(Curves!$T$8:$T$68,36+1)</f>
        <v/>
      </c>
      <c r="H23" s="81">
        <f>INDEX(Curves!$T$8:$T$68,48+1)</f>
        <v/>
      </c>
      <c r="I23" s="81">
        <f>INDEX(Curves!$T$8:$T$68,60+1)</f>
        <v/>
      </c>
    </row>
    <row r="24">
      <c r="A24" s="34" t="inlineStr">
        <is>
          <t>Cumulative contribution per unit (LCY)</t>
        </is>
      </c>
      <c r="B24" s="80">
        <f>INDEX(Curves!$Y$8:$Y$68,3+1)</f>
        <v/>
      </c>
      <c r="C24" s="80">
        <f>INDEX(Curves!$Y$8:$Y$68,6+1)</f>
        <v/>
      </c>
      <c r="D24" s="80">
        <f>INDEX(Curves!$Y$8:$Y$68,12+1)</f>
        <v/>
      </c>
      <c r="E24" s="80">
        <f>INDEX(Curves!$Y$8:$Y$68,18+1)</f>
        <v/>
      </c>
      <c r="F24" s="80">
        <f>INDEX(Curves!$Y$8:$Y$68,24+1)</f>
        <v/>
      </c>
      <c r="G24" s="80">
        <f>INDEX(Curves!$Y$8:$Y$68,36+1)</f>
        <v/>
      </c>
      <c r="H24" s="80">
        <f>INDEX(Curves!$Y$8:$Y$68,48+1)</f>
        <v/>
      </c>
      <c r="I24" s="80">
        <f>INDEX(Curves!$Y$8:$Y$68,60+1)</f>
        <v/>
      </c>
    </row>
    <row r="25"/>
    <row r="26">
      <c r="A26" s="111" t="inlineStr">
        <is>
          <t>Tier 3: Large SHS + DC fridge</t>
        </is>
      </c>
    </row>
    <row r="27">
      <c r="A27" s="40" t="inlineStr">
        <is>
          <t>KPI</t>
        </is>
      </c>
      <c r="B27" s="40" t="inlineStr">
        <is>
          <t>M3</t>
        </is>
      </c>
      <c r="C27" s="40" t="inlineStr">
        <is>
          <t>M6</t>
        </is>
      </c>
      <c r="D27" s="40" t="inlineStr">
        <is>
          <t>M12</t>
        </is>
      </c>
      <c r="E27" s="40" t="inlineStr">
        <is>
          <t>M18</t>
        </is>
      </c>
      <c r="F27" s="40" t="inlineStr">
        <is>
          <t>M24</t>
        </is>
      </c>
      <c r="G27" s="40" t="inlineStr">
        <is>
          <t>M36</t>
        </is>
      </c>
      <c r="H27" s="40" t="inlineStr">
        <is>
          <t>M48</t>
        </is>
      </c>
      <c r="I27" s="40" t="inlineStr">
        <is>
          <t>M60</t>
        </is>
      </c>
    </row>
    <row r="28">
      <c r="A28" s="34" t="inlineStr">
        <is>
          <t>Cohort repayment ratio (not PERFORM)</t>
        </is>
      </c>
      <c r="B28" s="81">
        <f>IFERROR(SUMIFS(Curves!$AD$8:$AD$68,Curves!$A$8:$A$68,"&lt;="&amp;3)/SUMIFS(Curves!$AC$8:$AC$68,Curves!$A$8:$A$68,"&lt;="&amp;3),0)</f>
        <v/>
      </c>
      <c r="C28" s="81">
        <f>IFERROR(SUMIFS(Curves!$AD$8:$AD$68,Curves!$A$8:$A$68,"&lt;="&amp;6)/SUMIFS(Curves!$AC$8:$AC$68,Curves!$A$8:$A$68,"&lt;="&amp;6),0)</f>
        <v/>
      </c>
      <c r="D28" s="81">
        <f>IFERROR(SUMIFS(Curves!$AD$8:$AD$68,Curves!$A$8:$A$68,"&lt;="&amp;12)/SUMIFS(Curves!$AC$8:$AC$68,Curves!$A$8:$A$68,"&lt;="&amp;12),0)</f>
        <v/>
      </c>
      <c r="E28" s="81">
        <f>IFERROR(SUMIFS(Curves!$AD$8:$AD$68,Curves!$A$8:$A$68,"&lt;="&amp;18)/SUMIFS(Curves!$AC$8:$AC$68,Curves!$A$8:$A$68,"&lt;="&amp;18),0)</f>
        <v/>
      </c>
      <c r="F28" s="81">
        <f>IFERROR(SUMIFS(Curves!$AD$8:$AD$68,Curves!$A$8:$A$68,"&lt;="&amp;24)/SUMIFS(Curves!$AC$8:$AC$68,Curves!$A$8:$A$68,"&lt;="&amp;24),0)</f>
        <v/>
      </c>
      <c r="G28" s="81">
        <f>IFERROR(SUMIFS(Curves!$AD$8:$AD$68,Curves!$A$8:$A$68,"&lt;="&amp;36)/SUMIFS(Curves!$AC$8:$AC$68,Curves!$A$8:$A$68,"&lt;="&amp;36),0)</f>
        <v/>
      </c>
      <c r="H28" s="81">
        <f>IFERROR(SUMIFS(Curves!$AD$8:$AD$68,Curves!$A$8:$A$68,"&lt;="&amp;48)/SUMIFS(Curves!$AC$8:$AC$68,Curves!$A$8:$A$68,"&lt;="&amp;48),0)</f>
        <v/>
      </c>
      <c r="I28" s="81">
        <f>IFERROR(SUMIFS(Curves!$AD$8:$AD$68,Curves!$A$8:$A$68,"&lt;="&amp;60)/SUMIFS(Curves!$AC$8:$AC$68,Curves!$A$8:$A$68,"&lt;="&amp;60),0)</f>
        <v/>
      </c>
    </row>
    <row r="29">
      <c r="A29" s="34" t="inlineStr">
        <is>
          <t>30+ DPD exposure / due</t>
        </is>
      </c>
      <c r="B29" s="81">
        <f>IFERROR(((SUMIFS(Curves!$AM$8:$AM$68,Curves!$A$8:$A$68,"&lt;="&amp;MAX(0,MIN(MIN(3,Products!$E$16),3-2+1)))+MAX(0,MIN(3,Products!$E$16)-MAX(0,MIN(MIN(3,Products!$E$16),3-2+1)))*Products!$E$33*(1-INDEX(Curves!$AB$8:$AB$68,MAX(0,MIN(MIN(3,Products!$E$16),3-2+1))+1)))+INDEX(Curves!$AF$8:$AF$68,3+1)*(Credit_Assumptions!$I$30*Credit_Assumptions!$G$30+Credit_Assumptions!$I$31*Credit_Assumptions!$G$31+Credit_Assumptions!$I$32*Credit_Assumptions!$G$32+Credit_Assumptions!$I$33*Credit_Assumptions!$G$33))/SUMIFS(Curves!$AC$8:$AC$68,Curves!$A$8:$A$68,"&lt;="&amp;3),0)</f>
        <v/>
      </c>
      <c r="C29" s="81">
        <f>IFERROR(((SUMIFS(Curves!$AM$8:$AM$68,Curves!$A$8:$A$68,"&lt;="&amp;MAX(0,MIN(MIN(6,Products!$E$16),6-2+1)))+MAX(0,MIN(6,Products!$E$16)-MAX(0,MIN(MIN(6,Products!$E$16),6-2+1)))*Products!$E$33*(1-INDEX(Curves!$AB$8:$AB$68,MAX(0,MIN(MIN(6,Products!$E$16),6-2+1))+1)))+INDEX(Curves!$AF$8:$AF$68,6+1)*(Credit_Assumptions!$I$30*Credit_Assumptions!$G$30+Credit_Assumptions!$I$31*Credit_Assumptions!$G$31+Credit_Assumptions!$I$32*Credit_Assumptions!$G$32+Credit_Assumptions!$I$33*Credit_Assumptions!$G$33))/SUMIFS(Curves!$AC$8:$AC$68,Curves!$A$8:$A$68,"&lt;="&amp;6),0)</f>
        <v/>
      </c>
      <c r="D29" s="81">
        <f>IFERROR(((SUMIFS(Curves!$AM$8:$AM$68,Curves!$A$8:$A$68,"&lt;="&amp;MAX(0,MIN(MIN(12,Products!$E$16),12-2+1)))+MAX(0,MIN(12,Products!$E$16)-MAX(0,MIN(MIN(12,Products!$E$16),12-2+1)))*Products!$E$33*(1-INDEX(Curves!$AB$8:$AB$68,MAX(0,MIN(MIN(12,Products!$E$16),12-2+1))+1)))+INDEX(Curves!$AF$8:$AF$68,12+1)*(Credit_Assumptions!$I$30*Credit_Assumptions!$G$30+Credit_Assumptions!$I$31*Credit_Assumptions!$G$31+Credit_Assumptions!$I$32*Credit_Assumptions!$G$32+Credit_Assumptions!$I$33*Credit_Assumptions!$G$33))/SUMIFS(Curves!$AC$8:$AC$68,Curves!$A$8:$A$68,"&lt;="&amp;12),0)</f>
        <v/>
      </c>
      <c r="E29" s="81">
        <f>IFERROR(((SUMIFS(Curves!$AM$8:$AM$68,Curves!$A$8:$A$68,"&lt;="&amp;MAX(0,MIN(MIN(18,Products!$E$16),18-2+1)))+MAX(0,MIN(18,Products!$E$16)-MAX(0,MIN(MIN(18,Products!$E$16),18-2+1)))*Products!$E$33*(1-INDEX(Curves!$AB$8:$AB$68,MAX(0,MIN(MIN(18,Products!$E$16),18-2+1))+1)))+INDEX(Curves!$AF$8:$AF$68,18+1)*(Credit_Assumptions!$I$30*Credit_Assumptions!$G$30+Credit_Assumptions!$I$31*Credit_Assumptions!$G$31+Credit_Assumptions!$I$32*Credit_Assumptions!$G$32+Credit_Assumptions!$I$33*Credit_Assumptions!$G$33))/SUMIFS(Curves!$AC$8:$AC$68,Curves!$A$8:$A$68,"&lt;="&amp;18),0)</f>
        <v/>
      </c>
      <c r="F29" s="81">
        <f>IFERROR(((SUMIFS(Curves!$AM$8:$AM$68,Curves!$A$8:$A$68,"&lt;="&amp;MAX(0,MIN(MIN(24,Products!$E$16),24-2+1)))+MAX(0,MIN(24,Products!$E$16)-MAX(0,MIN(MIN(24,Products!$E$16),24-2+1)))*Products!$E$33*(1-INDEX(Curves!$AB$8:$AB$68,MAX(0,MIN(MIN(24,Products!$E$16),24-2+1))+1)))+INDEX(Curves!$AF$8:$AF$68,24+1)*(Credit_Assumptions!$I$30*Credit_Assumptions!$G$30+Credit_Assumptions!$I$31*Credit_Assumptions!$G$31+Credit_Assumptions!$I$32*Credit_Assumptions!$G$32+Credit_Assumptions!$I$33*Credit_Assumptions!$G$33))/SUMIFS(Curves!$AC$8:$AC$68,Curves!$A$8:$A$68,"&lt;="&amp;24),0)</f>
        <v/>
      </c>
      <c r="G29" s="81">
        <f>IFERROR(((SUMIFS(Curves!$AM$8:$AM$68,Curves!$A$8:$A$68,"&lt;="&amp;MAX(0,MIN(MIN(36,Products!$E$16),36-2+1)))+MAX(0,MIN(36,Products!$E$16)-MAX(0,MIN(MIN(36,Products!$E$16),36-2+1)))*Products!$E$33*(1-INDEX(Curves!$AB$8:$AB$68,MAX(0,MIN(MIN(36,Products!$E$16),36-2+1))+1)))+INDEX(Curves!$AF$8:$AF$68,36+1)*(Credit_Assumptions!$I$30*Credit_Assumptions!$G$30+Credit_Assumptions!$I$31*Credit_Assumptions!$G$31+Credit_Assumptions!$I$32*Credit_Assumptions!$G$32+Credit_Assumptions!$I$33*Credit_Assumptions!$G$33))/SUMIFS(Curves!$AC$8:$AC$68,Curves!$A$8:$A$68,"&lt;="&amp;36),0)</f>
        <v/>
      </c>
      <c r="H29" s="81">
        <f>IFERROR(((SUMIFS(Curves!$AM$8:$AM$68,Curves!$A$8:$A$68,"&lt;="&amp;MAX(0,MIN(MIN(48,Products!$E$16),48-2+1)))+MAX(0,MIN(48,Products!$E$16)-MAX(0,MIN(MIN(48,Products!$E$16),48-2+1)))*Products!$E$33*(1-INDEX(Curves!$AB$8:$AB$68,MAX(0,MIN(MIN(48,Products!$E$16),48-2+1))+1)))+INDEX(Curves!$AF$8:$AF$68,48+1)*(Credit_Assumptions!$I$30*Credit_Assumptions!$G$30+Credit_Assumptions!$I$31*Credit_Assumptions!$G$31+Credit_Assumptions!$I$32*Credit_Assumptions!$G$32+Credit_Assumptions!$I$33*Credit_Assumptions!$G$33))/SUMIFS(Curves!$AC$8:$AC$68,Curves!$A$8:$A$68,"&lt;="&amp;48),0)</f>
        <v/>
      </c>
      <c r="I29" s="81">
        <f>IFERROR(((SUMIFS(Curves!$AM$8:$AM$68,Curves!$A$8:$A$68,"&lt;="&amp;MAX(0,MIN(MIN(60,Products!$E$16),60-2+1)))+MAX(0,MIN(60,Products!$E$16)-MAX(0,MIN(MIN(60,Products!$E$16),60-2+1)))*Products!$E$33*(1-INDEX(Curves!$AB$8:$AB$68,MAX(0,MIN(MIN(60,Products!$E$16),60-2+1))+1)))+INDEX(Curves!$AF$8:$AF$68,60+1)*(Credit_Assumptions!$I$30*Credit_Assumptions!$G$30+Credit_Assumptions!$I$31*Credit_Assumptions!$G$31+Credit_Assumptions!$I$32*Credit_Assumptions!$G$32+Credit_Assumptions!$I$33*Credit_Assumptions!$G$33))/SUMIFS(Curves!$AC$8:$AC$68,Curves!$A$8:$A$68,"&lt;="&amp;60),0)</f>
        <v/>
      </c>
    </row>
    <row r="30">
      <c r="A30" s="34" t="inlineStr">
        <is>
          <t>90+ DPD exposure / due</t>
        </is>
      </c>
      <c r="B30" s="81">
        <f>IFERROR(((SUMIFS(Curves!$AM$8:$AM$68,Curves!$A$8:$A$68,"&lt;="&amp;MAX(0,MIN(MIN(3,Products!$E$16),3-4+1)))+MAX(0,MIN(3,Products!$E$16)-MAX(0,MIN(MIN(3,Products!$E$16),3-4+1)))*Products!$E$33*(1-INDEX(Curves!$AB$8:$AB$68,MAX(0,MIN(MIN(3,Products!$E$16),3-4+1))+1)))+INDEX(Curves!$AF$8:$AF$68,3+1)*(Credit_Assumptions!$I$30*Credit_Assumptions!$H$30+Credit_Assumptions!$I$31*Credit_Assumptions!$H$31+Credit_Assumptions!$I$32*Credit_Assumptions!$H$32+Credit_Assumptions!$I$33*Credit_Assumptions!$H$33))/SUMIFS(Curves!$AC$8:$AC$68,Curves!$A$8:$A$68,"&lt;="&amp;3),0)</f>
        <v/>
      </c>
      <c r="C30" s="81">
        <f>IFERROR(((SUMIFS(Curves!$AM$8:$AM$68,Curves!$A$8:$A$68,"&lt;="&amp;MAX(0,MIN(MIN(6,Products!$E$16),6-4+1)))+MAX(0,MIN(6,Products!$E$16)-MAX(0,MIN(MIN(6,Products!$E$16),6-4+1)))*Products!$E$33*(1-INDEX(Curves!$AB$8:$AB$68,MAX(0,MIN(MIN(6,Products!$E$16),6-4+1))+1)))+INDEX(Curves!$AF$8:$AF$68,6+1)*(Credit_Assumptions!$I$30*Credit_Assumptions!$H$30+Credit_Assumptions!$I$31*Credit_Assumptions!$H$31+Credit_Assumptions!$I$32*Credit_Assumptions!$H$32+Credit_Assumptions!$I$33*Credit_Assumptions!$H$33))/SUMIFS(Curves!$AC$8:$AC$68,Curves!$A$8:$A$68,"&lt;="&amp;6),0)</f>
        <v/>
      </c>
      <c r="D30" s="81">
        <f>IFERROR(((SUMIFS(Curves!$AM$8:$AM$68,Curves!$A$8:$A$68,"&lt;="&amp;MAX(0,MIN(MIN(12,Products!$E$16),12-4+1)))+MAX(0,MIN(12,Products!$E$16)-MAX(0,MIN(MIN(12,Products!$E$16),12-4+1)))*Products!$E$33*(1-INDEX(Curves!$AB$8:$AB$68,MAX(0,MIN(MIN(12,Products!$E$16),12-4+1))+1)))+INDEX(Curves!$AF$8:$AF$68,12+1)*(Credit_Assumptions!$I$30*Credit_Assumptions!$H$30+Credit_Assumptions!$I$31*Credit_Assumptions!$H$31+Credit_Assumptions!$I$32*Credit_Assumptions!$H$32+Credit_Assumptions!$I$33*Credit_Assumptions!$H$33))/SUMIFS(Curves!$AC$8:$AC$68,Curves!$A$8:$A$68,"&lt;="&amp;12),0)</f>
        <v/>
      </c>
      <c r="E30" s="81">
        <f>IFERROR(((SUMIFS(Curves!$AM$8:$AM$68,Curves!$A$8:$A$68,"&lt;="&amp;MAX(0,MIN(MIN(18,Products!$E$16),18-4+1)))+MAX(0,MIN(18,Products!$E$16)-MAX(0,MIN(MIN(18,Products!$E$16),18-4+1)))*Products!$E$33*(1-INDEX(Curves!$AB$8:$AB$68,MAX(0,MIN(MIN(18,Products!$E$16),18-4+1))+1)))+INDEX(Curves!$AF$8:$AF$68,18+1)*(Credit_Assumptions!$I$30*Credit_Assumptions!$H$30+Credit_Assumptions!$I$31*Credit_Assumptions!$H$31+Credit_Assumptions!$I$32*Credit_Assumptions!$H$32+Credit_Assumptions!$I$33*Credit_Assumptions!$H$33))/SUMIFS(Curves!$AC$8:$AC$68,Curves!$A$8:$A$68,"&lt;="&amp;18),0)</f>
        <v/>
      </c>
      <c r="F30" s="81">
        <f>IFERROR(((SUMIFS(Curves!$AM$8:$AM$68,Curves!$A$8:$A$68,"&lt;="&amp;MAX(0,MIN(MIN(24,Products!$E$16),24-4+1)))+MAX(0,MIN(24,Products!$E$16)-MAX(0,MIN(MIN(24,Products!$E$16),24-4+1)))*Products!$E$33*(1-INDEX(Curves!$AB$8:$AB$68,MAX(0,MIN(MIN(24,Products!$E$16),24-4+1))+1)))+INDEX(Curves!$AF$8:$AF$68,24+1)*(Credit_Assumptions!$I$30*Credit_Assumptions!$H$30+Credit_Assumptions!$I$31*Credit_Assumptions!$H$31+Credit_Assumptions!$I$32*Credit_Assumptions!$H$32+Credit_Assumptions!$I$33*Credit_Assumptions!$H$33))/SUMIFS(Curves!$AC$8:$AC$68,Curves!$A$8:$A$68,"&lt;="&amp;24),0)</f>
        <v/>
      </c>
      <c r="G30" s="81">
        <f>IFERROR(((SUMIFS(Curves!$AM$8:$AM$68,Curves!$A$8:$A$68,"&lt;="&amp;MAX(0,MIN(MIN(36,Products!$E$16),36-4+1)))+MAX(0,MIN(36,Products!$E$16)-MAX(0,MIN(MIN(36,Products!$E$16),36-4+1)))*Products!$E$33*(1-INDEX(Curves!$AB$8:$AB$68,MAX(0,MIN(MIN(36,Products!$E$16),36-4+1))+1)))+INDEX(Curves!$AF$8:$AF$68,36+1)*(Credit_Assumptions!$I$30*Credit_Assumptions!$H$30+Credit_Assumptions!$I$31*Credit_Assumptions!$H$31+Credit_Assumptions!$I$32*Credit_Assumptions!$H$32+Credit_Assumptions!$I$33*Credit_Assumptions!$H$33))/SUMIFS(Curves!$AC$8:$AC$68,Curves!$A$8:$A$68,"&lt;="&amp;36),0)</f>
        <v/>
      </c>
      <c r="H30" s="81">
        <f>IFERROR(((SUMIFS(Curves!$AM$8:$AM$68,Curves!$A$8:$A$68,"&lt;="&amp;MAX(0,MIN(MIN(48,Products!$E$16),48-4+1)))+MAX(0,MIN(48,Products!$E$16)-MAX(0,MIN(MIN(48,Products!$E$16),48-4+1)))*Products!$E$33*(1-INDEX(Curves!$AB$8:$AB$68,MAX(0,MIN(MIN(48,Products!$E$16),48-4+1))+1)))+INDEX(Curves!$AF$8:$AF$68,48+1)*(Credit_Assumptions!$I$30*Credit_Assumptions!$H$30+Credit_Assumptions!$I$31*Credit_Assumptions!$H$31+Credit_Assumptions!$I$32*Credit_Assumptions!$H$32+Credit_Assumptions!$I$33*Credit_Assumptions!$H$33))/SUMIFS(Curves!$AC$8:$AC$68,Curves!$A$8:$A$68,"&lt;="&amp;48),0)</f>
        <v/>
      </c>
      <c r="I30" s="81">
        <f>IFERROR(((SUMIFS(Curves!$AM$8:$AM$68,Curves!$A$8:$A$68,"&lt;="&amp;MAX(0,MIN(MIN(60,Products!$E$16),60-4+1)))+MAX(0,MIN(60,Products!$E$16)-MAX(0,MIN(MIN(60,Products!$E$16),60-4+1)))*Products!$E$33*(1-INDEX(Curves!$AB$8:$AB$68,MAX(0,MIN(MIN(60,Products!$E$16),60-4+1))+1)))+INDEX(Curves!$AF$8:$AF$68,60+1)*(Credit_Assumptions!$I$30*Credit_Assumptions!$H$30+Credit_Assumptions!$I$31*Credit_Assumptions!$H$31+Credit_Assumptions!$I$32*Credit_Assumptions!$H$32+Credit_Assumptions!$I$33*Credit_Assumptions!$H$33))/SUMIFS(Curves!$AC$8:$AC$68,Curves!$A$8:$A$68,"&lt;="&amp;60),0)</f>
        <v/>
      </c>
    </row>
    <row r="31">
      <c r="A31" s="34" t="inlineStr">
        <is>
          <t>180+ default exposure / due</t>
        </is>
      </c>
      <c r="B31" s="81">
        <f>IFERROR(((SUMIFS(Curves!$AM$8:$AM$68,Curves!$A$8:$A$68,"&lt;="&amp;MAX(0,MIN(MIN(3,Products!$E$16),3-7+1)))+MAX(0,MIN(3,Products!$E$16)-MAX(0,MIN(MIN(3,Products!$E$16),3-7+1)))*Products!$E$33*(1-INDEX(Curves!$AB$8:$AB$68,MAX(0,MIN(MIN(3,Products!$E$16),3-7+1))+1)))+INDEX(Curves!$AF$8:$AF$68,3+1)*(Credit_Assumptions!$I$30*Credit_Assumptions!$F$30+Credit_Assumptions!$I$31*Credit_Assumptions!$F$31+Credit_Assumptions!$I$32*Credit_Assumptions!$F$32+Credit_Assumptions!$I$33*Credit_Assumptions!$F$33))/SUMIFS(Curves!$AC$8:$AC$68,Curves!$A$8:$A$68,"&lt;="&amp;3),0)</f>
        <v/>
      </c>
      <c r="C31" s="81">
        <f>IFERROR(((SUMIFS(Curves!$AM$8:$AM$68,Curves!$A$8:$A$68,"&lt;="&amp;MAX(0,MIN(MIN(6,Products!$E$16),6-7+1)))+MAX(0,MIN(6,Products!$E$16)-MAX(0,MIN(MIN(6,Products!$E$16),6-7+1)))*Products!$E$33*(1-INDEX(Curves!$AB$8:$AB$68,MAX(0,MIN(MIN(6,Products!$E$16),6-7+1))+1)))+INDEX(Curves!$AF$8:$AF$68,6+1)*(Credit_Assumptions!$I$30*Credit_Assumptions!$F$30+Credit_Assumptions!$I$31*Credit_Assumptions!$F$31+Credit_Assumptions!$I$32*Credit_Assumptions!$F$32+Credit_Assumptions!$I$33*Credit_Assumptions!$F$33))/SUMIFS(Curves!$AC$8:$AC$68,Curves!$A$8:$A$68,"&lt;="&amp;6),0)</f>
        <v/>
      </c>
      <c r="D31" s="81">
        <f>IFERROR(((SUMIFS(Curves!$AM$8:$AM$68,Curves!$A$8:$A$68,"&lt;="&amp;MAX(0,MIN(MIN(12,Products!$E$16),12-7+1)))+MAX(0,MIN(12,Products!$E$16)-MAX(0,MIN(MIN(12,Products!$E$16),12-7+1)))*Products!$E$33*(1-INDEX(Curves!$AB$8:$AB$68,MAX(0,MIN(MIN(12,Products!$E$16),12-7+1))+1)))+INDEX(Curves!$AF$8:$AF$68,12+1)*(Credit_Assumptions!$I$30*Credit_Assumptions!$F$30+Credit_Assumptions!$I$31*Credit_Assumptions!$F$31+Credit_Assumptions!$I$32*Credit_Assumptions!$F$32+Credit_Assumptions!$I$33*Credit_Assumptions!$F$33))/SUMIFS(Curves!$AC$8:$AC$68,Curves!$A$8:$A$68,"&lt;="&amp;12),0)</f>
        <v/>
      </c>
      <c r="E31" s="81">
        <f>IFERROR(((SUMIFS(Curves!$AM$8:$AM$68,Curves!$A$8:$A$68,"&lt;="&amp;MAX(0,MIN(MIN(18,Products!$E$16),18-7+1)))+MAX(0,MIN(18,Products!$E$16)-MAX(0,MIN(MIN(18,Products!$E$16),18-7+1)))*Products!$E$33*(1-INDEX(Curves!$AB$8:$AB$68,MAX(0,MIN(MIN(18,Products!$E$16),18-7+1))+1)))+INDEX(Curves!$AF$8:$AF$68,18+1)*(Credit_Assumptions!$I$30*Credit_Assumptions!$F$30+Credit_Assumptions!$I$31*Credit_Assumptions!$F$31+Credit_Assumptions!$I$32*Credit_Assumptions!$F$32+Credit_Assumptions!$I$33*Credit_Assumptions!$F$33))/SUMIFS(Curves!$AC$8:$AC$68,Curves!$A$8:$A$68,"&lt;="&amp;18),0)</f>
        <v/>
      </c>
      <c r="F31" s="81">
        <f>IFERROR(((SUMIFS(Curves!$AM$8:$AM$68,Curves!$A$8:$A$68,"&lt;="&amp;MAX(0,MIN(MIN(24,Products!$E$16),24-7+1)))+MAX(0,MIN(24,Products!$E$16)-MAX(0,MIN(MIN(24,Products!$E$16),24-7+1)))*Products!$E$33*(1-INDEX(Curves!$AB$8:$AB$68,MAX(0,MIN(MIN(24,Products!$E$16),24-7+1))+1)))+INDEX(Curves!$AF$8:$AF$68,24+1)*(Credit_Assumptions!$I$30*Credit_Assumptions!$F$30+Credit_Assumptions!$I$31*Credit_Assumptions!$F$31+Credit_Assumptions!$I$32*Credit_Assumptions!$F$32+Credit_Assumptions!$I$33*Credit_Assumptions!$F$33))/SUMIFS(Curves!$AC$8:$AC$68,Curves!$A$8:$A$68,"&lt;="&amp;24),0)</f>
        <v/>
      </c>
      <c r="G31" s="81">
        <f>IFERROR(((SUMIFS(Curves!$AM$8:$AM$68,Curves!$A$8:$A$68,"&lt;="&amp;MAX(0,MIN(MIN(36,Products!$E$16),36-7+1)))+MAX(0,MIN(36,Products!$E$16)-MAX(0,MIN(MIN(36,Products!$E$16),36-7+1)))*Products!$E$33*(1-INDEX(Curves!$AB$8:$AB$68,MAX(0,MIN(MIN(36,Products!$E$16),36-7+1))+1)))+INDEX(Curves!$AF$8:$AF$68,36+1)*(Credit_Assumptions!$I$30*Credit_Assumptions!$F$30+Credit_Assumptions!$I$31*Credit_Assumptions!$F$31+Credit_Assumptions!$I$32*Credit_Assumptions!$F$32+Credit_Assumptions!$I$33*Credit_Assumptions!$F$33))/SUMIFS(Curves!$AC$8:$AC$68,Curves!$A$8:$A$68,"&lt;="&amp;36),0)</f>
        <v/>
      </c>
      <c r="H31" s="81">
        <f>IFERROR(((SUMIFS(Curves!$AM$8:$AM$68,Curves!$A$8:$A$68,"&lt;="&amp;MAX(0,MIN(MIN(48,Products!$E$16),48-7+1)))+MAX(0,MIN(48,Products!$E$16)-MAX(0,MIN(MIN(48,Products!$E$16),48-7+1)))*Products!$E$33*(1-INDEX(Curves!$AB$8:$AB$68,MAX(0,MIN(MIN(48,Products!$E$16),48-7+1))+1)))+INDEX(Curves!$AF$8:$AF$68,48+1)*(Credit_Assumptions!$I$30*Credit_Assumptions!$F$30+Credit_Assumptions!$I$31*Credit_Assumptions!$F$31+Credit_Assumptions!$I$32*Credit_Assumptions!$F$32+Credit_Assumptions!$I$33*Credit_Assumptions!$F$33))/SUMIFS(Curves!$AC$8:$AC$68,Curves!$A$8:$A$68,"&lt;="&amp;48),0)</f>
        <v/>
      </c>
      <c r="I31" s="81">
        <f>IFERROR(((SUMIFS(Curves!$AM$8:$AM$68,Curves!$A$8:$A$68,"&lt;="&amp;MAX(0,MIN(MIN(60,Products!$E$16),60-7+1)))+MAX(0,MIN(60,Products!$E$16)-MAX(0,MIN(MIN(60,Products!$E$16),60-7+1)))*Products!$E$33*(1-INDEX(Curves!$AB$8:$AB$68,MAX(0,MIN(MIN(60,Products!$E$16),60-7+1))+1)))+INDEX(Curves!$AF$8:$AF$68,60+1)*(Credit_Assumptions!$I$30*Credit_Assumptions!$F$30+Credit_Assumptions!$I$31*Credit_Assumptions!$F$31+Credit_Assumptions!$I$32*Credit_Assumptions!$F$32+Credit_Assumptions!$I$33*Credit_Assumptions!$F$33))/SUMIFS(Curves!$AC$8:$AC$68,Curves!$A$8:$A$68,"&lt;="&amp;60),0)</f>
        <v/>
      </c>
    </row>
    <row r="32">
      <c r="A32" s="34" t="inlineStr">
        <is>
          <t>Recovery / default</t>
        </is>
      </c>
      <c r="B32" s="81">
        <f>IFERROR(SUMIFS(Curves!$AI$8:$AI$68,Curves!$A$8:$A$68,"&lt;="&amp;3)/SUMIFS(Curves!$AE$8:$AE$68,Curves!$A$8:$A$68,"&lt;="&amp;3),0)</f>
        <v/>
      </c>
      <c r="C32" s="81">
        <f>IFERROR(SUMIFS(Curves!$AI$8:$AI$68,Curves!$A$8:$A$68,"&lt;="&amp;6)/SUMIFS(Curves!$AE$8:$AE$68,Curves!$A$8:$A$68,"&lt;="&amp;6),0)</f>
        <v/>
      </c>
      <c r="D32" s="81">
        <f>IFERROR(SUMIFS(Curves!$AI$8:$AI$68,Curves!$A$8:$A$68,"&lt;="&amp;12)/SUMIFS(Curves!$AE$8:$AE$68,Curves!$A$8:$A$68,"&lt;="&amp;12),0)</f>
        <v/>
      </c>
      <c r="E32" s="81">
        <f>IFERROR(SUMIFS(Curves!$AI$8:$AI$68,Curves!$A$8:$A$68,"&lt;="&amp;18)/SUMIFS(Curves!$AE$8:$AE$68,Curves!$A$8:$A$68,"&lt;="&amp;18),0)</f>
        <v/>
      </c>
      <c r="F32" s="81">
        <f>IFERROR(SUMIFS(Curves!$AI$8:$AI$68,Curves!$A$8:$A$68,"&lt;="&amp;24)/SUMIFS(Curves!$AE$8:$AE$68,Curves!$A$8:$A$68,"&lt;="&amp;24),0)</f>
        <v/>
      </c>
      <c r="G32" s="81">
        <f>IFERROR(SUMIFS(Curves!$AI$8:$AI$68,Curves!$A$8:$A$68,"&lt;="&amp;36)/SUMIFS(Curves!$AE$8:$AE$68,Curves!$A$8:$A$68,"&lt;="&amp;36),0)</f>
        <v/>
      </c>
      <c r="H32" s="81">
        <f>IFERROR(SUMIFS(Curves!$AI$8:$AI$68,Curves!$A$8:$A$68,"&lt;="&amp;48)/SUMIFS(Curves!$AE$8:$AE$68,Curves!$A$8:$A$68,"&lt;="&amp;48),0)</f>
        <v/>
      </c>
      <c r="I32" s="81">
        <f>IFERROR(SUMIFS(Curves!$AI$8:$AI$68,Curves!$A$8:$A$68,"&lt;="&amp;60)/SUMIFS(Curves!$AE$8:$AE$68,Curves!$A$8:$A$68,"&lt;="&amp;60),0)</f>
        <v/>
      </c>
    </row>
    <row r="33">
      <c r="A33" s="34" t="inlineStr">
        <is>
          <t>Active account share</t>
        </is>
      </c>
      <c r="B33" s="81">
        <f>INDEX(Curves!$AG$8:$AG$68,3+1)</f>
        <v/>
      </c>
      <c r="C33" s="81">
        <f>INDEX(Curves!$AG$8:$AG$68,6+1)</f>
        <v/>
      </c>
      <c r="D33" s="81">
        <f>INDEX(Curves!$AG$8:$AG$68,12+1)</f>
        <v/>
      </c>
      <c r="E33" s="81">
        <f>INDEX(Curves!$AG$8:$AG$68,18+1)</f>
        <v/>
      </c>
      <c r="F33" s="81">
        <f>INDEX(Curves!$AG$8:$AG$68,24+1)</f>
        <v/>
      </c>
      <c r="G33" s="81">
        <f>INDEX(Curves!$AG$8:$AG$68,36+1)</f>
        <v/>
      </c>
      <c r="H33" s="81">
        <f>INDEX(Curves!$AG$8:$AG$68,48+1)</f>
        <v/>
      </c>
      <c r="I33" s="81">
        <f>INDEX(Curves!$AG$8:$AG$68,60+1)</f>
        <v/>
      </c>
    </row>
    <row r="34">
      <c r="A34" s="34" t="inlineStr">
        <is>
          <t>Cumulative contribution per unit (LCY)</t>
        </is>
      </c>
      <c r="B34" s="80">
        <f>INDEX(Curves!$AL$8:$AL$68,3+1)</f>
        <v/>
      </c>
      <c r="C34" s="80">
        <f>INDEX(Curves!$AL$8:$AL$68,6+1)</f>
        <v/>
      </c>
      <c r="D34" s="80">
        <f>INDEX(Curves!$AL$8:$AL$68,12+1)</f>
        <v/>
      </c>
      <c r="E34" s="80">
        <f>INDEX(Curves!$AL$8:$AL$68,18+1)</f>
        <v/>
      </c>
      <c r="F34" s="80">
        <f>INDEX(Curves!$AL$8:$AL$68,24+1)</f>
        <v/>
      </c>
      <c r="G34" s="80">
        <f>INDEX(Curves!$AL$8:$AL$68,36+1)</f>
        <v/>
      </c>
      <c r="H34" s="80">
        <f>INDEX(Curves!$AL$8:$AL$68,48+1)</f>
        <v/>
      </c>
      <c r="I34" s="80">
        <f>INDEX(Curves!$AL$8:$AL$68,60+1)</f>
        <v/>
      </c>
    </row>
    <row r="35"/>
    <row r="36">
      <c r="A36" s="111" t="inlineStr">
        <is>
          <t>Tier 4: Solar inverter + lithium (~1.2 kWp / 5 kWh)</t>
        </is>
      </c>
    </row>
    <row r="37">
      <c r="A37" s="40" t="inlineStr">
        <is>
          <t>KPI</t>
        </is>
      </c>
      <c r="B37" s="40" t="inlineStr">
        <is>
          <t>M3</t>
        </is>
      </c>
      <c r="C37" s="40" t="inlineStr">
        <is>
          <t>M6</t>
        </is>
      </c>
      <c r="D37" s="40" t="inlineStr">
        <is>
          <t>M12</t>
        </is>
      </c>
      <c r="E37" s="40" t="inlineStr">
        <is>
          <t>M18</t>
        </is>
      </c>
      <c r="F37" s="40" t="inlineStr">
        <is>
          <t>M24</t>
        </is>
      </c>
      <c r="G37" s="40" t="inlineStr">
        <is>
          <t>M36</t>
        </is>
      </c>
      <c r="H37" s="40" t="inlineStr">
        <is>
          <t>M48</t>
        </is>
      </c>
      <c r="I37" s="40" t="inlineStr">
        <is>
          <t>M60</t>
        </is>
      </c>
    </row>
    <row r="38">
      <c r="A38" s="34" t="inlineStr">
        <is>
          <t>Cohort repayment ratio (not PERFORM)</t>
        </is>
      </c>
      <c r="B38" s="81">
        <f>IFERROR(SUMIFS(Curves!$AQ$8:$AQ$68,Curves!$A$8:$A$68,"&lt;="&amp;3)/SUMIFS(Curves!$AP$8:$AP$68,Curves!$A$8:$A$68,"&lt;="&amp;3),0)</f>
        <v/>
      </c>
      <c r="C38" s="81">
        <f>IFERROR(SUMIFS(Curves!$AQ$8:$AQ$68,Curves!$A$8:$A$68,"&lt;="&amp;6)/SUMIFS(Curves!$AP$8:$AP$68,Curves!$A$8:$A$68,"&lt;="&amp;6),0)</f>
        <v/>
      </c>
      <c r="D38" s="81">
        <f>IFERROR(SUMIFS(Curves!$AQ$8:$AQ$68,Curves!$A$8:$A$68,"&lt;="&amp;12)/SUMIFS(Curves!$AP$8:$AP$68,Curves!$A$8:$A$68,"&lt;="&amp;12),0)</f>
        <v/>
      </c>
      <c r="E38" s="81">
        <f>IFERROR(SUMIFS(Curves!$AQ$8:$AQ$68,Curves!$A$8:$A$68,"&lt;="&amp;18)/SUMIFS(Curves!$AP$8:$AP$68,Curves!$A$8:$A$68,"&lt;="&amp;18),0)</f>
        <v/>
      </c>
      <c r="F38" s="81">
        <f>IFERROR(SUMIFS(Curves!$AQ$8:$AQ$68,Curves!$A$8:$A$68,"&lt;="&amp;24)/SUMIFS(Curves!$AP$8:$AP$68,Curves!$A$8:$A$68,"&lt;="&amp;24),0)</f>
        <v/>
      </c>
      <c r="G38" s="81">
        <f>IFERROR(SUMIFS(Curves!$AQ$8:$AQ$68,Curves!$A$8:$A$68,"&lt;="&amp;36)/SUMIFS(Curves!$AP$8:$AP$68,Curves!$A$8:$A$68,"&lt;="&amp;36),0)</f>
        <v/>
      </c>
      <c r="H38" s="81">
        <f>IFERROR(SUMIFS(Curves!$AQ$8:$AQ$68,Curves!$A$8:$A$68,"&lt;="&amp;48)/SUMIFS(Curves!$AP$8:$AP$68,Curves!$A$8:$A$68,"&lt;="&amp;48),0)</f>
        <v/>
      </c>
      <c r="I38" s="81">
        <f>IFERROR(SUMIFS(Curves!$AQ$8:$AQ$68,Curves!$A$8:$A$68,"&lt;="&amp;60)/SUMIFS(Curves!$AP$8:$AP$68,Curves!$A$8:$A$68,"&lt;="&amp;60),0)</f>
        <v/>
      </c>
    </row>
    <row r="39">
      <c r="A39" s="34" t="inlineStr">
        <is>
          <t>30+ DPD exposure / due</t>
        </is>
      </c>
      <c r="B39" s="81">
        <f>IFERROR(((SUMIFS(Curves!$AZ$8:$AZ$68,Curves!$A$8:$A$68,"&lt;="&amp;MAX(0,MIN(MIN(3,Products!$F$16),3-2+1)))+MAX(0,MIN(3,Products!$F$16)-MAX(0,MIN(MIN(3,Products!$F$16),3-2+1)))*Products!$F$33*(1-INDEX(Curves!$AO$8:$AO$68,MAX(0,MIN(MIN(3,Products!$F$16),3-2+1))+1)))+INDEX(Curves!$AS$8:$AS$68,3+1)*(Credit_Assumptions!$I$30*Credit_Assumptions!$G$30+Credit_Assumptions!$I$31*Credit_Assumptions!$G$31+Credit_Assumptions!$I$32*Credit_Assumptions!$G$32+Credit_Assumptions!$I$33*Credit_Assumptions!$G$33))/SUMIFS(Curves!$AP$8:$AP$68,Curves!$A$8:$A$68,"&lt;="&amp;3),0)</f>
        <v/>
      </c>
      <c r="C39" s="81">
        <f>IFERROR(((SUMIFS(Curves!$AZ$8:$AZ$68,Curves!$A$8:$A$68,"&lt;="&amp;MAX(0,MIN(MIN(6,Products!$F$16),6-2+1)))+MAX(0,MIN(6,Products!$F$16)-MAX(0,MIN(MIN(6,Products!$F$16),6-2+1)))*Products!$F$33*(1-INDEX(Curves!$AO$8:$AO$68,MAX(0,MIN(MIN(6,Products!$F$16),6-2+1))+1)))+INDEX(Curves!$AS$8:$AS$68,6+1)*(Credit_Assumptions!$I$30*Credit_Assumptions!$G$30+Credit_Assumptions!$I$31*Credit_Assumptions!$G$31+Credit_Assumptions!$I$32*Credit_Assumptions!$G$32+Credit_Assumptions!$I$33*Credit_Assumptions!$G$33))/SUMIFS(Curves!$AP$8:$AP$68,Curves!$A$8:$A$68,"&lt;="&amp;6),0)</f>
        <v/>
      </c>
      <c r="D39" s="81">
        <f>IFERROR(((SUMIFS(Curves!$AZ$8:$AZ$68,Curves!$A$8:$A$68,"&lt;="&amp;MAX(0,MIN(MIN(12,Products!$F$16),12-2+1)))+MAX(0,MIN(12,Products!$F$16)-MAX(0,MIN(MIN(12,Products!$F$16),12-2+1)))*Products!$F$33*(1-INDEX(Curves!$AO$8:$AO$68,MAX(0,MIN(MIN(12,Products!$F$16),12-2+1))+1)))+INDEX(Curves!$AS$8:$AS$68,12+1)*(Credit_Assumptions!$I$30*Credit_Assumptions!$G$30+Credit_Assumptions!$I$31*Credit_Assumptions!$G$31+Credit_Assumptions!$I$32*Credit_Assumptions!$G$32+Credit_Assumptions!$I$33*Credit_Assumptions!$G$33))/SUMIFS(Curves!$AP$8:$AP$68,Curves!$A$8:$A$68,"&lt;="&amp;12),0)</f>
        <v/>
      </c>
      <c r="E39" s="81">
        <f>IFERROR(((SUMIFS(Curves!$AZ$8:$AZ$68,Curves!$A$8:$A$68,"&lt;="&amp;MAX(0,MIN(MIN(18,Products!$F$16),18-2+1)))+MAX(0,MIN(18,Products!$F$16)-MAX(0,MIN(MIN(18,Products!$F$16),18-2+1)))*Products!$F$33*(1-INDEX(Curves!$AO$8:$AO$68,MAX(0,MIN(MIN(18,Products!$F$16),18-2+1))+1)))+INDEX(Curves!$AS$8:$AS$68,18+1)*(Credit_Assumptions!$I$30*Credit_Assumptions!$G$30+Credit_Assumptions!$I$31*Credit_Assumptions!$G$31+Credit_Assumptions!$I$32*Credit_Assumptions!$G$32+Credit_Assumptions!$I$33*Credit_Assumptions!$G$33))/SUMIFS(Curves!$AP$8:$AP$68,Curves!$A$8:$A$68,"&lt;="&amp;18),0)</f>
        <v/>
      </c>
      <c r="F39" s="81">
        <f>IFERROR(((SUMIFS(Curves!$AZ$8:$AZ$68,Curves!$A$8:$A$68,"&lt;="&amp;MAX(0,MIN(MIN(24,Products!$F$16),24-2+1)))+MAX(0,MIN(24,Products!$F$16)-MAX(0,MIN(MIN(24,Products!$F$16),24-2+1)))*Products!$F$33*(1-INDEX(Curves!$AO$8:$AO$68,MAX(0,MIN(MIN(24,Products!$F$16),24-2+1))+1)))+INDEX(Curves!$AS$8:$AS$68,24+1)*(Credit_Assumptions!$I$30*Credit_Assumptions!$G$30+Credit_Assumptions!$I$31*Credit_Assumptions!$G$31+Credit_Assumptions!$I$32*Credit_Assumptions!$G$32+Credit_Assumptions!$I$33*Credit_Assumptions!$G$33))/SUMIFS(Curves!$AP$8:$AP$68,Curves!$A$8:$A$68,"&lt;="&amp;24),0)</f>
        <v/>
      </c>
      <c r="G39" s="81">
        <f>IFERROR(((SUMIFS(Curves!$AZ$8:$AZ$68,Curves!$A$8:$A$68,"&lt;="&amp;MAX(0,MIN(MIN(36,Products!$F$16),36-2+1)))+MAX(0,MIN(36,Products!$F$16)-MAX(0,MIN(MIN(36,Products!$F$16),36-2+1)))*Products!$F$33*(1-INDEX(Curves!$AO$8:$AO$68,MAX(0,MIN(MIN(36,Products!$F$16),36-2+1))+1)))+INDEX(Curves!$AS$8:$AS$68,36+1)*(Credit_Assumptions!$I$30*Credit_Assumptions!$G$30+Credit_Assumptions!$I$31*Credit_Assumptions!$G$31+Credit_Assumptions!$I$32*Credit_Assumptions!$G$32+Credit_Assumptions!$I$33*Credit_Assumptions!$G$33))/SUMIFS(Curves!$AP$8:$AP$68,Curves!$A$8:$A$68,"&lt;="&amp;36),0)</f>
        <v/>
      </c>
      <c r="H39" s="81">
        <f>IFERROR(((SUMIFS(Curves!$AZ$8:$AZ$68,Curves!$A$8:$A$68,"&lt;="&amp;MAX(0,MIN(MIN(48,Products!$F$16),48-2+1)))+MAX(0,MIN(48,Products!$F$16)-MAX(0,MIN(MIN(48,Products!$F$16),48-2+1)))*Products!$F$33*(1-INDEX(Curves!$AO$8:$AO$68,MAX(0,MIN(MIN(48,Products!$F$16),48-2+1))+1)))+INDEX(Curves!$AS$8:$AS$68,48+1)*(Credit_Assumptions!$I$30*Credit_Assumptions!$G$30+Credit_Assumptions!$I$31*Credit_Assumptions!$G$31+Credit_Assumptions!$I$32*Credit_Assumptions!$G$32+Credit_Assumptions!$I$33*Credit_Assumptions!$G$33))/SUMIFS(Curves!$AP$8:$AP$68,Curves!$A$8:$A$68,"&lt;="&amp;48),0)</f>
        <v/>
      </c>
      <c r="I39" s="81">
        <f>IFERROR(((SUMIFS(Curves!$AZ$8:$AZ$68,Curves!$A$8:$A$68,"&lt;="&amp;MAX(0,MIN(MIN(60,Products!$F$16),60-2+1)))+MAX(0,MIN(60,Products!$F$16)-MAX(0,MIN(MIN(60,Products!$F$16),60-2+1)))*Products!$F$33*(1-INDEX(Curves!$AO$8:$AO$68,MAX(0,MIN(MIN(60,Products!$F$16),60-2+1))+1)))+INDEX(Curves!$AS$8:$AS$68,60+1)*(Credit_Assumptions!$I$30*Credit_Assumptions!$G$30+Credit_Assumptions!$I$31*Credit_Assumptions!$G$31+Credit_Assumptions!$I$32*Credit_Assumptions!$G$32+Credit_Assumptions!$I$33*Credit_Assumptions!$G$33))/SUMIFS(Curves!$AP$8:$AP$68,Curves!$A$8:$A$68,"&lt;="&amp;60),0)</f>
        <v/>
      </c>
    </row>
    <row r="40">
      <c r="A40" s="34" t="inlineStr">
        <is>
          <t>90+ DPD exposure / due</t>
        </is>
      </c>
      <c r="B40" s="81">
        <f>IFERROR(((SUMIFS(Curves!$AZ$8:$AZ$68,Curves!$A$8:$A$68,"&lt;="&amp;MAX(0,MIN(MIN(3,Products!$F$16),3-4+1)))+MAX(0,MIN(3,Products!$F$16)-MAX(0,MIN(MIN(3,Products!$F$16),3-4+1)))*Products!$F$33*(1-INDEX(Curves!$AO$8:$AO$68,MAX(0,MIN(MIN(3,Products!$F$16),3-4+1))+1)))+INDEX(Curves!$AS$8:$AS$68,3+1)*(Credit_Assumptions!$I$30*Credit_Assumptions!$H$30+Credit_Assumptions!$I$31*Credit_Assumptions!$H$31+Credit_Assumptions!$I$32*Credit_Assumptions!$H$32+Credit_Assumptions!$I$33*Credit_Assumptions!$H$33))/SUMIFS(Curves!$AP$8:$AP$68,Curves!$A$8:$A$68,"&lt;="&amp;3),0)</f>
        <v/>
      </c>
      <c r="C40" s="81">
        <f>IFERROR(((SUMIFS(Curves!$AZ$8:$AZ$68,Curves!$A$8:$A$68,"&lt;="&amp;MAX(0,MIN(MIN(6,Products!$F$16),6-4+1)))+MAX(0,MIN(6,Products!$F$16)-MAX(0,MIN(MIN(6,Products!$F$16),6-4+1)))*Products!$F$33*(1-INDEX(Curves!$AO$8:$AO$68,MAX(0,MIN(MIN(6,Products!$F$16),6-4+1))+1)))+INDEX(Curves!$AS$8:$AS$68,6+1)*(Credit_Assumptions!$I$30*Credit_Assumptions!$H$30+Credit_Assumptions!$I$31*Credit_Assumptions!$H$31+Credit_Assumptions!$I$32*Credit_Assumptions!$H$32+Credit_Assumptions!$I$33*Credit_Assumptions!$H$33))/SUMIFS(Curves!$AP$8:$AP$68,Curves!$A$8:$A$68,"&lt;="&amp;6),0)</f>
        <v/>
      </c>
      <c r="D40" s="81">
        <f>IFERROR(((SUMIFS(Curves!$AZ$8:$AZ$68,Curves!$A$8:$A$68,"&lt;="&amp;MAX(0,MIN(MIN(12,Products!$F$16),12-4+1)))+MAX(0,MIN(12,Products!$F$16)-MAX(0,MIN(MIN(12,Products!$F$16),12-4+1)))*Products!$F$33*(1-INDEX(Curves!$AO$8:$AO$68,MAX(0,MIN(MIN(12,Products!$F$16),12-4+1))+1)))+INDEX(Curves!$AS$8:$AS$68,12+1)*(Credit_Assumptions!$I$30*Credit_Assumptions!$H$30+Credit_Assumptions!$I$31*Credit_Assumptions!$H$31+Credit_Assumptions!$I$32*Credit_Assumptions!$H$32+Credit_Assumptions!$I$33*Credit_Assumptions!$H$33))/SUMIFS(Curves!$AP$8:$AP$68,Curves!$A$8:$A$68,"&lt;="&amp;12),0)</f>
        <v/>
      </c>
      <c r="E40" s="81">
        <f>IFERROR(((SUMIFS(Curves!$AZ$8:$AZ$68,Curves!$A$8:$A$68,"&lt;="&amp;MAX(0,MIN(MIN(18,Products!$F$16),18-4+1)))+MAX(0,MIN(18,Products!$F$16)-MAX(0,MIN(MIN(18,Products!$F$16),18-4+1)))*Products!$F$33*(1-INDEX(Curves!$AO$8:$AO$68,MAX(0,MIN(MIN(18,Products!$F$16),18-4+1))+1)))+INDEX(Curves!$AS$8:$AS$68,18+1)*(Credit_Assumptions!$I$30*Credit_Assumptions!$H$30+Credit_Assumptions!$I$31*Credit_Assumptions!$H$31+Credit_Assumptions!$I$32*Credit_Assumptions!$H$32+Credit_Assumptions!$I$33*Credit_Assumptions!$H$33))/SUMIFS(Curves!$AP$8:$AP$68,Curves!$A$8:$A$68,"&lt;="&amp;18),0)</f>
        <v/>
      </c>
      <c r="F40" s="81">
        <f>IFERROR(((SUMIFS(Curves!$AZ$8:$AZ$68,Curves!$A$8:$A$68,"&lt;="&amp;MAX(0,MIN(MIN(24,Products!$F$16),24-4+1)))+MAX(0,MIN(24,Products!$F$16)-MAX(0,MIN(MIN(24,Products!$F$16),24-4+1)))*Products!$F$33*(1-INDEX(Curves!$AO$8:$AO$68,MAX(0,MIN(MIN(24,Products!$F$16),24-4+1))+1)))+INDEX(Curves!$AS$8:$AS$68,24+1)*(Credit_Assumptions!$I$30*Credit_Assumptions!$H$30+Credit_Assumptions!$I$31*Credit_Assumptions!$H$31+Credit_Assumptions!$I$32*Credit_Assumptions!$H$32+Credit_Assumptions!$I$33*Credit_Assumptions!$H$33))/SUMIFS(Curves!$AP$8:$AP$68,Curves!$A$8:$A$68,"&lt;="&amp;24),0)</f>
        <v/>
      </c>
      <c r="G40" s="81">
        <f>IFERROR(((SUMIFS(Curves!$AZ$8:$AZ$68,Curves!$A$8:$A$68,"&lt;="&amp;MAX(0,MIN(MIN(36,Products!$F$16),36-4+1)))+MAX(0,MIN(36,Products!$F$16)-MAX(0,MIN(MIN(36,Products!$F$16),36-4+1)))*Products!$F$33*(1-INDEX(Curves!$AO$8:$AO$68,MAX(0,MIN(MIN(36,Products!$F$16),36-4+1))+1)))+INDEX(Curves!$AS$8:$AS$68,36+1)*(Credit_Assumptions!$I$30*Credit_Assumptions!$H$30+Credit_Assumptions!$I$31*Credit_Assumptions!$H$31+Credit_Assumptions!$I$32*Credit_Assumptions!$H$32+Credit_Assumptions!$I$33*Credit_Assumptions!$H$33))/SUMIFS(Curves!$AP$8:$AP$68,Curves!$A$8:$A$68,"&lt;="&amp;36),0)</f>
        <v/>
      </c>
      <c r="H40" s="81">
        <f>IFERROR(((SUMIFS(Curves!$AZ$8:$AZ$68,Curves!$A$8:$A$68,"&lt;="&amp;MAX(0,MIN(MIN(48,Products!$F$16),48-4+1)))+MAX(0,MIN(48,Products!$F$16)-MAX(0,MIN(MIN(48,Products!$F$16),48-4+1)))*Products!$F$33*(1-INDEX(Curves!$AO$8:$AO$68,MAX(0,MIN(MIN(48,Products!$F$16),48-4+1))+1)))+INDEX(Curves!$AS$8:$AS$68,48+1)*(Credit_Assumptions!$I$30*Credit_Assumptions!$H$30+Credit_Assumptions!$I$31*Credit_Assumptions!$H$31+Credit_Assumptions!$I$32*Credit_Assumptions!$H$32+Credit_Assumptions!$I$33*Credit_Assumptions!$H$33))/SUMIFS(Curves!$AP$8:$AP$68,Curves!$A$8:$A$68,"&lt;="&amp;48),0)</f>
        <v/>
      </c>
      <c r="I40" s="81">
        <f>IFERROR(((SUMIFS(Curves!$AZ$8:$AZ$68,Curves!$A$8:$A$68,"&lt;="&amp;MAX(0,MIN(MIN(60,Products!$F$16),60-4+1)))+MAX(0,MIN(60,Products!$F$16)-MAX(0,MIN(MIN(60,Products!$F$16),60-4+1)))*Products!$F$33*(1-INDEX(Curves!$AO$8:$AO$68,MAX(0,MIN(MIN(60,Products!$F$16),60-4+1))+1)))+INDEX(Curves!$AS$8:$AS$68,60+1)*(Credit_Assumptions!$I$30*Credit_Assumptions!$H$30+Credit_Assumptions!$I$31*Credit_Assumptions!$H$31+Credit_Assumptions!$I$32*Credit_Assumptions!$H$32+Credit_Assumptions!$I$33*Credit_Assumptions!$H$33))/SUMIFS(Curves!$AP$8:$AP$68,Curves!$A$8:$A$68,"&lt;="&amp;60),0)</f>
        <v/>
      </c>
    </row>
    <row r="41">
      <c r="A41" s="34" t="inlineStr">
        <is>
          <t>180+ default exposure / due</t>
        </is>
      </c>
      <c r="B41" s="81">
        <f>IFERROR(((SUMIFS(Curves!$AZ$8:$AZ$68,Curves!$A$8:$A$68,"&lt;="&amp;MAX(0,MIN(MIN(3,Products!$F$16),3-7+1)))+MAX(0,MIN(3,Products!$F$16)-MAX(0,MIN(MIN(3,Products!$F$16),3-7+1)))*Products!$F$33*(1-INDEX(Curves!$AO$8:$AO$68,MAX(0,MIN(MIN(3,Products!$F$16),3-7+1))+1)))+INDEX(Curves!$AS$8:$AS$68,3+1)*(Credit_Assumptions!$I$30*Credit_Assumptions!$F$30+Credit_Assumptions!$I$31*Credit_Assumptions!$F$31+Credit_Assumptions!$I$32*Credit_Assumptions!$F$32+Credit_Assumptions!$I$33*Credit_Assumptions!$F$33))/SUMIFS(Curves!$AP$8:$AP$68,Curves!$A$8:$A$68,"&lt;="&amp;3),0)</f>
        <v/>
      </c>
      <c r="C41" s="81">
        <f>IFERROR(((SUMIFS(Curves!$AZ$8:$AZ$68,Curves!$A$8:$A$68,"&lt;="&amp;MAX(0,MIN(MIN(6,Products!$F$16),6-7+1)))+MAX(0,MIN(6,Products!$F$16)-MAX(0,MIN(MIN(6,Products!$F$16),6-7+1)))*Products!$F$33*(1-INDEX(Curves!$AO$8:$AO$68,MAX(0,MIN(MIN(6,Products!$F$16),6-7+1))+1)))+INDEX(Curves!$AS$8:$AS$68,6+1)*(Credit_Assumptions!$I$30*Credit_Assumptions!$F$30+Credit_Assumptions!$I$31*Credit_Assumptions!$F$31+Credit_Assumptions!$I$32*Credit_Assumptions!$F$32+Credit_Assumptions!$I$33*Credit_Assumptions!$F$33))/SUMIFS(Curves!$AP$8:$AP$68,Curves!$A$8:$A$68,"&lt;="&amp;6),0)</f>
        <v/>
      </c>
      <c r="D41" s="81">
        <f>IFERROR(((SUMIFS(Curves!$AZ$8:$AZ$68,Curves!$A$8:$A$68,"&lt;="&amp;MAX(0,MIN(MIN(12,Products!$F$16),12-7+1)))+MAX(0,MIN(12,Products!$F$16)-MAX(0,MIN(MIN(12,Products!$F$16),12-7+1)))*Products!$F$33*(1-INDEX(Curves!$AO$8:$AO$68,MAX(0,MIN(MIN(12,Products!$F$16),12-7+1))+1)))+INDEX(Curves!$AS$8:$AS$68,12+1)*(Credit_Assumptions!$I$30*Credit_Assumptions!$F$30+Credit_Assumptions!$I$31*Credit_Assumptions!$F$31+Credit_Assumptions!$I$32*Credit_Assumptions!$F$32+Credit_Assumptions!$I$33*Credit_Assumptions!$F$33))/SUMIFS(Curves!$AP$8:$AP$68,Curves!$A$8:$A$68,"&lt;="&amp;12),0)</f>
        <v/>
      </c>
      <c r="E41" s="81">
        <f>IFERROR(((SUMIFS(Curves!$AZ$8:$AZ$68,Curves!$A$8:$A$68,"&lt;="&amp;MAX(0,MIN(MIN(18,Products!$F$16),18-7+1)))+MAX(0,MIN(18,Products!$F$16)-MAX(0,MIN(MIN(18,Products!$F$16),18-7+1)))*Products!$F$33*(1-INDEX(Curves!$AO$8:$AO$68,MAX(0,MIN(MIN(18,Products!$F$16),18-7+1))+1)))+INDEX(Curves!$AS$8:$AS$68,18+1)*(Credit_Assumptions!$I$30*Credit_Assumptions!$F$30+Credit_Assumptions!$I$31*Credit_Assumptions!$F$31+Credit_Assumptions!$I$32*Credit_Assumptions!$F$32+Credit_Assumptions!$I$33*Credit_Assumptions!$F$33))/SUMIFS(Curves!$AP$8:$AP$68,Curves!$A$8:$A$68,"&lt;="&amp;18),0)</f>
        <v/>
      </c>
      <c r="F41" s="81">
        <f>IFERROR(((SUMIFS(Curves!$AZ$8:$AZ$68,Curves!$A$8:$A$68,"&lt;="&amp;MAX(0,MIN(MIN(24,Products!$F$16),24-7+1)))+MAX(0,MIN(24,Products!$F$16)-MAX(0,MIN(MIN(24,Products!$F$16),24-7+1)))*Products!$F$33*(1-INDEX(Curves!$AO$8:$AO$68,MAX(0,MIN(MIN(24,Products!$F$16),24-7+1))+1)))+INDEX(Curves!$AS$8:$AS$68,24+1)*(Credit_Assumptions!$I$30*Credit_Assumptions!$F$30+Credit_Assumptions!$I$31*Credit_Assumptions!$F$31+Credit_Assumptions!$I$32*Credit_Assumptions!$F$32+Credit_Assumptions!$I$33*Credit_Assumptions!$F$33))/SUMIFS(Curves!$AP$8:$AP$68,Curves!$A$8:$A$68,"&lt;="&amp;24),0)</f>
        <v/>
      </c>
      <c r="G41" s="81">
        <f>IFERROR(((SUMIFS(Curves!$AZ$8:$AZ$68,Curves!$A$8:$A$68,"&lt;="&amp;MAX(0,MIN(MIN(36,Products!$F$16),36-7+1)))+MAX(0,MIN(36,Products!$F$16)-MAX(0,MIN(MIN(36,Products!$F$16),36-7+1)))*Products!$F$33*(1-INDEX(Curves!$AO$8:$AO$68,MAX(0,MIN(MIN(36,Products!$F$16),36-7+1))+1)))+INDEX(Curves!$AS$8:$AS$68,36+1)*(Credit_Assumptions!$I$30*Credit_Assumptions!$F$30+Credit_Assumptions!$I$31*Credit_Assumptions!$F$31+Credit_Assumptions!$I$32*Credit_Assumptions!$F$32+Credit_Assumptions!$I$33*Credit_Assumptions!$F$33))/SUMIFS(Curves!$AP$8:$AP$68,Curves!$A$8:$A$68,"&lt;="&amp;36),0)</f>
        <v/>
      </c>
      <c r="H41" s="81">
        <f>IFERROR(((SUMIFS(Curves!$AZ$8:$AZ$68,Curves!$A$8:$A$68,"&lt;="&amp;MAX(0,MIN(MIN(48,Products!$F$16),48-7+1)))+MAX(0,MIN(48,Products!$F$16)-MAX(0,MIN(MIN(48,Products!$F$16),48-7+1)))*Products!$F$33*(1-INDEX(Curves!$AO$8:$AO$68,MAX(0,MIN(MIN(48,Products!$F$16),48-7+1))+1)))+INDEX(Curves!$AS$8:$AS$68,48+1)*(Credit_Assumptions!$I$30*Credit_Assumptions!$F$30+Credit_Assumptions!$I$31*Credit_Assumptions!$F$31+Credit_Assumptions!$I$32*Credit_Assumptions!$F$32+Credit_Assumptions!$I$33*Credit_Assumptions!$F$33))/SUMIFS(Curves!$AP$8:$AP$68,Curves!$A$8:$A$68,"&lt;="&amp;48),0)</f>
        <v/>
      </c>
      <c r="I41" s="81">
        <f>IFERROR(((SUMIFS(Curves!$AZ$8:$AZ$68,Curves!$A$8:$A$68,"&lt;="&amp;MAX(0,MIN(MIN(60,Products!$F$16),60-7+1)))+MAX(0,MIN(60,Products!$F$16)-MAX(0,MIN(MIN(60,Products!$F$16),60-7+1)))*Products!$F$33*(1-INDEX(Curves!$AO$8:$AO$68,MAX(0,MIN(MIN(60,Products!$F$16),60-7+1))+1)))+INDEX(Curves!$AS$8:$AS$68,60+1)*(Credit_Assumptions!$I$30*Credit_Assumptions!$F$30+Credit_Assumptions!$I$31*Credit_Assumptions!$F$31+Credit_Assumptions!$I$32*Credit_Assumptions!$F$32+Credit_Assumptions!$I$33*Credit_Assumptions!$F$33))/SUMIFS(Curves!$AP$8:$AP$68,Curves!$A$8:$A$68,"&lt;="&amp;60),0)</f>
        <v/>
      </c>
    </row>
    <row r="42">
      <c r="A42" s="34" t="inlineStr">
        <is>
          <t>Recovery / default</t>
        </is>
      </c>
      <c r="B42" s="81">
        <f>IFERROR(SUMIFS(Curves!$AV$8:$AV$68,Curves!$A$8:$A$68,"&lt;="&amp;3)/SUMIFS(Curves!$AR$8:$AR$68,Curves!$A$8:$A$68,"&lt;="&amp;3),0)</f>
        <v/>
      </c>
      <c r="C42" s="81">
        <f>IFERROR(SUMIFS(Curves!$AV$8:$AV$68,Curves!$A$8:$A$68,"&lt;="&amp;6)/SUMIFS(Curves!$AR$8:$AR$68,Curves!$A$8:$A$68,"&lt;="&amp;6),0)</f>
        <v/>
      </c>
      <c r="D42" s="81">
        <f>IFERROR(SUMIFS(Curves!$AV$8:$AV$68,Curves!$A$8:$A$68,"&lt;="&amp;12)/SUMIFS(Curves!$AR$8:$AR$68,Curves!$A$8:$A$68,"&lt;="&amp;12),0)</f>
        <v/>
      </c>
      <c r="E42" s="81">
        <f>IFERROR(SUMIFS(Curves!$AV$8:$AV$68,Curves!$A$8:$A$68,"&lt;="&amp;18)/SUMIFS(Curves!$AR$8:$AR$68,Curves!$A$8:$A$68,"&lt;="&amp;18),0)</f>
        <v/>
      </c>
      <c r="F42" s="81">
        <f>IFERROR(SUMIFS(Curves!$AV$8:$AV$68,Curves!$A$8:$A$68,"&lt;="&amp;24)/SUMIFS(Curves!$AR$8:$AR$68,Curves!$A$8:$A$68,"&lt;="&amp;24),0)</f>
        <v/>
      </c>
      <c r="G42" s="81">
        <f>IFERROR(SUMIFS(Curves!$AV$8:$AV$68,Curves!$A$8:$A$68,"&lt;="&amp;36)/SUMIFS(Curves!$AR$8:$AR$68,Curves!$A$8:$A$68,"&lt;="&amp;36),0)</f>
        <v/>
      </c>
      <c r="H42" s="81">
        <f>IFERROR(SUMIFS(Curves!$AV$8:$AV$68,Curves!$A$8:$A$68,"&lt;="&amp;48)/SUMIFS(Curves!$AR$8:$AR$68,Curves!$A$8:$A$68,"&lt;="&amp;48),0)</f>
        <v/>
      </c>
      <c r="I42" s="81">
        <f>IFERROR(SUMIFS(Curves!$AV$8:$AV$68,Curves!$A$8:$A$68,"&lt;="&amp;60)/SUMIFS(Curves!$AR$8:$AR$68,Curves!$A$8:$A$68,"&lt;="&amp;60),0)</f>
        <v/>
      </c>
    </row>
    <row r="43">
      <c r="A43" s="34" t="inlineStr">
        <is>
          <t>Active account share</t>
        </is>
      </c>
      <c r="B43" s="81">
        <f>INDEX(Curves!$AT$8:$AT$68,3+1)</f>
        <v/>
      </c>
      <c r="C43" s="81">
        <f>INDEX(Curves!$AT$8:$AT$68,6+1)</f>
        <v/>
      </c>
      <c r="D43" s="81">
        <f>INDEX(Curves!$AT$8:$AT$68,12+1)</f>
        <v/>
      </c>
      <c r="E43" s="81">
        <f>INDEX(Curves!$AT$8:$AT$68,18+1)</f>
        <v/>
      </c>
      <c r="F43" s="81">
        <f>INDEX(Curves!$AT$8:$AT$68,24+1)</f>
        <v/>
      </c>
      <c r="G43" s="81">
        <f>INDEX(Curves!$AT$8:$AT$68,36+1)</f>
        <v/>
      </c>
      <c r="H43" s="81">
        <f>INDEX(Curves!$AT$8:$AT$68,48+1)</f>
        <v/>
      </c>
      <c r="I43" s="81">
        <f>INDEX(Curves!$AT$8:$AT$68,60+1)</f>
        <v/>
      </c>
    </row>
    <row r="44">
      <c r="A44" s="34" t="inlineStr">
        <is>
          <t>Cumulative contribution per unit (LCY)</t>
        </is>
      </c>
      <c r="B44" s="80">
        <f>INDEX(Curves!$AY$8:$AY$68,3+1)</f>
        <v/>
      </c>
      <c r="C44" s="80">
        <f>INDEX(Curves!$AY$8:$AY$68,6+1)</f>
        <v/>
      </c>
      <c r="D44" s="80">
        <f>INDEX(Curves!$AY$8:$AY$68,12+1)</f>
        <v/>
      </c>
      <c r="E44" s="80">
        <f>INDEX(Curves!$AY$8:$AY$68,18+1)</f>
        <v/>
      </c>
      <c r="F44" s="80">
        <f>INDEX(Curves!$AY$8:$AY$68,24+1)</f>
        <v/>
      </c>
      <c r="G44" s="80">
        <f>INDEX(Curves!$AY$8:$AY$68,36+1)</f>
        <v/>
      </c>
      <c r="H44" s="80">
        <f>INDEX(Curves!$AY$8:$AY$68,48+1)</f>
        <v/>
      </c>
      <c r="I44" s="80">
        <f>INDEX(Curves!$AY$8:$AY$68,60+1)</f>
        <v/>
      </c>
    </row>
    <row r="45"/>
    <row r="46">
      <c r="A46" s="111" t="inlineStr">
        <is>
          <t>Tier 5: Solar inverter + lithium (~3 kWp / 10 kWh)</t>
        </is>
      </c>
    </row>
    <row r="47">
      <c r="A47" s="40" t="inlineStr">
        <is>
          <t>KPI</t>
        </is>
      </c>
      <c r="B47" s="40" t="inlineStr">
        <is>
          <t>M3</t>
        </is>
      </c>
      <c r="C47" s="40" t="inlineStr">
        <is>
          <t>M6</t>
        </is>
      </c>
      <c r="D47" s="40" t="inlineStr">
        <is>
          <t>M12</t>
        </is>
      </c>
      <c r="E47" s="40" t="inlineStr">
        <is>
          <t>M18</t>
        </is>
      </c>
      <c r="F47" s="40" t="inlineStr">
        <is>
          <t>M24</t>
        </is>
      </c>
      <c r="G47" s="40" t="inlineStr">
        <is>
          <t>M36</t>
        </is>
      </c>
      <c r="H47" s="40" t="inlineStr">
        <is>
          <t>M48</t>
        </is>
      </c>
      <c r="I47" s="40" t="inlineStr">
        <is>
          <t>M60</t>
        </is>
      </c>
    </row>
    <row r="48">
      <c r="A48" s="34" t="inlineStr">
        <is>
          <t>Cohort repayment ratio (not PERFORM)</t>
        </is>
      </c>
      <c r="B48" s="81">
        <f>IFERROR(SUMIFS(Curves!$BD$8:$BD$68,Curves!$A$8:$A$68,"&lt;="&amp;3)/SUMIFS(Curves!$BC$8:$BC$68,Curves!$A$8:$A$68,"&lt;="&amp;3),0)</f>
        <v/>
      </c>
      <c r="C48" s="81">
        <f>IFERROR(SUMIFS(Curves!$BD$8:$BD$68,Curves!$A$8:$A$68,"&lt;="&amp;6)/SUMIFS(Curves!$BC$8:$BC$68,Curves!$A$8:$A$68,"&lt;="&amp;6),0)</f>
        <v/>
      </c>
      <c r="D48" s="81">
        <f>IFERROR(SUMIFS(Curves!$BD$8:$BD$68,Curves!$A$8:$A$68,"&lt;="&amp;12)/SUMIFS(Curves!$BC$8:$BC$68,Curves!$A$8:$A$68,"&lt;="&amp;12),0)</f>
        <v/>
      </c>
      <c r="E48" s="81">
        <f>IFERROR(SUMIFS(Curves!$BD$8:$BD$68,Curves!$A$8:$A$68,"&lt;="&amp;18)/SUMIFS(Curves!$BC$8:$BC$68,Curves!$A$8:$A$68,"&lt;="&amp;18),0)</f>
        <v/>
      </c>
      <c r="F48" s="81">
        <f>IFERROR(SUMIFS(Curves!$BD$8:$BD$68,Curves!$A$8:$A$68,"&lt;="&amp;24)/SUMIFS(Curves!$BC$8:$BC$68,Curves!$A$8:$A$68,"&lt;="&amp;24),0)</f>
        <v/>
      </c>
      <c r="G48" s="81">
        <f>IFERROR(SUMIFS(Curves!$BD$8:$BD$68,Curves!$A$8:$A$68,"&lt;="&amp;36)/SUMIFS(Curves!$BC$8:$BC$68,Curves!$A$8:$A$68,"&lt;="&amp;36),0)</f>
        <v/>
      </c>
      <c r="H48" s="81">
        <f>IFERROR(SUMIFS(Curves!$BD$8:$BD$68,Curves!$A$8:$A$68,"&lt;="&amp;48)/SUMIFS(Curves!$BC$8:$BC$68,Curves!$A$8:$A$68,"&lt;="&amp;48),0)</f>
        <v/>
      </c>
      <c r="I48" s="81">
        <f>IFERROR(SUMIFS(Curves!$BD$8:$BD$68,Curves!$A$8:$A$68,"&lt;="&amp;60)/SUMIFS(Curves!$BC$8:$BC$68,Curves!$A$8:$A$68,"&lt;="&amp;60),0)</f>
        <v/>
      </c>
    </row>
    <row r="49">
      <c r="A49" s="34" t="inlineStr">
        <is>
          <t>30+ DPD exposure / due</t>
        </is>
      </c>
      <c r="B49" s="81">
        <f>IFERROR(((SUMIFS(Curves!$BM$8:$BM$68,Curves!$A$8:$A$68,"&lt;="&amp;MAX(0,MIN(MIN(3,Products!$G$16),3-2+1)))+MAX(0,MIN(3,Products!$G$16)-MAX(0,MIN(MIN(3,Products!$G$16),3-2+1)))*Products!$G$33*(1-INDEX(Curves!$BB$8:$BB$68,MAX(0,MIN(MIN(3,Products!$G$16),3-2+1))+1)))+INDEX(Curves!$BF$8:$BF$68,3+1)*(Credit_Assumptions!$I$30*Credit_Assumptions!$G$30+Credit_Assumptions!$I$31*Credit_Assumptions!$G$31+Credit_Assumptions!$I$32*Credit_Assumptions!$G$32+Credit_Assumptions!$I$33*Credit_Assumptions!$G$33))/SUMIFS(Curves!$BC$8:$BC$68,Curves!$A$8:$A$68,"&lt;="&amp;3),0)</f>
        <v/>
      </c>
      <c r="C49" s="81">
        <f>IFERROR(((SUMIFS(Curves!$BM$8:$BM$68,Curves!$A$8:$A$68,"&lt;="&amp;MAX(0,MIN(MIN(6,Products!$G$16),6-2+1)))+MAX(0,MIN(6,Products!$G$16)-MAX(0,MIN(MIN(6,Products!$G$16),6-2+1)))*Products!$G$33*(1-INDEX(Curves!$BB$8:$BB$68,MAX(0,MIN(MIN(6,Products!$G$16),6-2+1))+1)))+INDEX(Curves!$BF$8:$BF$68,6+1)*(Credit_Assumptions!$I$30*Credit_Assumptions!$G$30+Credit_Assumptions!$I$31*Credit_Assumptions!$G$31+Credit_Assumptions!$I$32*Credit_Assumptions!$G$32+Credit_Assumptions!$I$33*Credit_Assumptions!$G$33))/SUMIFS(Curves!$BC$8:$BC$68,Curves!$A$8:$A$68,"&lt;="&amp;6),0)</f>
        <v/>
      </c>
      <c r="D49" s="81">
        <f>IFERROR(((SUMIFS(Curves!$BM$8:$BM$68,Curves!$A$8:$A$68,"&lt;="&amp;MAX(0,MIN(MIN(12,Products!$G$16),12-2+1)))+MAX(0,MIN(12,Products!$G$16)-MAX(0,MIN(MIN(12,Products!$G$16),12-2+1)))*Products!$G$33*(1-INDEX(Curves!$BB$8:$BB$68,MAX(0,MIN(MIN(12,Products!$G$16),12-2+1))+1)))+INDEX(Curves!$BF$8:$BF$68,12+1)*(Credit_Assumptions!$I$30*Credit_Assumptions!$G$30+Credit_Assumptions!$I$31*Credit_Assumptions!$G$31+Credit_Assumptions!$I$32*Credit_Assumptions!$G$32+Credit_Assumptions!$I$33*Credit_Assumptions!$G$33))/SUMIFS(Curves!$BC$8:$BC$68,Curves!$A$8:$A$68,"&lt;="&amp;12),0)</f>
        <v/>
      </c>
      <c r="E49" s="81">
        <f>IFERROR(((SUMIFS(Curves!$BM$8:$BM$68,Curves!$A$8:$A$68,"&lt;="&amp;MAX(0,MIN(MIN(18,Products!$G$16),18-2+1)))+MAX(0,MIN(18,Products!$G$16)-MAX(0,MIN(MIN(18,Products!$G$16),18-2+1)))*Products!$G$33*(1-INDEX(Curves!$BB$8:$BB$68,MAX(0,MIN(MIN(18,Products!$G$16),18-2+1))+1)))+INDEX(Curves!$BF$8:$BF$68,18+1)*(Credit_Assumptions!$I$30*Credit_Assumptions!$G$30+Credit_Assumptions!$I$31*Credit_Assumptions!$G$31+Credit_Assumptions!$I$32*Credit_Assumptions!$G$32+Credit_Assumptions!$I$33*Credit_Assumptions!$G$33))/SUMIFS(Curves!$BC$8:$BC$68,Curves!$A$8:$A$68,"&lt;="&amp;18),0)</f>
        <v/>
      </c>
      <c r="F49" s="81">
        <f>IFERROR(((SUMIFS(Curves!$BM$8:$BM$68,Curves!$A$8:$A$68,"&lt;="&amp;MAX(0,MIN(MIN(24,Products!$G$16),24-2+1)))+MAX(0,MIN(24,Products!$G$16)-MAX(0,MIN(MIN(24,Products!$G$16),24-2+1)))*Products!$G$33*(1-INDEX(Curves!$BB$8:$BB$68,MAX(0,MIN(MIN(24,Products!$G$16),24-2+1))+1)))+INDEX(Curves!$BF$8:$BF$68,24+1)*(Credit_Assumptions!$I$30*Credit_Assumptions!$G$30+Credit_Assumptions!$I$31*Credit_Assumptions!$G$31+Credit_Assumptions!$I$32*Credit_Assumptions!$G$32+Credit_Assumptions!$I$33*Credit_Assumptions!$G$33))/SUMIFS(Curves!$BC$8:$BC$68,Curves!$A$8:$A$68,"&lt;="&amp;24),0)</f>
        <v/>
      </c>
      <c r="G49" s="81">
        <f>IFERROR(((SUMIFS(Curves!$BM$8:$BM$68,Curves!$A$8:$A$68,"&lt;="&amp;MAX(0,MIN(MIN(36,Products!$G$16),36-2+1)))+MAX(0,MIN(36,Products!$G$16)-MAX(0,MIN(MIN(36,Products!$G$16),36-2+1)))*Products!$G$33*(1-INDEX(Curves!$BB$8:$BB$68,MAX(0,MIN(MIN(36,Products!$G$16),36-2+1))+1)))+INDEX(Curves!$BF$8:$BF$68,36+1)*(Credit_Assumptions!$I$30*Credit_Assumptions!$G$30+Credit_Assumptions!$I$31*Credit_Assumptions!$G$31+Credit_Assumptions!$I$32*Credit_Assumptions!$G$32+Credit_Assumptions!$I$33*Credit_Assumptions!$G$33))/SUMIFS(Curves!$BC$8:$BC$68,Curves!$A$8:$A$68,"&lt;="&amp;36),0)</f>
        <v/>
      </c>
      <c r="H49" s="81">
        <f>IFERROR(((SUMIFS(Curves!$BM$8:$BM$68,Curves!$A$8:$A$68,"&lt;="&amp;MAX(0,MIN(MIN(48,Products!$G$16),48-2+1)))+MAX(0,MIN(48,Products!$G$16)-MAX(0,MIN(MIN(48,Products!$G$16),48-2+1)))*Products!$G$33*(1-INDEX(Curves!$BB$8:$BB$68,MAX(0,MIN(MIN(48,Products!$G$16),48-2+1))+1)))+INDEX(Curves!$BF$8:$BF$68,48+1)*(Credit_Assumptions!$I$30*Credit_Assumptions!$G$30+Credit_Assumptions!$I$31*Credit_Assumptions!$G$31+Credit_Assumptions!$I$32*Credit_Assumptions!$G$32+Credit_Assumptions!$I$33*Credit_Assumptions!$G$33))/SUMIFS(Curves!$BC$8:$BC$68,Curves!$A$8:$A$68,"&lt;="&amp;48),0)</f>
        <v/>
      </c>
      <c r="I49" s="81">
        <f>IFERROR(((SUMIFS(Curves!$BM$8:$BM$68,Curves!$A$8:$A$68,"&lt;="&amp;MAX(0,MIN(MIN(60,Products!$G$16),60-2+1)))+MAX(0,MIN(60,Products!$G$16)-MAX(0,MIN(MIN(60,Products!$G$16),60-2+1)))*Products!$G$33*(1-INDEX(Curves!$BB$8:$BB$68,MAX(0,MIN(MIN(60,Products!$G$16),60-2+1))+1)))+INDEX(Curves!$BF$8:$BF$68,60+1)*(Credit_Assumptions!$I$30*Credit_Assumptions!$G$30+Credit_Assumptions!$I$31*Credit_Assumptions!$G$31+Credit_Assumptions!$I$32*Credit_Assumptions!$G$32+Credit_Assumptions!$I$33*Credit_Assumptions!$G$33))/SUMIFS(Curves!$BC$8:$BC$68,Curves!$A$8:$A$68,"&lt;="&amp;60),0)</f>
        <v/>
      </c>
    </row>
    <row r="50">
      <c r="A50" s="34" t="inlineStr">
        <is>
          <t>90+ DPD exposure / due</t>
        </is>
      </c>
      <c r="B50" s="81">
        <f>IFERROR(((SUMIFS(Curves!$BM$8:$BM$68,Curves!$A$8:$A$68,"&lt;="&amp;MAX(0,MIN(MIN(3,Products!$G$16),3-4+1)))+MAX(0,MIN(3,Products!$G$16)-MAX(0,MIN(MIN(3,Products!$G$16),3-4+1)))*Products!$G$33*(1-INDEX(Curves!$BB$8:$BB$68,MAX(0,MIN(MIN(3,Products!$G$16),3-4+1))+1)))+INDEX(Curves!$BF$8:$BF$68,3+1)*(Credit_Assumptions!$I$30*Credit_Assumptions!$H$30+Credit_Assumptions!$I$31*Credit_Assumptions!$H$31+Credit_Assumptions!$I$32*Credit_Assumptions!$H$32+Credit_Assumptions!$I$33*Credit_Assumptions!$H$33))/SUMIFS(Curves!$BC$8:$BC$68,Curves!$A$8:$A$68,"&lt;="&amp;3),0)</f>
        <v/>
      </c>
      <c r="C50" s="81">
        <f>IFERROR(((SUMIFS(Curves!$BM$8:$BM$68,Curves!$A$8:$A$68,"&lt;="&amp;MAX(0,MIN(MIN(6,Products!$G$16),6-4+1)))+MAX(0,MIN(6,Products!$G$16)-MAX(0,MIN(MIN(6,Products!$G$16),6-4+1)))*Products!$G$33*(1-INDEX(Curves!$BB$8:$BB$68,MAX(0,MIN(MIN(6,Products!$G$16),6-4+1))+1)))+INDEX(Curves!$BF$8:$BF$68,6+1)*(Credit_Assumptions!$I$30*Credit_Assumptions!$H$30+Credit_Assumptions!$I$31*Credit_Assumptions!$H$31+Credit_Assumptions!$I$32*Credit_Assumptions!$H$32+Credit_Assumptions!$I$33*Credit_Assumptions!$H$33))/SUMIFS(Curves!$BC$8:$BC$68,Curves!$A$8:$A$68,"&lt;="&amp;6),0)</f>
        <v/>
      </c>
      <c r="D50" s="81">
        <f>IFERROR(((SUMIFS(Curves!$BM$8:$BM$68,Curves!$A$8:$A$68,"&lt;="&amp;MAX(0,MIN(MIN(12,Products!$G$16),12-4+1)))+MAX(0,MIN(12,Products!$G$16)-MAX(0,MIN(MIN(12,Products!$G$16),12-4+1)))*Products!$G$33*(1-INDEX(Curves!$BB$8:$BB$68,MAX(0,MIN(MIN(12,Products!$G$16),12-4+1))+1)))+INDEX(Curves!$BF$8:$BF$68,12+1)*(Credit_Assumptions!$I$30*Credit_Assumptions!$H$30+Credit_Assumptions!$I$31*Credit_Assumptions!$H$31+Credit_Assumptions!$I$32*Credit_Assumptions!$H$32+Credit_Assumptions!$I$33*Credit_Assumptions!$H$33))/SUMIFS(Curves!$BC$8:$BC$68,Curves!$A$8:$A$68,"&lt;="&amp;12),0)</f>
        <v/>
      </c>
      <c r="E50" s="81">
        <f>IFERROR(((SUMIFS(Curves!$BM$8:$BM$68,Curves!$A$8:$A$68,"&lt;="&amp;MAX(0,MIN(MIN(18,Products!$G$16),18-4+1)))+MAX(0,MIN(18,Products!$G$16)-MAX(0,MIN(MIN(18,Products!$G$16),18-4+1)))*Products!$G$33*(1-INDEX(Curves!$BB$8:$BB$68,MAX(0,MIN(MIN(18,Products!$G$16),18-4+1))+1)))+INDEX(Curves!$BF$8:$BF$68,18+1)*(Credit_Assumptions!$I$30*Credit_Assumptions!$H$30+Credit_Assumptions!$I$31*Credit_Assumptions!$H$31+Credit_Assumptions!$I$32*Credit_Assumptions!$H$32+Credit_Assumptions!$I$33*Credit_Assumptions!$H$33))/SUMIFS(Curves!$BC$8:$BC$68,Curves!$A$8:$A$68,"&lt;="&amp;18),0)</f>
        <v/>
      </c>
      <c r="F50" s="81">
        <f>IFERROR(((SUMIFS(Curves!$BM$8:$BM$68,Curves!$A$8:$A$68,"&lt;="&amp;MAX(0,MIN(MIN(24,Products!$G$16),24-4+1)))+MAX(0,MIN(24,Products!$G$16)-MAX(0,MIN(MIN(24,Products!$G$16),24-4+1)))*Products!$G$33*(1-INDEX(Curves!$BB$8:$BB$68,MAX(0,MIN(MIN(24,Products!$G$16),24-4+1))+1)))+INDEX(Curves!$BF$8:$BF$68,24+1)*(Credit_Assumptions!$I$30*Credit_Assumptions!$H$30+Credit_Assumptions!$I$31*Credit_Assumptions!$H$31+Credit_Assumptions!$I$32*Credit_Assumptions!$H$32+Credit_Assumptions!$I$33*Credit_Assumptions!$H$33))/SUMIFS(Curves!$BC$8:$BC$68,Curves!$A$8:$A$68,"&lt;="&amp;24),0)</f>
        <v/>
      </c>
      <c r="G50" s="81">
        <f>IFERROR(((SUMIFS(Curves!$BM$8:$BM$68,Curves!$A$8:$A$68,"&lt;="&amp;MAX(0,MIN(MIN(36,Products!$G$16),36-4+1)))+MAX(0,MIN(36,Products!$G$16)-MAX(0,MIN(MIN(36,Products!$G$16),36-4+1)))*Products!$G$33*(1-INDEX(Curves!$BB$8:$BB$68,MAX(0,MIN(MIN(36,Products!$G$16),36-4+1))+1)))+INDEX(Curves!$BF$8:$BF$68,36+1)*(Credit_Assumptions!$I$30*Credit_Assumptions!$H$30+Credit_Assumptions!$I$31*Credit_Assumptions!$H$31+Credit_Assumptions!$I$32*Credit_Assumptions!$H$32+Credit_Assumptions!$I$33*Credit_Assumptions!$H$33))/SUMIFS(Curves!$BC$8:$BC$68,Curves!$A$8:$A$68,"&lt;="&amp;36),0)</f>
        <v/>
      </c>
      <c r="H50" s="81">
        <f>IFERROR(((SUMIFS(Curves!$BM$8:$BM$68,Curves!$A$8:$A$68,"&lt;="&amp;MAX(0,MIN(MIN(48,Products!$G$16),48-4+1)))+MAX(0,MIN(48,Products!$G$16)-MAX(0,MIN(MIN(48,Products!$G$16),48-4+1)))*Products!$G$33*(1-INDEX(Curves!$BB$8:$BB$68,MAX(0,MIN(MIN(48,Products!$G$16),48-4+1))+1)))+INDEX(Curves!$BF$8:$BF$68,48+1)*(Credit_Assumptions!$I$30*Credit_Assumptions!$H$30+Credit_Assumptions!$I$31*Credit_Assumptions!$H$31+Credit_Assumptions!$I$32*Credit_Assumptions!$H$32+Credit_Assumptions!$I$33*Credit_Assumptions!$H$33))/SUMIFS(Curves!$BC$8:$BC$68,Curves!$A$8:$A$68,"&lt;="&amp;48),0)</f>
        <v/>
      </c>
      <c r="I50" s="81">
        <f>IFERROR(((SUMIFS(Curves!$BM$8:$BM$68,Curves!$A$8:$A$68,"&lt;="&amp;MAX(0,MIN(MIN(60,Products!$G$16),60-4+1)))+MAX(0,MIN(60,Products!$G$16)-MAX(0,MIN(MIN(60,Products!$G$16),60-4+1)))*Products!$G$33*(1-INDEX(Curves!$BB$8:$BB$68,MAX(0,MIN(MIN(60,Products!$G$16),60-4+1))+1)))+INDEX(Curves!$BF$8:$BF$68,60+1)*(Credit_Assumptions!$I$30*Credit_Assumptions!$H$30+Credit_Assumptions!$I$31*Credit_Assumptions!$H$31+Credit_Assumptions!$I$32*Credit_Assumptions!$H$32+Credit_Assumptions!$I$33*Credit_Assumptions!$H$33))/SUMIFS(Curves!$BC$8:$BC$68,Curves!$A$8:$A$68,"&lt;="&amp;60),0)</f>
        <v/>
      </c>
    </row>
    <row r="51">
      <c r="A51" s="34" t="inlineStr">
        <is>
          <t>180+ default exposure / due</t>
        </is>
      </c>
      <c r="B51" s="81">
        <f>IFERROR(((SUMIFS(Curves!$BM$8:$BM$68,Curves!$A$8:$A$68,"&lt;="&amp;MAX(0,MIN(MIN(3,Products!$G$16),3-7+1)))+MAX(0,MIN(3,Products!$G$16)-MAX(0,MIN(MIN(3,Products!$G$16),3-7+1)))*Products!$G$33*(1-INDEX(Curves!$BB$8:$BB$68,MAX(0,MIN(MIN(3,Products!$G$16),3-7+1))+1)))+INDEX(Curves!$BF$8:$BF$68,3+1)*(Credit_Assumptions!$I$30*Credit_Assumptions!$F$30+Credit_Assumptions!$I$31*Credit_Assumptions!$F$31+Credit_Assumptions!$I$32*Credit_Assumptions!$F$32+Credit_Assumptions!$I$33*Credit_Assumptions!$F$33))/SUMIFS(Curves!$BC$8:$BC$68,Curves!$A$8:$A$68,"&lt;="&amp;3),0)</f>
        <v/>
      </c>
      <c r="C51" s="81">
        <f>IFERROR(((SUMIFS(Curves!$BM$8:$BM$68,Curves!$A$8:$A$68,"&lt;="&amp;MAX(0,MIN(MIN(6,Products!$G$16),6-7+1)))+MAX(0,MIN(6,Products!$G$16)-MAX(0,MIN(MIN(6,Products!$G$16),6-7+1)))*Products!$G$33*(1-INDEX(Curves!$BB$8:$BB$68,MAX(0,MIN(MIN(6,Products!$G$16),6-7+1))+1)))+INDEX(Curves!$BF$8:$BF$68,6+1)*(Credit_Assumptions!$I$30*Credit_Assumptions!$F$30+Credit_Assumptions!$I$31*Credit_Assumptions!$F$31+Credit_Assumptions!$I$32*Credit_Assumptions!$F$32+Credit_Assumptions!$I$33*Credit_Assumptions!$F$33))/SUMIFS(Curves!$BC$8:$BC$68,Curves!$A$8:$A$68,"&lt;="&amp;6),0)</f>
        <v/>
      </c>
      <c r="D51" s="81">
        <f>IFERROR(((SUMIFS(Curves!$BM$8:$BM$68,Curves!$A$8:$A$68,"&lt;="&amp;MAX(0,MIN(MIN(12,Products!$G$16),12-7+1)))+MAX(0,MIN(12,Products!$G$16)-MAX(0,MIN(MIN(12,Products!$G$16),12-7+1)))*Products!$G$33*(1-INDEX(Curves!$BB$8:$BB$68,MAX(0,MIN(MIN(12,Products!$G$16),12-7+1))+1)))+INDEX(Curves!$BF$8:$BF$68,12+1)*(Credit_Assumptions!$I$30*Credit_Assumptions!$F$30+Credit_Assumptions!$I$31*Credit_Assumptions!$F$31+Credit_Assumptions!$I$32*Credit_Assumptions!$F$32+Credit_Assumptions!$I$33*Credit_Assumptions!$F$33))/SUMIFS(Curves!$BC$8:$BC$68,Curves!$A$8:$A$68,"&lt;="&amp;12),0)</f>
        <v/>
      </c>
      <c r="E51" s="81">
        <f>IFERROR(((SUMIFS(Curves!$BM$8:$BM$68,Curves!$A$8:$A$68,"&lt;="&amp;MAX(0,MIN(MIN(18,Products!$G$16),18-7+1)))+MAX(0,MIN(18,Products!$G$16)-MAX(0,MIN(MIN(18,Products!$G$16),18-7+1)))*Products!$G$33*(1-INDEX(Curves!$BB$8:$BB$68,MAX(0,MIN(MIN(18,Products!$G$16),18-7+1))+1)))+INDEX(Curves!$BF$8:$BF$68,18+1)*(Credit_Assumptions!$I$30*Credit_Assumptions!$F$30+Credit_Assumptions!$I$31*Credit_Assumptions!$F$31+Credit_Assumptions!$I$32*Credit_Assumptions!$F$32+Credit_Assumptions!$I$33*Credit_Assumptions!$F$33))/SUMIFS(Curves!$BC$8:$BC$68,Curves!$A$8:$A$68,"&lt;="&amp;18),0)</f>
        <v/>
      </c>
      <c r="F51" s="81">
        <f>IFERROR(((SUMIFS(Curves!$BM$8:$BM$68,Curves!$A$8:$A$68,"&lt;="&amp;MAX(0,MIN(MIN(24,Products!$G$16),24-7+1)))+MAX(0,MIN(24,Products!$G$16)-MAX(0,MIN(MIN(24,Products!$G$16),24-7+1)))*Products!$G$33*(1-INDEX(Curves!$BB$8:$BB$68,MAX(0,MIN(MIN(24,Products!$G$16),24-7+1))+1)))+INDEX(Curves!$BF$8:$BF$68,24+1)*(Credit_Assumptions!$I$30*Credit_Assumptions!$F$30+Credit_Assumptions!$I$31*Credit_Assumptions!$F$31+Credit_Assumptions!$I$32*Credit_Assumptions!$F$32+Credit_Assumptions!$I$33*Credit_Assumptions!$F$33))/SUMIFS(Curves!$BC$8:$BC$68,Curves!$A$8:$A$68,"&lt;="&amp;24),0)</f>
        <v/>
      </c>
      <c r="G51" s="81">
        <f>IFERROR(((SUMIFS(Curves!$BM$8:$BM$68,Curves!$A$8:$A$68,"&lt;="&amp;MAX(0,MIN(MIN(36,Products!$G$16),36-7+1)))+MAX(0,MIN(36,Products!$G$16)-MAX(0,MIN(MIN(36,Products!$G$16),36-7+1)))*Products!$G$33*(1-INDEX(Curves!$BB$8:$BB$68,MAX(0,MIN(MIN(36,Products!$G$16),36-7+1))+1)))+INDEX(Curves!$BF$8:$BF$68,36+1)*(Credit_Assumptions!$I$30*Credit_Assumptions!$F$30+Credit_Assumptions!$I$31*Credit_Assumptions!$F$31+Credit_Assumptions!$I$32*Credit_Assumptions!$F$32+Credit_Assumptions!$I$33*Credit_Assumptions!$F$33))/SUMIFS(Curves!$BC$8:$BC$68,Curves!$A$8:$A$68,"&lt;="&amp;36),0)</f>
        <v/>
      </c>
      <c r="H51" s="81">
        <f>IFERROR(((SUMIFS(Curves!$BM$8:$BM$68,Curves!$A$8:$A$68,"&lt;="&amp;MAX(0,MIN(MIN(48,Products!$G$16),48-7+1)))+MAX(0,MIN(48,Products!$G$16)-MAX(0,MIN(MIN(48,Products!$G$16),48-7+1)))*Products!$G$33*(1-INDEX(Curves!$BB$8:$BB$68,MAX(0,MIN(MIN(48,Products!$G$16),48-7+1))+1)))+INDEX(Curves!$BF$8:$BF$68,48+1)*(Credit_Assumptions!$I$30*Credit_Assumptions!$F$30+Credit_Assumptions!$I$31*Credit_Assumptions!$F$31+Credit_Assumptions!$I$32*Credit_Assumptions!$F$32+Credit_Assumptions!$I$33*Credit_Assumptions!$F$33))/SUMIFS(Curves!$BC$8:$BC$68,Curves!$A$8:$A$68,"&lt;="&amp;48),0)</f>
        <v/>
      </c>
      <c r="I51" s="81">
        <f>IFERROR(((SUMIFS(Curves!$BM$8:$BM$68,Curves!$A$8:$A$68,"&lt;="&amp;MAX(0,MIN(MIN(60,Products!$G$16),60-7+1)))+MAX(0,MIN(60,Products!$G$16)-MAX(0,MIN(MIN(60,Products!$G$16),60-7+1)))*Products!$G$33*(1-INDEX(Curves!$BB$8:$BB$68,MAX(0,MIN(MIN(60,Products!$G$16),60-7+1))+1)))+INDEX(Curves!$BF$8:$BF$68,60+1)*(Credit_Assumptions!$I$30*Credit_Assumptions!$F$30+Credit_Assumptions!$I$31*Credit_Assumptions!$F$31+Credit_Assumptions!$I$32*Credit_Assumptions!$F$32+Credit_Assumptions!$I$33*Credit_Assumptions!$F$33))/SUMIFS(Curves!$BC$8:$BC$68,Curves!$A$8:$A$68,"&lt;="&amp;60),0)</f>
        <v/>
      </c>
    </row>
    <row r="52">
      <c r="A52" s="34" t="inlineStr">
        <is>
          <t>Recovery / default</t>
        </is>
      </c>
      <c r="B52" s="81">
        <f>IFERROR(SUMIFS(Curves!$BI$8:$BI$68,Curves!$A$8:$A$68,"&lt;="&amp;3)/SUMIFS(Curves!$BE$8:$BE$68,Curves!$A$8:$A$68,"&lt;="&amp;3),0)</f>
        <v/>
      </c>
      <c r="C52" s="81">
        <f>IFERROR(SUMIFS(Curves!$BI$8:$BI$68,Curves!$A$8:$A$68,"&lt;="&amp;6)/SUMIFS(Curves!$BE$8:$BE$68,Curves!$A$8:$A$68,"&lt;="&amp;6),0)</f>
        <v/>
      </c>
      <c r="D52" s="81">
        <f>IFERROR(SUMIFS(Curves!$BI$8:$BI$68,Curves!$A$8:$A$68,"&lt;="&amp;12)/SUMIFS(Curves!$BE$8:$BE$68,Curves!$A$8:$A$68,"&lt;="&amp;12),0)</f>
        <v/>
      </c>
      <c r="E52" s="81">
        <f>IFERROR(SUMIFS(Curves!$BI$8:$BI$68,Curves!$A$8:$A$68,"&lt;="&amp;18)/SUMIFS(Curves!$BE$8:$BE$68,Curves!$A$8:$A$68,"&lt;="&amp;18),0)</f>
        <v/>
      </c>
      <c r="F52" s="81">
        <f>IFERROR(SUMIFS(Curves!$BI$8:$BI$68,Curves!$A$8:$A$68,"&lt;="&amp;24)/SUMIFS(Curves!$BE$8:$BE$68,Curves!$A$8:$A$68,"&lt;="&amp;24),0)</f>
        <v/>
      </c>
      <c r="G52" s="81">
        <f>IFERROR(SUMIFS(Curves!$BI$8:$BI$68,Curves!$A$8:$A$68,"&lt;="&amp;36)/SUMIFS(Curves!$BE$8:$BE$68,Curves!$A$8:$A$68,"&lt;="&amp;36),0)</f>
        <v/>
      </c>
      <c r="H52" s="81">
        <f>IFERROR(SUMIFS(Curves!$BI$8:$BI$68,Curves!$A$8:$A$68,"&lt;="&amp;48)/SUMIFS(Curves!$BE$8:$BE$68,Curves!$A$8:$A$68,"&lt;="&amp;48),0)</f>
        <v/>
      </c>
      <c r="I52" s="81">
        <f>IFERROR(SUMIFS(Curves!$BI$8:$BI$68,Curves!$A$8:$A$68,"&lt;="&amp;60)/SUMIFS(Curves!$BE$8:$BE$68,Curves!$A$8:$A$68,"&lt;="&amp;60),0)</f>
        <v/>
      </c>
    </row>
    <row r="53">
      <c r="A53" s="34" t="inlineStr">
        <is>
          <t>Active account share</t>
        </is>
      </c>
      <c r="B53" s="81">
        <f>INDEX(Curves!$BG$8:$BG$68,3+1)</f>
        <v/>
      </c>
      <c r="C53" s="81">
        <f>INDEX(Curves!$BG$8:$BG$68,6+1)</f>
        <v/>
      </c>
      <c r="D53" s="81">
        <f>INDEX(Curves!$BG$8:$BG$68,12+1)</f>
        <v/>
      </c>
      <c r="E53" s="81">
        <f>INDEX(Curves!$BG$8:$BG$68,18+1)</f>
        <v/>
      </c>
      <c r="F53" s="81">
        <f>INDEX(Curves!$BG$8:$BG$68,24+1)</f>
        <v/>
      </c>
      <c r="G53" s="81">
        <f>INDEX(Curves!$BG$8:$BG$68,36+1)</f>
        <v/>
      </c>
      <c r="H53" s="81">
        <f>INDEX(Curves!$BG$8:$BG$68,48+1)</f>
        <v/>
      </c>
      <c r="I53" s="81">
        <f>INDEX(Curves!$BG$8:$BG$68,60+1)</f>
        <v/>
      </c>
    </row>
    <row r="54">
      <c r="A54" s="34" t="inlineStr">
        <is>
          <t>Cumulative contribution per unit (LCY)</t>
        </is>
      </c>
      <c r="B54" s="80">
        <f>INDEX(Curves!$BL$8:$BL$68,3+1)</f>
        <v/>
      </c>
      <c r="C54" s="80">
        <f>INDEX(Curves!$BL$8:$BL$68,6+1)</f>
        <v/>
      </c>
      <c r="D54" s="80">
        <f>INDEX(Curves!$BL$8:$BL$68,12+1)</f>
        <v/>
      </c>
      <c r="E54" s="80">
        <f>INDEX(Curves!$BL$8:$BL$68,18+1)</f>
        <v/>
      </c>
      <c r="F54" s="80">
        <f>INDEX(Curves!$BL$8:$BL$68,24+1)</f>
        <v/>
      </c>
      <c r="G54" s="80">
        <f>INDEX(Curves!$BL$8:$BL$68,36+1)</f>
        <v/>
      </c>
      <c r="H54" s="80">
        <f>INDEX(Curves!$BL$8:$BL$68,48+1)</f>
        <v/>
      </c>
      <c r="I54" s="80">
        <f>INDEX(Curves!$BL$8:$BL$68,60+1)</f>
        <v/>
      </c>
    </row>
    <row r="55"/>
    <row r="56"/>
    <row r="57">
      <c r="A57" s="21" t="inlineStr">
        <is>
          <t>B. Cohort results (selected per cohort mode)</t>
        </is>
      </c>
      <c r="B57" s="22" t="n"/>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c r="AA57" s="22" t="n"/>
      <c r="AB57" s="22" t="n"/>
      <c r="AC57" s="22" t="n"/>
      <c r="AD57" s="22" t="n"/>
      <c r="AE57" s="22" t="n"/>
      <c r="AF57" s="22" t="n"/>
      <c r="AG57" s="22" t="n"/>
      <c r="AH57" s="22" t="n"/>
      <c r="AI57" s="22" t="n"/>
      <c r="AJ57" s="22" t="n"/>
      <c r="AK57" s="22" t="n"/>
      <c r="AL57" s="22" t="n"/>
      <c r="AM57" s="22" t="n"/>
      <c r="AN57" s="22" t="n"/>
      <c r="AO57" s="22" t="n"/>
      <c r="AP57" s="22" t="n"/>
      <c r="AQ57" s="22" t="n"/>
      <c r="AR57" s="22" t="n"/>
      <c r="AS57" s="22" t="n"/>
      <c r="AT57" s="22" t="n"/>
      <c r="AU57" s="22" t="n"/>
      <c r="AV57" s="22" t="n"/>
      <c r="AW57" s="22" t="n"/>
      <c r="AX57" s="22" t="n"/>
      <c r="AY57" s="22" t="n"/>
      <c r="AZ57" s="22" t="n"/>
      <c r="BA57" s="22" t="n"/>
      <c r="BB57" s="22" t="n"/>
      <c r="BC57" s="22" t="n"/>
      <c r="BD57" s="22" t="n"/>
      <c r="BE57" s="22" t="n"/>
      <c r="BF57" s="22" t="n"/>
      <c r="BG57" s="22" t="n"/>
      <c r="BH57" s="22" t="n"/>
      <c r="BI57" s="22" t="n"/>
      <c r="BJ57" s="22" t="n"/>
      <c r="BK57" s="22" t="n"/>
      <c r="BL57" s="22" t="n"/>
    </row>
    <row r="58">
      <c r="A58" s="111" t="inlineStr">
        <is>
          <t>Tier 1: Pico solar kit</t>
        </is>
      </c>
    </row>
    <row r="59">
      <c r="D59" s="151" t="inlineStr">
        <is>
          <t>Cohort repayment ratio (not PERFORM)</t>
        </is>
      </c>
      <c r="L59" s="151" t="inlineStr">
        <is>
          <t>30+ DPD exposure / due</t>
        </is>
      </c>
      <c r="T59" s="151" t="inlineStr">
        <is>
          <t>90+ DPD exposure / due</t>
        </is>
      </c>
      <c r="AB59" s="151" t="inlineStr">
        <is>
          <t>180+ default exposure / due</t>
        </is>
      </c>
      <c r="AJ59" s="151" t="inlineStr">
        <is>
          <t>Recovery / default</t>
        </is>
      </c>
      <c r="AR59" s="151" t="inlineStr">
        <is>
          <t>Active account share</t>
        </is>
      </c>
      <c r="AZ59" s="151" t="inlineStr">
        <is>
          <t>Cumulative contribution per unit (LCY)</t>
        </is>
      </c>
    </row>
    <row r="60">
      <c r="A60" s="40" t="inlineStr">
        <is>
          <t>Cohort #</t>
        </is>
      </c>
      <c r="B60" s="40" t="inlineStr">
        <is>
          <t>Mode</t>
        </is>
      </c>
      <c r="C60" s="40" t="inlineStr">
        <is>
          <t>Units</t>
        </is>
      </c>
      <c r="D60" s="40" t="inlineStr">
        <is>
          <t>M3</t>
        </is>
      </c>
      <c r="E60" s="40" t="inlineStr">
        <is>
          <t>M6</t>
        </is>
      </c>
      <c r="F60" s="40" t="inlineStr">
        <is>
          <t>M12</t>
        </is>
      </c>
      <c r="G60" s="40" t="inlineStr">
        <is>
          <t>M18</t>
        </is>
      </c>
      <c r="H60" s="40" t="inlineStr">
        <is>
          <t>M24</t>
        </is>
      </c>
      <c r="I60" s="40" t="inlineStr">
        <is>
          <t>M36</t>
        </is>
      </c>
      <c r="J60" s="40" t="inlineStr">
        <is>
          <t>M48</t>
        </is>
      </c>
      <c r="K60" s="40" t="inlineStr">
        <is>
          <t>M60</t>
        </is>
      </c>
      <c r="L60" s="40" t="inlineStr">
        <is>
          <t>M3</t>
        </is>
      </c>
      <c r="M60" s="40" t="inlineStr">
        <is>
          <t>M6</t>
        </is>
      </c>
      <c r="N60" s="40" t="inlineStr">
        <is>
          <t>M12</t>
        </is>
      </c>
      <c r="O60" s="40" t="inlineStr">
        <is>
          <t>M18</t>
        </is>
      </c>
      <c r="P60" s="40" t="inlineStr">
        <is>
          <t>M24</t>
        </is>
      </c>
      <c r="Q60" s="40" t="inlineStr">
        <is>
          <t>M36</t>
        </is>
      </c>
      <c r="R60" s="40" t="inlineStr">
        <is>
          <t>M48</t>
        </is>
      </c>
      <c r="S60" s="40" t="inlineStr">
        <is>
          <t>M60</t>
        </is>
      </c>
      <c r="T60" s="40" t="inlineStr">
        <is>
          <t>M3</t>
        </is>
      </c>
      <c r="U60" s="40" t="inlineStr">
        <is>
          <t>M6</t>
        </is>
      </c>
      <c r="V60" s="40" t="inlineStr">
        <is>
          <t>M12</t>
        </is>
      </c>
      <c r="W60" s="40" t="inlineStr">
        <is>
          <t>M18</t>
        </is>
      </c>
      <c r="X60" s="40" t="inlineStr">
        <is>
          <t>M24</t>
        </is>
      </c>
      <c r="Y60" s="40" t="inlineStr">
        <is>
          <t>M36</t>
        </is>
      </c>
      <c r="Z60" s="40" t="inlineStr">
        <is>
          <t>M48</t>
        </is>
      </c>
      <c r="AA60" s="40" t="inlineStr">
        <is>
          <t>M60</t>
        </is>
      </c>
      <c r="AB60" s="40" t="inlineStr">
        <is>
          <t>M3</t>
        </is>
      </c>
      <c r="AC60" s="40" t="inlineStr">
        <is>
          <t>M6</t>
        </is>
      </c>
      <c r="AD60" s="40" t="inlineStr">
        <is>
          <t>M12</t>
        </is>
      </c>
      <c r="AE60" s="40" t="inlineStr">
        <is>
          <t>M18</t>
        </is>
      </c>
      <c r="AF60" s="40" t="inlineStr">
        <is>
          <t>M24</t>
        </is>
      </c>
      <c r="AG60" s="40" t="inlineStr">
        <is>
          <t>M36</t>
        </is>
      </c>
      <c r="AH60" s="40" t="inlineStr">
        <is>
          <t>M48</t>
        </is>
      </c>
      <c r="AI60" s="40" t="inlineStr">
        <is>
          <t>M60</t>
        </is>
      </c>
      <c r="AJ60" s="40" t="inlineStr">
        <is>
          <t>M3</t>
        </is>
      </c>
      <c r="AK60" s="40" t="inlineStr">
        <is>
          <t>M6</t>
        </is>
      </c>
      <c r="AL60" s="40" t="inlineStr">
        <is>
          <t>M12</t>
        </is>
      </c>
      <c r="AM60" s="40" t="inlineStr">
        <is>
          <t>M18</t>
        </is>
      </c>
      <c r="AN60" s="40" t="inlineStr">
        <is>
          <t>M24</t>
        </is>
      </c>
      <c r="AO60" s="40" t="inlineStr">
        <is>
          <t>M36</t>
        </is>
      </c>
      <c r="AP60" s="40" t="inlineStr">
        <is>
          <t>M48</t>
        </is>
      </c>
      <c r="AQ60" s="40" t="inlineStr">
        <is>
          <t>M60</t>
        </is>
      </c>
      <c r="AR60" s="40" t="inlineStr">
        <is>
          <t>M3</t>
        </is>
      </c>
      <c r="AS60" s="40" t="inlineStr">
        <is>
          <t>M6</t>
        </is>
      </c>
      <c r="AT60" s="40" t="inlineStr">
        <is>
          <t>M12</t>
        </is>
      </c>
      <c r="AU60" s="40" t="inlineStr">
        <is>
          <t>M18</t>
        </is>
      </c>
      <c r="AV60" s="40" t="inlineStr">
        <is>
          <t>M24</t>
        </is>
      </c>
      <c r="AW60" s="40" t="inlineStr">
        <is>
          <t>M36</t>
        </is>
      </c>
      <c r="AX60" s="40" t="inlineStr">
        <is>
          <t>M48</t>
        </is>
      </c>
      <c r="AY60" s="40" t="inlineStr">
        <is>
          <t>M60</t>
        </is>
      </c>
      <c r="AZ60" s="40" t="inlineStr">
        <is>
          <t>M3</t>
        </is>
      </c>
      <c r="BA60" s="40" t="inlineStr">
        <is>
          <t>M6</t>
        </is>
      </c>
      <c r="BB60" s="40" t="inlineStr">
        <is>
          <t>M12</t>
        </is>
      </c>
      <c r="BC60" s="40" t="inlineStr">
        <is>
          <t>M18</t>
        </is>
      </c>
      <c r="BD60" s="40" t="inlineStr">
        <is>
          <t>M24</t>
        </is>
      </c>
      <c r="BE60" s="40" t="inlineStr">
        <is>
          <t>M36</t>
        </is>
      </c>
      <c r="BF60" s="40" t="inlineStr">
        <is>
          <t>M48</t>
        </is>
      </c>
      <c r="BG60" s="40" t="inlineStr">
        <is>
          <t>M60</t>
        </is>
      </c>
      <c r="BH60" s="40" t="inlineStr">
        <is>
          <t>Ownership at 2x</t>
        </is>
      </c>
    </row>
    <row r="61">
      <c r="A61" s="23" t="n">
        <v>1</v>
      </c>
      <c r="B61" s="48">
        <f>Vintage_Input!$B$9</f>
        <v/>
      </c>
      <c r="C61" s="41">
        <f>IF(Vintage_Input!$C$9="",0,Vintage_Input!$C$9)</f>
        <v/>
      </c>
      <c r="D61" s="152">
        <f>IF($B61=1,$B$8,IF(N(Vintage_Input!L9)&gt;0,Vintage_Input!D9/Vintage_Input!L9,""))</f>
        <v/>
      </c>
      <c r="E61" s="152">
        <f>IF($B61=1,$C$8,IF(N(Vintage_Input!M9)&gt;0,Vintage_Input!E9/Vintage_Input!M9,""))</f>
        <v/>
      </c>
      <c r="F61" s="152">
        <f>IF($B61=1,$D$8,IF(N(Vintage_Input!N9)&gt;0,Vintage_Input!F9/Vintage_Input!N9,""))</f>
        <v/>
      </c>
      <c r="G61" s="152">
        <f>IF($B61=1,$E$8,IF(N(Vintage_Input!O9)&gt;0,Vintage_Input!G9/Vintage_Input!O9,""))</f>
        <v/>
      </c>
      <c r="H61" s="152">
        <f>IF($B61=1,$F$8,IF(N(Vintage_Input!P9)&gt;0,Vintage_Input!H9/Vintage_Input!P9,""))</f>
        <v/>
      </c>
      <c r="I61" s="152">
        <f>IF($B61=1,$G$8,IF(N(Vintage_Input!Q9)&gt;0,Vintage_Input!I9/Vintage_Input!Q9,""))</f>
        <v/>
      </c>
      <c r="J61" s="152">
        <f>IF($B61=1,$H$8,IF(N(Vintage_Input!R9)&gt;0,Vintage_Input!J9/Vintage_Input!R9,""))</f>
        <v/>
      </c>
      <c r="K61" s="152">
        <f>IF($B61=1,$I$8,IF(N(Vintage_Input!S9)&gt;0,Vintage_Input!K9/Vintage_Input!S9,""))</f>
        <v/>
      </c>
      <c r="L61" s="152">
        <f>IF($B61=1,$B$9,IF(N(Vintage_Input!L9)&gt;0,Vintage_Input!T9/Vintage_Input!L9,""))</f>
        <v/>
      </c>
      <c r="M61" s="152">
        <f>IF($B61=1,$C$9,IF(N(Vintage_Input!M9)&gt;0,Vintage_Input!U9/Vintage_Input!M9,""))</f>
        <v/>
      </c>
      <c r="N61" s="152">
        <f>IF($B61=1,$D$9,IF(N(Vintage_Input!N9)&gt;0,Vintage_Input!V9/Vintage_Input!N9,""))</f>
        <v/>
      </c>
      <c r="O61" s="152">
        <f>IF($B61=1,$E$9,IF(N(Vintage_Input!O9)&gt;0,Vintage_Input!W9/Vintage_Input!O9,""))</f>
        <v/>
      </c>
      <c r="P61" s="152">
        <f>IF($B61=1,$F$9,IF(N(Vintage_Input!P9)&gt;0,Vintage_Input!X9/Vintage_Input!P9,""))</f>
        <v/>
      </c>
      <c r="Q61" s="152">
        <f>IF($B61=1,$G$9,IF(N(Vintage_Input!Q9)&gt;0,Vintage_Input!Y9/Vintage_Input!Q9,""))</f>
        <v/>
      </c>
      <c r="R61" s="152">
        <f>IF($B61=1,$H$9,IF(N(Vintage_Input!R9)&gt;0,Vintage_Input!Z9/Vintage_Input!R9,""))</f>
        <v/>
      </c>
      <c r="S61" s="152">
        <f>IF($B61=1,$I$9,IF(N(Vintage_Input!S9)&gt;0,Vintage_Input!AA9/Vintage_Input!S9,""))</f>
        <v/>
      </c>
      <c r="T61" s="152">
        <f>IF($B61=1,$B$10,IF(N(Vintage_Input!L9)&gt;0,Vintage_Input!AB9/Vintage_Input!L9,""))</f>
        <v/>
      </c>
      <c r="U61" s="152">
        <f>IF($B61=1,$C$10,IF(N(Vintage_Input!M9)&gt;0,Vintage_Input!AC9/Vintage_Input!M9,""))</f>
        <v/>
      </c>
      <c r="V61" s="152">
        <f>IF($B61=1,$D$10,IF(N(Vintage_Input!N9)&gt;0,Vintage_Input!AD9/Vintage_Input!N9,""))</f>
        <v/>
      </c>
      <c r="W61" s="152">
        <f>IF($B61=1,$E$10,IF(N(Vintage_Input!O9)&gt;0,Vintage_Input!AE9/Vintage_Input!O9,""))</f>
        <v/>
      </c>
      <c r="X61" s="152">
        <f>IF($B61=1,$F$10,IF(N(Vintage_Input!P9)&gt;0,Vintage_Input!AF9/Vintage_Input!P9,""))</f>
        <v/>
      </c>
      <c r="Y61" s="152">
        <f>IF($B61=1,$G$10,IF(N(Vintage_Input!Q9)&gt;0,Vintage_Input!AG9/Vintage_Input!Q9,""))</f>
        <v/>
      </c>
      <c r="Z61" s="152">
        <f>IF($B61=1,$H$10,IF(N(Vintage_Input!R9)&gt;0,Vintage_Input!AH9/Vintage_Input!R9,""))</f>
        <v/>
      </c>
      <c r="AA61" s="152">
        <f>IF($B61=1,$I$10,IF(N(Vintage_Input!S9)&gt;0,Vintage_Input!AI9/Vintage_Input!S9,""))</f>
        <v/>
      </c>
      <c r="AB61" s="152">
        <f>IF($B61=1,$B$11,IF(N(Vintage_Input!L9)&gt;0,Vintage_Input!AJ9/Vintage_Input!L9,""))</f>
        <v/>
      </c>
      <c r="AC61" s="152">
        <f>IF($B61=1,$C$11,IF(N(Vintage_Input!M9)&gt;0,Vintage_Input!AK9/Vintage_Input!M9,""))</f>
        <v/>
      </c>
      <c r="AD61" s="152">
        <f>IF($B61=1,$D$11,IF(N(Vintage_Input!N9)&gt;0,Vintage_Input!AL9/Vintage_Input!N9,""))</f>
        <v/>
      </c>
      <c r="AE61" s="152">
        <f>IF($B61=1,$E$11,IF(N(Vintage_Input!O9)&gt;0,Vintage_Input!AM9/Vintage_Input!O9,""))</f>
        <v/>
      </c>
      <c r="AF61" s="152">
        <f>IF($B61=1,$F$11,IF(N(Vintage_Input!P9)&gt;0,Vintage_Input!AN9/Vintage_Input!P9,""))</f>
        <v/>
      </c>
      <c r="AG61" s="152">
        <f>IF($B61=1,$G$11,IF(N(Vintage_Input!Q9)&gt;0,Vintage_Input!AO9/Vintage_Input!Q9,""))</f>
        <v/>
      </c>
      <c r="AH61" s="152">
        <f>IF($B61=1,$H$11,IF(N(Vintage_Input!R9)&gt;0,Vintage_Input!AP9/Vintage_Input!R9,""))</f>
        <v/>
      </c>
      <c r="AI61" s="152">
        <f>IF($B61=1,$I$11,IF(N(Vintage_Input!S9)&gt;0,Vintage_Input!AQ9/Vintage_Input!S9,""))</f>
        <v/>
      </c>
      <c r="AJ61" s="152">
        <f>IF($B61=1,$B$12,IF(N(Vintage_Input!L9)&gt;0,IFERROR(Vintage_Input!AR9/Vintage_Input!AJ9,""),""))</f>
        <v/>
      </c>
      <c r="AK61" s="152">
        <f>IF($B61=1,$C$12,IF(N(Vintage_Input!M9)&gt;0,IFERROR(Vintage_Input!AS9/Vintage_Input!AK9,""),""))</f>
        <v/>
      </c>
      <c r="AL61" s="152">
        <f>IF($B61=1,$D$12,IF(N(Vintage_Input!N9)&gt;0,IFERROR(Vintage_Input!AT9/Vintage_Input!AL9,""),""))</f>
        <v/>
      </c>
      <c r="AM61" s="152">
        <f>IF($B61=1,$E$12,IF(N(Vintage_Input!O9)&gt;0,IFERROR(Vintage_Input!AU9/Vintage_Input!AM9,""),""))</f>
        <v/>
      </c>
      <c r="AN61" s="152">
        <f>IF($B61=1,$F$12,IF(N(Vintage_Input!P9)&gt;0,IFERROR(Vintage_Input!AV9/Vintage_Input!AN9,""),""))</f>
        <v/>
      </c>
      <c r="AO61" s="152">
        <f>IF($B61=1,$G$12,IF(N(Vintage_Input!Q9)&gt;0,IFERROR(Vintage_Input!AW9/Vintage_Input!AO9,""),""))</f>
        <v/>
      </c>
      <c r="AP61" s="152">
        <f>IF($B61=1,$H$12,IF(N(Vintage_Input!R9)&gt;0,IFERROR(Vintage_Input!AX9/Vintage_Input!AP9,""),""))</f>
        <v/>
      </c>
      <c r="AQ61" s="152">
        <f>IF($B61=1,$I$12,IF(N(Vintage_Input!S9)&gt;0,IFERROR(Vintage_Input!AY9/Vintage_Input!AQ9,""),""))</f>
        <v/>
      </c>
      <c r="AR61" s="152">
        <f>IF($B61=1,$B$13,IF(N(Vintage_Input!L9)&gt;0,IFERROR(Vintage_Input!AZ9/$C61,""),""))</f>
        <v/>
      </c>
      <c r="AS61" s="152">
        <f>IF($B61=1,$C$13,IF(N(Vintage_Input!M9)&gt;0,IFERROR(Vintage_Input!BA9/$C61,""),""))</f>
        <v/>
      </c>
      <c r="AT61" s="152">
        <f>IF($B61=1,$D$13,IF(N(Vintage_Input!N9)&gt;0,IFERROR(Vintage_Input!BB9/$C61,""),""))</f>
        <v/>
      </c>
      <c r="AU61" s="152">
        <f>IF($B61=1,$E$13,IF(N(Vintage_Input!O9)&gt;0,IFERROR(Vintage_Input!BC9/$C61,""),""))</f>
        <v/>
      </c>
      <c r="AV61" s="152">
        <f>IF($B61=1,$F$13,IF(N(Vintage_Input!P9)&gt;0,IFERROR(Vintage_Input!BD9/$C61,""),""))</f>
        <v/>
      </c>
      <c r="AW61" s="152">
        <f>IF($B61=1,$G$13,IF(N(Vintage_Input!Q9)&gt;0,IFERROR(Vintage_Input!BE9/$C61,""),""))</f>
        <v/>
      </c>
      <c r="AX61" s="152">
        <f>IF($B61=1,$H$13,IF(N(Vintage_Input!R9)&gt;0,IFERROR(Vintage_Input!BF9/$C61,""),""))</f>
        <v/>
      </c>
      <c r="AY61" s="152">
        <f>IF($B61=1,$I$13,IF(N(Vintage_Input!S9)&gt;0,IFERROR(Vintage_Input!BG9/$C61,""),""))</f>
        <v/>
      </c>
      <c r="AZ61" s="153">
        <f>IF($B61=1,$B$14,IF(N(Vintage_Input!L9)&gt;0,IFERROR((Vintage_Input!D9+Vintage_Input!AR9)/$C61+Products!$C$14-(Products!$C$43+Products!$C$19+Products!$C$43*Products!$C$22+Products!$C$44),""),""))</f>
        <v/>
      </c>
      <c r="BA61" s="153">
        <f>IF($B61=1,$C$14,IF(N(Vintage_Input!M9)&gt;0,IFERROR((Vintage_Input!E9+Vintage_Input!AS9)/$C61+Products!$C$14-(Products!$C$43+Products!$C$19+Products!$C$43*Products!$C$22+Products!$C$44),""),""))</f>
        <v/>
      </c>
      <c r="BB61" s="153">
        <f>IF($B61=1,$D$14,IF(N(Vintage_Input!N9)&gt;0,IFERROR((Vintage_Input!F9+Vintage_Input!AT9)/$C61+Products!$C$14-(Products!$C$43+Products!$C$19+Products!$C$43*Products!$C$22+Products!$C$44),""),""))</f>
        <v/>
      </c>
      <c r="BC61" s="153">
        <f>IF($B61=1,$E$14,IF(N(Vintage_Input!O9)&gt;0,IFERROR((Vintage_Input!G9+Vintage_Input!AU9)/$C61+Products!$C$14-(Products!$C$43+Products!$C$19+Products!$C$43*Products!$C$22+Products!$C$44),""),""))</f>
        <v/>
      </c>
      <c r="BD61" s="153">
        <f>IF($B61=1,$F$14,IF(N(Vintage_Input!P9)&gt;0,IFERROR((Vintage_Input!H9+Vintage_Input!AV9)/$C61+Products!$C$14-(Products!$C$43+Products!$C$19+Products!$C$43*Products!$C$22+Products!$C$44),""),""))</f>
        <v/>
      </c>
      <c r="BE61" s="153">
        <f>IF($B61=1,$G$14,IF(N(Vintage_Input!Q9)&gt;0,IFERROR((Vintage_Input!I9+Vintage_Input!AW9)/$C61+Products!$C$14-(Products!$C$43+Products!$C$19+Products!$C$43*Products!$C$22+Products!$C$44),""),""))</f>
        <v/>
      </c>
      <c r="BF61" s="153">
        <f>IF($B61=1,$H$14,IF(N(Vintage_Input!R9)&gt;0,IFERROR((Vintage_Input!J9+Vintage_Input!AX9)/$C61+Products!$C$14-(Products!$C$43+Products!$C$19+Products!$C$43*Products!$C$22+Products!$C$44),""),""))</f>
        <v/>
      </c>
      <c r="BG61" s="153">
        <f>IF($B61=1,$I$14,IF(N(Vintage_Input!S9)&gt;0,IFERROR((Vintage_Input!K9+Vintage_Input!AY9)/$C61+Products!$C$14-(Products!$C$43+Products!$C$19+Products!$C$43*Products!$C$22+Products!$C$44),""),""))</f>
        <v/>
      </c>
      <c r="BH61" s="81">
        <f>IF($B61=1,0,IF(Vintage_Input!$BH$9="","",Vintage_Input!$BH$9))</f>
        <v/>
      </c>
    </row>
    <row r="62">
      <c r="A62" s="23" t="n">
        <v>2</v>
      </c>
      <c r="B62" s="48">
        <f>Vintage_Input!$B$10</f>
        <v/>
      </c>
      <c r="C62" s="41">
        <f>IF(Vintage_Input!$C$10="",0,Vintage_Input!$C$10)</f>
        <v/>
      </c>
      <c r="D62" s="152">
        <f>IF($B62=1,$B$8,IF(N(Vintage_Input!L10)&gt;0,Vintage_Input!D10/Vintage_Input!L10,""))</f>
        <v/>
      </c>
      <c r="E62" s="152">
        <f>IF($B62=1,$C$8,IF(N(Vintage_Input!M10)&gt;0,Vintage_Input!E10/Vintage_Input!M10,""))</f>
        <v/>
      </c>
      <c r="F62" s="152">
        <f>IF($B62=1,$D$8,IF(N(Vintage_Input!N10)&gt;0,Vintage_Input!F10/Vintage_Input!N10,""))</f>
        <v/>
      </c>
      <c r="G62" s="152">
        <f>IF($B62=1,$E$8,IF(N(Vintage_Input!O10)&gt;0,Vintage_Input!G10/Vintage_Input!O10,""))</f>
        <v/>
      </c>
      <c r="H62" s="152">
        <f>IF($B62=1,$F$8,IF(N(Vintage_Input!P10)&gt;0,Vintage_Input!H10/Vintage_Input!P10,""))</f>
        <v/>
      </c>
      <c r="I62" s="152">
        <f>IF($B62=1,$G$8,IF(N(Vintage_Input!Q10)&gt;0,Vintage_Input!I10/Vintage_Input!Q10,""))</f>
        <v/>
      </c>
      <c r="J62" s="152">
        <f>IF($B62=1,$H$8,IF(N(Vintage_Input!R10)&gt;0,Vintage_Input!J10/Vintage_Input!R10,""))</f>
        <v/>
      </c>
      <c r="K62" s="152">
        <f>IF($B62=1,$I$8,IF(N(Vintage_Input!S10)&gt;0,Vintage_Input!K10/Vintage_Input!S10,""))</f>
        <v/>
      </c>
      <c r="L62" s="152">
        <f>IF($B62=1,$B$9,IF(N(Vintage_Input!L10)&gt;0,Vintage_Input!T10/Vintage_Input!L10,""))</f>
        <v/>
      </c>
      <c r="M62" s="152">
        <f>IF($B62=1,$C$9,IF(N(Vintage_Input!M10)&gt;0,Vintage_Input!U10/Vintage_Input!M10,""))</f>
        <v/>
      </c>
      <c r="N62" s="152">
        <f>IF($B62=1,$D$9,IF(N(Vintage_Input!N10)&gt;0,Vintage_Input!V10/Vintage_Input!N10,""))</f>
        <v/>
      </c>
      <c r="O62" s="152">
        <f>IF($B62=1,$E$9,IF(N(Vintage_Input!O10)&gt;0,Vintage_Input!W10/Vintage_Input!O10,""))</f>
        <v/>
      </c>
      <c r="P62" s="152">
        <f>IF($B62=1,$F$9,IF(N(Vintage_Input!P10)&gt;0,Vintage_Input!X10/Vintage_Input!P10,""))</f>
        <v/>
      </c>
      <c r="Q62" s="152">
        <f>IF($B62=1,$G$9,IF(N(Vintage_Input!Q10)&gt;0,Vintage_Input!Y10/Vintage_Input!Q10,""))</f>
        <v/>
      </c>
      <c r="R62" s="152">
        <f>IF($B62=1,$H$9,IF(N(Vintage_Input!R10)&gt;0,Vintage_Input!Z10/Vintage_Input!R10,""))</f>
        <v/>
      </c>
      <c r="S62" s="152">
        <f>IF($B62=1,$I$9,IF(N(Vintage_Input!S10)&gt;0,Vintage_Input!AA10/Vintage_Input!S10,""))</f>
        <v/>
      </c>
      <c r="T62" s="152">
        <f>IF($B62=1,$B$10,IF(N(Vintage_Input!L10)&gt;0,Vintage_Input!AB10/Vintage_Input!L10,""))</f>
        <v/>
      </c>
      <c r="U62" s="152">
        <f>IF($B62=1,$C$10,IF(N(Vintage_Input!M10)&gt;0,Vintage_Input!AC10/Vintage_Input!M10,""))</f>
        <v/>
      </c>
      <c r="V62" s="152">
        <f>IF($B62=1,$D$10,IF(N(Vintage_Input!N10)&gt;0,Vintage_Input!AD10/Vintage_Input!N10,""))</f>
        <v/>
      </c>
      <c r="W62" s="152">
        <f>IF($B62=1,$E$10,IF(N(Vintage_Input!O10)&gt;0,Vintage_Input!AE10/Vintage_Input!O10,""))</f>
        <v/>
      </c>
      <c r="X62" s="152">
        <f>IF($B62=1,$F$10,IF(N(Vintage_Input!P10)&gt;0,Vintage_Input!AF10/Vintage_Input!P10,""))</f>
        <v/>
      </c>
      <c r="Y62" s="152">
        <f>IF($B62=1,$G$10,IF(N(Vintage_Input!Q10)&gt;0,Vintage_Input!AG10/Vintage_Input!Q10,""))</f>
        <v/>
      </c>
      <c r="Z62" s="152">
        <f>IF($B62=1,$H$10,IF(N(Vintage_Input!R10)&gt;0,Vintage_Input!AH10/Vintage_Input!R10,""))</f>
        <v/>
      </c>
      <c r="AA62" s="152">
        <f>IF($B62=1,$I$10,IF(N(Vintage_Input!S10)&gt;0,Vintage_Input!AI10/Vintage_Input!S10,""))</f>
        <v/>
      </c>
      <c r="AB62" s="152">
        <f>IF($B62=1,$B$11,IF(N(Vintage_Input!L10)&gt;0,Vintage_Input!AJ10/Vintage_Input!L10,""))</f>
        <v/>
      </c>
      <c r="AC62" s="152">
        <f>IF($B62=1,$C$11,IF(N(Vintage_Input!M10)&gt;0,Vintage_Input!AK10/Vintage_Input!M10,""))</f>
        <v/>
      </c>
      <c r="AD62" s="152">
        <f>IF($B62=1,$D$11,IF(N(Vintage_Input!N10)&gt;0,Vintage_Input!AL10/Vintage_Input!N10,""))</f>
        <v/>
      </c>
      <c r="AE62" s="152">
        <f>IF($B62=1,$E$11,IF(N(Vintage_Input!O10)&gt;0,Vintage_Input!AM10/Vintage_Input!O10,""))</f>
        <v/>
      </c>
      <c r="AF62" s="152">
        <f>IF($B62=1,$F$11,IF(N(Vintage_Input!P10)&gt;0,Vintage_Input!AN10/Vintage_Input!P10,""))</f>
        <v/>
      </c>
      <c r="AG62" s="152">
        <f>IF($B62=1,$G$11,IF(N(Vintage_Input!Q10)&gt;0,Vintage_Input!AO10/Vintage_Input!Q10,""))</f>
        <v/>
      </c>
      <c r="AH62" s="152">
        <f>IF($B62=1,$H$11,IF(N(Vintage_Input!R10)&gt;0,Vintage_Input!AP10/Vintage_Input!R10,""))</f>
        <v/>
      </c>
      <c r="AI62" s="152">
        <f>IF($B62=1,$I$11,IF(N(Vintage_Input!S10)&gt;0,Vintage_Input!AQ10/Vintage_Input!S10,""))</f>
        <v/>
      </c>
      <c r="AJ62" s="152">
        <f>IF($B62=1,$B$12,IF(N(Vintage_Input!L10)&gt;0,IFERROR(Vintage_Input!AR10/Vintage_Input!AJ10,""),""))</f>
        <v/>
      </c>
      <c r="AK62" s="152">
        <f>IF($B62=1,$C$12,IF(N(Vintage_Input!M10)&gt;0,IFERROR(Vintage_Input!AS10/Vintage_Input!AK10,""),""))</f>
        <v/>
      </c>
      <c r="AL62" s="152">
        <f>IF($B62=1,$D$12,IF(N(Vintage_Input!N10)&gt;0,IFERROR(Vintage_Input!AT10/Vintage_Input!AL10,""),""))</f>
        <v/>
      </c>
      <c r="AM62" s="152">
        <f>IF($B62=1,$E$12,IF(N(Vintage_Input!O10)&gt;0,IFERROR(Vintage_Input!AU10/Vintage_Input!AM10,""),""))</f>
        <v/>
      </c>
      <c r="AN62" s="152">
        <f>IF($B62=1,$F$12,IF(N(Vintage_Input!P10)&gt;0,IFERROR(Vintage_Input!AV10/Vintage_Input!AN10,""),""))</f>
        <v/>
      </c>
      <c r="AO62" s="152">
        <f>IF($B62=1,$G$12,IF(N(Vintage_Input!Q10)&gt;0,IFERROR(Vintage_Input!AW10/Vintage_Input!AO10,""),""))</f>
        <v/>
      </c>
      <c r="AP62" s="152">
        <f>IF($B62=1,$H$12,IF(N(Vintage_Input!R10)&gt;0,IFERROR(Vintage_Input!AX10/Vintage_Input!AP10,""),""))</f>
        <v/>
      </c>
      <c r="AQ62" s="152">
        <f>IF($B62=1,$I$12,IF(N(Vintage_Input!S10)&gt;0,IFERROR(Vintage_Input!AY10/Vintage_Input!AQ10,""),""))</f>
        <v/>
      </c>
      <c r="AR62" s="152">
        <f>IF($B62=1,$B$13,IF(N(Vintage_Input!L10)&gt;0,IFERROR(Vintage_Input!AZ10/$C62,""),""))</f>
        <v/>
      </c>
      <c r="AS62" s="152">
        <f>IF($B62=1,$C$13,IF(N(Vintage_Input!M10)&gt;0,IFERROR(Vintage_Input!BA10/$C62,""),""))</f>
        <v/>
      </c>
      <c r="AT62" s="152">
        <f>IF($B62=1,$D$13,IF(N(Vintage_Input!N10)&gt;0,IFERROR(Vintage_Input!BB10/$C62,""),""))</f>
        <v/>
      </c>
      <c r="AU62" s="152">
        <f>IF($B62=1,$E$13,IF(N(Vintage_Input!O10)&gt;0,IFERROR(Vintage_Input!BC10/$C62,""),""))</f>
        <v/>
      </c>
      <c r="AV62" s="152">
        <f>IF($B62=1,$F$13,IF(N(Vintage_Input!P10)&gt;0,IFERROR(Vintage_Input!BD10/$C62,""),""))</f>
        <v/>
      </c>
      <c r="AW62" s="152">
        <f>IF($B62=1,$G$13,IF(N(Vintage_Input!Q10)&gt;0,IFERROR(Vintage_Input!BE10/$C62,""),""))</f>
        <v/>
      </c>
      <c r="AX62" s="152">
        <f>IF($B62=1,$H$13,IF(N(Vintage_Input!R10)&gt;0,IFERROR(Vintage_Input!BF10/$C62,""),""))</f>
        <v/>
      </c>
      <c r="AY62" s="152">
        <f>IF($B62=1,$I$13,IF(N(Vintage_Input!S10)&gt;0,IFERROR(Vintage_Input!BG10/$C62,""),""))</f>
        <v/>
      </c>
      <c r="AZ62" s="153">
        <f>IF($B62=1,$B$14,IF(N(Vintage_Input!L10)&gt;0,IFERROR((Vintage_Input!D10+Vintage_Input!AR10)/$C62+Products!$C$14-(Products!$C$43+Products!$C$19+Products!$C$43*Products!$C$22+Products!$C$44),""),""))</f>
        <v/>
      </c>
      <c r="BA62" s="153">
        <f>IF($B62=1,$C$14,IF(N(Vintage_Input!M10)&gt;0,IFERROR((Vintage_Input!E10+Vintage_Input!AS10)/$C62+Products!$C$14-(Products!$C$43+Products!$C$19+Products!$C$43*Products!$C$22+Products!$C$44),""),""))</f>
        <v/>
      </c>
      <c r="BB62" s="153">
        <f>IF($B62=1,$D$14,IF(N(Vintage_Input!N10)&gt;0,IFERROR((Vintage_Input!F10+Vintage_Input!AT10)/$C62+Products!$C$14-(Products!$C$43+Products!$C$19+Products!$C$43*Products!$C$22+Products!$C$44),""),""))</f>
        <v/>
      </c>
      <c r="BC62" s="153">
        <f>IF($B62=1,$E$14,IF(N(Vintage_Input!O10)&gt;0,IFERROR((Vintage_Input!G10+Vintage_Input!AU10)/$C62+Products!$C$14-(Products!$C$43+Products!$C$19+Products!$C$43*Products!$C$22+Products!$C$44),""),""))</f>
        <v/>
      </c>
      <c r="BD62" s="153">
        <f>IF($B62=1,$F$14,IF(N(Vintage_Input!P10)&gt;0,IFERROR((Vintage_Input!H10+Vintage_Input!AV10)/$C62+Products!$C$14-(Products!$C$43+Products!$C$19+Products!$C$43*Products!$C$22+Products!$C$44),""),""))</f>
        <v/>
      </c>
      <c r="BE62" s="153">
        <f>IF($B62=1,$G$14,IF(N(Vintage_Input!Q10)&gt;0,IFERROR((Vintage_Input!I10+Vintage_Input!AW10)/$C62+Products!$C$14-(Products!$C$43+Products!$C$19+Products!$C$43*Products!$C$22+Products!$C$44),""),""))</f>
        <v/>
      </c>
      <c r="BF62" s="153">
        <f>IF($B62=1,$H$14,IF(N(Vintage_Input!R10)&gt;0,IFERROR((Vintage_Input!J10+Vintage_Input!AX10)/$C62+Products!$C$14-(Products!$C$43+Products!$C$19+Products!$C$43*Products!$C$22+Products!$C$44),""),""))</f>
        <v/>
      </c>
      <c r="BG62" s="153">
        <f>IF($B62=1,$I$14,IF(N(Vintage_Input!S10)&gt;0,IFERROR((Vintage_Input!K10+Vintage_Input!AY10)/$C62+Products!$C$14-(Products!$C$43+Products!$C$19+Products!$C$43*Products!$C$22+Products!$C$44),""),""))</f>
        <v/>
      </c>
      <c r="BH62" s="81">
        <f>IF($B62=1,0,IF(Vintage_Input!$BH$10="","",Vintage_Input!$BH$10))</f>
        <v/>
      </c>
    </row>
    <row r="63">
      <c r="A63" s="23" t="n">
        <v>3</v>
      </c>
      <c r="B63" s="48">
        <f>Vintage_Input!$B$11</f>
        <v/>
      </c>
      <c r="C63" s="41">
        <f>IF(Vintage_Input!$C$11="",0,Vintage_Input!$C$11)</f>
        <v/>
      </c>
      <c r="D63" s="152">
        <f>IF($B63=1,$B$8,IF(N(Vintage_Input!L11)&gt;0,Vintage_Input!D11/Vintage_Input!L11,""))</f>
        <v/>
      </c>
      <c r="E63" s="152">
        <f>IF($B63=1,$C$8,IF(N(Vintage_Input!M11)&gt;0,Vintage_Input!E11/Vintage_Input!M11,""))</f>
        <v/>
      </c>
      <c r="F63" s="152">
        <f>IF($B63=1,$D$8,IF(N(Vintage_Input!N11)&gt;0,Vintage_Input!F11/Vintage_Input!N11,""))</f>
        <v/>
      </c>
      <c r="G63" s="152">
        <f>IF($B63=1,$E$8,IF(N(Vintage_Input!O11)&gt;0,Vintage_Input!G11/Vintage_Input!O11,""))</f>
        <v/>
      </c>
      <c r="H63" s="152">
        <f>IF($B63=1,$F$8,IF(N(Vintage_Input!P11)&gt;0,Vintage_Input!H11/Vintage_Input!P11,""))</f>
        <v/>
      </c>
      <c r="I63" s="152">
        <f>IF($B63=1,$G$8,IF(N(Vintage_Input!Q11)&gt;0,Vintage_Input!I11/Vintage_Input!Q11,""))</f>
        <v/>
      </c>
      <c r="J63" s="152">
        <f>IF($B63=1,$H$8,IF(N(Vintage_Input!R11)&gt;0,Vintage_Input!J11/Vintage_Input!R11,""))</f>
        <v/>
      </c>
      <c r="K63" s="152">
        <f>IF($B63=1,$I$8,IF(N(Vintage_Input!S11)&gt;0,Vintage_Input!K11/Vintage_Input!S11,""))</f>
        <v/>
      </c>
      <c r="L63" s="152">
        <f>IF($B63=1,$B$9,IF(N(Vintage_Input!L11)&gt;0,Vintage_Input!T11/Vintage_Input!L11,""))</f>
        <v/>
      </c>
      <c r="M63" s="152">
        <f>IF($B63=1,$C$9,IF(N(Vintage_Input!M11)&gt;0,Vintage_Input!U11/Vintage_Input!M11,""))</f>
        <v/>
      </c>
      <c r="N63" s="152">
        <f>IF($B63=1,$D$9,IF(N(Vintage_Input!N11)&gt;0,Vintage_Input!V11/Vintage_Input!N11,""))</f>
        <v/>
      </c>
      <c r="O63" s="152">
        <f>IF($B63=1,$E$9,IF(N(Vintage_Input!O11)&gt;0,Vintage_Input!W11/Vintage_Input!O11,""))</f>
        <v/>
      </c>
      <c r="P63" s="152">
        <f>IF($B63=1,$F$9,IF(N(Vintage_Input!P11)&gt;0,Vintage_Input!X11/Vintage_Input!P11,""))</f>
        <v/>
      </c>
      <c r="Q63" s="152">
        <f>IF($B63=1,$G$9,IF(N(Vintage_Input!Q11)&gt;0,Vintage_Input!Y11/Vintage_Input!Q11,""))</f>
        <v/>
      </c>
      <c r="R63" s="152">
        <f>IF($B63=1,$H$9,IF(N(Vintage_Input!R11)&gt;0,Vintage_Input!Z11/Vintage_Input!R11,""))</f>
        <v/>
      </c>
      <c r="S63" s="152">
        <f>IF($B63=1,$I$9,IF(N(Vintage_Input!S11)&gt;0,Vintage_Input!AA11/Vintage_Input!S11,""))</f>
        <v/>
      </c>
      <c r="T63" s="152">
        <f>IF($B63=1,$B$10,IF(N(Vintage_Input!L11)&gt;0,Vintage_Input!AB11/Vintage_Input!L11,""))</f>
        <v/>
      </c>
      <c r="U63" s="152">
        <f>IF($B63=1,$C$10,IF(N(Vintage_Input!M11)&gt;0,Vintage_Input!AC11/Vintage_Input!M11,""))</f>
        <v/>
      </c>
      <c r="V63" s="152">
        <f>IF($B63=1,$D$10,IF(N(Vintage_Input!N11)&gt;0,Vintage_Input!AD11/Vintage_Input!N11,""))</f>
        <v/>
      </c>
      <c r="W63" s="152">
        <f>IF($B63=1,$E$10,IF(N(Vintage_Input!O11)&gt;0,Vintage_Input!AE11/Vintage_Input!O11,""))</f>
        <v/>
      </c>
      <c r="X63" s="152">
        <f>IF($B63=1,$F$10,IF(N(Vintage_Input!P11)&gt;0,Vintage_Input!AF11/Vintage_Input!P11,""))</f>
        <v/>
      </c>
      <c r="Y63" s="152">
        <f>IF($B63=1,$G$10,IF(N(Vintage_Input!Q11)&gt;0,Vintage_Input!AG11/Vintage_Input!Q11,""))</f>
        <v/>
      </c>
      <c r="Z63" s="152">
        <f>IF($B63=1,$H$10,IF(N(Vintage_Input!R11)&gt;0,Vintage_Input!AH11/Vintage_Input!R11,""))</f>
        <v/>
      </c>
      <c r="AA63" s="152">
        <f>IF($B63=1,$I$10,IF(N(Vintage_Input!S11)&gt;0,Vintage_Input!AI11/Vintage_Input!S11,""))</f>
        <v/>
      </c>
      <c r="AB63" s="152">
        <f>IF($B63=1,$B$11,IF(N(Vintage_Input!L11)&gt;0,Vintage_Input!AJ11/Vintage_Input!L11,""))</f>
        <v/>
      </c>
      <c r="AC63" s="152">
        <f>IF($B63=1,$C$11,IF(N(Vintage_Input!M11)&gt;0,Vintage_Input!AK11/Vintage_Input!M11,""))</f>
        <v/>
      </c>
      <c r="AD63" s="152">
        <f>IF($B63=1,$D$11,IF(N(Vintage_Input!N11)&gt;0,Vintage_Input!AL11/Vintage_Input!N11,""))</f>
        <v/>
      </c>
      <c r="AE63" s="152">
        <f>IF($B63=1,$E$11,IF(N(Vintage_Input!O11)&gt;0,Vintage_Input!AM11/Vintage_Input!O11,""))</f>
        <v/>
      </c>
      <c r="AF63" s="152">
        <f>IF($B63=1,$F$11,IF(N(Vintage_Input!P11)&gt;0,Vintage_Input!AN11/Vintage_Input!P11,""))</f>
        <v/>
      </c>
      <c r="AG63" s="152">
        <f>IF($B63=1,$G$11,IF(N(Vintage_Input!Q11)&gt;0,Vintage_Input!AO11/Vintage_Input!Q11,""))</f>
        <v/>
      </c>
      <c r="AH63" s="152">
        <f>IF($B63=1,$H$11,IF(N(Vintage_Input!R11)&gt;0,Vintage_Input!AP11/Vintage_Input!R11,""))</f>
        <v/>
      </c>
      <c r="AI63" s="152">
        <f>IF($B63=1,$I$11,IF(N(Vintage_Input!S11)&gt;0,Vintage_Input!AQ11/Vintage_Input!S11,""))</f>
        <v/>
      </c>
      <c r="AJ63" s="152">
        <f>IF($B63=1,$B$12,IF(N(Vintage_Input!L11)&gt;0,IFERROR(Vintage_Input!AR11/Vintage_Input!AJ11,""),""))</f>
        <v/>
      </c>
      <c r="AK63" s="152">
        <f>IF($B63=1,$C$12,IF(N(Vintage_Input!M11)&gt;0,IFERROR(Vintage_Input!AS11/Vintage_Input!AK11,""),""))</f>
        <v/>
      </c>
      <c r="AL63" s="152">
        <f>IF($B63=1,$D$12,IF(N(Vintage_Input!N11)&gt;0,IFERROR(Vintage_Input!AT11/Vintage_Input!AL11,""),""))</f>
        <v/>
      </c>
      <c r="AM63" s="152">
        <f>IF($B63=1,$E$12,IF(N(Vintage_Input!O11)&gt;0,IFERROR(Vintage_Input!AU11/Vintage_Input!AM11,""),""))</f>
        <v/>
      </c>
      <c r="AN63" s="152">
        <f>IF($B63=1,$F$12,IF(N(Vintage_Input!P11)&gt;0,IFERROR(Vintage_Input!AV11/Vintage_Input!AN11,""),""))</f>
        <v/>
      </c>
      <c r="AO63" s="152">
        <f>IF($B63=1,$G$12,IF(N(Vintage_Input!Q11)&gt;0,IFERROR(Vintage_Input!AW11/Vintage_Input!AO11,""),""))</f>
        <v/>
      </c>
      <c r="AP63" s="152">
        <f>IF($B63=1,$H$12,IF(N(Vintage_Input!R11)&gt;0,IFERROR(Vintage_Input!AX11/Vintage_Input!AP11,""),""))</f>
        <v/>
      </c>
      <c r="AQ63" s="152">
        <f>IF($B63=1,$I$12,IF(N(Vintage_Input!S11)&gt;0,IFERROR(Vintage_Input!AY11/Vintage_Input!AQ11,""),""))</f>
        <v/>
      </c>
      <c r="AR63" s="152">
        <f>IF($B63=1,$B$13,IF(N(Vintage_Input!L11)&gt;0,IFERROR(Vintage_Input!AZ11/$C63,""),""))</f>
        <v/>
      </c>
      <c r="AS63" s="152">
        <f>IF($B63=1,$C$13,IF(N(Vintage_Input!M11)&gt;0,IFERROR(Vintage_Input!BA11/$C63,""),""))</f>
        <v/>
      </c>
      <c r="AT63" s="152">
        <f>IF($B63=1,$D$13,IF(N(Vintage_Input!N11)&gt;0,IFERROR(Vintage_Input!BB11/$C63,""),""))</f>
        <v/>
      </c>
      <c r="AU63" s="152">
        <f>IF($B63=1,$E$13,IF(N(Vintage_Input!O11)&gt;0,IFERROR(Vintage_Input!BC11/$C63,""),""))</f>
        <v/>
      </c>
      <c r="AV63" s="152">
        <f>IF($B63=1,$F$13,IF(N(Vintage_Input!P11)&gt;0,IFERROR(Vintage_Input!BD11/$C63,""),""))</f>
        <v/>
      </c>
      <c r="AW63" s="152">
        <f>IF($B63=1,$G$13,IF(N(Vintage_Input!Q11)&gt;0,IFERROR(Vintage_Input!BE11/$C63,""),""))</f>
        <v/>
      </c>
      <c r="AX63" s="152">
        <f>IF($B63=1,$H$13,IF(N(Vintage_Input!R11)&gt;0,IFERROR(Vintage_Input!BF11/$C63,""),""))</f>
        <v/>
      </c>
      <c r="AY63" s="152">
        <f>IF($B63=1,$I$13,IF(N(Vintage_Input!S11)&gt;0,IFERROR(Vintage_Input!BG11/$C63,""),""))</f>
        <v/>
      </c>
      <c r="AZ63" s="153">
        <f>IF($B63=1,$B$14,IF(N(Vintage_Input!L11)&gt;0,IFERROR((Vintage_Input!D11+Vintage_Input!AR11)/$C63+Products!$C$14-(Products!$C$43+Products!$C$19+Products!$C$43*Products!$C$22+Products!$C$44),""),""))</f>
        <v/>
      </c>
      <c r="BA63" s="153">
        <f>IF($B63=1,$C$14,IF(N(Vintage_Input!M11)&gt;0,IFERROR((Vintage_Input!E11+Vintage_Input!AS11)/$C63+Products!$C$14-(Products!$C$43+Products!$C$19+Products!$C$43*Products!$C$22+Products!$C$44),""),""))</f>
        <v/>
      </c>
      <c r="BB63" s="153">
        <f>IF($B63=1,$D$14,IF(N(Vintage_Input!N11)&gt;0,IFERROR((Vintage_Input!F11+Vintage_Input!AT11)/$C63+Products!$C$14-(Products!$C$43+Products!$C$19+Products!$C$43*Products!$C$22+Products!$C$44),""),""))</f>
        <v/>
      </c>
      <c r="BC63" s="153">
        <f>IF($B63=1,$E$14,IF(N(Vintage_Input!O11)&gt;0,IFERROR((Vintage_Input!G11+Vintage_Input!AU11)/$C63+Products!$C$14-(Products!$C$43+Products!$C$19+Products!$C$43*Products!$C$22+Products!$C$44),""),""))</f>
        <v/>
      </c>
      <c r="BD63" s="153">
        <f>IF($B63=1,$F$14,IF(N(Vintage_Input!P11)&gt;0,IFERROR((Vintage_Input!H11+Vintage_Input!AV11)/$C63+Products!$C$14-(Products!$C$43+Products!$C$19+Products!$C$43*Products!$C$22+Products!$C$44),""),""))</f>
        <v/>
      </c>
      <c r="BE63" s="153">
        <f>IF($B63=1,$G$14,IF(N(Vintage_Input!Q11)&gt;0,IFERROR((Vintage_Input!I11+Vintage_Input!AW11)/$C63+Products!$C$14-(Products!$C$43+Products!$C$19+Products!$C$43*Products!$C$22+Products!$C$44),""),""))</f>
        <v/>
      </c>
      <c r="BF63" s="153">
        <f>IF($B63=1,$H$14,IF(N(Vintage_Input!R11)&gt;0,IFERROR((Vintage_Input!J11+Vintage_Input!AX11)/$C63+Products!$C$14-(Products!$C$43+Products!$C$19+Products!$C$43*Products!$C$22+Products!$C$44),""),""))</f>
        <v/>
      </c>
      <c r="BG63" s="153">
        <f>IF($B63=1,$I$14,IF(N(Vintage_Input!S11)&gt;0,IFERROR((Vintage_Input!K11+Vintage_Input!AY11)/$C63+Products!$C$14-(Products!$C$43+Products!$C$19+Products!$C$43*Products!$C$22+Products!$C$44),""),""))</f>
        <v/>
      </c>
      <c r="BH63" s="81">
        <f>IF($B63=1,0,IF(Vintage_Input!$BH$11="","",Vintage_Input!$BH$11))</f>
        <v/>
      </c>
    </row>
    <row r="64">
      <c r="A64" s="23" t="n">
        <v>4</v>
      </c>
      <c r="B64" s="48">
        <f>Vintage_Input!$B$12</f>
        <v/>
      </c>
      <c r="C64" s="41">
        <f>IF(Vintage_Input!$C$12="",0,Vintage_Input!$C$12)</f>
        <v/>
      </c>
      <c r="D64" s="152">
        <f>IF($B64=1,$B$8,IF(N(Vintage_Input!L12)&gt;0,Vintage_Input!D12/Vintage_Input!L12,""))</f>
        <v/>
      </c>
      <c r="E64" s="152">
        <f>IF($B64=1,$C$8,IF(N(Vintage_Input!M12)&gt;0,Vintage_Input!E12/Vintage_Input!M12,""))</f>
        <v/>
      </c>
      <c r="F64" s="152">
        <f>IF($B64=1,$D$8,IF(N(Vintage_Input!N12)&gt;0,Vintage_Input!F12/Vintage_Input!N12,""))</f>
        <v/>
      </c>
      <c r="G64" s="152">
        <f>IF($B64=1,$E$8,IF(N(Vintage_Input!O12)&gt;0,Vintage_Input!G12/Vintage_Input!O12,""))</f>
        <v/>
      </c>
      <c r="H64" s="152">
        <f>IF($B64=1,$F$8,IF(N(Vintage_Input!P12)&gt;0,Vintage_Input!H12/Vintage_Input!P12,""))</f>
        <v/>
      </c>
      <c r="I64" s="152">
        <f>IF($B64=1,$G$8,IF(N(Vintage_Input!Q12)&gt;0,Vintage_Input!I12/Vintage_Input!Q12,""))</f>
        <v/>
      </c>
      <c r="J64" s="152">
        <f>IF($B64=1,$H$8,IF(N(Vintage_Input!R12)&gt;0,Vintage_Input!J12/Vintage_Input!R12,""))</f>
        <v/>
      </c>
      <c r="K64" s="152">
        <f>IF($B64=1,$I$8,IF(N(Vintage_Input!S12)&gt;0,Vintage_Input!K12/Vintage_Input!S12,""))</f>
        <v/>
      </c>
      <c r="L64" s="152">
        <f>IF($B64=1,$B$9,IF(N(Vintage_Input!L12)&gt;0,Vintage_Input!T12/Vintage_Input!L12,""))</f>
        <v/>
      </c>
      <c r="M64" s="152">
        <f>IF($B64=1,$C$9,IF(N(Vintage_Input!M12)&gt;0,Vintage_Input!U12/Vintage_Input!M12,""))</f>
        <v/>
      </c>
      <c r="N64" s="152">
        <f>IF($B64=1,$D$9,IF(N(Vintage_Input!N12)&gt;0,Vintage_Input!V12/Vintage_Input!N12,""))</f>
        <v/>
      </c>
      <c r="O64" s="152">
        <f>IF($B64=1,$E$9,IF(N(Vintage_Input!O12)&gt;0,Vintage_Input!W12/Vintage_Input!O12,""))</f>
        <v/>
      </c>
      <c r="P64" s="152">
        <f>IF($B64=1,$F$9,IF(N(Vintage_Input!P12)&gt;0,Vintage_Input!X12/Vintage_Input!P12,""))</f>
        <v/>
      </c>
      <c r="Q64" s="152">
        <f>IF($B64=1,$G$9,IF(N(Vintage_Input!Q12)&gt;0,Vintage_Input!Y12/Vintage_Input!Q12,""))</f>
        <v/>
      </c>
      <c r="R64" s="152">
        <f>IF($B64=1,$H$9,IF(N(Vintage_Input!R12)&gt;0,Vintage_Input!Z12/Vintage_Input!R12,""))</f>
        <v/>
      </c>
      <c r="S64" s="152">
        <f>IF($B64=1,$I$9,IF(N(Vintage_Input!S12)&gt;0,Vintage_Input!AA12/Vintage_Input!S12,""))</f>
        <v/>
      </c>
      <c r="T64" s="152">
        <f>IF($B64=1,$B$10,IF(N(Vintage_Input!L12)&gt;0,Vintage_Input!AB12/Vintage_Input!L12,""))</f>
        <v/>
      </c>
      <c r="U64" s="152">
        <f>IF($B64=1,$C$10,IF(N(Vintage_Input!M12)&gt;0,Vintage_Input!AC12/Vintage_Input!M12,""))</f>
        <v/>
      </c>
      <c r="V64" s="152">
        <f>IF($B64=1,$D$10,IF(N(Vintage_Input!N12)&gt;0,Vintage_Input!AD12/Vintage_Input!N12,""))</f>
        <v/>
      </c>
      <c r="W64" s="152">
        <f>IF($B64=1,$E$10,IF(N(Vintage_Input!O12)&gt;0,Vintage_Input!AE12/Vintage_Input!O12,""))</f>
        <v/>
      </c>
      <c r="X64" s="152">
        <f>IF($B64=1,$F$10,IF(N(Vintage_Input!P12)&gt;0,Vintage_Input!AF12/Vintage_Input!P12,""))</f>
        <v/>
      </c>
      <c r="Y64" s="152">
        <f>IF($B64=1,$G$10,IF(N(Vintage_Input!Q12)&gt;0,Vintage_Input!AG12/Vintage_Input!Q12,""))</f>
        <v/>
      </c>
      <c r="Z64" s="152">
        <f>IF($B64=1,$H$10,IF(N(Vintage_Input!R12)&gt;0,Vintage_Input!AH12/Vintage_Input!R12,""))</f>
        <v/>
      </c>
      <c r="AA64" s="152">
        <f>IF($B64=1,$I$10,IF(N(Vintage_Input!S12)&gt;0,Vintage_Input!AI12/Vintage_Input!S12,""))</f>
        <v/>
      </c>
      <c r="AB64" s="152">
        <f>IF($B64=1,$B$11,IF(N(Vintage_Input!L12)&gt;0,Vintage_Input!AJ12/Vintage_Input!L12,""))</f>
        <v/>
      </c>
      <c r="AC64" s="152">
        <f>IF($B64=1,$C$11,IF(N(Vintage_Input!M12)&gt;0,Vintage_Input!AK12/Vintage_Input!M12,""))</f>
        <v/>
      </c>
      <c r="AD64" s="152">
        <f>IF($B64=1,$D$11,IF(N(Vintage_Input!N12)&gt;0,Vintage_Input!AL12/Vintage_Input!N12,""))</f>
        <v/>
      </c>
      <c r="AE64" s="152">
        <f>IF($B64=1,$E$11,IF(N(Vintage_Input!O12)&gt;0,Vintage_Input!AM12/Vintage_Input!O12,""))</f>
        <v/>
      </c>
      <c r="AF64" s="152">
        <f>IF($B64=1,$F$11,IF(N(Vintage_Input!P12)&gt;0,Vintage_Input!AN12/Vintage_Input!P12,""))</f>
        <v/>
      </c>
      <c r="AG64" s="152">
        <f>IF($B64=1,$G$11,IF(N(Vintage_Input!Q12)&gt;0,Vintage_Input!AO12/Vintage_Input!Q12,""))</f>
        <v/>
      </c>
      <c r="AH64" s="152">
        <f>IF($B64=1,$H$11,IF(N(Vintage_Input!R12)&gt;0,Vintage_Input!AP12/Vintage_Input!R12,""))</f>
        <v/>
      </c>
      <c r="AI64" s="152">
        <f>IF($B64=1,$I$11,IF(N(Vintage_Input!S12)&gt;0,Vintage_Input!AQ12/Vintage_Input!S12,""))</f>
        <v/>
      </c>
      <c r="AJ64" s="152">
        <f>IF($B64=1,$B$12,IF(N(Vintage_Input!L12)&gt;0,IFERROR(Vintage_Input!AR12/Vintage_Input!AJ12,""),""))</f>
        <v/>
      </c>
      <c r="AK64" s="152">
        <f>IF($B64=1,$C$12,IF(N(Vintage_Input!M12)&gt;0,IFERROR(Vintage_Input!AS12/Vintage_Input!AK12,""),""))</f>
        <v/>
      </c>
      <c r="AL64" s="152">
        <f>IF($B64=1,$D$12,IF(N(Vintage_Input!N12)&gt;0,IFERROR(Vintage_Input!AT12/Vintage_Input!AL12,""),""))</f>
        <v/>
      </c>
      <c r="AM64" s="152">
        <f>IF($B64=1,$E$12,IF(N(Vintage_Input!O12)&gt;0,IFERROR(Vintage_Input!AU12/Vintage_Input!AM12,""),""))</f>
        <v/>
      </c>
      <c r="AN64" s="152">
        <f>IF($B64=1,$F$12,IF(N(Vintage_Input!P12)&gt;0,IFERROR(Vintage_Input!AV12/Vintage_Input!AN12,""),""))</f>
        <v/>
      </c>
      <c r="AO64" s="152">
        <f>IF($B64=1,$G$12,IF(N(Vintage_Input!Q12)&gt;0,IFERROR(Vintage_Input!AW12/Vintage_Input!AO12,""),""))</f>
        <v/>
      </c>
      <c r="AP64" s="152">
        <f>IF($B64=1,$H$12,IF(N(Vintage_Input!R12)&gt;0,IFERROR(Vintage_Input!AX12/Vintage_Input!AP12,""),""))</f>
        <v/>
      </c>
      <c r="AQ64" s="152">
        <f>IF($B64=1,$I$12,IF(N(Vintage_Input!S12)&gt;0,IFERROR(Vintage_Input!AY12/Vintage_Input!AQ12,""),""))</f>
        <v/>
      </c>
      <c r="AR64" s="152">
        <f>IF($B64=1,$B$13,IF(N(Vintage_Input!L12)&gt;0,IFERROR(Vintage_Input!AZ12/$C64,""),""))</f>
        <v/>
      </c>
      <c r="AS64" s="152">
        <f>IF($B64=1,$C$13,IF(N(Vintage_Input!M12)&gt;0,IFERROR(Vintage_Input!BA12/$C64,""),""))</f>
        <v/>
      </c>
      <c r="AT64" s="152">
        <f>IF($B64=1,$D$13,IF(N(Vintage_Input!N12)&gt;0,IFERROR(Vintage_Input!BB12/$C64,""),""))</f>
        <v/>
      </c>
      <c r="AU64" s="152">
        <f>IF($B64=1,$E$13,IF(N(Vintage_Input!O12)&gt;0,IFERROR(Vintage_Input!BC12/$C64,""),""))</f>
        <v/>
      </c>
      <c r="AV64" s="152">
        <f>IF($B64=1,$F$13,IF(N(Vintage_Input!P12)&gt;0,IFERROR(Vintage_Input!BD12/$C64,""),""))</f>
        <v/>
      </c>
      <c r="AW64" s="152">
        <f>IF($B64=1,$G$13,IF(N(Vintage_Input!Q12)&gt;0,IFERROR(Vintage_Input!BE12/$C64,""),""))</f>
        <v/>
      </c>
      <c r="AX64" s="152">
        <f>IF($B64=1,$H$13,IF(N(Vintage_Input!R12)&gt;0,IFERROR(Vintage_Input!BF12/$C64,""),""))</f>
        <v/>
      </c>
      <c r="AY64" s="152">
        <f>IF($B64=1,$I$13,IF(N(Vintage_Input!S12)&gt;0,IFERROR(Vintage_Input!BG12/$C64,""),""))</f>
        <v/>
      </c>
      <c r="AZ64" s="153">
        <f>IF($B64=1,$B$14,IF(N(Vintage_Input!L12)&gt;0,IFERROR((Vintage_Input!D12+Vintage_Input!AR12)/$C64+Products!$C$14-(Products!$C$43+Products!$C$19+Products!$C$43*Products!$C$22+Products!$C$44),""),""))</f>
        <v/>
      </c>
      <c r="BA64" s="153">
        <f>IF($B64=1,$C$14,IF(N(Vintage_Input!M12)&gt;0,IFERROR((Vintage_Input!E12+Vintage_Input!AS12)/$C64+Products!$C$14-(Products!$C$43+Products!$C$19+Products!$C$43*Products!$C$22+Products!$C$44),""),""))</f>
        <v/>
      </c>
      <c r="BB64" s="153">
        <f>IF($B64=1,$D$14,IF(N(Vintage_Input!N12)&gt;0,IFERROR((Vintage_Input!F12+Vintage_Input!AT12)/$C64+Products!$C$14-(Products!$C$43+Products!$C$19+Products!$C$43*Products!$C$22+Products!$C$44),""),""))</f>
        <v/>
      </c>
      <c r="BC64" s="153">
        <f>IF($B64=1,$E$14,IF(N(Vintage_Input!O12)&gt;0,IFERROR((Vintage_Input!G12+Vintage_Input!AU12)/$C64+Products!$C$14-(Products!$C$43+Products!$C$19+Products!$C$43*Products!$C$22+Products!$C$44),""),""))</f>
        <v/>
      </c>
      <c r="BD64" s="153">
        <f>IF($B64=1,$F$14,IF(N(Vintage_Input!P12)&gt;0,IFERROR((Vintage_Input!H12+Vintage_Input!AV12)/$C64+Products!$C$14-(Products!$C$43+Products!$C$19+Products!$C$43*Products!$C$22+Products!$C$44),""),""))</f>
        <v/>
      </c>
      <c r="BE64" s="153">
        <f>IF($B64=1,$G$14,IF(N(Vintage_Input!Q12)&gt;0,IFERROR((Vintage_Input!I12+Vintage_Input!AW12)/$C64+Products!$C$14-(Products!$C$43+Products!$C$19+Products!$C$43*Products!$C$22+Products!$C$44),""),""))</f>
        <v/>
      </c>
      <c r="BF64" s="153">
        <f>IF($B64=1,$H$14,IF(N(Vintage_Input!R12)&gt;0,IFERROR((Vintage_Input!J12+Vintage_Input!AX12)/$C64+Products!$C$14-(Products!$C$43+Products!$C$19+Products!$C$43*Products!$C$22+Products!$C$44),""),""))</f>
        <v/>
      </c>
      <c r="BG64" s="153">
        <f>IF($B64=1,$I$14,IF(N(Vintage_Input!S12)&gt;0,IFERROR((Vintage_Input!K12+Vintage_Input!AY12)/$C64+Products!$C$14-(Products!$C$43+Products!$C$19+Products!$C$43*Products!$C$22+Products!$C$44),""),""))</f>
        <v/>
      </c>
      <c r="BH64" s="81">
        <f>IF($B64=1,0,IF(Vintage_Input!$BH$12="","",Vintage_Input!$BH$12))</f>
        <v/>
      </c>
    </row>
    <row r="65">
      <c r="A65" s="23" t="n">
        <v>5</v>
      </c>
      <c r="B65" s="48">
        <f>Vintage_Input!$B$13</f>
        <v/>
      </c>
      <c r="C65" s="41">
        <f>IF(Vintage_Input!$C$13="",0,Vintage_Input!$C$13)</f>
        <v/>
      </c>
      <c r="D65" s="152">
        <f>IF($B65=1,$B$8,IF(N(Vintage_Input!L13)&gt;0,Vintage_Input!D13/Vintage_Input!L13,""))</f>
        <v/>
      </c>
      <c r="E65" s="152">
        <f>IF($B65=1,$C$8,IF(N(Vintage_Input!M13)&gt;0,Vintage_Input!E13/Vintage_Input!M13,""))</f>
        <v/>
      </c>
      <c r="F65" s="152">
        <f>IF($B65=1,$D$8,IF(N(Vintage_Input!N13)&gt;0,Vintage_Input!F13/Vintage_Input!N13,""))</f>
        <v/>
      </c>
      <c r="G65" s="152">
        <f>IF($B65=1,$E$8,IF(N(Vintage_Input!O13)&gt;0,Vintage_Input!G13/Vintage_Input!O13,""))</f>
        <v/>
      </c>
      <c r="H65" s="152">
        <f>IF($B65=1,$F$8,IF(N(Vintage_Input!P13)&gt;0,Vintage_Input!H13/Vintage_Input!P13,""))</f>
        <v/>
      </c>
      <c r="I65" s="152">
        <f>IF($B65=1,$G$8,IF(N(Vintage_Input!Q13)&gt;0,Vintage_Input!I13/Vintage_Input!Q13,""))</f>
        <v/>
      </c>
      <c r="J65" s="152">
        <f>IF($B65=1,$H$8,IF(N(Vintage_Input!R13)&gt;0,Vintage_Input!J13/Vintage_Input!R13,""))</f>
        <v/>
      </c>
      <c r="K65" s="152">
        <f>IF($B65=1,$I$8,IF(N(Vintage_Input!S13)&gt;0,Vintage_Input!K13/Vintage_Input!S13,""))</f>
        <v/>
      </c>
      <c r="L65" s="152">
        <f>IF($B65=1,$B$9,IF(N(Vintage_Input!L13)&gt;0,Vintage_Input!T13/Vintage_Input!L13,""))</f>
        <v/>
      </c>
      <c r="M65" s="152">
        <f>IF($B65=1,$C$9,IF(N(Vintage_Input!M13)&gt;0,Vintage_Input!U13/Vintage_Input!M13,""))</f>
        <v/>
      </c>
      <c r="N65" s="152">
        <f>IF($B65=1,$D$9,IF(N(Vintage_Input!N13)&gt;0,Vintage_Input!V13/Vintage_Input!N13,""))</f>
        <v/>
      </c>
      <c r="O65" s="152">
        <f>IF($B65=1,$E$9,IF(N(Vintage_Input!O13)&gt;0,Vintage_Input!W13/Vintage_Input!O13,""))</f>
        <v/>
      </c>
      <c r="P65" s="152">
        <f>IF($B65=1,$F$9,IF(N(Vintage_Input!P13)&gt;0,Vintage_Input!X13/Vintage_Input!P13,""))</f>
        <v/>
      </c>
      <c r="Q65" s="152">
        <f>IF($B65=1,$G$9,IF(N(Vintage_Input!Q13)&gt;0,Vintage_Input!Y13/Vintage_Input!Q13,""))</f>
        <v/>
      </c>
      <c r="R65" s="152">
        <f>IF($B65=1,$H$9,IF(N(Vintage_Input!R13)&gt;0,Vintage_Input!Z13/Vintage_Input!R13,""))</f>
        <v/>
      </c>
      <c r="S65" s="152">
        <f>IF($B65=1,$I$9,IF(N(Vintage_Input!S13)&gt;0,Vintage_Input!AA13/Vintage_Input!S13,""))</f>
        <v/>
      </c>
      <c r="T65" s="152">
        <f>IF($B65=1,$B$10,IF(N(Vintage_Input!L13)&gt;0,Vintage_Input!AB13/Vintage_Input!L13,""))</f>
        <v/>
      </c>
      <c r="U65" s="152">
        <f>IF($B65=1,$C$10,IF(N(Vintage_Input!M13)&gt;0,Vintage_Input!AC13/Vintage_Input!M13,""))</f>
        <v/>
      </c>
      <c r="V65" s="152">
        <f>IF($B65=1,$D$10,IF(N(Vintage_Input!N13)&gt;0,Vintage_Input!AD13/Vintage_Input!N13,""))</f>
        <v/>
      </c>
      <c r="W65" s="152">
        <f>IF($B65=1,$E$10,IF(N(Vintage_Input!O13)&gt;0,Vintage_Input!AE13/Vintage_Input!O13,""))</f>
        <v/>
      </c>
      <c r="X65" s="152">
        <f>IF($B65=1,$F$10,IF(N(Vintage_Input!P13)&gt;0,Vintage_Input!AF13/Vintage_Input!P13,""))</f>
        <v/>
      </c>
      <c r="Y65" s="152">
        <f>IF($B65=1,$G$10,IF(N(Vintage_Input!Q13)&gt;0,Vintage_Input!AG13/Vintage_Input!Q13,""))</f>
        <v/>
      </c>
      <c r="Z65" s="152">
        <f>IF($B65=1,$H$10,IF(N(Vintage_Input!R13)&gt;0,Vintage_Input!AH13/Vintage_Input!R13,""))</f>
        <v/>
      </c>
      <c r="AA65" s="152">
        <f>IF($B65=1,$I$10,IF(N(Vintage_Input!S13)&gt;0,Vintage_Input!AI13/Vintage_Input!S13,""))</f>
        <v/>
      </c>
      <c r="AB65" s="152">
        <f>IF($B65=1,$B$11,IF(N(Vintage_Input!L13)&gt;0,Vintage_Input!AJ13/Vintage_Input!L13,""))</f>
        <v/>
      </c>
      <c r="AC65" s="152">
        <f>IF($B65=1,$C$11,IF(N(Vintage_Input!M13)&gt;0,Vintage_Input!AK13/Vintage_Input!M13,""))</f>
        <v/>
      </c>
      <c r="AD65" s="152">
        <f>IF($B65=1,$D$11,IF(N(Vintage_Input!N13)&gt;0,Vintage_Input!AL13/Vintage_Input!N13,""))</f>
        <v/>
      </c>
      <c r="AE65" s="152">
        <f>IF($B65=1,$E$11,IF(N(Vintage_Input!O13)&gt;0,Vintage_Input!AM13/Vintage_Input!O13,""))</f>
        <v/>
      </c>
      <c r="AF65" s="152">
        <f>IF($B65=1,$F$11,IF(N(Vintage_Input!P13)&gt;0,Vintage_Input!AN13/Vintage_Input!P13,""))</f>
        <v/>
      </c>
      <c r="AG65" s="152">
        <f>IF($B65=1,$G$11,IF(N(Vintage_Input!Q13)&gt;0,Vintage_Input!AO13/Vintage_Input!Q13,""))</f>
        <v/>
      </c>
      <c r="AH65" s="152">
        <f>IF($B65=1,$H$11,IF(N(Vintage_Input!R13)&gt;0,Vintage_Input!AP13/Vintage_Input!R13,""))</f>
        <v/>
      </c>
      <c r="AI65" s="152">
        <f>IF($B65=1,$I$11,IF(N(Vintage_Input!S13)&gt;0,Vintage_Input!AQ13/Vintage_Input!S13,""))</f>
        <v/>
      </c>
      <c r="AJ65" s="152">
        <f>IF($B65=1,$B$12,IF(N(Vintage_Input!L13)&gt;0,IFERROR(Vintage_Input!AR13/Vintage_Input!AJ13,""),""))</f>
        <v/>
      </c>
      <c r="AK65" s="152">
        <f>IF($B65=1,$C$12,IF(N(Vintage_Input!M13)&gt;0,IFERROR(Vintage_Input!AS13/Vintage_Input!AK13,""),""))</f>
        <v/>
      </c>
      <c r="AL65" s="152">
        <f>IF($B65=1,$D$12,IF(N(Vintage_Input!N13)&gt;0,IFERROR(Vintage_Input!AT13/Vintage_Input!AL13,""),""))</f>
        <v/>
      </c>
      <c r="AM65" s="152">
        <f>IF($B65=1,$E$12,IF(N(Vintage_Input!O13)&gt;0,IFERROR(Vintage_Input!AU13/Vintage_Input!AM13,""),""))</f>
        <v/>
      </c>
      <c r="AN65" s="152">
        <f>IF($B65=1,$F$12,IF(N(Vintage_Input!P13)&gt;0,IFERROR(Vintage_Input!AV13/Vintage_Input!AN13,""),""))</f>
        <v/>
      </c>
      <c r="AO65" s="152">
        <f>IF($B65=1,$G$12,IF(N(Vintage_Input!Q13)&gt;0,IFERROR(Vintage_Input!AW13/Vintage_Input!AO13,""),""))</f>
        <v/>
      </c>
      <c r="AP65" s="152">
        <f>IF($B65=1,$H$12,IF(N(Vintage_Input!R13)&gt;0,IFERROR(Vintage_Input!AX13/Vintage_Input!AP13,""),""))</f>
        <v/>
      </c>
      <c r="AQ65" s="152">
        <f>IF($B65=1,$I$12,IF(N(Vintage_Input!S13)&gt;0,IFERROR(Vintage_Input!AY13/Vintage_Input!AQ13,""),""))</f>
        <v/>
      </c>
      <c r="AR65" s="152">
        <f>IF($B65=1,$B$13,IF(N(Vintage_Input!L13)&gt;0,IFERROR(Vintage_Input!AZ13/$C65,""),""))</f>
        <v/>
      </c>
      <c r="AS65" s="152">
        <f>IF($B65=1,$C$13,IF(N(Vintage_Input!M13)&gt;0,IFERROR(Vintage_Input!BA13/$C65,""),""))</f>
        <v/>
      </c>
      <c r="AT65" s="152">
        <f>IF($B65=1,$D$13,IF(N(Vintage_Input!N13)&gt;0,IFERROR(Vintage_Input!BB13/$C65,""),""))</f>
        <v/>
      </c>
      <c r="AU65" s="152">
        <f>IF($B65=1,$E$13,IF(N(Vintage_Input!O13)&gt;0,IFERROR(Vintage_Input!BC13/$C65,""),""))</f>
        <v/>
      </c>
      <c r="AV65" s="152">
        <f>IF($B65=1,$F$13,IF(N(Vintage_Input!P13)&gt;0,IFERROR(Vintage_Input!BD13/$C65,""),""))</f>
        <v/>
      </c>
      <c r="AW65" s="152">
        <f>IF($B65=1,$G$13,IF(N(Vintage_Input!Q13)&gt;0,IFERROR(Vintage_Input!BE13/$C65,""),""))</f>
        <v/>
      </c>
      <c r="AX65" s="152">
        <f>IF($B65=1,$H$13,IF(N(Vintage_Input!R13)&gt;0,IFERROR(Vintage_Input!BF13/$C65,""),""))</f>
        <v/>
      </c>
      <c r="AY65" s="152">
        <f>IF($B65=1,$I$13,IF(N(Vintage_Input!S13)&gt;0,IFERROR(Vintage_Input!BG13/$C65,""),""))</f>
        <v/>
      </c>
      <c r="AZ65" s="153">
        <f>IF($B65=1,$B$14,IF(N(Vintage_Input!L13)&gt;0,IFERROR((Vintage_Input!D13+Vintage_Input!AR13)/$C65+Products!$C$14-(Products!$C$43+Products!$C$19+Products!$C$43*Products!$C$22+Products!$C$44),""),""))</f>
        <v/>
      </c>
      <c r="BA65" s="153">
        <f>IF($B65=1,$C$14,IF(N(Vintage_Input!M13)&gt;0,IFERROR((Vintage_Input!E13+Vintage_Input!AS13)/$C65+Products!$C$14-(Products!$C$43+Products!$C$19+Products!$C$43*Products!$C$22+Products!$C$44),""),""))</f>
        <v/>
      </c>
      <c r="BB65" s="153">
        <f>IF($B65=1,$D$14,IF(N(Vintage_Input!N13)&gt;0,IFERROR((Vintage_Input!F13+Vintage_Input!AT13)/$C65+Products!$C$14-(Products!$C$43+Products!$C$19+Products!$C$43*Products!$C$22+Products!$C$44),""),""))</f>
        <v/>
      </c>
      <c r="BC65" s="153">
        <f>IF($B65=1,$E$14,IF(N(Vintage_Input!O13)&gt;0,IFERROR((Vintage_Input!G13+Vintage_Input!AU13)/$C65+Products!$C$14-(Products!$C$43+Products!$C$19+Products!$C$43*Products!$C$22+Products!$C$44),""),""))</f>
        <v/>
      </c>
      <c r="BD65" s="153">
        <f>IF($B65=1,$F$14,IF(N(Vintage_Input!P13)&gt;0,IFERROR((Vintage_Input!H13+Vintage_Input!AV13)/$C65+Products!$C$14-(Products!$C$43+Products!$C$19+Products!$C$43*Products!$C$22+Products!$C$44),""),""))</f>
        <v/>
      </c>
      <c r="BE65" s="153">
        <f>IF($B65=1,$G$14,IF(N(Vintage_Input!Q13)&gt;0,IFERROR((Vintage_Input!I13+Vintage_Input!AW13)/$C65+Products!$C$14-(Products!$C$43+Products!$C$19+Products!$C$43*Products!$C$22+Products!$C$44),""),""))</f>
        <v/>
      </c>
      <c r="BF65" s="153">
        <f>IF($B65=1,$H$14,IF(N(Vintage_Input!R13)&gt;0,IFERROR((Vintage_Input!J13+Vintage_Input!AX13)/$C65+Products!$C$14-(Products!$C$43+Products!$C$19+Products!$C$43*Products!$C$22+Products!$C$44),""),""))</f>
        <v/>
      </c>
      <c r="BG65" s="153">
        <f>IF($B65=1,$I$14,IF(N(Vintage_Input!S13)&gt;0,IFERROR((Vintage_Input!K13+Vintage_Input!AY13)/$C65+Products!$C$14-(Products!$C$43+Products!$C$19+Products!$C$43*Products!$C$22+Products!$C$44),""),""))</f>
        <v/>
      </c>
      <c r="BH65" s="81">
        <f>IF($B65=1,0,IF(Vintage_Input!$BH$13="","",Vintage_Input!$BH$13))</f>
        <v/>
      </c>
    </row>
    <row r="66">
      <c r="A66" s="23" t="n">
        <v>6</v>
      </c>
      <c r="B66" s="48">
        <f>Vintage_Input!$B$14</f>
        <v/>
      </c>
      <c r="C66" s="41">
        <f>IF(Vintage_Input!$C$14="",0,Vintage_Input!$C$14)</f>
        <v/>
      </c>
      <c r="D66" s="152">
        <f>IF($B66=1,$B$8,IF(N(Vintage_Input!L14)&gt;0,Vintage_Input!D14/Vintage_Input!L14,""))</f>
        <v/>
      </c>
      <c r="E66" s="152">
        <f>IF($B66=1,$C$8,IF(N(Vintage_Input!M14)&gt;0,Vintage_Input!E14/Vintage_Input!M14,""))</f>
        <v/>
      </c>
      <c r="F66" s="152">
        <f>IF($B66=1,$D$8,IF(N(Vintage_Input!N14)&gt;0,Vintage_Input!F14/Vintage_Input!N14,""))</f>
        <v/>
      </c>
      <c r="G66" s="152">
        <f>IF($B66=1,$E$8,IF(N(Vintage_Input!O14)&gt;0,Vintage_Input!G14/Vintage_Input!O14,""))</f>
        <v/>
      </c>
      <c r="H66" s="152">
        <f>IF($B66=1,$F$8,IF(N(Vintage_Input!P14)&gt;0,Vintage_Input!H14/Vintage_Input!P14,""))</f>
        <v/>
      </c>
      <c r="I66" s="152">
        <f>IF($B66=1,$G$8,IF(N(Vintage_Input!Q14)&gt;0,Vintage_Input!I14/Vintage_Input!Q14,""))</f>
        <v/>
      </c>
      <c r="J66" s="152">
        <f>IF($B66=1,$H$8,IF(N(Vintage_Input!R14)&gt;0,Vintage_Input!J14/Vintage_Input!R14,""))</f>
        <v/>
      </c>
      <c r="K66" s="152">
        <f>IF($B66=1,$I$8,IF(N(Vintage_Input!S14)&gt;0,Vintage_Input!K14/Vintage_Input!S14,""))</f>
        <v/>
      </c>
      <c r="L66" s="152">
        <f>IF($B66=1,$B$9,IF(N(Vintage_Input!L14)&gt;0,Vintage_Input!T14/Vintage_Input!L14,""))</f>
        <v/>
      </c>
      <c r="M66" s="152">
        <f>IF($B66=1,$C$9,IF(N(Vintage_Input!M14)&gt;0,Vintage_Input!U14/Vintage_Input!M14,""))</f>
        <v/>
      </c>
      <c r="N66" s="152">
        <f>IF($B66=1,$D$9,IF(N(Vintage_Input!N14)&gt;0,Vintage_Input!V14/Vintage_Input!N14,""))</f>
        <v/>
      </c>
      <c r="O66" s="152">
        <f>IF($B66=1,$E$9,IF(N(Vintage_Input!O14)&gt;0,Vintage_Input!W14/Vintage_Input!O14,""))</f>
        <v/>
      </c>
      <c r="P66" s="152">
        <f>IF($B66=1,$F$9,IF(N(Vintage_Input!P14)&gt;0,Vintage_Input!X14/Vintage_Input!P14,""))</f>
        <v/>
      </c>
      <c r="Q66" s="152">
        <f>IF($B66=1,$G$9,IF(N(Vintage_Input!Q14)&gt;0,Vintage_Input!Y14/Vintage_Input!Q14,""))</f>
        <v/>
      </c>
      <c r="R66" s="152">
        <f>IF($B66=1,$H$9,IF(N(Vintage_Input!R14)&gt;0,Vintage_Input!Z14/Vintage_Input!R14,""))</f>
        <v/>
      </c>
      <c r="S66" s="152">
        <f>IF($B66=1,$I$9,IF(N(Vintage_Input!S14)&gt;0,Vintage_Input!AA14/Vintage_Input!S14,""))</f>
        <v/>
      </c>
      <c r="T66" s="152">
        <f>IF($B66=1,$B$10,IF(N(Vintage_Input!L14)&gt;0,Vintage_Input!AB14/Vintage_Input!L14,""))</f>
        <v/>
      </c>
      <c r="U66" s="152">
        <f>IF($B66=1,$C$10,IF(N(Vintage_Input!M14)&gt;0,Vintage_Input!AC14/Vintage_Input!M14,""))</f>
        <v/>
      </c>
      <c r="V66" s="152">
        <f>IF($B66=1,$D$10,IF(N(Vintage_Input!N14)&gt;0,Vintage_Input!AD14/Vintage_Input!N14,""))</f>
        <v/>
      </c>
      <c r="W66" s="152">
        <f>IF($B66=1,$E$10,IF(N(Vintage_Input!O14)&gt;0,Vintage_Input!AE14/Vintage_Input!O14,""))</f>
        <v/>
      </c>
      <c r="X66" s="152">
        <f>IF($B66=1,$F$10,IF(N(Vintage_Input!P14)&gt;0,Vintage_Input!AF14/Vintage_Input!P14,""))</f>
        <v/>
      </c>
      <c r="Y66" s="152">
        <f>IF($B66=1,$G$10,IF(N(Vintage_Input!Q14)&gt;0,Vintage_Input!AG14/Vintage_Input!Q14,""))</f>
        <v/>
      </c>
      <c r="Z66" s="152">
        <f>IF($B66=1,$H$10,IF(N(Vintage_Input!R14)&gt;0,Vintage_Input!AH14/Vintage_Input!R14,""))</f>
        <v/>
      </c>
      <c r="AA66" s="152">
        <f>IF($B66=1,$I$10,IF(N(Vintage_Input!S14)&gt;0,Vintage_Input!AI14/Vintage_Input!S14,""))</f>
        <v/>
      </c>
      <c r="AB66" s="152">
        <f>IF($B66=1,$B$11,IF(N(Vintage_Input!L14)&gt;0,Vintage_Input!AJ14/Vintage_Input!L14,""))</f>
        <v/>
      </c>
      <c r="AC66" s="152">
        <f>IF($B66=1,$C$11,IF(N(Vintage_Input!M14)&gt;0,Vintage_Input!AK14/Vintage_Input!M14,""))</f>
        <v/>
      </c>
      <c r="AD66" s="152">
        <f>IF($B66=1,$D$11,IF(N(Vintage_Input!N14)&gt;0,Vintage_Input!AL14/Vintage_Input!N14,""))</f>
        <v/>
      </c>
      <c r="AE66" s="152">
        <f>IF($B66=1,$E$11,IF(N(Vintage_Input!O14)&gt;0,Vintage_Input!AM14/Vintage_Input!O14,""))</f>
        <v/>
      </c>
      <c r="AF66" s="152">
        <f>IF($B66=1,$F$11,IF(N(Vintage_Input!P14)&gt;0,Vintage_Input!AN14/Vintage_Input!P14,""))</f>
        <v/>
      </c>
      <c r="AG66" s="152">
        <f>IF($B66=1,$G$11,IF(N(Vintage_Input!Q14)&gt;0,Vintage_Input!AO14/Vintage_Input!Q14,""))</f>
        <v/>
      </c>
      <c r="AH66" s="152">
        <f>IF($B66=1,$H$11,IF(N(Vintage_Input!R14)&gt;0,Vintage_Input!AP14/Vintage_Input!R14,""))</f>
        <v/>
      </c>
      <c r="AI66" s="152">
        <f>IF($B66=1,$I$11,IF(N(Vintage_Input!S14)&gt;0,Vintage_Input!AQ14/Vintage_Input!S14,""))</f>
        <v/>
      </c>
      <c r="AJ66" s="152">
        <f>IF($B66=1,$B$12,IF(N(Vintage_Input!L14)&gt;0,IFERROR(Vintage_Input!AR14/Vintage_Input!AJ14,""),""))</f>
        <v/>
      </c>
      <c r="AK66" s="152">
        <f>IF($B66=1,$C$12,IF(N(Vintage_Input!M14)&gt;0,IFERROR(Vintage_Input!AS14/Vintage_Input!AK14,""),""))</f>
        <v/>
      </c>
      <c r="AL66" s="152">
        <f>IF($B66=1,$D$12,IF(N(Vintage_Input!N14)&gt;0,IFERROR(Vintage_Input!AT14/Vintage_Input!AL14,""),""))</f>
        <v/>
      </c>
      <c r="AM66" s="152">
        <f>IF($B66=1,$E$12,IF(N(Vintage_Input!O14)&gt;0,IFERROR(Vintage_Input!AU14/Vintage_Input!AM14,""),""))</f>
        <v/>
      </c>
      <c r="AN66" s="152">
        <f>IF($B66=1,$F$12,IF(N(Vintage_Input!P14)&gt;0,IFERROR(Vintage_Input!AV14/Vintage_Input!AN14,""),""))</f>
        <v/>
      </c>
      <c r="AO66" s="152">
        <f>IF($B66=1,$G$12,IF(N(Vintage_Input!Q14)&gt;0,IFERROR(Vintage_Input!AW14/Vintage_Input!AO14,""),""))</f>
        <v/>
      </c>
      <c r="AP66" s="152">
        <f>IF($B66=1,$H$12,IF(N(Vintage_Input!R14)&gt;0,IFERROR(Vintage_Input!AX14/Vintage_Input!AP14,""),""))</f>
        <v/>
      </c>
      <c r="AQ66" s="152">
        <f>IF($B66=1,$I$12,IF(N(Vintage_Input!S14)&gt;0,IFERROR(Vintage_Input!AY14/Vintage_Input!AQ14,""),""))</f>
        <v/>
      </c>
      <c r="AR66" s="152">
        <f>IF($B66=1,$B$13,IF(N(Vintage_Input!L14)&gt;0,IFERROR(Vintage_Input!AZ14/$C66,""),""))</f>
        <v/>
      </c>
      <c r="AS66" s="152">
        <f>IF($B66=1,$C$13,IF(N(Vintage_Input!M14)&gt;0,IFERROR(Vintage_Input!BA14/$C66,""),""))</f>
        <v/>
      </c>
      <c r="AT66" s="152">
        <f>IF($B66=1,$D$13,IF(N(Vintage_Input!N14)&gt;0,IFERROR(Vintage_Input!BB14/$C66,""),""))</f>
        <v/>
      </c>
      <c r="AU66" s="152">
        <f>IF($B66=1,$E$13,IF(N(Vintage_Input!O14)&gt;0,IFERROR(Vintage_Input!BC14/$C66,""),""))</f>
        <v/>
      </c>
      <c r="AV66" s="152">
        <f>IF($B66=1,$F$13,IF(N(Vintage_Input!P14)&gt;0,IFERROR(Vintage_Input!BD14/$C66,""),""))</f>
        <v/>
      </c>
      <c r="AW66" s="152">
        <f>IF($B66=1,$G$13,IF(N(Vintage_Input!Q14)&gt;0,IFERROR(Vintage_Input!BE14/$C66,""),""))</f>
        <v/>
      </c>
      <c r="AX66" s="152">
        <f>IF($B66=1,$H$13,IF(N(Vintage_Input!R14)&gt;0,IFERROR(Vintage_Input!BF14/$C66,""),""))</f>
        <v/>
      </c>
      <c r="AY66" s="152">
        <f>IF($B66=1,$I$13,IF(N(Vintage_Input!S14)&gt;0,IFERROR(Vintage_Input!BG14/$C66,""),""))</f>
        <v/>
      </c>
      <c r="AZ66" s="153">
        <f>IF($B66=1,$B$14,IF(N(Vintage_Input!L14)&gt;0,IFERROR((Vintage_Input!D14+Vintage_Input!AR14)/$C66+Products!$C$14-(Products!$C$43+Products!$C$19+Products!$C$43*Products!$C$22+Products!$C$44),""),""))</f>
        <v/>
      </c>
      <c r="BA66" s="153">
        <f>IF($B66=1,$C$14,IF(N(Vintage_Input!M14)&gt;0,IFERROR((Vintage_Input!E14+Vintage_Input!AS14)/$C66+Products!$C$14-(Products!$C$43+Products!$C$19+Products!$C$43*Products!$C$22+Products!$C$44),""),""))</f>
        <v/>
      </c>
      <c r="BB66" s="153">
        <f>IF($B66=1,$D$14,IF(N(Vintage_Input!N14)&gt;0,IFERROR((Vintage_Input!F14+Vintage_Input!AT14)/$C66+Products!$C$14-(Products!$C$43+Products!$C$19+Products!$C$43*Products!$C$22+Products!$C$44),""),""))</f>
        <v/>
      </c>
      <c r="BC66" s="153">
        <f>IF($B66=1,$E$14,IF(N(Vintage_Input!O14)&gt;0,IFERROR((Vintage_Input!G14+Vintage_Input!AU14)/$C66+Products!$C$14-(Products!$C$43+Products!$C$19+Products!$C$43*Products!$C$22+Products!$C$44),""),""))</f>
        <v/>
      </c>
      <c r="BD66" s="153">
        <f>IF($B66=1,$F$14,IF(N(Vintage_Input!P14)&gt;0,IFERROR((Vintage_Input!H14+Vintage_Input!AV14)/$C66+Products!$C$14-(Products!$C$43+Products!$C$19+Products!$C$43*Products!$C$22+Products!$C$44),""),""))</f>
        <v/>
      </c>
      <c r="BE66" s="153">
        <f>IF($B66=1,$G$14,IF(N(Vintage_Input!Q14)&gt;0,IFERROR((Vintage_Input!I14+Vintage_Input!AW14)/$C66+Products!$C$14-(Products!$C$43+Products!$C$19+Products!$C$43*Products!$C$22+Products!$C$44),""),""))</f>
        <v/>
      </c>
      <c r="BF66" s="153">
        <f>IF($B66=1,$H$14,IF(N(Vintage_Input!R14)&gt;0,IFERROR((Vintage_Input!J14+Vintage_Input!AX14)/$C66+Products!$C$14-(Products!$C$43+Products!$C$19+Products!$C$43*Products!$C$22+Products!$C$44),""),""))</f>
        <v/>
      </c>
      <c r="BG66" s="153">
        <f>IF($B66=1,$I$14,IF(N(Vintage_Input!S14)&gt;0,IFERROR((Vintage_Input!K14+Vintage_Input!AY14)/$C66+Products!$C$14-(Products!$C$43+Products!$C$19+Products!$C$43*Products!$C$22+Products!$C$44),""),""))</f>
        <v/>
      </c>
      <c r="BH66" s="81">
        <f>IF($B66=1,0,IF(Vintage_Input!$BH$14="","",Vintage_Input!$BH$14))</f>
        <v/>
      </c>
    </row>
    <row r="67">
      <c r="A67" s="23" t="n">
        <v>7</v>
      </c>
      <c r="B67" s="48">
        <f>Vintage_Input!$B$15</f>
        <v/>
      </c>
      <c r="C67" s="41">
        <f>IF(Vintage_Input!$C$15="",0,Vintage_Input!$C$15)</f>
        <v/>
      </c>
      <c r="D67" s="152">
        <f>IF($B67=1,$B$8,IF(N(Vintage_Input!L15)&gt;0,Vintage_Input!D15/Vintage_Input!L15,""))</f>
        <v/>
      </c>
      <c r="E67" s="152">
        <f>IF($B67=1,$C$8,IF(N(Vintage_Input!M15)&gt;0,Vintage_Input!E15/Vintage_Input!M15,""))</f>
        <v/>
      </c>
      <c r="F67" s="152">
        <f>IF($B67=1,$D$8,IF(N(Vintage_Input!N15)&gt;0,Vintage_Input!F15/Vintage_Input!N15,""))</f>
        <v/>
      </c>
      <c r="G67" s="152">
        <f>IF($B67=1,$E$8,IF(N(Vintage_Input!O15)&gt;0,Vintage_Input!G15/Vintage_Input!O15,""))</f>
        <v/>
      </c>
      <c r="H67" s="152">
        <f>IF($B67=1,$F$8,IF(N(Vintage_Input!P15)&gt;0,Vintage_Input!H15/Vintage_Input!P15,""))</f>
        <v/>
      </c>
      <c r="I67" s="152">
        <f>IF($B67=1,$G$8,IF(N(Vintage_Input!Q15)&gt;0,Vintage_Input!I15/Vintage_Input!Q15,""))</f>
        <v/>
      </c>
      <c r="J67" s="152">
        <f>IF($B67=1,$H$8,IF(N(Vintage_Input!R15)&gt;0,Vintage_Input!J15/Vintage_Input!R15,""))</f>
        <v/>
      </c>
      <c r="K67" s="152">
        <f>IF($B67=1,$I$8,IF(N(Vintage_Input!S15)&gt;0,Vintage_Input!K15/Vintage_Input!S15,""))</f>
        <v/>
      </c>
      <c r="L67" s="152">
        <f>IF($B67=1,$B$9,IF(N(Vintage_Input!L15)&gt;0,Vintage_Input!T15/Vintage_Input!L15,""))</f>
        <v/>
      </c>
      <c r="M67" s="152">
        <f>IF($B67=1,$C$9,IF(N(Vintage_Input!M15)&gt;0,Vintage_Input!U15/Vintage_Input!M15,""))</f>
        <v/>
      </c>
      <c r="N67" s="152">
        <f>IF($B67=1,$D$9,IF(N(Vintage_Input!N15)&gt;0,Vintage_Input!V15/Vintage_Input!N15,""))</f>
        <v/>
      </c>
      <c r="O67" s="152">
        <f>IF($B67=1,$E$9,IF(N(Vintage_Input!O15)&gt;0,Vintage_Input!W15/Vintage_Input!O15,""))</f>
        <v/>
      </c>
      <c r="P67" s="152">
        <f>IF($B67=1,$F$9,IF(N(Vintage_Input!P15)&gt;0,Vintage_Input!X15/Vintage_Input!P15,""))</f>
        <v/>
      </c>
      <c r="Q67" s="152">
        <f>IF($B67=1,$G$9,IF(N(Vintage_Input!Q15)&gt;0,Vintage_Input!Y15/Vintage_Input!Q15,""))</f>
        <v/>
      </c>
      <c r="R67" s="152">
        <f>IF($B67=1,$H$9,IF(N(Vintage_Input!R15)&gt;0,Vintage_Input!Z15/Vintage_Input!R15,""))</f>
        <v/>
      </c>
      <c r="S67" s="152">
        <f>IF($B67=1,$I$9,IF(N(Vintage_Input!S15)&gt;0,Vintage_Input!AA15/Vintage_Input!S15,""))</f>
        <v/>
      </c>
      <c r="T67" s="152">
        <f>IF($B67=1,$B$10,IF(N(Vintage_Input!L15)&gt;0,Vintage_Input!AB15/Vintage_Input!L15,""))</f>
        <v/>
      </c>
      <c r="U67" s="152">
        <f>IF($B67=1,$C$10,IF(N(Vintage_Input!M15)&gt;0,Vintage_Input!AC15/Vintage_Input!M15,""))</f>
        <v/>
      </c>
      <c r="V67" s="152">
        <f>IF($B67=1,$D$10,IF(N(Vintage_Input!N15)&gt;0,Vintage_Input!AD15/Vintage_Input!N15,""))</f>
        <v/>
      </c>
      <c r="W67" s="152">
        <f>IF($B67=1,$E$10,IF(N(Vintage_Input!O15)&gt;0,Vintage_Input!AE15/Vintage_Input!O15,""))</f>
        <v/>
      </c>
      <c r="X67" s="152">
        <f>IF($B67=1,$F$10,IF(N(Vintage_Input!P15)&gt;0,Vintage_Input!AF15/Vintage_Input!P15,""))</f>
        <v/>
      </c>
      <c r="Y67" s="152">
        <f>IF($B67=1,$G$10,IF(N(Vintage_Input!Q15)&gt;0,Vintage_Input!AG15/Vintage_Input!Q15,""))</f>
        <v/>
      </c>
      <c r="Z67" s="152">
        <f>IF($B67=1,$H$10,IF(N(Vintage_Input!R15)&gt;0,Vintage_Input!AH15/Vintage_Input!R15,""))</f>
        <v/>
      </c>
      <c r="AA67" s="152">
        <f>IF($B67=1,$I$10,IF(N(Vintage_Input!S15)&gt;0,Vintage_Input!AI15/Vintage_Input!S15,""))</f>
        <v/>
      </c>
      <c r="AB67" s="152">
        <f>IF($B67=1,$B$11,IF(N(Vintage_Input!L15)&gt;0,Vintage_Input!AJ15/Vintage_Input!L15,""))</f>
        <v/>
      </c>
      <c r="AC67" s="152">
        <f>IF($B67=1,$C$11,IF(N(Vintage_Input!M15)&gt;0,Vintage_Input!AK15/Vintage_Input!M15,""))</f>
        <v/>
      </c>
      <c r="AD67" s="152">
        <f>IF($B67=1,$D$11,IF(N(Vintage_Input!N15)&gt;0,Vintage_Input!AL15/Vintage_Input!N15,""))</f>
        <v/>
      </c>
      <c r="AE67" s="152">
        <f>IF($B67=1,$E$11,IF(N(Vintage_Input!O15)&gt;0,Vintage_Input!AM15/Vintage_Input!O15,""))</f>
        <v/>
      </c>
      <c r="AF67" s="152">
        <f>IF($B67=1,$F$11,IF(N(Vintage_Input!P15)&gt;0,Vintage_Input!AN15/Vintage_Input!P15,""))</f>
        <v/>
      </c>
      <c r="AG67" s="152">
        <f>IF($B67=1,$G$11,IF(N(Vintage_Input!Q15)&gt;0,Vintage_Input!AO15/Vintage_Input!Q15,""))</f>
        <v/>
      </c>
      <c r="AH67" s="152">
        <f>IF($B67=1,$H$11,IF(N(Vintage_Input!R15)&gt;0,Vintage_Input!AP15/Vintage_Input!R15,""))</f>
        <v/>
      </c>
      <c r="AI67" s="152">
        <f>IF($B67=1,$I$11,IF(N(Vintage_Input!S15)&gt;0,Vintage_Input!AQ15/Vintage_Input!S15,""))</f>
        <v/>
      </c>
      <c r="AJ67" s="152">
        <f>IF($B67=1,$B$12,IF(N(Vintage_Input!L15)&gt;0,IFERROR(Vintage_Input!AR15/Vintage_Input!AJ15,""),""))</f>
        <v/>
      </c>
      <c r="AK67" s="152">
        <f>IF($B67=1,$C$12,IF(N(Vintage_Input!M15)&gt;0,IFERROR(Vintage_Input!AS15/Vintage_Input!AK15,""),""))</f>
        <v/>
      </c>
      <c r="AL67" s="152">
        <f>IF($B67=1,$D$12,IF(N(Vintage_Input!N15)&gt;0,IFERROR(Vintage_Input!AT15/Vintage_Input!AL15,""),""))</f>
        <v/>
      </c>
      <c r="AM67" s="152">
        <f>IF($B67=1,$E$12,IF(N(Vintage_Input!O15)&gt;0,IFERROR(Vintage_Input!AU15/Vintage_Input!AM15,""),""))</f>
        <v/>
      </c>
      <c r="AN67" s="152">
        <f>IF($B67=1,$F$12,IF(N(Vintage_Input!P15)&gt;0,IFERROR(Vintage_Input!AV15/Vintage_Input!AN15,""),""))</f>
        <v/>
      </c>
      <c r="AO67" s="152">
        <f>IF($B67=1,$G$12,IF(N(Vintage_Input!Q15)&gt;0,IFERROR(Vintage_Input!AW15/Vintage_Input!AO15,""),""))</f>
        <v/>
      </c>
      <c r="AP67" s="152">
        <f>IF($B67=1,$H$12,IF(N(Vintage_Input!R15)&gt;0,IFERROR(Vintage_Input!AX15/Vintage_Input!AP15,""),""))</f>
        <v/>
      </c>
      <c r="AQ67" s="152">
        <f>IF($B67=1,$I$12,IF(N(Vintage_Input!S15)&gt;0,IFERROR(Vintage_Input!AY15/Vintage_Input!AQ15,""),""))</f>
        <v/>
      </c>
      <c r="AR67" s="152">
        <f>IF($B67=1,$B$13,IF(N(Vintage_Input!L15)&gt;0,IFERROR(Vintage_Input!AZ15/$C67,""),""))</f>
        <v/>
      </c>
      <c r="AS67" s="152">
        <f>IF($B67=1,$C$13,IF(N(Vintage_Input!M15)&gt;0,IFERROR(Vintage_Input!BA15/$C67,""),""))</f>
        <v/>
      </c>
      <c r="AT67" s="152">
        <f>IF($B67=1,$D$13,IF(N(Vintage_Input!N15)&gt;0,IFERROR(Vintage_Input!BB15/$C67,""),""))</f>
        <v/>
      </c>
      <c r="AU67" s="152">
        <f>IF($B67=1,$E$13,IF(N(Vintage_Input!O15)&gt;0,IFERROR(Vintage_Input!BC15/$C67,""),""))</f>
        <v/>
      </c>
      <c r="AV67" s="152">
        <f>IF($B67=1,$F$13,IF(N(Vintage_Input!P15)&gt;0,IFERROR(Vintage_Input!BD15/$C67,""),""))</f>
        <v/>
      </c>
      <c r="AW67" s="152">
        <f>IF($B67=1,$G$13,IF(N(Vintage_Input!Q15)&gt;0,IFERROR(Vintage_Input!BE15/$C67,""),""))</f>
        <v/>
      </c>
      <c r="AX67" s="152">
        <f>IF($B67=1,$H$13,IF(N(Vintage_Input!R15)&gt;0,IFERROR(Vintage_Input!BF15/$C67,""),""))</f>
        <v/>
      </c>
      <c r="AY67" s="152">
        <f>IF($B67=1,$I$13,IF(N(Vintage_Input!S15)&gt;0,IFERROR(Vintage_Input!BG15/$C67,""),""))</f>
        <v/>
      </c>
      <c r="AZ67" s="153">
        <f>IF($B67=1,$B$14,IF(N(Vintage_Input!L15)&gt;0,IFERROR((Vintage_Input!D15+Vintage_Input!AR15)/$C67+Products!$C$14-(Products!$C$43+Products!$C$19+Products!$C$43*Products!$C$22+Products!$C$44),""),""))</f>
        <v/>
      </c>
      <c r="BA67" s="153">
        <f>IF($B67=1,$C$14,IF(N(Vintage_Input!M15)&gt;0,IFERROR((Vintage_Input!E15+Vintage_Input!AS15)/$C67+Products!$C$14-(Products!$C$43+Products!$C$19+Products!$C$43*Products!$C$22+Products!$C$44),""),""))</f>
        <v/>
      </c>
      <c r="BB67" s="153">
        <f>IF($B67=1,$D$14,IF(N(Vintage_Input!N15)&gt;0,IFERROR((Vintage_Input!F15+Vintage_Input!AT15)/$C67+Products!$C$14-(Products!$C$43+Products!$C$19+Products!$C$43*Products!$C$22+Products!$C$44),""),""))</f>
        <v/>
      </c>
      <c r="BC67" s="153">
        <f>IF($B67=1,$E$14,IF(N(Vintage_Input!O15)&gt;0,IFERROR((Vintage_Input!G15+Vintage_Input!AU15)/$C67+Products!$C$14-(Products!$C$43+Products!$C$19+Products!$C$43*Products!$C$22+Products!$C$44),""),""))</f>
        <v/>
      </c>
      <c r="BD67" s="153">
        <f>IF($B67=1,$F$14,IF(N(Vintage_Input!P15)&gt;0,IFERROR((Vintage_Input!H15+Vintage_Input!AV15)/$C67+Products!$C$14-(Products!$C$43+Products!$C$19+Products!$C$43*Products!$C$22+Products!$C$44),""),""))</f>
        <v/>
      </c>
      <c r="BE67" s="153">
        <f>IF($B67=1,$G$14,IF(N(Vintage_Input!Q15)&gt;0,IFERROR((Vintage_Input!I15+Vintage_Input!AW15)/$C67+Products!$C$14-(Products!$C$43+Products!$C$19+Products!$C$43*Products!$C$22+Products!$C$44),""),""))</f>
        <v/>
      </c>
      <c r="BF67" s="153">
        <f>IF($B67=1,$H$14,IF(N(Vintage_Input!R15)&gt;0,IFERROR((Vintage_Input!J15+Vintage_Input!AX15)/$C67+Products!$C$14-(Products!$C$43+Products!$C$19+Products!$C$43*Products!$C$22+Products!$C$44),""),""))</f>
        <v/>
      </c>
      <c r="BG67" s="153">
        <f>IF($B67=1,$I$14,IF(N(Vintage_Input!S15)&gt;0,IFERROR((Vintage_Input!K15+Vintage_Input!AY15)/$C67+Products!$C$14-(Products!$C$43+Products!$C$19+Products!$C$43*Products!$C$22+Products!$C$44),""),""))</f>
        <v/>
      </c>
      <c r="BH67" s="81">
        <f>IF($B67=1,0,IF(Vintage_Input!$BH$15="","",Vintage_Input!$BH$15))</f>
        <v/>
      </c>
    </row>
    <row r="68">
      <c r="A68" s="23" t="n">
        <v>8</v>
      </c>
      <c r="B68" s="48">
        <f>Vintage_Input!$B$16</f>
        <v/>
      </c>
      <c r="C68" s="41">
        <f>IF(Vintage_Input!$C$16="",0,Vintage_Input!$C$16)</f>
        <v/>
      </c>
      <c r="D68" s="152">
        <f>IF($B68=1,$B$8,IF(N(Vintage_Input!L16)&gt;0,Vintage_Input!D16/Vintage_Input!L16,""))</f>
        <v/>
      </c>
      <c r="E68" s="152">
        <f>IF($B68=1,$C$8,IF(N(Vintage_Input!M16)&gt;0,Vintage_Input!E16/Vintage_Input!M16,""))</f>
        <v/>
      </c>
      <c r="F68" s="152">
        <f>IF($B68=1,$D$8,IF(N(Vintage_Input!N16)&gt;0,Vintage_Input!F16/Vintage_Input!N16,""))</f>
        <v/>
      </c>
      <c r="G68" s="152">
        <f>IF($B68=1,$E$8,IF(N(Vintage_Input!O16)&gt;0,Vintage_Input!G16/Vintage_Input!O16,""))</f>
        <v/>
      </c>
      <c r="H68" s="152">
        <f>IF($B68=1,$F$8,IF(N(Vintage_Input!P16)&gt;0,Vintage_Input!H16/Vintage_Input!P16,""))</f>
        <v/>
      </c>
      <c r="I68" s="152">
        <f>IF($B68=1,$G$8,IF(N(Vintage_Input!Q16)&gt;0,Vintage_Input!I16/Vintage_Input!Q16,""))</f>
        <v/>
      </c>
      <c r="J68" s="152">
        <f>IF($B68=1,$H$8,IF(N(Vintage_Input!R16)&gt;0,Vintage_Input!J16/Vintage_Input!R16,""))</f>
        <v/>
      </c>
      <c r="K68" s="152">
        <f>IF($B68=1,$I$8,IF(N(Vintage_Input!S16)&gt;0,Vintage_Input!K16/Vintage_Input!S16,""))</f>
        <v/>
      </c>
      <c r="L68" s="152">
        <f>IF($B68=1,$B$9,IF(N(Vintage_Input!L16)&gt;0,Vintage_Input!T16/Vintage_Input!L16,""))</f>
        <v/>
      </c>
      <c r="M68" s="152">
        <f>IF($B68=1,$C$9,IF(N(Vintage_Input!M16)&gt;0,Vintage_Input!U16/Vintage_Input!M16,""))</f>
        <v/>
      </c>
      <c r="N68" s="152">
        <f>IF($B68=1,$D$9,IF(N(Vintage_Input!N16)&gt;0,Vintage_Input!V16/Vintage_Input!N16,""))</f>
        <v/>
      </c>
      <c r="O68" s="152">
        <f>IF($B68=1,$E$9,IF(N(Vintage_Input!O16)&gt;0,Vintage_Input!W16/Vintage_Input!O16,""))</f>
        <v/>
      </c>
      <c r="P68" s="152">
        <f>IF($B68=1,$F$9,IF(N(Vintage_Input!P16)&gt;0,Vintage_Input!X16/Vintage_Input!P16,""))</f>
        <v/>
      </c>
      <c r="Q68" s="152">
        <f>IF($B68=1,$G$9,IF(N(Vintage_Input!Q16)&gt;0,Vintage_Input!Y16/Vintage_Input!Q16,""))</f>
        <v/>
      </c>
      <c r="R68" s="152">
        <f>IF($B68=1,$H$9,IF(N(Vintage_Input!R16)&gt;0,Vintage_Input!Z16/Vintage_Input!R16,""))</f>
        <v/>
      </c>
      <c r="S68" s="152">
        <f>IF($B68=1,$I$9,IF(N(Vintage_Input!S16)&gt;0,Vintage_Input!AA16/Vintage_Input!S16,""))</f>
        <v/>
      </c>
      <c r="T68" s="152">
        <f>IF($B68=1,$B$10,IF(N(Vintage_Input!L16)&gt;0,Vintage_Input!AB16/Vintage_Input!L16,""))</f>
        <v/>
      </c>
      <c r="U68" s="152">
        <f>IF($B68=1,$C$10,IF(N(Vintage_Input!M16)&gt;0,Vintage_Input!AC16/Vintage_Input!M16,""))</f>
        <v/>
      </c>
      <c r="V68" s="152">
        <f>IF($B68=1,$D$10,IF(N(Vintage_Input!N16)&gt;0,Vintage_Input!AD16/Vintage_Input!N16,""))</f>
        <v/>
      </c>
      <c r="W68" s="152">
        <f>IF($B68=1,$E$10,IF(N(Vintage_Input!O16)&gt;0,Vintage_Input!AE16/Vintage_Input!O16,""))</f>
        <v/>
      </c>
      <c r="X68" s="152">
        <f>IF($B68=1,$F$10,IF(N(Vintage_Input!P16)&gt;0,Vintage_Input!AF16/Vintage_Input!P16,""))</f>
        <v/>
      </c>
      <c r="Y68" s="152">
        <f>IF($B68=1,$G$10,IF(N(Vintage_Input!Q16)&gt;0,Vintage_Input!AG16/Vintage_Input!Q16,""))</f>
        <v/>
      </c>
      <c r="Z68" s="152">
        <f>IF($B68=1,$H$10,IF(N(Vintage_Input!R16)&gt;0,Vintage_Input!AH16/Vintage_Input!R16,""))</f>
        <v/>
      </c>
      <c r="AA68" s="152">
        <f>IF($B68=1,$I$10,IF(N(Vintage_Input!S16)&gt;0,Vintage_Input!AI16/Vintage_Input!S16,""))</f>
        <v/>
      </c>
      <c r="AB68" s="152">
        <f>IF($B68=1,$B$11,IF(N(Vintage_Input!L16)&gt;0,Vintage_Input!AJ16/Vintage_Input!L16,""))</f>
        <v/>
      </c>
      <c r="AC68" s="152">
        <f>IF($B68=1,$C$11,IF(N(Vintage_Input!M16)&gt;0,Vintage_Input!AK16/Vintage_Input!M16,""))</f>
        <v/>
      </c>
      <c r="AD68" s="152">
        <f>IF($B68=1,$D$11,IF(N(Vintage_Input!N16)&gt;0,Vintage_Input!AL16/Vintage_Input!N16,""))</f>
        <v/>
      </c>
      <c r="AE68" s="152">
        <f>IF($B68=1,$E$11,IF(N(Vintage_Input!O16)&gt;0,Vintage_Input!AM16/Vintage_Input!O16,""))</f>
        <v/>
      </c>
      <c r="AF68" s="152">
        <f>IF($B68=1,$F$11,IF(N(Vintage_Input!P16)&gt;0,Vintage_Input!AN16/Vintage_Input!P16,""))</f>
        <v/>
      </c>
      <c r="AG68" s="152">
        <f>IF($B68=1,$G$11,IF(N(Vintage_Input!Q16)&gt;0,Vintage_Input!AO16/Vintage_Input!Q16,""))</f>
        <v/>
      </c>
      <c r="AH68" s="152">
        <f>IF($B68=1,$H$11,IF(N(Vintage_Input!R16)&gt;0,Vintage_Input!AP16/Vintage_Input!R16,""))</f>
        <v/>
      </c>
      <c r="AI68" s="152">
        <f>IF($B68=1,$I$11,IF(N(Vintage_Input!S16)&gt;0,Vintage_Input!AQ16/Vintage_Input!S16,""))</f>
        <v/>
      </c>
      <c r="AJ68" s="152">
        <f>IF($B68=1,$B$12,IF(N(Vintage_Input!L16)&gt;0,IFERROR(Vintage_Input!AR16/Vintage_Input!AJ16,""),""))</f>
        <v/>
      </c>
      <c r="AK68" s="152">
        <f>IF($B68=1,$C$12,IF(N(Vintage_Input!M16)&gt;0,IFERROR(Vintage_Input!AS16/Vintage_Input!AK16,""),""))</f>
        <v/>
      </c>
      <c r="AL68" s="152">
        <f>IF($B68=1,$D$12,IF(N(Vintage_Input!N16)&gt;0,IFERROR(Vintage_Input!AT16/Vintage_Input!AL16,""),""))</f>
        <v/>
      </c>
      <c r="AM68" s="152">
        <f>IF($B68=1,$E$12,IF(N(Vintage_Input!O16)&gt;0,IFERROR(Vintage_Input!AU16/Vintage_Input!AM16,""),""))</f>
        <v/>
      </c>
      <c r="AN68" s="152">
        <f>IF($B68=1,$F$12,IF(N(Vintage_Input!P16)&gt;0,IFERROR(Vintage_Input!AV16/Vintage_Input!AN16,""),""))</f>
        <v/>
      </c>
      <c r="AO68" s="152">
        <f>IF($B68=1,$G$12,IF(N(Vintage_Input!Q16)&gt;0,IFERROR(Vintage_Input!AW16/Vintage_Input!AO16,""),""))</f>
        <v/>
      </c>
      <c r="AP68" s="152">
        <f>IF($B68=1,$H$12,IF(N(Vintage_Input!R16)&gt;0,IFERROR(Vintage_Input!AX16/Vintage_Input!AP16,""),""))</f>
        <v/>
      </c>
      <c r="AQ68" s="152">
        <f>IF($B68=1,$I$12,IF(N(Vintage_Input!S16)&gt;0,IFERROR(Vintage_Input!AY16/Vintage_Input!AQ16,""),""))</f>
        <v/>
      </c>
      <c r="AR68" s="152">
        <f>IF($B68=1,$B$13,IF(N(Vintage_Input!L16)&gt;0,IFERROR(Vintage_Input!AZ16/$C68,""),""))</f>
        <v/>
      </c>
      <c r="AS68" s="152">
        <f>IF($B68=1,$C$13,IF(N(Vintage_Input!M16)&gt;0,IFERROR(Vintage_Input!BA16/$C68,""),""))</f>
        <v/>
      </c>
      <c r="AT68" s="152">
        <f>IF($B68=1,$D$13,IF(N(Vintage_Input!N16)&gt;0,IFERROR(Vintage_Input!BB16/$C68,""),""))</f>
        <v/>
      </c>
      <c r="AU68" s="152">
        <f>IF($B68=1,$E$13,IF(N(Vintage_Input!O16)&gt;0,IFERROR(Vintage_Input!BC16/$C68,""),""))</f>
        <v/>
      </c>
      <c r="AV68" s="152">
        <f>IF($B68=1,$F$13,IF(N(Vintage_Input!P16)&gt;0,IFERROR(Vintage_Input!BD16/$C68,""),""))</f>
        <v/>
      </c>
      <c r="AW68" s="152">
        <f>IF($B68=1,$G$13,IF(N(Vintage_Input!Q16)&gt;0,IFERROR(Vintage_Input!BE16/$C68,""),""))</f>
        <v/>
      </c>
      <c r="AX68" s="152">
        <f>IF($B68=1,$H$13,IF(N(Vintage_Input!R16)&gt;0,IFERROR(Vintage_Input!BF16/$C68,""),""))</f>
        <v/>
      </c>
      <c r="AY68" s="152">
        <f>IF($B68=1,$I$13,IF(N(Vintage_Input!S16)&gt;0,IFERROR(Vintage_Input!BG16/$C68,""),""))</f>
        <v/>
      </c>
      <c r="AZ68" s="153">
        <f>IF($B68=1,$B$14,IF(N(Vintage_Input!L16)&gt;0,IFERROR((Vintage_Input!D16+Vintage_Input!AR16)/$C68+Products!$C$14-(Products!$C$43+Products!$C$19+Products!$C$43*Products!$C$22+Products!$C$44),""),""))</f>
        <v/>
      </c>
      <c r="BA68" s="153">
        <f>IF($B68=1,$C$14,IF(N(Vintage_Input!M16)&gt;0,IFERROR((Vintage_Input!E16+Vintage_Input!AS16)/$C68+Products!$C$14-(Products!$C$43+Products!$C$19+Products!$C$43*Products!$C$22+Products!$C$44),""),""))</f>
        <v/>
      </c>
      <c r="BB68" s="153">
        <f>IF($B68=1,$D$14,IF(N(Vintage_Input!N16)&gt;0,IFERROR((Vintage_Input!F16+Vintage_Input!AT16)/$C68+Products!$C$14-(Products!$C$43+Products!$C$19+Products!$C$43*Products!$C$22+Products!$C$44),""),""))</f>
        <v/>
      </c>
      <c r="BC68" s="153">
        <f>IF($B68=1,$E$14,IF(N(Vintage_Input!O16)&gt;0,IFERROR((Vintage_Input!G16+Vintage_Input!AU16)/$C68+Products!$C$14-(Products!$C$43+Products!$C$19+Products!$C$43*Products!$C$22+Products!$C$44),""),""))</f>
        <v/>
      </c>
      <c r="BD68" s="153">
        <f>IF($B68=1,$F$14,IF(N(Vintage_Input!P16)&gt;0,IFERROR((Vintage_Input!H16+Vintage_Input!AV16)/$C68+Products!$C$14-(Products!$C$43+Products!$C$19+Products!$C$43*Products!$C$22+Products!$C$44),""),""))</f>
        <v/>
      </c>
      <c r="BE68" s="153">
        <f>IF($B68=1,$G$14,IF(N(Vintage_Input!Q16)&gt;0,IFERROR((Vintage_Input!I16+Vintage_Input!AW16)/$C68+Products!$C$14-(Products!$C$43+Products!$C$19+Products!$C$43*Products!$C$22+Products!$C$44),""),""))</f>
        <v/>
      </c>
      <c r="BF68" s="153">
        <f>IF($B68=1,$H$14,IF(N(Vintage_Input!R16)&gt;0,IFERROR((Vintage_Input!J16+Vintage_Input!AX16)/$C68+Products!$C$14-(Products!$C$43+Products!$C$19+Products!$C$43*Products!$C$22+Products!$C$44),""),""))</f>
        <v/>
      </c>
      <c r="BG68" s="153">
        <f>IF($B68=1,$I$14,IF(N(Vintage_Input!S16)&gt;0,IFERROR((Vintage_Input!K16+Vintage_Input!AY16)/$C68+Products!$C$14-(Products!$C$43+Products!$C$19+Products!$C$43*Products!$C$22+Products!$C$44),""),""))</f>
        <v/>
      </c>
      <c r="BH68" s="81">
        <f>IF($B68=1,0,IF(Vintage_Input!$BH$16="","",Vintage_Input!$BH$16))</f>
        <v/>
      </c>
    </row>
    <row r="69">
      <c r="A69" s="23" t="n">
        <v>9</v>
      </c>
      <c r="B69" s="48">
        <f>Vintage_Input!$B$17</f>
        <v/>
      </c>
      <c r="C69" s="41">
        <f>IF(Vintage_Input!$C$17="",0,Vintage_Input!$C$17)</f>
        <v/>
      </c>
      <c r="D69" s="152">
        <f>IF($B69=1,$B$8,IF(N(Vintage_Input!L17)&gt;0,Vintage_Input!D17/Vintage_Input!L17,""))</f>
        <v/>
      </c>
      <c r="E69" s="152">
        <f>IF($B69=1,$C$8,IF(N(Vintage_Input!M17)&gt;0,Vintage_Input!E17/Vintage_Input!M17,""))</f>
        <v/>
      </c>
      <c r="F69" s="152">
        <f>IF($B69=1,$D$8,IF(N(Vintage_Input!N17)&gt;0,Vintage_Input!F17/Vintage_Input!N17,""))</f>
        <v/>
      </c>
      <c r="G69" s="152">
        <f>IF($B69=1,$E$8,IF(N(Vintage_Input!O17)&gt;0,Vintage_Input!G17/Vintage_Input!O17,""))</f>
        <v/>
      </c>
      <c r="H69" s="152">
        <f>IF($B69=1,$F$8,IF(N(Vintage_Input!P17)&gt;0,Vintage_Input!H17/Vintage_Input!P17,""))</f>
        <v/>
      </c>
      <c r="I69" s="152">
        <f>IF($B69=1,$G$8,IF(N(Vintage_Input!Q17)&gt;0,Vintage_Input!I17/Vintage_Input!Q17,""))</f>
        <v/>
      </c>
      <c r="J69" s="152">
        <f>IF($B69=1,$H$8,IF(N(Vintage_Input!R17)&gt;0,Vintage_Input!J17/Vintage_Input!R17,""))</f>
        <v/>
      </c>
      <c r="K69" s="152">
        <f>IF($B69=1,$I$8,IF(N(Vintage_Input!S17)&gt;0,Vintage_Input!K17/Vintage_Input!S17,""))</f>
        <v/>
      </c>
      <c r="L69" s="152">
        <f>IF($B69=1,$B$9,IF(N(Vintage_Input!L17)&gt;0,Vintage_Input!T17/Vintage_Input!L17,""))</f>
        <v/>
      </c>
      <c r="M69" s="152">
        <f>IF($B69=1,$C$9,IF(N(Vintage_Input!M17)&gt;0,Vintage_Input!U17/Vintage_Input!M17,""))</f>
        <v/>
      </c>
      <c r="N69" s="152">
        <f>IF($B69=1,$D$9,IF(N(Vintage_Input!N17)&gt;0,Vintage_Input!V17/Vintage_Input!N17,""))</f>
        <v/>
      </c>
      <c r="O69" s="152">
        <f>IF($B69=1,$E$9,IF(N(Vintage_Input!O17)&gt;0,Vintage_Input!W17/Vintage_Input!O17,""))</f>
        <v/>
      </c>
      <c r="P69" s="152">
        <f>IF($B69=1,$F$9,IF(N(Vintage_Input!P17)&gt;0,Vintage_Input!X17/Vintage_Input!P17,""))</f>
        <v/>
      </c>
      <c r="Q69" s="152">
        <f>IF($B69=1,$G$9,IF(N(Vintage_Input!Q17)&gt;0,Vintage_Input!Y17/Vintage_Input!Q17,""))</f>
        <v/>
      </c>
      <c r="R69" s="152">
        <f>IF($B69=1,$H$9,IF(N(Vintage_Input!R17)&gt;0,Vintage_Input!Z17/Vintage_Input!R17,""))</f>
        <v/>
      </c>
      <c r="S69" s="152">
        <f>IF($B69=1,$I$9,IF(N(Vintage_Input!S17)&gt;0,Vintage_Input!AA17/Vintage_Input!S17,""))</f>
        <v/>
      </c>
      <c r="T69" s="152">
        <f>IF($B69=1,$B$10,IF(N(Vintage_Input!L17)&gt;0,Vintage_Input!AB17/Vintage_Input!L17,""))</f>
        <v/>
      </c>
      <c r="U69" s="152">
        <f>IF($B69=1,$C$10,IF(N(Vintage_Input!M17)&gt;0,Vintage_Input!AC17/Vintage_Input!M17,""))</f>
        <v/>
      </c>
      <c r="V69" s="152">
        <f>IF($B69=1,$D$10,IF(N(Vintage_Input!N17)&gt;0,Vintage_Input!AD17/Vintage_Input!N17,""))</f>
        <v/>
      </c>
      <c r="W69" s="152">
        <f>IF($B69=1,$E$10,IF(N(Vintage_Input!O17)&gt;0,Vintage_Input!AE17/Vintage_Input!O17,""))</f>
        <v/>
      </c>
      <c r="X69" s="152">
        <f>IF($B69=1,$F$10,IF(N(Vintage_Input!P17)&gt;0,Vintage_Input!AF17/Vintage_Input!P17,""))</f>
        <v/>
      </c>
      <c r="Y69" s="152">
        <f>IF($B69=1,$G$10,IF(N(Vintage_Input!Q17)&gt;0,Vintage_Input!AG17/Vintage_Input!Q17,""))</f>
        <v/>
      </c>
      <c r="Z69" s="152">
        <f>IF($B69=1,$H$10,IF(N(Vintage_Input!R17)&gt;0,Vintage_Input!AH17/Vintage_Input!R17,""))</f>
        <v/>
      </c>
      <c r="AA69" s="152">
        <f>IF($B69=1,$I$10,IF(N(Vintage_Input!S17)&gt;0,Vintage_Input!AI17/Vintage_Input!S17,""))</f>
        <v/>
      </c>
      <c r="AB69" s="152">
        <f>IF($B69=1,$B$11,IF(N(Vintage_Input!L17)&gt;0,Vintage_Input!AJ17/Vintage_Input!L17,""))</f>
        <v/>
      </c>
      <c r="AC69" s="152">
        <f>IF($B69=1,$C$11,IF(N(Vintage_Input!M17)&gt;0,Vintage_Input!AK17/Vintage_Input!M17,""))</f>
        <v/>
      </c>
      <c r="AD69" s="152">
        <f>IF($B69=1,$D$11,IF(N(Vintage_Input!N17)&gt;0,Vintage_Input!AL17/Vintage_Input!N17,""))</f>
        <v/>
      </c>
      <c r="AE69" s="152">
        <f>IF($B69=1,$E$11,IF(N(Vintage_Input!O17)&gt;0,Vintage_Input!AM17/Vintage_Input!O17,""))</f>
        <v/>
      </c>
      <c r="AF69" s="152">
        <f>IF($B69=1,$F$11,IF(N(Vintage_Input!P17)&gt;0,Vintage_Input!AN17/Vintage_Input!P17,""))</f>
        <v/>
      </c>
      <c r="AG69" s="152">
        <f>IF($B69=1,$G$11,IF(N(Vintage_Input!Q17)&gt;0,Vintage_Input!AO17/Vintage_Input!Q17,""))</f>
        <v/>
      </c>
      <c r="AH69" s="152">
        <f>IF($B69=1,$H$11,IF(N(Vintage_Input!R17)&gt;0,Vintage_Input!AP17/Vintage_Input!R17,""))</f>
        <v/>
      </c>
      <c r="AI69" s="152">
        <f>IF($B69=1,$I$11,IF(N(Vintage_Input!S17)&gt;0,Vintage_Input!AQ17/Vintage_Input!S17,""))</f>
        <v/>
      </c>
      <c r="AJ69" s="152">
        <f>IF($B69=1,$B$12,IF(N(Vintage_Input!L17)&gt;0,IFERROR(Vintage_Input!AR17/Vintage_Input!AJ17,""),""))</f>
        <v/>
      </c>
      <c r="AK69" s="152">
        <f>IF($B69=1,$C$12,IF(N(Vintage_Input!M17)&gt;0,IFERROR(Vintage_Input!AS17/Vintage_Input!AK17,""),""))</f>
        <v/>
      </c>
      <c r="AL69" s="152">
        <f>IF($B69=1,$D$12,IF(N(Vintage_Input!N17)&gt;0,IFERROR(Vintage_Input!AT17/Vintage_Input!AL17,""),""))</f>
        <v/>
      </c>
      <c r="AM69" s="152">
        <f>IF($B69=1,$E$12,IF(N(Vintage_Input!O17)&gt;0,IFERROR(Vintage_Input!AU17/Vintage_Input!AM17,""),""))</f>
        <v/>
      </c>
      <c r="AN69" s="152">
        <f>IF($B69=1,$F$12,IF(N(Vintage_Input!P17)&gt;0,IFERROR(Vintage_Input!AV17/Vintage_Input!AN17,""),""))</f>
        <v/>
      </c>
      <c r="AO69" s="152">
        <f>IF($B69=1,$G$12,IF(N(Vintage_Input!Q17)&gt;0,IFERROR(Vintage_Input!AW17/Vintage_Input!AO17,""),""))</f>
        <v/>
      </c>
      <c r="AP69" s="152">
        <f>IF($B69=1,$H$12,IF(N(Vintage_Input!R17)&gt;0,IFERROR(Vintage_Input!AX17/Vintage_Input!AP17,""),""))</f>
        <v/>
      </c>
      <c r="AQ69" s="152">
        <f>IF($B69=1,$I$12,IF(N(Vintage_Input!S17)&gt;0,IFERROR(Vintage_Input!AY17/Vintage_Input!AQ17,""),""))</f>
        <v/>
      </c>
      <c r="AR69" s="152">
        <f>IF($B69=1,$B$13,IF(N(Vintage_Input!L17)&gt;0,IFERROR(Vintage_Input!AZ17/$C69,""),""))</f>
        <v/>
      </c>
      <c r="AS69" s="152">
        <f>IF($B69=1,$C$13,IF(N(Vintage_Input!M17)&gt;0,IFERROR(Vintage_Input!BA17/$C69,""),""))</f>
        <v/>
      </c>
      <c r="AT69" s="152">
        <f>IF($B69=1,$D$13,IF(N(Vintage_Input!N17)&gt;0,IFERROR(Vintage_Input!BB17/$C69,""),""))</f>
        <v/>
      </c>
      <c r="AU69" s="152">
        <f>IF($B69=1,$E$13,IF(N(Vintage_Input!O17)&gt;0,IFERROR(Vintage_Input!BC17/$C69,""),""))</f>
        <v/>
      </c>
      <c r="AV69" s="152">
        <f>IF($B69=1,$F$13,IF(N(Vintage_Input!P17)&gt;0,IFERROR(Vintage_Input!BD17/$C69,""),""))</f>
        <v/>
      </c>
      <c r="AW69" s="152">
        <f>IF($B69=1,$G$13,IF(N(Vintage_Input!Q17)&gt;0,IFERROR(Vintage_Input!BE17/$C69,""),""))</f>
        <v/>
      </c>
      <c r="AX69" s="152">
        <f>IF($B69=1,$H$13,IF(N(Vintage_Input!R17)&gt;0,IFERROR(Vintage_Input!BF17/$C69,""),""))</f>
        <v/>
      </c>
      <c r="AY69" s="152">
        <f>IF($B69=1,$I$13,IF(N(Vintage_Input!S17)&gt;0,IFERROR(Vintage_Input!BG17/$C69,""),""))</f>
        <v/>
      </c>
      <c r="AZ69" s="153">
        <f>IF($B69=1,$B$14,IF(N(Vintage_Input!L17)&gt;0,IFERROR((Vintage_Input!D17+Vintage_Input!AR17)/$C69+Products!$C$14-(Products!$C$43+Products!$C$19+Products!$C$43*Products!$C$22+Products!$C$44),""),""))</f>
        <v/>
      </c>
      <c r="BA69" s="153">
        <f>IF($B69=1,$C$14,IF(N(Vintage_Input!M17)&gt;0,IFERROR((Vintage_Input!E17+Vintage_Input!AS17)/$C69+Products!$C$14-(Products!$C$43+Products!$C$19+Products!$C$43*Products!$C$22+Products!$C$44),""),""))</f>
        <v/>
      </c>
      <c r="BB69" s="153">
        <f>IF($B69=1,$D$14,IF(N(Vintage_Input!N17)&gt;0,IFERROR((Vintage_Input!F17+Vintage_Input!AT17)/$C69+Products!$C$14-(Products!$C$43+Products!$C$19+Products!$C$43*Products!$C$22+Products!$C$44),""),""))</f>
        <v/>
      </c>
      <c r="BC69" s="153">
        <f>IF($B69=1,$E$14,IF(N(Vintage_Input!O17)&gt;0,IFERROR((Vintage_Input!G17+Vintage_Input!AU17)/$C69+Products!$C$14-(Products!$C$43+Products!$C$19+Products!$C$43*Products!$C$22+Products!$C$44),""),""))</f>
        <v/>
      </c>
      <c r="BD69" s="153">
        <f>IF($B69=1,$F$14,IF(N(Vintage_Input!P17)&gt;0,IFERROR((Vintage_Input!H17+Vintage_Input!AV17)/$C69+Products!$C$14-(Products!$C$43+Products!$C$19+Products!$C$43*Products!$C$22+Products!$C$44),""),""))</f>
        <v/>
      </c>
      <c r="BE69" s="153">
        <f>IF($B69=1,$G$14,IF(N(Vintage_Input!Q17)&gt;0,IFERROR((Vintage_Input!I17+Vintage_Input!AW17)/$C69+Products!$C$14-(Products!$C$43+Products!$C$19+Products!$C$43*Products!$C$22+Products!$C$44),""),""))</f>
        <v/>
      </c>
      <c r="BF69" s="153">
        <f>IF($B69=1,$H$14,IF(N(Vintage_Input!R17)&gt;0,IFERROR((Vintage_Input!J17+Vintage_Input!AX17)/$C69+Products!$C$14-(Products!$C$43+Products!$C$19+Products!$C$43*Products!$C$22+Products!$C$44),""),""))</f>
        <v/>
      </c>
      <c r="BG69" s="153">
        <f>IF($B69=1,$I$14,IF(N(Vintage_Input!S17)&gt;0,IFERROR((Vintage_Input!K17+Vintage_Input!AY17)/$C69+Products!$C$14-(Products!$C$43+Products!$C$19+Products!$C$43*Products!$C$22+Products!$C$44),""),""))</f>
        <v/>
      </c>
      <c r="BH69" s="81">
        <f>IF($B69=1,0,IF(Vintage_Input!$BH$17="","",Vintage_Input!$BH$17))</f>
        <v/>
      </c>
    </row>
    <row r="70">
      <c r="A70" s="23" t="n">
        <v>10</v>
      </c>
      <c r="B70" s="48">
        <f>Vintage_Input!$B$18</f>
        <v/>
      </c>
      <c r="C70" s="41">
        <f>IF(Vintage_Input!$C$18="",0,Vintage_Input!$C$18)</f>
        <v/>
      </c>
      <c r="D70" s="152">
        <f>IF($B70=1,$B$8,IF(N(Vintage_Input!L18)&gt;0,Vintage_Input!D18/Vintage_Input!L18,""))</f>
        <v/>
      </c>
      <c r="E70" s="152">
        <f>IF($B70=1,$C$8,IF(N(Vintage_Input!M18)&gt;0,Vintage_Input!E18/Vintage_Input!M18,""))</f>
        <v/>
      </c>
      <c r="F70" s="152">
        <f>IF($B70=1,$D$8,IF(N(Vintage_Input!N18)&gt;0,Vintage_Input!F18/Vintage_Input!N18,""))</f>
        <v/>
      </c>
      <c r="G70" s="152">
        <f>IF($B70=1,$E$8,IF(N(Vintage_Input!O18)&gt;0,Vintage_Input!G18/Vintage_Input!O18,""))</f>
        <v/>
      </c>
      <c r="H70" s="152">
        <f>IF($B70=1,$F$8,IF(N(Vintage_Input!P18)&gt;0,Vintage_Input!H18/Vintage_Input!P18,""))</f>
        <v/>
      </c>
      <c r="I70" s="152">
        <f>IF($B70=1,$G$8,IF(N(Vintage_Input!Q18)&gt;0,Vintage_Input!I18/Vintage_Input!Q18,""))</f>
        <v/>
      </c>
      <c r="J70" s="152">
        <f>IF($B70=1,$H$8,IF(N(Vintage_Input!R18)&gt;0,Vintage_Input!J18/Vintage_Input!R18,""))</f>
        <v/>
      </c>
      <c r="K70" s="152">
        <f>IF($B70=1,$I$8,IF(N(Vintage_Input!S18)&gt;0,Vintage_Input!K18/Vintage_Input!S18,""))</f>
        <v/>
      </c>
      <c r="L70" s="152">
        <f>IF($B70=1,$B$9,IF(N(Vintage_Input!L18)&gt;0,Vintage_Input!T18/Vintage_Input!L18,""))</f>
        <v/>
      </c>
      <c r="M70" s="152">
        <f>IF($B70=1,$C$9,IF(N(Vintage_Input!M18)&gt;0,Vintage_Input!U18/Vintage_Input!M18,""))</f>
        <v/>
      </c>
      <c r="N70" s="152">
        <f>IF($B70=1,$D$9,IF(N(Vintage_Input!N18)&gt;0,Vintage_Input!V18/Vintage_Input!N18,""))</f>
        <v/>
      </c>
      <c r="O70" s="152">
        <f>IF($B70=1,$E$9,IF(N(Vintage_Input!O18)&gt;0,Vintage_Input!W18/Vintage_Input!O18,""))</f>
        <v/>
      </c>
      <c r="P70" s="152">
        <f>IF($B70=1,$F$9,IF(N(Vintage_Input!P18)&gt;0,Vintage_Input!X18/Vintage_Input!P18,""))</f>
        <v/>
      </c>
      <c r="Q70" s="152">
        <f>IF($B70=1,$G$9,IF(N(Vintage_Input!Q18)&gt;0,Vintage_Input!Y18/Vintage_Input!Q18,""))</f>
        <v/>
      </c>
      <c r="R70" s="152">
        <f>IF($B70=1,$H$9,IF(N(Vintage_Input!R18)&gt;0,Vintage_Input!Z18/Vintage_Input!R18,""))</f>
        <v/>
      </c>
      <c r="S70" s="152">
        <f>IF($B70=1,$I$9,IF(N(Vintage_Input!S18)&gt;0,Vintage_Input!AA18/Vintage_Input!S18,""))</f>
        <v/>
      </c>
      <c r="T70" s="152">
        <f>IF($B70=1,$B$10,IF(N(Vintage_Input!L18)&gt;0,Vintage_Input!AB18/Vintage_Input!L18,""))</f>
        <v/>
      </c>
      <c r="U70" s="152">
        <f>IF($B70=1,$C$10,IF(N(Vintage_Input!M18)&gt;0,Vintage_Input!AC18/Vintage_Input!M18,""))</f>
        <v/>
      </c>
      <c r="V70" s="152">
        <f>IF($B70=1,$D$10,IF(N(Vintage_Input!N18)&gt;0,Vintage_Input!AD18/Vintage_Input!N18,""))</f>
        <v/>
      </c>
      <c r="W70" s="152">
        <f>IF($B70=1,$E$10,IF(N(Vintage_Input!O18)&gt;0,Vintage_Input!AE18/Vintage_Input!O18,""))</f>
        <v/>
      </c>
      <c r="X70" s="152">
        <f>IF($B70=1,$F$10,IF(N(Vintage_Input!P18)&gt;0,Vintage_Input!AF18/Vintage_Input!P18,""))</f>
        <v/>
      </c>
      <c r="Y70" s="152">
        <f>IF($B70=1,$G$10,IF(N(Vintage_Input!Q18)&gt;0,Vintage_Input!AG18/Vintage_Input!Q18,""))</f>
        <v/>
      </c>
      <c r="Z70" s="152">
        <f>IF($B70=1,$H$10,IF(N(Vintage_Input!R18)&gt;0,Vintage_Input!AH18/Vintage_Input!R18,""))</f>
        <v/>
      </c>
      <c r="AA70" s="152">
        <f>IF($B70=1,$I$10,IF(N(Vintage_Input!S18)&gt;0,Vintage_Input!AI18/Vintage_Input!S18,""))</f>
        <v/>
      </c>
      <c r="AB70" s="152">
        <f>IF($B70=1,$B$11,IF(N(Vintage_Input!L18)&gt;0,Vintage_Input!AJ18/Vintage_Input!L18,""))</f>
        <v/>
      </c>
      <c r="AC70" s="152">
        <f>IF($B70=1,$C$11,IF(N(Vintage_Input!M18)&gt;0,Vintage_Input!AK18/Vintage_Input!M18,""))</f>
        <v/>
      </c>
      <c r="AD70" s="152">
        <f>IF($B70=1,$D$11,IF(N(Vintage_Input!N18)&gt;0,Vintage_Input!AL18/Vintage_Input!N18,""))</f>
        <v/>
      </c>
      <c r="AE70" s="152">
        <f>IF($B70=1,$E$11,IF(N(Vintage_Input!O18)&gt;0,Vintage_Input!AM18/Vintage_Input!O18,""))</f>
        <v/>
      </c>
      <c r="AF70" s="152">
        <f>IF($B70=1,$F$11,IF(N(Vintage_Input!P18)&gt;0,Vintage_Input!AN18/Vintage_Input!P18,""))</f>
        <v/>
      </c>
      <c r="AG70" s="152">
        <f>IF($B70=1,$G$11,IF(N(Vintage_Input!Q18)&gt;0,Vintage_Input!AO18/Vintage_Input!Q18,""))</f>
        <v/>
      </c>
      <c r="AH70" s="152">
        <f>IF($B70=1,$H$11,IF(N(Vintage_Input!R18)&gt;0,Vintage_Input!AP18/Vintage_Input!R18,""))</f>
        <v/>
      </c>
      <c r="AI70" s="152">
        <f>IF($B70=1,$I$11,IF(N(Vintage_Input!S18)&gt;0,Vintage_Input!AQ18/Vintage_Input!S18,""))</f>
        <v/>
      </c>
      <c r="AJ70" s="152">
        <f>IF($B70=1,$B$12,IF(N(Vintage_Input!L18)&gt;0,IFERROR(Vintage_Input!AR18/Vintage_Input!AJ18,""),""))</f>
        <v/>
      </c>
      <c r="AK70" s="152">
        <f>IF($B70=1,$C$12,IF(N(Vintage_Input!M18)&gt;0,IFERROR(Vintage_Input!AS18/Vintage_Input!AK18,""),""))</f>
        <v/>
      </c>
      <c r="AL70" s="152">
        <f>IF($B70=1,$D$12,IF(N(Vintage_Input!N18)&gt;0,IFERROR(Vintage_Input!AT18/Vintage_Input!AL18,""),""))</f>
        <v/>
      </c>
      <c r="AM70" s="152">
        <f>IF($B70=1,$E$12,IF(N(Vintage_Input!O18)&gt;0,IFERROR(Vintage_Input!AU18/Vintage_Input!AM18,""),""))</f>
        <v/>
      </c>
      <c r="AN70" s="152">
        <f>IF($B70=1,$F$12,IF(N(Vintage_Input!P18)&gt;0,IFERROR(Vintage_Input!AV18/Vintage_Input!AN18,""),""))</f>
        <v/>
      </c>
      <c r="AO70" s="152">
        <f>IF($B70=1,$G$12,IF(N(Vintage_Input!Q18)&gt;0,IFERROR(Vintage_Input!AW18/Vintage_Input!AO18,""),""))</f>
        <v/>
      </c>
      <c r="AP70" s="152">
        <f>IF($B70=1,$H$12,IF(N(Vintage_Input!R18)&gt;0,IFERROR(Vintage_Input!AX18/Vintage_Input!AP18,""),""))</f>
        <v/>
      </c>
      <c r="AQ70" s="152">
        <f>IF($B70=1,$I$12,IF(N(Vintage_Input!S18)&gt;0,IFERROR(Vintage_Input!AY18/Vintage_Input!AQ18,""),""))</f>
        <v/>
      </c>
      <c r="AR70" s="152">
        <f>IF($B70=1,$B$13,IF(N(Vintage_Input!L18)&gt;0,IFERROR(Vintage_Input!AZ18/$C70,""),""))</f>
        <v/>
      </c>
      <c r="AS70" s="152">
        <f>IF($B70=1,$C$13,IF(N(Vintage_Input!M18)&gt;0,IFERROR(Vintage_Input!BA18/$C70,""),""))</f>
        <v/>
      </c>
      <c r="AT70" s="152">
        <f>IF($B70=1,$D$13,IF(N(Vintage_Input!N18)&gt;0,IFERROR(Vintage_Input!BB18/$C70,""),""))</f>
        <v/>
      </c>
      <c r="AU70" s="152">
        <f>IF($B70=1,$E$13,IF(N(Vintage_Input!O18)&gt;0,IFERROR(Vintage_Input!BC18/$C70,""),""))</f>
        <v/>
      </c>
      <c r="AV70" s="152">
        <f>IF($B70=1,$F$13,IF(N(Vintage_Input!P18)&gt;0,IFERROR(Vintage_Input!BD18/$C70,""),""))</f>
        <v/>
      </c>
      <c r="AW70" s="152">
        <f>IF($B70=1,$G$13,IF(N(Vintage_Input!Q18)&gt;0,IFERROR(Vintage_Input!BE18/$C70,""),""))</f>
        <v/>
      </c>
      <c r="AX70" s="152">
        <f>IF($B70=1,$H$13,IF(N(Vintage_Input!R18)&gt;0,IFERROR(Vintage_Input!BF18/$C70,""),""))</f>
        <v/>
      </c>
      <c r="AY70" s="152">
        <f>IF($B70=1,$I$13,IF(N(Vintage_Input!S18)&gt;0,IFERROR(Vintage_Input!BG18/$C70,""),""))</f>
        <v/>
      </c>
      <c r="AZ70" s="153">
        <f>IF($B70=1,$B$14,IF(N(Vintage_Input!L18)&gt;0,IFERROR((Vintage_Input!D18+Vintage_Input!AR18)/$C70+Products!$C$14-(Products!$C$43+Products!$C$19+Products!$C$43*Products!$C$22+Products!$C$44),""),""))</f>
        <v/>
      </c>
      <c r="BA70" s="153">
        <f>IF($B70=1,$C$14,IF(N(Vintage_Input!M18)&gt;0,IFERROR((Vintage_Input!E18+Vintage_Input!AS18)/$C70+Products!$C$14-(Products!$C$43+Products!$C$19+Products!$C$43*Products!$C$22+Products!$C$44),""),""))</f>
        <v/>
      </c>
      <c r="BB70" s="153">
        <f>IF($B70=1,$D$14,IF(N(Vintage_Input!N18)&gt;0,IFERROR((Vintage_Input!F18+Vintage_Input!AT18)/$C70+Products!$C$14-(Products!$C$43+Products!$C$19+Products!$C$43*Products!$C$22+Products!$C$44),""),""))</f>
        <v/>
      </c>
      <c r="BC70" s="153">
        <f>IF($B70=1,$E$14,IF(N(Vintage_Input!O18)&gt;0,IFERROR((Vintage_Input!G18+Vintage_Input!AU18)/$C70+Products!$C$14-(Products!$C$43+Products!$C$19+Products!$C$43*Products!$C$22+Products!$C$44),""),""))</f>
        <v/>
      </c>
      <c r="BD70" s="153">
        <f>IF($B70=1,$F$14,IF(N(Vintage_Input!P18)&gt;0,IFERROR((Vintage_Input!H18+Vintage_Input!AV18)/$C70+Products!$C$14-(Products!$C$43+Products!$C$19+Products!$C$43*Products!$C$22+Products!$C$44),""),""))</f>
        <v/>
      </c>
      <c r="BE70" s="153">
        <f>IF($B70=1,$G$14,IF(N(Vintage_Input!Q18)&gt;0,IFERROR((Vintage_Input!I18+Vintage_Input!AW18)/$C70+Products!$C$14-(Products!$C$43+Products!$C$19+Products!$C$43*Products!$C$22+Products!$C$44),""),""))</f>
        <v/>
      </c>
      <c r="BF70" s="153">
        <f>IF($B70=1,$H$14,IF(N(Vintage_Input!R18)&gt;0,IFERROR((Vintage_Input!J18+Vintage_Input!AX18)/$C70+Products!$C$14-(Products!$C$43+Products!$C$19+Products!$C$43*Products!$C$22+Products!$C$44),""),""))</f>
        <v/>
      </c>
      <c r="BG70" s="153">
        <f>IF($B70=1,$I$14,IF(N(Vintage_Input!S18)&gt;0,IFERROR((Vintage_Input!K18+Vintage_Input!AY18)/$C70+Products!$C$14-(Products!$C$43+Products!$C$19+Products!$C$43*Products!$C$22+Products!$C$44),""),""))</f>
        <v/>
      </c>
      <c r="BH70" s="81">
        <f>IF($B70=1,0,IF(Vintage_Input!$BH$18="","",Vintage_Input!$BH$18))</f>
        <v/>
      </c>
    </row>
    <row r="71">
      <c r="A71" s="23" t="n">
        <v>11</v>
      </c>
      <c r="B71" s="48">
        <f>Vintage_Input!$B$19</f>
        <v/>
      </c>
      <c r="C71" s="41">
        <f>IF(Vintage_Input!$C$19="",0,Vintage_Input!$C$19)</f>
        <v/>
      </c>
      <c r="D71" s="152">
        <f>IF($B71=1,$B$8,IF(N(Vintage_Input!L19)&gt;0,Vintage_Input!D19/Vintage_Input!L19,""))</f>
        <v/>
      </c>
      <c r="E71" s="152">
        <f>IF($B71=1,$C$8,IF(N(Vintage_Input!M19)&gt;0,Vintage_Input!E19/Vintage_Input!M19,""))</f>
        <v/>
      </c>
      <c r="F71" s="152">
        <f>IF($B71=1,$D$8,IF(N(Vintage_Input!N19)&gt;0,Vintage_Input!F19/Vintage_Input!N19,""))</f>
        <v/>
      </c>
      <c r="G71" s="152">
        <f>IF($B71=1,$E$8,IF(N(Vintage_Input!O19)&gt;0,Vintage_Input!G19/Vintage_Input!O19,""))</f>
        <v/>
      </c>
      <c r="H71" s="152">
        <f>IF($B71=1,$F$8,IF(N(Vintage_Input!P19)&gt;0,Vintage_Input!H19/Vintage_Input!P19,""))</f>
        <v/>
      </c>
      <c r="I71" s="152">
        <f>IF($B71=1,$G$8,IF(N(Vintage_Input!Q19)&gt;0,Vintage_Input!I19/Vintage_Input!Q19,""))</f>
        <v/>
      </c>
      <c r="J71" s="152">
        <f>IF($B71=1,$H$8,IF(N(Vintage_Input!R19)&gt;0,Vintage_Input!J19/Vintage_Input!R19,""))</f>
        <v/>
      </c>
      <c r="K71" s="152">
        <f>IF($B71=1,$I$8,IF(N(Vintage_Input!S19)&gt;0,Vintage_Input!K19/Vintage_Input!S19,""))</f>
        <v/>
      </c>
      <c r="L71" s="152">
        <f>IF($B71=1,$B$9,IF(N(Vintage_Input!L19)&gt;0,Vintage_Input!T19/Vintage_Input!L19,""))</f>
        <v/>
      </c>
      <c r="M71" s="152">
        <f>IF($B71=1,$C$9,IF(N(Vintage_Input!M19)&gt;0,Vintage_Input!U19/Vintage_Input!M19,""))</f>
        <v/>
      </c>
      <c r="N71" s="152">
        <f>IF($B71=1,$D$9,IF(N(Vintage_Input!N19)&gt;0,Vintage_Input!V19/Vintage_Input!N19,""))</f>
        <v/>
      </c>
      <c r="O71" s="152">
        <f>IF($B71=1,$E$9,IF(N(Vintage_Input!O19)&gt;0,Vintage_Input!W19/Vintage_Input!O19,""))</f>
        <v/>
      </c>
      <c r="P71" s="152">
        <f>IF($B71=1,$F$9,IF(N(Vintage_Input!P19)&gt;0,Vintage_Input!X19/Vintage_Input!P19,""))</f>
        <v/>
      </c>
      <c r="Q71" s="152">
        <f>IF($B71=1,$G$9,IF(N(Vintage_Input!Q19)&gt;0,Vintage_Input!Y19/Vintage_Input!Q19,""))</f>
        <v/>
      </c>
      <c r="R71" s="152">
        <f>IF($B71=1,$H$9,IF(N(Vintage_Input!R19)&gt;0,Vintage_Input!Z19/Vintage_Input!R19,""))</f>
        <v/>
      </c>
      <c r="S71" s="152">
        <f>IF($B71=1,$I$9,IF(N(Vintage_Input!S19)&gt;0,Vintage_Input!AA19/Vintage_Input!S19,""))</f>
        <v/>
      </c>
      <c r="T71" s="152">
        <f>IF($B71=1,$B$10,IF(N(Vintage_Input!L19)&gt;0,Vintage_Input!AB19/Vintage_Input!L19,""))</f>
        <v/>
      </c>
      <c r="U71" s="152">
        <f>IF($B71=1,$C$10,IF(N(Vintage_Input!M19)&gt;0,Vintage_Input!AC19/Vintage_Input!M19,""))</f>
        <v/>
      </c>
      <c r="V71" s="152">
        <f>IF($B71=1,$D$10,IF(N(Vintage_Input!N19)&gt;0,Vintage_Input!AD19/Vintage_Input!N19,""))</f>
        <v/>
      </c>
      <c r="W71" s="152">
        <f>IF($B71=1,$E$10,IF(N(Vintage_Input!O19)&gt;0,Vintage_Input!AE19/Vintage_Input!O19,""))</f>
        <v/>
      </c>
      <c r="X71" s="152">
        <f>IF($B71=1,$F$10,IF(N(Vintage_Input!P19)&gt;0,Vintage_Input!AF19/Vintage_Input!P19,""))</f>
        <v/>
      </c>
      <c r="Y71" s="152">
        <f>IF($B71=1,$G$10,IF(N(Vintage_Input!Q19)&gt;0,Vintage_Input!AG19/Vintage_Input!Q19,""))</f>
        <v/>
      </c>
      <c r="Z71" s="152">
        <f>IF($B71=1,$H$10,IF(N(Vintage_Input!R19)&gt;0,Vintage_Input!AH19/Vintage_Input!R19,""))</f>
        <v/>
      </c>
      <c r="AA71" s="152">
        <f>IF($B71=1,$I$10,IF(N(Vintage_Input!S19)&gt;0,Vintage_Input!AI19/Vintage_Input!S19,""))</f>
        <v/>
      </c>
      <c r="AB71" s="152">
        <f>IF($B71=1,$B$11,IF(N(Vintage_Input!L19)&gt;0,Vintage_Input!AJ19/Vintage_Input!L19,""))</f>
        <v/>
      </c>
      <c r="AC71" s="152">
        <f>IF($B71=1,$C$11,IF(N(Vintage_Input!M19)&gt;0,Vintage_Input!AK19/Vintage_Input!M19,""))</f>
        <v/>
      </c>
      <c r="AD71" s="152">
        <f>IF($B71=1,$D$11,IF(N(Vintage_Input!N19)&gt;0,Vintage_Input!AL19/Vintage_Input!N19,""))</f>
        <v/>
      </c>
      <c r="AE71" s="152">
        <f>IF($B71=1,$E$11,IF(N(Vintage_Input!O19)&gt;0,Vintage_Input!AM19/Vintage_Input!O19,""))</f>
        <v/>
      </c>
      <c r="AF71" s="152">
        <f>IF($B71=1,$F$11,IF(N(Vintage_Input!P19)&gt;0,Vintage_Input!AN19/Vintage_Input!P19,""))</f>
        <v/>
      </c>
      <c r="AG71" s="152">
        <f>IF($B71=1,$G$11,IF(N(Vintage_Input!Q19)&gt;0,Vintage_Input!AO19/Vintage_Input!Q19,""))</f>
        <v/>
      </c>
      <c r="AH71" s="152">
        <f>IF($B71=1,$H$11,IF(N(Vintage_Input!R19)&gt;0,Vintage_Input!AP19/Vintage_Input!R19,""))</f>
        <v/>
      </c>
      <c r="AI71" s="152">
        <f>IF($B71=1,$I$11,IF(N(Vintage_Input!S19)&gt;0,Vintage_Input!AQ19/Vintage_Input!S19,""))</f>
        <v/>
      </c>
      <c r="AJ71" s="152">
        <f>IF($B71=1,$B$12,IF(N(Vintage_Input!L19)&gt;0,IFERROR(Vintage_Input!AR19/Vintage_Input!AJ19,""),""))</f>
        <v/>
      </c>
      <c r="AK71" s="152">
        <f>IF($B71=1,$C$12,IF(N(Vintage_Input!M19)&gt;0,IFERROR(Vintage_Input!AS19/Vintage_Input!AK19,""),""))</f>
        <v/>
      </c>
      <c r="AL71" s="152">
        <f>IF($B71=1,$D$12,IF(N(Vintage_Input!N19)&gt;0,IFERROR(Vintage_Input!AT19/Vintage_Input!AL19,""),""))</f>
        <v/>
      </c>
      <c r="AM71" s="152">
        <f>IF($B71=1,$E$12,IF(N(Vintage_Input!O19)&gt;0,IFERROR(Vintage_Input!AU19/Vintage_Input!AM19,""),""))</f>
        <v/>
      </c>
      <c r="AN71" s="152">
        <f>IF($B71=1,$F$12,IF(N(Vintage_Input!P19)&gt;0,IFERROR(Vintage_Input!AV19/Vintage_Input!AN19,""),""))</f>
        <v/>
      </c>
      <c r="AO71" s="152">
        <f>IF($B71=1,$G$12,IF(N(Vintage_Input!Q19)&gt;0,IFERROR(Vintage_Input!AW19/Vintage_Input!AO19,""),""))</f>
        <v/>
      </c>
      <c r="AP71" s="152">
        <f>IF($B71=1,$H$12,IF(N(Vintage_Input!R19)&gt;0,IFERROR(Vintage_Input!AX19/Vintage_Input!AP19,""),""))</f>
        <v/>
      </c>
      <c r="AQ71" s="152">
        <f>IF($B71=1,$I$12,IF(N(Vintage_Input!S19)&gt;0,IFERROR(Vintage_Input!AY19/Vintage_Input!AQ19,""),""))</f>
        <v/>
      </c>
      <c r="AR71" s="152">
        <f>IF($B71=1,$B$13,IF(N(Vintage_Input!L19)&gt;0,IFERROR(Vintage_Input!AZ19/$C71,""),""))</f>
        <v/>
      </c>
      <c r="AS71" s="152">
        <f>IF($B71=1,$C$13,IF(N(Vintage_Input!M19)&gt;0,IFERROR(Vintage_Input!BA19/$C71,""),""))</f>
        <v/>
      </c>
      <c r="AT71" s="152">
        <f>IF($B71=1,$D$13,IF(N(Vintage_Input!N19)&gt;0,IFERROR(Vintage_Input!BB19/$C71,""),""))</f>
        <v/>
      </c>
      <c r="AU71" s="152">
        <f>IF($B71=1,$E$13,IF(N(Vintage_Input!O19)&gt;0,IFERROR(Vintage_Input!BC19/$C71,""),""))</f>
        <v/>
      </c>
      <c r="AV71" s="152">
        <f>IF($B71=1,$F$13,IF(N(Vintage_Input!P19)&gt;0,IFERROR(Vintage_Input!BD19/$C71,""),""))</f>
        <v/>
      </c>
      <c r="AW71" s="152">
        <f>IF($B71=1,$G$13,IF(N(Vintage_Input!Q19)&gt;0,IFERROR(Vintage_Input!BE19/$C71,""),""))</f>
        <v/>
      </c>
      <c r="AX71" s="152">
        <f>IF($B71=1,$H$13,IF(N(Vintage_Input!R19)&gt;0,IFERROR(Vintage_Input!BF19/$C71,""),""))</f>
        <v/>
      </c>
      <c r="AY71" s="152">
        <f>IF($B71=1,$I$13,IF(N(Vintage_Input!S19)&gt;0,IFERROR(Vintage_Input!BG19/$C71,""),""))</f>
        <v/>
      </c>
      <c r="AZ71" s="153">
        <f>IF($B71=1,$B$14,IF(N(Vintage_Input!L19)&gt;0,IFERROR((Vintage_Input!D19+Vintage_Input!AR19)/$C71+Products!$C$14-(Products!$C$43+Products!$C$19+Products!$C$43*Products!$C$22+Products!$C$44),""),""))</f>
        <v/>
      </c>
      <c r="BA71" s="153">
        <f>IF($B71=1,$C$14,IF(N(Vintage_Input!M19)&gt;0,IFERROR((Vintage_Input!E19+Vintage_Input!AS19)/$C71+Products!$C$14-(Products!$C$43+Products!$C$19+Products!$C$43*Products!$C$22+Products!$C$44),""),""))</f>
        <v/>
      </c>
      <c r="BB71" s="153">
        <f>IF($B71=1,$D$14,IF(N(Vintage_Input!N19)&gt;0,IFERROR((Vintage_Input!F19+Vintage_Input!AT19)/$C71+Products!$C$14-(Products!$C$43+Products!$C$19+Products!$C$43*Products!$C$22+Products!$C$44),""),""))</f>
        <v/>
      </c>
      <c r="BC71" s="153">
        <f>IF($B71=1,$E$14,IF(N(Vintage_Input!O19)&gt;0,IFERROR((Vintage_Input!G19+Vintage_Input!AU19)/$C71+Products!$C$14-(Products!$C$43+Products!$C$19+Products!$C$43*Products!$C$22+Products!$C$44),""),""))</f>
        <v/>
      </c>
      <c r="BD71" s="153">
        <f>IF($B71=1,$F$14,IF(N(Vintage_Input!P19)&gt;0,IFERROR((Vintage_Input!H19+Vintage_Input!AV19)/$C71+Products!$C$14-(Products!$C$43+Products!$C$19+Products!$C$43*Products!$C$22+Products!$C$44),""),""))</f>
        <v/>
      </c>
      <c r="BE71" s="153">
        <f>IF($B71=1,$G$14,IF(N(Vintage_Input!Q19)&gt;0,IFERROR((Vintage_Input!I19+Vintage_Input!AW19)/$C71+Products!$C$14-(Products!$C$43+Products!$C$19+Products!$C$43*Products!$C$22+Products!$C$44),""),""))</f>
        <v/>
      </c>
      <c r="BF71" s="153">
        <f>IF($B71=1,$H$14,IF(N(Vintage_Input!R19)&gt;0,IFERROR((Vintage_Input!J19+Vintage_Input!AX19)/$C71+Products!$C$14-(Products!$C$43+Products!$C$19+Products!$C$43*Products!$C$22+Products!$C$44),""),""))</f>
        <v/>
      </c>
      <c r="BG71" s="153">
        <f>IF($B71=1,$I$14,IF(N(Vintage_Input!S19)&gt;0,IFERROR((Vintage_Input!K19+Vintage_Input!AY19)/$C71+Products!$C$14-(Products!$C$43+Products!$C$19+Products!$C$43*Products!$C$22+Products!$C$44),""),""))</f>
        <v/>
      </c>
      <c r="BH71" s="81">
        <f>IF($B71=1,0,IF(Vintage_Input!$BH$19="","",Vintage_Input!$BH$19))</f>
        <v/>
      </c>
    </row>
    <row r="72">
      <c r="A72" s="23" t="n">
        <v>12</v>
      </c>
      <c r="B72" s="48">
        <f>Vintage_Input!$B$20</f>
        <v/>
      </c>
      <c r="C72" s="41">
        <f>IF(Vintage_Input!$C$20="",0,Vintage_Input!$C$20)</f>
        <v/>
      </c>
      <c r="D72" s="152">
        <f>IF($B72=1,$B$8,IF(N(Vintage_Input!L20)&gt;0,Vintage_Input!D20/Vintage_Input!L20,""))</f>
        <v/>
      </c>
      <c r="E72" s="152">
        <f>IF($B72=1,$C$8,IF(N(Vintage_Input!M20)&gt;0,Vintage_Input!E20/Vintage_Input!M20,""))</f>
        <v/>
      </c>
      <c r="F72" s="152">
        <f>IF($B72=1,$D$8,IF(N(Vintage_Input!N20)&gt;0,Vintage_Input!F20/Vintage_Input!N20,""))</f>
        <v/>
      </c>
      <c r="G72" s="152">
        <f>IF($B72=1,$E$8,IF(N(Vintage_Input!O20)&gt;0,Vintage_Input!G20/Vintage_Input!O20,""))</f>
        <v/>
      </c>
      <c r="H72" s="152">
        <f>IF($B72=1,$F$8,IF(N(Vintage_Input!P20)&gt;0,Vintage_Input!H20/Vintage_Input!P20,""))</f>
        <v/>
      </c>
      <c r="I72" s="152">
        <f>IF($B72=1,$G$8,IF(N(Vintage_Input!Q20)&gt;0,Vintage_Input!I20/Vintage_Input!Q20,""))</f>
        <v/>
      </c>
      <c r="J72" s="152">
        <f>IF($B72=1,$H$8,IF(N(Vintage_Input!R20)&gt;0,Vintage_Input!J20/Vintage_Input!R20,""))</f>
        <v/>
      </c>
      <c r="K72" s="152">
        <f>IF($B72=1,$I$8,IF(N(Vintage_Input!S20)&gt;0,Vintage_Input!K20/Vintage_Input!S20,""))</f>
        <v/>
      </c>
      <c r="L72" s="152">
        <f>IF($B72=1,$B$9,IF(N(Vintage_Input!L20)&gt;0,Vintage_Input!T20/Vintage_Input!L20,""))</f>
        <v/>
      </c>
      <c r="M72" s="152">
        <f>IF($B72=1,$C$9,IF(N(Vintage_Input!M20)&gt;0,Vintage_Input!U20/Vintage_Input!M20,""))</f>
        <v/>
      </c>
      <c r="N72" s="152">
        <f>IF($B72=1,$D$9,IF(N(Vintage_Input!N20)&gt;0,Vintage_Input!V20/Vintage_Input!N20,""))</f>
        <v/>
      </c>
      <c r="O72" s="152">
        <f>IF($B72=1,$E$9,IF(N(Vintage_Input!O20)&gt;0,Vintage_Input!W20/Vintage_Input!O20,""))</f>
        <v/>
      </c>
      <c r="P72" s="152">
        <f>IF($B72=1,$F$9,IF(N(Vintage_Input!P20)&gt;0,Vintage_Input!X20/Vintage_Input!P20,""))</f>
        <v/>
      </c>
      <c r="Q72" s="152">
        <f>IF($B72=1,$G$9,IF(N(Vintage_Input!Q20)&gt;0,Vintage_Input!Y20/Vintage_Input!Q20,""))</f>
        <v/>
      </c>
      <c r="R72" s="152">
        <f>IF($B72=1,$H$9,IF(N(Vintage_Input!R20)&gt;0,Vintage_Input!Z20/Vintage_Input!R20,""))</f>
        <v/>
      </c>
      <c r="S72" s="152">
        <f>IF($B72=1,$I$9,IF(N(Vintage_Input!S20)&gt;0,Vintage_Input!AA20/Vintage_Input!S20,""))</f>
        <v/>
      </c>
      <c r="T72" s="152">
        <f>IF($B72=1,$B$10,IF(N(Vintage_Input!L20)&gt;0,Vintage_Input!AB20/Vintage_Input!L20,""))</f>
        <v/>
      </c>
      <c r="U72" s="152">
        <f>IF($B72=1,$C$10,IF(N(Vintage_Input!M20)&gt;0,Vintage_Input!AC20/Vintage_Input!M20,""))</f>
        <v/>
      </c>
      <c r="V72" s="152">
        <f>IF($B72=1,$D$10,IF(N(Vintage_Input!N20)&gt;0,Vintage_Input!AD20/Vintage_Input!N20,""))</f>
        <v/>
      </c>
      <c r="W72" s="152">
        <f>IF($B72=1,$E$10,IF(N(Vintage_Input!O20)&gt;0,Vintage_Input!AE20/Vintage_Input!O20,""))</f>
        <v/>
      </c>
      <c r="X72" s="152">
        <f>IF($B72=1,$F$10,IF(N(Vintage_Input!P20)&gt;0,Vintage_Input!AF20/Vintage_Input!P20,""))</f>
        <v/>
      </c>
      <c r="Y72" s="152">
        <f>IF($B72=1,$G$10,IF(N(Vintage_Input!Q20)&gt;0,Vintage_Input!AG20/Vintage_Input!Q20,""))</f>
        <v/>
      </c>
      <c r="Z72" s="152">
        <f>IF($B72=1,$H$10,IF(N(Vintage_Input!R20)&gt;0,Vintage_Input!AH20/Vintage_Input!R20,""))</f>
        <v/>
      </c>
      <c r="AA72" s="152">
        <f>IF($B72=1,$I$10,IF(N(Vintage_Input!S20)&gt;0,Vintage_Input!AI20/Vintage_Input!S20,""))</f>
        <v/>
      </c>
      <c r="AB72" s="152">
        <f>IF($B72=1,$B$11,IF(N(Vintage_Input!L20)&gt;0,Vintage_Input!AJ20/Vintage_Input!L20,""))</f>
        <v/>
      </c>
      <c r="AC72" s="152">
        <f>IF($B72=1,$C$11,IF(N(Vintage_Input!M20)&gt;0,Vintage_Input!AK20/Vintage_Input!M20,""))</f>
        <v/>
      </c>
      <c r="AD72" s="152">
        <f>IF($B72=1,$D$11,IF(N(Vintage_Input!N20)&gt;0,Vintage_Input!AL20/Vintage_Input!N20,""))</f>
        <v/>
      </c>
      <c r="AE72" s="152">
        <f>IF($B72=1,$E$11,IF(N(Vintage_Input!O20)&gt;0,Vintage_Input!AM20/Vintage_Input!O20,""))</f>
        <v/>
      </c>
      <c r="AF72" s="152">
        <f>IF($B72=1,$F$11,IF(N(Vintage_Input!P20)&gt;0,Vintage_Input!AN20/Vintage_Input!P20,""))</f>
        <v/>
      </c>
      <c r="AG72" s="152">
        <f>IF($B72=1,$G$11,IF(N(Vintage_Input!Q20)&gt;0,Vintage_Input!AO20/Vintage_Input!Q20,""))</f>
        <v/>
      </c>
      <c r="AH72" s="152">
        <f>IF($B72=1,$H$11,IF(N(Vintage_Input!R20)&gt;0,Vintage_Input!AP20/Vintage_Input!R20,""))</f>
        <v/>
      </c>
      <c r="AI72" s="152">
        <f>IF($B72=1,$I$11,IF(N(Vintage_Input!S20)&gt;0,Vintage_Input!AQ20/Vintage_Input!S20,""))</f>
        <v/>
      </c>
      <c r="AJ72" s="152">
        <f>IF($B72=1,$B$12,IF(N(Vintage_Input!L20)&gt;0,IFERROR(Vintage_Input!AR20/Vintage_Input!AJ20,""),""))</f>
        <v/>
      </c>
      <c r="AK72" s="152">
        <f>IF($B72=1,$C$12,IF(N(Vintage_Input!M20)&gt;0,IFERROR(Vintage_Input!AS20/Vintage_Input!AK20,""),""))</f>
        <v/>
      </c>
      <c r="AL72" s="152">
        <f>IF($B72=1,$D$12,IF(N(Vintage_Input!N20)&gt;0,IFERROR(Vintage_Input!AT20/Vintage_Input!AL20,""),""))</f>
        <v/>
      </c>
      <c r="AM72" s="152">
        <f>IF($B72=1,$E$12,IF(N(Vintage_Input!O20)&gt;0,IFERROR(Vintage_Input!AU20/Vintage_Input!AM20,""),""))</f>
        <v/>
      </c>
      <c r="AN72" s="152">
        <f>IF($B72=1,$F$12,IF(N(Vintage_Input!P20)&gt;0,IFERROR(Vintage_Input!AV20/Vintage_Input!AN20,""),""))</f>
        <v/>
      </c>
      <c r="AO72" s="152">
        <f>IF($B72=1,$G$12,IF(N(Vintage_Input!Q20)&gt;0,IFERROR(Vintage_Input!AW20/Vintage_Input!AO20,""),""))</f>
        <v/>
      </c>
      <c r="AP72" s="152">
        <f>IF($B72=1,$H$12,IF(N(Vintage_Input!R20)&gt;0,IFERROR(Vintage_Input!AX20/Vintage_Input!AP20,""),""))</f>
        <v/>
      </c>
      <c r="AQ72" s="152">
        <f>IF($B72=1,$I$12,IF(N(Vintage_Input!S20)&gt;0,IFERROR(Vintage_Input!AY20/Vintage_Input!AQ20,""),""))</f>
        <v/>
      </c>
      <c r="AR72" s="152">
        <f>IF($B72=1,$B$13,IF(N(Vintage_Input!L20)&gt;0,IFERROR(Vintage_Input!AZ20/$C72,""),""))</f>
        <v/>
      </c>
      <c r="AS72" s="152">
        <f>IF($B72=1,$C$13,IF(N(Vintage_Input!M20)&gt;0,IFERROR(Vintage_Input!BA20/$C72,""),""))</f>
        <v/>
      </c>
      <c r="AT72" s="152">
        <f>IF($B72=1,$D$13,IF(N(Vintage_Input!N20)&gt;0,IFERROR(Vintage_Input!BB20/$C72,""),""))</f>
        <v/>
      </c>
      <c r="AU72" s="152">
        <f>IF($B72=1,$E$13,IF(N(Vintage_Input!O20)&gt;0,IFERROR(Vintage_Input!BC20/$C72,""),""))</f>
        <v/>
      </c>
      <c r="AV72" s="152">
        <f>IF($B72=1,$F$13,IF(N(Vintage_Input!P20)&gt;0,IFERROR(Vintage_Input!BD20/$C72,""),""))</f>
        <v/>
      </c>
      <c r="AW72" s="152">
        <f>IF($B72=1,$G$13,IF(N(Vintage_Input!Q20)&gt;0,IFERROR(Vintage_Input!BE20/$C72,""),""))</f>
        <v/>
      </c>
      <c r="AX72" s="152">
        <f>IF($B72=1,$H$13,IF(N(Vintage_Input!R20)&gt;0,IFERROR(Vintage_Input!BF20/$C72,""),""))</f>
        <v/>
      </c>
      <c r="AY72" s="152">
        <f>IF($B72=1,$I$13,IF(N(Vintage_Input!S20)&gt;0,IFERROR(Vintage_Input!BG20/$C72,""),""))</f>
        <v/>
      </c>
      <c r="AZ72" s="153">
        <f>IF($B72=1,$B$14,IF(N(Vintage_Input!L20)&gt;0,IFERROR((Vintage_Input!D20+Vintage_Input!AR20)/$C72+Products!$C$14-(Products!$C$43+Products!$C$19+Products!$C$43*Products!$C$22+Products!$C$44),""),""))</f>
        <v/>
      </c>
      <c r="BA72" s="153">
        <f>IF($B72=1,$C$14,IF(N(Vintage_Input!M20)&gt;0,IFERROR((Vintage_Input!E20+Vintage_Input!AS20)/$C72+Products!$C$14-(Products!$C$43+Products!$C$19+Products!$C$43*Products!$C$22+Products!$C$44),""),""))</f>
        <v/>
      </c>
      <c r="BB72" s="153">
        <f>IF($B72=1,$D$14,IF(N(Vintage_Input!N20)&gt;0,IFERROR((Vintage_Input!F20+Vintage_Input!AT20)/$C72+Products!$C$14-(Products!$C$43+Products!$C$19+Products!$C$43*Products!$C$22+Products!$C$44),""),""))</f>
        <v/>
      </c>
      <c r="BC72" s="153">
        <f>IF($B72=1,$E$14,IF(N(Vintage_Input!O20)&gt;0,IFERROR((Vintage_Input!G20+Vintage_Input!AU20)/$C72+Products!$C$14-(Products!$C$43+Products!$C$19+Products!$C$43*Products!$C$22+Products!$C$44),""),""))</f>
        <v/>
      </c>
      <c r="BD72" s="153">
        <f>IF($B72=1,$F$14,IF(N(Vintage_Input!P20)&gt;0,IFERROR((Vintage_Input!H20+Vintage_Input!AV20)/$C72+Products!$C$14-(Products!$C$43+Products!$C$19+Products!$C$43*Products!$C$22+Products!$C$44),""),""))</f>
        <v/>
      </c>
      <c r="BE72" s="153">
        <f>IF($B72=1,$G$14,IF(N(Vintage_Input!Q20)&gt;0,IFERROR((Vintage_Input!I20+Vintage_Input!AW20)/$C72+Products!$C$14-(Products!$C$43+Products!$C$19+Products!$C$43*Products!$C$22+Products!$C$44),""),""))</f>
        <v/>
      </c>
      <c r="BF72" s="153">
        <f>IF($B72=1,$H$14,IF(N(Vintage_Input!R20)&gt;0,IFERROR((Vintage_Input!J20+Vintage_Input!AX20)/$C72+Products!$C$14-(Products!$C$43+Products!$C$19+Products!$C$43*Products!$C$22+Products!$C$44),""),""))</f>
        <v/>
      </c>
      <c r="BG72" s="153">
        <f>IF($B72=1,$I$14,IF(N(Vintage_Input!S20)&gt;0,IFERROR((Vintage_Input!K20+Vintage_Input!AY20)/$C72+Products!$C$14-(Products!$C$43+Products!$C$19+Products!$C$43*Products!$C$22+Products!$C$44),""),""))</f>
        <v/>
      </c>
      <c r="BH72" s="81">
        <f>IF($B72=1,0,IF(Vintage_Input!$BH$20="","",Vintage_Input!$BH$20))</f>
        <v/>
      </c>
    </row>
    <row r="73">
      <c r="A73" s="23" t="n">
        <v>13</v>
      </c>
      <c r="B73" s="48">
        <f>Vintage_Input!$B$21</f>
        <v/>
      </c>
      <c r="C73" s="41">
        <f>IF(Vintage_Input!$C$21="",0,Vintage_Input!$C$21)</f>
        <v/>
      </c>
      <c r="D73" s="152">
        <f>IF($B73=1,$B$8,IF(N(Vintage_Input!L21)&gt;0,Vintage_Input!D21/Vintage_Input!L21,""))</f>
        <v/>
      </c>
      <c r="E73" s="152">
        <f>IF($B73=1,$C$8,IF(N(Vintage_Input!M21)&gt;0,Vintage_Input!E21/Vintage_Input!M21,""))</f>
        <v/>
      </c>
      <c r="F73" s="152">
        <f>IF($B73=1,$D$8,IF(N(Vintage_Input!N21)&gt;0,Vintage_Input!F21/Vintage_Input!N21,""))</f>
        <v/>
      </c>
      <c r="G73" s="152">
        <f>IF($B73=1,$E$8,IF(N(Vintage_Input!O21)&gt;0,Vintage_Input!G21/Vintage_Input!O21,""))</f>
        <v/>
      </c>
      <c r="H73" s="152">
        <f>IF($B73=1,$F$8,IF(N(Vintage_Input!P21)&gt;0,Vintage_Input!H21/Vintage_Input!P21,""))</f>
        <v/>
      </c>
      <c r="I73" s="152">
        <f>IF($B73=1,$G$8,IF(N(Vintage_Input!Q21)&gt;0,Vintage_Input!I21/Vintage_Input!Q21,""))</f>
        <v/>
      </c>
      <c r="J73" s="152">
        <f>IF($B73=1,$H$8,IF(N(Vintage_Input!R21)&gt;0,Vintage_Input!J21/Vintage_Input!R21,""))</f>
        <v/>
      </c>
      <c r="K73" s="152">
        <f>IF($B73=1,$I$8,IF(N(Vintage_Input!S21)&gt;0,Vintage_Input!K21/Vintage_Input!S21,""))</f>
        <v/>
      </c>
      <c r="L73" s="152">
        <f>IF($B73=1,$B$9,IF(N(Vintage_Input!L21)&gt;0,Vintage_Input!T21/Vintage_Input!L21,""))</f>
        <v/>
      </c>
      <c r="M73" s="152">
        <f>IF($B73=1,$C$9,IF(N(Vintage_Input!M21)&gt;0,Vintage_Input!U21/Vintage_Input!M21,""))</f>
        <v/>
      </c>
      <c r="N73" s="152">
        <f>IF($B73=1,$D$9,IF(N(Vintage_Input!N21)&gt;0,Vintage_Input!V21/Vintage_Input!N21,""))</f>
        <v/>
      </c>
      <c r="O73" s="152">
        <f>IF($B73=1,$E$9,IF(N(Vintage_Input!O21)&gt;0,Vintage_Input!W21/Vintage_Input!O21,""))</f>
        <v/>
      </c>
      <c r="P73" s="152">
        <f>IF($B73=1,$F$9,IF(N(Vintage_Input!P21)&gt;0,Vintage_Input!X21/Vintage_Input!P21,""))</f>
        <v/>
      </c>
      <c r="Q73" s="152">
        <f>IF($B73=1,$G$9,IF(N(Vintage_Input!Q21)&gt;0,Vintage_Input!Y21/Vintage_Input!Q21,""))</f>
        <v/>
      </c>
      <c r="R73" s="152">
        <f>IF($B73=1,$H$9,IF(N(Vintage_Input!R21)&gt;0,Vintage_Input!Z21/Vintage_Input!R21,""))</f>
        <v/>
      </c>
      <c r="S73" s="152">
        <f>IF($B73=1,$I$9,IF(N(Vintage_Input!S21)&gt;0,Vintage_Input!AA21/Vintage_Input!S21,""))</f>
        <v/>
      </c>
      <c r="T73" s="152">
        <f>IF($B73=1,$B$10,IF(N(Vintage_Input!L21)&gt;0,Vintage_Input!AB21/Vintage_Input!L21,""))</f>
        <v/>
      </c>
      <c r="U73" s="152">
        <f>IF($B73=1,$C$10,IF(N(Vintage_Input!M21)&gt;0,Vintage_Input!AC21/Vintage_Input!M21,""))</f>
        <v/>
      </c>
      <c r="V73" s="152">
        <f>IF($B73=1,$D$10,IF(N(Vintage_Input!N21)&gt;0,Vintage_Input!AD21/Vintage_Input!N21,""))</f>
        <v/>
      </c>
      <c r="W73" s="152">
        <f>IF($B73=1,$E$10,IF(N(Vintage_Input!O21)&gt;0,Vintage_Input!AE21/Vintage_Input!O21,""))</f>
        <v/>
      </c>
      <c r="X73" s="152">
        <f>IF($B73=1,$F$10,IF(N(Vintage_Input!P21)&gt;0,Vintage_Input!AF21/Vintage_Input!P21,""))</f>
        <v/>
      </c>
      <c r="Y73" s="152">
        <f>IF($B73=1,$G$10,IF(N(Vintage_Input!Q21)&gt;0,Vintage_Input!AG21/Vintage_Input!Q21,""))</f>
        <v/>
      </c>
      <c r="Z73" s="152">
        <f>IF($B73=1,$H$10,IF(N(Vintage_Input!R21)&gt;0,Vintage_Input!AH21/Vintage_Input!R21,""))</f>
        <v/>
      </c>
      <c r="AA73" s="152">
        <f>IF($B73=1,$I$10,IF(N(Vintage_Input!S21)&gt;0,Vintage_Input!AI21/Vintage_Input!S21,""))</f>
        <v/>
      </c>
      <c r="AB73" s="152">
        <f>IF($B73=1,$B$11,IF(N(Vintage_Input!L21)&gt;0,Vintage_Input!AJ21/Vintage_Input!L21,""))</f>
        <v/>
      </c>
      <c r="AC73" s="152">
        <f>IF($B73=1,$C$11,IF(N(Vintage_Input!M21)&gt;0,Vintage_Input!AK21/Vintage_Input!M21,""))</f>
        <v/>
      </c>
      <c r="AD73" s="152">
        <f>IF($B73=1,$D$11,IF(N(Vintage_Input!N21)&gt;0,Vintage_Input!AL21/Vintage_Input!N21,""))</f>
        <v/>
      </c>
      <c r="AE73" s="152">
        <f>IF($B73=1,$E$11,IF(N(Vintage_Input!O21)&gt;0,Vintage_Input!AM21/Vintage_Input!O21,""))</f>
        <v/>
      </c>
      <c r="AF73" s="152">
        <f>IF($B73=1,$F$11,IF(N(Vintage_Input!P21)&gt;0,Vintage_Input!AN21/Vintage_Input!P21,""))</f>
        <v/>
      </c>
      <c r="AG73" s="152">
        <f>IF($B73=1,$G$11,IF(N(Vintage_Input!Q21)&gt;0,Vintage_Input!AO21/Vintage_Input!Q21,""))</f>
        <v/>
      </c>
      <c r="AH73" s="152">
        <f>IF($B73=1,$H$11,IF(N(Vintage_Input!R21)&gt;0,Vintage_Input!AP21/Vintage_Input!R21,""))</f>
        <v/>
      </c>
      <c r="AI73" s="152">
        <f>IF($B73=1,$I$11,IF(N(Vintage_Input!S21)&gt;0,Vintage_Input!AQ21/Vintage_Input!S21,""))</f>
        <v/>
      </c>
      <c r="AJ73" s="152">
        <f>IF($B73=1,$B$12,IF(N(Vintage_Input!L21)&gt;0,IFERROR(Vintage_Input!AR21/Vintage_Input!AJ21,""),""))</f>
        <v/>
      </c>
      <c r="AK73" s="152">
        <f>IF($B73=1,$C$12,IF(N(Vintage_Input!M21)&gt;0,IFERROR(Vintage_Input!AS21/Vintage_Input!AK21,""),""))</f>
        <v/>
      </c>
      <c r="AL73" s="152">
        <f>IF($B73=1,$D$12,IF(N(Vintage_Input!N21)&gt;0,IFERROR(Vintage_Input!AT21/Vintage_Input!AL21,""),""))</f>
        <v/>
      </c>
      <c r="AM73" s="152">
        <f>IF($B73=1,$E$12,IF(N(Vintage_Input!O21)&gt;0,IFERROR(Vintage_Input!AU21/Vintage_Input!AM21,""),""))</f>
        <v/>
      </c>
      <c r="AN73" s="152">
        <f>IF($B73=1,$F$12,IF(N(Vintage_Input!P21)&gt;0,IFERROR(Vintage_Input!AV21/Vintage_Input!AN21,""),""))</f>
        <v/>
      </c>
      <c r="AO73" s="152">
        <f>IF($B73=1,$G$12,IF(N(Vintage_Input!Q21)&gt;0,IFERROR(Vintage_Input!AW21/Vintage_Input!AO21,""),""))</f>
        <v/>
      </c>
      <c r="AP73" s="152">
        <f>IF($B73=1,$H$12,IF(N(Vintage_Input!R21)&gt;0,IFERROR(Vintage_Input!AX21/Vintage_Input!AP21,""),""))</f>
        <v/>
      </c>
      <c r="AQ73" s="152">
        <f>IF($B73=1,$I$12,IF(N(Vintage_Input!S21)&gt;0,IFERROR(Vintage_Input!AY21/Vintage_Input!AQ21,""),""))</f>
        <v/>
      </c>
      <c r="AR73" s="152">
        <f>IF($B73=1,$B$13,IF(N(Vintage_Input!L21)&gt;0,IFERROR(Vintage_Input!AZ21/$C73,""),""))</f>
        <v/>
      </c>
      <c r="AS73" s="152">
        <f>IF($B73=1,$C$13,IF(N(Vintage_Input!M21)&gt;0,IFERROR(Vintage_Input!BA21/$C73,""),""))</f>
        <v/>
      </c>
      <c r="AT73" s="152">
        <f>IF($B73=1,$D$13,IF(N(Vintage_Input!N21)&gt;0,IFERROR(Vintage_Input!BB21/$C73,""),""))</f>
        <v/>
      </c>
      <c r="AU73" s="152">
        <f>IF($B73=1,$E$13,IF(N(Vintage_Input!O21)&gt;0,IFERROR(Vintage_Input!BC21/$C73,""),""))</f>
        <v/>
      </c>
      <c r="AV73" s="152">
        <f>IF($B73=1,$F$13,IF(N(Vintage_Input!P21)&gt;0,IFERROR(Vintage_Input!BD21/$C73,""),""))</f>
        <v/>
      </c>
      <c r="AW73" s="152">
        <f>IF($B73=1,$G$13,IF(N(Vintage_Input!Q21)&gt;0,IFERROR(Vintage_Input!BE21/$C73,""),""))</f>
        <v/>
      </c>
      <c r="AX73" s="152">
        <f>IF($B73=1,$H$13,IF(N(Vintage_Input!R21)&gt;0,IFERROR(Vintage_Input!BF21/$C73,""),""))</f>
        <v/>
      </c>
      <c r="AY73" s="152">
        <f>IF($B73=1,$I$13,IF(N(Vintage_Input!S21)&gt;0,IFERROR(Vintage_Input!BG21/$C73,""),""))</f>
        <v/>
      </c>
      <c r="AZ73" s="153">
        <f>IF($B73=1,$B$14,IF(N(Vintage_Input!L21)&gt;0,IFERROR((Vintage_Input!D21+Vintage_Input!AR21)/$C73+Products!$C$14-(Products!$C$43+Products!$C$19+Products!$C$43*Products!$C$22+Products!$C$44),""),""))</f>
        <v/>
      </c>
      <c r="BA73" s="153">
        <f>IF($B73=1,$C$14,IF(N(Vintage_Input!M21)&gt;0,IFERROR((Vintage_Input!E21+Vintage_Input!AS21)/$C73+Products!$C$14-(Products!$C$43+Products!$C$19+Products!$C$43*Products!$C$22+Products!$C$44),""),""))</f>
        <v/>
      </c>
      <c r="BB73" s="153">
        <f>IF($B73=1,$D$14,IF(N(Vintage_Input!N21)&gt;0,IFERROR((Vintage_Input!F21+Vintage_Input!AT21)/$C73+Products!$C$14-(Products!$C$43+Products!$C$19+Products!$C$43*Products!$C$22+Products!$C$44),""),""))</f>
        <v/>
      </c>
      <c r="BC73" s="153">
        <f>IF($B73=1,$E$14,IF(N(Vintage_Input!O21)&gt;0,IFERROR((Vintage_Input!G21+Vintage_Input!AU21)/$C73+Products!$C$14-(Products!$C$43+Products!$C$19+Products!$C$43*Products!$C$22+Products!$C$44),""),""))</f>
        <v/>
      </c>
      <c r="BD73" s="153">
        <f>IF($B73=1,$F$14,IF(N(Vintage_Input!P21)&gt;0,IFERROR((Vintage_Input!H21+Vintage_Input!AV21)/$C73+Products!$C$14-(Products!$C$43+Products!$C$19+Products!$C$43*Products!$C$22+Products!$C$44),""),""))</f>
        <v/>
      </c>
      <c r="BE73" s="153">
        <f>IF($B73=1,$G$14,IF(N(Vintage_Input!Q21)&gt;0,IFERROR((Vintage_Input!I21+Vintage_Input!AW21)/$C73+Products!$C$14-(Products!$C$43+Products!$C$19+Products!$C$43*Products!$C$22+Products!$C$44),""),""))</f>
        <v/>
      </c>
      <c r="BF73" s="153">
        <f>IF($B73=1,$H$14,IF(N(Vintage_Input!R21)&gt;0,IFERROR((Vintage_Input!J21+Vintage_Input!AX21)/$C73+Products!$C$14-(Products!$C$43+Products!$C$19+Products!$C$43*Products!$C$22+Products!$C$44),""),""))</f>
        <v/>
      </c>
      <c r="BG73" s="153">
        <f>IF($B73=1,$I$14,IF(N(Vintage_Input!S21)&gt;0,IFERROR((Vintage_Input!K21+Vintage_Input!AY21)/$C73+Products!$C$14-(Products!$C$43+Products!$C$19+Products!$C$43*Products!$C$22+Products!$C$44),""),""))</f>
        <v/>
      </c>
      <c r="BH73" s="81">
        <f>IF($B73=1,0,IF(Vintage_Input!$BH$21="","",Vintage_Input!$BH$21))</f>
        <v/>
      </c>
    </row>
    <row r="74">
      <c r="A74" s="23" t="n">
        <v>14</v>
      </c>
      <c r="B74" s="48">
        <f>Vintage_Input!$B$22</f>
        <v/>
      </c>
      <c r="C74" s="41">
        <f>IF(Vintage_Input!$C$22="",0,Vintage_Input!$C$22)</f>
        <v/>
      </c>
      <c r="D74" s="152">
        <f>IF($B74=1,$B$8,IF(N(Vintage_Input!L22)&gt;0,Vintage_Input!D22/Vintage_Input!L22,""))</f>
        <v/>
      </c>
      <c r="E74" s="152">
        <f>IF($B74=1,$C$8,IF(N(Vintage_Input!M22)&gt;0,Vintage_Input!E22/Vintage_Input!M22,""))</f>
        <v/>
      </c>
      <c r="F74" s="152">
        <f>IF($B74=1,$D$8,IF(N(Vintage_Input!N22)&gt;0,Vintage_Input!F22/Vintage_Input!N22,""))</f>
        <v/>
      </c>
      <c r="G74" s="152">
        <f>IF($B74=1,$E$8,IF(N(Vintage_Input!O22)&gt;0,Vintage_Input!G22/Vintage_Input!O22,""))</f>
        <v/>
      </c>
      <c r="H74" s="152">
        <f>IF($B74=1,$F$8,IF(N(Vintage_Input!P22)&gt;0,Vintage_Input!H22/Vintage_Input!P22,""))</f>
        <v/>
      </c>
      <c r="I74" s="152">
        <f>IF($B74=1,$G$8,IF(N(Vintage_Input!Q22)&gt;0,Vintage_Input!I22/Vintage_Input!Q22,""))</f>
        <v/>
      </c>
      <c r="J74" s="152">
        <f>IF($B74=1,$H$8,IF(N(Vintage_Input!R22)&gt;0,Vintage_Input!J22/Vintage_Input!R22,""))</f>
        <v/>
      </c>
      <c r="K74" s="152">
        <f>IF($B74=1,$I$8,IF(N(Vintage_Input!S22)&gt;0,Vintage_Input!K22/Vintage_Input!S22,""))</f>
        <v/>
      </c>
      <c r="L74" s="152">
        <f>IF($B74=1,$B$9,IF(N(Vintage_Input!L22)&gt;0,Vintage_Input!T22/Vintage_Input!L22,""))</f>
        <v/>
      </c>
      <c r="M74" s="152">
        <f>IF($B74=1,$C$9,IF(N(Vintage_Input!M22)&gt;0,Vintage_Input!U22/Vintage_Input!M22,""))</f>
        <v/>
      </c>
      <c r="N74" s="152">
        <f>IF($B74=1,$D$9,IF(N(Vintage_Input!N22)&gt;0,Vintage_Input!V22/Vintage_Input!N22,""))</f>
        <v/>
      </c>
      <c r="O74" s="152">
        <f>IF($B74=1,$E$9,IF(N(Vintage_Input!O22)&gt;0,Vintage_Input!W22/Vintage_Input!O22,""))</f>
        <v/>
      </c>
      <c r="P74" s="152">
        <f>IF($B74=1,$F$9,IF(N(Vintage_Input!P22)&gt;0,Vintage_Input!X22/Vintage_Input!P22,""))</f>
        <v/>
      </c>
      <c r="Q74" s="152">
        <f>IF($B74=1,$G$9,IF(N(Vintage_Input!Q22)&gt;0,Vintage_Input!Y22/Vintage_Input!Q22,""))</f>
        <v/>
      </c>
      <c r="R74" s="152">
        <f>IF($B74=1,$H$9,IF(N(Vintage_Input!R22)&gt;0,Vintage_Input!Z22/Vintage_Input!R22,""))</f>
        <v/>
      </c>
      <c r="S74" s="152">
        <f>IF($B74=1,$I$9,IF(N(Vintage_Input!S22)&gt;0,Vintage_Input!AA22/Vintage_Input!S22,""))</f>
        <v/>
      </c>
      <c r="T74" s="152">
        <f>IF($B74=1,$B$10,IF(N(Vintage_Input!L22)&gt;0,Vintage_Input!AB22/Vintage_Input!L22,""))</f>
        <v/>
      </c>
      <c r="U74" s="152">
        <f>IF($B74=1,$C$10,IF(N(Vintage_Input!M22)&gt;0,Vintage_Input!AC22/Vintage_Input!M22,""))</f>
        <v/>
      </c>
      <c r="V74" s="152">
        <f>IF($B74=1,$D$10,IF(N(Vintage_Input!N22)&gt;0,Vintage_Input!AD22/Vintage_Input!N22,""))</f>
        <v/>
      </c>
      <c r="W74" s="152">
        <f>IF($B74=1,$E$10,IF(N(Vintage_Input!O22)&gt;0,Vintage_Input!AE22/Vintage_Input!O22,""))</f>
        <v/>
      </c>
      <c r="X74" s="152">
        <f>IF($B74=1,$F$10,IF(N(Vintage_Input!P22)&gt;0,Vintage_Input!AF22/Vintage_Input!P22,""))</f>
        <v/>
      </c>
      <c r="Y74" s="152">
        <f>IF($B74=1,$G$10,IF(N(Vintage_Input!Q22)&gt;0,Vintage_Input!AG22/Vintage_Input!Q22,""))</f>
        <v/>
      </c>
      <c r="Z74" s="152">
        <f>IF($B74=1,$H$10,IF(N(Vintage_Input!R22)&gt;0,Vintage_Input!AH22/Vintage_Input!R22,""))</f>
        <v/>
      </c>
      <c r="AA74" s="152">
        <f>IF($B74=1,$I$10,IF(N(Vintage_Input!S22)&gt;0,Vintage_Input!AI22/Vintage_Input!S22,""))</f>
        <v/>
      </c>
      <c r="AB74" s="152">
        <f>IF($B74=1,$B$11,IF(N(Vintage_Input!L22)&gt;0,Vintage_Input!AJ22/Vintage_Input!L22,""))</f>
        <v/>
      </c>
      <c r="AC74" s="152">
        <f>IF($B74=1,$C$11,IF(N(Vintage_Input!M22)&gt;0,Vintage_Input!AK22/Vintage_Input!M22,""))</f>
        <v/>
      </c>
      <c r="AD74" s="152">
        <f>IF($B74=1,$D$11,IF(N(Vintage_Input!N22)&gt;0,Vintage_Input!AL22/Vintage_Input!N22,""))</f>
        <v/>
      </c>
      <c r="AE74" s="152">
        <f>IF($B74=1,$E$11,IF(N(Vintage_Input!O22)&gt;0,Vintage_Input!AM22/Vintage_Input!O22,""))</f>
        <v/>
      </c>
      <c r="AF74" s="152">
        <f>IF($B74=1,$F$11,IF(N(Vintage_Input!P22)&gt;0,Vintage_Input!AN22/Vintage_Input!P22,""))</f>
        <v/>
      </c>
      <c r="AG74" s="152">
        <f>IF($B74=1,$G$11,IF(N(Vintage_Input!Q22)&gt;0,Vintage_Input!AO22/Vintage_Input!Q22,""))</f>
        <v/>
      </c>
      <c r="AH74" s="152">
        <f>IF($B74=1,$H$11,IF(N(Vintage_Input!R22)&gt;0,Vintage_Input!AP22/Vintage_Input!R22,""))</f>
        <v/>
      </c>
      <c r="AI74" s="152">
        <f>IF($B74=1,$I$11,IF(N(Vintage_Input!S22)&gt;0,Vintage_Input!AQ22/Vintage_Input!S22,""))</f>
        <v/>
      </c>
      <c r="AJ74" s="152">
        <f>IF($B74=1,$B$12,IF(N(Vintage_Input!L22)&gt;0,IFERROR(Vintage_Input!AR22/Vintage_Input!AJ22,""),""))</f>
        <v/>
      </c>
      <c r="AK74" s="152">
        <f>IF($B74=1,$C$12,IF(N(Vintage_Input!M22)&gt;0,IFERROR(Vintage_Input!AS22/Vintage_Input!AK22,""),""))</f>
        <v/>
      </c>
      <c r="AL74" s="152">
        <f>IF($B74=1,$D$12,IF(N(Vintage_Input!N22)&gt;0,IFERROR(Vintage_Input!AT22/Vintage_Input!AL22,""),""))</f>
        <v/>
      </c>
      <c r="AM74" s="152">
        <f>IF($B74=1,$E$12,IF(N(Vintage_Input!O22)&gt;0,IFERROR(Vintage_Input!AU22/Vintage_Input!AM22,""),""))</f>
        <v/>
      </c>
      <c r="AN74" s="152">
        <f>IF($B74=1,$F$12,IF(N(Vintage_Input!P22)&gt;0,IFERROR(Vintage_Input!AV22/Vintage_Input!AN22,""),""))</f>
        <v/>
      </c>
      <c r="AO74" s="152">
        <f>IF($B74=1,$G$12,IF(N(Vintage_Input!Q22)&gt;0,IFERROR(Vintage_Input!AW22/Vintage_Input!AO22,""),""))</f>
        <v/>
      </c>
      <c r="AP74" s="152">
        <f>IF($B74=1,$H$12,IF(N(Vintage_Input!R22)&gt;0,IFERROR(Vintage_Input!AX22/Vintage_Input!AP22,""),""))</f>
        <v/>
      </c>
      <c r="AQ74" s="152">
        <f>IF($B74=1,$I$12,IF(N(Vintage_Input!S22)&gt;0,IFERROR(Vintage_Input!AY22/Vintage_Input!AQ22,""),""))</f>
        <v/>
      </c>
      <c r="AR74" s="152">
        <f>IF($B74=1,$B$13,IF(N(Vintage_Input!L22)&gt;0,IFERROR(Vintage_Input!AZ22/$C74,""),""))</f>
        <v/>
      </c>
      <c r="AS74" s="152">
        <f>IF($B74=1,$C$13,IF(N(Vintage_Input!M22)&gt;0,IFERROR(Vintage_Input!BA22/$C74,""),""))</f>
        <v/>
      </c>
      <c r="AT74" s="152">
        <f>IF($B74=1,$D$13,IF(N(Vintage_Input!N22)&gt;0,IFERROR(Vintage_Input!BB22/$C74,""),""))</f>
        <v/>
      </c>
      <c r="AU74" s="152">
        <f>IF($B74=1,$E$13,IF(N(Vintage_Input!O22)&gt;0,IFERROR(Vintage_Input!BC22/$C74,""),""))</f>
        <v/>
      </c>
      <c r="AV74" s="152">
        <f>IF($B74=1,$F$13,IF(N(Vintage_Input!P22)&gt;0,IFERROR(Vintage_Input!BD22/$C74,""),""))</f>
        <v/>
      </c>
      <c r="AW74" s="152">
        <f>IF($B74=1,$G$13,IF(N(Vintage_Input!Q22)&gt;0,IFERROR(Vintage_Input!BE22/$C74,""),""))</f>
        <v/>
      </c>
      <c r="AX74" s="152">
        <f>IF($B74=1,$H$13,IF(N(Vintage_Input!R22)&gt;0,IFERROR(Vintage_Input!BF22/$C74,""),""))</f>
        <v/>
      </c>
      <c r="AY74" s="152">
        <f>IF($B74=1,$I$13,IF(N(Vintage_Input!S22)&gt;0,IFERROR(Vintage_Input!BG22/$C74,""),""))</f>
        <v/>
      </c>
      <c r="AZ74" s="153">
        <f>IF($B74=1,$B$14,IF(N(Vintage_Input!L22)&gt;0,IFERROR((Vintage_Input!D22+Vintage_Input!AR22)/$C74+Products!$C$14-(Products!$C$43+Products!$C$19+Products!$C$43*Products!$C$22+Products!$C$44),""),""))</f>
        <v/>
      </c>
      <c r="BA74" s="153">
        <f>IF($B74=1,$C$14,IF(N(Vintage_Input!M22)&gt;0,IFERROR((Vintage_Input!E22+Vintage_Input!AS22)/$C74+Products!$C$14-(Products!$C$43+Products!$C$19+Products!$C$43*Products!$C$22+Products!$C$44),""),""))</f>
        <v/>
      </c>
      <c r="BB74" s="153">
        <f>IF($B74=1,$D$14,IF(N(Vintage_Input!N22)&gt;0,IFERROR((Vintage_Input!F22+Vintage_Input!AT22)/$C74+Products!$C$14-(Products!$C$43+Products!$C$19+Products!$C$43*Products!$C$22+Products!$C$44),""),""))</f>
        <v/>
      </c>
      <c r="BC74" s="153">
        <f>IF($B74=1,$E$14,IF(N(Vintage_Input!O22)&gt;0,IFERROR((Vintage_Input!G22+Vintage_Input!AU22)/$C74+Products!$C$14-(Products!$C$43+Products!$C$19+Products!$C$43*Products!$C$22+Products!$C$44),""),""))</f>
        <v/>
      </c>
      <c r="BD74" s="153">
        <f>IF($B74=1,$F$14,IF(N(Vintage_Input!P22)&gt;0,IFERROR((Vintage_Input!H22+Vintage_Input!AV22)/$C74+Products!$C$14-(Products!$C$43+Products!$C$19+Products!$C$43*Products!$C$22+Products!$C$44),""),""))</f>
        <v/>
      </c>
      <c r="BE74" s="153">
        <f>IF($B74=1,$G$14,IF(N(Vintage_Input!Q22)&gt;0,IFERROR((Vintage_Input!I22+Vintage_Input!AW22)/$C74+Products!$C$14-(Products!$C$43+Products!$C$19+Products!$C$43*Products!$C$22+Products!$C$44),""),""))</f>
        <v/>
      </c>
      <c r="BF74" s="153">
        <f>IF($B74=1,$H$14,IF(N(Vintage_Input!R22)&gt;0,IFERROR((Vintage_Input!J22+Vintage_Input!AX22)/$C74+Products!$C$14-(Products!$C$43+Products!$C$19+Products!$C$43*Products!$C$22+Products!$C$44),""),""))</f>
        <v/>
      </c>
      <c r="BG74" s="153">
        <f>IF($B74=1,$I$14,IF(N(Vintage_Input!S22)&gt;0,IFERROR((Vintage_Input!K22+Vintage_Input!AY22)/$C74+Products!$C$14-(Products!$C$43+Products!$C$19+Products!$C$43*Products!$C$22+Products!$C$44),""),""))</f>
        <v/>
      </c>
      <c r="BH74" s="81">
        <f>IF($B74=1,0,IF(Vintage_Input!$BH$22="","",Vintage_Input!$BH$22))</f>
        <v/>
      </c>
    </row>
    <row r="75">
      <c r="A75" s="23" t="n">
        <v>15</v>
      </c>
      <c r="B75" s="48">
        <f>Vintage_Input!$B$23</f>
        <v/>
      </c>
      <c r="C75" s="41">
        <f>IF(Vintage_Input!$C$23="",0,Vintage_Input!$C$23)</f>
        <v/>
      </c>
      <c r="D75" s="152">
        <f>IF($B75=1,$B$8,IF(N(Vintage_Input!L23)&gt;0,Vintage_Input!D23/Vintage_Input!L23,""))</f>
        <v/>
      </c>
      <c r="E75" s="152">
        <f>IF($B75=1,$C$8,IF(N(Vintage_Input!M23)&gt;0,Vintage_Input!E23/Vintage_Input!M23,""))</f>
        <v/>
      </c>
      <c r="F75" s="152">
        <f>IF($B75=1,$D$8,IF(N(Vintage_Input!N23)&gt;0,Vintage_Input!F23/Vintage_Input!N23,""))</f>
        <v/>
      </c>
      <c r="G75" s="152">
        <f>IF($B75=1,$E$8,IF(N(Vintage_Input!O23)&gt;0,Vintage_Input!G23/Vintage_Input!O23,""))</f>
        <v/>
      </c>
      <c r="H75" s="152">
        <f>IF($B75=1,$F$8,IF(N(Vintage_Input!P23)&gt;0,Vintage_Input!H23/Vintage_Input!P23,""))</f>
        <v/>
      </c>
      <c r="I75" s="152">
        <f>IF($B75=1,$G$8,IF(N(Vintage_Input!Q23)&gt;0,Vintage_Input!I23/Vintage_Input!Q23,""))</f>
        <v/>
      </c>
      <c r="J75" s="152">
        <f>IF($B75=1,$H$8,IF(N(Vintage_Input!R23)&gt;0,Vintage_Input!J23/Vintage_Input!R23,""))</f>
        <v/>
      </c>
      <c r="K75" s="152">
        <f>IF($B75=1,$I$8,IF(N(Vintage_Input!S23)&gt;0,Vintage_Input!K23/Vintage_Input!S23,""))</f>
        <v/>
      </c>
      <c r="L75" s="152">
        <f>IF($B75=1,$B$9,IF(N(Vintage_Input!L23)&gt;0,Vintage_Input!T23/Vintage_Input!L23,""))</f>
        <v/>
      </c>
      <c r="M75" s="152">
        <f>IF($B75=1,$C$9,IF(N(Vintage_Input!M23)&gt;0,Vintage_Input!U23/Vintage_Input!M23,""))</f>
        <v/>
      </c>
      <c r="N75" s="152">
        <f>IF($B75=1,$D$9,IF(N(Vintage_Input!N23)&gt;0,Vintage_Input!V23/Vintage_Input!N23,""))</f>
        <v/>
      </c>
      <c r="O75" s="152">
        <f>IF($B75=1,$E$9,IF(N(Vintage_Input!O23)&gt;0,Vintage_Input!W23/Vintage_Input!O23,""))</f>
        <v/>
      </c>
      <c r="P75" s="152">
        <f>IF($B75=1,$F$9,IF(N(Vintage_Input!P23)&gt;0,Vintage_Input!X23/Vintage_Input!P23,""))</f>
        <v/>
      </c>
      <c r="Q75" s="152">
        <f>IF($B75=1,$G$9,IF(N(Vintage_Input!Q23)&gt;0,Vintage_Input!Y23/Vintage_Input!Q23,""))</f>
        <v/>
      </c>
      <c r="R75" s="152">
        <f>IF($B75=1,$H$9,IF(N(Vintage_Input!R23)&gt;0,Vintage_Input!Z23/Vintage_Input!R23,""))</f>
        <v/>
      </c>
      <c r="S75" s="152">
        <f>IF($B75=1,$I$9,IF(N(Vintage_Input!S23)&gt;0,Vintage_Input!AA23/Vintage_Input!S23,""))</f>
        <v/>
      </c>
      <c r="T75" s="152">
        <f>IF($B75=1,$B$10,IF(N(Vintage_Input!L23)&gt;0,Vintage_Input!AB23/Vintage_Input!L23,""))</f>
        <v/>
      </c>
      <c r="U75" s="152">
        <f>IF($B75=1,$C$10,IF(N(Vintage_Input!M23)&gt;0,Vintage_Input!AC23/Vintage_Input!M23,""))</f>
        <v/>
      </c>
      <c r="V75" s="152">
        <f>IF($B75=1,$D$10,IF(N(Vintage_Input!N23)&gt;0,Vintage_Input!AD23/Vintage_Input!N23,""))</f>
        <v/>
      </c>
      <c r="W75" s="152">
        <f>IF($B75=1,$E$10,IF(N(Vintage_Input!O23)&gt;0,Vintage_Input!AE23/Vintage_Input!O23,""))</f>
        <v/>
      </c>
      <c r="X75" s="152">
        <f>IF($B75=1,$F$10,IF(N(Vintage_Input!P23)&gt;0,Vintage_Input!AF23/Vintage_Input!P23,""))</f>
        <v/>
      </c>
      <c r="Y75" s="152">
        <f>IF($B75=1,$G$10,IF(N(Vintage_Input!Q23)&gt;0,Vintage_Input!AG23/Vintage_Input!Q23,""))</f>
        <v/>
      </c>
      <c r="Z75" s="152">
        <f>IF($B75=1,$H$10,IF(N(Vintage_Input!R23)&gt;0,Vintage_Input!AH23/Vintage_Input!R23,""))</f>
        <v/>
      </c>
      <c r="AA75" s="152">
        <f>IF($B75=1,$I$10,IF(N(Vintage_Input!S23)&gt;0,Vintage_Input!AI23/Vintage_Input!S23,""))</f>
        <v/>
      </c>
      <c r="AB75" s="152">
        <f>IF($B75=1,$B$11,IF(N(Vintage_Input!L23)&gt;0,Vintage_Input!AJ23/Vintage_Input!L23,""))</f>
        <v/>
      </c>
      <c r="AC75" s="152">
        <f>IF($B75=1,$C$11,IF(N(Vintage_Input!M23)&gt;0,Vintage_Input!AK23/Vintage_Input!M23,""))</f>
        <v/>
      </c>
      <c r="AD75" s="152">
        <f>IF($B75=1,$D$11,IF(N(Vintage_Input!N23)&gt;0,Vintage_Input!AL23/Vintage_Input!N23,""))</f>
        <v/>
      </c>
      <c r="AE75" s="152">
        <f>IF($B75=1,$E$11,IF(N(Vintage_Input!O23)&gt;0,Vintage_Input!AM23/Vintage_Input!O23,""))</f>
        <v/>
      </c>
      <c r="AF75" s="152">
        <f>IF($B75=1,$F$11,IF(N(Vintage_Input!P23)&gt;0,Vintage_Input!AN23/Vintage_Input!P23,""))</f>
        <v/>
      </c>
      <c r="AG75" s="152">
        <f>IF($B75=1,$G$11,IF(N(Vintage_Input!Q23)&gt;0,Vintage_Input!AO23/Vintage_Input!Q23,""))</f>
        <v/>
      </c>
      <c r="AH75" s="152">
        <f>IF($B75=1,$H$11,IF(N(Vintage_Input!R23)&gt;0,Vintage_Input!AP23/Vintage_Input!R23,""))</f>
        <v/>
      </c>
      <c r="AI75" s="152">
        <f>IF($B75=1,$I$11,IF(N(Vintage_Input!S23)&gt;0,Vintage_Input!AQ23/Vintage_Input!S23,""))</f>
        <v/>
      </c>
      <c r="AJ75" s="152">
        <f>IF($B75=1,$B$12,IF(N(Vintage_Input!L23)&gt;0,IFERROR(Vintage_Input!AR23/Vintage_Input!AJ23,""),""))</f>
        <v/>
      </c>
      <c r="AK75" s="152">
        <f>IF($B75=1,$C$12,IF(N(Vintage_Input!M23)&gt;0,IFERROR(Vintage_Input!AS23/Vintage_Input!AK23,""),""))</f>
        <v/>
      </c>
      <c r="AL75" s="152">
        <f>IF($B75=1,$D$12,IF(N(Vintage_Input!N23)&gt;0,IFERROR(Vintage_Input!AT23/Vintage_Input!AL23,""),""))</f>
        <v/>
      </c>
      <c r="AM75" s="152">
        <f>IF($B75=1,$E$12,IF(N(Vintage_Input!O23)&gt;0,IFERROR(Vintage_Input!AU23/Vintage_Input!AM23,""),""))</f>
        <v/>
      </c>
      <c r="AN75" s="152">
        <f>IF($B75=1,$F$12,IF(N(Vintage_Input!P23)&gt;0,IFERROR(Vintage_Input!AV23/Vintage_Input!AN23,""),""))</f>
        <v/>
      </c>
      <c r="AO75" s="152">
        <f>IF($B75=1,$G$12,IF(N(Vintage_Input!Q23)&gt;0,IFERROR(Vintage_Input!AW23/Vintage_Input!AO23,""),""))</f>
        <v/>
      </c>
      <c r="AP75" s="152">
        <f>IF($B75=1,$H$12,IF(N(Vintage_Input!R23)&gt;0,IFERROR(Vintage_Input!AX23/Vintage_Input!AP23,""),""))</f>
        <v/>
      </c>
      <c r="AQ75" s="152">
        <f>IF($B75=1,$I$12,IF(N(Vintage_Input!S23)&gt;0,IFERROR(Vintage_Input!AY23/Vintage_Input!AQ23,""),""))</f>
        <v/>
      </c>
      <c r="AR75" s="152">
        <f>IF($B75=1,$B$13,IF(N(Vintage_Input!L23)&gt;0,IFERROR(Vintage_Input!AZ23/$C75,""),""))</f>
        <v/>
      </c>
      <c r="AS75" s="152">
        <f>IF($B75=1,$C$13,IF(N(Vintage_Input!M23)&gt;0,IFERROR(Vintage_Input!BA23/$C75,""),""))</f>
        <v/>
      </c>
      <c r="AT75" s="152">
        <f>IF($B75=1,$D$13,IF(N(Vintage_Input!N23)&gt;0,IFERROR(Vintage_Input!BB23/$C75,""),""))</f>
        <v/>
      </c>
      <c r="AU75" s="152">
        <f>IF($B75=1,$E$13,IF(N(Vintage_Input!O23)&gt;0,IFERROR(Vintage_Input!BC23/$C75,""),""))</f>
        <v/>
      </c>
      <c r="AV75" s="152">
        <f>IF($B75=1,$F$13,IF(N(Vintage_Input!P23)&gt;0,IFERROR(Vintage_Input!BD23/$C75,""),""))</f>
        <v/>
      </c>
      <c r="AW75" s="152">
        <f>IF($B75=1,$G$13,IF(N(Vintage_Input!Q23)&gt;0,IFERROR(Vintage_Input!BE23/$C75,""),""))</f>
        <v/>
      </c>
      <c r="AX75" s="152">
        <f>IF($B75=1,$H$13,IF(N(Vintage_Input!R23)&gt;0,IFERROR(Vintage_Input!BF23/$C75,""),""))</f>
        <v/>
      </c>
      <c r="AY75" s="152">
        <f>IF($B75=1,$I$13,IF(N(Vintage_Input!S23)&gt;0,IFERROR(Vintage_Input!BG23/$C75,""),""))</f>
        <v/>
      </c>
      <c r="AZ75" s="153">
        <f>IF($B75=1,$B$14,IF(N(Vintage_Input!L23)&gt;0,IFERROR((Vintage_Input!D23+Vintage_Input!AR23)/$C75+Products!$C$14-(Products!$C$43+Products!$C$19+Products!$C$43*Products!$C$22+Products!$C$44),""),""))</f>
        <v/>
      </c>
      <c r="BA75" s="153">
        <f>IF($B75=1,$C$14,IF(N(Vintage_Input!M23)&gt;0,IFERROR((Vintage_Input!E23+Vintage_Input!AS23)/$C75+Products!$C$14-(Products!$C$43+Products!$C$19+Products!$C$43*Products!$C$22+Products!$C$44),""),""))</f>
        <v/>
      </c>
      <c r="BB75" s="153">
        <f>IF($B75=1,$D$14,IF(N(Vintage_Input!N23)&gt;0,IFERROR((Vintage_Input!F23+Vintage_Input!AT23)/$C75+Products!$C$14-(Products!$C$43+Products!$C$19+Products!$C$43*Products!$C$22+Products!$C$44),""),""))</f>
        <v/>
      </c>
      <c r="BC75" s="153">
        <f>IF($B75=1,$E$14,IF(N(Vintage_Input!O23)&gt;0,IFERROR((Vintage_Input!G23+Vintage_Input!AU23)/$C75+Products!$C$14-(Products!$C$43+Products!$C$19+Products!$C$43*Products!$C$22+Products!$C$44),""),""))</f>
        <v/>
      </c>
      <c r="BD75" s="153">
        <f>IF($B75=1,$F$14,IF(N(Vintage_Input!P23)&gt;0,IFERROR((Vintage_Input!H23+Vintage_Input!AV23)/$C75+Products!$C$14-(Products!$C$43+Products!$C$19+Products!$C$43*Products!$C$22+Products!$C$44),""),""))</f>
        <v/>
      </c>
      <c r="BE75" s="153">
        <f>IF($B75=1,$G$14,IF(N(Vintage_Input!Q23)&gt;0,IFERROR((Vintage_Input!I23+Vintage_Input!AW23)/$C75+Products!$C$14-(Products!$C$43+Products!$C$19+Products!$C$43*Products!$C$22+Products!$C$44),""),""))</f>
        <v/>
      </c>
      <c r="BF75" s="153">
        <f>IF($B75=1,$H$14,IF(N(Vintage_Input!R23)&gt;0,IFERROR((Vintage_Input!J23+Vintage_Input!AX23)/$C75+Products!$C$14-(Products!$C$43+Products!$C$19+Products!$C$43*Products!$C$22+Products!$C$44),""),""))</f>
        <v/>
      </c>
      <c r="BG75" s="153">
        <f>IF($B75=1,$I$14,IF(N(Vintage_Input!S23)&gt;0,IFERROR((Vintage_Input!K23+Vintage_Input!AY23)/$C75+Products!$C$14-(Products!$C$43+Products!$C$19+Products!$C$43*Products!$C$22+Products!$C$44),""),""))</f>
        <v/>
      </c>
      <c r="BH75" s="81">
        <f>IF($B75=1,0,IF(Vintage_Input!$BH$23="","",Vintage_Input!$BH$23))</f>
        <v/>
      </c>
    </row>
    <row r="76">
      <c r="A76" s="23" t="n">
        <v>16</v>
      </c>
      <c r="B76" s="48">
        <f>Vintage_Input!$B$24</f>
        <v/>
      </c>
      <c r="C76" s="41">
        <f>IF(Vintage_Input!$C$24="",0,Vintage_Input!$C$24)</f>
        <v/>
      </c>
      <c r="D76" s="152">
        <f>IF($B76=1,$B$8,IF(N(Vintage_Input!L24)&gt;0,Vintage_Input!D24/Vintage_Input!L24,""))</f>
        <v/>
      </c>
      <c r="E76" s="152">
        <f>IF($B76=1,$C$8,IF(N(Vintage_Input!M24)&gt;0,Vintage_Input!E24/Vintage_Input!M24,""))</f>
        <v/>
      </c>
      <c r="F76" s="152">
        <f>IF($B76=1,$D$8,IF(N(Vintage_Input!N24)&gt;0,Vintage_Input!F24/Vintage_Input!N24,""))</f>
        <v/>
      </c>
      <c r="G76" s="152">
        <f>IF($B76=1,$E$8,IF(N(Vintage_Input!O24)&gt;0,Vintage_Input!G24/Vintage_Input!O24,""))</f>
        <v/>
      </c>
      <c r="H76" s="152">
        <f>IF($B76=1,$F$8,IF(N(Vintage_Input!P24)&gt;0,Vintage_Input!H24/Vintage_Input!P24,""))</f>
        <v/>
      </c>
      <c r="I76" s="152">
        <f>IF($B76=1,$G$8,IF(N(Vintage_Input!Q24)&gt;0,Vintage_Input!I24/Vintage_Input!Q24,""))</f>
        <v/>
      </c>
      <c r="J76" s="152">
        <f>IF($B76=1,$H$8,IF(N(Vintage_Input!R24)&gt;0,Vintage_Input!J24/Vintage_Input!R24,""))</f>
        <v/>
      </c>
      <c r="K76" s="152">
        <f>IF($B76=1,$I$8,IF(N(Vintage_Input!S24)&gt;0,Vintage_Input!K24/Vintage_Input!S24,""))</f>
        <v/>
      </c>
      <c r="L76" s="152">
        <f>IF($B76=1,$B$9,IF(N(Vintage_Input!L24)&gt;0,Vintage_Input!T24/Vintage_Input!L24,""))</f>
        <v/>
      </c>
      <c r="M76" s="152">
        <f>IF($B76=1,$C$9,IF(N(Vintage_Input!M24)&gt;0,Vintage_Input!U24/Vintage_Input!M24,""))</f>
        <v/>
      </c>
      <c r="N76" s="152">
        <f>IF($B76=1,$D$9,IF(N(Vintage_Input!N24)&gt;0,Vintage_Input!V24/Vintage_Input!N24,""))</f>
        <v/>
      </c>
      <c r="O76" s="152">
        <f>IF($B76=1,$E$9,IF(N(Vintage_Input!O24)&gt;0,Vintage_Input!W24/Vintage_Input!O24,""))</f>
        <v/>
      </c>
      <c r="P76" s="152">
        <f>IF($B76=1,$F$9,IF(N(Vintage_Input!P24)&gt;0,Vintage_Input!X24/Vintage_Input!P24,""))</f>
        <v/>
      </c>
      <c r="Q76" s="152">
        <f>IF($B76=1,$G$9,IF(N(Vintage_Input!Q24)&gt;0,Vintage_Input!Y24/Vintage_Input!Q24,""))</f>
        <v/>
      </c>
      <c r="R76" s="152">
        <f>IF($B76=1,$H$9,IF(N(Vintage_Input!R24)&gt;0,Vintage_Input!Z24/Vintage_Input!R24,""))</f>
        <v/>
      </c>
      <c r="S76" s="152">
        <f>IF($B76=1,$I$9,IF(N(Vintage_Input!S24)&gt;0,Vintage_Input!AA24/Vintage_Input!S24,""))</f>
        <v/>
      </c>
      <c r="T76" s="152">
        <f>IF($B76=1,$B$10,IF(N(Vintage_Input!L24)&gt;0,Vintage_Input!AB24/Vintage_Input!L24,""))</f>
        <v/>
      </c>
      <c r="U76" s="152">
        <f>IF($B76=1,$C$10,IF(N(Vintage_Input!M24)&gt;0,Vintage_Input!AC24/Vintage_Input!M24,""))</f>
        <v/>
      </c>
      <c r="V76" s="152">
        <f>IF($B76=1,$D$10,IF(N(Vintage_Input!N24)&gt;0,Vintage_Input!AD24/Vintage_Input!N24,""))</f>
        <v/>
      </c>
      <c r="W76" s="152">
        <f>IF($B76=1,$E$10,IF(N(Vintage_Input!O24)&gt;0,Vintage_Input!AE24/Vintage_Input!O24,""))</f>
        <v/>
      </c>
      <c r="X76" s="152">
        <f>IF($B76=1,$F$10,IF(N(Vintage_Input!P24)&gt;0,Vintage_Input!AF24/Vintage_Input!P24,""))</f>
        <v/>
      </c>
      <c r="Y76" s="152">
        <f>IF($B76=1,$G$10,IF(N(Vintage_Input!Q24)&gt;0,Vintage_Input!AG24/Vintage_Input!Q24,""))</f>
        <v/>
      </c>
      <c r="Z76" s="152">
        <f>IF($B76=1,$H$10,IF(N(Vintage_Input!R24)&gt;0,Vintage_Input!AH24/Vintage_Input!R24,""))</f>
        <v/>
      </c>
      <c r="AA76" s="152">
        <f>IF($B76=1,$I$10,IF(N(Vintage_Input!S24)&gt;0,Vintage_Input!AI24/Vintage_Input!S24,""))</f>
        <v/>
      </c>
      <c r="AB76" s="152">
        <f>IF($B76=1,$B$11,IF(N(Vintage_Input!L24)&gt;0,Vintage_Input!AJ24/Vintage_Input!L24,""))</f>
        <v/>
      </c>
      <c r="AC76" s="152">
        <f>IF($B76=1,$C$11,IF(N(Vintage_Input!M24)&gt;0,Vintage_Input!AK24/Vintage_Input!M24,""))</f>
        <v/>
      </c>
      <c r="AD76" s="152">
        <f>IF($B76=1,$D$11,IF(N(Vintage_Input!N24)&gt;0,Vintage_Input!AL24/Vintage_Input!N24,""))</f>
        <v/>
      </c>
      <c r="AE76" s="152">
        <f>IF($B76=1,$E$11,IF(N(Vintage_Input!O24)&gt;0,Vintage_Input!AM24/Vintage_Input!O24,""))</f>
        <v/>
      </c>
      <c r="AF76" s="152">
        <f>IF($B76=1,$F$11,IF(N(Vintage_Input!P24)&gt;0,Vintage_Input!AN24/Vintage_Input!P24,""))</f>
        <v/>
      </c>
      <c r="AG76" s="152">
        <f>IF($B76=1,$G$11,IF(N(Vintage_Input!Q24)&gt;0,Vintage_Input!AO24/Vintage_Input!Q24,""))</f>
        <v/>
      </c>
      <c r="AH76" s="152">
        <f>IF($B76=1,$H$11,IF(N(Vintage_Input!R24)&gt;0,Vintage_Input!AP24/Vintage_Input!R24,""))</f>
        <v/>
      </c>
      <c r="AI76" s="152">
        <f>IF($B76=1,$I$11,IF(N(Vintage_Input!S24)&gt;0,Vintage_Input!AQ24/Vintage_Input!S24,""))</f>
        <v/>
      </c>
      <c r="AJ76" s="152">
        <f>IF($B76=1,$B$12,IF(N(Vintage_Input!L24)&gt;0,IFERROR(Vintage_Input!AR24/Vintage_Input!AJ24,""),""))</f>
        <v/>
      </c>
      <c r="AK76" s="152">
        <f>IF($B76=1,$C$12,IF(N(Vintage_Input!M24)&gt;0,IFERROR(Vintage_Input!AS24/Vintage_Input!AK24,""),""))</f>
        <v/>
      </c>
      <c r="AL76" s="152">
        <f>IF($B76=1,$D$12,IF(N(Vintage_Input!N24)&gt;0,IFERROR(Vintage_Input!AT24/Vintage_Input!AL24,""),""))</f>
        <v/>
      </c>
      <c r="AM76" s="152">
        <f>IF($B76=1,$E$12,IF(N(Vintage_Input!O24)&gt;0,IFERROR(Vintage_Input!AU24/Vintage_Input!AM24,""),""))</f>
        <v/>
      </c>
      <c r="AN76" s="152">
        <f>IF($B76=1,$F$12,IF(N(Vintage_Input!P24)&gt;0,IFERROR(Vintage_Input!AV24/Vintage_Input!AN24,""),""))</f>
        <v/>
      </c>
      <c r="AO76" s="152">
        <f>IF($B76=1,$G$12,IF(N(Vintage_Input!Q24)&gt;0,IFERROR(Vintage_Input!AW24/Vintage_Input!AO24,""),""))</f>
        <v/>
      </c>
      <c r="AP76" s="152">
        <f>IF($B76=1,$H$12,IF(N(Vintage_Input!R24)&gt;0,IFERROR(Vintage_Input!AX24/Vintage_Input!AP24,""),""))</f>
        <v/>
      </c>
      <c r="AQ76" s="152">
        <f>IF($B76=1,$I$12,IF(N(Vintage_Input!S24)&gt;0,IFERROR(Vintage_Input!AY24/Vintage_Input!AQ24,""),""))</f>
        <v/>
      </c>
      <c r="AR76" s="152">
        <f>IF($B76=1,$B$13,IF(N(Vintage_Input!L24)&gt;0,IFERROR(Vintage_Input!AZ24/$C76,""),""))</f>
        <v/>
      </c>
      <c r="AS76" s="152">
        <f>IF($B76=1,$C$13,IF(N(Vintage_Input!M24)&gt;0,IFERROR(Vintage_Input!BA24/$C76,""),""))</f>
        <v/>
      </c>
      <c r="AT76" s="152">
        <f>IF($B76=1,$D$13,IF(N(Vintage_Input!N24)&gt;0,IFERROR(Vintage_Input!BB24/$C76,""),""))</f>
        <v/>
      </c>
      <c r="AU76" s="152">
        <f>IF($B76=1,$E$13,IF(N(Vintage_Input!O24)&gt;0,IFERROR(Vintage_Input!BC24/$C76,""),""))</f>
        <v/>
      </c>
      <c r="AV76" s="152">
        <f>IF($B76=1,$F$13,IF(N(Vintage_Input!P24)&gt;0,IFERROR(Vintage_Input!BD24/$C76,""),""))</f>
        <v/>
      </c>
      <c r="AW76" s="152">
        <f>IF($B76=1,$G$13,IF(N(Vintage_Input!Q24)&gt;0,IFERROR(Vintage_Input!BE24/$C76,""),""))</f>
        <v/>
      </c>
      <c r="AX76" s="152">
        <f>IF($B76=1,$H$13,IF(N(Vintage_Input!R24)&gt;0,IFERROR(Vintage_Input!BF24/$C76,""),""))</f>
        <v/>
      </c>
      <c r="AY76" s="152">
        <f>IF($B76=1,$I$13,IF(N(Vintage_Input!S24)&gt;0,IFERROR(Vintage_Input!BG24/$C76,""),""))</f>
        <v/>
      </c>
      <c r="AZ76" s="153">
        <f>IF($B76=1,$B$14,IF(N(Vintage_Input!L24)&gt;0,IFERROR((Vintage_Input!D24+Vintage_Input!AR24)/$C76+Products!$C$14-(Products!$C$43+Products!$C$19+Products!$C$43*Products!$C$22+Products!$C$44),""),""))</f>
        <v/>
      </c>
      <c r="BA76" s="153">
        <f>IF($B76=1,$C$14,IF(N(Vintage_Input!M24)&gt;0,IFERROR((Vintage_Input!E24+Vintage_Input!AS24)/$C76+Products!$C$14-(Products!$C$43+Products!$C$19+Products!$C$43*Products!$C$22+Products!$C$44),""),""))</f>
        <v/>
      </c>
      <c r="BB76" s="153">
        <f>IF($B76=1,$D$14,IF(N(Vintage_Input!N24)&gt;0,IFERROR((Vintage_Input!F24+Vintage_Input!AT24)/$C76+Products!$C$14-(Products!$C$43+Products!$C$19+Products!$C$43*Products!$C$22+Products!$C$44),""),""))</f>
        <v/>
      </c>
      <c r="BC76" s="153">
        <f>IF($B76=1,$E$14,IF(N(Vintage_Input!O24)&gt;0,IFERROR((Vintage_Input!G24+Vintage_Input!AU24)/$C76+Products!$C$14-(Products!$C$43+Products!$C$19+Products!$C$43*Products!$C$22+Products!$C$44),""),""))</f>
        <v/>
      </c>
      <c r="BD76" s="153">
        <f>IF($B76=1,$F$14,IF(N(Vintage_Input!P24)&gt;0,IFERROR((Vintage_Input!H24+Vintage_Input!AV24)/$C76+Products!$C$14-(Products!$C$43+Products!$C$19+Products!$C$43*Products!$C$22+Products!$C$44),""),""))</f>
        <v/>
      </c>
      <c r="BE76" s="153">
        <f>IF($B76=1,$G$14,IF(N(Vintage_Input!Q24)&gt;0,IFERROR((Vintage_Input!I24+Vintage_Input!AW24)/$C76+Products!$C$14-(Products!$C$43+Products!$C$19+Products!$C$43*Products!$C$22+Products!$C$44),""),""))</f>
        <v/>
      </c>
      <c r="BF76" s="153">
        <f>IF($B76=1,$H$14,IF(N(Vintage_Input!R24)&gt;0,IFERROR((Vintage_Input!J24+Vintage_Input!AX24)/$C76+Products!$C$14-(Products!$C$43+Products!$C$19+Products!$C$43*Products!$C$22+Products!$C$44),""),""))</f>
        <v/>
      </c>
      <c r="BG76" s="153">
        <f>IF($B76=1,$I$14,IF(N(Vintage_Input!S24)&gt;0,IFERROR((Vintage_Input!K24+Vintage_Input!AY24)/$C76+Products!$C$14-(Products!$C$43+Products!$C$19+Products!$C$43*Products!$C$22+Products!$C$44),""),""))</f>
        <v/>
      </c>
      <c r="BH76" s="81">
        <f>IF($B76=1,0,IF(Vintage_Input!$BH$24="","",Vintage_Input!$BH$24))</f>
        <v/>
      </c>
    </row>
    <row r="77">
      <c r="A77" s="23" t="n">
        <v>17</v>
      </c>
      <c r="B77" s="48">
        <f>Vintage_Input!$B$25</f>
        <v/>
      </c>
      <c r="C77" s="41">
        <f>IF(Vintage_Input!$C$25="",0,Vintage_Input!$C$25)</f>
        <v/>
      </c>
      <c r="D77" s="152">
        <f>IF($B77=1,$B$8,IF(N(Vintage_Input!L25)&gt;0,Vintage_Input!D25/Vintage_Input!L25,""))</f>
        <v/>
      </c>
      <c r="E77" s="152">
        <f>IF($B77=1,$C$8,IF(N(Vintage_Input!M25)&gt;0,Vintage_Input!E25/Vintage_Input!M25,""))</f>
        <v/>
      </c>
      <c r="F77" s="152">
        <f>IF($B77=1,$D$8,IF(N(Vintage_Input!N25)&gt;0,Vintage_Input!F25/Vintage_Input!N25,""))</f>
        <v/>
      </c>
      <c r="G77" s="152">
        <f>IF($B77=1,$E$8,IF(N(Vintage_Input!O25)&gt;0,Vintage_Input!G25/Vintage_Input!O25,""))</f>
        <v/>
      </c>
      <c r="H77" s="152">
        <f>IF($B77=1,$F$8,IF(N(Vintage_Input!P25)&gt;0,Vintage_Input!H25/Vintage_Input!P25,""))</f>
        <v/>
      </c>
      <c r="I77" s="152">
        <f>IF($B77=1,$G$8,IF(N(Vintage_Input!Q25)&gt;0,Vintage_Input!I25/Vintage_Input!Q25,""))</f>
        <v/>
      </c>
      <c r="J77" s="152">
        <f>IF($B77=1,$H$8,IF(N(Vintage_Input!R25)&gt;0,Vintage_Input!J25/Vintage_Input!R25,""))</f>
        <v/>
      </c>
      <c r="K77" s="152">
        <f>IF($B77=1,$I$8,IF(N(Vintage_Input!S25)&gt;0,Vintage_Input!K25/Vintage_Input!S25,""))</f>
        <v/>
      </c>
      <c r="L77" s="152">
        <f>IF($B77=1,$B$9,IF(N(Vintage_Input!L25)&gt;0,Vintage_Input!T25/Vintage_Input!L25,""))</f>
        <v/>
      </c>
      <c r="M77" s="152">
        <f>IF($B77=1,$C$9,IF(N(Vintage_Input!M25)&gt;0,Vintage_Input!U25/Vintage_Input!M25,""))</f>
        <v/>
      </c>
      <c r="N77" s="152">
        <f>IF($B77=1,$D$9,IF(N(Vintage_Input!N25)&gt;0,Vintage_Input!V25/Vintage_Input!N25,""))</f>
        <v/>
      </c>
      <c r="O77" s="152">
        <f>IF($B77=1,$E$9,IF(N(Vintage_Input!O25)&gt;0,Vintage_Input!W25/Vintage_Input!O25,""))</f>
        <v/>
      </c>
      <c r="P77" s="152">
        <f>IF($B77=1,$F$9,IF(N(Vintage_Input!P25)&gt;0,Vintage_Input!X25/Vintage_Input!P25,""))</f>
        <v/>
      </c>
      <c r="Q77" s="152">
        <f>IF($B77=1,$G$9,IF(N(Vintage_Input!Q25)&gt;0,Vintage_Input!Y25/Vintage_Input!Q25,""))</f>
        <v/>
      </c>
      <c r="R77" s="152">
        <f>IF($B77=1,$H$9,IF(N(Vintage_Input!R25)&gt;0,Vintage_Input!Z25/Vintage_Input!R25,""))</f>
        <v/>
      </c>
      <c r="S77" s="152">
        <f>IF($B77=1,$I$9,IF(N(Vintage_Input!S25)&gt;0,Vintage_Input!AA25/Vintage_Input!S25,""))</f>
        <v/>
      </c>
      <c r="T77" s="152">
        <f>IF($B77=1,$B$10,IF(N(Vintage_Input!L25)&gt;0,Vintage_Input!AB25/Vintage_Input!L25,""))</f>
        <v/>
      </c>
      <c r="U77" s="152">
        <f>IF($B77=1,$C$10,IF(N(Vintage_Input!M25)&gt;0,Vintage_Input!AC25/Vintage_Input!M25,""))</f>
        <v/>
      </c>
      <c r="V77" s="152">
        <f>IF($B77=1,$D$10,IF(N(Vintage_Input!N25)&gt;0,Vintage_Input!AD25/Vintage_Input!N25,""))</f>
        <v/>
      </c>
      <c r="W77" s="152">
        <f>IF($B77=1,$E$10,IF(N(Vintage_Input!O25)&gt;0,Vintage_Input!AE25/Vintage_Input!O25,""))</f>
        <v/>
      </c>
      <c r="X77" s="152">
        <f>IF($B77=1,$F$10,IF(N(Vintage_Input!P25)&gt;0,Vintage_Input!AF25/Vintage_Input!P25,""))</f>
        <v/>
      </c>
      <c r="Y77" s="152">
        <f>IF($B77=1,$G$10,IF(N(Vintage_Input!Q25)&gt;0,Vintage_Input!AG25/Vintage_Input!Q25,""))</f>
        <v/>
      </c>
      <c r="Z77" s="152">
        <f>IF($B77=1,$H$10,IF(N(Vintage_Input!R25)&gt;0,Vintage_Input!AH25/Vintage_Input!R25,""))</f>
        <v/>
      </c>
      <c r="AA77" s="152">
        <f>IF($B77=1,$I$10,IF(N(Vintage_Input!S25)&gt;0,Vintage_Input!AI25/Vintage_Input!S25,""))</f>
        <v/>
      </c>
      <c r="AB77" s="152">
        <f>IF($B77=1,$B$11,IF(N(Vintage_Input!L25)&gt;0,Vintage_Input!AJ25/Vintage_Input!L25,""))</f>
        <v/>
      </c>
      <c r="AC77" s="152">
        <f>IF($B77=1,$C$11,IF(N(Vintage_Input!M25)&gt;0,Vintage_Input!AK25/Vintage_Input!M25,""))</f>
        <v/>
      </c>
      <c r="AD77" s="152">
        <f>IF($B77=1,$D$11,IF(N(Vintage_Input!N25)&gt;0,Vintage_Input!AL25/Vintage_Input!N25,""))</f>
        <v/>
      </c>
      <c r="AE77" s="152">
        <f>IF($B77=1,$E$11,IF(N(Vintage_Input!O25)&gt;0,Vintage_Input!AM25/Vintage_Input!O25,""))</f>
        <v/>
      </c>
      <c r="AF77" s="152">
        <f>IF($B77=1,$F$11,IF(N(Vintage_Input!P25)&gt;0,Vintage_Input!AN25/Vintage_Input!P25,""))</f>
        <v/>
      </c>
      <c r="AG77" s="152">
        <f>IF($B77=1,$G$11,IF(N(Vintage_Input!Q25)&gt;0,Vintage_Input!AO25/Vintage_Input!Q25,""))</f>
        <v/>
      </c>
      <c r="AH77" s="152">
        <f>IF($B77=1,$H$11,IF(N(Vintage_Input!R25)&gt;0,Vintage_Input!AP25/Vintage_Input!R25,""))</f>
        <v/>
      </c>
      <c r="AI77" s="152">
        <f>IF($B77=1,$I$11,IF(N(Vintage_Input!S25)&gt;0,Vintage_Input!AQ25/Vintage_Input!S25,""))</f>
        <v/>
      </c>
      <c r="AJ77" s="152">
        <f>IF($B77=1,$B$12,IF(N(Vintage_Input!L25)&gt;0,IFERROR(Vintage_Input!AR25/Vintage_Input!AJ25,""),""))</f>
        <v/>
      </c>
      <c r="AK77" s="152">
        <f>IF($B77=1,$C$12,IF(N(Vintage_Input!M25)&gt;0,IFERROR(Vintage_Input!AS25/Vintage_Input!AK25,""),""))</f>
        <v/>
      </c>
      <c r="AL77" s="152">
        <f>IF($B77=1,$D$12,IF(N(Vintage_Input!N25)&gt;0,IFERROR(Vintage_Input!AT25/Vintage_Input!AL25,""),""))</f>
        <v/>
      </c>
      <c r="AM77" s="152">
        <f>IF($B77=1,$E$12,IF(N(Vintage_Input!O25)&gt;0,IFERROR(Vintage_Input!AU25/Vintage_Input!AM25,""),""))</f>
        <v/>
      </c>
      <c r="AN77" s="152">
        <f>IF($B77=1,$F$12,IF(N(Vintage_Input!P25)&gt;0,IFERROR(Vintage_Input!AV25/Vintage_Input!AN25,""),""))</f>
        <v/>
      </c>
      <c r="AO77" s="152">
        <f>IF($B77=1,$G$12,IF(N(Vintage_Input!Q25)&gt;0,IFERROR(Vintage_Input!AW25/Vintage_Input!AO25,""),""))</f>
        <v/>
      </c>
      <c r="AP77" s="152">
        <f>IF($B77=1,$H$12,IF(N(Vintage_Input!R25)&gt;0,IFERROR(Vintage_Input!AX25/Vintage_Input!AP25,""),""))</f>
        <v/>
      </c>
      <c r="AQ77" s="152">
        <f>IF($B77=1,$I$12,IF(N(Vintage_Input!S25)&gt;0,IFERROR(Vintage_Input!AY25/Vintage_Input!AQ25,""),""))</f>
        <v/>
      </c>
      <c r="AR77" s="152">
        <f>IF($B77=1,$B$13,IF(N(Vintage_Input!L25)&gt;0,IFERROR(Vintage_Input!AZ25/$C77,""),""))</f>
        <v/>
      </c>
      <c r="AS77" s="152">
        <f>IF($B77=1,$C$13,IF(N(Vintage_Input!M25)&gt;0,IFERROR(Vintage_Input!BA25/$C77,""),""))</f>
        <v/>
      </c>
      <c r="AT77" s="152">
        <f>IF($B77=1,$D$13,IF(N(Vintage_Input!N25)&gt;0,IFERROR(Vintage_Input!BB25/$C77,""),""))</f>
        <v/>
      </c>
      <c r="AU77" s="152">
        <f>IF($B77=1,$E$13,IF(N(Vintage_Input!O25)&gt;0,IFERROR(Vintage_Input!BC25/$C77,""),""))</f>
        <v/>
      </c>
      <c r="AV77" s="152">
        <f>IF($B77=1,$F$13,IF(N(Vintage_Input!P25)&gt;0,IFERROR(Vintage_Input!BD25/$C77,""),""))</f>
        <v/>
      </c>
      <c r="AW77" s="152">
        <f>IF($B77=1,$G$13,IF(N(Vintage_Input!Q25)&gt;0,IFERROR(Vintage_Input!BE25/$C77,""),""))</f>
        <v/>
      </c>
      <c r="AX77" s="152">
        <f>IF($B77=1,$H$13,IF(N(Vintage_Input!R25)&gt;0,IFERROR(Vintage_Input!BF25/$C77,""),""))</f>
        <v/>
      </c>
      <c r="AY77" s="152">
        <f>IF($B77=1,$I$13,IF(N(Vintage_Input!S25)&gt;0,IFERROR(Vintage_Input!BG25/$C77,""),""))</f>
        <v/>
      </c>
      <c r="AZ77" s="153">
        <f>IF($B77=1,$B$14,IF(N(Vintage_Input!L25)&gt;0,IFERROR((Vintage_Input!D25+Vintage_Input!AR25)/$C77+Products!$C$14-(Products!$C$43+Products!$C$19+Products!$C$43*Products!$C$22+Products!$C$44),""),""))</f>
        <v/>
      </c>
      <c r="BA77" s="153">
        <f>IF($B77=1,$C$14,IF(N(Vintage_Input!M25)&gt;0,IFERROR((Vintage_Input!E25+Vintage_Input!AS25)/$C77+Products!$C$14-(Products!$C$43+Products!$C$19+Products!$C$43*Products!$C$22+Products!$C$44),""),""))</f>
        <v/>
      </c>
      <c r="BB77" s="153">
        <f>IF($B77=1,$D$14,IF(N(Vintage_Input!N25)&gt;0,IFERROR((Vintage_Input!F25+Vintage_Input!AT25)/$C77+Products!$C$14-(Products!$C$43+Products!$C$19+Products!$C$43*Products!$C$22+Products!$C$44),""),""))</f>
        <v/>
      </c>
      <c r="BC77" s="153">
        <f>IF($B77=1,$E$14,IF(N(Vintage_Input!O25)&gt;0,IFERROR((Vintage_Input!G25+Vintage_Input!AU25)/$C77+Products!$C$14-(Products!$C$43+Products!$C$19+Products!$C$43*Products!$C$22+Products!$C$44),""),""))</f>
        <v/>
      </c>
      <c r="BD77" s="153">
        <f>IF($B77=1,$F$14,IF(N(Vintage_Input!P25)&gt;0,IFERROR((Vintage_Input!H25+Vintage_Input!AV25)/$C77+Products!$C$14-(Products!$C$43+Products!$C$19+Products!$C$43*Products!$C$22+Products!$C$44),""),""))</f>
        <v/>
      </c>
      <c r="BE77" s="153">
        <f>IF($B77=1,$G$14,IF(N(Vintage_Input!Q25)&gt;0,IFERROR((Vintage_Input!I25+Vintage_Input!AW25)/$C77+Products!$C$14-(Products!$C$43+Products!$C$19+Products!$C$43*Products!$C$22+Products!$C$44),""),""))</f>
        <v/>
      </c>
      <c r="BF77" s="153">
        <f>IF($B77=1,$H$14,IF(N(Vintage_Input!R25)&gt;0,IFERROR((Vintage_Input!J25+Vintage_Input!AX25)/$C77+Products!$C$14-(Products!$C$43+Products!$C$19+Products!$C$43*Products!$C$22+Products!$C$44),""),""))</f>
        <v/>
      </c>
      <c r="BG77" s="153">
        <f>IF($B77=1,$I$14,IF(N(Vintage_Input!S25)&gt;0,IFERROR((Vintage_Input!K25+Vintage_Input!AY25)/$C77+Products!$C$14-(Products!$C$43+Products!$C$19+Products!$C$43*Products!$C$22+Products!$C$44),""),""))</f>
        <v/>
      </c>
      <c r="BH77" s="81">
        <f>IF($B77=1,0,IF(Vintage_Input!$BH$25="","",Vintage_Input!$BH$25))</f>
        <v/>
      </c>
    </row>
    <row r="78">
      <c r="A78" s="23" t="n">
        <v>18</v>
      </c>
      <c r="B78" s="48">
        <f>Vintage_Input!$B$26</f>
        <v/>
      </c>
      <c r="C78" s="41">
        <f>IF(Vintage_Input!$C$26="",0,Vintage_Input!$C$26)</f>
        <v/>
      </c>
      <c r="D78" s="152">
        <f>IF($B78=1,$B$8,IF(N(Vintage_Input!L26)&gt;0,Vintage_Input!D26/Vintage_Input!L26,""))</f>
        <v/>
      </c>
      <c r="E78" s="152">
        <f>IF($B78=1,$C$8,IF(N(Vintage_Input!M26)&gt;0,Vintage_Input!E26/Vintage_Input!M26,""))</f>
        <v/>
      </c>
      <c r="F78" s="152">
        <f>IF($B78=1,$D$8,IF(N(Vintage_Input!N26)&gt;0,Vintage_Input!F26/Vintage_Input!N26,""))</f>
        <v/>
      </c>
      <c r="G78" s="152">
        <f>IF($B78=1,$E$8,IF(N(Vintage_Input!O26)&gt;0,Vintage_Input!G26/Vintage_Input!O26,""))</f>
        <v/>
      </c>
      <c r="H78" s="152">
        <f>IF($B78=1,$F$8,IF(N(Vintage_Input!P26)&gt;0,Vintage_Input!H26/Vintage_Input!P26,""))</f>
        <v/>
      </c>
      <c r="I78" s="152">
        <f>IF($B78=1,$G$8,IF(N(Vintage_Input!Q26)&gt;0,Vintage_Input!I26/Vintage_Input!Q26,""))</f>
        <v/>
      </c>
      <c r="J78" s="152">
        <f>IF($B78=1,$H$8,IF(N(Vintage_Input!R26)&gt;0,Vintage_Input!J26/Vintage_Input!R26,""))</f>
        <v/>
      </c>
      <c r="K78" s="152">
        <f>IF($B78=1,$I$8,IF(N(Vintage_Input!S26)&gt;0,Vintage_Input!K26/Vintage_Input!S26,""))</f>
        <v/>
      </c>
      <c r="L78" s="152">
        <f>IF($B78=1,$B$9,IF(N(Vintage_Input!L26)&gt;0,Vintage_Input!T26/Vintage_Input!L26,""))</f>
        <v/>
      </c>
      <c r="M78" s="152">
        <f>IF($B78=1,$C$9,IF(N(Vintage_Input!M26)&gt;0,Vintage_Input!U26/Vintage_Input!M26,""))</f>
        <v/>
      </c>
      <c r="N78" s="152">
        <f>IF($B78=1,$D$9,IF(N(Vintage_Input!N26)&gt;0,Vintage_Input!V26/Vintage_Input!N26,""))</f>
        <v/>
      </c>
      <c r="O78" s="152">
        <f>IF($B78=1,$E$9,IF(N(Vintage_Input!O26)&gt;0,Vintage_Input!W26/Vintage_Input!O26,""))</f>
        <v/>
      </c>
      <c r="P78" s="152">
        <f>IF($B78=1,$F$9,IF(N(Vintage_Input!P26)&gt;0,Vintage_Input!X26/Vintage_Input!P26,""))</f>
        <v/>
      </c>
      <c r="Q78" s="152">
        <f>IF($B78=1,$G$9,IF(N(Vintage_Input!Q26)&gt;0,Vintage_Input!Y26/Vintage_Input!Q26,""))</f>
        <v/>
      </c>
      <c r="R78" s="152">
        <f>IF($B78=1,$H$9,IF(N(Vintage_Input!R26)&gt;0,Vintage_Input!Z26/Vintage_Input!R26,""))</f>
        <v/>
      </c>
      <c r="S78" s="152">
        <f>IF($B78=1,$I$9,IF(N(Vintage_Input!S26)&gt;0,Vintage_Input!AA26/Vintage_Input!S26,""))</f>
        <v/>
      </c>
      <c r="T78" s="152">
        <f>IF($B78=1,$B$10,IF(N(Vintage_Input!L26)&gt;0,Vintage_Input!AB26/Vintage_Input!L26,""))</f>
        <v/>
      </c>
      <c r="U78" s="152">
        <f>IF($B78=1,$C$10,IF(N(Vintage_Input!M26)&gt;0,Vintage_Input!AC26/Vintage_Input!M26,""))</f>
        <v/>
      </c>
      <c r="V78" s="152">
        <f>IF($B78=1,$D$10,IF(N(Vintage_Input!N26)&gt;0,Vintage_Input!AD26/Vintage_Input!N26,""))</f>
        <v/>
      </c>
      <c r="W78" s="152">
        <f>IF($B78=1,$E$10,IF(N(Vintage_Input!O26)&gt;0,Vintage_Input!AE26/Vintage_Input!O26,""))</f>
        <v/>
      </c>
      <c r="X78" s="152">
        <f>IF($B78=1,$F$10,IF(N(Vintage_Input!P26)&gt;0,Vintage_Input!AF26/Vintage_Input!P26,""))</f>
        <v/>
      </c>
      <c r="Y78" s="152">
        <f>IF($B78=1,$G$10,IF(N(Vintage_Input!Q26)&gt;0,Vintage_Input!AG26/Vintage_Input!Q26,""))</f>
        <v/>
      </c>
      <c r="Z78" s="152">
        <f>IF($B78=1,$H$10,IF(N(Vintage_Input!R26)&gt;0,Vintage_Input!AH26/Vintage_Input!R26,""))</f>
        <v/>
      </c>
      <c r="AA78" s="152">
        <f>IF($B78=1,$I$10,IF(N(Vintage_Input!S26)&gt;0,Vintage_Input!AI26/Vintage_Input!S26,""))</f>
        <v/>
      </c>
      <c r="AB78" s="152">
        <f>IF($B78=1,$B$11,IF(N(Vintage_Input!L26)&gt;0,Vintage_Input!AJ26/Vintage_Input!L26,""))</f>
        <v/>
      </c>
      <c r="AC78" s="152">
        <f>IF($B78=1,$C$11,IF(N(Vintage_Input!M26)&gt;0,Vintage_Input!AK26/Vintage_Input!M26,""))</f>
        <v/>
      </c>
      <c r="AD78" s="152">
        <f>IF($B78=1,$D$11,IF(N(Vintage_Input!N26)&gt;0,Vintage_Input!AL26/Vintage_Input!N26,""))</f>
        <v/>
      </c>
      <c r="AE78" s="152">
        <f>IF($B78=1,$E$11,IF(N(Vintage_Input!O26)&gt;0,Vintage_Input!AM26/Vintage_Input!O26,""))</f>
        <v/>
      </c>
      <c r="AF78" s="152">
        <f>IF($B78=1,$F$11,IF(N(Vintage_Input!P26)&gt;0,Vintage_Input!AN26/Vintage_Input!P26,""))</f>
        <v/>
      </c>
      <c r="AG78" s="152">
        <f>IF($B78=1,$G$11,IF(N(Vintage_Input!Q26)&gt;0,Vintage_Input!AO26/Vintage_Input!Q26,""))</f>
        <v/>
      </c>
      <c r="AH78" s="152">
        <f>IF($B78=1,$H$11,IF(N(Vintage_Input!R26)&gt;0,Vintage_Input!AP26/Vintage_Input!R26,""))</f>
        <v/>
      </c>
      <c r="AI78" s="152">
        <f>IF($B78=1,$I$11,IF(N(Vintage_Input!S26)&gt;0,Vintage_Input!AQ26/Vintage_Input!S26,""))</f>
        <v/>
      </c>
      <c r="AJ78" s="152">
        <f>IF($B78=1,$B$12,IF(N(Vintage_Input!L26)&gt;0,IFERROR(Vintage_Input!AR26/Vintage_Input!AJ26,""),""))</f>
        <v/>
      </c>
      <c r="AK78" s="152">
        <f>IF($B78=1,$C$12,IF(N(Vintage_Input!M26)&gt;0,IFERROR(Vintage_Input!AS26/Vintage_Input!AK26,""),""))</f>
        <v/>
      </c>
      <c r="AL78" s="152">
        <f>IF($B78=1,$D$12,IF(N(Vintage_Input!N26)&gt;0,IFERROR(Vintage_Input!AT26/Vintage_Input!AL26,""),""))</f>
        <v/>
      </c>
      <c r="AM78" s="152">
        <f>IF($B78=1,$E$12,IF(N(Vintage_Input!O26)&gt;0,IFERROR(Vintage_Input!AU26/Vintage_Input!AM26,""),""))</f>
        <v/>
      </c>
      <c r="AN78" s="152">
        <f>IF($B78=1,$F$12,IF(N(Vintage_Input!P26)&gt;0,IFERROR(Vintage_Input!AV26/Vintage_Input!AN26,""),""))</f>
        <v/>
      </c>
      <c r="AO78" s="152">
        <f>IF($B78=1,$G$12,IF(N(Vintage_Input!Q26)&gt;0,IFERROR(Vintage_Input!AW26/Vintage_Input!AO26,""),""))</f>
        <v/>
      </c>
      <c r="AP78" s="152">
        <f>IF($B78=1,$H$12,IF(N(Vintage_Input!R26)&gt;0,IFERROR(Vintage_Input!AX26/Vintage_Input!AP26,""),""))</f>
        <v/>
      </c>
      <c r="AQ78" s="152">
        <f>IF($B78=1,$I$12,IF(N(Vintage_Input!S26)&gt;0,IFERROR(Vintage_Input!AY26/Vintage_Input!AQ26,""),""))</f>
        <v/>
      </c>
      <c r="AR78" s="152">
        <f>IF($B78=1,$B$13,IF(N(Vintage_Input!L26)&gt;0,IFERROR(Vintage_Input!AZ26/$C78,""),""))</f>
        <v/>
      </c>
      <c r="AS78" s="152">
        <f>IF($B78=1,$C$13,IF(N(Vintage_Input!M26)&gt;0,IFERROR(Vintage_Input!BA26/$C78,""),""))</f>
        <v/>
      </c>
      <c r="AT78" s="152">
        <f>IF($B78=1,$D$13,IF(N(Vintage_Input!N26)&gt;0,IFERROR(Vintage_Input!BB26/$C78,""),""))</f>
        <v/>
      </c>
      <c r="AU78" s="152">
        <f>IF($B78=1,$E$13,IF(N(Vintage_Input!O26)&gt;0,IFERROR(Vintage_Input!BC26/$C78,""),""))</f>
        <v/>
      </c>
      <c r="AV78" s="152">
        <f>IF($B78=1,$F$13,IF(N(Vintage_Input!P26)&gt;0,IFERROR(Vintage_Input!BD26/$C78,""),""))</f>
        <v/>
      </c>
      <c r="AW78" s="152">
        <f>IF($B78=1,$G$13,IF(N(Vintage_Input!Q26)&gt;0,IFERROR(Vintage_Input!BE26/$C78,""),""))</f>
        <v/>
      </c>
      <c r="AX78" s="152">
        <f>IF($B78=1,$H$13,IF(N(Vintage_Input!R26)&gt;0,IFERROR(Vintage_Input!BF26/$C78,""),""))</f>
        <v/>
      </c>
      <c r="AY78" s="152">
        <f>IF($B78=1,$I$13,IF(N(Vintage_Input!S26)&gt;0,IFERROR(Vintage_Input!BG26/$C78,""),""))</f>
        <v/>
      </c>
      <c r="AZ78" s="153">
        <f>IF($B78=1,$B$14,IF(N(Vintage_Input!L26)&gt;0,IFERROR((Vintage_Input!D26+Vintage_Input!AR26)/$C78+Products!$C$14-(Products!$C$43+Products!$C$19+Products!$C$43*Products!$C$22+Products!$C$44),""),""))</f>
        <v/>
      </c>
      <c r="BA78" s="153">
        <f>IF($B78=1,$C$14,IF(N(Vintage_Input!M26)&gt;0,IFERROR((Vintage_Input!E26+Vintage_Input!AS26)/$C78+Products!$C$14-(Products!$C$43+Products!$C$19+Products!$C$43*Products!$C$22+Products!$C$44),""),""))</f>
        <v/>
      </c>
      <c r="BB78" s="153">
        <f>IF($B78=1,$D$14,IF(N(Vintage_Input!N26)&gt;0,IFERROR((Vintage_Input!F26+Vintage_Input!AT26)/$C78+Products!$C$14-(Products!$C$43+Products!$C$19+Products!$C$43*Products!$C$22+Products!$C$44),""),""))</f>
        <v/>
      </c>
      <c r="BC78" s="153">
        <f>IF($B78=1,$E$14,IF(N(Vintage_Input!O26)&gt;0,IFERROR((Vintage_Input!G26+Vintage_Input!AU26)/$C78+Products!$C$14-(Products!$C$43+Products!$C$19+Products!$C$43*Products!$C$22+Products!$C$44),""),""))</f>
        <v/>
      </c>
      <c r="BD78" s="153">
        <f>IF($B78=1,$F$14,IF(N(Vintage_Input!P26)&gt;0,IFERROR((Vintage_Input!H26+Vintage_Input!AV26)/$C78+Products!$C$14-(Products!$C$43+Products!$C$19+Products!$C$43*Products!$C$22+Products!$C$44),""),""))</f>
        <v/>
      </c>
      <c r="BE78" s="153">
        <f>IF($B78=1,$G$14,IF(N(Vintage_Input!Q26)&gt;0,IFERROR((Vintage_Input!I26+Vintage_Input!AW26)/$C78+Products!$C$14-(Products!$C$43+Products!$C$19+Products!$C$43*Products!$C$22+Products!$C$44),""),""))</f>
        <v/>
      </c>
      <c r="BF78" s="153">
        <f>IF($B78=1,$H$14,IF(N(Vintage_Input!R26)&gt;0,IFERROR((Vintage_Input!J26+Vintage_Input!AX26)/$C78+Products!$C$14-(Products!$C$43+Products!$C$19+Products!$C$43*Products!$C$22+Products!$C$44),""),""))</f>
        <v/>
      </c>
      <c r="BG78" s="153">
        <f>IF($B78=1,$I$14,IF(N(Vintage_Input!S26)&gt;0,IFERROR((Vintage_Input!K26+Vintage_Input!AY26)/$C78+Products!$C$14-(Products!$C$43+Products!$C$19+Products!$C$43*Products!$C$22+Products!$C$44),""),""))</f>
        <v/>
      </c>
      <c r="BH78" s="81">
        <f>IF($B78=1,0,IF(Vintage_Input!$BH$26="","",Vintage_Input!$BH$26))</f>
        <v/>
      </c>
    </row>
    <row r="79">
      <c r="A79" s="23" t="n">
        <v>19</v>
      </c>
      <c r="B79" s="48">
        <f>Vintage_Input!$B$27</f>
        <v/>
      </c>
      <c r="C79" s="41">
        <f>IF(Vintage_Input!$C$27="",0,Vintage_Input!$C$27)</f>
        <v/>
      </c>
      <c r="D79" s="152">
        <f>IF($B79=1,$B$8,IF(N(Vintage_Input!L27)&gt;0,Vintage_Input!D27/Vintage_Input!L27,""))</f>
        <v/>
      </c>
      <c r="E79" s="152">
        <f>IF($B79=1,$C$8,IF(N(Vintage_Input!M27)&gt;0,Vintage_Input!E27/Vintage_Input!M27,""))</f>
        <v/>
      </c>
      <c r="F79" s="152">
        <f>IF($B79=1,$D$8,IF(N(Vintage_Input!N27)&gt;0,Vintage_Input!F27/Vintage_Input!N27,""))</f>
        <v/>
      </c>
      <c r="G79" s="152">
        <f>IF($B79=1,$E$8,IF(N(Vintage_Input!O27)&gt;0,Vintage_Input!G27/Vintage_Input!O27,""))</f>
        <v/>
      </c>
      <c r="H79" s="152">
        <f>IF($B79=1,$F$8,IF(N(Vintage_Input!P27)&gt;0,Vintage_Input!H27/Vintage_Input!P27,""))</f>
        <v/>
      </c>
      <c r="I79" s="152">
        <f>IF($B79=1,$G$8,IF(N(Vintage_Input!Q27)&gt;0,Vintage_Input!I27/Vintage_Input!Q27,""))</f>
        <v/>
      </c>
      <c r="J79" s="152">
        <f>IF($B79=1,$H$8,IF(N(Vintage_Input!R27)&gt;0,Vintage_Input!J27/Vintage_Input!R27,""))</f>
        <v/>
      </c>
      <c r="K79" s="152">
        <f>IF($B79=1,$I$8,IF(N(Vintage_Input!S27)&gt;0,Vintage_Input!K27/Vintage_Input!S27,""))</f>
        <v/>
      </c>
      <c r="L79" s="152">
        <f>IF($B79=1,$B$9,IF(N(Vintage_Input!L27)&gt;0,Vintage_Input!T27/Vintage_Input!L27,""))</f>
        <v/>
      </c>
      <c r="M79" s="152">
        <f>IF($B79=1,$C$9,IF(N(Vintage_Input!M27)&gt;0,Vintage_Input!U27/Vintage_Input!M27,""))</f>
        <v/>
      </c>
      <c r="N79" s="152">
        <f>IF($B79=1,$D$9,IF(N(Vintage_Input!N27)&gt;0,Vintage_Input!V27/Vintage_Input!N27,""))</f>
        <v/>
      </c>
      <c r="O79" s="152">
        <f>IF($B79=1,$E$9,IF(N(Vintage_Input!O27)&gt;0,Vintage_Input!W27/Vintage_Input!O27,""))</f>
        <v/>
      </c>
      <c r="P79" s="152">
        <f>IF($B79=1,$F$9,IF(N(Vintage_Input!P27)&gt;0,Vintage_Input!X27/Vintage_Input!P27,""))</f>
        <v/>
      </c>
      <c r="Q79" s="152">
        <f>IF($B79=1,$G$9,IF(N(Vintage_Input!Q27)&gt;0,Vintage_Input!Y27/Vintage_Input!Q27,""))</f>
        <v/>
      </c>
      <c r="R79" s="152">
        <f>IF($B79=1,$H$9,IF(N(Vintage_Input!R27)&gt;0,Vintage_Input!Z27/Vintage_Input!R27,""))</f>
        <v/>
      </c>
      <c r="S79" s="152">
        <f>IF($B79=1,$I$9,IF(N(Vintage_Input!S27)&gt;0,Vintage_Input!AA27/Vintage_Input!S27,""))</f>
        <v/>
      </c>
      <c r="T79" s="152">
        <f>IF($B79=1,$B$10,IF(N(Vintage_Input!L27)&gt;0,Vintage_Input!AB27/Vintage_Input!L27,""))</f>
        <v/>
      </c>
      <c r="U79" s="152">
        <f>IF($B79=1,$C$10,IF(N(Vintage_Input!M27)&gt;0,Vintage_Input!AC27/Vintage_Input!M27,""))</f>
        <v/>
      </c>
      <c r="V79" s="152">
        <f>IF($B79=1,$D$10,IF(N(Vintage_Input!N27)&gt;0,Vintage_Input!AD27/Vintage_Input!N27,""))</f>
        <v/>
      </c>
      <c r="W79" s="152">
        <f>IF($B79=1,$E$10,IF(N(Vintage_Input!O27)&gt;0,Vintage_Input!AE27/Vintage_Input!O27,""))</f>
        <v/>
      </c>
      <c r="X79" s="152">
        <f>IF($B79=1,$F$10,IF(N(Vintage_Input!P27)&gt;0,Vintage_Input!AF27/Vintage_Input!P27,""))</f>
        <v/>
      </c>
      <c r="Y79" s="152">
        <f>IF($B79=1,$G$10,IF(N(Vintage_Input!Q27)&gt;0,Vintage_Input!AG27/Vintage_Input!Q27,""))</f>
        <v/>
      </c>
      <c r="Z79" s="152">
        <f>IF($B79=1,$H$10,IF(N(Vintage_Input!R27)&gt;0,Vintage_Input!AH27/Vintage_Input!R27,""))</f>
        <v/>
      </c>
      <c r="AA79" s="152">
        <f>IF($B79=1,$I$10,IF(N(Vintage_Input!S27)&gt;0,Vintage_Input!AI27/Vintage_Input!S27,""))</f>
        <v/>
      </c>
      <c r="AB79" s="152">
        <f>IF($B79=1,$B$11,IF(N(Vintage_Input!L27)&gt;0,Vintage_Input!AJ27/Vintage_Input!L27,""))</f>
        <v/>
      </c>
      <c r="AC79" s="152">
        <f>IF($B79=1,$C$11,IF(N(Vintage_Input!M27)&gt;0,Vintage_Input!AK27/Vintage_Input!M27,""))</f>
        <v/>
      </c>
      <c r="AD79" s="152">
        <f>IF($B79=1,$D$11,IF(N(Vintage_Input!N27)&gt;0,Vintage_Input!AL27/Vintage_Input!N27,""))</f>
        <v/>
      </c>
      <c r="AE79" s="152">
        <f>IF($B79=1,$E$11,IF(N(Vintage_Input!O27)&gt;0,Vintage_Input!AM27/Vintage_Input!O27,""))</f>
        <v/>
      </c>
      <c r="AF79" s="152">
        <f>IF($B79=1,$F$11,IF(N(Vintage_Input!P27)&gt;0,Vintage_Input!AN27/Vintage_Input!P27,""))</f>
        <v/>
      </c>
      <c r="AG79" s="152">
        <f>IF($B79=1,$G$11,IF(N(Vintage_Input!Q27)&gt;0,Vintage_Input!AO27/Vintage_Input!Q27,""))</f>
        <v/>
      </c>
      <c r="AH79" s="152">
        <f>IF($B79=1,$H$11,IF(N(Vintage_Input!R27)&gt;0,Vintage_Input!AP27/Vintage_Input!R27,""))</f>
        <v/>
      </c>
      <c r="AI79" s="152">
        <f>IF($B79=1,$I$11,IF(N(Vintage_Input!S27)&gt;0,Vintage_Input!AQ27/Vintage_Input!S27,""))</f>
        <v/>
      </c>
      <c r="AJ79" s="152">
        <f>IF($B79=1,$B$12,IF(N(Vintage_Input!L27)&gt;0,IFERROR(Vintage_Input!AR27/Vintage_Input!AJ27,""),""))</f>
        <v/>
      </c>
      <c r="AK79" s="152">
        <f>IF($B79=1,$C$12,IF(N(Vintage_Input!M27)&gt;0,IFERROR(Vintage_Input!AS27/Vintage_Input!AK27,""),""))</f>
        <v/>
      </c>
      <c r="AL79" s="152">
        <f>IF($B79=1,$D$12,IF(N(Vintage_Input!N27)&gt;0,IFERROR(Vintage_Input!AT27/Vintage_Input!AL27,""),""))</f>
        <v/>
      </c>
      <c r="AM79" s="152">
        <f>IF($B79=1,$E$12,IF(N(Vintage_Input!O27)&gt;0,IFERROR(Vintage_Input!AU27/Vintage_Input!AM27,""),""))</f>
        <v/>
      </c>
      <c r="AN79" s="152">
        <f>IF($B79=1,$F$12,IF(N(Vintage_Input!P27)&gt;0,IFERROR(Vintage_Input!AV27/Vintage_Input!AN27,""),""))</f>
        <v/>
      </c>
      <c r="AO79" s="152">
        <f>IF($B79=1,$G$12,IF(N(Vintage_Input!Q27)&gt;0,IFERROR(Vintage_Input!AW27/Vintage_Input!AO27,""),""))</f>
        <v/>
      </c>
      <c r="AP79" s="152">
        <f>IF($B79=1,$H$12,IF(N(Vintage_Input!R27)&gt;0,IFERROR(Vintage_Input!AX27/Vintage_Input!AP27,""),""))</f>
        <v/>
      </c>
      <c r="AQ79" s="152">
        <f>IF($B79=1,$I$12,IF(N(Vintage_Input!S27)&gt;0,IFERROR(Vintage_Input!AY27/Vintage_Input!AQ27,""),""))</f>
        <v/>
      </c>
      <c r="AR79" s="152">
        <f>IF($B79=1,$B$13,IF(N(Vintage_Input!L27)&gt;0,IFERROR(Vintage_Input!AZ27/$C79,""),""))</f>
        <v/>
      </c>
      <c r="AS79" s="152">
        <f>IF($B79=1,$C$13,IF(N(Vintage_Input!M27)&gt;0,IFERROR(Vintage_Input!BA27/$C79,""),""))</f>
        <v/>
      </c>
      <c r="AT79" s="152">
        <f>IF($B79=1,$D$13,IF(N(Vintage_Input!N27)&gt;0,IFERROR(Vintage_Input!BB27/$C79,""),""))</f>
        <v/>
      </c>
      <c r="AU79" s="152">
        <f>IF($B79=1,$E$13,IF(N(Vintage_Input!O27)&gt;0,IFERROR(Vintage_Input!BC27/$C79,""),""))</f>
        <v/>
      </c>
      <c r="AV79" s="152">
        <f>IF($B79=1,$F$13,IF(N(Vintage_Input!P27)&gt;0,IFERROR(Vintage_Input!BD27/$C79,""),""))</f>
        <v/>
      </c>
      <c r="AW79" s="152">
        <f>IF($B79=1,$G$13,IF(N(Vintage_Input!Q27)&gt;0,IFERROR(Vintage_Input!BE27/$C79,""),""))</f>
        <v/>
      </c>
      <c r="AX79" s="152">
        <f>IF($B79=1,$H$13,IF(N(Vintage_Input!R27)&gt;0,IFERROR(Vintage_Input!BF27/$C79,""),""))</f>
        <v/>
      </c>
      <c r="AY79" s="152">
        <f>IF($B79=1,$I$13,IF(N(Vintage_Input!S27)&gt;0,IFERROR(Vintage_Input!BG27/$C79,""),""))</f>
        <v/>
      </c>
      <c r="AZ79" s="153">
        <f>IF($B79=1,$B$14,IF(N(Vintage_Input!L27)&gt;0,IFERROR((Vintage_Input!D27+Vintage_Input!AR27)/$C79+Products!$C$14-(Products!$C$43+Products!$C$19+Products!$C$43*Products!$C$22+Products!$C$44),""),""))</f>
        <v/>
      </c>
      <c r="BA79" s="153">
        <f>IF($B79=1,$C$14,IF(N(Vintage_Input!M27)&gt;0,IFERROR((Vintage_Input!E27+Vintage_Input!AS27)/$C79+Products!$C$14-(Products!$C$43+Products!$C$19+Products!$C$43*Products!$C$22+Products!$C$44),""),""))</f>
        <v/>
      </c>
      <c r="BB79" s="153">
        <f>IF($B79=1,$D$14,IF(N(Vintage_Input!N27)&gt;0,IFERROR((Vintage_Input!F27+Vintage_Input!AT27)/$C79+Products!$C$14-(Products!$C$43+Products!$C$19+Products!$C$43*Products!$C$22+Products!$C$44),""),""))</f>
        <v/>
      </c>
      <c r="BC79" s="153">
        <f>IF($B79=1,$E$14,IF(N(Vintage_Input!O27)&gt;0,IFERROR((Vintage_Input!G27+Vintage_Input!AU27)/$C79+Products!$C$14-(Products!$C$43+Products!$C$19+Products!$C$43*Products!$C$22+Products!$C$44),""),""))</f>
        <v/>
      </c>
      <c r="BD79" s="153">
        <f>IF($B79=1,$F$14,IF(N(Vintage_Input!P27)&gt;0,IFERROR((Vintage_Input!H27+Vintage_Input!AV27)/$C79+Products!$C$14-(Products!$C$43+Products!$C$19+Products!$C$43*Products!$C$22+Products!$C$44),""),""))</f>
        <v/>
      </c>
      <c r="BE79" s="153">
        <f>IF($B79=1,$G$14,IF(N(Vintage_Input!Q27)&gt;0,IFERROR((Vintage_Input!I27+Vintage_Input!AW27)/$C79+Products!$C$14-(Products!$C$43+Products!$C$19+Products!$C$43*Products!$C$22+Products!$C$44),""),""))</f>
        <v/>
      </c>
      <c r="BF79" s="153">
        <f>IF($B79=1,$H$14,IF(N(Vintage_Input!R27)&gt;0,IFERROR((Vintage_Input!J27+Vintage_Input!AX27)/$C79+Products!$C$14-(Products!$C$43+Products!$C$19+Products!$C$43*Products!$C$22+Products!$C$44),""),""))</f>
        <v/>
      </c>
      <c r="BG79" s="153">
        <f>IF($B79=1,$I$14,IF(N(Vintage_Input!S27)&gt;0,IFERROR((Vintage_Input!K27+Vintage_Input!AY27)/$C79+Products!$C$14-(Products!$C$43+Products!$C$19+Products!$C$43*Products!$C$22+Products!$C$44),""),""))</f>
        <v/>
      </c>
      <c r="BH79" s="81">
        <f>IF($B79=1,0,IF(Vintage_Input!$BH$27="","",Vintage_Input!$BH$27))</f>
        <v/>
      </c>
    </row>
    <row r="80">
      <c r="A80" s="23" t="n">
        <v>20</v>
      </c>
      <c r="B80" s="48">
        <f>Vintage_Input!$B$28</f>
        <v/>
      </c>
      <c r="C80" s="41">
        <f>IF(Vintage_Input!$C$28="",0,Vintage_Input!$C$28)</f>
        <v/>
      </c>
      <c r="D80" s="152">
        <f>IF($B80=1,$B$8,IF(N(Vintage_Input!L28)&gt;0,Vintage_Input!D28/Vintage_Input!L28,""))</f>
        <v/>
      </c>
      <c r="E80" s="152">
        <f>IF($B80=1,$C$8,IF(N(Vintage_Input!M28)&gt;0,Vintage_Input!E28/Vintage_Input!M28,""))</f>
        <v/>
      </c>
      <c r="F80" s="152">
        <f>IF($B80=1,$D$8,IF(N(Vintage_Input!N28)&gt;0,Vintage_Input!F28/Vintage_Input!N28,""))</f>
        <v/>
      </c>
      <c r="G80" s="152">
        <f>IF($B80=1,$E$8,IF(N(Vintage_Input!O28)&gt;0,Vintage_Input!G28/Vintage_Input!O28,""))</f>
        <v/>
      </c>
      <c r="H80" s="152">
        <f>IF($B80=1,$F$8,IF(N(Vintage_Input!P28)&gt;0,Vintage_Input!H28/Vintage_Input!P28,""))</f>
        <v/>
      </c>
      <c r="I80" s="152">
        <f>IF($B80=1,$G$8,IF(N(Vintage_Input!Q28)&gt;0,Vintage_Input!I28/Vintage_Input!Q28,""))</f>
        <v/>
      </c>
      <c r="J80" s="152">
        <f>IF($B80=1,$H$8,IF(N(Vintage_Input!R28)&gt;0,Vintage_Input!J28/Vintage_Input!R28,""))</f>
        <v/>
      </c>
      <c r="K80" s="152">
        <f>IF($B80=1,$I$8,IF(N(Vintage_Input!S28)&gt;0,Vintage_Input!K28/Vintage_Input!S28,""))</f>
        <v/>
      </c>
      <c r="L80" s="152">
        <f>IF($B80=1,$B$9,IF(N(Vintage_Input!L28)&gt;0,Vintage_Input!T28/Vintage_Input!L28,""))</f>
        <v/>
      </c>
      <c r="M80" s="152">
        <f>IF($B80=1,$C$9,IF(N(Vintage_Input!M28)&gt;0,Vintage_Input!U28/Vintage_Input!M28,""))</f>
        <v/>
      </c>
      <c r="N80" s="152">
        <f>IF($B80=1,$D$9,IF(N(Vintage_Input!N28)&gt;0,Vintage_Input!V28/Vintage_Input!N28,""))</f>
        <v/>
      </c>
      <c r="O80" s="152">
        <f>IF($B80=1,$E$9,IF(N(Vintage_Input!O28)&gt;0,Vintage_Input!W28/Vintage_Input!O28,""))</f>
        <v/>
      </c>
      <c r="P80" s="152">
        <f>IF($B80=1,$F$9,IF(N(Vintage_Input!P28)&gt;0,Vintage_Input!X28/Vintage_Input!P28,""))</f>
        <v/>
      </c>
      <c r="Q80" s="152">
        <f>IF($B80=1,$G$9,IF(N(Vintage_Input!Q28)&gt;0,Vintage_Input!Y28/Vintage_Input!Q28,""))</f>
        <v/>
      </c>
      <c r="R80" s="152">
        <f>IF($B80=1,$H$9,IF(N(Vintage_Input!R28)&gt;0,Vintage_Input!Z28/Vintage_Input!R28,""))</f>
        <v/>
      </c>
      <c r="S80" s="152">
        <f>IF($B80=1,$I$9,IF(N(Vintage_Input!S28)&gt;0,Vintage_Input!AA28/Vintage_Input!S28,""))</f>
        <v/>
      </c>
      <c r="T80" s="152">
        <f>IF($B80=1,$B$10,IF(N(Vintage_Input!L28)&gt;0,Vintage_Input!AB28/Vintage_Input!L28,""))</f>
        <v/>
      </c>
      <c r="U80" s="152">
        <f>IF($B80=1,$C$10,IF(N(Vintage_Input!M28)&gt;0,Vintage_Input!AC28/Vintage_Input!M28,""))</f>
        <v/>
      </c>
      <c r="V80" s="152">
        <f>IF($B80=1,$D$10,IF(N(Vintage_Input!N28)&gt;0,Vintage_Input!AD28/Vintage_Input!N28,""))</f>
        <v/>
      </c>
      <c r="W80" s="152">
        <f>IF($B80=1,$E$10,IF(N(Vintage_Input!O28)&gt;0,Vintage_Input!AE28/Vintage_Input!O28,""))</f>
        <v/>
      </c>
      <c r="X80" s="152">
        <f>IF($B80=1,$F$10,IF(N(Vintage_Input!P28)&gt;0,Vintage_Input!AF28/Vintage_Input!P28,""))</f>
        <v/>
      </c>
      <c r="Y80" s="152">
        <f>IF($B80=1,$G$10,IF(N(Vintage_Input!Q28)&gt;0,Vintage_Input!AG28/Vintage_Input!Q28,""))</f>
        <v/>
      </c>
      <c r="Z80" s="152">
        <f>IF($B80=1,$H$10,IF(N(Vintage_Input!R28)&gt;0,Vintage_Input!AH28/Vintage_Input!R28,""))</f>
        <v/>
      </c>
      <c r="AA80" s="152">
        <f>IF($B80=1,$I$10,IF(N(Vintage_Input!S28)&gt;0,Vintage_Input!AI28/Vintage_Input!S28,""))</f>
        <v/>
      </c>
      <c r="AB80" s="152">
        <f>IF($B80=1,$B$11,IF(N(Vintage_Input!L28)&gt;0,Vintage_Input!AJ28/Vintage_Input!L28,""))</f>
        <v/>
      </c>
      <c r="AC80" s="152">
        <f>IF($B80=1,$C$11,IF(N(Vintage_Input!M28)&gt;0,Vintage_Input!AK28/Vintage_Input!M28,""))</f>
        <v/>
      </c>
      <c r="AD80" s="152">
        <f>IF($B80=1,$D$11,IF(N(Vintage_Input!N28)&gt;0,Vintage_Input!AL28/Vintage_Input!N28,""))</f>
        <v/>
      </c>
      <c r="AE80" s="152">
        <f>IF($B80=1,$E$11,IF(N(Vintage_Input!O28)&gt;0,Vintage_Input!AM28/Vintage_Input!O28,""))</f>
        <v/>
      </c>
      <c r="AF80" s="152">
        <f>IF($B80=1,$F$11,IF(N(Vintage_Input!P28)&gt;0,Vintage_Input!AN28/Vintage_Input!P28,""))</f>
        <v/>
      </c>
      <c r="AG80" s="152">
        <f>IF($B80=1,$G$11,IF(N(Vintage_Input!Q28)&gt;0,Vintage_Input!AO28/Vintage_Input!Q28,""))</f>
        <v/>
      </c>
      <c r="AH80" s="152">
        <f>IF($B80=1,$H$11,IF(N(Vintage_Input!R28)&gt;0,Vintage_Input!AP28/Vintage_Input!R28,""))</f>
        <v/>
      </c>
      <c r="AI80" s="152">
        <f>IF($B80=1,$I$11,IF(N(Vintage_Input!S28)&gt;0,Vintage_Input!AQ28/Vintage_Input!S28,""))</f>
        <v/>
      </c>
      <c r="AJ80" s="152">
        <f>IF($B80=1,$B$12,IF(N(Vintage_Input!L28)&gt;0,IFERROR(Vintage_Input!AR28/Vintage_Input!AJ28,""),""))</f>
        <v/>
      </c>
      <c r="AK80" s="152">
        <f>IF($B80=1,$C$12,IF(N(Vintage_Input!M28)&gt;0,IFERROR(Vintage_Input!AS28/Vintage_Input!AK28,""),""))</f>
        <v/>
      </c>
      <c r="AL80" s="152">
        <f>IF($B80=1,$D$12,IF(N(Vintage_Input!N28)&gt;0,IFERROR(Vintage_Input!AT28/Vintage_Input!AL28,""),""))</f>
        <v/>
      </c>
      <c r="AM80" s="152">
        <f>IF($B80=1,$E$12,IF(N(Vintage_Input!O28)&gt;0,IFERROR(Vintage_Input!AU28/Vintage_Input!AM28,""),""))</f>
        <v/>
      </c>
      <c r="AN80" s="152">
        <f>IF($B80=1,$F$12,IF(N(Vintage_Input!P28)&gt;0,IFERROR(Vintage_Input!AV28/Vintage_Input!AN28,""),""))</f>
        <v/>
      </c>
      <c r="AO80" s="152">
        <f>IF($B80=1,$G$12,IF(N(Vintage_Input!Q28)&gt;0,IFERROR(Vintage_Input!AW28/Vintage_Input!AO28,""),""))</f>
        <v/>
      </c>
      <c r="AP80" s="152">
        <f>IF($B80=1,$H$12,IF(N(Vintage_Input!R28)&gt;0,IFERROR(Vintage_Input!AX28/Vintage_Input!AP28,""),""))</f>
        <v/>
      </c>
      <c r="AQ80" s="152">
        <f>IF($B80=1,$I$12,IF(N(Vintage_Input!S28)&gt;0,IFERROR(Vintage_Input!AY28/Vintage_Input!AQ28,""),""))</f>
        <v/>
      </c>
      <c r="AR80" s="152">
        <f>IF($B80=1,$B$13,IF(N(Vintage_Input!L28)&gt;0,IFERROR(Vintage_Input!AZ28/$C80,""),""))</f>
        <v/>
      </c>
      <c r="AS80" s="152">
        <f>IF($B80=1,$C$13,IF(N(Vintage_Input!M28)&gt;0,IFERROR(Vintage_Input!BA28/$C80,""),""))</f>
        <v/>
      </c>
      <c r="AT80" s="152">
        <f>IF($B80=1,$D$13,IF(N(Vintage_Input!N28)&gt;0,IFERROR(Vintage_Input!BB28/$C80,""),""))</f>
        <v/>
      </c>
      <c r="AU80" s="152">
        <f>IF($B80=1,$E$13,IF(N(Vintage_Input!O28)&gt;0,IFERROR(Vintage_Input!BC28/$C80,""),""))</f>
        <v/>
      </c>
      <c r="AV80" s="152">
        <f>IF($B80=1,$F$13,IF(N(Vintage_Input!P28)&gt;0,IFERROR(Vintage_Input!BD28/$C80,""),""))</f>
        <v/>
      </c>
      <c r="AW80" s="152">
        <f>IF($B80=1,$G$13,IF(N(Vintage_Input!Q28)&gt;0,IFERROR(Vintage_Input!BE28/$C80,""),""))</f>
        <v/>
      </c>
      <c r="AX80" s="152">
        <f>IF($B80=1,$H$13,IF(N(Vintage_Input!R28)&gt;0,IFERROR(Vintage_Input!BF28/$C80,""),""))</f>
        <v/>
      </c>
      <c r="AY80" s="152">
        <f>IF($B80=1,$I$13,IF(N(Vintage_Input!S28)&gt;0,IFERROR(Vintage_Input!BG28/$C80,""),""))</f>
        <v/>
      </c>
      <c r="AZ80" s="153">
        <f>IF($B80=1,$B$14,IF(N(Vintage_Input!L28)&gt;0,IFERROR((Vintage_Input!D28+Vintage_Input!AR28)/$C80+Products!$C$14-(Products!$C$43+Products!$C$19+Products!$C$43*Products!$C$22+Products!$C$44),""),""))</f>
        <v/>
      </c>
      <c r="BA80" s="153">
        <f>IF($B80=1,$C$14,IF(N(Vintage_Input!M28)&gt;0,IFERROR((Vintage_Input!E28+Vintage_Input!AS28)/$C80+Products!$C$14-(Products!$C$43+Products!$C$19+Products!$C$43*Products!$C$22+Products!$C$44),""),""))</f>
        <v/>
      </c>
      <c r="BB80" s="153">
        <f>IF($B80=1,$D$14,IF(N(Vintage_Input!N28)&gt;0,IFERROR((Vintage_Input!F28+Vintage_Input!AT28)/$C80+Products!$C$14-(Products!$C$43+Products!$C$19+Products!$C$43*Products!$C$22+Products!$C$44),""),""))</f>
        <v/>
      </c>
      <c r="BC80" s="153">
        <f>IF($B80=1,$E$14,IF(N(Vintage_Input!O28)&gt;0,IFERROR((Vintage_Input!G28+Vintage_Input!AU28)/$C80+Products!$C$14-(Products!$C$43+Products!$C$19+Products!$C$43*Products!$C$22+Products!$C$44),""),""))</f>
        <v/>
      </c>
      <c r="BD80" s="153">
        <f>IF($B80=1,$F$14,IF(N(Vintage_Input!P28)&gt;0,IFERROR((Vintage_Input!H28+Vintage_Input!AV28)/$C80+Products!$C$14-(Products!$C$43+Products!$C$19+Products!$C$43*Products!$C$22+Products!$C$44),""),""))</f>
        <v/>
      </c>
      <c r="BE80" s="153">
        <f>IF($B80=1,$G$14,IF(N(Vintage_Input!Q28)&gt;0,IFERROR((Vintage_Input!I28+Vintage_Input!AW28)/$C80+Products!$C$14-(Products!$C$43+Products!$C$19+Products!$C$43*Products!$C$22+Products!$C$44),""),""))</f>
        <v/>
      </c>
      <c r="BF80" s="153">
        <f>IF($B80=1,$H$14,IF(N(Vintage_Input!R28)&gt;0,IFERROR((Vintage_Input!J28+Vintage_Input!AX28)/$C80+Products!$C$14-(Products!$C$43+Products!$C$19+Products!$C$43*Products!$C$22+Products!$C$44),""),""))</f>
        <v/>
      </c>
      <c r="BG80" s="153">
        <f>IF($B80=1,$I$14,IF(N(Vintage_Input!S28)&gt;0,IFERROR((Vintage_Input!K28+Vintage_Input!AY28)/$C80+Products!$C$14-(Products!$C$43+Products!$C$19+Products!$C$43*Products!$C$22+Products!$C$44),""),""))</f>
        <v/>
      </c>
      <c r="BH80" s="81">
        <f>IF($B80=1,0,IF(Vintage_Input!$BH$28="","",Vintage_Input!$BH$28))</f>
        <v/>
      </c>
    </row>
    <row r="81">
      <c r="A81" s="23" t="n">
        <v>21</v>
      </c>
      <c r="B81" s="48">
        <f>Vintage_Input!$B$29</f>
        <v/>
      </c>
      <c r="C81" s="41">
        <f>IF(Vintage_Input!$C$29="",0,Vintage_Input!$C$29)</f>
        <v/>
      </c>
      <c r="D81" s="152">
        <f>IF($B81=1,$B$8,IF(N(Vintage_Input!L29)&gt;0,Vintage_Input!D29/Vintage_Input!L29,""))</f>
        <v/>
      </c>
      <c r="E81" s="152">
        <f>IF($B81=1,$C$8,IF(N(Vintage_Input!M29)&gt;0,Vintage_Input!E29/Vintage_Input!M29,""))</f>
        <v/>
      </c>
      <c r="F81" s="152">
        <f>IF($B81=1,$D$8,IF(N(Vintage_Input!N29)&gt;0,Vintage_Input!F29/Vintage_Input!N29,""))</f>
        <v/>
      </c>
      <c r="G81" s="152">
        <f>IF($B81=1,$E$8,IF(N(Vintage_Input!O29)&gt;0,Vintage_Input!G29/Vintage_Input!O29,""))</f>
        <v/>
      </c>
      <c r="H81" s="152">
        <f>IF($B81=1,$F$8,IF(N(Vintage_Input!P29)&gt;0,Vintage_Input!H29/Vintage_Input!P29,""))</f>
        <v/>
      </c>
      <c r="I81" s="152">
        <f>IF($B81=1,$G$8,IF(N(Vintage_Input!Q29)&gt;0,Vintage_Input!I29/Vintage_Input!Q29,""))</f>
        <v/>
      </c>
      <c r="J81" s="152">
        <f>IF($B81=1,$H$8,IF(N(Vintage_Input!R29)&gt;0,Vintage_Input!J29/Vintage_Input!R29,""))</f>
        <v/>
      </c>
      <c r="K81" s="152">
        <f>IF($B81=1,$I$8,IF(N(Vintage_Input!S29)&gt;0,Vintage_Input!K29/Vintage_Input!S29,""))</f>
        <v/>
      </c>
      <c r="L81" s="152">
        <f>IF($B81=1,$B$9,IF(N(Vintage_Input!L29)&gt;0,Vintage_Input!T29/Vintage_Input!L29,""))</f>
        <v/>
      </c>
      <c r="M81" s="152">
        <f>IF($B81=1,$C$9,IF(N(Vintage_Input!M29)&gt;0,Vintage_Input!U29/Vintage_Input!M29,""))</f>
        <v/>
      </c>
      <c r="N81" s="152">
        <f>IF($B81=1,$D$9,IF(N(Vintage_Input!N29)&gt;0,Vintage_Input!V29/Vintage_Input!N29,""))</f>
        <v/>
      </c>
      <c r="O81" s="152">
        <f>IF($B81=1,$E$9,IF(N(Vintage_Input!O29)&gt;0,Vintage_Input!W29/Vintage_Input!O29,""))</f>
        <v/>
      </c>
      <c r="P81" s="152">
        <f>IF($B81=1,$F$9,IF(N(Vintage_Input!P29)&gt;0,Vintage_Input!X29/Vintage_Input!P29,""))</f>
        <v/>
      </c>
      <c r="Q81" s="152">
        <f>IF($B81=1,$G$9,IF(N(Vintage_Input!Q29)&gt;0,Vintage_Input!Y29/Vintage_Input!Q29,""))</f>
        <v/>
      </c>
      <c r="R81" s="152">
        <f>IF($B81=1,$H$9,IF(N(Vintage_Input!R29)&gt;0,Vintage_Input!Z29/Vintage_Input!R29,""))</f>
        <v/>
      </c>
      <c r="S81" s="152">
        <f>IF($B81=1,$I$9,IF(N(Vintage_Input!S29)&gt;0,Vintage_Input!AA29/Vintage_Input!S29,""))</f>
        <v/>
      </c>
      <c r="T81" s="152">
        <f>IF($B81=1,$B$10,IF(N(Vintage_Input!L29)&gt;0,Vintage_Input!AB29/Vintage_Input!L29,""))</f>
        <v/>
      </c>
      <c r="U81" s="152">
        <f>IF($B81=1,$C$10,IF(N(Vintage_Input!M29)&gt;0,Vintage_Input!AC29/Vintage_Input!M29,""))</f>
        <v/>
      </c>
      <c r="V81" s="152">
        <f>IF($B81=1,$D$10,IF(N(Vintage_Input!N29)&gt;0,Vintage_Input!AD29/Vintage_Input!N29,""))</f>
        <v/>
      </c>
      <c r="W81" s="152">
        <f>IF($B81=1,$E$10,IF(N(Vintage_Input!O29)&gt;0,Vintage_Input!AE29/Vintage_Input!O29,""))</f>
        <v/>
      </c>
      <c r="X81" s="152">
        <f>IF($B81=1,$F$10,IF(N(Vintage_Input!P29)&gt;0,Vintage_Input!AF29/Vintage_Input!P29,""))</f>
        <v/>
      </c>
      <c r="Y81" s="152">
        <f>IF($B81=1,$G$10,IF(N(Vintage_Input!Q29)&gt;0,Vintage_Input!AG29/Vintage_Input!Q29,""))</f>
        <v/>
      </c>
      <c r="Z81" s="152">
        <f>IF($B81=1,$H$10,IF(N(Vintage_Input!R29)&gt;0,Vintage_Input!AH29/Vintage_Input!R29,""))</f>
        <v/>
      </c>
      <c r="AA81" s="152">
        <f>IF($B81=1,$I$10,IF(N(Vintage_Input!S29)&gt;0,Vintage_Input!AI29/Vintage_Input!S29,""))</f>
        <v/>
      </c>
      <c r="AB81" s="152">
        <f>IF($B81=1,$B$11,IF(N(Vintage_Input!L29)&gt;0,Vintage_Input!AJ29/Vintage_Input!L29,""))</f>
        <v/>
      </c>
      <c r="AC81" s="152">
        <f>IF($B81=1,$C$11,IF(N(Vintage_Input!M29)&gt;0,Vintage_Input!AK29/Vintage_Input!M29,""))</f>
        <v/>
      </c>
      <c r="AD81" s="152">
        <f>IF($B81=1,$D$11,IF(N(Vintage_Input!N29)&gt;0,Vintage_Input!AL29/Vintage_Input!N29,""))</f>
        <v/>
      </c>
      <c r="AE81" s="152">
        <f>IF($B81=1,$E$11,IF(N(Vintage_Input!O29)&gt;0,Vintage_Input!AM29/Vintage_Input!O29,""))</f>
        <v/>
      </c>
      <c r="AF81" s="152">
        <f>IF($B81=1,$F$11,IF(N(Vintage_Input!P29)&gt;0,Vintage_Input!AN29/Vintage_Input!P29,""))</f>
        <v/>
      </c>
      <c r="AG81" s="152">
        <f>IF($B81=1,$G$11,IF(N(Vintage_Input!Q29)&gt;0,Vintage_Input!AO29/Vintage_Input!Q29,""))</f>
        <v/>
      </c>
      <c r="AH81" s="152">
        <f>IF($B81=1,$H$11,IF(N(Vintage_Input!R29)&gt;0,Vintage_Input!AP29/Vintage_Input!R29,""))</f>
        <v/>
      </c>
      <c r="AI81" s="152">
        <f>IF($B81=1,$I$11,IF(N(Vintage_Input!S29)&gt;0,Vintage_Input!AQ29/Vintage_Input!S29,""))</f>
        <v/>
      </c>
      <c r="AJ81" s="152">
        <f>IF($B81=1,$B$12,IF(N(Vintage_Input!L29)&gt;0,IFERROR(Vintage_Input!AR29/Vintage_Input!AJ29,""),""))</f>
        <v/>
      </c>
      <c r="AK81" s="152">
        <f>IF($B81=1,$C$12,IF(N(Vintage_Input!M29)&gt;0,IFERROR(Vintage_Input!AS29/Vintage_Input!AK29,""),""))</f>
        <v/>
      </c>
      <c r="AL81" s="152">
        <f>IF($B81=1,$D$12,IF(N(Vintage_Input!N29)&gt;0,IFERROR(Vintage_Input!AT29/Vintage_Input!AL29,""),""))</f>
        <v/>
      </c>
      <c r="AM81" s="152">
        <f>IF($B81=1,$E$12,IF(N(Vintage_Input!O29)&gt;0,IFERROR(Vintage_Input!AU29/Vintage_Input!AM29,""),""))</f>
        <v/>
      </c>
      <c r="AN81" s="152">
        <f>IF($B81=1,$F$12,IF(N(Vintage_Input!P29)&gt;0,IFERROR(Vintage_Input!AV29/Vintage_Input!AN29,""),""))</f>
        <v/>
      </c>
      <c r="AO81" s="152">
        <f>IF($B81=1,$G$12,IF(N(Vintage_Input!Q29)&gt;0,IFERROR(Vintage_Input!AW29/Vintage_Input!AO29,""),""))</f>
        <v/>
      </c>
      <c r="AP81" s="152">
        <f>IF($B81=1,$H$12,IF(N(Vintage_Input!R29)&gt;0,IFERROR(Vintage_Input!AX29/Vintage_Input!AP29,""),""))</f>
        <v/>
      </c>
      <c r="AQ81" s="152">
        <f>IF($B81=1,$I$12,IF(N(Vintage_Input!S29)&gt;0,IFERROR(Vintage_Input!AY29/Vintage_Input!AQ29,""),""))</f>
        <v/>
      </c>
      <c r="AR81" s="152">
        <f>IF($B81=1,$B$13,IF(N(Vintage_Input!L29)&gt;0,IFERROR(Vintage_Input!AZ29/$C81,""),""))</f>
        <v/>
      </c>
      <c r="AS81" s="152">
        <f>IF($B81=1,$C$13,IF(N(Vintage_Input!M29)&gt;0,IFERROR(Vintage_Input!BA29/$C81,""),""))</f>
        <v/>
      </c>
      <c r="AT81" s="152">
        <f>IF($B81=1,$D$13,IF(N(Vintage_Input!N29)&gt;0,IFERROR(Vintage_Input!BB29/$C81,""),""))</f>
        <v/>
      </c>
      <c r="AU81" s="152">
        <f>IF($B81=1,$E$13,IF(N(Vintage_Input!O29)&gt;0,IFERROR(Vintage_Input!BC29/$C81,""),""))</f>
        <v/>
      </c>
      <c r="AV81" s="152">
        <f>IF($B81=1,$F$13,IF(N(Vintage_Input!P29)&gt;0,IFERROR(Vintage_Input!BD29/$C81,""),""))</f>
        <v/>
      </c>
      <c r="AW81" s="152">
        <f>IF($B81=1,$G$13,IF(N(Vintage_Input!Q29)&gt;0,IFERROR(Vintage_Input!BE29/$C81,""),""))</f>
        <v/>
      </c>
      <c r="AX81" s="152">
        <f>IF($B81=1,$H$13,IF(N(Vintage_Input!R29)&gt;0,IFERROR(Vintage_Input!BF29/$C81,""),""))</f>
        <v/>
      </c>
      <c r="AY81" s="152">
        <f>IF($B81=1,$I$13,IF(N(Vintage_Input!S29)&gt;0,IFERROR(Vintage_Input!BG29/$C81,""),""))</f>
        <v/>
      </c>
      <c r="AZ81" s="153">
        <f>IF($B81=1,$B$14,IF(N(Vintage_Input!L29)&gt;0,IFERROR((Vintage_Input!D29+Vintage_Input!AR29)/$C81+Products!$C$14-(Products!$C$43+Products!$C$19+Products!$C$43*Products!$C$22+Products!$C$44),""),""))</f>
        <v/>
      </c>
      <c r="BA81" s="153">
        <f>IF($B81=1,$C$14,IF(N(Vintage_Input!M29)&gt;0,IFERROR((Vintage_Input!E29+Vintage_Input!AS29)/$C81+Products!$C$14-(Products!$C$43+Products!$C$19+Products!$C$43*Products!$C$22+Products!$C$44),""),""))</f>
        <v/>
      </c>
      <c r="BB81" s="153">
        <f>IF($B81=1,$D$14,IF(N(Vintage_Input!N29)&gt;0,IFERROR((Vintage_Input!F29+Vintage_Input!AT29)/$C81+Products!$C$14-(Products!$C$43+Products!$C$19+Products!$C$43*Products!$C$22+Products!$C$44),""),""))</f>
        <v/>
      </c>
      <c r="BC81" s="153">
        <f>IF($B81=1,$E$14,IF(N(Vintage_Input!O29)&gt;0,IFERROR((Vintage_Input!G29+Vintage_Input!AU29)/$C81+Products!$C$14-(Products!$C$43+Products!$C$19+Products!$C$43*Products!$C$22+Products!$C$44),""),""))</f>
        <v/>
      </c>
      <c r="BD81" s="153">
        <f>IF($B81=1,$F$14,IF(N(Vintage_Input!P29)&gt;0,IFERROR((Vintage_Input!H29+Vintage_Input!AV29)/$C81+Products!$C$14-(Products!$C$43+Products!$C$19+Products!$C$43*Products!$C$22+Products!$C$44),""),""))</f>
        <v/>
      </c>
      <c r="BE81" s="153">
        <f>IF($B81=1,$G$14,IF(N(Vintage_Input!Q29)&gt;0,IFERROR((Vintage_Input!I29+Vintage_Input!AW29)/$C81+Products!$C$14-(Products!$C$43+Products!$C$19+Products!$C$43*Products!$C$22+Products!$C$44),""),""))</f>
        <v/>
      </c>
      <c r="BF81" s="153">
        <f>IF($B81=1,$H$14,IF(N(Vintage_Input!R29)&gt;0,IFERROR((Vintage_Input!J29+Vintage_Input!AX29)/$C81+Products!$C$14-(Products!$C$43+Products!$C$19+Products!$C$43*Products!$C$22+Products!$C$44),""),""))</f>
        <v/>
      </c>
      <c r="BG81" s="153">
        <f>IF($B81=1,$I$14,IF(N(Vintage_Input!S29)&gt;0,IFERROR((Vintage_Input!K29+Vintage_Input!AY29)/$C81+Products!$C$14-(Products!$C$43+Products!$C$19+Products!$C$43*Products!$C$22+Products!$C$44),""),""))</f>
        <v/>
      </c>
      <c r="BH81" s="81">
        <f>IF($B81=1,0,IF(Vintage_Input!$BH$29="","",Vintage_Input!$BH$29))</f>
        <v/>
      </c>
    </row>
    <row r="82">
      <c r="A82" s="23" t="n">
        <v>22</v>
      </c>
      <c r="B82" s="48">
        <f>Vintage_Input!$B$30</f>
        <v/>
      </c>
      <c r="C82" s="41">
        <f>IF(Vintage_Input!$C$30="",0,Vintage_Input!$C$30)</f>
        <v/>
      </c>
      <c r="D82" s="152">
        <f>IF($B82=1,$B$8,IF(N(Vintage_Input!L30)&gt;0,Vintage_Input!D30/Vintage_Input!L30,""))</f>
        <v/>
      </c>
      <c r="E82" s="152">
        <f>IF($B82=1,$C$8,IF(N(Vintage_Input!M30)&gt;0,Vintage_Input!E30/Vintage_Input!M30,""))</f>
        <v/>
      </c>
      <c r="F82" s="152">
        <f>IF($B82=1,$D$8,IF(N(Vintage_Input!N30)&gt;0,Vintage_Input!F30/Vintage_Input!N30,""))</f>
        <v/>
      </c>
      <c r="G82" s="152">
        <f>IF($B82=1,$E$8,IF(N(Vintage_Input!O30)&gt;0,Vintage_Input!G30/Vintage_Input!O30,""))</f>
        <v/>
      </c>
      <c r="H82" s="152">
        <f>IF($B82=1,$F$8,IF(N(Vintage_Input!P30)&gt;0,Vintage_Input!H30/Vintage_Input!P30,""))</f>
        <v/>
      </c>
      <c r="I82" s="152">
        <f>IF($B82=1,$G$8,IF(N(Vintage_Input!Q30)&gt;0,Vintage_Input!I30/Vintage_Input!Q30,""))</f>
        <v/>
      </c>
      <c r="J82" s="152">
        <f>IF($B82=1,$H$8,IF(N(Vintage_Input!R30)&gt;0,Vintage_Input!J30/Vintage_Input!R30,""))</f>
        <v/>
      </c>
      <c r="K82" s="152">
        <f>IF($B82=1,$I$8,IF(N(Vintage_Input!S30)&gt;0,Vintage_Input!K30/Vintage_Input!S30,""))</f>
        <v/>
      </c>
      <c r="L82" s="152">
        <f>IF($B82=1,$B$9,IF(N(Vintage_Input!L30)&gt;0,Vintage_Input!T30/Vintage_Input!L30,""))</f>
        <v/>
      </c>
      <c r="M82" s="152">
        <f>IF($B82=1,$C$9,IF(N(Vintage_Input!M30)&gt;0,Vintage_Input!U30/Vintage_Input!M30,""))</f>
        <v/>
      </c>
      <c r="N82" s="152">
        <f>IF($B82=1,$D$9,IF(N(Vintage_Input!N30)&gt;0,Vintage_Input!V30/Vintage_Input!N30,""))</f>
        <v/>
      </c>
      <c r="O82" s="152">
        <f>IF($B82=1,$E$9,IF(N(Vintage_Input!O30)&gt;0,Vintage_Input!W30/Vintage_Input!O30,""))</f>
        <v/>
      </c>
      <c r="P82" s="152">
        <f>IF($B82=1,$F$9,IF(N(Vintage_Input!P30)&gt;0,Vintage_Input!X30/Vintage_Input!P30,""))</f>
        <v/>
      </c>
      <c r="Q82" s="152">
        <f>IF($B82=1,$G$9,IF(N(Vintage_Input!Q30)&gt;0,Vintage_Input!Y30/Vintage_Input!Q30,""))</f>
        <v/>
      </c>
      <c r="R82" s="152">
        <f>IF($B82=1,$H$9,IF(N(Vintage_Input!R30)&gt;0,Vintage_Input!Z30/Vintage_Input!R30,""))</f>
        <v/>
      </c>
      <c r="S82" s="152">
        <f>IF($B82=1,$I$9,IF(N(Vintage_Input!S30)&gt;0,Vintage_Input!AA30/Vintage_Input!S30,""))</f>
        <v/>
      </c>
      <c r="T82" s="152">
        <f>IF($B82=1,$B$10,IF(N(Vintage_Input!L30)&gt;0,Vintage_Input!AB30/Vintage_Input!L30,""))</f>
        <v/>
      </c>
      <c r="U82" s="152">
        <f>IF($B82=1,$C$10,IF(N(Vintage_Input!M30)&gt;0,Vintage_Input!AC30/Vintage_Input!M30,""))</f>
        <v/>
      </c>
      <c r="V82" s="152">
        <f>IF($B82=1,$D$10,IF(N(Vintage_Input!N30)&gt;0,Vintage_Input!AD30/Vintage_Input!N30,""))</f>
        <v/>
      </c>
      <c r="W82" s="152">
        <f>IF($B82=1,$E$10,IF(N(Vintage_Input!O30)&gt;0,Vintage_Input!AE30/Vintage_Input!O30,""))</f>
        <v/>
      </c>
      <c r="X82" s="152">
        <f>IF($B82=1,$F$10,IF(N(Vintage_Input!P30)&gt;0,Vintage_Input!AF30/Vintage_Input!P30,""))</f>
        <v/>
      </c>
      <c r="Y82" s="152">
        <f>IF($B82=1,$G$10,IF(N(Vintage_Input!Q30)&gt;0,Vintage_Input!AG30/Vintage_Input!Q30,""))</f>
        <v/>
      </c>
      <c r="Z82" s="152">
        <f>IF($B82=1,$H$10,IF(N(Vintage_Input!R30)&gt;0,Vintage_Input!AH30/Vintage_Input!R30,""))</f>
        <v/>
      </c>
      <c r="AA82" s="152">
        <f>IF($B82=1,$I$10,IF(N(Vintage_Input!S30)&gt;0,Vintage_Input!AI30/Vintage_Input!S30,""))</f>
        <v/>
      </c>
      <c r="AB82" s="152">
        <f>IF($B82=1,$B$11,IF(N(Vintage_Input!L30)&gt;0,Vintage_Input!AJ30/Vintage_Input!L30,""))</f>
        <v/>
      </c>
      <c r="AC82" s="152">
        <f>IF($B82=1,$C$11,IF(N(Vintage_Input!M30)&gt;0,Vintage_Input!AK30/Vintage_Input!M30,""))</f>
        <v/>
      </c>
      <c r="AD82" s="152">
        <f>IF($B82=1,$D$11,IF(N(Vintage_Input!N30)&gt;0,Vintage_Input!AL30/Vintage_Input!N30,""))</f>
        <v/>
      </c>
      <c r="AE82" s="152">
        <f>IF($B82=1,$E$11,IF(N(Vintage_Input!O30)&gt;0,Vintage_Input!AM30/Vintage_Input!O30,""))</f>
        <v/>
      </c>
      <c r="AF82" s="152">
        <f>IF($B82=1,$F$11,IF(N(Vintage_Input!P30)&gt;0,Vintage_Input!AN30/Vintage_Input!P30,""))</f>
        <v/>
      </c>
      <c r="AG82" s="152">
        <f>IF($B82=1,$G$11,IF(N(Vintage_Input!Q30)&gt;0,Vintage_Input!AO30/Vintage_Input!Q30,""))</f>
        <v/>
      </c>
      <c r="AH82" s="152">
        <f>IF($B82=1,$H$11,IF(N(Vintage_Input!R30)&gt;0,Vintage_Input!AP30/Vintage_Input!R30,""))</f>
        <v/>
      </c>
      <c r="AI82" s="152">
        <f>IF($B82=1,$I$11,IF(N(Vintage_Input!S30)&gt;0,Vintage_Input!AQ30/Vintage_Input!S30,""))</f>
        <v/>
      </c>
      <c r="AJ82" s="152">
        <f>IF($B82=1,$B$12,IF(N(Vintage_Input!L30)&gt;0,IFERROR(Vintage_Input!AR30/Vintage_Input!AJ30,""),""))</f>
        <v/>
      </c>
      <c r="AK82" s="152">
        <f>IF($B82=1,$C$12,IF(N(Vintage_Input!M30)&gt;0,IFERROR(Vintage_Input!AS30/Vintage_Input!AK30,""),""))</f>
        <v/>
      </c>
      <c r="AL82" s="152">
        <f>IF($B82=1,$D$12,IF(N(Vintage_Input!N30)&gt;0,IFERROR(Vintage_Input!AT30/Vintage_Input!AL30,""),""))</f>
        <v/>
      </c>
      <c r="AM82" s="152">
        <f>IF($B82=1,$E$12,IF(N(Vintage_Input!O30)&gt;0,IFERROR(Vintage_Input!AU30/Vintage_Input!AM30,""),""))</f>
        <v/>
      </c>
      <c r="AN82" s="152">
        <f>IF($B82=1,$F$12,IF(N(Vintage_Input!P30)&gt;0,IFERROR(Vintage_Input!AV30/Vintage_Input!AN30,""),""))</f>
        <v/>
      </c>
      <c r="AO82" s="152">
        <f>IF($B82=1,$G$12,IF(N(Vintage_Input!Q30)&gt;0,IFERROR(Vintage_Input!AW30/Vintage_Input!AO30,""),""))</f>
        <v/>
      </c>
      <c r="AP82" s="152">
        <f>IF($B82=1,$H$12,IF(N(Vintage_Input!R30)&gt;0,IFERROR(Vintage_Input!AX30/Vintage_Input!AP30,""),""))</f>
        <v/>
      </c>
      <c r="AQ82" s="152">
        <f>IF($B82=1,$I$12,IF(N(Vintage_Input!S30)&gt;0,IFERROR(Vintage_Input!AY30/Vintage_Input!AQ30,""),""))</f>
        <v/>
      </c>
      <c r="AR82" s="152">
        <f>IF($B82=1,$B$13,IF(N(Vintage_Input!L30)&gt;0,IFERROR(Vintage_Input!AZ30/$C82,""),""))</f>
        <v/>
      </c>
      <c r="AS82" s="152">
        <f>IF($B82=1,$C$13,IF(N(Vintage_Input!M30)&gt;0,IFERROR(Vintage_Input!BA30/$C82,""),""))</f>
        <v/>
      </c>
      <c r="AT82" s="152">
        <f>IF($B82=1,$D$13,IF(N(Vintage_Input!N30)&gt;0,IFERROR(Vintage_Input!BB30/$C82,""),""))</f>
        <v/>
      </c>
      <c r="AU82" s="152">
        <f>IF($B82=1,$E$13,IF(N(Vintage_Input!O30)&gt;0,IFERROR(Vintage_Input!BC30/$C82,""),""))</f>
        <v/>
      </c>
      <c r="AV82" s="152">
        <f>IF($B82=1,$F$13,IF(N(Vintage_Input!P30)&gt;0,IFERROR(Vintage_Input!BD30/$C82,""),""))</f>
        <v/>
      </c>
      <c r="AW82" s="152">
        <f>IF($B82=1,$G$13,IF(N(Vintage_Input!Q30)&gt;0,IFERROR(Vintage_Input!BE30/$C82,""),""))</f>
        <v/>
      </c>
      <c r="AX82" s="152">
        <f>IF($B82=1,$H$13,IF(N(Vintage_Input!R30)&gt;0,IFERROR(Vintage_Input!BF30/$C82,""),""))</f>
        <v/>
      </c>
      <c r="AY82" s="152">
        <f>IF($B82=1,$I$13,IF(N(Vintage_Input!S30)&gt;0,IFERROR(Vintage_Input!BG30/$C82,""),""))</f>
        <v/>
      </c>
      <c r="AZ82" s="153">
        <f>IF($B82=1,$B$14,IF(N(Vintage_Input!L30)&gt;0,IFERROR((Vintage_Input!D30+Vintage_Input!AR30)/$C82+Products!$C$14-(Products!$C$43+Products!$C$19+Products!$C$43*Products!$C$22+Products!$C$44),""),""))</f>
        <v/>
      </c>
      <c r="BA82" s="153">
        <f>IF($B82=1,$C$14,IF(N(Vintage_Input!M30)&gt;0,IFERROR((Vintage_Input!E30+Vintage_Input!AS30)/$C82+Products!$C$14-(Products!$C$43+Products!$C$19+Products!$C$43*Products!$C$22+Products!$C$44),""),""))</f>
        <v/>
      </c>
      <c r="BB82" s="153">
        <f>IF($B82=1,$D$14,IF(N(Vintage_Input!N30)&gt;0,IFERROR((Vintage_Input!F30+Vintage_Input!AT30)/$C82+Products!$C$14-(Products!$C$43+Products!$C$19+Products!$C$43*Products!$C$22+Products!$C$44),""),""))</f>
        <v/>
      </c>
      <c r="BC82" s="153">
        <f>IF($B82=1,$E$14,IF(N(Vintage_Input!O30)&gt;0,IFERROR((Vintage_Input!G30+Vintage_Input!AU30)/$C82+Products!$C$14-(Products!$C$43+Products!$C$19+Products!$C$43*Products!$C$22+Products!$C$44),""),""))</f>
        <v/>
      </c>
      <c r="BD82" s="153">
        <f>IF($B82=1,$F$14,IF(N(Vintage_Input!P30)&gt;0,IFERROR((Vintage_Input!H30+Vintage_Input!AV30)/$C82+Products!$C$14-(Products!$C$43+Products!$C$19+Products!$C$43*Products!$C$22+Products!$C$44),""),""))</f>
        <v/>
      </c>
      <c r="BE82" s="153">
        <f>IF($B82=1,$G$14,IF(N(Vintage_Input!Q30)&gt;0,IFERROR((Vintage_Input!I30+Vintage_Input!AW30)/$C82+Products!$C$14-(Products!$C$43+Products!$C$19+Products!$C$43*Products!$C$22+Products!$C$44),""),""))</f>
        <v/>
      </c>
      <c r="BF82" s="153">
        <f>IF($B82=1,$H$14,IF(N(Vintage_Input!R30)&gt;0,IFERROR((Vintage_Input!J30+Vintage_Input!AX30)/$C82+Products!$C$14-(Products!$C$43+Products!$C$19+Products!$C$43*Products!$C$22+Products!$C$44),""),""))</f>
        <v/>
      </c>
      <c r="BG82" s="153">
        <f>IF($B82=1,$I$14,IF(N(Vintage_Input!S30)&gt;0,IFERROR((Vintage_Input!K30+Vintage_Input!AY30)/$C82+Products!$C$14-(Products!$C$43+Products!$C$19+Products!$C$43*Products!$C$22+Products!$C$44),""),""))</f>
        <v/>
      </c>
      <c r="BH82" s="81">
        <f>IF($B82=1,0,IF(Vintage_Input!$BH$30="","",Vintage_Input!$BH$30))</f>
        <v/>
      </c>
    </row>
    <row r="83">
      <c r="A83" s="23" t="n">
        <v>23</v>
      </c>
      <c r="B83" s="48">
        <f>Vintage_Input!$B$31</f>
        <v/>
      </c>
      <c r="C83" s="41">
        <f>IF(Vintage_Input!$C$31="",0,Vintage_Input!$C$31)</f>
        <v/>
      </c>
      <c r="D83" s="152">
        <f>IF($B83=1,$B$8,IF(N(Vintage_Input!L31)&gt;0,Vintage_Input!D31/Vintage_Input!L31,""))</f>
        <v/>
      </c>
      <c r="E83" s="152">
        <f>IF($B83=1,$C$8,IF(N(Vintage_Input!M31)&gt;0,Vintage_Input!E31/Vintage_Input!M31,""))</f>
        <v/>
      </c>
      <c r="F83" s="152">
        <f>IF($B83=1,$D$8,IF(N(Vintage_Input!N31)&gt;0,Vintage_Input!F31/Vintage_Input!N31,""))</f>
        <v/>
      </c>
      <c r="G83" s="152">
        <f>IF($B83=1,$E$8,IF(N(Vintage_Input!O31)&gt;0,Vintage_Input!G31/Vintage_Input!O31,""))</f>
        <v/>
      </c>
      <c r="H83" s="152">
        <f>IF($B83=1,$F$8,IF(N(Vintage_Input!P31)&gt;0,Vintage_Input!H31/Vintage_Input!P31,""))</f>
        <v/>
      </c>
      <c r="I83" s="152">
        <f>IF($B83=1,$G$8,IF(N(Vintage_Input!Q31)&gt;0,Vintage_Input!I31/Vintage_Input!Q31,""))</f>
        <v/>
      </c>
      <c r="J83" s="152">
        <f>IF($B83=1,$H$8,IF(N(Vintage_Input!R31)&gt;0,Vintage_Input!J31/Vintage_Input!R31,""))</f>
        <v/>
      </c>
      <c r="K83" s="152">
        <f>IF($B83=1,$I$8,IF(N(Vintage_Input!S31)&gt;0,Vintage_Input!K31/Vintage_Input!S31,""))</f>
        <v/>
      </c>
      <c r="L83" s="152">
        <f>IF($B83=1,$B$9,IF(N(Vintage_Input!L31)&gt;0,Vintage_Input!T31/Vintage_Input!L31,""))</f>
        <v/>
      </c>
      <c r="M83" s="152">
        <f>IF($B83=1,$C$9,IF(N(Vintage_Input!M31)&gt;0,Vintage_Input!U31/Vintage_Input!M31,""))</f>
        <v/>
      </c>
      <c r="N83" s="152">
        <f>IF($B83=1,$D$9,IF(N(Vintage_Input!N31)&gt;0,Vintage_Input!V31/Vintage_Input!N31,""))</f>
        <v/>
      </c>
      <c r="O83" s="152">
        <f>IF($B83=1,$E$9,IF(N(Vintage_Input!O31)&gt;0,Vintage_Input!W31/Vintage_Input!O31,""))</f>
        <v/>
      </c>
      <c r="P83" s="152">
        <f>IF($B83=1,$F$9,IF(N(Vintage_Input!P31)&gt;0,Vintage_Input!X31/Vintage_Input!P31,""))</f>
        <v/>
      </c>
      <c r="Q83" s="152">
        <f>IF($B83=1,$G$9,IF(N(Vintage_Input!Q31)&gt;0,Vintage_Input!Y31/Vintage_Input!Q31,""))</f>
        <v/>
      </c>
      <c r="R83" s="152">
        <f>IF($B83=1,$H$9,IF(N(Vintage_Input!R31)&gt;0,Vintage_Input!Z31/Vintage_Input!R31,""))</f>
        <v/>
      </c>
      <c r="S83" s="152">
        <f>IF($B83=1,$I$9,IF(N(Vintage_Input!S31)&gt;0,Vintage_Input!AA31/Vintage_Input!S31,""))</f>
        <v/>
      </c>
      <c r="T83" s="152">
        <f>IF($B83=1,$B$10,IF(N(Vintage_Input!L31)&gt;0,Vintage_Input!AB31/Vintage_Input!L31,""))</f>
        <v/>
      </c>
      <c r="U83" s="152">
        <f>IF($B83=1,$C$10,IF(N(Vintage_Input!M31)&gt;0,Vintage_Input!AC31/Vintage_Input!M31,""))</f>
        <v/>
      </c>
      <c r="V83" s="152">
        <f>IF($B83=1,$D$10,IF(N(Vintage_Input!N31)&gt;0,Vintage_Input!AD31/Vintage_Input!N31,""))</f>
        <v/>
      </c>
      <c r="W83" s="152">
        <f>IF($B83=1,$E$10,IF(N(Vintage_Input!O31)&gt;0,Vintage_Input!AE31/Vintage_Input!O31,""))</f>
        <v/>
      </c>
      <c r="X83" s="152">
        <f>IF($B83=1,$F$10,IF(N(Vintage_Input!P31)&gt;0,Vintage_Input!AF31/Vintage_Input!P31,""))</f>
        <v/>
      </c>
      <c r="Y83" s="152">
        <f>IF($B83=1,$G$10,IF(N(Vintage_Input!Q31)&gt;0,Vintage_Input!AG31/Vintage_Input!Q31,""))</f>
        <v/>
      </c>
      <c r="Z83" s="152">
        <f>IF($B83=1,$H$10,IF(N(Vintage_Input!R31)&gt;0,Vintage_Input!AH31/Vintage_Input!R31,""))</f>
        <v/>
      </c>
      <c r="AA83" s="152">
        <f>IF($B83=1,$I$10,IF(N(Vintage_Input!S31)&gt;0,Vintage_Input!AI31/Vintage_Input!S31,""))</f>
        <v/>
      </c>
      <c r="AB83" s="152">
        <f>IF($B83=1,$B$11,IF(N(Vintage_Input!L31)&gt;0,Vintage_Input!AJ31/Vintage_Input!L31,""))</f>
        <v/>
      </c>
      <c r="AC83" s="152">
        <f>IF($B83=1,$C$11,IF(N(Vintage_Input!M31)&gt;0,Vintage_Input!AK31/Vintage_Input!M31,""))</f>
        <v/>
      </c>
      <c r="AD83" s="152">
        <f>IF($B83=1,$D$11,IF(N(Vintage_Input!N31)&gt;0,Vintage_Input!AL31/Vintage_Input!N31,""))</f>
        <v/>
      </c>
      <c r="AE83" s="152">
        <f>IF($B83=1,$E$11,IF(N(Vintage_Input!O31)&gt;0,Vintage_Input!AM31/Vintage_Input!O31,""))</f>
        <v/>
      </c>
      <c r="AF83" s="152">
        <f>IF($B83=1,$F$11,IF(N(Vintage_Input!P31)&gt;0,Vintage_Input!AN31/Vintage_Input!P31,""))</f>
        <v/>
      </c>
      <c r="AG83" s="152">
        <f>IF($B83=1,$G$11,IF(N(Vintage_Input!Q31)&gt;0,Vintage_Input!AO31/Vintage_Input!Q31,""))</f>
        <v/>
      </c>
      <c r="AH83" s="152">
        <f>IF($B83=1,$H$11,IF(N(Vintage_Input!R31)&gt;0,Vintage_Input!AP31/Vintage_Input!R31,""))</f>
        <v/>
      </c>
      <c r="AI83" s="152">
        <f>IF($B83=1,$I$11,IF(N(Vintage_Input!S31)&gt;0,Vintage_Input!AQ31/Vintage_Input!S31,""))</f>
        <v/>
      </c>
      <c r="AJ83" s="152">
        <f>IF($B83=1,$B$12,IF(N(Vintage_Input!L31)&gt;0,IFERROR(Vintage_Input!AR31/Vintage_Input!AJ31,""),""))</f>
        <v/>
      </c>
      <c r="AK83" s="152">
        <f>IF($B83=1,$C$12,IF(N(Vintage_Input!M31)&gt;0,IFERROR(Vintage_Input!AS31/Vintage_Input!AK31,""),""))</f>
        <v/>
      </c>
      <c r="AL83" s="152">
        <f>IF($B83=1,$D$12,IF(N(Vintage_Input!N31)&gt;0,IFERROR(Vintage_Input!AT31/Vintage_Input!AL31,""),""))</f>
        <v/>
      </c>
      <c r="AM83" s="152">
        <f>IF($B83=1,$E$12,IF(N(Vintage_Input!O31)&gt;0,IFERROR(Vintage_Input!AU31/Vintage_Input!AM31,""),""))</f>
        <v/>
      </c>
      <c r="AN83" s="152">
        <f>IF($B83=1,$F$12,IF(N(Vintage_Input!P31)&gt;0,IFERROR(Vintage_Input!AV31/Vintage_Input!AN31,""),""))</f>
        <v/>
      </c>
      <c r="AO83" s="152">
        <f>IF($B83=1,$G$12,IF(N(Vintage_Input!Q31)&gt;0,IFERROR(Vintage_Input!AW31/Vintage_Input!AO31,""),""))</f>
        <v/>
      </c>
      <c r="AP83" s="152">
        <f>IF($B83=1,$H$12,IF(N(Vintage_Input!R31)&gt;0,IFERROR(Vintage_Input!AX31/Vintage_Input!AP31,""),""))</f>
        <v/>
      </c>
      <c r="AQ83" s="152">
        <f>IF($B83=1,$I$12,IF(N(Vintage_Input!S31)&gt;0,IFERROR(Vintage_Input!AY31/Vintage_Input!AQ31,""),""))</f>
        <v/>
      </c>
      <c r="AR83" s="152">
        <f>IF($B83=1,$B$13,IF(N(Vintage_Input!L31)&gt;0,IFERROR(Vintage_Input!AZ31/$C83,""),""))</f>
        <v/>
      </c>
      <c r="AS83" s="152">
        <f>IF($B83=1,$C$13,IF(N(Vintage_Input!M31)&gt;0,IFERROR(Vintage_Input!BA31/$C83,""),""))</f>
        <v/>
      </c>
      <c r="AT83" s="152">
        <f>IF($B83=1,$D$13,IF(N(Vintage_Input!N31)&gt;0,IFERROR(Vintage_Input!BB31/$C83,""),""))</f>
        <v/>
      </c>
      <c r="AU83" s="152">
        <f>IF($B83=1,$E$13,IF(N(Vintage_Input!O31)&gt;0,IFERROR(Vintage_Input!BC31/$C83,""),""))</f>
        <v/>
      </c>
      <c r="AV83" s="152">
        <f>IF($B83=1,$F$13,IF(N(Vintage_Input!P31)&gt;0,IFERROR(Vintage_Input!BD31/$C83,""),""))</f>
        <v/>
      </c>
      <c r="AW83" s="152">
        <f>IF($B83=1,$G$13,IF(N(Vintage_Input!Q31)&gt;0,IFERROR(Vintage_Input!BE31/$C83,""),""))</f>
        <v/>
      </c>
      <c r="AX83" s="152">
        <f>IF($B83=1,$H$13,IF(N(Vintage_Input!R31)&gt;0,IFERROR(Vintage_Input!BF31/$C83,""),""))</f>
        <v/>
      </c>
      <c r="AY83" s="152">
        <f>IF($B83=1,$I$13,IF(N(Vintage_Input!S31)&gt;0,IFERROR(Vintage_Input!BG31/$C83,""),""))</f>
        <v/>
      </c>
      <c r="AZ83" s="153">
        <f>IF($B83=1,$B$14,IF(N(Vintage_Input!L31)&gt;0,IFERROR((Vintage_Input!D31+Vintage_Input!AR31)/$C83+Products!$C$14-(Products!$C$43+Products!$C$19+Products!$C$43*Products!$C$22+Products!$C$44),""),""))</f>
        <v/>
      </c>
      <c r="BA83" s="153">
        <f>IF($B83=1,$C$14,IF(N(Vintage_Input!M31)&gt;0,IFERROR((Vintage_Input!E31+Vintage_Input!AS31)/$C83+Products!$C$14-(Products!$C$43+Products!$C$19+Products!$C$43*Products!$C$22+Products!$C$44),""),""))</f>
        <v/>
      </c>
      <c r="BB83" s="153">
        <f>IF($B83=1,$D$14,IF(N(Vintage_Input!N31)&gt;0,IFERROR((Vintage_Input!F31+Vintage_Input!AT31)/$C83+Products!$C$14-(Products!$C$43+Products!$C$19+Products!$C$43*Products!$C$22+Products!$C$44),""),""))</f>
        <v/>
      </c>
      <c r="BC83" s="153">
        <f>IF($B83=1,$E$14,IF(N(Vintage_Input!O31)&gt;0,IFERROR((Vintage_Input!G31+Vintage_Input!AU31)/$C83+Products!$C$14-(Products!$C$43+Products!$C$19+Products!$C$43*Products!$C$22+Products!$C$44),""),""))</f>
        <v/>
      </c>
      <c r="BD83" s="153">
        <f>IF($B83=1,$F$14,IF(N(Vintage_Input!P31)&gt;0,IFERROR((Vintage_Input!H31+Vintage_Input!AV31)/$C83+Products!$C$14-(Products!$C$43+Products!$C$19+Products!$C$43*Products!$C$22+Products!$C$44),""),""))</f>
        <v/>
      </c>
      <c r="BE83" s="153">
        <f>IF($B83=1,$G$14,IF(N(Vintage_Input!Q31)&gt;0,IFERROR((Vintage_Input!I31+Vintage_Input!AW31)/$C83+Products!$C$14-(Products!$C$43+Products!$C$19+Products!$C$43*Products!$C$22+Products!$C$44),""),""))</f>
        <v/>
      </c>
      <c r="BF83" s="153">
        <f>IF($B83=1,$H$14,IF(N(Vintage_Input!R31)&gt;0,IFERROR((Vintage_Input!J31+Vintage_Input!AX31)/$C83+Products!$C$14-(Products!$C$43+Products!$C$19+Products!$C$43*Products!$C$22+Products!$C$44),""),""))</f>
        <v/>
      </c>
      <c r="BG83" s="153">
        <f>IF($B83=1,$I$14,IF(N(Vintage_Input!S31)&gt;0,IFERROR((Vintage_Input!K31+Vintage_Input!AY31)/$C83+Products!$C$14-(Products!$C$43+Products!$C$19+Products!$C$43*Products!$C$22+Products!$C$44),""),""))</f>
        <v/>
      </c>
      <c r="BH83" s="81">
        <f>IF($B83=1,0,IF(Vintage_Input!$BH$31="","",Vintage_Input!$BH$31))</f>
        <v/>
      </c>
    </row>
    <row r="84">
      <c r="A84" s="23" t="n">
        <v>24</v>
      </c>
      <c r="B84" s="48">
        <f>Vintage_Input!$B$32</f>
        <v/>
      </c>
      <c r="C84" s="41">
        <f>IF(Vintage_Input!$C$32="",0,Vintage_Input!$C$32)</f>
        <v/>
      </c>
      <c r="D84" s="152">
        <f>IF($B84=1,$B$8,IF(N(Vintage_Input!L32)&gt;0,Vintage_Input!D32/Vintage_Input!L32,""))</f>
        <v/>
      </c>
      <c r="E84" s="152">
        <f>IF($B84=1,$C$8,IF(N(Vintage_Input!M32)&gt;0,Vintage_Input!E32/Vintage_Input!M32,""))</f>
        <v/>
      </c>
      <c r="F84" s="152">
        <f>IF($B84=1,$D$8,IF(N(Vintage_Input!N32)&gt;0,Vintage_Input!F32/Vintage_Input!N32,""))</f>
        <v/>
      </c>
      <c r="G84" s="152">
        <f>IF($B84=1,$E$8,IF(N(Vintage_Input!O32)&gt;0,Vintage_Input!G32/Vintage_Input!O32,""))</f>
        <v/>
      </c>
      <c r="H84" s="152">
        <f>IF($B84=1,$F$8,IF(N(Vintage_Input!P32)&gt;0,Vintage_Input!H32/Vintage_Input!P32,""))</f>
        <v/>
      </c>
      <c r="I84" s="152">
        <f>IF($B84=1,$G$8,IF(N(Vintage_Input!Q32)&gt;0,Vintage_Input!I32/Vintage_Input!Q32,""))</f>
        <v/>
      </c>
      <c r="J84" s="152">
        <f>IF($B84=1,$H$8,IF(N(Vintage_Input!R32)&gt;0,Vintage_Input!J32/Vintage_Input!R32,""))</f>
        <v/>
      </c>
      <c r="K84" s="152">
        <f>IF($B84=1,$I$8,IF(N(Vintage_Input!S32)&gt;0,Vintage_Input!K32/Vintage_Input!S32,""))</f>
        <v/>
      </c>
      <c r="L84" s="152">
        <f>IF($B84=1,$B$9,IF(N(Vintage_Input!L32)&gt;0,Vintage_Input!T32/Vintage_Input!L32,""))</f>
        <v/>
      </c>
      <c r="M84" s="152">
        <f>IF($B84=1,$C$9,IF(N(Vintage_Input!M32)&gt;0,Vintage_Input!U32/Vintage_Input!M32,""))</f>
        <v/>
      </c>
      <c r="N84" s="152">
        <f>IF($B84=1,$D$9,IF(N(Vintage_Input!N32)&gt;0,Vintage_Input!V32/Vintage_Input!N32,""))</f>
        <v/>
      </c>
      <c r="O84" s="152">
        <f>IF($B84=1,$E$9,IF(N(Vintage_Input!O32)&gt;0,Vintage_Input!W32/Vintage_Input!O32,""))</f>
        <v/>
      </c>
      <c r="P84" s="152">
        <f>IF($B84=1,$F$9,IF(N(Vintage_Input!P32)&gt;0,Vintage_Input!X32/Vintage_Input!P32,""))</f>
        <v/>
      </c>
      <c r="Q84" s="152">
        <f>IF($B84=1,$G$9,IF(N(Vintage_Input!Q32)&gt;0,Vintage_Input!Y32/Vintage_Input!Q32,""))</f>
        <v/>
      </c>
      <c r="R84" s="152">
        <f>IF($B84=1,$H$9,IF(N(Vintage_Input!R32)&gt;0,Vintage_Input!Z32/Vintage_Input!R32,""))</f>
        <v/>
      </c>
      <c r="S84" s="152">
        <f>IF($B84=1,$I$9,IF(N(Vintage_Input!S32)&gt;0,Vintage_Input!AA32/Vintage_Input!S32,""))</f>
        <v/>
      </c>
      <c r="T84" s="152">
        <f>IF($B84=1,$B$10,IF(N(Vintage_Input!L32)&gt;0,Vintage_Input!AB32/Vintage_Input!L32,""))</f>
        <v/>
      </c>
      <c r="U84" s="152">
        <f>IF($B84=1,$C$10,IF(N(Vintage_Input!M32)&gt;0,Vintage_Input!AC32/Vintage_Input!M32,""))</f>
        <v/>
      </c>
      <c r="V84" s="152">
        <f>IF($B84=1,$D$10,IF(N(Vintage_Input!N32)&gt;0,Vintage_Input!AD32/Vintage_Input!N32,""))</f>
        <v/>
      </c>
      <c r="W84" s="152">
        <f>IF($B84=1,$E$10,IF(N(Vintage_Input!O32)&gt;0,Vintage_Input!AE32/Vintage_Input!O32,""))</f>
        <v/>
      </c>
      <c r="X84" s="152">
        <f>IF($B84=1,$F$10,IF(N(Vintage_Input!P32)&gt;0,Vintage_Input!AF32/Vintage_Input!P32,""))</f>
        <v/>
      </c>
      <c r="Y84" s="152">
        <f>IF($B84=1,$G$10,IF(N(Vintage_Input!Q32)&gt;0,Vintage_Input!AG32/Vintage_Input!Q32,""))</f>
        <v/>
      </c>
      <c r="Z84" s="152">
        <f>IF($B84=1,$H$10,IF(N(Vintage_Input!R32)&gt;0,Vintage_Input!AH32/Vintage_Input!R32,""))</f>
        <v/>
      </c>
      <c r="AA84" s="152">
        <f>IF($B84=1,$I$10,IF(N(Vintage_Input!S32)&gt;0,Vintage_Input!AI32/Vintage_Input!S32,""))</f>
        <v/>
      </c>
      <c r="AB84" s="152">
        <f>IF($B84=1,$B$11,IF(N(Vintage_Input!L32)&gt;0,Vintage_Input!AJ32/Vintage_Input!L32,""))</f>
        <v/>
      </c>
      <c r="AC84" s="152">
        <f>IF($B84=1,$C$11,IF(N(Vintage_Input!M32)&gt;0,Vintage_Input!AK32/Vintage_Input!M32,""))</f>
        <v/>
      </c>
      <c r="AD84" s="152">
        <f>IF($B84=1,$D$11,IF(N(Vintage_Input!N32)&gt;0,Vintage_Input!AL32/Vintage_Input!N32,""))</f>
        <v/>
      </c>
      <c r="AE84" s="152">
        <f>IF($B84=1,$E$11,IF(N(Vintage_Input!O32)&gt;0,Vintage_Input!AM32/Vintage_Input!O32,""))</f>
        <v/>
      </c>
      <c r="AF84" s="152">
        <f>IF($B84=1,$F$11,IF(N(Vintage_Input!P32)&gt;0,Vintage_Input!AN32/Vintage_Input!P32,""))</f>
        <v/>
      </c>
      <c r="AG84" s="152">
        <f>IF($B84=1,$G$11,IF(N(Vintage_Input!Q32)&gt;0,Vintage_Input!AO32/Vintage_Input!Q32,""))</f>
        <v/>
      </c>
      <c r="AH84" s="152">
        <f>IF($B84=1,$H$11,IF(N(Vintage_Input!R32)&gt;0,Vintage_Input!AP32/Vintage_Input!R32,""))</f>
        <v/>
      </c>
      <c r="AI84" s="152">
        <f>IF($B84=1,$I$11,IF(N(Vintage_Input!S32)&gt;0,Vintage_Input!AQ32/Vintage_Input!S32,""))</f>
        <v/>
      </c>
      <c r="AJ84" s="152">
        <f>IF($B84=1,$B$12,IF(N(Vintage_Input!L32)&gt;0,IFERROR(Vintage_Input!AR32/Vintage_Input!AJ32,""),""))</f>
        <v/>
      </c>
      <c r="AK84" s="152">
        <f>IF($B84=1,$C$12,IF(N(Vintage_Input!M32)&gt;0,IFERROR(Vintage_Input!AS32/Vintage_Input!AK32,""),""))</f>
        <v/>
      </c>
      <c r="AL84" s="152">
        <f>IF($B84=1,$D$12,IF(N(Vintage_Input!N32)&gt;0,IFERROR(Vintage_Input!AT32/Vintage_Input!AL32,""),""))</f>
        <v/>
      </c>
      <c r="AM84" s="152">
        <f>IF($B84=1,$E$12,IF(N(Vintage_Input!O32)&gt;0,IFERROR(Vintage_Input!AU32/Vintage_Input!AM32,""),""))</f>
        <v/>
      </c>
      <c r="AN84" s="152">
        <f>IF($B84=1,$F$12,IF(N(Vintage_Input!P32)&gt;0,IFERROR(Vintage_Input!AV32/Vintage_Input!AN32,""),""))</f>
        <v/>
      </c>
      <c r="AO84" s="152">
        <f>IF($B84=1,$G$12,IF(N(Vintage_Input!Q32)&gt;0,IFERROR(Vintage_Input!AW32/Vintage_Input!AO32,""),""))</f>
        <v/>
      </c>
      <c r="AP84" s="152">
        <f>IF($B84=1,$H$12,IF(N(Vintage_Input!R32)&gt;0,IFERROR(Vintage_Input!AX32/Vintage_Input!AP32,""),""))</f>
        <v/>
      </c>
      <c r="AQ84" s="152">
        <f>IF($B84=1,$I$12,IF(N(Vintage_Input!S32)&gt;0,IFERROR(Vintage_Input!AY32/Vintage_Input!AQ32,""),""))</f>
        <v/>
      </c>
      <c r="AR84" s="152">
        <f>IF($B84=1,$B$13,IF(N(Vintage_Input!L32)&gt;0,IFERROR(Vintage_Input!AZ32/$C84,""),""))</f>
        <v/>
      </c>
      <c r="AS84" s="152">
        <f>IF($B84=1,$C$13,IF(N(Vintage_Input!M32)&gt;0,IFERROR(Vintage_Input!BA32/$C84,""),""))</f>
        <v/>
      </c>
      <c r="AT84" s="152">
        <f>IF($B84=1,$D$13,IF(N(Vintage_Input!N32)&gt;0,IFERROR(Vintage_Input!BB32/$C84,""),""))</f>
        <v/>
      </c>
      <c r="AU84" s="152">
        <f>IF($B84=1,$E$13,IF(N(Vintage_Input!O32)&gt;0,IFERROR(Vintage_Input!BC32/$C84,""),""))</f>
        <v/>
      </c>
      <c r="AV84" s="152">
        <f>IF($B84=1,$F$13,IF(N(Vintage_Input!P32)&gt;0,IFERROR(Vintage_Input!BD32/$C84,""),""))</f>
        <v/>
      </c>
      <c r="AW84" s="152">
        <f>IF($B84=1,$G$13,IF(N(Vintage_Input!Q32)&gt;0,IFERROR(Vintage_Input!BE32/$C84,""),""))</f>
        <v/>
      </c>
      <c r="AX84" s="152">
        <f>IF($B84=1,$H$13,IF(N(Vintage_Input!R32)&gt;0,IFERROR(Vintage_Input!BF32/$C84,""),""))</f>
        <v/>
      </c>
      <c r="AY84" s="152">
        <f>IF($B84=1,$I$13,IF(N(Vintage_Input!S32)&gt;0,IFERROR(Vintage_Input!BG32/$C84,""),""))</f>
        <v/>
      </c>
      <c r="AZ84" s="153">
        <f>IF($B84=1,$B$14,IF(N(Vintage_Input!L32)&gt;0,IFERROR((Vintage_Input!D32+Vintage_Input!AR32)/$C84+Products!$C$14-(Products!$C$43+Products!$C$19+Products!$C$43*Products!$C$22+Products!$C$44),""),""))</f>
        <v/>
      </c>
      <c r="BA84" s="153">
        <f>IF($B84=1,$C$14,IF(N(Vintage_Input!M32)&gt;0,IFERROR((Vintage_Input!E32+Vintage_Input!AS32)/$C84+Products!$C$14-(Products!$C$43+Products!$C$19+Products!$C$43*Products!$C$22+Products!$C$44),""),""))</f>
        <v/>
      </c>
      <c r="BB84" s="153">
        <f>IF($B84=1,$D$14,IF(N(Vintage_Input!N32)&gt;0,IFERROR((Vintage_Input!F32+Vintage_Input!AT32)/$C84+Products!$C$14-(Products!$C$43+Products!$C$19+Products!$C$43*Products!$C$22+Products!$C$44),""),""))</f>
        <v/>
      </c>
      <c r="BC84" s="153">
        <f>IF($B84=1,$E$14,IF(N(Vintage_Input!O32)&gt;0,IFERROR((Vintage_Input!G32+Vintage_Input!AU32)/$C84+Products!$C$14-(Products!$C$43+Products!$C$19+Products!$C$43*Products!$C$22+Products!$C$44),""),""))</f>
        <v/>
      </c>
      <c r="BD84" s="153">
        <f>IF($B84=1,$F$14,IF(N(Vintage_Input!P32)&gt;0,IFERROR((Vintage_Input!H32+Vintage_Input!AV32)/$C84+Products!$C$14-(Products!$C$43+Products!$C$19+Products!$C$43*Products!$C$22+Products!$C$44),""),""))</f>
        <v/>
      </c>
      <c r="BE84" s="153">
        <f>IF($B84=1,$G$14,IF(N(Vintage_Input!Q32)&gt;0,IFERROR((Vintage_Input!I32+Vintage_Input!AW32)/$C84+Products!$C$14-(Products!$C$43+Products!$C$19+Products!$C$43*Products!$C$22+Products!$C$44),""),""))</f>
        <v/>
      </c>
      <c r="BF84" s="153">
        <f>IF($B84=1,$H$14,IF(N(Vintage_Input!R32)&gt;0,IFERROR((Vintage_Input!J32+Vintage_Input!AX32)/$C84+Products!$C$14-(Products!$C$43+Products!$C$19+Products!$C$43*Products!$C$22+Products!$C$44),""),""))</f>
        <v/>
      </c>
      <c r="BG84" s="153">
        <f>IF($B84=1,$I$14,IF(N(Vintage_Input!S32)&gt;0,IFERROR((Vintage_Input!K32+Vintage_Input!AY32)/$C84+Products!$C$14-(Products!$C$43+Products!$C$19+Products!$C$43*Products!$C$22+Products!$C$44),""),""))</f>
        <v/>
      </c>
      <c r="BH84" s="81">
        <f>IF($B84=1,0,IF(Vintage_Input!$BH$32="","",Vintage_Input!$BH$32))</f>
        <v/>
      </c>
    </row>
    <row r="85">
      <c r="A85" s="23" t="n">
        <v>25</v>
      </c>
      <c r="B85" s="48">
        <f>Vintage_Input!$B$33</f>
        <v/>
      </c>
      <c r="C85" s="41">
        <f>IF(Vintage_Input!$C$33="",0,Vintage_Input!$C$33)</f>
        <v/>
      </c>
      <c r="D85" s="152">
        <f>IF($B85=1,$B$8,IF(N(Vintage_Input!L33)&gt;0,Vintage_Input!D33/Vintage_Input!L33,""))</f>
        <v/>
      </c>
      <c r="E85" s="152">
        <f>IF($B85=1,$C$8,IF(N(Vintage_Input!M33)&gt;0,Vintage_Input!E33/Vintage_Input!M33,""))</f>
        <v/>
      </c>
      <c r="F85" s="152">
        <f>IF($B85=1,$D$8,IF(N(Vintage_Input!N33)&gt;0,Vintage_Input!F33/Vintage_Input!N33,""))</f>
        <v/>
      </c>
      <c r="G85" s="152">
        <f>IF($B85=1,$E$8,IF(N(Vintage_Input!O33)&gt;0,Vintage_Input!G33/Vintage_Input!O33,""))</f>
        <v/>
      </c>
      <c r="H85" s="152">
        <f>IF($B85=1,$F$8,IF(N(Vintage_Input!P33)&gt;0,Vintage_Input!H33/Vintage_Input!P33,""))</f>
        <v/>
      </c>
      <c r="I85" s="152">
        <f>IF($B85=1,$G$8,IF(N(Vintage_Input!Q33)&gt;0,Vintage_Input!I33/Vintage_Input!Q33,""))</f>
        <v/>
      </c>
      <c r="J85" s="152">
        <f>IF($B85=1,$H$8,IF(N(Vintage_Input!R33)&gt;0,Vintage_Input!J33/Vintage_Input!R33,""))</f>
        <v/>
      </c>
      <c r="K85" s="152">
        <f>IF($B85=1,$I$8,IF(N(Vintage_Input!S33)&gt;0,Vintage_Input!K33/Vintage_Input!S33,""))</f>
        <v/>
      </c>
      <c r="L85" s="152">
        <f>IF($B85=1,$B$9,IF(N(Vintage_Input!L33)&gt;0,Vintage_Input!T33/Vintage_Input!L33,""))</f>
        <v/>
      </c>
      <c r="M85" s="152">
        <f>IF($B85=1,$C$9,IF(N(Vintage_Input!M33)&gt;0,Vintage_Input!U33/Vintage_Input!M33,""))</f>
        <v/>
      </c>
      <c r="N85" s="152">
        <f>IF($B85=1,$D$9,IF(N(Vintage_Input!N33)&gt;0,Vintage_Input!V33/Vintage_Input!N33,""))</f>
        <v/>
      </c>
      <c r="O85" s="152">
        <f>IF($B85=1,$E$9,IF(N(Vintage_Input!O33)&gt;0,Vintage_Input!W33/Vintage_Input!O33,""))</f>
        <v/>
      </c>
      <c r="P85" s="152">
        <f>IF($B85=1,$F$9,IF(N(Vintage_Input!P33)&gt;0,Vintage_Input!X33/Vintage_Input!P33,""))</f>
        <v/>
      </c>
      <c r="Q85" s="152">
        <f>IF($B85=1,$G$9,IF(N(Vintage_Input!Q33)&gt;0,Vintage_Input!Y33/Vintage_Input!Q33,""))</f>
        <v/>
      </c>
      <c r="R85" s="152">
        <f>IF($B85=1,$H$9,IF(N(Vintage_Input!R33)&gt;0,Vintage_Input!Z33/Vintage_Input!R33,""))</f>
        <v/>
      </c>
      <c r="S85" s="152">
        <f>IF($B85=1,$I$9,IF(N(Vintage_Input!S33)&gt;0,Vintage_Input!AA33/Vintage_Input!S33,""))</f>
        <v/>
      </c>
      <c r="T85" s="152">
        <f>IF($B85=1,$B$10,IF(N(Vintage_Input!L33)&gt;0,Vintage_Input!AB33/Vintage_Input!L33,""))</f>
        <v/>
      </c>
      <c r="U85" s="152">
        <f>IF($B85=1,$C$10,IF(N(Vintage_Input!M33)&gt;0,Vintage_Input!AC33/Vintage_Input!M33,""))</f>
        <v/>
      </c>
      <c r="V85" s="152">
        <f>IF($B85=1,$D$10,IF(N(Vintage_Input!N33)&gt;0,Vintage_Input!AD33/Vintage_Input!N33,""))</f>
        <v/>
      </c>
      <c r="W85" s="152">
        <f>IF($B85=1,$E$10,IF(N(Vintage_Input!O33)&gt;0,Vintage_Input!AE33/Vintage_Input!O33,""))</f>
        <v/>
      </c>
      <c r="X85" s="152">
        <f>IF($B85=1,$F$10,IF(N(Vintage_Input!P33)&gt;0,Vintage_Input!AF33/Vintage_Input!P33,""))</f>
        <v/>
      </c>
      <c r="Y85" s="152">
        <f>IF($B85=1,$G$10,IF(N(Vintage_Input!Q33)&gt;0,Vintage_Input!AG33/Vintage_Input!Q33,""))</f>
        <v/>
      </c>
      <c r="Z85" s="152">
        <f>IF($B85=1,$H$10,IF(N(Vintage_Input!R33)&gt;0,Vintage_Input!AH33/Vintage_Input!R33,""))</f>
        <v/>
      </c>
      <c r="AA85" s="152">
        <f>IF($B85=1,$I$10,IF(N(Vintage_Input!S33)&gt;0,Vintage_Input!AI33/Vintage_Input!S33,""))</f>
        <v/>
      </c>
      <c r="AB85" s="152">
        <f>IF($B85=1,$B$11,IF(N(Vintage_Input!L33)&gt;0,Vintage_Input!AJ33/Vintage_Input!L33,""))</f>
        <v/>
      </c>
      <c r="AC85" s="152">
        <f>IF($B85=1,$C$11,IF(N(Vintage_Input!M33)&gt;0,Vintage_Input!AK33/Vintage_Input!M33,""))</f>
        <v/>
      </c>
      <c r="AD85" s="152">
        <f>IF($B85=1,$D$11,IF(N(Vintage_Input!N33)&gt;0,Vintage_Input!AL33/Vintage_Input!N33,""))</f>
        <v/>
      </c>
      <c r="AE85" s="152">
        <f>IF($B85=1,$E$11,IF(N(Vintage_Input!O33)&gt;0,Vintage_Input!AM33/Vintage_Input!O33,""))</f>
        <v/>
      </c>
      <c r="AF85" s="152">
        <f>IF($B85=1,$F$11,IF(N(Vintage_Input!P33)&gt;0,Vintage_Input!AN33/Vintage_Input!P33,""))</f>
        <v/>
      </c>
      <c r="AG85" s="152">
        <f>IF($B85=1,$G$11,IF(N(Vintage_Input!Q33)&gt;0,Vintage_Input!AO33/Vintage_Input!Q33,""))</f>
        <v/>
      </c>
      <c r="AH85" s="152">
        <f>IF($B85=1,$H$11,IF(N(Vintage_Input!R33)&gt;0,Vintage_Input!AP33/Vintage_Input!R33,""))</f>
        <v/>
      </c>
      <c r="AI85" s="152">
        <f>IF($B85=1,$I$11,IF(N(Vintage_Input!S33)&gt;0,Vintage_Input!AQ33/Vintage_Input!S33,""))</f>
        <v/>
      </c>
      <c r="AJ85" s="152">
        <f>IF($B85=1,$B$12,IF(N(Vintage_Input!L33)&gt;0,IFERROR(Vintage_Input!AR33/Vintage_Input!AJ33,""),""))</f>
        <v/>
      </c>
      <c r="AK85" s="152">
        <f>IF($B85=1,$C$12,IF(N(Vintage_Input!M33)&gt;0,IFERROR(Vintage_Input!AS33/Vintage_Input!AK33,""),""))</f>
        <v/>
      </c>
      <c r="AL85" s="152">
        <f>IF($B85=1,$D$12,IF(N(Vintage_Input!N33)&gt;0,IFERROR(Vintage_Input!AT33/Vintage_Input!AL33,""),""))</f>
        <v/>
      </c>
      <c r="AM85" s="152">
        <f>IF($B85=1,$E$12,IF(N(Vintage_Input!O33)&gt;0,IFERROR(Vintage_Input!AU33/Vintage_Input!AM33,""),""))</f>
        <v/>
      </c>
      <c r="AN85" s="152">
        <f>IF($B85=1,$F$12,IF(N(Vintage_Input!P33)&gt;0,IFERROR(Vintage_Input!AV33/Vintage_Input!AN33,""),""))</f>
        <v/>
      </c>
      <c r="AO85" s="152">
        <f>IF($B85=1,$G$12,IF(N(Vintage_Input!Q33)&gt;0,IFERROR(Vintage_Input!AW33/Vintage_Input!AO33,""),""))</f>
        <v/>
      </c>
      <c r="AP85" s="152">
        <f>IF($B85=1,$H$12,IF(N(Vintage_Input!R33)&gt;0,IFERROR(Vintage_Input!AX33/Vintage_Input!AP33,""),""))</f>
        <v/>
      </c>
      <c r="AQ85" s="152">
        <f>IF($B85=1,$I$12,IF(N(Vintage_Input!S33)&gt;0,IFERROR(Vintage_Input!AY33/Vintage_Input!AQ33,""),""))</f>
        <v/>
      </c>
      <c r="AR85" s="152">
        <f>IF($B85=1,$B$13,IF(N(Vintage_Input!L33)&gt;0,IFERROR(Vintage_Input!AZ33/$C85,""),""))</f>
        <v/>
      </c>
      <c r="AS85" s="152">
        <f>IF($B85=1,$C$13,IF(N(Vintage_Input!M33)&gt;0,IFERROR(Vintage_Input!BA33/$C85,""),""))</f>
        <v/>
      </c>
      <c r="AT85" s="152">
        <f>IF($B85=1,$D$13,IF(N(Vintage_Input!N33)&gt;0,IFERROR(Vintage_Input!BB33/$C85,""),""))</f>
        <v/>
      </c>
      <c r="AU85" s="152">
        <f>IF($B85=1,$E$13,IF(N(Vintage_Input!O33)&gt;0,IFERROR(Vintage_Input!BC33/$C85,""),""))</f>
        <v/>
      </c>
      <c r="AV85" s="152">
        <f>IF($B85=1,$F$13,IF(N(Vintage_Input!P33)&gt;0,IFERROR(Vintage_Input!BD33/$C85,""),""))</f>
        <v/>
      </c>
      <c r="AW85" s="152">
        <f>IF($B85=1,$G$13,IF(N(Vintage_Input!Q33)&gt;0,IFERROR(Vintage_Input!BE33/$C85,""),""))</f>
        <v/>
      </c>
      <c r="AX85" s="152">
        <f>IF($B85=1,$H$13,IF(N(Vintage_Input!R33)&gt;0,IFERROR(Vintage_Input!BF33/$C85,""),""))</f>
        <v/>
      </c>
      <c r="AY85" s="152">
        <f>IF($B85=1,$I$13,IF(N(Vintage_Input!S33)&gt;0,IFERROR(Vintage_Input!BG33/$C85,""),""))</f>
        <v/>
      </c>
      <c r="AZ85" s="153">
        <f>IF($B85=1,$B$14,IF(N(Vintage_Input!L33)&gt;0,IFERROR((Vintage_Input!D33+Vintage_Input!AR33)/$C85+Products!$C$14-(Products!$C$43+Products!$C$19+Products!$C$43*Products!$C$22+Products!$C$44),""),""))</f>
        <v/>
      </c>
      <c r="BA85" s="153">
        <f>IF($B85=1,$C$14,IF(N(Vintage_Input!M33)&gt;0,IFERROR((Vintage_Input!E33+Vintage_Input!AS33)/$C85+Products!$C$14-(Products!$C$43+Products!$C$19+Products!$C$43*Products!$C$22+Products!$C$44),""),""))</f>
        <v/>
      </c>
      <c r="BB85" s="153">
        <f>IF($B85=1,$D$14,IF(N(Vintage_Input!N33)&gt;0,IFERROR((Vintage_Input!F33+Vintage_Input!AT33)/$C85+Products!$C$14-(Products!$C$43+Products!$C$19+Products!$C$43*Products!$C$22+Products!$C$44),""),""))</f>
        <v/>
      </c>
      <c r="BC85" s="153">
        <f>IF($B85=1,$E$14,IF(N(Vintage_Input!O33)&gt;0,IFERROR((Vintage_Input!G33+Vintage_Input!AU33)/$C85+Products!$C$14-(Products!$C$43+Products!$C$19+Products!$C$43*Products!$C$22+Products!$C$44),""),""))</f>
        <v/>
      </c>
      <c r="BD85" s="153">
        <f>IF($B85=1,$F$14,IF(N(Vintage_Input!P33)&gt;0,IFERROR((Vintage_Input!H33+Vintage_Input!AV33)/$C85+Products!$C$14-(Products!$C$43+Products!$C$19+Products!$C$43*Products!$C$22+Products!$C$44),""),""))</f>
        <v/>
      </c>
      <c r="BE85" s="153">
        <f>IF($B85=1,$G$14,IF(N(Vintage_Input!Q33)&gt;0,IFERROR((Vintage_Input!I33+Vintage_Input!AW33)/$C85+Products!$C$14-(Products!$C$43+Products!$C$19+Products!$C$43*Products!$C$22+Products!$C$44),""),""))</f>
        <v/>
      </c>
      <c r="BF85" s="153">
        <f>IF($B85=1,$H$14,IF(N(Vintage_Input!R33)&gt;0,IFERROR((Vintage_Input!J33+Vintage_Input!AX33)/$C85+Products!$C$14-(Products!$C$43+Products!$C$19+Products!$C$43*Products!$C$22+Products!$C$44),""),""))</f>
        <v/>
      </c>
      <c r="BG85" s="153">
        <f>IF($B85=1,$I$14,IF(N(Vintage_Input!S33)&gt;0,IFERROR((Vintage_Input!K33+Vintage_Input!AY33)/$C85+Products!$C$14-(Products!$C$43+Products!$C$19+Products!$C$43*Products!$C$22+Products!$C$44),""),""))</f>
        <v/>
      </c>
      <c r="BH85" s="81">
        <f>IF($B85=1,0,IF(Vintage_Input!$BH$33="","",Vintage_Input!$BH$33))</f>
        <v/>
      </c>
    </row>
    <row r="86">
      <c r="A86" s="23" t="n">
        <v>26</v>
      </c>
      <c r="B86" s="48">
        <f>Vintage_Input!$B$34</f>
        <v/>
      </c>
      <c r="C86" s="41">
        <f>IF(Vintage_Input!$C$34="",0,Vintage_Input!$C$34)</f>
        <v/>
      </c>
      <c r="D86" s="152">
        <f>IF($B86=1,$B$8,IF(N(Vintage_Input!L34)&gt;0,Vintage_Input!D34/Vintage_Input!L34,""))</f>
        <v/>
      </c>
      <c r="E86" s="152">
        <f>IF($B86=1,$C$8,IF(N(Vintage_Input!M34)&gt;0,Vintage_Input!E34/Vintage_Input!M34,""))</f>
        <v/>
      </c>
      <c r="F86" s="152">
        <f>IF($B86=1,$D$8,IF(N(Vintage_Input!N34)&gt;0,Vintage_Input!F34/Vintage_Input!N34,""))</f>
        <v/>
      </c>
      <c r="G86" s="152">
        <f>IF($B86=1,$E$8,IF(N(Vintage_Input!O34)&gt;0,Vintage_Input!G34/Vintage_Input!O34,""))</f>
        <v/>
      </c>
      <c r="H86" s="152">
        <f>IF($B86=1,$F$8,IF(N(Vintage_Input!P34)&gt;0,Vintage_Input!H34/Vintage_Input!P34,""))</f>
        <v/>
      </c>
      <c r="I86" s="152">
        <f>IF($B86=1,$G$8,IF(N(Vintage_Input!Q34)&gt;0,Vintage_Input!I34/Vintage_Input!Q34,""))</f>
        <v/>
      </c>
      <c r="J86" s="152">
        <f>IF($B86=1,$H$8,IF(N(Vintage_Input!R34)&gt;0,Vintage_Input!J34/Vintage_Input!R34,""))</f>
        <v/>
      </c>
      <c r="K86" s="152">
        <f>IF($B86=1,$I$8,IF(N(Vintage_Input!S34)&gt;0,Vintage_Input!K34/Vintage_Input!S34,""))</f>
        <v/>
      </c>
      <c r="L86" s="152">
        <f>IF($B86=1,$B$9,IF(N(Vintage_Input!L34)&gt;0,Vintage_Input!T34/Vintage_Input!L34,""))</f>
        <v/>
      </c>
      <c r="M86" s="152">
        <f>IF($B86=1,$C$9,IF(N(Vintage_Input!M34)&gt;0,Vintage_Input!U34/Vintage_Input!M34,""))</f>
        <v/>
      </c>
      <c r="N86" s="152">
        <f>IF($B86=1,$D$9,IF(N(Vintage_Input!N34)&gt;0,Vintage_Input!V34/Vintage_Input!N34,""))</f>
        <v/>
      </c>
      <c r="O86" s="152">
        <f>IF($B86=1,$E$9,IF(N(Vintage_Input!O34)&gt;0,Vintage_Input!W34/Vintage_Input!O34,""))</f>
        <v/>
      </c>
      <c r="P86" s="152">
        <f>IF($B86=1,$F$9,IF(N(Vintage_Input!P34)&gt;0,Vintage_Input!X34/Vintage_Input!P34,""))</f>
        <v/>
      </c>
      <c r="Q86" s="152">
        <f>IF($B86=1,$G$9,IF(N(Vintage_Input!Q34)&gt;0,Vintage_Input!Y34/Vintage_Input!Q34,""))</f>
        <v/>
      </c>
      <c r="R86" s="152">
        <f>IF($B86=1,$H$9,IF(N(Vintage_Input!R34)&gt;0,Vintage_Input!Z34/Vintage_Input!R34,""))</f>
        <v/>
      </c>
      <c r="S86" s="152">
        <f>IF($B86=1,$I$9,IF(N(Vintage_Input!S34)&gt;0,Vintage_Input!AA34/Vintage_Input!S34,""))</f>
        <v/>
      </c>
      <c r="T86" s="152">
        <f>IF($B86=1,$B$10,IF(N(Vintage_Input!L34)&gt;0,Vintage_Input!AB34/Vintage_Input!L34,""))</f>
        <v/>
      </c>
      <c r="U86" s="152">
        <f>IF($B86=1,$C$10,IF(N(Vintage_Input!M34)&gt;0,Vintage_Input!AC34/Vintage_Input!M34,""))</f>
        <v/>
      </c>
      <c r="V86" s="152">
        <f>IF($B86=1,$D$10,IF(N(Vintage_Input!N34)&gt;0,Vintage_Input!AD34/Vintage_Input!N34,""))</f>
        <v/>
      </c>
      <c r="W86" s="152">
        <f>IF($B86=1,$E$10,IF(N(Vintage_Input!O34)&gt;0,Vintage_Input!AE34/Vintage_Input!O34,""))</f>
        <v/>
      </c>
      <c r="X86" s="152">
        <f>IF($B86=1,$F$10,IF(N(Vintage_Input!P34)&gt;0,Vintage_Input!AF34/Vintage_Input!P34,""))</f>
        <v/>
      </c>
      <c r="Y86" s="152">
        <f>IF($B86=1,$G$10,IF(N(Vintage_Input!Q34)&gt;0,Vintage_Input!AG34/Vintage_Input!Q34,""))</f>
        <v/>
      </c>
      <c r="Z86" s="152">
        <f>IF($B86=1,$H$10,IF(N(Vintage_Input!R34)&gt;0,Vintage_Input!AH34/Vintage_Input!R34,""))</f>
        <v/>
      </c>
      <c r="AA86" s="152">
        <f>IF($B86=1,$I$10,IF(N(Vintage_Input!S34)&gt;0,Vintage_Input!AI34/Vintage_Input!S34,""))</f>
        <v/>
      </c>
      <c r="AB86" s="152">
        <f>IF($B86=1,$B$11,IF(N(Vintage_Input!L34)&gt;0,Vintage_Input!AJ34/Vintage_Input!L34,""))</f>
        <v/>
      </c>
      <c r="AC86" s="152">
        <f>IF($B86=1,$C$11,IF(N(Vintage_Input!M34)&gt;0,Vintage_Input!AK34/Vintage_Input!M34,""))</f>
        <v/>
      </c>
      <c r="AD86" s="152">
        <f>IF($B86=1,$D$11,IF(N(Vintage_Input!N34)&gt;0,Vintage_Input!AL34/Vintage_Input!N34,""))</f>
        <v/>
      </c>
      <c r="AE86" s="152">
        <f>IF($B86=1,$E$11,IF(N(Vintage_Input!O34)&gt;0,Vintage_Input!AM34/Vintage_Input!O34,""))</f>
        <v/>
      </c>
      <c r="AF86" s="152">
        <f>IF($B86=1,$F$11,IF(N(Vintage_Input!P34)&gt;0,Vintage_Input!AN34/Vintage_Input!P34,""))</f>
        <v/>
      </c>
      <c r="AG86" s="152">
        <f>IF($B86=1,$G$11,IF(N(Vintage_Input!Q34)&gt;0,Vintage_Input!AO34/Vintage_Input!Q34,""))</f>
        <v/>
      </c>
      <c r="AH86" s="152">
        <f>IF($B86=1,$H$11,IF(N(Vintage_Input!R34)&gt;0,Vintage_Input!AP34/Vintage_Input!R34,""))</f>
        <v/>
      </c>
      <c r="AI86" s="152">
        <f>IF($B86=1,$I$11,IF(N(Vintage_Input!S34)&gt;0,Vintage_Input!AQ34/Vintage_Input!S34,""))</f>
        <v/>
      </c>
      <c r="AJ86" s="152">
        <f>IF($B86=1,$B$12,IF(N(Vintage_Input!L34)&gt;0,IFERROR(Vintage_Input!AR34/Vintage_Input!AJ34,""),""))</f>
        <v/>
      </c>
      <c r="AK86" s="152">
        <f>IF($B86=1,$C$12,IF(N(Vintage_Input!M34)&gt;0,IFERROR(Vintage_Input!AS34/Vintage_Input!AK34,""),""))</f>
        <v/>
      </c>
      <c r="AL86" s="152">
        <f>IF($B86=1,$D$12,IF(N(Vintage_Input!N34)&gt;0,IFERROR(Vintage_Input!AT34/Vintage_Input!AL34,""),""))</f>
        <v/>
      </c>
      <c r="AM86" s="152">
        <f>IF($B86=1,$E$12,IF(N(Vintage_Input!O34)&gt;0,IFERROR(Vintage_Input!AU34/Vintage_Input!AM34,""),""))</f>
        <v/>
      </c>
      <c r="AN86" s="152">
        <f>IF($B86=1,$F$12,IF(N(Vintage_Input!P34)&gt;0,IFERROR(Vintage_Input!AV34/Vintage_Input!AN34,""),""))</f>
        <v/>
      </c>
      <c r="AO86" s="152">
        <f>IF($B86=1,$G$12,IF(N(Vintage_Input!Q34)&gt;0,IFERROR(Vintage_Input!AW34/Vintage_Input!AO34,""),""))</f>
        <v/>
      </c>
      <c r="AP86" s="152">
        <f>IF($B86=1,$H$12,IF(N(Vintage_Input!R34)&gt;0,IFERROR(Vintage_Input!AX34/Vintage_Input!AP34,""),""))</f>
        <v/>
      </c>
      <c r="AQ86" s="152">
        <f>IF($B86=1,$I$12,IF(N(Vintage_Input!S34)&gt;0,IFERROR(Vintage_Input!AY34/Vintage_Input!AQ34,""),""))</f>
        <v/>
      </c>
      <c r="AR86" s="152">
        <f>IF($B86=1,$B$13,IF(N(Vintage_Input!L34)&gt;0,IFERROR(Vintage_Input!AZ34/$C86,""),""))</f>
        <v/>
      </c>
      <c r="AS86" s="152">
        <f>IF($B86=1,$C$13,IF(N(Vintage_Input!M34)&gt;0,IFERROR(Vintage_Input!BA34/$C86,""),""))</f>
        <v/>
      </c>
      <c r="AT86" s="152">
        <f>IF($B86=1,$D$13,IF(N(Vintage_Input!N34)&gt;0,IFERROR(Vintage_Input!BB34/$C86,""),""))</f>
        <v/>
      </c>
      <c r="AU86" s="152">
        <f>IF($B86=1,$E$13,IF(N(Vintage_Input!O34)&gt;0,IFERROR(Vintage_Input!BC34/$C86,""),""))</f>
        <v/>
      </c>
      <c r="AV86" s="152">
        <f>IF($B86=1,$F$13,IF(N(Vintage_Input!P34)&gt;0,IFERROR(Vintage_Input!BD34/$C86,""),""))</f>
        <v/>
      </c>
      <c r="AW86" s="152">
        <f>IF($B86=1,$G$13,IF(N(Vintage_Input!Q34)&gt;0,IFERROR(Vintage_Input!BE34/$C86,""),""))</f>
        <v/>
      </c>
      <c r="AX86" s="152">
        <f>IF($B86=1,$H$13,IF(N(Vintage_Input!R34)&gt;0,IFERROR(Vintage_Input!BF34/$C86,""),""))</f>
        <v/>
      </c>
      <c r="AY86" s="152">
        <f>IF($B86=1,$I$13,IF(N(Vintage_Input!S34)&gt;0,IFERROR(Vintage_Input!BG34/$C86,""),""))</f>
        <v/>
      </c>
      <c r="AZ86" s="153">
        <f>IF($B86=1,$B$14,IF(N(Vintage_Input!L34)&gt;0,IFERROR((Vintage_Input!D34+Vintage_Input!AR34)/$C86+Products!$C$14-(Products!$C$43+Products!$C$19+Products!$C$43*Products!$C$22+Products!$C$44),""),""))</f>
        <v/>
      </c>
      <c r="BA86" s="153">
        <f>IF($B86=1,$C$14,IF(N(Vintage_Input!M34)&gt;0,IFERROR((Vintage_Input!E34+Vintage_Input!AS34)/$C86+Products!$C$14-(Products!$C$43+Products!$C$19+Products!$C$43*Products!$C$22+Products!$C$44),""),""))</f>
        <v/>
      </c>
      <c r="BB86" s="153">
        <f>IF($B86=1,$D$14,IF(N(Vintage_Input!N34)&gt;0,IFERROR((Vintage_Input!F34+Vintage_Input!AT34)/$C86+Products!$C$14-(Products!$C$43+Products!$C$19+Products!$C$43*Products!$C$22+Products!$C$44),""),""))</f>
        <v/>
      </c>
      <c r="BC86" s="153">
        <f>IF($B86=1,$E$14,IF(N(Vintage_Input!O34)&gt;0,IFERROR((Vintage_Input!G34+Vintage_Input!AU34)/$C86+Products!$C$14-(Products!$C$43+Products!$C$19+Products!$C$43*Products!$C$22+Products!$C$44),""),""))</f>
        <v/>
      </c>
      <c r="BD86" s="153">
        <f>IF($B86=1,$F$14,IF(N(Vintage_Input!P34)&gt;0,IFERROR((Vintage_Input!H34+Vintage_Input!AV34)/$C86+Products!$C$14-(Products!$C$43+Products!$C$19+Products!$C$43*Products!$C$22+Products!$C$44),""),""))</f>
        <v/>
      </c>
      <c r="BE86" s="153">
        <f>IF($B86=1,$G$14,IF(N(Vintage_Input!Q34)&gt;0,IFERROR((Vintage_Input!I34+Vintage_Input!AW34)/$C86+Products!$C$14-(Products!$C$43+Products!$C$19+Products!$C$43*Products!$C$22+Products!$C$44),""),""))</f>
        <v/>
      </c>
      <c r="BF86" s="153">
        <f>IF($B86=1,$H$14,IF(N(Vintage_Input!R34)&gt;0,IFERROR((Vintage_Input!J34+Vintage_Input!AX34)/$C86+Products!$C$14-(Products!$C$43+Products!$C$19+Products!$C$43*Products!$C$22+Products!$C$44),""),""))</f>
        <v/>
      </c>
      <c r="BG86" s="153">
        <f>IF($B86=1,$I$14,IF(N(Vintage_Input!S34)&gt;0,IFERROR((Vintage_Input!K34+Vintage_Input!AY34)/$C86+Products!$C$14-(Products!$C$43+Products!$C$19+Products!$C$43*Products!$C$22+Products!$C$44),""),""))</f>
        <v/>
      </c>
      <c r="BH86" s="81">
        <f>IF($B86=1,0,IF(Vintage_Input!$BH$34="","",Vintage_Input!$BH$34))</f>
        <v/>
      </c>
    </row>
    <row r="87">
      <c r="A87" s="23" t="n">
        <v>27</v>
      </c>
      <c r="B87" s="48">
        <f>Vintage_Input!$B$35</f>
        <v/>
      </c>
      <c r="C87" s="41">
        <f>IF(Vintage_Input!$C$35="",0,Vintage_Input!$C$35)</f>
        <v/>
      </c>
      <c r="D87" s="152">
        <f>IF($B87=1,$B$8,IF(N(Vintage_Input!L35)&gt;0,Vintage_Input!D35/Vintage_Input!L35,""))</f>
        <v/>
      </c>
      <c r="E87" s="152">
        <f>IF($B87=1,$C$8,IF(N(Vintage_Input!M35)&gt;0,Vintage_Input!E35/Vintage_Input!M35,""))</f>
        <v/>
      </c>
      <c r="F87" s="152">
        <f>IF($B87=1,$D$8,IF(N(Vintage_Input!N35)&gt;0,Vintage_Input!F35/Vintage_Input!N35,""))</f>
        <v/>
      </c>
      <c r="G87" s="152">
        <f>IF($B87=1,$E$8,IF(N(Vintage_Input!O35)&gt;0,Vintage_Input!G35/Vintage_Input!O35,""))</f>
        <v/>
      </c>
      <c r="H87" s="152">
        <f>IF($B87=1,$F$8,IF(N(Vintage_Input!P35)&gt;0,Vintage_Input!H35/Vintage_Input!P35,""))</f>
        <v/>
      </c>
      <c r="I87" s="152">
        <f>IF($B87=1,$G$8,IF(N(Vintage_Input!Q35)&gt;0,Vintage_Input!I35/Vintage_Input!Q35,""))</f>
        <v/>
      </c>
      <c r="J87" s="152">
        <f>IF($B87=1,$H$8,IF(N(Vintage_Input!R35)&gt;0,Vintage_Input!J35/Vintage_Input!R35,""))</f>
        <v/>
      </c>
      <c r="K87" s="152">
        <f>IF($B87=1,$I$8,IF(N(Vintage_Input!S35)&gt;0,Vintage_Input!K35/Vintage_Input!S35,""))</f>
        <v/>
      </c>
      <c r="L87" s="152">
        <f>IF($B87=1,$B$9,IF(N(Vintage_Input!L35)&gt;0,Vintage_Input!T35/Vintage_Input!L35,""))</f>
        <v/>
      </c>
      <c r="M87" s="152">
        <f>IF($B87=1,$C$9,IF(N(Vintage_Input!M35)&gt;0,Vintage_Input!U35/Vintage_Input!M35,""))</f>
        <v/>
      </c>
      <c r="N87" s="152">
        <f>IF($B87=1,$D$9,IF(N(Vintage_Input!N35)&gt;0,Vintage_Input!V35/Vintage_Input!N35,""))</f>
        <v/>
      </c>
      <c r="O87" s="152">
        <f>IF($B87=1,$E$9,IF(N(Vintage_Input!O35)&gt;0,Vintage_Input!W35/Vintage_Input!O35,""))</f>
        <v/>
      </c>
      <c r="P87" s="152">
        <f>IF($B87=1,$F$9,IF(N(Vintage_Input!P35)&gt;0,Vintage_Input!X35/Vintage_Input!P35,""))</f>
        <v/>
      </c>
      <c r="Q87" s="152">
        <f>IF($B87=1,$G$9,IF(N(Vintage_Input!Q35)&gt;0,Vintage_Input!Y35/Vintage_Input!Q35,""))</f>
        <v/>
      </c>
      <c r="R87" s="152">
        <f>IF($B87=1,$H$9,IF(N(Vintage_Input!R35)&gt;0,Vintage_Input!Z35/Vintage_Input!R35,""))</f>
        <v/>
      </c>
      <c r="S87" s="152">
        <f>IF($B87=1,$I$9,IF(N(Vintage_Input!S35)&gt;0,Vintage_Input!AA35/Vintage_Input!S35,""))</f>
        <v/>
      </c>
      <c r="T87" s="152">
        <f>IF($B87=1,$B$10,IF(N(Vintage_Input!L35)&gt;0,Vintage_Input!AB35/Vintage_Input!L35,""))</f>
        <v/>
      </c>
      <c r="U87" s="152">
        <f>IF($B87=1,$C$10,IF(N(Vintage_Input!M35)&gt;0,Vintage_Input!AC35/Vintage_Input!M35,""))</f>
        <v/>
      </c>
      <c r="V87" s="152">
        <f>IF($B87=1,$D$10,IF(N(Vintage_Input!N35)&gt;0,Vintage_Input!AD35/Vintage_Input!N35,""))</f>
        <v/>
      </c>
      <c r="W87" s="152">
        <f>IF($B87=1,$E$10,IF(N(Vintage_Input!O35)&gt;0,Vintage_Input!AE35/Vintage_Input!O35,""))</f>
        <v/>
      </c>
      <c r="X87" s="152">
        <f>IF($B87=1,$F$10,IF(N(Vintage_Input!P35)&gt;0,Vintage_Input!AF35/Vintage_Input!P35,""))</f>
        <v/>
      </c>
      <c r="Y87" s="152">
        <f>IF($B87=1,$G$10,IF(N(Vintage_Input!Q35)&gt;0,Vintage_Input!AG35/Vintage_Input!Q35,""))</f>
        <v/>
      </c>
      <c r="Z87" s="152">
        <f>IF($B87=1,$H$10,IF(N(Vintage_Input!R35)&gt;0,Vintage_Input!AH35/Vintage_Input!R35,""))</f>
        <v/>
      </c>
      <c r="AA87" s="152">
        <f>IF($B87=1,$I$10,IF(N(Vintage_Input!S35)&gt;0,Vintage_Input!AI35/Vintage_Input!S35,""))</f>
        <v/>
      </c>
      <c r="AB87" s="152">
        <f>IF($B87=1,$B$11,IF(N(Vintage_Input!L35)&gt;0,Vintage_Input!AJ35/Vintage_Input!L35,""))</f>
        <v/>
      </c>
      <c r="AC87" s="152">
        <f>IF($B87=1,$C$11,IF(N(Vintage_Input!M35)&gt;0,Vintage_Input!AK35/Vintage_Input!M35,""))</f>
        <v/>
      </c>
      <c r="AD87" s="152">
        <f>IF($B87=1,$D$11,IF(N(Vintage_Input!N35)&gt;0,Vintage_Input!AL35/Vintage_Input!N35,""))</f>
        <v/>
      </c>
      <c r="AE87" s="152">
        <f>IF($B87=1,$E$11,IF(N(Vintage_Input!O35)&gt;0,Vintage_Input!AM35/Vintage_Input!O35,""))</f>
        <v/>
      </c>
      <c r="AF87" s="152">
        <f>IF($B87=1,$F$11,IF(N(Vintage_Input!P35)&gt;0,Vintage_Input!AN35/Vintage_Input!P35,""))</f>
        <v/>
      </c>
      <c r="AG87" s="152">
        <f>IF($B87=1,$G$11,IF(N(Vintage_Input!Q35)&gt;0,Vintage_Input!AO35/Vintage_Input!Q35,""))</f>
        <v/>
      </c>
      <c r="AH87" s="152">
        <f>IF($B87=1,$H$11,IF(N(Vintage_Input!R35)&gt;0,Vintage_Input!AP35/Vintage_Input!R35,""))</f>
        <v/>
      </c>
      <c r="AI87" s="152">
        <f>IF($B87=1,$I$11,IF(N(Vintage_Input!S35)&gt;0,Vintage_Input!AQ35/Vintage_Input!S35,""))</f>
        <v/>
      </c>
      <c r="AJ87" s="152">
        <f>IF($B87=1,$B$12,IF(N(Vintage_Input!L35)&gt;0,IFERROR(Vintage_Input!AR35/Vintage_Input!AJ35,""),""))</f>
        <v/>
      </c>
      <c r="AK87" s="152">
        <f>IF($B87=1,$C$12,IF(N(Vintage_Input!M35)&gt;0,IFERROR(Vintage_Input!AS35/Vintage_Input!AK35,""),""))</f>
        <v/>
      </c>
      <c r="AL87" s="152">
        <f>IF($B87=1,$D$12,IF(N(Vintage_Input!N35)&gt;0,IFERROR(Vintage_Input!AT35/Vintage_Input!AL35,""),""))</f>
        <v/>
      </c>
      <c r="AM87" s="152">
        <f>IF($B87=1,$E$12,IF(N(Vintage_Input!O35)&gt;0,IFERROR(Vintage_Input!AU35/Vintage_Input!AM35,""),""))</f>
        <v/>
      </c>
      <c r="AN87" s="152">
        <f>IF($B87=1,$F$12,IF(N(Vintage_Input!P35)&gt;0,IFERROR(Vintage_Input!AV35/Vintage_Input!AN35,""),""))</f>
        <v/>
      </c>
      <c r="AO87" s="152">
        <f>IF($B87=1,$G$12,IF(N(Vintage_Input!Q35)&gt;0,IFERROR(Vintage_Input!AW35/Vintage_Input!AO35,""),""))</f>
        <v/>
      </c>
      <c r="AP87" s="152">
        <f>IF($B87=1,$H$12,IF(N(Vintage_Input!R35)&gt;0,IFERROR(Vintage_Input!AX35/Vintage_Input!AP35,""),""))</f>
        <v/>
      </c>
      <c r="AQ87" s="152">
        <f>IF($B87=1,$I$12,IF(N(Vintage_Input!S35)&gt;0,IFERROR(Vintage_Input!AY35/Vintage_Input!AQ35,""),""))</f>
        <v/>
      </c>
      <c r="AR87" s="152">
        <f>IF($B87=1,$B$13,IF(N(Vintage_Input!L35)&gt;0,IFERROR(Vintage_Input!AZ35/$C87,""),""))</f>
        <v/>
      </c>
      <c r="AS87" s="152">
        <f>IF($B87=1,$C$13,IF(N(Vintage_Input!M35)&gt;0,IFERROR(Vintage_Input!BA35/$C87,""),""))</f>
        <v/>
      </c>
      <c r="AT87" s="152">
        <f>IF($B87=1,$D$13,IF(N(Vintage_Input!N35)&gt;0,IFERROR(Vintage_Input!BB35/$C87,""),""))</f>
        <v/>
      </c>
      <c r="AU87" s="152">
        <f>IF($B87=1,$E$13,IF(N(Vintage_Input!O35)&gt;0,IFERROR(Vintage_Input!BC35/$C87,""),""))</f>
        <v/>
      </c>
      <c r="AV87" s="152">
        <f>IF($B87=1,$F$13,IF(N(Vintage_Input!P35)&gt;0,IFERROR(Vintage_Input!BD35/$C87,""),""))</f>
        <v/>
      </c>
      <c r="AW87" s="152">
        <f>IF($B87=1,$G$13,IF(N(Vintage_Input!Q35)&gt;0,IFERROR(Vintage_Input!BE35/$C87,""),""))</f>
        <v/>
      </c>
      <c r="AX87" s="152">
        <f>IF($B87=1,$H$13,IF(N(Vintage_Input!R35)&gt;0,IFERROR(Vintage_Input!BF35/$C87,""),""))</f>
        <v/>
      </c>
      <c r="AY87" s="152">
        <f>IF($B87=1,$I$13,IF(N(Vintage_Input!S35)&gt;0,IFERROR(Vintage_Input!BG35/$C87,""),""))</f>
        <v/>
      </c>
      <c r="AZ87" s="153">
        <f>IF($B87=1,$B$14,IF(N(Vintage_Input!L35)&gt;0,IFERROR((Vintage_Input!D35+Vintage_Input!AR35)/$C87+Products!$C$14-(Products!$C$43+Products!$C$19+Products!$C$43*Products!$C$22+Products!$C$44),""),""))</f>
        <v/>
      </c>
      <c r="BA87" s="153">
        <f>IF($B87=1,$C$14,IF(N(Vintage_Input!M35)&gt;0,IFERROR((Vintage_Input!E35+Vintage_Input!AS35)/$C87+Products!$C$14-(Products!$C$43+Products!$C$19+Products!$C$43*Products!$C$22+Products!$C$44),""),""))</f>
        <v/>
      </c>
      <c r="BB87" s="153">
        <f>IF($B87=1,$D$14,IF(N(Vintage_Input!N35)&gt;0,IFERROR((Vintage_Input!F35+Vintage_Input!AT35)/$C87+Products!$C$14-(Products!$C$43+Products!$C$19+Products!$C$43*Products!$C$22+Products!$C$44),""),""))</f>
        <v/>
      </c>
      <c r="BC87" s="153">
        <f>IF($B87=1,$E$14,IF(N(Vintage_Input!O35)&gt;0,IFERROR((Vintage_Input!G35+Vintage_Input!AU35)/$C87+Products!$C$14-(Products!$C$43+Products!$C$19+Products!$C$43*Products!$C$22+Products!$C$44),""),""))</f>
        <v/>
      </c>
      <c r="BD87" s="153">
        <f>IF($B87=1,$F$14,IF(N(Vintage_Input!P35)&gt;0,IFERROR((Vintage_Input!H35+Vintage_Input!AV35)/$C87+Products!$C$14-(Products!$C$43+Products!$C$19+Products!$C$43*Products!$C$22+Products!$C$44),""),""))</f>
        <v/>
      </c>
      <c r="BE87" s="153">
        <f>IF($B87=1,$G$14,IF(N(Vintage_Input!Q35)&gt;0,IFERROR((Vintage_Input!I35+Vintage_Input!AW35)/$C87+Products!$C$14-(Products!$C$43+Products!$C$19+Products!$C$43*Products!$C$22+Products!$C$44),""),""))</f>
        <v/>
      </c>
      <c r="BF87" s="153">
        <f>IF($B87=1,$H$14,IF(N(Vintage_Input!R35)&gt;0,IFERROR((Vintage_Input!J35+Vintage_Input!AX35)/$C87+Products!$C$14-(Products!$C$43+Products!$C$19+Products!$C$43*Products!$C$22+Products!$C$44),""),""))</f>
        <v/>
      </c>
      <c r="BG87" s="153">
        <f>IF($B87=1,$I$14,IF(N(Vintage_Input!S35)&gt;0,IFERROR((Vintage_Input!K35+Vintage_Input!AY35)/$C87+Products!$C$14-(Products!$C$43+Products!$C$19+Products!$C$43*Products!$C$22+Products!$C$44),""),""))</f>
        <v/>
      </c>
      <c r="BH87" s="81">
        <f>IF($B87=1,0,IF(Vintage_Input!$BH$35="","",Vintage_Input!$BH$35))</f>
        <v/>
      </c>
    </row>
    <row r="88">
      <c r="A88" s="23" t="n">
        <v>28</v>
      </c>
      <c r="B88" s="48">
        <f>Vintage_Input!$B$36</f>
        <v/>
      </c>
      <c r="C88" s="41">
        <f>IF(Vintage_Input!$C$36="",0,Vintage_Input!$C$36)</f>
        <v/>
      </c>
      <c r="D88" s="152">
        <f>IF($B88=1,$B$8,IF(N(Vintage_Input!L36)&gt;0,Vintage_Input!D36/Vintage_Input!L36,""))</f>
        <v/>
      </c>
      <c r="E88" s="152">
        <f>IF($B88=1,$C$8,IF(N(Vintage_Input!M36)&gt;0,Vintage_Input!E36/Vintage_Input!M36,""))</f>
        <v/>
      </c>
      <c r="F88" s="152">
        <f>IF($B88=1,$D$8,IF(N(Vintage_Input!N36)&gt;0,Vintage_Input!F36/Vintage_Input!N36,""))</f>
        <v/>
      </c>
      <c r="G88" s="152">
        <f>IF($B88=1,$E$8,IF(N(Vintage_Input!O36)&gt;0,Vintage_Input!G36/Vintage_Input!O36,""))</f>
        <v/>
      </c>
      <c r="H88" s="152">
        <f>IF($B88=1,$F$8,IF(N(Vintage_Input!P36)&gt;0,Vintage_Input!H36/Vintage_Input!P36,""))</f>
        <v/>
      </c>
      <c r="I88" s="152">
        <f>IF($B88=1,$G$8,IF(N(Vintage_Input!Q36)&gt;0,Vintage_Input!I36/Vintage_Input!Q36,""))</f>
        <v/>
      </c>
      <c r="J88" s="152">
        <f>IF($B88=1,$H$8,IF(N(Vintage_Input!R36)&gt;0,Vintage_Input!J36/Vintage_Input!R36,""))</f>
        <v/>
      </c>
      <c r="K88" s="152">
        <f>IF($B88=1,$I$8,IF(N(Vintage_Input!S36)&gt;0,Vintage_Input!K36/Vintage_Input!S36,""))</f>
        <v/>
      </c>
      <c r="L88" s="152">
        <f>IF($B88=1,$B$9,IF(N(Vintage_Input!L36)&gt;0,Vintage_Input!T36/Vintage_Input!L36,""))</f>
        <v/>
      </c>
      <c r="M88" s="152">
        <f>IF($B88=1,$C$9,IF(N(Vintage_Input!M36)&gt;0,Vintage_Input!U36/Vintage_Input!M36,""))</f>
        <v/>
      </c>
      <c r="N88" s="152">
        <f>IF($B88=1,$D$9,IF(N(Vintage_Input!N36)&gt;0,Vintage_Input!V36/Vintage_Input!N36,""))</f>
        <v/>
      </c>
      <c r="O88" s="152">
        <f>IF($B88=1,$E$9,IF(N(Vintage_Input!O36)&gt;0,Vintage_Input!W36/Vintage_Input!O36,""))</f>
        <v/>
      </c>
      <c r="P88" s="152">
        <f>IF($B88=1,$F$9,IF(N(Vintage_Input!P36)&gt;0,Vintage_Input!X36/Vintage_Input!P36,""))</f>
        <v/>
      </c>
      <c r="Q88" s="152">
        <f>IF($B88=1,$G$9,IF(N(Vintage_Input!Q36)&gt;0,Vintage_Input!Y36/Vintage_Input!Q36,""))</f>
        <v/>
      </c>
      <c r="R88" s="152">
        <f>IF($B88=1,$H$9,IF(N(Vintage_Input!R36)&gt;0,Vintage_Input!Z36/Vintage_Input!R36,""))</f>
        <v/>
      </c>
      <c r="S88" s="152">
        <f>IF($B88=1,$I$9,IF(N(Vintage_Input!S36)&gt;0,Vintage_Input!AA36/Vintage_Input!S36,""))</f>
        <v/>
      </c>
      <c r="T88" s="152">
        <f>IF($B88=1,$B$10,IF(N(Vintage_Input!L36)&gt;0,Vintage_Input!AB36/Vintage_Input!L36,""))</f>
        <v/>
      </c>
      <c r="U88" s="152">
        <f>IF($B88=1,$C$10,IF(N(Vintage_Input!M36)&gt;0,Vintage_Input!AC36/Vintage_Input!M36,""))</f>
        <v/>
      </c>
      <c r="V88" s="152">
        <f>IF($B88=1,$D$10,IF(N(Vintage_Input!N36)&gt;0,Vintage_Input!AD36/Vintage_Input!N36,""))</f>
        <v/>
      </c>
      <c r="W88" s="152">
        <f>IF($B88=1,$E$10,IF(N(Vintage_Input!O36)&gt;0,Vintage_Input!AE36/Vintage_Input!O36,""))</f>
        <v/>
      </c>
      <c r="X88" s="152">
        <f>IF($B88=1,$F$10,IF(N(Vintage_Input!P36)&gt;0,Vintage_Input!AF36/Vintage_Input!P36,""))</f>
        <v/>
      </c>
      <c r="Y88" s="152">
        <f>IF($B88=1,$G$10,IF(N(Vintage_Input!Q36)&gt;0,Vintage_Input!AG36/Vintage_Input!Q36,""))</f>
        <v/>
      </c>
      <c r="Z88" s="152">
        <f>IF($B88=1,$H$10,IF(N(Vintage_Input!R36)&gt;0,Vintage_Input!AH36/Vintage_Input!R36,""))</f>
        <v/>
      </c>
      <c r="AA88" s="152">
        <f>IF($B88=1,$I$10,IF(N(Vintage_Input!S36)&gt;0,Vintage_Input!AI36/Vintage_Input!S36,""))</f>
        <v/>
      </c>
      <c r="AB88" s="152">
        <f>IF($B88=1,$B$11,IF(N(Vintage_Input!L36)&gt;0,Vintage_Input!AJ36/Vintage_Input!L36,""))</f>
        <v/>
      </c>
      <c r="AC88" s="152">
        <f>IF($B88=1,$C$11,IF(N(Vintage_Input!M36)&gt;0,Vintage_Input!AK36/Vintage_Input!M36,""))</f>
        <v/>
      </c>
      <c r="AD88" s="152">
        <f>IF($B88=1,$D$11,IF(N(Vintage_Input!N36)&gt;0,Vintage_Input!AL36/Vintage_Input!N36,""))</f>
        <v/>
      </c>
      <c r="AE88" s="152">
        <f>IF($B88=1,$E$11,IF(N(Vintage_Input!O36)&gt;0,Vintage_Input!AM36/Vintage_Input!O36,""))</f>
        <v/>
      </c>
      <c r="AF88" s="152">
        <f>IF($B88=1,$F$11,IF(N(Vintage_Input!P36)&gt;0,Vintage_Input!AN36/Vintage_Input!P36,""))</f>
        <v/>
      </c>
      <c r="AG88" s="152">
        <f>IF($B88=1,$G$11,IF(N(Vintage_Input!Q36)&gt;0,Vintage_Input!AO36/Vintage_Input!Q36,""))</f>
        <v/>
      </c>
      <c r="AH88" s="152">
        <f>IF($B88=1,$H$11,IF(N(Vintage_Input!R36)&gt;0,Vintage_Input!AP36/Vintage_Input!R36,""))</f>
        <v/>
      </c>
      <c r="AI88" s="152">
        <f>IF($B88=1,$I$11,IF(N(Vintage_Input!S36)&gt;0,Vintage_Input!AQ36/Vintage_Input!S36,""))</f>
        <v/>
      </c>
      <c r="AJ88" s="152">
        <f>IF($B88=1,$B$12,IF(N(Vintage_Input!L36)&gt;0,IFERROR(Vintage_Input!AR36/Vintage_Input!AJ36,""),""))</f>
        <v/>
      </c>
      <c r="AK88" s="152">
        <f>IF($B88=1,$C$12,IF(N(Vintage_Input!M36)&gt;0,IFERROR(Vintage_Input!AS36/Vintage_Input!AK36,""),""))</f>
        <v/>
      </c>
      <c r="AL88" s="152">
        <f>IF($B88=1,$D$12,IF(N(Vintage_Input!N36)&gt;0,IFERROR(Vintage_Input!AT36/Vintage_Input!AL36,""),""))</f>
        <v/>
      </c>
      <c r="AM88" s="152">
        <f>IF($B88=1,$E$12,IF(N(Vintage_Input!O36)&gt;0,IFERROR(Vintage_Input!AU36/Vintage_Input!AM36,""),""))</f>
        <v/>
      </c>
      <c r="AN88" s="152">
        <f>IF($B88=1,$F$12,IF(N(Vintage_Input!P36)&gt;0,IFERROR(Vintage_Input!AV36/Vintage_Input!AN36,""),""))</f>
        <v/>
      </c>
      <c r="AO88" s="152">
        <f>IF($B88=1,$G$12,IF(N(Vintage_Input!Q36)&gt;0,IFERROR(Vintage_Input!AW36/Vintage_Input!AO36,""),""))</f>
        <v/>
      </c>
      <c r="AP88" s="152">
        <f>IF($B88=1,$H$12,IF(N(Vintage_Input!R36)&gt;0,IFERROR(Vintage_Input!AX36/Vintage_Input!AP36,""),""))</f>
        <v/>
      </c>
      <c r="AQ88" s="152">
        <f>IF($B88=1,$I$12,IF(N(Vintage_Input!S36)&gt;0,IFERROR(Vintage_Input!AY36/Vintage_Input!AQ36,""),""))</f>
        <v/>
      </c>
      <c r="AR88" s="152">
        <f>IF($B88=1,$B$13,IF(N(Vintage_Input!L36)&gt;0,IFERROR(Vintage_Input!AZ36/$C88,""),""))</f>
        <v/>
      </c>
      <c r="AS88" s="152">
        <f>IF($B88=1,$C$13,IF(N(Vintage_Input!M36)&gt;0,IFERROR(Vintage_Input!BA36/$C88,""),""))</f>
        <v/>
      </c>
      <c r="AT88" s="152">
        <f>IF($B88=1,$D$13,IF(N(Vintage_Input!N36)&gt;0,IFERROR(Vintage_Input!BB36/$C88,""),""))</f>
        <v/>
      </c>
      <c r="AU88" s="152">
        <f>IF($B88=1,$E$13,IF(N(Vintage_Input!O36)&gt;0,IFERROR(Vintage_Input!BC36/$C88,""),""))</f>
        <v/>
      </c>
      <c r="AV88" s="152">
        <f>IF($B88=1,$F$13,IF(N(Vintage_Input!P36)&gt;0,IFERROR(Vintage_Input!BD36/$C88,""),""))</f>
        <v/>
      </c>
      <c r="AW88" s="152">
        <f>IF($B88=1,$G$13,IF(N(Vintage_Input!Q36)&gt;0,IFERROR(Vintage_Input!BE36/$C88,""),""))</f>
        <v/>
      </c>
      <c r="AX88" s="152">
        <f>IF($B88=1,$H$13,IF(N(Vintage_Input!R36)&gt;0,IFERROR(Vintage_Input!BF36/$C88,""),""))</f>
        <v/>
      </c>
      <c r="AY88" s="152">
        <f>IF($B88=1,$I$13,IF(N(Vintage_Input!S36)&gt;0,IFERROR(Vintage_Input!BG36/$C88,""),""))</f>
        <v/>
      </c>
      <c r="AZ88" s="153">
        <f>IF($B88=1,$B$14,IF(N(Vintage_Input!L36)&gt;0,IFERROR((Vintage_Input!D36+Vintage_Input!AR36)/$C88+Products!$C$14-(Products!$C$43+Products!$C$19+Products!$C$43*Products!$C$22+Products!$C$44),""),""))</f>
        <v/>
      </c>
      <c r="BA88" s="153">
        <f>IF($B88=1,$C$14,IF(N(Vintage_Input!M36)&gt;0,IFERROR((Vintage_Input!E36+Vintage_Input!AS36)/$C88+Products!$C$14-(Products!$C$43+Products!$C$19+Products!$C$43*Products!$C$22+Products!$C$44),""),""))</f>
        <v/>
      </c>
      <c r="BB88" s="153">
        <f>IF($B88=1,$D$14,IF(N(Vintage_Input!N36)&gt;0,IFERROR((Vintage_Input!F36+Vintage_Input!AT36)/$C88+Products!$C$14-(Products!$C$43+Products!$C$19+Products!$C$43*Products!$C$22+Products!$C$44),""),""))</f>
        <v/>
      </c>
      <c r="BC88" s="153">
        <f>IF($B88=1,$E$14,IF(N(Vintage_Input!O36)&gt;0,IFERROR((Vintage_Input!G36+Vintage_Input!AU36)/$C88+Products!$C$14-(Products!$C$43+Products!$C$19+Products!$C$43*Products!$C$22+Products!$C$44),""),""))</f>
        <v/>
      </c>
      <c r="BD88" s="153">
        <f>IF($B88=1,$F$14,IF(N(Vintage_Input!P36)&gt;0,IFERROR((Vintage_Input!H36+Vintage_Input!AV36)/$C88+Products!$C$14-(Products!$C$43+Products!$C$19+Products!$C$43*Products!$C$22+Products!$C$44),""),""))</f>
        <v/>
      </c>
      <c r="BE88" s="153">
        <f>IF($B88=1,$G$14,IF(N(Vintage_Input!Q36)&gt;0,IFERROR((Vintage_Input!I36+Vintage_Input!AW36)/$C88+Products!$C$14-(Products!$C$43+Products!$C$19+Products!$C$43*Products!$C$22+Products!$C$44),""),""))</f>
        <v/>
      </c>
      <c r="BF88" s="153">
        <f>IF($B88=1,$H$14,IF(N(Vintage_Input!R36)&gt;0,IFERROR((Vintage_Input!J36+Vintage_Input!AX36)/$C88+Products!$C$14-(Products!$C$43+Products!$C$19+Products!$C$43*Products!$C$22+Products!$C$44),""),""))</f>
        <v/>
      </c>
      <c r="BG88" s="153">
        <f>IF($B88=1,$I$14,IF(N(Vintage_Input!S36)&gt;0,IFERROR((Vintage_Input!K36+Vintage_Input!AY36)/$C88+Products!$C$14-(Products!$C$43+Products!$C$19+Products!$C$43*Products!$C$22+Products!$C$44),""),""))</f>
        <v/>
      </c>
      <c r="BH88" s="81">
        <f>IF($B88=1,0,IF(Vintage_Input!$BH$36="","",Vintage_Input!$BH$36))</f>
        <v/>
      </c>
    </row>
    <row r="89">
      <c r="A89" s="23" t="n">
        <v>29</v>
      </c>
      <c r="B89" s="48">
        <f>Vintage_Input!$B$37</f>
        <v/>
      </c>
      <c r="C89" s="41">
        <f>IF(Vintage_Input!$C$37="",0,Vintage_Input!$C$37)</f>
        <v/>
      </c>
      <c r="D89" s="152">
        <f>IF($B89=1,$B$8,IF(N(Vintage_Input!L37)&gt;0,Vintage_Input!D37/Vintage_Input!L37,""))</f>
        <v/>
      </c>
      <c r="E89" s="152">
        <f>IF($B89=1,$C$8,IF(N(Vintage_Input!M37)&gt;0,Vintage_Input!E37/Vintage_Input!M37,""))</f>
        <v/>
      </c>
      <c r="F89" s="152">
        <f>IF($B89=1,$D$8,IF(N(Vintage_Input!N37)&gt;0,Vintage_Input!F37/Vintage_Input!N37,""))</f>
        <v/>
      </c>
      <c r="G89" s="152">
        <f>IF($B89=1,$E$8,IF(N(Vintage_Input!O37)&gt;0,Vintage_Input!G37/Vintage_Input!O37,""))</f>
        <v/>
      </c>
      <c r="H89" s="152">
        <f>IF($B89=1,$F$8,IF(N(Vintage_Input!P37)&gt;0,Vintage_Input!H37/Vintage_Input!P37,""))</f>
        <v/>
      </c>
      <c r="I89" s="152">
        <f>IF($B89=1,$G$8,IF(N(Vintage_Input!Q37)&gt;0,Vintage_Input!I37/Vintage_Input!Q37,""))</f>
        <v/>
      </c>
      <c r="J89" s="152">
        <f>IF($B89=1,$H$8,IF(N(Vintage_Input!R37)&gt;0,Vintage_Input!J37/Vintage_Input!R37,""))</f>
        <v/>
      </c>
      <c r="K89" s="152">
        <f>IF($B89=1,$I$8,IF(N(Vintage_Input!S37)&gt;0,Vintage_Input!K37/Vintage_Input!S37,""))</f>
        <v/>
      </c>
      <c r="L89" s="152">
        <f>IF($B89=1,$B$9,IF(N(Vintage_Input!L37)&gt;0,Vintage_Input!T37/Vintage_Input!L37,""))</f>
        <v/>
      </c>
      <c r="M89" s="152">
        <f>IF($B89=1,$C$9,IF(N(Vintage_Input!M37)&gt;0,Vintage_Input!U37/Vintage_Input!M37,""))</f>
        <v/>
      </c>
      <c r="N89" s="152">
        <f>IF($B89=1,$D$9,IF(N(Vintage_Input!N37)&gt;0,Vintage_Input!V37/Vintage_Input!N37,""))</f>
        <v/>
      </c>
      <c r="O89" s="152">
        <f>IF($B89=1,$E$9,IF(N(Vintage_Input!O37)&gt;0,Vintage_Input!W37/Vintage_Input!O37,""))</f>
        <v/>
      </c>
      <c r="P89" s="152">
        <f>IF($B89=1,$F$9,IF(N(Vintage_Input!P37)&gt;0,Vintage_Input!X37/Vintage_Input!P37,""))</f>
        <v/>
      </c>
      <c r="Q89" s="152">
        <f>IF($B89=1,$G$9,IF(N(Vintage_Input!Q37)&gt;0,Vintage_Input!Y37/Vintage_Input!Q37,""))</f>
        <v/>
      </c>
      <c r="R89" s="152">
        <f>IF($B89=1,$H$9,IF(N(Vintage_Input!R37)&gt;0,Vintage_Input!Z37/Vintage_Input!R37,""))</f>
        <v/>
      </c>
      <c r="S89" s="152">
        <f>IF($B89=1,$I$9,IF(N(Vintage_Input!S37)&gt;0,Vintage_Input!AA37/Vintage_Input!S37,""))</f>
        <v/>
      </c>
      <c r="T89" s="152">
        <f>IF($B89=1,$B$10,IF(N(Vintage_Input!L37)&gt;0,Vintage_Input!AB37/Vintage_Input!L37,""))</f>
        <v/>
      </c>
      <c r="U89" s="152">
        <f>IF($B89=1,$C$10,IF(N(Vintage_Input!M37)&gt;0,Vintage_Input!AC37/Vintage_Input!M37,""))</f>
        <v/>
      </c>
      <c r="V89" s="152">
        <f>IF($B89=1,$D$10,IF(N(Vintage_Input!N37)&gt;0,Vintage_Input!AD37/Vintage_Input!N37,""))</f>
        <v/>
      </c>
      <c r="W89" s="152">
        <f>IF($B89=1,$E$10,IF(N(Vintage_Input!O37)&gt;0,Vintage_Input!AE37/Vintage_Input!O37,""))</f>
        <v/>
      </c>
      <c r="X89" s="152">
        <f>IF($B89=1,$F$10,IF(N(Vintage_Input!P37)&gt;0,Vintage_Input!AF37/Vintage_Input!P37,""))</f>
        <v/>
      </c>
      <c r="Y89" s="152">
        <f>IF($B89=1,$G$10,IF(N(Vintage_Input!Q37)&gt;0,Vintage_Input!AG37/Vintage_Input!Q37,""))</f>
        <v/>
      </c>
      <c r="Z89" s="152">
        <f>IF($B89=1,$H$10,IF(N(Vintage_Input!R37)&gt;0,Vintage_Input!AH37/Vintage_Input!R37,""))</f>
        <v/>
      </c>
      <c r="AA89" s="152">
        <f>IF($B89=1,$I$10,IF(N(Vintage_Input!S37)&gt;0,Vintage_Input!AI37/Vintage_Input!S37,""))</f>
        <v/>
      </c>
      <c r="AB89" s="152">
        <f>IF($B89=1,$B$11,IF(N(Vintage_Input!L37)&gt;0,Vintage_Input!AJ37/Vintage_Input!L37,""))</f>
        <v/>
      </c>
      <c r="AC89" s="152">
        <f>IF($B89=1,$C$11,IF(N(Vintage_Input!M37)&gt;0,Vintage_Input!AK37/Vintage_Input!M37,""))</f>
        <v/>
      </c>
      <c r="AD89" s="152">
        <f>IF($B89=1,$D$11,IF(N(Vintage_Input!N37)&gt;0,Vintage_Input!AL37/Vintage_Input!N37,""))</f>
        <v/>
      </c>
      <c r="AE89" s="152">
        <f>IF($B89=1,$E$11,IF(N(Vintage_Input!O37)&gt;0,Vintage_Input!AM37/Vintage_Input!O37,""))</f>
        <v/>
      </c>
      <c r="AF89" s="152">
        <f>IF($B89=1,$F$11,IF(N(Vintage_Input!P37)&gt;0,Vintage_Input!AN37/Vintage_Input!P37,""))</f>
        <v/>
      </c>
      <c r="AG89" s="152">
        <f>IF($B89=1,$G$11,IF(N(Vintage_Input!Q37)&gt;0,Vintage_Input!AO37/Vintage_Input!Q37,""))</f>
        <v/>
      </c>
      <c r="AH89" s="152">
        <f>IF($B89=1,$H$11,IF(N(Vintage_Input!R37)&gt;0,Vintage_Input!AP37/Vintage_Input!R37,""))</f>
        <v/>
      </c>
      <c r="AI89" s="152">
        <f>IF($B89=1,$I$11,IF(N(Vintage_Input!S37)&gt;0,Vintage_Input!AQ37/Vintage_Input!S37,""))</f>
        <v/>
      </c>
      <c r="AJ89" s="152">
        <f>IF($B89=1,$B$12,IF(N(Vintage_Input!L37)&gt;0,IFERROR(Vintage_Input!AR37/Vintage_Input!AJ37,""),""))</f>
        <v/>
      </c>
      <c r="AK89" s="152">
        <f>IF($B89=1,$C$12,IF(N(Vintage_Input!M37)&gt;0,IFERROR(Vintage_Input!AS37/Vintage_Input!AK37,""),""))</f>
        <v/>
      </c>
      <c r="AL89" s="152">
        <f>IF($B89=1,$D$12,IF(N(Vintage_Input!N37)&gt;0,IFERROR(Vintage_Input!AT37/Vintage_Input!AL37,""),""))</f>
        <v/>
      </c>
      <c r="AM89" s="152">
        <f>IF($B89=1,$E$12,IF(N(Vintage_Input!O37)&gt;0,IFERROR(Vintage_Input!AU37/Vintage_Input!AM37,""),""))</f>
        <v/>
      </c>
      <c r="AN89" s="152">
        <f>IF($B89=1,$F$12,IF(N(Vintage_Input!P37)&gt;0,IFERROR(Vintage_Input!AV37/Vintage_Input!AN37,""),""))</f>
        <v/>
      </c>
      <c r="AO89" s="152">
        <f>IF($B89=1,$G$12,IF(N(Vintage_Input!Q37)&gt;0,IFERROR(Vintage_Input!AW37/Vintage_Input!AO37,""),""))</f>
        <v/>
      </c>
      <c r="AP89" s="152">
        <f>IF($B89=1,$H$12,IF(N(Vintage_Input!R37)&gt;0,IFERROR(Vintage_Input!AX37/Vintage_Input!AP37,""),""))</f>
        <v/>
      </c>
      <c r="AQ89" s="152">
        <f>IF($B89=1,$I$12,IF(N(Vintage_Input!S37)&gt;0,IFERROR(Vintage_Input!AY37/Vintage_Input!AQ37,""),""))</f>
        <v/>
      </c>
      <c r="AR89" s="152">
        <f>IF($B89=1,$B$13,IF(N(Vintage_Input!L37)&gt;0,IFERROR(Vintage_Input!AZ37/$C89,""),""))</f>
        <v/>
      </c>
      <c r="AS89" s="152">
        <f>IF($B89=1,$C$13,IF(N(Vintage_Input!M37)&gt;0,IFERROR(Vintage_Input!BA37/$C89,""),""))</f>
        <v/>
      </c>
      <c r="AT89" s="152">
        <f>IF($B89=1,$D$13,IF(N(Vintage_Input!N37)&gt;0,IFERROR(Vintage_Input!BB37/$C89,""),""))</f>
        <v/>
      </c>
      <c r="AU89" s="152">
        <f>IF($B89=1,$E$13,IF(N(Vintage_Input!O37)&gt;0,IFERROR(Vintage_Input!BC37/$C89,""),""))</f>
        <v/>
      </c>
      <c r="AV89" s="152">
        <f>IF($B89=1,$F$13,IF(N(Vintage_Input!P37)&gt;0,IFERROR(Vintage_Input!BD37/$C89,""),""))</f>
        <v/>
      </c>
      <c r="AW89" s="152">
        <f>IF($B89=1,$G$13,IF(N(Vintage_Input!Q37)&gt;0,IFERROR(Vintage_Input!BE37/$C89,""),""))</f>
        <v/>
      </c>
      <c r="AX89" s="152">
        <f>IF($B89=1,$H$13,IF(N(Vintage_Input!R37)&gt;0,IFERROR(Vintage_Input!BF37/$C89,""),""))</f>
        <v/>
      </c>
      <c r="AY89" s="152">
        <f>IF($B89=1,$I$13,IF(N(Vintage_Input!S37)&gt;0,IFERROR(Vintage_Input!BG37/$C89,""),""))</f>
        <v/>
      </c>
      <c r="AZ89" s="153">
        <f>IF($B89=1,$B$14,IF(N(Vintage_Input!L37)&gt;0,IFERROR((Vintage_Input!D37+Vintage_Input!AR37)/$C89+Products!$C$14-(Products!$C$43+Products!$C$19+Products!$C$43*Products!$C$22+Products!$C$44),""),""))</f>
        <v/>
      </c>
      <c r="BA89" s="153">
        <f>IF($B89=1,$C$14,IF(N(Vintage_Input!M37)&gt;0,IFERROR((Vintage_Input!E37+Vintage_Input!AS37)/$C89+Products!$C$14-(Products!$C$43+Products!$C$19+Products!$C$43*Products!$C$22+Products!$C$44),""),""))</f>
        <v/>
      </c>
      <c r="BB89" s="153">
        <f>IF($B89=1,$D$14,IF(N(Vintage_Input!N37)&gt;0,IFERROR((Vintage_Input!F37+Vintage_Input!AT37)/$C89+Products!$C$14-(Products!$C$43+Products!$C$19+Products!$C$43*Products!$C$22+Products!$C$44),""),""))</f>
        <v/>
      </c>
      <c r="BC89" s="153">
        <f>IF($B89=1,$E$14,IF(N(Vintage_Input!O37)&gt;0,IFERROR((Vintage_Input!G37+Vintage_Input!AU37)/$C89+Products!$C$14-(Products!$C$43+Products!$C$19+Products!$C$43*Products!$C$22+Products!$C$44),""),""))</f>
        <v/>
      </c>
      <c r="BD89" s="153">
        <f>IF($B89=1,$F$14,IF(N(Vintage_Input!P37)&gt;0,IFERROR((Vintage_Input!H37+Vintage_Input!AV37)/$C89+Products!$C$14-(Products!$C$43+Products!$C$19+Products!$C$43*Products!$C$22+Products!$C$44),""),""))</f>
        <v/>
      </c>
      <c r="BE89" s="153">
        <f>IF($B89=1,$G$14,IF(N(Vintage_Input!Q37)&gt;0,IFERROR((Vintage_Input!I37+Vintage_Input!AW37)/$C89+Products!$C$14-(Products!$C$43+Products!$C$19+Products!$C$43*Products!$C$22+Products!$C$44),""),""))</f>
        <v/>
      </c>
      <c r="BF89" s="153">
        <f>IF($B89=1,$H$14,IF(N(Vintage_Input!R37)&gt;0,IFERROR((Vintage_Input!J37+Vintage_Input!AX37)/$C89+Products!$C$14-(Products!$C$43+Products!$C$19+Products!$C$43*Products!$C$22+Products!$C$44),""),""))</f>
        <v/>
      </c>
      <c r="BG89" s="153">
        <f>IF($B89=1,$I$14,IF(N(Vintage_Input!S37)&gt;0,IFERROR((Vintage_Input!K37+Vintage_Input!AY37)/$C89+Products!$C$14-(Products!$C$43+Products!$C$19+Products!$C$43*Products!$C$22+Products!$C$44),""),""))</f>
        <v/>
      </c>
      <c r="BH89" s="81">
        <f>IF($B89=1,0,IF(Vintage_Input!$BH$37="","",Vintage_Input!$BH$37))</f>
        <v/>
      </c>
    </row>
    <row r="90">
      <c r="A90" s="23" t="n">
        <v>30</v>
      </c>
      <c r="B90" s="48">
        <f>Vintage_Input!$B$38</f>
        <v/>
      </c>
      <c r="C90" s="41">
        <f>IF(Vintage_Input!$C$38="",0,Vintage_Input!$C$38)</f>
        <v/>
      </c>
      <c r="D90" s="152">
        <f>IF($B90=1,$B$8,IF(N(Vintage_Input!L38)&gt;0,Vintage_Input!D38/Vintage_Input!L38,""))</f>
        <v/>
      </c>
      <c r="E90" s="152">
        <f>IF($B90=1,$C$8,IF(N(Vintage_Input!M38)&gt;0,Vintage_Input!E38/Vintage_Input!M38,""))</f>
        <v/>
      </c>
      <c r="F90" s="152">
        <f>IF($B90=1,$D$8,IF(N(Vintage_Input!N38)&gt;0,Vintage_Input!F38/Vintage_Input!N38,""))</f>
        <v/>
      </c>
      <c r="G90" s="152">
        <f>IF($B90=1,$E$8,IF(N(Vintage_Input!O38)&gt;0,Vintage_Input!G38/Vintage_Input!O38,""))</f>
        <v/>
      </c>
      <c r="H90" s="152">
        <f>IF($B90=1,$F$8,IF(N(Vintage_Input!P38)&gt;0,Vintage_Input!H38/Vintage_Input!P38,""))</f>
        <v/>
      </c>
      <c r="I90" s="152">
        <f>IF($B90=1,$G$8,IF(N(Vintage_Input!Q38)&gt;0,Vintage_Input!I38/Vintage_Input!Q38,""))</f>
        <v/>
      </c>
      <c r="J90" s="152">
        <f>IF($B90=1,$H$8,IF(N(Vintage_Input!R38)&gt;0,Vintage_Input!J38/Vintage_Input!R38,""))</f>
        <v/>
      </c>
      <c r="K90" s="152">
        <f>IF($B90=1,$I$8,IF(N(Vintage_Input!S38)&gt;0,Vintage_Input!K38/Vintage_Input!S38,""))</f>
        <v/>
      </c>
      <c r="L90" s="152">
        <f>IF($B90=1,$B$9,IF(N(Vintage_Input!L38)&gt;0,Vintage_Input!T38/Vintage_Input!L38,""))</f>
        <v/>
      </c>
      <c r="M90" s="152">
        <f>IF($B90=1,$C$9,IF(N(Vintage_Input!M38)&gt;0,Vintage_Input!U38/Vintage_Input!M38,""))</f>
        <v/>
      </c>
      <c r="N90" s="152">
        <f>IF($B90=1,$D$9,IF(N(Vintage_Input!N38)&gt;0,Vintage_Input!V38/Vintage_Input!N38,""))</f>
        <v/>
      </c>
      <c r="O90" s="152">
        <f>IF($B90=1,$E$9,IF(N(Vintage_Input!O38)&gt;0,Vintage_Input!W38/Vintage_Input!O38,""))</f>
        <v/>
      </c>
      <c r="P90" s="152">
        <f>IF($B90=1,$F$9,IF(N(Vintage_Input!P38)&gt;0,Vintage_Input!X38/Vintage_Input!P38,""))</f>
        <v/>
      </c>
      <c r="Q90" s="152">
        <f>IF($B90=1,$G$9,IF(N(Vintage_Input!Q38)&gt;0,Vintage_Input!Y38/Vintage_Input!Q38,""))</f>
        <v/>
      </c>
      <c r="R90" s="152">
        <f>IF($B90=1,$H$9,IF(N(Vintage_Input!R38)&gt;0,Vintage_Input!Z38/Vintage_Input!R38,""))</f>
        <v/>
      </c>
      <c r="S90" s="152">
        <f>IF($B90=1,$I$9,IF(N(Vintage_Input!S38)&gt;0,Vintage_Input!AA38/Vintage_Input!S38,""))</f>
        <v/>
      </c>
      <c r="T90" s="152">
        <f>IF($B90=1,$B$10,IF(N(Vintage_Input!L38)&gt;0,Vintage_Input!AB38/Vintage_Input!L38,""))</f>
        <v/>
      </c>
      <c r="U90" s="152">
        <f>IF($B90=1,$C$10,IF(N(Vintage_Input!M38)&gt;0,Vintage_Input!AC38/Vintage_Input!M38,""))</f>
        <v/>
      </c>
      <c r="V90" s="152">
        <f>IF($B90=1,$D$10,IF(N(Vintage_Input!N38)&gt;0,Vintage_Input!AD38/Vintage_Input!N38,""))</f>
        <v/>
      </c>
      <c r="W90" s="152">
        <f>IF($B90=1,$E$10,IF(N(Vintage_Input!O38)&gt;0,Vintage_Input!AE38/Vintage_Input!O38,""))</f>
        <v/>
      </c>
      <c r="X90" s="152">
        <f>IF($B90=1,$F$10,IF(N(Vintage_Input!P38)&gt;0,Vintage_Input!AF38/Vintage_Input!P38,""))</f>
        <v/>
      </c>
      <c r="Y90" s="152">
        <f>IF($B90=1,$G$10,IF(N(Vintage_Input!Q38)&gt;0,Vintage_Input!AG38/Vintage_Input!Q38,""))</f>
        <v/>
      </c>
      <c r="Z90" s="152">
        <f>IF($B90=1,$H$10,IF(N(Vintage_Input!R38)&gt;0,Vintage_Input!AH38/Vintage_Input!R38,""))</f>
        <v/>
      </c>
      <c r="AA90" s="152">
        <f>IF($B90=1,$I$10,IF(N(Vintage_Input!S38)&gt;0,Vintage_Input!AI38/Vintage_Input!S38,""))</f>
        <v/>
      </c>
      <c r="AB90" s="152">
        <f>IF($B90=1,$B$11,IF(N(Vintage_Input!L38)&gt;0,Vintage_Input!AJ38/Vintage_Input!L38,""))</f>
        <v/>
      </c>
      <c r="AC90" s="152">
        <f>IF($B90=1,$C$11,IF(N(Vintage_Input!M38)&gt;0,Vintage_Input!AK38/Vintage_Input!M38,""))</f>
        <v/>
      </c>
      <c r="AD90" s="152">
        <f>IF($B90=1,$D$11,IF(N(Vintage_Input!N38)&gt;0,Vintage_Input!AL38/Vintage_Input!N38,""))</f>
        <v/>
      </c>
      <c r="AE90" s="152">
        <f>IF($B90=1,$E$11,IF(N(Vintage_Input!O38)&gt;0,Vintage_Input!AM38/Vintage_Input!O38,""))</f>
        <v/>
      </c>
      <c r="AF90" s="152">
        <f>IF($B90=1,$F$11,IF(N(Vintage_Input!P38)&gt;0,Vintage_Input!AN38/Vintage_Input!P38,""))</f>
        <v/>
      </c>
      <c r="AG90" s="152">
        <f>IF($B90=1,$G$11,IF(N(Vintage_Input!Q38)&gt;0,Vintage_Input!AO38/Vintage_Input!Q38,""))</f>
        <v/>
      </c>
      <c r="AH90" s="152">
        <f>IF($B90=1,$H$11,IF(N(Vintage_Input!R38)&gt;0,Vintage_Input!AP38/Vintage_Input!R38,""))</f>
        <v/>
      </c>
      <c r="AI90" s="152">
        <f>IF($B90=1,$I$11,IF(N(Vintage_Input!S38)&gt;0,Vintage_Input!AQ38/Vintage_Input!S38,""))</f>
        <v/>
      </c>
      <c r="AJ90" s="152">
        <f>IF($B90=1,$B$12,IF(N(Vintage_Input!L38)&gt;0,IFERROR(Vintage_Input!AR38/Vintage_Input!AJ38,""),""))</f>
        <v/>
      </c>
      <c r="AK90" s="152">
        <f>IF($B90=1,$C$12,IF(N(Vintage_Input!M38)&gt;0,IFERROR(Vintage_Input!AS38/Vintage_Input!AK38,""),""))</f>
        <v/>
      </c>
      <c r="AL90" s="152">
        <f>IF($B90=1,$D$12,IF(N(Vintage_Input!N38)&gt;0,IFERROR(Vintage_Input!AT38/Vintage_Input!AL38,""),""))</f>
        <v/>
      </c>
      <c r="AM90" s="152">
        <f>IF($B90=1,$E$12,IF(N(Vintage_Input!O38)&gt;0,IFERROR(Vintage_Input!AU38/Vintage_Input!AM38,""),""))</f>
        <v/>
      </c>
      <c r="AN90" s="152">
        <f>IF($B90=1,$F$12,IF(N(Vintage_Input!P38)&gt;0,IFERROR(Vintage_Input!AV38/Vintage_Input!AN38,""),""))</f>
        <v/>
      </c>
      <c r="AO90" s="152">
        <f>IF($B90=1,$G$12,IF(N(Vintage_Input!Q38)&gt;0,IFERROR(Vintage_Input!AW38/Vintage_Input!AO38,""),""))</f>
        <v/>
      </c>
      <c r="AP90" s="152">
        <f>IF($B90=1,$H$12,IF(N(Vintage_Input!R38)&gt;0,IFERROR(Vintage_Input!AX38/Vintage_Input!AP38,""),""))</f>
        <v/>
      </c>
      <c r="AQ90" s="152">
        <f>IF($B90=1,$I$12,IF(N(Vintage_Input!S38)&gt;0,IFERROR(Vintage_Input!AY38/Vintage_Input!AQ38,""),""))</f>
        <v/>
      </c>
      <c r="AR90" s="152">
        <f>IF($B90=1,$B$13,IF(N(Vintage_Input!L38)&gt;0,IFERROR(Vintage_Input!AZ38/$C90,""),""))</f>
        <v/>
      </c>
      <c r="AS90" s="152">
        <f>IF($B90=1,$C$13,IF(N(Vintage_Input!M38)&gt;0,IFERROR(Vintage_Input!BA38/$C90,""),""))</f>
        <v/>
      </c>
      <c r="AT90" s="152">
        <f>IF($B90=1,$D$13,IF(N(Vintage_Input!N38)&gt;0,IFERROR(Vintage_Input!BB38/$C90,""),""))</f>
        <v/>
      </c>
      <c r="AU90" s="152">
        <f>IF($B90=1,$E$13,IF(N(Vintage_Input!O38)&gt;0,IFERROR(Vintage_Input!BC38/$C90,""),""))</f>
        <v/>
      </c>
      <c r="AV90" s="152">
        <f>IF($B90=1,$F$13,IF(N(Vintage_Input!P38)&gt;0,IFERROR(Vintage_Input!BD38/$C90,""),""))</f>
        <v/>
      </c>
      <c r="AW90" s="152">
        <f>IF($B90=1,$G$13,IF(N(Vintage_Input!Q38)&gt;0,IFERROR(Vintage_Input!BE38/$C90,""),""))</f>
        <v/>
      </c>
      <c r="AX90" s="152">
        <f>IF($B90=1,$H$13,IF(N(Vintage_Input!R38)&gt;0,IFERROR(Vintage_Input!BF38/$C90,""),""))</f>
        <v/>
      </c>
      <c r="AY90" s="152">
        <f>IF($B90=1,$I$13,IF(N(Vintage_Input!S38)&gt;0,IFERROR(Vintage_Input!BG38/$C90,""),""))</f>
        <v/>
      </c>
      <c r="AZ90" s="153">
        <f>IF($B90=1,$B$14,IF(N(Vintage_Input!L38)&gt;0,IFERROR((Vintage_Input!D38+Vintage_Input!AR38)/$C90+Products!$C$14-(Products!$C$43+Products!$C$19+Products!$C$43*Products!$C$22+Products!$C$44),""),""))</f>
        <v/>
      </c>
      <c r="BA90" s="153">
        <f>IF($B90=1,$C$14,IF(N(Vintage_Input!M38)&gt;0,IFERROR((Vintage_Input!E38+Vintage_Input!AS38)/$C90+Products!$C$14-(Products!$C$43+Products!$C$19+Products!$C$43*Products!$C$22+Products!$C$44),""),""))</f>
        <v/>
      </c>
      <c r="BB90" s="153">
        <f>IF($B90=1,$D$14,IF(N(Vintage_Input!N38)&gt;0,IFERROR((Vintage_Input!F38+Vintage_Input!AT38)/$C90+Products!$C$14-(Products!$C$43+Products!$C$19+Products!$C$43*Products!$C$22+Products!$C$44),""),""))</f>
        <v/>
      </c>
      <c r="BC90" s="153">
        <f>IF($B90=1,$E$14,IF(N(Vintage_Input!O38)&gt;0,IFERROR((Vintage_Input!G38+Vintage_Input!AU38)/$C90+Products!$C$14-(Products!$C$43+Products!$C$19+Products!$C$43*Products!$C$22+Products!$C$44),""),""))</f>
        <v/>
      </c>
      <c r="BD90" s="153">
        <f>IF($B90=1,$F$14,IF(N(Vintage_Input!P38)&gt;0,IFERROR((Vintage_Input!H38+Vintage_Input!AV38)/$C90+Products!$C$14-(Products!$C$43+Products!$C$19+Products!$C$43*Products!$C$22+Products!$C$44),""),""))</f>
        <v/>
      </c>
      <c r="BE90" s="153">
        <f>IF($B90=1,$G$14,IF(N(Vintage_Input!Q38)&gt;0,IFERROR((Vintage_Input!I38+Vintage_Input!AW38)/$C90+Products!$C$14-(Products!$C$43+Products!$C$19+Products!$C$43*Products!$C$22+Products!$C$44),""),""))</f>
        <v/>
      </c>
      <c r="BF90" s="153">
        <f>IF($B90=1,$H$14,IF(N(Vintage_Input!R38)&gt;0,IFERROR((Vintage_Input!J38+Vintage_Input!AX38)/$C90+Products!$C$14-(Products!$C$43+Products!$C$19+Products!$C$43*Products!$C$22+Products!$C$44),""),""))</f>
        <v/>
      </c>
      <c r="BG90" s="153">
        <f>IF($B90=1,$I$14,IF(N(Vintage_Input!S38)&gt;0,IFERROR((Vintage_Input!K38+Vintage_Input!AY38)/$C90+Products!$C$14-(Products!$C$43+Products!$C$19+Products!$C$43*Products!$C$22+Products!$C$44),""),""))</f>
        <v/>
      </c>
      <c r="BH90" s="81">
        <f>IF($B90=1,0,IF(Vintage_Input!$BH$38="","",Vintage_Input!$BH$38))</f>
        <v/>
      </c>
    </row>
    <row r="91">
      <c r="A91" s="23" t="n">
        <v>31</v>
      </c>
      <c r="B91" s="48">
        <f>Vintage_Input!$B$39</f>
        <v/>
      </c>
      <c r="C91" s="41">
        <f>IF(Vintage_Input!$C$39="",0,Vintage_Input!$C$39)</f>
        <v/>
      </c>
      <c r="D91" s="152">
        <f>IF($B91=1,$B$8,IF(N(Vintage_Input!L39)&gt;0,Vintage_Input!D39/Vintage_Input!L39,""))</f>
        <v/>
      </c>
      <c r="E91" s="152">
        <f>IF($B91=1,$C$8,IF(N(Vintage_Input!M39)&gt;0,Vintage_Input!E39/Vintage_Input!M39,""))</f>
        <v/>
      </c>
      <c r="F91" s="152">
        <f>IF($B91=1,$D$8,IF(N(Vintage_Input!N39)&gt;0,Vintage_Input!F39/Vintage_Input!N39,""))</f>
        <v/>
      </c>
      <c r="G91" s="152">
        <f>IF($B91=1,$E$8,IF(N(Vintage_Input!O39)&gt;0,Vintage_Input!G39/Vintage_Input!O39,""))</f>
        <v/>
      </c>
      <c r="H91" s="152">
        <f>IF($B91=1,$F$8,IF(N(Vintage_Input!P39)&gt;0,Vintage_Input!H39/Vintage_Input!P39,""))</f>
        <v/>
      </c>
      <c r="I91" s="152">
        <f>IF($B91=1,$G$8,IF(N(Vintage_Input!Q39)&gt;0,Vintage_Input!I39/Vintage_Input!Q39,""))</f>
        <v/>
      </c>
      <c r="J91" s="152">
        <f>IF($B91=1,$H$8,IF(N(Vintage_Input!R39)&gt;0,Vintage_Input!J39/Vintage_Input!R39,""))</f>
        <v/>
      </c>
      <c r="K91" s="152">
        <f>IF($B91=1,$I$8,IF(N(Vintage_Input!S39)&gt;0,Vintage_Input!K39/Vintage_Input!S39,""))</f>
        <v/>
      </c>
      <c r="L91" s="152">
        <f>IF($B91=1,$B$9,IF(N(Vintage_Input!L39)&gt;0,Vintage_Input!T39/Vintage_Input!L39,""))</f>
        <v/>
      </c>
      <c r="M91" s="152">
        <f>IF($B91=1,$C$9,IF(N(Vintage_Input!M39)&gt;0,Vintage_Input!U39/Vintage_Input!M39,""))</f>
        <v/>
      </c>
      <c r="N91" s="152">
        <f>IF($B91=1,$D$9,IF(N(Vintage_Input!N39)&gt;0,Vintage_Input!V39/Vintage_Input!N39,""))</f>
        <v/>
      </c>
      <c r="O91" s="152">
        <f>IF($B91=1,$E$9,IF(N(Vintage_Input!O39)&gt;0,Vintage_Input!W39/Vintage_Input!O39,""))</f>
        <v/>
      </c>
      <c r="P91" s="152">
        <f>IF($B91=1,$F$9,IF(N(Vintage_Input!P39)&gt;0,Vintage_Input!X39/Vintage_Input!P39,""))</f>
        <v/>
      </c>
      <c r="Q91" s="152">
        <f>IF($B91=1,$G$9,IF(N(Vintage_Input!Q39)&gt;0,Vintage_Input!Y39/Vintage_Input!Q39,""))</f>
        <v/>
      </c>
      <c r="R91" s="152">
        <f>IF($B91=1,$H$9,IF(N(Vintage_Input!R39)&gt;0,Vintage_Input!Z39/Vintage_Input!R39,""))</f>
        <v/>
      </c>
      <c r="S91" s="152">
        <f>IF($B91=1,$I$9,IF(N(Vintage_Input!S39)&gt;0,Vintage_Input!AA39/Vintage_Input!S39,""))</f>
        <v/>
      </c>
      <c r="T91" s="152">
        <f>IF($B91=1,$B$10,IF(N(Vintage_Input!L39)&gt;0,Vintage_Input!AB39/Vintage_Input!L39,""))</f>
        <v/>
      </c>
      <c r="U91" s="152">
        <f>IF($B91=1,$C$10,IF(N(Vintage_Input!M39)&gt;0,Vintage_Input!AC39/Vintage_Input!M39,""))</f>
        <v/>
      </c>
      <c r="V91" s="152">
        <f>IF($B91=1,$D$10,IF(N(Vintage_Input!N39)&gt;0,Vintage_Input!AD39/Vintage_Input!N39,""))</f>
        <v/>
      </c>
      <c r="W91" s="152">
        <f>IF($B91=1,$E$10,IF(N(Vintage_Input!O39)&gt;0,Vintage_Input!AE39/Vintage_Input!O39,""))</f>
        <v/>
      </c>
      <c r="X91" s="152">
        <f>IF($B91=1,$F$10,IF(N(Vintage_Input!P39)&gt;0,Vintage_Input!AF39/Vintage_Input!P39,""))</f>
        <v/>
      </c>
      <c r="Y91" s="152">
        <f>IF($B91=1,$G$10,IF(N(Vintage_Input!Q39)&gt;0,Vintage_Input!AG39/Vintage_Input!Q39,""))</f>
        <v/>
      </c>
      <c r="Z91" s="152">
        <f>IF($B91=1,$H$10,IF(N(Vintage_Input!R39)&gt;0,Vintage_Input!AH39/Vintage_Input!R39,""))</f>
        <v/>
      </c>
      <c r="AA91" s="152">
        <f>IF($B91=1,$I$10,IF(N(Vintage_Input!S39)&gt;0,Vintage_Input!AI39/Vintage_Input!S39,""))</f>
        <v/>
      </c>
      <c r="AB91" s="152">
        <f>IF($B91=1,$B$11,IF(N(Vintage_Input!L39)&gt;0,Vintage_Input!AJ39/Vintage_Input!L39,""))</f>
        <v/>
      </c>
      <c r="AC91" s="152">
        <f>IF($B91=1,$C$11,IF(N(Vintage_Input!M39)&gt;0,Vintage_Input!AK39/Vintage_Input!M39,""))</f>
        <v/>
      </c>
      <c r="AD91" s="152">
        <f>IF($B91=1,$D$11,IF(N(Vintage_Input!N39)&gt;0,Vintage_Input!AL39/Vintage_Input!N39,""))</f>
        <v/>
      </c>
      <c r="AE91" s="152">
        <f>IF($B91=1,$E$11,IF(N(Vintage_Input!O39)&gt;0,Vintage_Input!AM39/Vintage_Input!O39,""))</f>
        <v/>
      </c>
      <c r="AF91" s="152">
        <f>IF($B91=1,$F$11,IF(N(Vintage_Input!P39)&gt;0,Vintage_Input!AN39/Vintage_Input!P39,""))</f>
        <v/>
      </c>
      <c r="AG91" s="152">
        <f>IF($B91=1,$G$11,IF(N(Vintage_Input!Q39)&gt;0,Vintage_Input!AO39/Vintage_Input!Q39,""))</f>
        <v/>
      </c>
      <c r="AH91" s="152">
        <f>IF($B91=1,$H$11,IF(N(Vintage_Input!R39)&gt;0,Vintage_Input!AP39/Vintage_Input!R39,""))</f>
        <v/>
      </c>
      <c r="AI91" s="152">
        <f>IF($B91=1,$I$11,IF(N(Vintage_Input!S39)&gt;0,Vintage_Input!AQ39/Vintage_Input!S39,""))</f>
        <v/>
      </c>
      <c r="AJ91" s="152">
        <f>IF($B91=1,$B$12,IF(N(Vintage_Input!L39)&gt;0,IFERROR(Vintage_Input!AR39/Vintage_Input!AJ39,""),""))</f>
        <v/>
      </c>
      <c r="AK91" s="152">
        <f>IF($B91=1,$C$12,IF(N(Vintage_Input!M39)&gt;0,IFERROR(Vintage_Input!AS39/Vintage_Input!AK39,""),""))</f>
        <v/>
      </c>
      <c r="AL91" s="152">
        <f>IF($B91=1,$D$12,IF(N(Vintage_Input!N39)&gt;0,IFERROR(Vintage_Input!AT39/Vintage_Input!AL39,""),""))</f>
        <v/>
      </c>
      <c r="AM91" s="152">
        <f>IF($B91=1,$E$12,IF(N(Vintage_Input!O39)&gt;0,IFERROR(Vintage_Input!AU39/Vintage_Input!AM39,""),""))</f>
        <v/>
      </c>
      <c r="AN91" s="152">
        <f>IF($B91=1,$F$12,IF(N(Vintage_Input!P39)&gt;0,IFERROR(Vintage_Input!AV39/Vintage_Input!AN39,""),""))</f>
        <v/>
      </c>
      <c r="AO91" s="152">
        <f>IF($B91=1,$G$12,IF(N(Vintage_Input!Q39)&gt;0,IFERROR(Vintage_Input!AW39/Vintage_Input!AO39,""),""))</f>
        <v/>
      </c>
      <c r="AP91" s="152">
        <f>IF($B91=1,$H$12,IF(N(Vintage_Input!R39)&gt;0,IFERROR(Vintage_Input!AX39/Vintage_Input!AP39,""),""))</f>
        <v/>
      </c>
      <c r="AQ91" s="152">
        <f>IF($B91=1,$I$12,IF(N(Vintage_Input!S39)&gt;0,IFERROR(Vintage_Input!AY39/Vintage_Input!AQ39,""),""))</f>
        <v/>
      </c>
      <c r="AR91" s="152">
        <f>IF($B91=1,$B$13,IF(N(Vintage_Input!L39)&gt;0,IFERROR(Vintage_Input!AZ39/$C91,""),""))</f>
        <v/>
      </c>
      <c r="AS91" s="152">
        <f>IF($B91=1,$C$13,IF(N(Vintage_Input!M39)&gt;0,IFERROR(Vintage_Input!BA39/$C91,""),""))</f>
        <v/>
      </c>
      <c r="AT91" s="152">
        <f>IF($B91=1,$D$13,IF(N(Vintage_Input!N39)&gt;0,IFERROR(Vintage_Input!BB39/$C91,""),""))</f>
        <v/>
      </c>
      <c r="AU91" s="152">
        <f>IF($B91=1,$E$13,IF(N(Vintage_Input!O39)&gt;0,IFERROR(Vintage_Input!BC39/$C91,""),""))</f>
        <v/>
      </c>
      <c r="AV91" s="152">
        <f>IF($B91=1,$F$13,IF(N(Vintage_Input!P39)&gt;0,IFERROR(Vintage_Input!BD39/$C91,""),""))</f>
        <v/>
      </c>
      <c r="AW91" s="152">
        <f>IF($B91=1,$G$13,IF(N(Vintage_Input!Q39)&gt;0,IFERROR(Vintage_Input!BE39/$C91,""),""))</f>
        <v/>
      </c>
      <c r="AX91" s="152">
        <f>IF($B91=1,$H$13,IF(N(Vintage_Input!R39)&gt;0,IFERROR(Vintage_Input!BF39/$C91,""),""))</f>
        <v/>
      </c>
      <c r="AY91" s="152">
        <f>IF($B91=1,$I$13,IF(N(Vintage_Input!S39)&gt;0,IFERROR(Vintage_Input!BG39/$C91,""),""))</f>
        <v/>
      </c>
      <c r="AZ91" s="153">
        <f>IF($B91=1,$B$14,IF(N(Vintage_Input!L39)&gt;0,IFERROR((Vintage_Input!D39+Vintage_Input!AR39)/$C91+Products!$C$14-(Products!$C$43+Products!$C$19+Products!$C$43*Products!$C$22+Products!$C$44),""),""))</f>
        <v/>
      </c>
      <c r="BA91" s="153">
        <f>IF($B91=1,$C$14,IF(N(Vintage_Input!M39)&gt;0,IFERROR((Vintage_Input!E39+Vintage_Input!AS39)/$C91+Products!$C$14-(Products!$C$43+Products!$C$19+Products!$C$43*Products!$C$22+Products!$C$44),""),""))</f>
        <v/>
      </c>
      <c r="BB91" s="153">
        <f>IF($B91=1,$D$14,IF(N(Vintage_Input!N39)&gt;0,IFERROR((Vintage_Input!F39+Vintage_Input!AT39)/$C91+Products!$C$14-(Products!$C$43+Products!$C$19+Products!$C$43*Products!$C$22+Products!$C$44),""),""))</f>
        <v/>
      </c>
      <c r="BC91" s="153">
        <f>IF($B91=1,$E$14,IF(N(Vintage_Input!O39)&gt;0,IFERROR((Vintage_Input!G39+Vintage_Input!AU39)/$C91+Products!$C$14-(Products!$C$43+Products!$C$19+Products!$C$43*Products!$C$22+Products!$C$44),""),""))</f>
        <v/>
      </c>
      <c r="BD91" s="153">
        <f>IF($B91=1,$F$14,IF(N(Vintage_Input!P39)&gt;0,IFERROR((Vintage_Input!H39+Vintage_Input!AV39)/$C91+Products!$C$14-(Products!$C$43+Products!$C$19+Products!$C$43*Products!$C$22+Products!$C$44),""),""))</f>
        <v/>
      </c>
      <c r="BE91" s="153">
        <f>IF($B91=1,$G$14,IF(N(Vintage_Input!Q39)&gt;0,IFERROR((Vintage_Input!I39+Vintage_Input!AW39)/$C91+Products!$C$14-(Products!$C$43+Products!$C$19+Products!$C$43*Products!$C$22+Products!$C$44),""),""))</f>
        <v/>
      </c>
      <c r="BF91" s="153">
        <f>IF($B91=1,$H$14,IF(N(Vintage_Input!R39)&gt;0,IFERROR((Vintage_Input!J39+Vintage_Input!AX39)/$C91+Products!$C$14-(Products!$C$43+Products!$C$19+Products!$C$43*Products!$C$22+Products!$C$44),""),""))</f>
        <v/>
      </c>
      <c r="BG91" s="153">
        <f>IF($B91=1,$I$14,IF(N(Vintage_Input!S39)&gt;0,IFERROR((Vintage_Input!K39+Vintage_Input!AY39)/$C91+Products!$C$14-(Products!$C$43+Products!$C$19+Products!$C$43*Products!$C$22+Products!$C$44),""),""))</f>
        <v/>
      </c>
      <c r="BH91" s="81">
        <f>IF($B91=1,0,IF(Vintage_Input!$BH$39="","",Vintage_Input!$BH$39))</f>
        <v/>
      </c>
    </row>
    <row r="92">
      <c r="A92" s="23" t="n">
        <v>32</v>
      </c>
      <c r="B92" s="48">
        <f>Vintage_Input!$B$40</f>
        <v/>
      </c>
      <c r="C92" s="41">
        <f>IF(Vintage_Input!$C$40="",0,Vintage_Input!$C$40)</f>
        <v/>
      </c>
      <c r="D92" s="152">
        <f>IF($B92=1,$B$8,IF(N(Vintage_Input!L40)&gt;0,Vintage_Input!D40/Vintage_Input!L40,""))</f>
        <v/>
      </c>
      <c r="E92" s="152">
        <f>IF($B92=1,$C$8,IF(N(Vintage_Input!M40)&gt;0,Vintage_Input!E40/Vintage_Input!M40,""))</f>
        <v/>
      </c>
      <c r="F92" s="152">
        <f>IF($B92=1,$D$8,IF(N(Vintage_Input!N40)&gt;0,Vintage_Input!F40/Vintage_Input!N40,""))</f>
        <v/>
      </c>
      <c r="G92" s="152">
        <f>IF($B92=1,$E$8,IF(N(Vintage_Input!O40)&gt;0,Vintage_Input!G40/Vintage_Input!O40,""))</f>
        <v/>
      </c>
      <c r="H92" s="152">
        <f>IF($B92=1,$F$8,IF(N(Vintage_Input!P40)&gt;0,Vintage_Input!H40/Vintage_Input!P40,""))</f>
        <v/>
      </c>
      <c r="I92" s="152">
        <f>IF($B92=1,$G$8,IF(N(Vintage_Input!Q40)&gt;0,Vintage_Input!I40/Vintage_Input!Q40,""))</f>
        <v/>
      </c>
      <c r="J92" s="152">
        <f>IF($B92=1,$H$8,IF(N(Vintage_Input!R40)&gt;0,Vintage_Input!J40/Vintage_Input!R40,""))</f>
        <v/>
      </c>
      <c r="K92" s="152">
        <f>IF($B92=1,$I$8,IF(N(Vintage_Input!S40)&gt;0,Vintage_Input!K40/Vintage_Input!S40,""))</f>
        <v/>
      </c>
      <c r="L92" s="152">
        <f>IF($B92=1,$B$9,IF(N(Vintage_Input!L40)&gt;0,Vintage_Input!T40/Vintage_Input!L40,""))</f>
        <v/>
      </c>
      <c r="M92" s="152">
        <f>IF($B92=1,$C$9,IF(N(Vintage_Input!M40)&gt;0,Vintage_Input!U40/Vintage_Input!M40,""))</f>
        <v/>
      </c>
      <c r="N92" s="152">
        <f>IF($B92=1,$D$9,IF(N(Vintage_Input!N40)&gt;0,Vintage_Input!V40/Vintage_Input!N40,""))</f>
        <v/>
      </c>
      <c r="O92" s="152">
        <f>IF($B92=1,$E$9,IF(N(Vintage_Input!O40)&gt;0,Vintage_Input!W40/Vintage_Input!O40,""))</f>
        <v/>
      </c>
      <c r="P92" s="152">
        <f>IF($B92=1,$F$9,IF(N(Vintage_Input!P40)&gt;0,Vintage_Input!X40/Vintage_Input!P40,""))</f>
        <v/>
      </c>
      <c r="Q92" s="152">
        <f>IF($B92=1,$G$9,IF(N(Vintage_Input!Q40)&gt;0,Vintage_Input!Y40/Vintage_Input!Q40,""))</f>
        <v/>
      </c>
      <c r="R92" s="152">
        <f>IF($B92=1,$H$9,IF(N(Vintage_Input!R40)&gt;0,Vintage_Input!Z40/Vintage_Input!R40,""))</f>
        <v/>
      </c>
      <c r="S92" s="152">
        <f>IF($B92=1,$I$9,IF(N(Vintage_Input!S40)&gt;0,Vintage_Input!AA40/Vintage_Input!S40,""))</f>
        <v/>
      </c>
      <c r="T92" s="152">
        <f>IF($B92=1,$B$10,IF(N(Vintage_Input!L40)&gt;0,Vintage_Input!AB40/Vintage_Input!L40,""))</f>
        <v/>
      </c>
      <c r="U92" s="152">
        <f>IF($B92=1,$C$10,IF(N(Vintage_Input!M40)&gt;0,Vintage_Input!AC40/Vintage_Input!M40,""))</f>
        <v/>
      </c>
      <c r="V92" s="152">
        <f>IF($B92=1,$D$10,IF(N(Vintage_Input!N40)&gt;0,Vintage_Input!AD40/Vintage_Input!N40,""))</f>
        <v/>
      </c>
      <c r="W92" s="152">
        <f>IF($B92=1,$E$10,IF(N(Vintage_Input!O40)&gt;0,Vintage_Input!AE40/Vintage_Input!O40,""))</f>
        <v/>
      </c>
      <c r="X92" s="152">
        <f>IF($B92=1,$F$10,IF(N(Vintage_Input!P40)&gt;0,Vintage_Input!AF40/Vintage_Input!P40,""))</f>
        <v/>
      </c>
      <c r="Y92" s="152">
        <f>IF($B92=1,$G$10,IF(N(Vintage_Input!Q40)&gt;0,Vintage_Input!AG40/Vintage_Input!Q40,""))</f>
        <v/>
      </c>
      <c r="Z92" s="152">
        <f>IF($B92=1,$H$10,IF(N(Vintage_Input!R40)&gt;0,Vintage_Input!AH40/Vintage_Input!R40,""))</f>
        <v/>
      </c>
      <c r="AA92" s="152">
        <f>IF($B92=1,$I$10,IF(N(Vintage_Input!S40)&gt;0,Vintage_Input!AI40/Vintage_Input!S40,""))</f>
        <v/>
      </c>
      <c r="AB92" s="152">
        <f>IF($B92=1,$B$11,IF(N(Vintage_Input!L40)&gt;0,Vintage_Input!AJ40/Vintage_Input!L40,""))</f>
        <v/>
      </c>
      <c r="AC92" s="152">
        <f>IF($B92=1,$C$11,IF(N(Vintage_Input!M40)&gt;0,Vintage_Input!AK40/Vintage_Input!M40,""))</f>
        <v/>
      </c>
      <c r="AD92" s="152">
        <f>IF($B92=1,$D$11,IF(N(Vintage_Input!N40)&gt;0,Vintage_Input!AL40/Vintage_Input!N40,""))</f>
        <v/>
      </c>
      <c r="AE92" s="152">
        <f>IF($B92=1,$E$11,IF(N(Vintage_Input!O40)&gt;0,Vintage_Input!AM40/Vintage_Input!O40,""))</f>
        <v/>
      </c>
      <c r="AF92" s="152">
        <f>IF($B92=1,$F$11,IF(N(Vintage_Input!P40)&gt;0,Vintage_Input!AN40/Vintage_Input!P40,""))</f>
        <v/>
      </c>
      <c r="AG92" s="152">
        <f>IF($B92=1,$G$11,IF(N(Vintage_Input!Q40)&gt;0,Vintage_Input!AO40/Vintage_Input!Q40,""))</f>
        <v/>
      </c>
      <c r="AH92" s="152">
        <f>IF($B92=1,$H$11,IF(N(Vintage_Input!R40)&gt;0,Vintage_Input!AP40/Vintage_Input!R40,""))</f>
        <v/>
      </c>
      <c r="AI92" s="152">
        <f>IF($B92=1,$I$11,IF(N(Vintage_Input!S40)&gt;0,Vintage_Input!AQ40/Vintage_Input!S40,""))</f>
        <v/>
      </c>
      <c r="AJ92" s="152">
        <f>IF($B92=1,$B$12,IF(N(Vintage_Input!L40)&gt;0,IFERROR(Vintage_Input!AR40/Vintage_Input!AJ40,""),""))</f>
        <v/>
      </c>
      <c r="AK92" s="152">
        <f>IF($B92=1,$C$12,IF(N(Vintage_Input!M40)&gt;0,IFERROR(Vintage_Input!AS40/Vintage_Input!AK40,""),""))</f>
        <v/>
      </c>
      <c r="AL92" s="152">
        <f>IF($B92=1,$D$12,IF(N(Vintage_Input!N40)&gt;0,IFERROR(Vintage_Input!AT40/Vintage_Input!AL40,""),""))</f>
        <v/>
      </c>
      <c r="AM92" s="152">
        <f>IF($B92=1,$E$12,IF(N(Vintage_Input!O40)&gt;0,IFERROR(Vintage_Input!AU40/Vintage_Input!AM40,""),""))</f>
        <v/>
      </c>
      <c r="AN92" s="152">
        <f>IF($B92=1,$F$12,IF(N(Vintage_Input!P40)&gt;0,IFERROR(Vintage_Input!AV40/Vintage_Input!AN40,""),""))</f>
        <v/>
      </c>
      <c r="AO92" s="152">
        <f>IF($B92=1,$G$12,IF(N(Vintage_Input!Q40)&gt;0,IFERROR(Vintage_Input!AW40/Vintage_Input!AO40,""),""))</f>
        <v/>
      </c>
      <c r="AP92" s="152">
        <f>IF($B92=1,$H$12,IF(N(Vintage_Input!R40)&gt;0,IFERROR(Vintage_Input!AX40/Vintage_Input!AP40,""),""))</f>
        <v/>
      </c>
      <c r="AQ92" s="152">
        <f>IF($B92=1,$I$12,IF(N(Vintage_Input!S40)&gt;0,IFERROR(Vintage_Input!AY40/Vintage_Input!AQ40,""),""))</f>
        <v/>
      </c>
      <c r="AR92" s="152">
        <f>IF($B92=1,$B$13,IF(N(Vintage_Input!L40)&gt;0,IFERROR(Vintage_Input!AZ40/$C92,""),""))</f>
        <v/>
      </c>
      <c r="AS92" s="152">
        <f>IF($B92=1,$C$13,IF(N(Vintage_Input!M40)&gt;0,IFERROR(Vintage_Input!BA40/$C92,""),""))</f>
        <v/>
      </c>
      <c r="AT92" s="152">
        <f>IF($B92=1,$D$13,IF(N(Vintage_Input!N40)&gt;0,IFERROR(Vintage_Input!BB40/$C92,""),""))</f>
        <v/>
      </c>
      <c r="AU92" s="152">
        <f>IF($B92=1,$E$13,IF(N(Vintage_Input!O40)&gt;0,IFERROR(Vintage_Input!BC40/$C92,""),""))</f>
        <v/>
      </c>
      <c r="AV92" s="152">
        <f>IF($B92=1,$F$13,IF(N(Vintage_Input!P40)&gt;0,IFERROR(Vintage_Input!BD40/$C92,""),""))</f>
        <v/>
      </c>
      <c r="AW92" s="152">
        <f>IF($B92=1,$G$13,IF(N(Vintage_Input!Q40)&gt;0,IFERROR(Vintage_Input!BE40/$C92,""),""))</f>
        <v/>
      </c>
      <c r="AX92" s="152">
        <f>IF($B92=1,$H$13,IF(N(Vintage_Input!R40)&gt;0,IFERROR(Vintage_Input!BF40/$C92,""),""))</f>
        <v/>
      </c>
      <c r="AY92" s="152">
        <f>IF($B92=1,$I$13,IF(N(Vintage_Input!S40)&gt;0,IFERROR(Vintage_Input!BG40/$C92,""),""))</f>
        <v/>
      </c>
      <c r="AZ92" s="153">
        <f>IF($B92=1,$B$14,IF(N(Vintage_Input!L40)&gt;0,IFERROR((Vintage_Input!D40+Vintage_Input!AR40)/$C92+Products!$C$14-(Products!$C$43+Products!$C$19+Products!$C$43*Products!$C$22+Products!$C$44),""),""))</f>
        <v/>
      </c>
      <c r="BA92" s="153">
        <f>IF($B92=1,$C$14,IF(N(Vintage_Input!M40)&gt;0,IFERROR((Vintage_Input!E40+Vintage_Input!AS40)/$C92+Products!$C$14-(Products!$C$43+Products!$C$19+Products!$C$43*Products!$C$22+Products!$C$44),""),""))</f>
        <v/>
      </c>
      <c r="BB92" s="153">
        <f>IF($B92=1,$D$14,IF(N(Vintage_Input!N40)&gt;0,IFERROR((Vintage_Input!F40+Vintage_Input!AT40)/$C92+Products!$C$14-(Products!$C$43+Products!$C$19+Products!$C$43*Products!$C$22+Products!$C$44),""),""))</f>
        <v/>
      </c>
      <c r="BC92" s="153">
        <f>IF($B92=1,$E$14,IF(N(Vintage_Input!O40)&gt;0,IFERROR((Vintage_Input!G40+Vintage_Input!AU40)/$C92+Products!$C$14-(Products!$C$43+Products!$C$19+Products!$C$43*Products!$C$22+Products!$C$44),""),""))</f>
        <v/>
      </c>
      <c r="BD92" s="153">
        <f>IF($B92=1,$F$14,IF(N(Vintage_Input!P40)&gt;0,IFERROR((Vintage_Input!H40+Vintage_Input!AV40)/$C92+Products!$C$14-(Products!$C$43+Products!$C$19+Products!$C$43*Products!$C$22+Products!$C$44),""),""))</f>
        <v/>
      </c>
      <c r="BE92" s="153">
        <f>IF($B92=1,$G$14,IF(N(Vintage_Input!Q40)&gt;0,IFERROR((Vintage_Input!I40+Vintage_Input!AW40)/$C92+Products!$C$14-(Products!$C$43+Products!$C$19+Products!$C$43*Products!$C$22+Products!$C$44),""),""))</f>
        <v/>
      </c>
      <c r="BF92" s="153">
        <f>IF($B92=1,$H$14,IF(N(Vintage_Input!R40)&gt;0,IFERROR((Vintage_Input!J40+Vintage_Input!AX40)/$C92+Products!$C$14-(Products!$C$43+Products!$C$19+Products!$C$43*Products!$C$22+Products!$C$44),""),""))</f>
        <v/>
      </c>
      <c r="BG92" s="153">
        <f>IF($B92=1,$I$14,IF(N(Vintage_Input!S40)&gt;0,IFERROR((Vintage_Input!K40+Vintage_Input!AY40)/$C92+Products!$C$14-(Products!$C$43+Products!$C$19+Products!$C$43*Products!$C$22+Products!$C$44),""),""))</f>
        <v/>
      </c>
      <c r="BH92" s="81">
        <f>IF($B92=1,0,IF(Vintage_Input!$BH$40="","",Vintage_Input!$BH$40))</f>
        <v/>
      </c>
    </row>
    <row r="93">
      <c r="A93" s="23" t="n">
        <v>33</v>
      </c>
      <c r="B93" s="48">
        <f>Vintage_Input!$B$41</f>
        <v/>
      </c>
      <c r="C93" s="41">
        <f>IF(Vintage_Input!$C$41="",0,Vintage_Input!$C$41)</f>
        <v/>
      </c>
      <c r="D93" s="152">
        <f>IF($B93=1,$B$8,IF(N(Vintage_Input!L41)&gt;0,Vintage_Input!D41/Vintage_Input!L41,""))</f>
        <v/>
      </c>
      <c r="E93" s="152">
        <f>IF($B93=1,$C$8,IF(N(Vintage_Input!M41)&gt;0,Vintage_Input!E41/Vintage_Input!M41,""))</f>
        <v/>
      </c>
      <c r="F93" s="152">
        <f>IF($B93=1,$D$8,IF(N(Vintage_Input!N41)&gt;0,Vintage_Input!F41/Vintage_Input!N41,""))</f>
        <v/>
      </c>
      <c r="G93" s="152">
        <f>IF($B93=1,$E$8,IF(N(Vintage_Input!O41)&gt;0,Vintage_Input!G41/Vintage_Input!O41,""))</f>
        <v/>
      </c>
      <c r="H93" s="152">
        <f>IF($B93=1,$F$8,IF(N(Vintage_Input!P41)&gt;0,Vintage_Input!H41/Vintage_Input!P41,""))</f>
        <v/>
      </c>
      <c r="I93" s="152">
        <f>IF($B93=1,$G$8,IF(N(Vintage_Input!Q41)&gt;0,Vintage_Input!I41/Vintage_Input!Q41,""))</f>
        <v/>
      </c>
      <c r="J93" s="152">
        <f>IF($B93=1,$H$8,IF(N(Vintage_Input!R41)&gt;0,Vintage_Input!J41/Vintage_Input!R41,""))</f>
        <v/>
      </c>
      <c r="K93" s="152">
        <f>IF($B93=1,$I$8,IF(N(Vintage_Input!S41)&gt;0,Vintage_Input!K41/Vintage_Input!S41,""))</f>
        <v/>
      </c>
      <c r="L93" s="152">
        <f>IF($B93=1,$B$9,IF(N(Vintage_Input!L41)&gt;0,Vintage_Input!T41/Vintage_Input!L41,""))</f>
        <v/>
      </c>
      <c r="M93" s="152">
        <f>IF($B93=1,$C$9,IF(N(Vintage_Input!M41)&gt;0,Vintage_Input!U41/Vintage_Input!M41,""))</f>
        <v/>
      </c>
      <c r="N93" s="152">
        <f>IF($B93=1,$D$9,IF(N(Vintage_Input!N41)&gt;0,Vintage_Input!V41/Vintage_Input!N41,""))</f>
        <v/>
      </c>
      <c r="O93" s="152">
        <f>IF($B93=1,$E$9,IF(N(Vintage_Input!O41)&gt;0,Vintage_Input!W41/Vintage_Input!O41,""))</f>
        <v/>
      </c>
      <c r="P93" s="152">
        <f>IF($B93=1,$F$9,IF(N(Vintage_Input!P41)&gt;0,Vintage_Input!X41/Vintage_Input!P41,""))</f>
        <v/>
      </c>
      <c r="Q93" s="152">
        <f>IF($B93=1,$G$9,IF(N(Vintage_Input!Q41)&gt;0,Vintage_Input!Y41/Vintage_Input!Q41,""))</f>
        <v/>
      </c>
      <c r="R93" s="152">
        <f>IF($B93=1,$H$9,IF(N(Vintage_Input!R41)&gt;0,Vintage_Input!Z41/Vintage_Input!R41,""))</f>
        <v/>
      </c>
      <c r="S93" s="152">
        <f>IF($B93=1,$I$9,IF(N(Vintage_Input!S41)&gt;0,Vintage_Input!AA41/Vintage_Input!S41,""))</f>
        <v/>
      </c>
      <c r="T93" s="152">
        <f>IF($B93=1,$B$10,IF(N(Vintage_Input!L41)&gt;0,Vintage_Input!AB41/Vintage_Input!L41,""))</f>
        <v/>
      </c>
      <c r="U93" s="152">
        <f>IF($B93=1,$C$10,IF(N(Vintage_Input!M41)&gt;0,Vintage_Input!AC41/Vintage_Input!M41,""))</f>
        <v/>
      </c>
      <c r="V93" s="152">
        <f>IF($B93=1,$D$10,IF(N(Vintage_Input!N41)&gt;0,Vintage_Input!AD41/Vintage_Input!N41,""))</f>
        <v/>
      </c>
      <c r="W93" s="152">
        <f>IF($B93=1,$E$10,IF(N(Vintage_Input!O41)&gt;0,Vintage_Input!AE41/Vintage_Input!O41,""))</f>
        <v/>
      </c>
      <c r="X93" s="152">
        <f>IF($B93=1,$F$10,IF(N(Vintage_Input!P41)&gt;0,Vintage_Input!AF41/Vintage_Input!P41,""))</f>
        <v/>
      </c>
      <c r="Y93" s="152">
        <f>IF($B93=1,$G$10,IF(N(Vintage_Input!Q41)&gt;0,Vintage_Input!AG41/Vintage_Input!Q41,""))</f>
        <v/>
      </c>
      <c r="Z93" s="152">
        <f>IF($B93=1,$H$10,IF(N(Vintage_Input!R41)&gt;0,Vintage_Input!AH41/Vintage_Input!R41,""))</f>
        <v/>
      </c>
      <c r="AA93" s="152">
        <f>IF($B93=1,$I$10,IF(N(Vintage_Input!S41)&gt;0,Vintage_Input!AI41/Vintage_Input!S41,""))</f>
        <v/>
      </c>
      <c r="AB93" s="152">
        <f>IF($B93=1,$B$11,IF(N(Vintage_Input!L41)&gt;0,Vintage_Input!AJ41/Vintage_Input!L41,""))</f>
        <v/>
      </c>
      <c r="AC93" s="152">
        <f>IF($B93=1,$C$11,IF(N(Vintage_Input!M41)&gt;0,Vintage_Input!AK41/Vintage_Input!M41,""))</f>
        <v/>
      </c>
      <c r="AD93" s="152">
        <f>IF($B93=1,$D$11,IF(N(Vintage_Input!N41)&gt;0,Vintage_Input!AL41/Vintage_Input!N41,""))</f>
        <v/>
      </c>
      <c r="AE93" s="152">
        <f>IF($B93=1,$E$11,IF(N(Vintage_Input!O41)&gt;0,Vintage_Input!AM41/Vintage_Input!O41,""))</f>
        <v/>
      </c>
      <c r="AF93" s="152">
        <f>IF($B93=1,$F$11,IF(N(Vintage_Input!P41)&gt;0,Vintage_Input!AN41/Vintage_Input!P41,""))</f>
        <v/>
      </c>
      <c r="AG93" s="152">
        <f>IF($B93=1,$G$11,IF(N(Vintage_Input!Q41)&gt;0,Vintage_Input!AO41/Vintage_Input!Q41,""))</f>
        <v/>
      </c>
      <c r="AH93" s="152">
        <f>IF($B93=1,$H$11,IF(N(Vintage_Input!R41)&gt;0,Vintage_Input!AP41/Vintage_Input!R41,""))</f>
        <v/>
      </c>
      <c r="AI93" s="152">
        <f>IF($B93=1,$I$11,IF(N(Vintage_Input!S41)&gt;0,Vintage_Input!AQ41/Vintage_Input!S41,""))</f>
        <v/>
      </c>
      <c r="AJ93" s="152">
        <f>IF($B93=1,$B$12,IF(N(Vintage_Input!L41)&gt;0,IFERROR(Vintage_Input!AR41/Vintage_Input!AJ41,""),""))</f>
        <v/>
      </c>
      <c r="AK93" s="152">
        <f>IF($B93=1,$C$12,IF(N(Vintage_Input!M41)&gt;0,IFERROR(Vintage_Input!AS41/Vintage_Input!AK41,""),""))</f>
        <v/>
      </c>
      <c r="AL93" s="152">
        <f>IF($B93=1,$D$12,IF(N(Vintage_Input!N41)&gt;0,IFERROR(Vintage_Input!AT41/Vintage_Input!AL41,""),""))</f>
        <v/>
      </c>
      <c r="AM93" s="152">
        <f>IF($B93=1,$E$12,IF(N(Vintage_Input!O41)&gt;0,IFERROR(Vintage_Input!AU41/Vintage_Input!AM41,""),""))</f>
        <v/>
      </c>
      <c r="AN93" s="152">
        <f>IF($B93=1,$F$12,IF(N(Vintage_Input!P41)&gt;0,IFERROR(Vintage_Input!AV41/Vintage_Input!AN41,""),""))</f>
        <v/>
      </c>
      <c r="AO93" s="152">
        <f>IF($B93=1,$G$12,IF(N(Vintage_Input!Q41)&gt;0,IFERROR(Vintage_Input!AW41/Vintage_Input!AO41,""),""))</f>
        <v/>
      </c>
      <c r="AP93" s="152">
        <f>IF($B93=1,$H$12,IF(N(Vintage_Input!R41)&gt;0,IFERROR(Vintage_Input!AX41/Vintage_Input!AP41,""),""))</f>
        <v/>
      </c>
      <c r="AQ93" s="152">
        <f>IF($B93=1,$I$12,IF(N(Vintage_Input!S41)&gt;0,IFERROR(Vintage_Input!AY41/Vintage_Input!AQ41,""),""))</f>
        <v/>
      </c>
      <c r="AR93" s="152">
        <f>IF($B93=1,$B$13,IF(N(Vintage_Input!L41)&gt;0,IFERROR(Vintage_Input!AZ41/$C93,""),""))</f>
        <v/>
      </c>
      <c r="AS93" s="152">
        <f>IF($B93=1,$C$13,IF(N(Vintage_Input!M41)&gt;0,IFERROR(Vintage_Input!BA41/$C93,""),""))</f>
        <v/>
      </c>
      <c r="AT93" s="152">
        <f>IF($B93=1,$D$13,IF(N(Vintage_Input!N41)&gt;0,IFERROR(Vintage_Input!BB41/$C93,""),""))</f>
        <v/>
      </c>
      <c r="AU93" s="152">
        <f>IF($B93=1,$E$13,IF(N(Vintage_Input!O41)&gt;0,IFERROR(Vintage_Input!BC41/$C93,""),""))</f>
        <v/>
      </c>
      <c r="AV93" s="152">
        <f>IF($B93=1,$F$13,IF(N(Vintage_Input!P41)&gt;0,IFERROR(Vintage_Input!BD41/$C93,""),""))</f>
        <v/>
      </c>
      <c r="AW93" s="152">
        <f>IF($B93=1,$G$13,IF(N(Vintage_Input!Q41)&gt;0,IFERROR(Vintage_Input!BE41/$C93,""),""))</f>
        <v/>
      </c>
      <c r="AX93" s="152">
        <f>IF($B93=1,$H$13,IF(N(Vintage_Input!R41)&gt;0,IFERROR(Vintage_Input!BF41/$C93,""),""))</f>
        <v/>
      </c>
      <c r="AY93" s="152">
        <f>IF($B93=1,$I$13,IF(N(Vintage_Input!S41)&gt;0,IFERROR(Vintage_Input!BG41/$C93,""),""))</f>
        <v/>
      </c>
      <c r="AZ93" s="153">
        <f>IF($B93=1,$B$14,IF(N(Vintage_Input!L41)&gt;0,IFERROR((Vintage_Input!D41+Vintage_Input!AR41)/$C93+Products!$C$14-(Products!$C$43+Products!$C$19+Products!$C$43*Products!$C$22+Products!$C$44),""),""))</f>
        <v/>
      </c>
      <c r="BA93" s="153">
        <f>IF($B93=1,$C$14,IF(N(Vintage_Input!M41)&gt;0,IFERROR((Vintage_Input!E41+Vintage_Input!AS41)/$C93+Products!$C$14-(Products!$C$43+Products!$C$19+Products!$C$43*Products!$C$22+Products!$C$44),""),""))</f>
        <v/>
      </c>
      <c r="BB93" s="153">
        <f>IF($B93=1,$D$14,IF(N(Vintage_Input!N41)&gt;0,IFERROR((Vintage_Input!F41+Vintage_Input!AT41)/$C93+Products!$C$14-(Products!$C$43+Products!$C$19+Products!$C$43*Products!$C$22+Products!$C$44),""),""))</f>
        <v/>
      </c>
      <c r="BC93" s="153">
        <f>IF($B93=1,$E$14,IF(N(Vintage_Input!O41)&gt;0,IFERROR((Vintage_Input!G41+Vintage_Input!AU41)/$C93+Products!$C$14-(Products!$C$43+Products!$C$19+Products!$C$43*Products!$C$22+Products!$C$44),""),""))</f>
        <v/>
      </c>
      <c r="BD93" s="153">
        <f>IF($B93=1,$F$14,IF(N(Vintage_Input!P41)&gt;0,IFERROR((Vintage_Input!H41+Vintage_Input!AV41)/$C93+Products!$C$14-(Products!$C$43+Products!$C$19+Products!$C$43*Products!$C$22+Products!$C$44),""),""))</f>
        <v/>
      </c>
      <c r="BE93" s="153">
        <f>IF($B93=1,$G$14,IF(N(Vintage_Input!Q41)&gt;0,IFERROR((Vintage_Input!I41+Vintage_Input!AW41)/$C93+Products!$C$14-(Products!$C$43+Products!$C$19+Products!$C$43*Products!$C$22+Products!$C$44),""),""))</f>
        <v/>
      </c>
      <c r="BF93" s="153">
        <f>IF($B93=1,$H$14,IF(N(Vintage_Input!R41)&gt;0,IFERROR((Vintage_Input!J41+Vintage_Input!AX41)/$C93+Products!$C$14-(Products!$C$43+Products!$C$19+Products!$C$43*Products!$C$22+Products!$C$44),""),""))</f>
        <v/>
      </c>
      <c r="BG93" s="153">
        <f>IF($B93=1,$I$14,IF(N(Vintage_Input!S41)&gt;0,IFERROR((Vintage_Input!K41+Vintage_Input!AY41)/$C93+Products!$C$14-(Products!$C$43+Products!$C$19+Products!$C$43*Products!$C$22+Products!$C$44),""),""))</f>
        <v/>
      </c>
      <c r="BH93" s="81">
        <f>IF($B93=1,0,IF(Vintage_Input!$BH$41="","",Vintage_Input!$BH$41))</f>
        <v/>
      </c>
    </row>
    <row r="94">
      <c r="A94" s="23" t="n">
        <v>34</v>
      </c>
      <c r="B94" s="48">
        <f>Vintage_Input!$B$42</f>
        <v/>
      </c>
      <c r="C94" s="41">
        <f>IF(Vintage_Input!$C$42="",0,Vintage_Input!$C$42)</f>
        <v/>
      </c>
      <c r="D94" s="152">
        <f>IF($B94=1,$B$8,IF(N(Vintage_Input!L42)&gt;0,Vintage_Input!D42/Vintage_Input!L42,""))</f>
        <v/>
      </c>
      <c r="E94" s="152">
        <f>IF($B94=1,$C$8,IF(N(Vintage_Input!M42)&gt;0,Vintage_Input!E42/Vintage_Input!M42,""))</f>
        <v/>
      </c>
      <c r="F94" s="152">
        <f>IF($B94=1,$D$8,IF(N(Vintage_Input!N42)&gt;0,Vintage_Input!F42/Vintage_Input!N42,""))</f>
        <v/>
      </c>
      <c r="G94" s="152">
        <f>IF($B94=1,$E$8,IF(N(Vintage_Input!O42)&gt;0,Vintage_Input!G42/Vintage_Input!O42,""))</f>
        <v/>
      </c>
      <c r="H94" s="152">
        <f>IF($B94=1,$F$8,IF(N(Vintage_Input!P42)&gt;0,Vintage_Input!H42/Vintage_Input!P42,""))</f>
        <v/>
      </c>
      <c r="I94" s="152">
        <f>IF($B94=1,$G$8,IF(N(Vintage_Input!Q42)&gt;0,Vintage_Input!I42/Vintage_Input!Q42,""))</f>
        <v/>
      </c>
      <c r="J94" s="152">
        <f>IF($B94=1,$H$8,IF(N(Vintage_Input!R42)&gt;0,Vintage_Input!J42/Vintage_Input!R42,""))</f>
        <v/>
      </c>
      <c r="K94" s="152">
        <f>IF($B94=1,$I$8,IF(N(Vintage_Input!S42)&gt;0,Vintage_Input!K42/Vintage_Input!S42,""))</f>
        <v/>
      </c>
      <c r="L94" s="152">
        <f>IF($B94=1,$B$9,IF(N(Vintage_Input!L42)&gt;0,Vintage_Input!T42/Vintage_Input!L42,""))</f>
        <v/>
      </c>
      <c r="M94" s="152">
        <f>IF($B94=1,$C$9,IF(N(Vintage_Input!M42)&gt;0,Vintage_Input!U42/Vintage_Input!M42,""))</f>
        <v/>
      </c>
      <c r="N94" s="152">
        <f>IF($B94=1,$D$9,IF(N(Vintage_Input!N42)&gt;0,Vintage_Input!V42/Vintage_Input!N42,""))</f>
        <v/>
      </c>
      <c r="O94" s="152">
        <f>IF($B94=1,$E$9,IF(N(Vintage_Input!O42)&gt;0,Vintage_Input!W42/Vintage_Input!O42,""))</f>
        <v/>
      </c>
      <c r="P94" s="152">
        <f>IF($B94=1,$F$9,IF(N(Vintage_Input!P42)&gt;0,Vintage_Input!X42/Vintage_Input!P42,""))</f>
        <v/>
      </c>
      <c r="Q94" s="152">
        <f>IF($B94=1,$G$9,IF(N(Vintage_Input!Q42)&gt;0,Vintage_Input!Y42/Vintage_Input!Q42,""))</f>
        <v/>
      </c>
      <c r="R94" s="152">
        <f>IF($B94=1,$H$9,IF(N(Vintage_Input!R42)&gt;0,Vintage_Input!Z42/Vintage_Input!R42,""))</f>
        <v/>
      </c>
      <c r="S94" s="152">
        <f>IF($B94=1,$I$9,IF(N(Vintage_Input!S42)&gt;0,Vintage_Input!AA42/Vintage_Input!S42,""))</f>
        <v/>
      </c>
      <c r="T94" s="152">
        <f>IF($B94=1,$B$10,IF(N(Vintage_Input!L42)&gt;0,Vintage_Input!AB42/Vintage_Input!L42,""))</f>
        <v/>
      </c>
      <c r="U94" s="152">
        <f>IF($B94=1,$C$10,IF(N(Vintage_Input!M42)&gt;0,Vintage_Input!AC42/Vintage_Input!M42,""))</f>
        <v/>
      </c>
      <c r="V94" s="152">
        <f>IF($B94=1,$D$10,IF(N(Vintage_Input!N42)&gt;0,Vintage_Input!AD42/Vintage_Input!N42,""))</f>
        <v/>
      </c>
      <c r="W94" s="152">
        <f>IF($B94=1,$E$10,IF(N(Vintage_Input!O42)&gt;0,Vintage_Input!AE42/Vintage_Input!O42,""))</f>
        <v/>
      </c>
      <c r="X94" s="152">
        <f>IF($B94=1,$F$10,IF(N(Vintage_Input!P42)&gt;0,Vintage_Input!AF42/Vintage_Input!P42,""))</f>
        <v/>
      </c>
      <c r="Y94" s="152">
        <f>IF($B94=1,$G$10,IF(N(Vintage_Input!Q42)&gt;0,Vintage_Input!AG42/Vintage_Input!Q42,""))</f>
        <v/>
      </c>
      <c r="Z94" s="152">
        <f>IF($B94=1,$H$10,IF(N(Vintage_Input!R42)&gt;0,Vintage_Input!AH42/Vintage_Input!R42,""))</f>
        <v/>
      </c>
      <c r="AA94" s="152">
        <f>IF($B94=1,$I$10,IF(N(Vintage_Input!S42)&gt;0,Vintage_Input!AI42/Vintage_Input!S42,""))</f>
        <v/>
      </c>
      <c r="AB94" s="152">
        <f>IF($B94=1,$B$11,IF(N(Vintage_Input!L42)&gt;0,Vintage_Input!AJ42/Vintage_Input!L42,""))</f>
        <v/>
      </c>
      <c r="AC94" s="152">
        <f>IF($B94=1,$C$11,IF(N(Vintage_Input!M42)&gt;0,Vintage_Input!AK42/Vintage_Input!M42,""))</f>
        <v/>
      </c>
      <c r="AD94" s="152">
        <f>IF($B94=1,$D$11,IF(N(Vintage_Input!N42)&gt;0,Vintage_Input!AL42/Vintage_Input!N42,""))</f>
        <v/>
      </c>
      <c r="AE94" s="152">
        <f>IF($B94=1,$E$11,IF(N(Vintage_Input!O42)&gt;0,Vintage_Input!AM42/Vintage_Input!O42,""))</f>
        <v/>
      </c>
      <c r="AF94" s="152">
        <f>IF($B94=1,$F$11,IF(N(Vintage_Input!P42)&gt;0,Vintage_Input!AN42/Vintage_Input!P42,""))</f>
        <v/>
      </c>
      <c r="AG94" s="152">
        <f>IF($B94=1,$G$11,IF(N(Vintage_Input!Q42)&gt;0,Vintage_Input!AO42/Vintage_Input!Q42,""))</f>
        <v/>
      </c>
      <c r="AH94" s="152">
        <f>IF($B94=1,$H$11,IF(N(Vintage_Input!R42)&gt;0,Vintage_Input!AP42/Vintage_Input!R42,""))</f>
        <v/>
      </c>
      <c r="AI94" s="152">
        <f>IF($B94=1,$I$11,IF(N(Vintage_Input!S42)&gt;0,Vintage_Input!AQ42/Vintage_Input!S42,""))</f>
        <v/>
      </c>
      <c r="AJ94" s="152">
        <f>IF($B94=1,$B$12,IF(N(Vintage_Input!L42)&gt;0,IFERROR(Vintage_Input!AR42/Vintage_Input!AJ42,""),""))</f>
        <v/>
      </c>
      <c r="AK94" s="152">
        <f>IF($B94=1,$C$12,IF(N(Vintage_Input!M42)&gt;0,IFERROR(Vintage_Input!AS42/Vintage_Input!AK42,""),""))</f>
        <v/>
      </c>
      <c r="AL94" s="152">
        <f>IF($B94=1,$D$12,IF(N(Vintage_Input!N42)&gt;0,IFERROR(Vintage_Input!AT42/Vintage_Input!AL42,""),""))</f>
        <v/>
      </c>
      <c r="AM94" s="152">
        <f>IF($B94=1,$E$12,IF(N(Vintage_Input!O42)&gt;0,IFERROR(Vintage_Input!AU42/Vintage_Input!AM42,""),""))</f>
        <v/>
      </c>
      <c r="AN94" s="152">
        <f>IF($B94=1,$F$12,IF(N(Vintage_Input!P42)&gt;0,IFERROR(Vintage_Input!AV42/Vintage_Input!AN42,""),""))</f>
        <v/>
      </c>
      <c r="AO94" s="152">
        <f>IF($B94=1,$G$12,IF(N(Vintage_Input!Q42)&gt;0,IFERROR(Vintage_Input!AW42/Vintage_Input!AO42,""),""))</f>
        <v/>
      </c>
      <c r="AP94" s="152">
        <f>IF($B94=1,$H$12,IF(N(Vintage_Input!R42)&gt;0,IFERROR(Vintage_Input!AX42/Vintage_Input!AP42,""),""))</f>
        <v/>
      </c>
      <c r="AQ94" s="152">
        <f>IF($B94=1,$I$12,IF(N(Vintage_Input!S42)&gt;0,IFERROR(Vintage_Input!AY42/Vintage_Input!AQ42,""),""))</f>
        <v/>
      </c>
      <c r="AR94" s="152">
        <f>IF($B94=1,$B$13,IF(N(Vintage_Input!L42)&gt;0,IFERROR(Vintage_Input!AZ42/$C94,""),""))</f>
        <v/>
      </c>
      <c r="AS94" s="152">
        <f>IF($B94=1,$C$13,IF(N(Vintage_Input!M42)&gt;0,IFERROR(Vintage_Input!BA42/$C94,""),""))</f>
        <v/>
      </c>
      <c r="AT94" s="152">
        <f>IF($B94=1,$D$13,IF(N(Vintage_Input!N42)&gt;0,IFERROR(Vintage_Input!BB42/$C94,""),""))</f>
        <v/>
      </c>
      <c r="AU94" s="152">
        <f>IF($B94=1,$E$13,IF(N(Vintage_Input!O42)&gt;0,IFERROR(Vintage_Input!BC42/$C94,""),""))</f>
        <v/>
      </c>
      <c r="AV94" s="152">
        <f>IF($B94=1,$F$13,IF(N(Vintage_Input!P42)&gt;0,IFERROR(Vintage_Input!BD42/$C94,""),""))</f>
        <v/>
      </c>
      <c r="AW94" s="152">
        <f>IF($B94=1,$G$13,IF(N(Vintage_Input!Q42)&gt;0,IFERROR(Vintage_Input!BE42/$C94,""),""))</f>
        <v/>
      </c>
      <c r="AX94" s="152">
        <f>IF($B94=1,$H$13,IF(N(Vintage_Input!R42)&gt;0,IFERROR(Vintage_Input!BF42/$C94,""),""))</f>
        <v/>
      </c>
      <c r="AY94" s="152">
        <f>IF($B94=1,$I$13,IF(N(Vintage_Input!S42)&gt;0,IFERROR(Vintage_Input!BG42/$C94,""),""))</f>
        <v/>
      </c>
      <c r="AZ94" s="153">
        <f>IF($B94=1,$B$14,IF(N(Vintage_Input!L42)&gt;0,IFERROR((Vintage_Input!D42+Vintage_Input!AR42)/$C94+Products!$C$14-(Products!$C$43+Products!$C$19+Products!$C$43*Products!$C$22+Products!$C$44),""),""))</f>
        <v/>
      </c>
      <c r="BA94" s="153">
        <f>IF($B94=1,$C$14,IF(N(Vintage_Input!M42)&gt;0,IFERROR((Vintage_Input!E42+Vintage_Input!AS42)/$C94+Products!$C$14-(Products!$C$43+Products!$C$19+Products!$C$43*Products!$C$22+Products!$C$44),""),""))</f>
        <v/>
      </c>
      <c r="BB94" s="153">
        <f>IF($B94=1,$D$14,IF(N(Vintage_Input!N42)&gt;0,IFERROR((Vintage_Input!F42+Vintage_Input!AT42)/$C94+Products!$C$14-(Products!$C$43+Products!$C$19+Products!$C$43*Products!$C$22+Products!$C$44),""),""))</f>
        <v/>
      </c>
      <c r="BC94" s="153">
        <f>IF($B94=1,$E$14,IF(N(Vintage_Input!O42)&gt;0,IFERROR((Vintage_Input!G42+Vintage_Input!AU42)/$C94+Products!$C$14-(Products!$C$43+Products!$C$19+Products!$C$43*Products!$C$22+Products!$C$44),""),""))</f>
        <v/>
      </c>
      <c r="BD94" s="153">
        <f>IF($B94=1,$F$14,IF(N(Vintage_Input!P42)&gt;0,IFERROR((Vintage_Input!H42+Vintage_Input!AV42)/$C94+Products!$C$14-(Products!$C$43+Products!$C$19+Products!$C$43*Products!$C$22+Products!$C$44),""),""))</f>
        <v/>
      </c>
      <c r="BE94" s="153">
        <f>IF($B94=1,$G$14,IF(N(Vintage_Input!Q42)&gt;0,IFERROR((Vintage_Input!I42+Vintage_Input!AW42)/$C94+Products!$C$14-(Products!$C$43+Products!$C$19+Products!$C$43*Products!$C$22+Products!$C$44),""),""))</f>
        <v/>
      </c>
      <c r="BF94" s="153">
        <f>IF($B94=1,$H$14,IF(N(Vintage_Input!R42)&gt;0,IFERROR((Vintage_Input!J42+Vintage_Input!AX42)/$C94+Products!$C$14-(Products!$C$43+Products!$C$19+Products!$C$43*Products!$C$22+Products!$C$44),""),""))</f>
        <v/>
      </c>
      <c r="BG94" s="153">
        <f>IF($B94=1,$I$14,IF(N(Vintage_Input!S42)&gt;0,IFERROR((Vintage_Input!K42+Vintage_Input!AY42)/$C94+Products!$C$14-(Products!$C$43+Products!$C$19+Products!$C$43*Products!$C$22+Products!$C$44),""),""))</f>
        <v/>
      </c>
      <c r="BH94" s="81">
        <f>IF($B94=1,0,IF(Vintage_Input!$BH$42="","",Vintage_Input!$BH$42))</f>
        <v/>
      </c>
    </row>
    <row r="95">
      <c r="A95" s="23" t="n">
        <v>35</v>
      </c>
      <c r="B95" s="48">
        <f>Vintage_Input!$B$43</f>
        <v/>
      </c>
      <c r="C95" s="41">
        <f>IF(Vintage_Input!$C$43="",0,Vintage_Input!$C$43)</f>
        <v/>
      </c>
      <c r="D95" s="152">
        <f>IF($B95=1,$B$8,IF(N(Vintage_Input!L43)&gt;0,Vintage_Input!D43/Vintage_Input!L43,""))</f>
        <v/>
      </c>
      <c r="E95" s="152">
        <f>IF($B95=1,$C$8,IF(N(Vintage_Input!M43)&gt;0,Vintage_Input!E43/Vintage_Input!M43,""))</f>
        <v/>
      </c>
      <c r="F95" s="152">
        <f>IF($B95=1,$D$8,IF(N(Vintage_Input!N43)&gt;0,Vintage_Input!F43/Vintage_Input!N43,""))</f>
        <v/>
      </c>
      <c r="G95" s="152">
        <f>IF($B95=1,$E$8,IF(N(Vintage_Input!O43)&gt;0,Vintage_Input!G43/Vintage_Input!O43,""))</f>
        <v/>
      </c>
      <c r="H95" s="152">
        <f>IF($B95=1,$F$8,IF(N(Vintage_Input!P43)&gt;0,Vintage_Input!H43/Vintage_Input!P43,""))</f>
        <v/>
      </c>
      <c r="I95" s="152">
        <f>IF($B95=1,$G$8,IF(N(Vintage_Input!Q43)&gt;0,Vintage_Input!I43/Vintage_Input!Q43,""))</f>
        <v/>
      </c>
      <c r="J95" s="152">
        <f>IF($B95=1,$H$8,IF(N(Vintage_Input!R43)&gt;0,Vintage_Input!J43/Vintage_Input!R43,""))</f>
        <v/>
      </c>
      <c r="K95" s="152">
        <f>IF($B95=1,$I$8,IF(N(Vintage_Input!S43)&gt;0,Vintage_Input!K43/Vintage_Input!S43,""))</f>
        <v/>
      </c>
      <c r="L95" s="152">
        <f>IF($B95=1,$B$9,IF(N(Vintage_Input!L43)&gt;0,Vintage_Input!T43/Vintage_Input!L43,""))</f>
        <v/>
      </c>
      <c r="M95" s="152">
        <f>IF($B95=1,$C$9,IF(N(Vintage_Input!M43)&gt;0,Vintage_Input!U43/Vintage_Input!M43,""))</f>
        <v/>
      </c>
      <c r="N95" s="152">
        <f>IF($B95=1,$D$9,IF(N(Vintage_Input!N43)&gt;0,Vintage_Input!V43/Vintage_Input!N43,""))</f>
        <v/>
      </c>
      <c r="O95" s="152">
        <f>IF($B95=1,$E$9,IF(N(Vintage_Input!O43)&gt;0,Vintage_Input!W43/Vintage_Input!O43,""))</f>
        <v/>
      </c>
      <c r="P95" s="152">
        <f>IF($B95=1,$F$9,IF(N(Vintage_Input!P43)&gt;0,Vintage_Input!X43/Vintage_Input!P43,""))</f>
        <v/>
      </c>
      <c r="Q95" s="152">
        <f>IF($B95=1,$G$9,IF(N(Vintage_Input!Q43)&gt;0,Vintage_Input!Y43/Vintage_Input!Q43,""))</f>
        <v/>
      </c>
      <c r="R95" s="152">
        <f>IF($B95=1,$H$9,IF(N(Vintage_Input!R43)&gt;0,Vintage_Input!Z43/Vintage_Input!R43,""))</f>
        <v/>
      </c>
      <c r="S95" s="152">
        <f>IF($B95=1,$I$9,IF(N(Vintage_Input!S43)&gt;0,Vintage_Input!AA43/Vintage_Input!S43,""))</f>
        <v/>
      </c>
      <c r="T95" s="152">
        <f>IF($B95=1,$B$10,IF(N(Vintage_Input!L43)&gt;0,Vintage_Input!AB43/Vintage_Input!L43,""))</f>
        <v/>
      </c>
      <c r="U95" s="152">
        <f>IF($B95=1,$C$10,IF(N(Vintage_Input!M43)&gt;0,Vintage_Input!AC43/Vintage_Input!M43,""))</f>
        <v/>
      </c>
      <c r="V95" s="152">
        <f>IF($B95=1,$D$10,IF(N(Vintage_Input!N43)&gt;0,Vintage_Input!AD43/Vintage_Input!N43,""))</f>
        <v/>
      </c>
      <c r="W95" s="152">
        <f>IF($B95=1,$E$10,IF(N(Vintage_Input!O43)&gt;0,Vintage_Input!AE43/Vintage_Input!O43,""))</f>
        <v/>
      </c>
      <c r="X95" s="152">
        <f>IF($B95=1,$F$10,IF(N(Vintage_Input!P43)&gt;0,Vintage_Input!AF43/Vintage_Input!P43,""))</f>
        <v/>
      </c>
      <c r="Y95" s="152">
        <f>IF($B95=1,$G$10,IF(N(Vintage_Input!Q43)&gt;0,Vintage_Input!AG43/Vintage_Input!Q43,""))</f>
        <v/>
      </c>
      <c r="Z95" s="152">
        <f>IF($B95=1,$H$10,IF(N(Vintage_Input!R43)&gt;0,Vintage_Input!AH43/Vintage_Input!R43,""))</f>
        <v/>
      </c>
      <c r="AA95" s="152">
        <f>IF($B95=1,$I$10,IF(N(Vintage_Input!S43)&gt;0,Vintage_Input!AI43/Vintage_Input!S43,""))</f>
        <v/>
      </c>
      <c r="AB95" s="152">
        <f>IF($B95=1,$B$11,IF(N(Vintage_Input!L43)&gt;0,Vintage_Input!AJ43/Vintage_Input!L43,""))</f>
        <v/>
      </c>
      <c r="AC95" s="152">
        <f>IF($B95=1,$C$11,IF(N(Vintage_Input!M43)&gt;0,Vintage_Input!AK43/Vintage_Input!M43,""))</f>
        <v/>
      </c>
      <c r="AD95" s="152">
        <f>IF($B95=1,$D$11,IF(N(Vintage_Input!N43)&gt;0,Vintage_Input!AL43/Vintage_Input!N43,""))</f>
        <v/>
      </c>
      <c r="AE95" s="152">
        <f>IF($B95=1,$E$11,IF(N(Vintage_Input!O43)&gt;0,Vintage_Input!AM43/Vintage_Input!O43,""))</f>
        <v/>
      </c>
      <c r="AF95" s="152">
        <f>IF($B95=1,$F$11,IF(N(Vintage_Input!P43)&gt;0,Vintage_Input!AN43/Vintage_Input!P43,""))</f>
        <v/>
      </c>
      <c r="AG95" s="152">
        <f>IF($B95=1,$G$11,IF(N(Vintage_Input!Q43)&gt;0,Vintage_Input!AO43/Vintage_Input!Q43,""))</f>
        <v/>
      </c>
      <c r="AH95" s="152">
        <f>IF($B95=1,$H$11,IF(N(Vintage_Input!R43)&gt;0,Vintage_Input!AP43/Vintage_Input!R43,""))</f>
        <v/>
      </c>
      <c r="AI95" s="152">
        <f>IF($B95=1,$I$11,IF(N(Vintage_Input!S43)&gt;0,Vintage_Input!AQ43/Vintage_Input!S43,""))</f>
        <v/>
      </c>
      <c r="AJ95" s="152">
        <f>IF($B95=1,$B$12,IF(N(Vintage_Input!L43)&gt;0,IFERROR(Vintage_Input!AR43/Vintage_Input!AJ43,""),""))</f>
        <v/>
      </c>
      <c r="AK95" s="152">
        <f>IF($B95=1,$C$12,IF(N(Vintage_Input!M43)&gt;0,IFERROR(Vintage_Input!AS43/Vintage_Input!AK43,""),""))</f>
        <v/>
      </c>
      <c r="AL95" s="152">
        <f>IF($B95=1,$D$12,IF(N(Vintage_Input!N43)&gt;0,IFERROR(Vintage_Input!AT43/Vintage_Input!AL43,""),""))</f>
        <v/>
      </c>
      <c r="AM95" s="152">
        <f>IF($B95=1,$E$12,IF(N(Vintage_Input!O43)&gt;0,IFERROR(Vintage_Input!AU43/Vintage_Input!AM43,""),""))</f>
        <v/>
      </c>
      <c r="AN95" s="152">
        <f>IF($B95=1,$F$12,IF(N(Vintage_Input!P43)&gt;0,IFERROR(Vintage_Input!AV43/Vintage_Input!AN43,""),""))</f>
        <v/>
      </c>
      <c r="AO95" s="152">
        <f>IF($B95=1,$G$12,IF(N(Vintage_Input!Q43)&gt;0,IFERROR(Vintage_Input!AW43/Vintage_Input!AO43,""),""))</f>
        <v/>
      </c>
      <c r="AP95" s="152">
        <f>IF($B95=1,$H$12,IF(N(Vintage_Input!R43)&gt;0,IFERROR(Vintage_Input!AX43/Vintage_Input!AP43,""),""))</f>
        <v/>
      </c>
      <c r="AQ95" s="152">
        <f>IF($B95=1,$I$12,IF(N(Vintage_Input!S43)&gt;0,IFERROR(Vintage_Input!AY43/Vintage_Input!AQ43,""),""))</f>
        <v/>
      </c>
      <c r="AR95" s="152">
        <f>IF($B95=1,$B$13,IF(N(Vintage_Input!L43)&gt;0,IFERROR(Vintage_Input!AZ43/$C95,""),""))</f>
        <v/>
      </c>
      <c r="AS95" s="152">
        <f>IF($B95=1,$C$13,IF(N(Vintage_Input!M43)&gt;0,IFERROR(Vintage_Input!BA43/$C95,""),""))</f>
        <v/>
      </c>
      <c r="AT95" s="152">
        <f>IF($B95=1,$D$13,IF(N(Vintage_Input!N43)&gt;0,IFERROR(Vintage_Input!BB43/$C95,""),""))</f>
        <v/>
      </c>
      <c r="AU95" s="152">
        <f>IF($B95=1,$E$13,IF(N(Vintage_Input!O43)&gt;0,IFERROR(Vintage_Input!BC43/$C95,""),""))</f>
        <v/>
      </c>
      <c r="AV95" s="152">
        <f>IF($B95=1,$F$13,IF(N(Vintage_Input!P43)&gt;0,IFERROR(Vintage_Input!BD43/$C95,""),""))</f>
        <v/>
      </c>
      <c r="AW95" s="152">
        <f>IF($B95=1,$G$13,IF(N(Vintage_Input!Q43)&gt;0,IFERROR(Vintage_Input!BE43/$C95,""),""))</f>
        <v/>
      </c>
      <c r="AX95" s="152">
        <f>IF($B95=1,$H$13,IF(N(Vintage_Input!R43)&gt;0,IFERROR(Vintage_Input!BF43/$C95,""),""))</f>
        <v/>
      </c>
      <c r="AY95" s="152">
        <f>IF($B95=1,$I$13,IF(N(Vintage_Input!S43)&gt;0,IFERROR(Vintage_Input!BG43/$C95,""),""))</f>
        <v/>
      </c>
      <c r="AZ95" s="153">
        <f>IF($B95=1,$B$14,IF(N(Vintage_Input!L43)&gt;0,IFERROR((Vintage_Input!D43+Vintage_Input!AR43)/$C95+Products!$C$14-(Products!$C$43+Products!$C$19+Products!$C$43*Products!$C$22+Products!$C$44),""),""))</f>
        <v/>
      </c>
      <c r="BA95" s="153">
        <f>IF($B95=1,$C$14,IF(N(Vintage_Input!M43)&gt;0,IFERROR((Vintage_Input!E43+Vintage_Input!AS43)/$C95+Products!$C$14-(Products!$C$43+Products!$C$19+Products!$C$43*Products!$C$22+Products!$C$44),""),""))</f>
        <v/>
      </c>
      <c r="BB95" s="153">
        <f>IF($B95=1,$D$14,IF(N(Vintage_Input!N43)&gt;0,IFERROR((Vintage_Input!F43+Vintage_Input!AT43)/$C95+Products!$C$14-(Products!$C$43+Products!$C$19+Products!$C$43*Products!$C$22+Products!$C$44),""),""))</f>
        <v/>
      </c>
      <c r="BC95" s="153">
        <f>IF($B95=1,$E$14,IF(N(Vintage_Input!O43)&gt;0,IFERROR((Vintage_Input!G43+Vintage_Input!AU43)/$C95+Products!$C$14-(Products!$C$43+Products!$C$19+Products!$C$43*Products!$C$22+Products!$C$44),""),""))</f>
        <v/>
      </c>
      <c r="BD95" s="153">
        <f>IF($B95=1,$F$14,IF(N(Vintage_Input!P43)&gt;0,IFERROR((Vintage_Input!H43+Vintage_Input!AV43)/$C95+Products!$C$14-(Products!$C$43+Products!$C$19+Products!$C$43*Products!$C$22+Products!$C$44),""),""))</f>
        <v/>
      </c>
      <c r="BE95" s="153">
        <f>IF($B95=1,$G$14,IF(N(Vintage_Input!Q43)&gt;0,IFERROR((Vintage_Input!I43+Vintage_Input!AW43)/$C95+Products!$C$14-(Products!$C$43+Products!$C$19+Products!$C$43*Products!$C$22+Products!$C$44),""),""))</f>
        <v/>
      </c>
      <c r="BF95" s="153">
        <f>IF($B95=1,$H$14,IF(N(Vintage_Input!R43)&gt;0,IFERROR((Vintage_Input!J43+Vintage_Input!AX43)/$C95+Products!$C$14-(Products!$C$43+Products!$C$19+Products!$C$43*Products!$C$22+Products!$C$44),""),""))</f>
        <v/>
      </c>
      <c r="BG95" s="153">
        <f>IF($B95=1,$I$14,IF(N(Vintage_Input!S43)&gt;0,IFERROR((Vintage_Input!K43+Vintage_Input!AY43)/$C95+Products!$C$14-(Products!$C$43+Products!$C$19+Products!$C$43*Products!$C$22+Products!$C$44),""),""))</f>
        <v/>
      </c>
      <c r="BH95" s="81">
        <f>IF($B95=1,0,IF(Vintage_Input!$BH$43="","",Vintage_Input!$BH$43))</f>
        <v/>
      </c>
    </row>
    <row r="96">
      <c r="A96" s="23" t="n">
        <v>36</v>
      </c>
      <c r="B96" s="48">
        <f>Vintage_Input!$B$44</f>
        <v/>
      </c>
      <c r="C96" s="41">
        <f>IF(Vintage_Input!$C$44="",0,Vintage_Input!$C$44)</f>
        <v/>
      </c>
      <c r="D96" s="152">
        <f>IF($B96=1,$B$8,IF(N(Vintage_Input!L44)&gt;0,Vintage_Input!D44/Vintage_Input!L44,""))</f>
        <v/>
      </c>
      <c r="E96" s="152">
        <f>IF($B96=1,$C$8,IF(N(Vintage_Input!M44)&gt;0,Vintage_Input!E44/Vintage_Input!M44,""))</f>
        <v/>
      </c>
      <c r="F96" s="152">
        <f>IF($B96=1,$D$8,IF(N(Vintage_Input!N44)&gt;0,Vintage_Input!F44/Vintage_Input!N44,""))</f>
        <v/>
      </c>
      <c r="G96" s="152">
        <f>IF($B96=1,$E$8,IF(N(Vintage_Input!O44)&gt;0,Vintage_Input!G44/Vintage_Input!O44,""))</f>
        <v/>
      </c>
      <c r="H96" s="152">
        <f>IF($B96=1,$F$8,IF(N(Vintage_Input!P44)&gt;0,Vintage_Input!H44/Vintage_Input!P44,""))</f>
        <v/>
      </c>
      <c r="I96" s="152">
        <f>IF($B96=1,$G$8,IF(N(Vintage_Input!Q44)&gt;0,Vintage_Input!I44/Vintage_Input!Q44,""))</f>
        <v/>
      </c>
      <c r="J96" s="152">
        <f>IF($B96=1,$H$8,IF(N(Vintage_Input!R44)&gt;0,Vintage_Input!J44/Vintage_Input!R44,""))</f>
        <v/>
      </c>
      <c r="K96" s="152">
        <f>IF($B96=1,$I$8,IF(N(Vintage_Input!S44)&gt;0,Vintage_Input!K44/Vintage_Input!S44,""))</f>
        <v/>
      </c>
      <c r="L96" s="152">
        <f>IF($B96=1,$B$9,IF(N(Vintage_Input!L44)&gt;0,Vintage_Input!T44/Vintage_Input!L44,""))</f>
        <v/>
      </c>
      <c r="M96" s="152">
        <f>IF($B96=1,$C$9,IF(N(Vintage_Input!M44)&gt;0,Vintage_Input!U44/Vintage_Input!M44,""))</f>
        <v/>
      </c>
      <c r="N96" s="152">
        <f>IF($B96=1,$D$9,IF(N(Vintage_Input!N44)&gt;0,Vintage_Input!V44/Vintage_Input!N44,""))</f>
        <v/>
      </c>
      <c r="O96" s="152">
        <f>IF($B96=1,$E$9,IF(N(Vintage_Input!O44)&gt;0,Vintage_Input!W44/Vintage_Input!O44,""))</f>
        <v/>
      </c>
      <c r="P96" s="152">
        <f>IF($B96=1,$F$9,IF(N(Vintage_Input!P44)&gt;0,Vintage_Input!X44/Vintage_Input!P44,""))</f>
        <v/>
      </c>
      <c r="Q96" s="152">
        <f>IF($B96=1,$G$9,IF(N(Vintage_Input!Q44)&gt;0,Vintage_Input!Y44/Vintage_Input!Q44,""))</f>
        <v/>
      </c>
      <c r="R96" s="152">
        <f>IF($B96=1,$H$9,IF(N(Vintage_Input!R44)&gt;0,Vintage_Input!Z44/Vintage_Input!R44,""))</f>
        <v/>
      </c>
      <c r="S96" s="152">
        <f>IF($B96=1,$I$9,IF(N(Vintage_Input!S44)&gt;0,Vintage_Input!AA44/Vintage_Input!S44,""))</f>
        <v/>
      </c>
      <c r="T96" s="152">
        <f>IF($B96=1,$B$10,IF(N(Vintage_Input!L44)&gt;0,Vintage_Input!AB44/Vintage_Input!L44,""))</f>
        <v/>
      </c>
      <c r="U96" s="152">
        <f>IF($B96=1,$C$10,IF(N(Vintage_Input!M44)&gt;0,Vintage_Input!AC44/Vintage_Input!M44,""))</f>
        <v/>
      </c>
      <c r="V96" s="152">
        <f>IF($B96=1,$D$10,IF(N(Vintage_Input!N44)&gt;0,Vintage_Input!AD44/Vintage_Input!N44,""))</f>
        <v/>
      </c>
      <c r="W96" s="152">
        <f>IF($B96=1,$E$10,IF(N(Vintage_Input!O44)&gt;0,Vintage_Input!AE44/Vintage_Input!O44,""))</f>
        <v/>
      </c>
      <c r="X96" s="152">
        <f>IF($B96=1,$F$10,IF(N(Vintage_Input!P44)&gt;0,Vintage_Input!AF44/Vintage_Input!P44,""))</f>
        <v/>
      </c>
      <c r="Y96" s="152">
        <f>IF($B96=1,$G$10,IF(N(Vintage_Input!Q44)&gt;0,Vintage_Input!AG44/Vintage_Input!Q44,""))</f>
        <v/>
      </c>
      <c r="Z96" s="152">
        <f>IF($B96=1,$H$10,IF(N(Vintage_Input!R44)&gt;0,Vintage_Input!AH44/Vintage_Input!R44,""))</f>
        <v/>
      </c>
      <c r="AA96" s="152">
        <f>IF($B96=1,$I$10,IF(N(Vintage_Input!S44)&gt;0,Vintage_Input!AI44/Vintage_Input!S44,""))</f>
        <v/>
      </c>
      <c r="AB96" s="152">
        <f>IF($B96=1,$B$11,IF(N(Vintage_Input!L44)&gt;0,Vintage_Input!AJ44/Vintage_Input!L44,""))</f>
        <v/>
      </c>
      <c r="AC96" s="152">
        <f>IF($B96=1,$C$11,IF(N(Vintage_Input!M44)&gt;0,Vintage_Input!AK44/Vintage_Input!M44,""))</f>
        <v/>
      </c>
      <c r="AD96" s="152">
        <f>IF($B96=1,$D$11,IF(N(Vintage_Input!N44)&gt;0,Vintage_Input!AL44/Vintage_Input!N44,""))</f>
        <v/>
      </c>
      <c r="AE96" s="152">
        <f>IF($B96=1,$E$11,IF(N(Vintage_Input!O44)&gt;0,Vintage_Input!AM44/Vintage_Input!O44,""))</f>
        <v/>
      </c>
      <c r="AF96" s="152">
        <f>IF($B96=1,$F$11,IF(N(Vintage_Input!P44)&gt;0,Vintage_Input!AN44/Vintage_Input!P44,""))</f>
        <v/>
      </c>
      <c r="AG96" s="152">
        <f>IF($B96=1,$G$11,IF(N(Vintage_Input!Q44)&gt;0,Vintage_Input!AO44/Vintage_Input!Q44,""))</f>
        <v/>
      </c>
      <c r="AH96" s="152">
        <f>IF($B96=1,$H$11,IF(N(Vintage_Input!R44)&gt;0,Vintage_Input!AP44/Vintage_Input!R44,""))</f>
        <v/>
      </c>
      <c r="AI96" s="152">
        <f>IF($B96=1,$I$11,IF(N(Vintage_Input!S44)&gt;0,Vintage_Input!AQ44/Vintage_Input!S44,""))</f>
        <v/>
      </c>
      <c r="AJ96" s="152">
        <f>IF($B96=1,$B$12,IF(N(Vintage_Input!L44)&gt;0,IFERROR(Vintage_Input!AR44/Vintage_Input!AJ44,""),""))</f>
        <v/>
      </c>
      <c r="AK96" s="152">
        <f>IF($B96=1,$C$12,IF(N(Vintage_Input!M44)&gt;0,IFERROR(Vintage_Input!AS44/Vintage_Input!AK44,""),""))</f>
        <v/>
      </c>
      <c r="AL96" s="152">
        <f>IF($B96=1,$D$12,IF(N(Vintage_Input!N44)&gt;0,IFERROR(Vintage_Input!AT44/Vintage_Input!AL44,""),""))</f>
        <v/>
      </c>
      <c r="AM96" s="152">
        <f>IF($B96=1,$E$12,IF(N(Vintage_Input!O44)&gt;0,IFERROR(Vintage_Input!AU44/Vintage_Input!AM44,""),""))</f>
        <v/>
      </c>
      <c r="AN96" s="152">
        <f>IF($B96=1,$F$12,IF(N(Vintage_Input!P44)&gt;0,IFERROR(Vintage_Input!AV44/Vintage_Input!AN44,""),""))</f>
        <v/>
      </c>
      <c r="AO96" s="152">
        <f>IF($B96=1,$G$12,IF(N(Vintage_Input!Q44)&gt;0,IFERROR(Vintage_Input!AW44/Vintage_Input!AO44,""),""))</f>
        <v/>
      </c>
      <c r="AP96" s="152">
        <f>IF($B96=1,$H$12,IF(N(Vintage_Input!R44)&gt;0,IFERROR(Vintage_Input!AX44/Vintage_Input!AP44,""),""))</f>
        <v/>
      </c>
      <c r="AQ96" s="152">
        <f>IF($B96=1,$I$12,IF(N(Vintage_Input!S44)&gt;0,IFERROR(Vintage_Input!AY44/Vintage_Input!AQ44,""),""))</f>
        <v/>
      </c>
      <c r="AR96" s="152">
        <f>IF($B96=1,$B$13,IF(N(Vintage_Input!L44)&gt;0,IFERROR(Vintage_Input!AZ44/$C96,""),""))</f>
        <v/>
      </c>
      <c r="AS96" s="152">
        <f>IF($B96=1,$C$13,IF(N(Vintage_Input!M44)&gt;0,IFERROR(Vintage_Input!BA44/$C96,""),""))</f>
        <v/>
      </c>
      <c r="AT96" s="152">
        <f>IF($B96=1,$D$13,IF(N(Vintage_Input!N44)&gt;0,IFERROR(Vintage_Input!BB44/$C96,""),""))</f>
        <v/>
      </c>
      <c r="AU96" s="152">
        <f>IF($B96=1,$E$13,IF(N(Vintage_Input!O44)&gt;0,IFERROR(Vintage_Input!BC44/$C96,""),""))</f>
        <v/>
      </c>
      <c r="AV96" s="152">
        <f>IF($B96=1,$F$13,IF(N(Vintage_Input!P44)&gt;0,IFERROR(Vintage_Input!BD44/$C96,""),""))</f>
        <v/>
      </c>
      <c r="AW96" s="152">
        <f>IF($B96=1,$G$13,IF(N(Vintage_Input!Q44)&gt;0,IFERROR(Vintage_Input!BE44/$C96,""),""))</f>
        <v/>
      </c>
      <c r="AX96" s="152">
        <f>IF($B96=1,$H$13,IF(N(Vintage_Input!R44)&gt;0,IFERROR(Vintage_Input!BF44/$C96,""),""))</f>
        <v/>
      </c>
      <c r="AY96" s="152">
        <f>IF($B96=1,$I$13,IF(N(Vintage_Input!S44)&gt;0,IFERROR(Vintage_Input!BG44/$C96,""),""))</f>
        <v/>
      </c>
      <c r="AZ96" s="153">
        <f>IF($B96=1,$B$14,IF(N(Vintage_Input!L44)&gt;0,IFERROR((Vintage_Input!D44+Vintage_Input!AR44)/$C96+Products!$C$14-(Products!$C$43+Products!$C$19+Products!$C$43*Products!$C$22+Products!$C$44),""),""))</f>
        <v/>
      </c>
      <c r="BA96" s="153">
        <f>IF($B96=1,$C$14,IF(N(Vintage_Input!M44)&gt;0,IFERROR((Vintage_Input!E44+Vintage_Input!AS44)/$C96+Products!$C$14-(Products!$C$43+Products!$C$19+Products!$C$43*Products!$C$22+Products!$C$44),""),""))</f>
        <v/>
      </c>
      <c r="BB96" s="153">
        <f>IF($B96=1,$D$14,IF(N(Vintage_Input!N44)&gt;0,IFERROR((Vintage_Input!F44+Vintage_Input!AT44)/$C96+Products!$C$14-(Products!$C$43+Products!$C$19+Products!$C$43*Products!$C$22+Products!$C$44),""),""))</f>
        <v/>
      </c>
      <c r="BC96" s="153">
        <f>IF($B96=1,$E$14,IF(N(Vintage_Input!O44)&gt;0,IFERROR((Vintage_Input!G44+Vintage_Input!AU44)/$C96+Products!$C$14-(Products!$C$43+Products!$C$19+Products!$C$43*Products!$C$22+Products!$C$44),""),""))</f>
        <v/>
      </c>
      <c r="BD96" s="153">
        <f>IF($B96=1,$F$14,IF(N(Vintage_Input!P44)&gt;0,IFERROR((Vintage_Input!H44+Vintage_Input!AV44)/$C96+Products!$C$14-(Products!$C$43+Products!$C$19+Products!$C$43*Products!$C$22+Products!$C$44),""),""))</f>
        <v/>
      </c>
      <c r="BE96" s="153">
        <f>IF($B96=1,$G$14,IF(N(Vintage_Input!Q44)&gt;0,IFERROR((Vintage_Input!I44+Vintage_Input!AW44)/$C96+Products!$C$14-(Products!$C$43+Products!$C$19+Products!$C$43*Products!$C$22+Products!$C$44),""),""))</f>
        <v/>
      </c>
      <c r="BF96" s="153">
        <f>IF($B96=1,$H$14,IF(N(Vintage_Input!R44)&gt;0,IFERROR((Vintage_Input!J44+Vintage_Input!AX44)/$C96+Products!$C$14-(Products!$C$43+Products!$C$19+Products!$C$43*Products!$C$22+Products!$C$44),""),""))</f>
        <v/>
      </c>
      <c r="BG96" s="153">
        <f>IF($B96=1,$I$14,IF(N(Vintage_Input!S44)&gt;0,IFERROR((Vintage_Input!K44+Vintage_Input!AY44)/$C96+Products!$C$14-(Products!$C$43+Products!$C$19+Products!$C$43*Products!$C$22+Products!$C$44),""),""))</f>
        <v/>
      </c>
      <c r="BH96" s="81">
        <f>IF($B96=1,0,IF(Vintage_Input!$BH$44="","",Vintage_Input!$BH$44))</f>
        <v/>
      </c>
    </row>
    <row r="97">
      <c r="A97" s="23" t="n">
        <v>37</v>
      </c>
      <c r="B97" s="48">
        <f>Vintage_Input!$B$45</f>
        <v/>
      </c>
      <c r="C97" s="41">
        <f>IF(Vintage_Input!$C$45="",0,Vintage_Input!$C$45)</f>
        <v/>
      </c>
      <c r="D97" s="152">
        <f>IF($B97=1,$B$8,IF(N(Vintage_Input!L45)&gt;0,Vintage_Input!D45/Vintage_Input!L45,""))</f>
        <v/>
      </c>
      <c r="E97" s="152">
        <f>IF($B97=1,$C$8,IF(N(Vintage_Input!M45)&gt;0,Vintage_Input!E45/Vintage_Input!M45,""))</f>
        <v/>
      </c>
      <c r="F97" s="152">
        <f>IF($B97=1,$D$8,IF(N(Vintage_Input!N45)&gt;0,Vintage_Input!F45/Vintage_Input!N45,""))</f>
        <v/>
      </c>
      <c r="G97" s="152">
        <f>IF($B97=1,$E$8,IF(N(Vintage_Input!O45)&gt;0,Vintage_Input!G45/Vintage_Input!O45,""))</f>
        <v/>
      </c>
      <c r="H97" s="152">
        <f>IF($B97=1,$F$8,IF(N(Vintage_Input!P45)&gt;0,Vintage_Input!H45/Vintage_Input!P45,""))</f>
        <v/>
      </c>
      <c r="I97" s="152">
        <f>IF($B97=1,$G$8,IF(N(Vintage_Input!Q45)&gt;0,Vintage_Input!I45/Vintage_Input!Q45,""))</f>
        <v/>
      </c>
      <c r="J97" s="152">
        <f>IF($B97=1,$H$8,IF(N(Vintage_Input!R45)&gt;0,Vintage_Input!J45/Vintage_Input!R45,""))</f>
        <v/>
      </c>
      <c r="K97" s="152">
        <f>IF($B97=1,$I$8,IF(N(Vintage_Input!S45)&gt;0,Vintage_Input!K45/Vintage_Input!S45,""))</f>
        <v/>
      </c>
      <c r="L97" s="152">
        <f>IF($B97=1,$B$9,IF(N(Vintage_Input!L45)&gt;0,Vintage_Input!T45/Vintage_Input!L45,""))</f>
        <v/>
      </c>
      <c r="M97" s="152">
        <f>IF($B97=1,$C$9,IF(N(Vintage_Input!M45)&gt;0,Vintage_Input!U45/Vintage_Input!M45,""))</f>
        <v/>
      </c>
      <c r="N97" s="152">
        <f>IF($B97=1,$D$9,IF(N(Vintage_Input!N45)&gt;0,Vintage_Input!V45/Vintage_Input!N45,""))</f>
        <v/>
      </c>
      <c r="O97" s="152">
        <f>IF($B97=1,$E$9,IF(N(Vintage_Input!O45)&gt;0,Vintage_Input!W45/Vintage_Input!O45,""))</f>
        <v/>
      </c>
      <c r="P97" s="152">
        <f>IF($B97=1,$F$9,IF(N(Vintage_Input!P45)&gt;0,Vintage_Input!X45/Vintage_Input!P45,""))</f>
        <v/>
      </c>
      <c r="Q97" s="152">
        <f>IF($B97=1,$G$9,IF(N(Vintage_Input!Q45)&gt;0,Vintage_Input!Y45/Vintage_Input!Q45,""))</f>
        <v/>
      </c>
      <c r="R97" s="152">
        <f>IF($B97=1,$H$9,IF(N(Vintage_Input!R45)&gt;0,Vintage_Input!Z45/Vintage_Input!R45,""))</f>
        <v/>
      </c>
      <c r="S97" s="152">
        <f>IF($B97=1,$I$9,IF(N(Vintage_Input!S45)&gt;0,Vintage_Input!AA45/Vintage_Input!S45,""))</f>
        <v/>
      </c>
      <c r="T97" s="152">
        <f>IF($B97=1,$B$10,IF(N(Vintage_Input!L45)&gt;0,Vintage_Input!AB45/Vintage_Input!L45,""))</f>
        <v/>
      </c>
      <c r="U97" s="152">
        <f>IF($B97=1,$C$10,IF(N(Vintage_Input!M45)&gt;0,Vintage_Input!AC45/Vintage_Input!M45,""))</f>
        <v/>
      </c>
      <c r="V97" s="152">
        <f>IF($B97=1,$D$10,IF(N(Vintage_Input!N45)&gt;0,Vintage_Input!AD45/Vintage_Input!N45,""))</f>
        <v/>
      </c>
      <c r="W97" s="152">
        <f>IF($B97=1,$E$10,IF(N(Vintage_Input!O45)&gt;0,Vintage_Input!AE45/Vintage_Input!O45,""))</f>
        <v/>
      </c>
      <c r="X97" s="152">
        <f>IF($B97=1,$F$10,IF(N(Vintage_Input!P45)&gt;0,Vintage_Input!AF45/Vintage_Input!P45,""))</f>
        <v/>
      </c>
      <c r="Y97" s="152">
        <f>IF($B97=1,$G$10,IF(N(Vintage_Input!Q45)&gt;0,Vintage_Input!AG45/Vintage_Input!Q45,""))</f>
        <v/>
      </c>
      <c r="Z97" s="152">
        <f>IF($B97=1,$H$10,IF(N(Vintage_Input!R45)&gt;0,Vintage_Input!AH45/Vintage_Input!R45,""))</f>
        <v/>
      </c>
      <c r="AA97" s="152">
        <f>IF($B97=1,$I$10,IF(N(Vintage_Input!S45)&gt;0,Vintage_Input!AI45/Vintage_Input!S45,""))</f>
        <v/>
      </c>
      <c r="AB97" s="152">
        <f>IF($B97=1,$B$11,IF(N(Vintage_Input!L45)&gt;0,Vintage_Input!AJ45/Vintage_Input!L45,""))</f>
        <v/>
      </c>
      <c r="AC97" s="152">
        <f>IF($B97=1,$C$11,IF(N(Vintage_Input!M45)&gt;0,Vintage_Input!AK45/Vintage_Input!M45,""))</f>
        <v/>
      </c>
      <c r="AD97" s="152">
        <f>IF($B97=1,$D$11,IF(N(Vintage_Input!N45)&gt;0,Vintage_Input!AL45/Vintage_Input!N45,""))</f>
        <v/>
      </c>
      <c r="AE97" s="152">
        <f>IF($B97=1,$E$11,IF(N(Vintage_Input!O45)&gt;0,Vintage_Input!AM45/Vintage_Input!O45,""))</f>
        <v/>
      </c>
      <c r="AF97" s="152">
        <f>IF($B97=1,$F$11,IF(N(Vintage_Input!P45)&gt;0,Vintage_Input!AN45/Vintage_Input!P45,""))</f>
        <v/>
      </c>
      <c r="AG97" s="152">
        <f>IF($B97=1,$G$11,IF(N(Vintage_Input!Q45)&gt;0,Vintage_Input!AO45/Vintage_Input!Q45,""))</f>
        <v/>
      </c>
      <c r="AH97" s="152">
        <f>IF($B97=1,$H$11,IF(N(Vintage_Input!R45)&gt;0,Vintage_Input!AP45/Vintage_Input!R45,""))</f>
        <v/>
      </c>
      <c r="AI97" s="152">
        <f>IF($B97=1,$I$11,IF(N(Vintage_Input!S45)&gt;0,Vintage_Input!AQ45/Vintage_Input!S45,""))</f>
        <v/>
      </c>
      <c r="AJ97" s="152">
        <f>IF($B97=1,$B$12,IF(N(Vintage_Input!L45)&gt;0,IFERROR(Vintage_Input!AR45/Vintage_Input!AJ45,""),""))</f>
        <v/>
      </c>
      <c r="AK97" s="152">
        <f>IF($B97=1,$C$12,IF(N(Vintage_Input!M45)&gt;0,IFERROR(Vintage_Input!AS45/Vintage_Input!AK45,""),""))</f>
        <v/>
      </c>
      <c r="AL97" s="152">
        <f>IF($B97=1,$D$12,IF(N(Vintage_Input!N45)&gt;0,IFERROR(Vintage_Input!AT45/Vintage_Input!AL45,""),""))</f>
        <v/>
      </c>
      <c r="AM97" s="152">
        <f>IF($B97=1,$E$12,IF(N(Vintage_Input!O45)&gt;0,IFERROR(Vintage_Input!AU45/Vintage_Input!AM45,""),""))</f>
        <v/>
      </c>
      <c r="AN97" s="152">
        <f>IF($B97=1,$F$12,IF(N(Vintage_Input!P45)&gt;0,IFERROR(Vintage_Input!AV45/Vintage_Input!AN45,""),""))</f>
        <v/>
      </c>
      <c r="AO97" s="152">
        <f>IF($B97=1,$G$12,IF(N(Vintage_Input!Q45)&gt;0,IFERROR(Vintage_Input!AW45/Vintage_Input!AO45,""),""))</f>
        <v/>
      </c>
      <c r="AP97" s="152">
        <f>IF($B97=1,$H$12,IF(N(Vintage_Input!R45)&gt;0,IFERROR(Vintage_Input!AX45/Vintage_Input!AP45,""),""))</f>
        <v/>
      </c>
      <c r="AQ97" s="152">
        <f>IF($B97=1,$I$12,IF(N(Vintage_Input!S45)&gt;0,IFERROR(Vintage_Input!AY45/Vintage_Input!AQ45,""),""))</f>
        <v/>
      </c>
      <c r="AR97" s="152">
        <f>IF($B97=1,$B$13,IF(N(Vintage_Input!L45)&gt;0,IFERROR(Vintage_Input!AZ45/$C97,""),""))</f>
        <v/>
      </c>
      <c r="AS97" s="152">
        <f>IF($B97=1,$C$13,IF(N(Vintage_Input!M45)&gt;0,IFERROR(Vintage_Input!BA45/$C97,""),""))</f>
        <v/>
      </c>
      <c r="AT97" s="152">
        <f>IF($B97=1,$D$13,IF(N(Vintage_Input!N45)&gt;0,IFERROR(Vintage_Input!BB45/$C97,""),""))</f>
        <v/>
      </c>
      <c r="AU97" s="152">
        <f>IF($B97=1,$E$13,IF(N(Vintage_Input!O45)&gt;0,IFERROR(Vintage_Input!BC45/$C97,""),""))</f>
        <v/>
      </c>
      <c r="AV97" s="152">
        <f>IF($B97=1,$F$13,IF(N(Vintage_Input!P45)&gt;0,IFERROR(Vintage_Input!BD45/$C97,""),""))</f>
        <v/>
      </c>
      <c r="AW97" s="152">
        <f>IF($B97=1,$G$13,IF(N(Vintage_Input!Q45)&gt;0,IFERROR(Vintage_Input!BE45/$C97,""),""))</f>
        <v/>
      </c>
      <c r="AX97" s="152">
        <f>IF($B97=1,$H$13,IF(N(Vintage_Input!R45)&gt;0,IFERROR(Vintage_Input!BF45/$C97,""),""))</f>
        <v/>
      </c>
      <c r="AY97" s="152">
        <f>IF($B97=1,$I$13,IF(N(Vintage_Input!S45)&gt;0,IFERROR(Vintage_Input!BG45/$C97,""),""))</f>
        <v/>
      </c>
      <c r="AZ97" s="153">
        <f>IF($B97=1,$B$14,IF(N(Vintage_Input!L45)&gt;0,IFERROR((Vintage_Input!D45+Vintage_Input!AR45)/$C97+Products!$C$14-(Products!$C$43+Products!$C$19+Products!$C$43*Products!$C$22+Products!$C$44),""),""))</f>
        <v/>
      </c>
      <c r="BA97" s="153">
        <f>IF($B97=1,$C$14,IF(N(Vintage_Input!M45)&gt;0,IFERROR((Vintage_Input!E45+Vintage_Input!AS45)/$C97+Products!$C$14-(Products!$C$43+Products!$C$19+Products!$C$43*Products!$C$22+Products!$C$44),""),""))</f>
        <v/>
      </c>
      <c r="BB97" s="153">
        <f>IF($B97=1,$D$14,IF(N(Vintage_Input!N45)&gt;0,IFERROR((Vintage_Input!F45+Vintage_Input!AT45)/$C97+Products!$C$14-(Products!$C$43+Products!$C$19+Products!$C$43*Products!$C$22+Products!$C$44),""),""))</f>
        <v/>
      </c>
      <c r="BC97" s="153">
        <f>IF($B97=1,$E$14,IF(N(Vintage_Input!O45)&gt;0,IFERROR((Vintage_Input!G45+Vintage_Input!AU45)/$C97+Products!$C$14-(Products!$C$43+Products!$C$19+Products!$C$43*Products!$C$22+Products!$C$44),""),""))</f>
        <v/>
      </c>
      <c r="BD97" s="153">
        <f>IF($B97=1,$F$14,IF(N(Vintage_Input!P45)&gt;0,IFERROR((Vintage_Input!H45+Vintage_Input!AV45)/$C97+Products!$C$14-(Products!$C$43+Products!$C$19+Products!$C$43*Products!$C$22+Products!$C$44),""),""))</f>
        <v/>
      </c>
      <c r="BE97" s="153">
        <f>IF($B97=1,$G$14,IF(N(Vintage_Input!Q45)&gt;0,IFERROR((Vintage_Input!I45+Vintage_Input!AW45)/$C97+Products!$C$14-(Products!$C$43+Products!$C$19+Products!$C$43*Products!$C$22+Products!$C$44),""),""))</f>
        <v/>
      </c>
      <c r="BF97" s="153">
        <f>IF($B97=1,$H$14,IF(N(Vintage_Input!R45)&gt;0,IFERROR((Vintage_Input!J45+Vintage_Input!AX45)/$C97+Products!$C$14-(Products!$C$43+Products!$C$19+Products!$C$43*Products!$C$22+Products!$C$44),""),""))</f>
        <v/>
      </c>
      <c r="BG97" s="153">
        <f>IF($B97=1,$I$14,IF(N(Vintage_Input!S45)&gt;0,IFERROR((Vintage_Input!K45+Vintage_Input!AY45)/$C97+Products!$C$14-(Products!$C$43+Products!$C$19+Products!$C$43*Products!$C$22+Products!$C$44),""),""))</f>
        <v/>
      </c>
      <c r="BH97" s="81">
        <f>IF($B97=1,0,IF(Vintage_Input!$BH$45="","",Vintage_Input!$BH$45))</f>
        <v/>
      </c>
    </row>
    <row r="98">
      <c r="A98" s="23" t="n">
        <v>38</v>
      </c>
      <c r="B98" s="48">
        <f>Vintage_Input!$B$46</f>
        <v/>
      </c>
      <c r="C98" s="41">
        <f>IF(Vintage_Input!$C$46="",0,Vintage_Input!$C$46)</f>
        <v/>
      </c>
      <c r="D98" s="152">
        <f>IF($B98=1,$B$8,IF(N(Vintage_Input!L46)&gt;0,Vintage_Input!D46/Vintage_Input!L46,""))</f>
        <v/>
      </c>
      <c r="E98" s="152">
        <f>IF($B98=1,$C$8,IF(N(Vintage_Input!M46)&gt;0,Vintage_Input!E46/Vintage_Input!M46,""))</f>
        <v/>
      </c>
      <c r="F98" s="152">
        <f>IF($B98=1,$D$8,IF(N(Vintage_Input!N46)&gt;0,Vintage_Input!F46/Vintage_Input!N46,""))</f>
        <v/>
      </c>
      <c r="G98" s="152">
        <f>IF($B98=1,$E$8,IF(N(Vintage_Input!O46)&gt;0,Vintage_Input!G46/Vintage_Input!O46,""))</f>
        <v/>
      </c>
      <c r="H98" s="152">
        <f>IF($B98=1,$F$8,IF(N(Vintage_Input!P46)&gt;0,Vintage_Input!H46/Vintage_Input!P46,""))</f>
        <v/>
      </c>
      <c r="I98" s="152">
        <f>IF($B98=1,$G$8,IF(N(Vintage_Input!Q46)&gt;0,Vintage_Input!I46/Vintage_Input!Q46,""))</f>
        <v/>
      </c>
      <c r="J98" s="152">
        <f>IF($B98=1,$H$8,IF(N(Vintage_Input!R46)&gt;0,Vintage_Input!J46/Vintage_Input!R46,""))</f>
        <v/>
      </c>
      <c r="K98" s="152">
        <f>IF($B98=1,$I$8,IF(N(Vintage_Input!S46)&gt;0,Vintage_Input!K46/Vintage_Input!S46,""))</f>
        <v/>
      </c>
      <c r="L98" s="152">
        <f>IF($B98=1,$B$9,IF(N(Vintage_Input!L46)&gt;0,Vintage_Input!T46/Vintage_Input!L46,""))</f>
        <v/>
      </c>
      <c r="M98" s="152">
        <f>IF($B98=1,$C$9,IF(N(Vintage_Input!M46)&gt;0,Vintage_Input!U46/Vintage_Input!M46,""))</f>
        <v/>
      </c>
      <c r="N98" s="152">
        <f>IF($B98=1,$D$9,IF(N(Vintage_Input!N46)&gt;0,Vintage_Input!V46/Vintage_Input!N46,""))</f>
        <v/>
      </c>
      <c r="O98" s="152">
        <f>IF($B98=1,$E$9,IF(N(Vintage_Input!O46)&gt;0,Vintage_Input!W46/Vintage_Input!O46,""))</f>
        <v/>
      </c>
      <c r="P98" s="152">
        <f>IF($B98=1,$F$9,IF(N(Vintage_Input!P46)&gt;0,Vintage_Input!X46/Vintage_Input!P46,""))</f>
        <v/>
      </c>
      <c r="Q98" s="152">
        <f>IF($B98=1,$G$9,IF(N(Vintage_Input!Q46)&gt;0,Vintage_Input!Y46/Vintage_Input!Q46,""))</f>
        <v/>
      </c>
      <c r="R98" s="152">
        <f>IF($B98=1,$H$9,IF(N(Vintage_Input!R46)&gt;0,Vintage_Input!Z46/Vintage_Input!R46,""))</f>
        <v/>
      </c>
      <c r="S98" s="152">
        <f>IF($B98=1,$I$9,IF(N(Vintage_Input!S46)&gt;0,Vintage_Input!AA46/Vintage_Input!S46,""))</f>
        <v/>
      </c>
      <c r="T98" s="152">
        <f>IF($B98=1,$B$10,IF(N(Vintage_Input!L46)&gt;0,Vintage_Input!AB46/Vintage_Input!L46,""))</f>
        <v/>
      </c>
      <c r="U98" s="152">
        <f>IF($B98=1,$C$10,IF(N(Vintage_Input!M46)&gt;0,Vintage_Input!AC46/Vintage_Input!M46,""))</f>
        <v/>
      </c>
      <c r="V98" s="152">
        <f>IF($B98=1,$D$10,IF(N(Vintage_Input!N46)&gt;0,Vintage_Input!AD46/Vintage_Input!N46,""))</f>
        <v/>
      </c>
      <c r="W98" s="152">
        <f>IF($B98=1,$E$10,IF(N(Vintage_Input!O46)&gt;0,Vintage_Input!AE46/Vintage_Input!O46,""))</f>
        <v/>
      </c>
      <c r="X98" s="152">
        <f>IF($B98=1,$F$10,IF(N(Vintage_Input!P46)&gt;0,Vintage_Input!AF46/Vintage_Input!P46,""))</f>
        <v/>
      </c>
      <c r="Y98" s="152">
        <f>IF($B98=1,$G$10,IF(N(Vintage_Input!Q46)&gt;0,Vintage_Input!AG46/Vintage_Input!Q46,""))</f>
        <v/>
      </c>
      <c r="Z98" s="152">
        <f>IF($B98=1,$H$10,IF(N(Vintage_Input!R46)&gt;0,Vintage_Input!AH46/Vintage_Input!R46,""))</f>
        <v/>
      </c>
      <c r="AA98" s="152">
        <f>IF($B98=1,$I$10,IF(N(Vintage_Input!S46)&gt;0,Vintage_Input!AI46/Vintage_Input!S46,""))</f>
        <v/>
      </c>
      <c r="AB98" s="152">
        <f>IF($B98=1,$B$11,IF(N(Vintage_Input!L46)&gt;0,Vintage_Input!AJ46/Vintage_Input!L46,""))</f>
        <v/>
      </c>
      <c r="AC98" s="152">
        <f>IF($B98=1,$C$11,IF(N(Vintage_Input!M46)&gt;0,Vintage_Input!AK46/Vintage_Input!M46,""))</f>
        <v/>
      </c>
      <c r="AD98" s="152">
        <f>IF($B98=1,$D$11,IF(N(Vintage_Input!N46)&gt;0,Vintage_Input!AL46/Vintage_Input!N46,""))</f>
        <v/>
      </c>
      <c r="AE98" s="152">
        <f>IF($B98=1,$E$11,IF(N(Vintage_Input!O46)&gt;0,Vintage_Input!AM46/Vintage_Input!O46,""))</f>
        <v/>
      </c>
      <c r="AF98" s="152">
        <f>IF($B98=1,$F$11,IF(N(Vintage_Input!P46)&gt;0,Vintage_Input!AN46/Vintage_Input!P46,""))</f>
        <v/>
      </c>
      <c r="AG98" s="152">
        <f>IF($B98=1,$G$11,IF(N(Vintage_Input!Q46)&gt;0,Vintage_Input!AO46/Vintage_Input!Q46,""))</f>
        <v/>
      </c>
      <c r="AH98" s="152">
        <f>IF($B98=1,$H$11,IF(N(Vintage_Input!R46)&gt;0,Vintage_Input!AP46/Vintage_Input!R46,""))</f>
        <v/>
      </c>
      <c r="AI98" s="152">
        <f>IF($B98=1,$I$11,IF(N(Vintage_Input!S46)&gt;0,Vintage_Input!AQ46/Vintage_Input!S46,""))</f>
        <v/>
      </c>
      <c r="AJ98" s="152">
        <f>IF($B98=1,$B$12,IF(N(Vintage_Input!L46)&gt;0,IFERROR(Vintage_Input!AR46/Vintage_Input!AJ46,""),""))</f>
        <v/>
      </c>
      <c r="AK98" s="152">
        <f>IF($B98=1,$C$12,IF(N(Vintage_Input!M46)&gt;0,IFERROR(Vintage_Input!AS46/Vintage_Input!AK46,""),""))</f>
        <v/>
      </c>
      <c r="AL98" s="152">
        <f>IF($B98=1,$D$12,IF(N(Vintage_Input!N46)&gt;0,IFERROR(Vintage_Input!AT46/Vintage_Input!AL46,""),""))</f>
        <v/>
      </c>
      <c r="AM98" s="152">
        <f>IF($B98=1,$E$12,IF(N(Vintage_Input!O46)&gt;0,IFERROR(Vintage_Input!AU46/Vintage_Input!AM46,""),""))</f>
        <v/>
      </c>
      <c r="AN98" s="152">
        <f>IF($B98=1,$F$12,IF(N(Vintage_Input!P46)&gt;0,IFERROR(Vintage_Input!AV46/Vintage_Input!AN46,""),""))</f>
        <v/>
      </c>
      <c r="AO98" s="152">
        <f>IF($B98=1,$G$12,IF(N(Vintage_Input!Q46)&gt;0,IFERROR(Vintage_Input!AW46/Vintage_Input!AO46,""),""))</f>
        <v/>
      </c>
      <c r="AP98" s="152">
        <f>IF($B98=1,$H$12,IF(N(Vintage_Input!R46)&gt;0,IFERROR(Vintage_Input!AX46/Vintage_Input!AP46,""),""))</f>
        <v/>
      </c>
      <c r="AQ98" s="152">
        <f>IF($B98=1,$I$12,IF(N(Vintage_Input!S46)&gt;0,IFERROR(Vintage_Input!AY46/Vintage_Input!AQ46,""),""))</f>
        <v/>
      </c>
      <c r="AR98" s="152">
        <f>IF($B98=1,$B$13,IF(N(Vintage_Input!L46)&gt;0,IFERROR(Vintage_Input!AZ46/$C98,""),""))</f>
        <v/>
      </c>
      <c r="AS98" s="152">
        <f>IF($B98=1,$C$13,IF(N(Vintage_Input!M46)&gt;0,IFERROR(Vintage_Input!BA46/$C98,""),""))</f>
        <v/>
      </c>
      <c r="AT98" s="152">
        <f>IF($B98=1,$D$13,IF(N(Vintage_Input!N46)&gt;0,IFERROR(Vintage_Input!BB46/$C98,""),""))</f>
        <v/>
      </c>
      <c r="AU98" s="152">
        <f>IF($B98=1,$E$13,IF(N(Vintage_Input!O46)&gt;0,IFERROR(Vintage_Input!BC46/$C98,""),""))</f>
        <v/>
      </c>
      <c r="AV98" s="152">
        <f>IF($B98=1,$F$13,IF(N(Vintage_Input!P46)&gt;0,IFERROR(Vintage_Input!BD46/$C98,""),""))</f>
        <v/>
      </c>
      <c r="AW98" s="152">
        <f>IF($B98=1,$G$13,IF(N(Vintage_Input!Q46)&gt;0,IFERROR(Vintage_Input!BE46/$C98,""),""))</f>
        <v/>
      </c>
      <c r="AX98" s="152">
        <f>IF($B98=1,$H$13,IF(N(Vintage_Input!R46)&gt;0,IFERROR(Vintage_Input!BF46/$C98,""),""))</f>
        <v/>
      </c>
      <c r="AY98" s="152">
        <f>IF($B98=1,$I$13,IF(N(Vintage_Input!S46)&gt;0,IFERROR(Vintage_Input!BG46/$C98,""),""))</f>
        <v/>
      </c>
      <c r="AZ98" s="153">
        <f>IF($B98=1,$B$14,IF(N(Vintage_Input!L46)&gt;0,IFERROR((Vintage_Input!D46+Vintage_Input!AR46)/$C98+Products!$C$14-(Products!$C$43+Products!$C$19+Products!$C$43*Products!$C$22+Products!$C$44),""),""))</f>
        <v/>
      </c>
      <c r="BA98" s="153">
        <f>IF($B98=1,$C$14,IF(N(Vintage_Input!M46)&gt;0,IFERROR((Vintage_Input!E46+Vintage_Input!AS46)/$C98+Products!$C$14-(Products!$C$43+Products!$C$19+Products!$C$43*Products!$C$22+Products!$C$44),""),""))</f>
        <v/>
      </c>
      <c r="BB98" s="153">
        <f>IF($B98=1,$D$14,IF(N(Vintage_Input!N46)&gt;0,IFERROR((Vintage_Input!F46+Vintage_Input!AT46)/$C98+Products!$C$14-(Products!$C$43+Products!$C$19+Products!$C$43*Products!$C$22+Products!$C$44),""),""))</f>
        <v/>
      </c>
      <c r="BC98" s="153">
        <f>IF($B98=1,$E$14,IF(N(Vintage_Input!O46)&gt;0,IFERROR((Vintage_Input!G46+Vintage_Input!AU46)/$C98+Products!$C$14-(Products!$C$43+Products!$C$19+Products!$C$43*Products!$C$22+Products!$C$44),""),""))</f>
        <v/>
      </c>
      <c r="BD98" s="153">
        <f>IF($B98=1,$F$14,IF(N(Vintage_Input!P46)&gt;0,IFERROR((Vintage_Input!H46+Vintage_Input!AV46)/$C98+Products!$C$14-(Products!$C$43+Products!$C$19+Products!$C$43*Products!$C$22+Products!$C$44),""),""))</f>
        <v/>
      </c>
      <c r="BE98" s="153">
        <f>IF($B98=1,$G$14,IF(N(Vintage_Input!Q46)&gt;0,IFERROR((Vintage_Input!I46+Vintage_Input!AW46)/$C98+Products!$C$14-(Products!$C$43+Products!$C$19+Products!$C$43*Products!$C$22+Products!$C$44),""),""))</f>
        <v/>
      </c>
      <c r="BF98" s="153">
        <f>IF($B98=1,$H$14,IF(N(Vintage_Input!R46)&gt;0,IFERROR((Vintage_Input!J46+Vintage_Input!AX46)/$C98+Products!$C$14-(Products!$C$43+Products!$C$19+Products!$C$43*Products!$C$22+Products!$C$44),""),""))</f>
        <v/>
      </c>
      <c r="BG98" s="153">
        <f>IF($B98=1,$I$14,IF(N(Vintage_Input!S46)&gt;0,IFERROR((Vintage_Input!K46+Vintage_Input!AY46)/$C98+Products!$C$14-(Products!$C$43+Products!$C$19+Products!$C$43*Products!$C$22+Products!$C$44),""),""))</f>
        <v/>
      </c>
      <c r="BH98" s="81">
        <f>IF($B98=1,0,IF(Vintage_Input!$BH$46="","",Vintage_Input!$BH$46))</f>
        <v/>
      </c>
    </row>
    <row r="99">
      <c r="A99" s="23" t="n">
        <v>39</v>
      </c>
      <c r="B99" s="48">
        <f>Vintage_Input!$B$47</f>
        <v/>
      </c>
      <c r="C99" s="41">
        <f>IF(Vintage_Input!$C$47="",0,Vintage_Input!$C$47)</f>
        <v/>
      </c>
      <c r="D99" s="152">
        <f>IF($B99=1,$B$8,IF(N(Vintage_Input!L47)&gt;0,Vintage_Input!D47/Vintage_Input!L47,""))</f>
        <v/>
      </c>
      <c r="E99" s="152">
        <f>IF($B99=1,$C$8,IF(N(Vintage_Input!M47)&gt;0,Vintage_Input!E47/Vintage_Input!M47,""))</f>
        <v/>
      </c>
      <c r="F99" s="152">
        <f>IF($B99=1,$D$8,IF(N(Vintage_Input!N47)&gt;0,Vintage_Input!F47/Vintage_Input!N47,""))</f>
        <v/>
      </c>
      <c r="G99" s="152">
        <f>IF($B99=1,$E$8,IF(N(Vintage_Input!O47)&gt;0,Vintage_Input!G47/Vintage_Input!O47,""))</f>
        <v/>
      </c>
      <c r="H99" s="152">
        <f>IF($B99=1,$F$8,IF(N(Vintage_Input!P47)&gt;0,Vintage_Input!H47/Vintage_Input!P47,""))</f>
        <v/>
      </c>
      <c r="I99" s="152">
        <f>IF($B99=1,$G$8,IF(N(Vintage_Input!Q47)&gt;0,Vintage_Input!I47/Vintage_Input!Q47,""))</f>
        <v/>
      </c>
      <c r="J99" s="152">
        <f>IF($B99=1,$H$8,IF(N(Vintage_Input!R47)&gt;0,Vintage_Input!J47/Vintage_Input!R47,""))</f>
        <v/>
      </c>
      <c r="K99" s="152">
        <f>IF($B99=1,$I$8,IF(N(Vintage_Input!S47)&gt;0,Vintage_Input!K47/Vintage_Input!S47,""))</f>
        <v/>
      </c>
      <c r="L99" s="152">
        <f>IF($B99=1,$B$9,IF(N(Vintage_Input!L47)&gt;0,Vintage_Input!T47/Vintage_Input!L47,""))</f>
        <v/>
      </c>
      <c r="M99" s="152">
        <f>IF($B99=1,$C$9,IF(N(Vintage_Input!M47)&gt;0,Vintage_Input!U47/Vintage_Input!M47,""))</f>
        <v/>
      </c>
      <c r="N99" s="152">
        <f>IF($B99=1,$D$9,IF(N(Vintage_Input!N47)&gt;0,Vintage_Input!V47/Vintage_Input!N47,""))</f>
        <v/>
      </c>
      <c r="O99" s="152">
        <f>IF($B99=1,$E$9,IF(N(Vintage_Input!O47)&gt;0,Vintage_Input!W47/Vintage_Input!O47,""))</f>
        <v/>
      </c>
      <c r="P99" s="152">
        <f>IF($B99=1,$F$9,IF(N(Vintage_Input!P47)&gt;0,Vintage_Input!X47/Vintage_Input!P47,""))</f>
        <v/>
      </c>
      <c r="Q99" s="152">
        <f>IF($B99=1,$G$9,IF(N(Vintage_Input!Q47)&gt;0,Vintage_Input!Y47/Vintage_Input!Q47,""))</f>
        <v/>
      </c>
      <c r="R99" s="152">
        <f>IF($B99=1,$H$9,IF(N(Vintage_Input!R47)&gt;0,Vintage_Input!Z47/Vintage_Input!R47,""))</f>
        <v/>
      </c>
      <c r="S99" s="152">
        <f>IF($B99=1,$I$9,IF(N(Vintage_Input!S47)&gt;0,Vintage_Input!AA47/Vintage_Input!S47,""))</f>
        <v/>
      </c>
      <c r="T99" s="152">
        <f>IF($B99=1,$B$10,IF(N(Vintage_Input!L47)&gt;0,Vintage_Input!AB47/Vintage_Input!L47,""))</f>
        <v/>
      </c>
      <c r="U99" s="152">
        <f>IF($B99=1,$C$10,IF(N(Vintage_Input!M47)&gt;0,Vintage_Input!AC47/Vintage_Input!M47,""))</f>
        <v/>
      </c>
      <c r="V99" s="152">
        <f>IF($B99=1,$D$10,IF(N(Vintage_Input!N47)&gt;0,Vintage_Input!AD47/Vintage_Input!N47,""))</f>
        <v/>
      </c>
      <c r="W99" s="152">
        <f>IF($B99=1,$E$10,IF(N(Vintage_Input!O47)&gt;0,Vintage_Input!AE47/Vintage_Input!O47,""))</f>
        <v/>
      </c>
      <c r="X99" s="152">
        <f>IF($B99=1,$F$10,IF(N(Vintage_Input!P47)&gt;0,Vintage_Input!AF47/Vintage_Input!P47,""))</f>
        <v/>
      </c>
      <c r="Y99" s="152">
        <f>IF($B99=1,$G$10,IF(N(Vintage_Input!Q47)&gt;0,Vintage_Input!AG47/Vintage_Input!Q47,""))</f>
        <v/>
      </c>
      <c r="Z99" s="152">
        <f>IF($B99=1,$H$10,IF(N(Vintage_Input!R47)&gt;0,Vintage_Input!AH47/Vintage_Input!R47,""))</f>
        <v/>
      </c>
      <c r="AA99" s="152">
        <f>IF($B99=1,$I$10,IF(N(Vintage_Input!S47)&gt;0,Vintage_Input!AI47/Vintage_Input!S47,""))</f>
        <v/>
      </c>
      <c r="AB99" s="152">
        <f>IF($B99=1,$B$11,IF(N(Vintage_Input!L47)&gt;0,Vintage_Input!AJ47/Vintage_Input!L47,""))</f>
        <v/>
      </c>
      <c r="AC99" s="152">
        <f>IF($B99=1,$C$11,IF(N(Vintage_Input!M47)&gt;0,Vintage_Input!AK47/Vintage_Input!M47,""))</f>
        <v/>
      </c>
      <c r="AD99" s="152">
        <f>IF($B99=1,$D$11,IF(N(Vintage_Input!N47)&gt;0,Vintage_Input!AL47/Vintage_Input!N47,""))</f>
        <v/>
      </c>
      <c r="AE99" s="152">
        <f>IF($B99=1,$E$11,IF(N(Vintage_Input!O47)&gt;0,Vintage_Input!AM47/Vintage_Input!O47,""))</f>
        <v/>
      </c>
      <c r="AF99" s="152">
        <f>IF($B99=1,$F$11,IF(N(Vintage_Input!P47)&gt;0,Vintage_Input!AN47/Vintage_Input!P47,""))</f>
        <v/>
      </c>
      <c r="AG99" s="152">
        <f>IF($B99=1,$G$11,IF(N(Vintage_Input!Q47)&gt;0,Vintage_Input!AO47/Vintage_Input!Q47,""))</f>
        <v/>
      </c>
      <c r="AH99" s="152">
        <f>IF($B99=1,$H$11,IF(N(Vintage_Input!R47)&gt;0,Vintage_Input!AP47/Vintage_Input!R47,""))</f>
        <v/>
      </c>
      <c r="AI99" s="152">
        <f>IF($B99=1,$I$11,IF(N(Vintage_Input!S47)&gt;0,Vintage_Input!AQ47/Vintage_Input!S47,""))</f>
        <v/>
      </c>
      <c r="AJ99" s="152">
        <f>IF($B99=1,$B$12,IF(N(Vintage_Input!L47)&gt;0,IFERROR(Vintage_Input!AR47/Vintage_Input!AJ47,""),""))</f>
        <v/>
      </c>
      <c r="AK99" s="152">
        <f>IF($B99=1,$C$12,IF(N(Vintage_Input!M47)&gt;0,IFERROR(Vintage_Input!AS47/Vintage_Input!AK47,""),""))</f>
        <v/>
      </c>
      <c r="AL99" s="152">
        <f>IF($B99=1,$D$12,IF(N(Vintage_Input!N47)&gt;0,IFERROR(Vintage_Input!AT47/Vintage_Input!AL47,""),""))</f>
        <v/>
      </c>
      <c r="AM99" s="152">
        <f>IF($B99=1,$E$12,IF(N(Vintage_Input!O47)&gt;0,IFERROR(Vintage_Input!AU47/Vintage_Input!AM47,""),""))</f>
        <v/>
      </c>
      <c r="AN99" s="152">
        <f>IF($B99=1,$F$12,IF(N(Vintage_Input!P47)&gt;0,IFERROR(Vintage_Input!AV47/Vintage_Input!AN47,""),""))</f>
        <v/>
      </c>
      <c r="AO99" s="152">
        <f>IF($B99=1,$G$12,IF(N(Vintage_Input!Q47)&gt;0,IFERROR(Vintage_Input!AW47/Vintage_Input!AO47,""),""))</f>
        <v/>
      </c>
      <c r="AP99" s="152">
        <f>IF($B99=1,$H$12,IF(N(Vintage_Input!R47)&gt;0,IFERROR(Vintage_Input!AX47/Vintage_Input!AP47,""),""))</f>
        <v/>
      </c>
      <c r="AQ99" s="152">
        <f>IF($B99=1,$I$12,IF(N(Vintage_Input!S47)&gt;0,IFERROR(Vintage_Input!AY47/Vintage_Input!AQ47,""),""))</f>
        <v/>
      </c>
      <c r="AR99" s="152">
        <f>IF($B99=1,$B$13,IF(N(Vintage_Input!L47)&gt;0,IFERROR(Vintage_Input!AZ47/$C99,""),""))</f>
        <v/>
      </c>
      <c r="AS99" s="152">
        <f>IF($B99=1,$C$13,IF(N(Vintage_Input!M47)&gt;0,IFERROR(Vintage_Input!BA47/$C99,""),""))</f>
        <v/>
      </c>
      <c r="AT99" s="152">
        <f>IF($B99=1,$D$13,IF(N(Vintage_Input!N47)&gt;0,IFERROR(Vintage_Input!BB47/$C99,""),""))</f>
        <v/>
      </c>
      <c r="AU99" s="152">
        <f>IF($B99=1,$E$13,IF(N(Vintage_Input!O47)&gt;0,IFERROR(Vintage_Input!BC47/$C99,""),""))</f>
        <v/>
      </c>
      <c r="AV99" s="152">
        <f>IF($B99=1,$F$13,IF(N(Vintage_Input!P47)&gt;0,IFERROR(Vintage_Input!BD47/$C99,""),""))</f>
        <v/>
      </c>
      <c r="AW99" s="152">
        <f>IF($B99=1,$G$13,IF(N(Vintage_Input!Q47)&gt;0,IFERROR(Vintage_Input!BE47/$C99,""),""))</f>
        <v/>
      </c>
      <c r="AX99" s="152">
        <f>IF($B99=1,$H$13,IF(N(Vintage_Input!R47)&gt;0,IFERROR(Vintage_Input!BF47/$C99,""),""))</f>
        <v/>
      </c>
      <c r="AY99" s="152">
        <f>IF($B99=1,$I$13,IF(N(Vintage_Input!S47)&gt;0,IFERROR(Vintage_Input!BG47/$C99,""),""))</f>
        <v/>
      </c>
      <c r="AZ99" s="153">
        <f>IF($B99=1,$B$14,IF(N(Vintage_Input!L47)&gt;0,IFERROR((Vintage_Input!D47+Vintage_Input!AR47)/$C99+Products!$C$14-(Products!$C$43+Products!$C$19+Products!$C$43*Products!$C$22+Products!$C$44),""),""))</f>
        <v/>
      </c>
      <c r="BA99" s="153">
        <f>IF($B99=1,$C$14,IF(N(Vintage_Input!M47)&gt;0,IFERROR((Vintage_Input!E47+Vintage_Input!AS47)/$C99+Products!$C$14-(Products!$C$43+Products!$C$19+Products!$C$43*Products!$C$22+Products!$C$44),""),""))</f>
        <v/>
      </c>
      <c r="BB99" s="153">
        <f>IF($B99=1,$D$14,IF(N(Vintage_Input!N47)&gt;0,IFERROR((Vintage_Input!F47+Vintage_Input!AT47)/$C99+Products!$C$14-(Products!$C$43+Products!$C$19+Products!$C$43*Products!$C$22+Products!$C$44),""),""))</f>
        <v/>
      </c>
      <c r="BC99" s="153">
        <f>IF($B99=1,$E$14,IF(N(Vintage_Input!O47)&gt;0,IFERROR((Vintage_Input!G47+Vintage_Input!AU47)/$C99+Products!$C$14-(Products!$C$43+Products!$C$19+Products!$C$43*Products!$C$22+Products!$C$44),""),""))</f>
        <v/>
      </c>
      <c r="BD99" s="153">
        <f>IF($B99=1,$F$14,IF(N(Vintage_Input!P47)&gt;0,IFERROR((Vintage_Input!H47+Vintage_Input!AV47)/$C99+Products!$C$14-(Products!$C$43+Products!$C$19+Products!$C$43*Products!$C$22+Products!$C$44),""),""))</f>
        <v/>
      </c>
      <c r="BE99" s="153">
        <f>IF($B99=1,$G$14,IF(N(Vintage_Input!Q47)&gt;0,IFERROR((Vintage_Input!I47+Vintage_Input!AW47)/$C99+Products!$C$14-(Products!$C$43+Products!$C$19+Products!$C$43*Products!$C$22+Products!$C$44),""),""))</f>
        <v/>
      </c>
      <c r="BF99" s="153">
        <f>IF($B99=1,$H$14,IF(N(Vintage_Input!R47)&gt;0,IFERROR((Vintage_Input!J47+Vintage_Input!AX47)/$C99+Products!$C$14-(Products!$C$43+Products!$C$19+Products!$C$43*Products!$C$22+Products!$C$44),""),""))</f>
        <v/>
      </c>
      <c r="BG99" s="153">
        <f>IF($B99=1,$I$14,IF(N(Vintage_Input!S47)&gt;0,IFERROR((Vintage_Input!K47+Vintage_Input!AY47)/$C99+Products!$C$14-(Products!$C$43+Products!$C$19+Products!$C$43*Products!$C$22+Products!$C$44),""),""))</f>
        <v/>
      </c>
      <c r="BH99" s="81">
        <f>IF($B99=1,0,IF(Vintage_Input!$BH$47="","",Vintage_Input!$BH$47))</f>
        <v/>
      </c>
    </row>
    <row r="100">
      <c r="A100" s="23" t="n">
        <v>40</v>
      </c>
      <c r="B100" s="48">
        <f>Vintage_Input!$B$48</f>
        <v/>
      </c>
      <c r="C100" s="41">
        <f>IF(Vintage_Input!$C$48="",0,Vintage_Input!$C$48)</f>
        <v/>
      </c>
      <c r="D100" s="152">
        <f>IF($B100=1,$B$8,IF(N(Vintage_Input!L48)&gt;0,Vintage_Input!D48/Vintage_Input!L48,""))</f>
        <v/>
      </c>
      <c r="E100" s="152">
        <f>IF($B100=1,$C$8,IF(N(Vintage_Input!M48)&gt;0,Vintage_Input!E48/Vintage_Input!M48,""))</f>
        <v/>
      </c>
      <c r="F100" s="152">
        <f>IF($B100=1,$D$8,IF(N(Vintage_Input!N48)&gt;0,Vintage_Input!F48/Vintage_Input!N48,""))</f>
        <v/>
      </c>
      <c r="G100" s="152">
        <f>IF($B100=1,$E$8,IF(N(Vintage_Input!O48)&gt;0,Vintage_Input!G48/Vintage_Input!O48,""))</f>
        <v/>
      </c>
      <c r="H100" s="152">
        <f>IF($B100=1,$F$8,IF(N(Vintage_Input!P48)&gt;0,Vintage_Input!H48/Vintage_Input!P48,""))</f>
        <v/>
      </c>
      <c r="I100" s="152">
        <f>IF($B100=1,$G$8,IF(N(Vintage_Input!Q48)&gt;0,Vintage_Input!I48/Vintage_Input!Q48,""))</f>
        <v/>
      </c>
      <c r="J100" s="152">
        <f>IF($B100=1,$H$8,IF(N(Vintage_Input!R48)&gt;0,Vintage_Input!J48/Vintage_Input!R48,""))</f>
        <v/>
      </c>
      <c r="K100" s="152">
        <f>IF($B100=1,$I$8,IF(N(Vintage_Input!S48)&gt;0,Vintage_Input!K48/Vintage_Input!S48,""))</f>
        <v/>
      </c>
      <c r="L100" s="152">
        <f>IF($B100=1,$B$9,IF(N(Vintage_Input!L48)&gt;0,Vintage_Input!T48/Vintage_Input!L48,""))</f>
        <v/>
      </c>
      <c r="M100" s="152">
        <f>IF($B100=1,$C$9,IF(N(Vintage_Input!M48)&gt;0,Vintage_Input!U48/Vintage_Input!M48,""))</f>
        <v/>
      </c>
      <c r="N100" s="152">
        <f>IF($B100=1,$D$9,IF(N(Vintage_Input!N48)&gt;0,Vintage_Input!V48/Vintage_Input!N48,""))</f>
        <v/>
      </c>
      <c r="O100" s="152">
        <f>IF($B100=1,$E$9,IF(N(Vintage_Input!O48)&gt;0,Vintage_Input!W48/Vintage_Input!O48,""))</f>
        <v/>
      </c>
      <c r="P100" s="152">
        <f>IF($B100=1,$F$9,IF(N(Vintage_Input!P48)&gt;0,Vintage_Input!X48/Vintage_Input!P48,""))</f>
        <v/>
      </c>
      <c r="Q100" s="152">
        <f>IF($B100=1,$G$9,IF(N(Vintage_Input!Q48)&gt;0,Vintage_Input!Y48/Vintage_Input!Q48,""))</f>
        <v/>
      </c>
      <c r="R100" s="152">
        <f>IF($B100=1,$H$9,IF(N(Vintage_Input!R48)&gt;0,Vintage_Input!Z48/Vintage_Input!R48,""))</f>
        <v/>
      </c>
      <c r="S100" s="152">
        <f>IF($B100=1,$I$9,IF(N(Vintage_Input!S48)&gt;0,Vintage_Input!AA48/Vintage_Input!S48,""))</f>
        <v/>
      </c>
      <c r="T100" s="152">
        <f>IF($B100=1,$B$10,IF(N(Vintage_Input!L48)&gt;0,Vintage_Input!AB48/Vintage_Input!L48,""))</f>
        <v/>
      </c>
      <c r="U100" s="152">
        <f>IF($B100=1,$C$10,IF(N(Vintage_Input!M48)&gt;0,Vintage_Input!AC48/Vintage_Input!M48,""))</f>
        <v/>
      </c>
      <c r="V100" s="152">
        <f>IF($B100=1,$D$10,IF(N(Vintage_Input!N48)&gt;0,Vintage_Input!AD48/Vintage_Input!N48,""))</f>
        <v/>
      </c>
      <c r="W100" s="152">
        <f>IF($B100=1,$E$10,IF(N(Vintage_Input!O48)&gt;0,Vintage_Input!AE48/Vintage_Input!O48,""))</f>
        <v/>
      </c>
      <c r="X100" s="152">
        <f>IF($B100=1,$F$10,IF(N(Vintage_Input!P48)&gt;0,Vintage_Input!AF48/Vintage_Input!P48,""))</f>
        <v/>
      </c>
      <c r="Y100" s="152">
        <f>IF($B100=1,$G$10,IF(N(Vintage_Input!Q48)&gt;0,Vintage_Input!AG48/Vintage_Input!Q48,""))</f>
        <v/>
      </c>
      <c r="Z100" s="152">
        <f>IF($B100=1,$H$10,IF(N(Vintage_Input!R48)&gt;0,Vintage_Input!AH48/Vintage_Input!R48,""))</f>
        <v/>
      </c>
      <c r="AA100" s="152">
        <f>IF($B100=1,$I$10,IF(N(Vintage_Input!S48)&gt;0,Vintage_Input!AI48/Vintage_Input!S48,""))</f>
        <v/>
      </c>
      <c r="AB100" s="152">
        <f>IF($B100=1,$B$11,IF(N(Vintage_Input!L48)&gt;0,Vintage_Input!AJ48/Vintage_Input!L48,""))</f>
        <v/>
      </c>
      <c r="AC100" s="152">
        <f>IF($B100=1,$C$11,IF(N(Vintage_Input!M48)&gt;0,Vintage_Input!AK48/Vintage_Input!M48,""))</f>
        <v/>
      </c>
      <c r="AD100" s="152">
        <f>IF($B100=1,$D$11,IF(N(Vintage_Input!N48)&gt;0,Vintage_Input!AL48/Vintage_Input!N48,""))</f>
        <v/>
      </c>
      <c r="AE100" s="152">
        <f>IF($B100=1,$E$11,IF(N(Vintage_Input!O48)&gt;0,Vintage_Input!AM48/Vintage_Input!O48,""))</f>
        <v/>
      </c>
      <c r="AF100" s="152">
        <f>IF($B100=1,$F$11,IF(N(Vintage_Input!P48)&gt;0,Vintage_Input!AN48/Vintage_Input!P48,""))</f>
        <v/>
      </c>
      <c r="AG100" s="152">
        <f>IF($B100=1,$G$11,IF(N(Vintage_Input!Q48)&gt;0,Vintage_Input!AO48/Vintage_Input!Q48,""))</f>
        <v/>
      </c>
      <c r="AH100" s="152">
        <f>IF($B100=1,$H$11,IF(N(Vintage_Input!R48)&gt;0,Vintage_Input!AP48/Vintage_Input!R48,""))</f>
        <v/>
      </c>
      <c r="AI100" s="152">
        <f>IF($B100=1,$I$11,IF(N(Vintage_Input!S48)&gt;0,Vintage_Input!AQ48/Vintage_Input!S48,""))</f>
        <v/>
      </c>
      <c r="AJ100" s="152">
        <f>IF($B100=1,$B$12,IF(N(Vintage_Input!L48)&gt;0,IFERROR(Vintage_Input!AR48/Vintage_Input!AJ48,""),""))</f>
        <v/>
      </c>
      <c r="AK100" s="152">
        <f>IF($B100=1,$C$12,IF(N(Vintage_Input!M48)&gt;0,IFERROR(Vintage_Input!AS48/Vintage_Input!AK48,""),""))</f>
        <v/>
      </c>
      <c r="AL100" s="152">
        <f>IF($B100=1,$D$12,IF(N(Vintage_Input!N48)&gt;0,IFERROR(Vintage_Input!AT48/Vintage_Input!AL48,""),""))</f>
        <v/>
      </c>
      <c r="AM100" s="152">
        <f>IF($B100=1,$E$12,IF(N(Vintage_Input!O48)&gt;0,IFERROR(Vintage_Input!AU48/Vintage_Input!AM48,""),""))</f>
        <v/>
      </c>
      <c r="AN100" s="152">
        <f>IF($B100=1,$F$12,IF(N(Vintage_Input!P48)&gt;0,IFERROR(Vintage_Input!AV48/Vintage_Input!AN48,""),""))</f>
        <v/>
      </c>
      <c r="AO100" s="152">
        <f>IF($B100=1,$G$12,IF(N(Vintage_Input!Q48)&gt;0,IFERROR(Vintage_Input!AW48/Vintage_Input!AO48,""),""))</f>
        <v/>
      </c>
      <c r="AP100" s="152">
        <f>IF($B100=1,$H$12,IF(N(Vintage_Input!R48)&gt;0,IFERROR(Vintage_Input!AX48/Vintage_Input!AP48,""),""))</f>
        <v/>
      </c>
      <c r="AQ100" s="152">
        <f>IF($B100=1,$I$12,IF(N(Vintage_Input!S48)&gt;0,IFERROR(Vintage_Input!AY48/Vintage_Input!AQ48,""),""))</f>
        <v/>
      </c>
      <c r="AR100" s="152">
        <f>IF($B100=1,$B$13,IF(N(Vintage_Input!L48)&gt;0,IFERROR(Vintage_Input!AZ48/$C100,""),""))</f>
        <v/>
      </c>
      <c r="AS100" s="152">
        <f>IF($B100=1,$C$13,IF(N(Vintage_Input!M48)&gt;0,IFERROR(Vintage_Input!BA48/$C100,""),""))</f>
        <v/>
      </c>
      <c r="AT100" s="152">
        <f>IF($B100=1,$D$13,IF(N(Vintage_Input!N48)&gt;0,IFERROR(Vintage_Input!BB48/$C100,""),""))</f>
        <v/>
      </c>
      <c r="AU100" s="152">
        <f>IF($B100=1,$E$13,IF(N(Vintage_Input!O48)&gt;0,IFERROR(Vintage_Input!BC48/$C100,""),""))</f>
        <v/>
      </c>
      <c r="AV100" s="152">
        <f>IF($B100=1,$F$13,IF(N(Vintage_Input!P48)&gt;0,IFERROR(Vintage_Input!BD48/$C100,""),""))</f>
        <v/>
      </c>
      <c r="AW100" s="152">
        <f>IF($B100=1,$G$13,IF(N(Vintage_Input!Q48)&gt;0,IFERROR(Vintage_Input!BE48/$C100,""),""))</f>
        <v/>
      </c>
      <c r="AX100" s="152">
        <f>IF($B100=1,$H$13,IF(N(Vintage_Input!R48)&gt;0,IFERROR(Vintage_Input!BF48/$C100,""),""))</f>
        <v/>
      </c>
      <c r="AY100" s="152">
        <f>IF($B100=1,$I$13,IF(N(Vintage_Input!S48)&gt;0,IFERROR(Vintage_Input!BG48/$C100,""),""))</f>
        <v/>
      </c>
      <c r="AZ100" s="153">
        <f>IF($B100=1,$B$14,IF(N(Vintage_Input!L48)&gt;0,IFERROR((Vintage_Input!D48+Vintage_Input!AR48)/$C100+Products!$C$14-(Products!$C$43+Products!$C$19+Products!$C$43*Products!$C$22+Products!$C$44),""),""))</f>
        <v/>
      </c>
      <c r="BA100" s="153">
        <f>IF($B100=1,$C$14,IF(N(Vintage_Input!M48)&gt;0,IFERROR((Vintage_Input!E48+Vintage_Input!AS48)/$C100+Products!$C$14-(Products!$C$43+Products!$C$19+Products!$C$43*Products!$C$22+Products!$C$44),""),""))</f>
        <v/>
      </c>
      <c r="BB100" s="153">
        <f>IF($B100=1,$D$14,IF(N(Vintage_Input!N48)&gt;0,IFERROR((Vintage_Input!F48+Vintage_Input!AT48)/$C100+Products!$C$14-(Products!$C$43+Products!$C$19+Products!$C$43*Products!$C$22+Products!$C$44),""),""))</f>
        <v/>
      </c>
      <c r="BC100" s="153">
        <f>IF($B100=1,$E$14,IF(N(Vintage_Input!O48)&gt;0,IFERROR((Vintage_Input!G48+Vintage_Input!AU48)/$C100+Products!$C$14-(Products!$C$43+Products!$C$19+Products!$C$43*Products!$C$22+Products!$C$44),""),""))</f>
        <v/>
      </c>
      <c r="BD100" s="153">
        <f>IF($B100=1,$F$14,IF(N(Vintage_Input!P48)&gt;0,IFERROR((Vintage_Input!H48+Vintage_Input!AV48)/$C100+Products!$C$14-(Products!$C$43+Products!$C$19+Products!$C$43*Products!$C$22+Products!$C$44),""),""))</f>
        <v/>
      </c>
      <c r="BE100" s="153">
        <f>IF($B100=1,$G$14,IF(N(Vintage_Input!Q48)&gt;0,IFERROR((Vintage_Input!I48+Vintage_Input!AW48)/$C100+Products!$C$14-(Products!$C$43+Products!$C$19+Products!$C$43*Products!$C$22+Products!$C$44),""),""))</f>
        <v/>
      </c>
      <c r="BF100" s="153">
        <f>IF($B100=1,$H$14,IF(N(Vintage_Input!R48)&gt;0,IFERROR((Vintage_Input!J48+Vintage_Input!AX48)/$C100+Products!$C$14-(Products!$C$43+Products!$C$19+Products!$C$43*Products!$C$22+Products!$C$44),""),""))</f>
        <v/>
      </c>
      <c r="BG100" s="153">
        <f>IF($B100=1,$I$14,IF(N(Vintage_Input!S48)&gt;0,IFERROR((Vintage_Input!K48+Vintage_Input!AY48)/$C100+Products!$C$14-(Products!$C$43+Products!$C$19+Products!$C$43*Products!$C$22+Products!$C$44),""),""))</f>
        <v/>
      </c>
      <c r="BH100" s="81">
        <f>IF($B100=1,0,IF(Vintage_Input!$BH$48="","",Vintage_Input!$BH$48))</f>
        <v/>
      </c>
    </row>
    <row r="101">
      <c r="A101" s="23" t="n">
        <v>41</v>
      </c>
      <c r="B101" s="48">
        <f>Vintage_Input!$B$49</f>
        <v/>
      </c>
      <c r="C101" s="41">
        <f>IF(Vintage_Input!$C$49="",0,Vintage_Input!$C$49)</f>
        <v/>
      </c>
      <c r="D101" s="152">
        <f>IF($B101=1,$B$8,IF(N(Vintage_Input!L49)&gt;0,Vintage_Input!D49/Vintage_Input!L49,""))</f>
        <v/>
      </c>
      <c r="E101" s="152">
        <f>IF($B101=1,$C$8,IF(N(Vintage_Input!M49)&gt;0,Vintage_Input!E49/Vintage_Input!M49,""))</f>
        <v/>
      </c>
      <c r="F101" s="152">
        <f>IF($B101=1,$D$8,IF(N(Vintage_Input!N49)&gt;0,Vintage_Input!F49/Vintage_Input!N49,""))</f>
        <v/>
      </c>
      <c r="G101" s="152">
        <f>IF($B101=1,$E$8,IF(N(Vintage_Input!O49)&gt;0,Vintage_Input!G49/Vintage_Input!O49,""))</f>
        <v/>
      </c>
      <c r="H101" s="152">
        <f>IF($B101=1,$F$8,IF(N(Vintage_Input!P49)&gt;0,Vintage_Input!H49/Vintage_Input!P49,""))</f>
        <v/>
      </c>
      <c r="I101" s="152">
        <f>IF($B101=1,$G$8,IF(N(Vintage_Input!Q49)&gt;0,Vintage_Input!I49/Vintage_Input!Q49,""))</f>
        <v/>
      </c>
      <c r="J101" s="152">
        <f>IF($B101=1,$H$8,IF(N(Vintage_Input!R49)&gt;0,Vintage_Input!J49/Vintage_Input!R49,""))</f>
        <v/>
      </c>
      <c r="K101" s="152">
        <f>IF($B101=1,$I$8,IF(N(Vintage_Input!S49)&gt;0,Vintage_Input!K49/Vintage_Input!S49,""))</f>
        <v/>
      </c>
      <c r="L101" s="152">
        <f>IF($B101=1,$B$9,IF(N(Vintage_Input!L49)&gt;0,Vintage_Input!T49/Vintage_Input!L49,""))</f>
        <v/>
      </c>
      <c r="M101" s="152">
        <f>IF($B101=1,$C$9,IF(N(Vintage_Input!M49)&gt;0,Vintage_Input!U49/Vintage_Input!M49,""))</f>
        <v/>
      </c>
      <c r="N101" s="152">
        <f>IF($B101=1,$D$9,IF(N(Vintage_Input!N49)&gt;0,Vintage_Input!V49/Vintage_Input!N49,""))</f>
        <v/>
      </c>
      <c r="O101" s="152">
        <f>IF($B101=1,$E$9,IF(N(Vintage_Input!O49)&gt;0,Vintage_Input!W49/Vintage_Input!O49,""))</f>
        <v/>
      </c>
      <c r="P101" s="152">
        <f>IF($B101=1,$F$9,IF(N(Vintage_Input!P49)&gt;0,Vintage_Input!X49/Vintage_Input!P49,""))</f>
        <v/>
      </c>
      <c r="Q101" s="152">
        <f>IF($B101=1,$G$9,IF(N(Vintage_Input!Q49)&gt;0,Vintage_Input!Y49/Vintage_Input!Q49,""))</f>
        <v/>
      </c>
      <c r="R101" s="152">
        <f>IF($B101=1,$H$9,IF(N(Vintage_Input!R49)&gt;0,Vintage_Input!Z49/Vintage_Input!R49,""))</f>
        <v/>
      </c>
      <c r="S101" s="152">
        <f>IF($B101=1,$I$9,IF(N(Vintage_Input!S49)&gt;0,Vintage_Input!AA49/Vintage_Input!S49,""))</f>
        <v/>
      </c>
      <c r="T101" s="152">
        <f>IF($B101=1,$B$10,IF(N(Vintage_Input!L49)&gt;0,Vintage_Input!AB49/Vintage_Input!L49,""))</f>
        <v/>
      </c>
      <c r="U101" s="152">
        <f>IF($B101=1,$C$10,IF(N(Vintage_Input!M49)&gt;0,Vintage_Input!AC49/Vintage_Input!M49,""))</f>
        <v/>
      </c>
      <c r="V101" s="152">
        <f>IF($B101=1,$D$10,IF(N(Vintage_Input!N49)&gt;0,Vintage_Input!AD49/Vintage_Input!N49,""))</f>
        <v/>
      </c>
      <c r="W101" s="152">
        <f>IF($B101=1,$E$10,IF(N(Vintage_Input!O49)&gt;0,Vintage_Input!AE49/Vintage_Input!O49,""))</f>
        <v/>
      </c>
      <c r="X101" s="152">
        <f>IF($B101=1,$F$10,IF(N(Vintage_Input!P49)&gt;0,Vintage_Input!AF49/Vintage_Input!P49,""))</f>
        <v/>
      </c>
      <c r="Y101" s="152">
        <f>IF($B101=1,$G$10,IF(N(Vintage_Input!Q49)&gt;0,Vintage_Input!AG49/Vintage_Input!Q49,""))</f>
        <v/>
      </c>
      <c r="Z101" s="152">
        <f>IF($B101=1,$H$10,IF(N(Vintage_Input!R49)&gt;0,Vintage_Input!AH49/Vintage_Input!R49,""))</f>
        <v/>
      </c>
      <c r="AA101" s="152">
        <f>IF($B101=1,$I$10,IF(N(Vintage_Input!S49)&gt;0,Vintage_Input!AI49/Vintage_Input!S49,""))</f>
        <v/>
      </c>
      <c r="AB101" s="152">
        <f>IF($B101=1,$B$11,IF(N(Vintage_Input!L49)&gt;0,Vintage_Input!AJ49/Vintage_Input!L49,""))</f>
        <v/>
      </c>
      <c r="AC101" s="152">
        <f>IF($B101=1,$C$11,IF(N(Vintage_Input!M49)&gt;0,Vintage_Input!AK49/Vintage_Input!M49,""))</f>
        <v/>
      </c>
      <c r="AD101" s="152">
        <f>IF($B101=1,$D$11,IF(N(Vintage_Input!N49)&gt;0,Vintage_Input!AL49/Vintage_Input!N49,""))</f>
        <v/>
      </c>
      <c r="AE101" s="152">
        <f>IF($B101=1,$E$11,IF(N(Vintage_Input!O49)&gt;0,Vintage_Input!AM49/Vintage_Input!O49,""))</f>
        <v/>
      </c>
      <c r="AF101" s="152">
        <f>IF($B101=1,$F$11,IF(N(Vintage_Input!P49)&gt;0,Vintage_Input!AN49/Vintage_Input!P49,""))</f>
        <v/>
      </c>
      <c r="AG101" s="152">
        <f>IF($B101=1,$G$11,IF(N(Vintage_Input!Q49)&gt;0,Vintage_Input!AO49/Vintage_Input!Q49,""))</f>
        <v/>
      </c>
      <c r="AH101" s="152">
        <f>IF($B101=1,$H$11,IF(N(Vintage_Input!R49)&gt;0,Vintage_Input!AP49/Vintage_Input!R49,""))</f>
        <v/>
      </c>
      <c r="AI101" s="152">
        <f>IF($B101=1,$I$11,IF(N(Vintage_Input!S49)&gt;0,Vintage_Input!AQ49/Vintage_Input!S49,""))</f>
        <v/>
      </c>
      <c r="AJ101" s="152">
        <f>IF($B101=1,$B$12,IF(N(Vintage_Input!L49)&gt;0,IFERROR(Vintage_Input!AR49/Vintage_Input!AJ49,""),""))</f>
        <v/>
      </c>
      <c r="AK101" s="152">
        <f>IF($B101=1,$C$12,IF(N(Vintage_Input!M49)&gt;0,IFERROR(Vintage_Input!AS49/Vintage_Input!AK49,""),""))</f>
        <v/>
      </c>
      <c r="AL101" s="152">
        <f>IF($B101=1,$D$12,IF(N(Vintage_Input!N49)&gt;0,IFERROR(Vintage_Input!AT49/Vintage_Input!AL49,""),""))</f>
        <v/>
      </c>
      <c r="AM101" s="152">
        <f>IF($B101=1,$E$12,IF(N(Vintage_Input!O49)&gt;0,IFERROR(Vintage_Input!AU49/Vintage_Input!AM49,""),""))</f>
        <v/>
      </c>
      <c r="AN101" s="152">
        <f>IF($B101=1,$F$12,IF(N(Vintage_Input!P49)&gt;0,IFERROR(Vintage_Input!AV49/Vintage_Input!AN49,""),""))</f>
        <v/>
      </c>
      <c r="AO101" s="152">
        <f>IF($B101=1,$G$12,IF(N(Vintage_Input!Q49)&gt;0,IFERROR(Vintage_Input!AW49/Vintage_Input!AO49,""),""))</f>
        <v/>
      </c>
      <c r="AP101" s="152">
        <f>IF($B101=1,$H$12,IF(N(Vintage_Input!R49)&gt;0,IFERROR(Vintage_Input!AX49/Vintage_Input!AP49,""),""))</f>
        <v/>
      </c>
      <c r="AQ101" s="152">
        <f>IF($B101=1,$I$12,IF(N(Vintage_Input!S49)&gt;0,IFERROR(Vintage_Input!AY49/Vintage_Input!AQ49,""),""))</f>
        <v/>
      </c>
      <c r="AR101" s="152">
        <f>IF($B101=1,$B$13,IF(N(Vintage_Input!L49)&gt;0,IFERROR(Vintage_Input!AZ49/$C101,""),""))</f>
        <v/>
      </c>
      <c r="AS101" s="152">
        <f>IF($B101=1,$C$13,IF(N(Vintage_Input!M49)&gt;0,IFERROR(Vintage_Input!BA49/$C101,""),""))</f>
        <v/>
      </c>
      <c r="AT101" s="152">
        <f>IF($B101=1,$D$13,IF(N(Vintage_Input!N49)&gt;0,IFERROR(Vintage_Input!BB49/$C101,""),""))</f>
        <v/>
      </c>
      <c r="AU101" s="152">
        <f>IF($B101=1,$E$13,IF(N(Vintage_Input!O49)&gt;0,IFERROR(Vintage_Input!BC49/$C101,""),""))</f>
        <v/>
      </c>
      <c r="AV101" s="152">
        <f>IF($B101=1,$F$13,IF(N(Vintage_Input!P49)&gt;0,IFERROR(Vintage_Input!BD49/$C101,""),""))</f>
        <v/>
      </c>
      <c r="AW101" s="152">
        <f>IF($B101=1,$G$13,IF(N(Vintage_Input!Q49)&gt;0,IFERROR(Vintage_Input!BE49/$C101,""),""))</f>
        <v/>
      </c>
      <c r="AX101" s="152">
        <f>IF($B101=1,$H$13,IF(N(Vintage_Input!R49)&gt;0,IFERROR(Vintage_Input!BF49/$C101,""),""))</f>
        <v/>
      </c>
      <c r="AY101" s="152">
        <f>IF($B101=1,$I$13,IF(N(Vintage_Input!S49)&gt;0,IFERROR(Vintage_Input!BG49/$C101,""),""))</f>
        <v/>
      </c>
      <c r="AZ101" s="153">
        <f>IF($B101=1,$B$14,IF(N(Vintage_Input!L49)&gt;0,IFERROR((Vintage_Input!D49+Vintage_Input!AR49)/$C101+Products!$C$14-(Products!$C$43+Products!$C$19+Products!$C$43*Products!$C$22+Products!$C$44),""),""))</f>
        <v/>
      </c>
      <c r="BA101" s="153">
        <f>IF($B101=1,$C$14,IF(N(Vintage_Input!M49)&gt;0,IFERROR((Vintage_Input!E49+Vintage_Input!AS49)/$C101+Products!$C$14-(Products!$C$43+Products!$C$19+Products!$C$43*Products!$C$22+Products!$C$44),""),""))</f>
        <v/>
      </c>
      <c r="BB101" s="153">
        <f>IF($B101=1,$D$14,IF(N(Vintage_Input!N49)&gt;0,IFERROR((Vintage_Input!F49+Vintage_Input!AT49)/$C101+Products!$C$14-(Products!$C$43+Products!$C$19+Products!$C$43*Products!$C$22+Products!$C$44),""),""))</f>
        <v/>
      </c>
      <c r="BC101" s="153">
        <f>IF($B101=1,$E$14,IF(N(Vintage_Input!O49)&gt;0,IFERROR((Vintage_Input!G49+Vintage_Input!AU49)/$C101+Products!$C$14-(Products!$C$43+Products!$C$19+Products!$C$43*Products!$C$22+Products!$C$44),""),""))</f>
        <v/>
      </c>
      <c r="BD101" s="153">
        <f>IF($B101=1,$F$14,IF(N(Vintage_Input!P49)&gt;0,IFERROR((Vintage_Input!H49+Vintage_Input!AV49)/$C101+Products!$C$14-(Products!$C$43+Products!$C$19+Products!$C$43*Products!$C$22+Products!$C$44),""),""))</f>
        <v/>
      </c>
      <c r="BE101" s="153">
        <f>IF($B101=1,$G$14,IF(N(Vintage_Input!Q49)&gt;0,IFERROR((Vintage_Input!I49+Vintage_Input!AW49)/$C101+Products!$C$14-(Products!$C$43+Products!$C$19+Products!$C$43*Products!$C$22+Products!$C$44),""),""))</f>
        <v/>
      </c>
      <c r="BF101" s="153">
        <f>IF($B101=1,$H$14,IF(N(Vintage_Input!R49)&gt;0,IFERROR((Vintage_Input!J49+Vintage_Input!AX49)/$C101+Products!$C$14-(Products!$C$43+Products!$C$19+Products!$C$43*Products!$C$22+Products!$C$44),""),""))</f>
        <v/>
      </c>
      <c r="BG101" s="153">
        <f>IF($B101=1,$I$14,IF(N(Vintage_Input!S49)&gt;0,IFERROR((Vintage_Input!K49+Vintage_Input!AY49)/$C101+Products!$C$14-(Products!$C$43+Products!$C$19+Products!$C$43*Products!$C$22+Products!$C$44),""),""))</f>
        <v/>
      </c>
      <c r="BH101" s="81">
        <f>IF($B101=1,0,IF(Vintage_Input!$BH$49="","",Vintage_Input!$BH$49))</f>
        <v/>
      </c>
    </row>
    <row r="102">
      <c r="A102" s="23" t="n">
        <v>42</v>
      </c>
      <c r="B102" s="48">
        <f>Vintage_Input!$B$50</f>
        <v/>
      </c>
      <c r="C102" s="41">
        <f>IF(Vintage_Input!$C$50="",0,Vintage_Input!$C$50)</f>
        <v/>
      </c>
      <c r="D102" s="152">
        <f>IF($B102=1,$B$8,IF(N(Vintage_Input!L50)&gt;0,Vintage_Input!D50/Vintage_Input!L50,""))</f>
        <v/>
      </c>
      <c r="E102" s="152">
        <f>IF($B102=1,$C$8,IF(N(Vintage_Input!M50)&gt;0,Vintage_Input!E50/Vintage_Input!M50,""))</f>
        <v/>
      </c>
      <c r="F102" s="152">
        <f>IF($B102=1,$D$8,IF(N(Vintage_Input!N50)&gt;0,Vintage_Input!F50/Vintage_Input!N50,""))</f>
        <v/>
      </c>
      <c r="G102" s="152">
        <f>IF($B102=1,$E$8,IF(N(Vintage_Input!O50)&gt;0,Vintage_Input!G50/Vintage_Input!O50,""))</f>
        <v/>
      </c>
      <c r="H102" s="152">
        <f>IF($B102=1,$F$8,IF(N(Vintage_Input!P50)&gt;0,Vintage_Input!H50/Vintage_Input!P50,""))</f>
        <v/>
      </c>
      <c r="I102" s="152">
        <f>IF($B102=1,$G$8,IF(N(Vintage_Input!Q50)&gt;0,Vintage_Input!I50/Vintage_Input!Q50,""))</f>
        <v/>
      </c>
      <c r="J102" s="152">
        <f>IF($B102=1,$H$8,IF(N(Vintage_Input!R50)&gt;0,Vintage_Input!J50/Vintage_Input!R50,""))</f>
        <v/>
      </c>
      <c r="K102" s="152">
        <f>IF($B102=1,$I$8,IF(N(Vintage_Input!S50)&gt;0,Vintage_Input!K50/Vintage_Input!S50,""))</f>
        <v/>
      </c>
      <c r="L102" s="152">
        <f>IF($B102=1,$B$9,IF(N(Vintage_Input!L50)&gt;0,Vintage_Input!T50/Vintage_Input!L50,""))</f>
        <v/>
      </c>
      <c r="M102" s="152">
        <f>IF($B102=1,$C$9,IF(N(Vintage_Input!M50)&gt;0,Vintage_Input!U50/Vintage_Input!M50,""))</f>
        <v/>
      </c>
      <c r="N102" s="152">
        <f>IF($B102=1,$D$9,IF(N(Vintage_Input!N50)&gt;0,Vintage_Input!V50/Vintage_Input!N50,""))</f>
        <v/>
      </c>
      <c r="O102" s="152">
        <f>IF($B102=1,$E$9,IF(N(Vintage_Input!O50)&gt;0,Vintage_Input!W50/Vintage_Input!O50,""))</f>
        <v/>
      </c>
      <c r="P102" s="152">
        <f>IF($B102=1,$F$9,IF(N(Vintage_Input!P50)&gt;0,Vintage_Input!X50/Vintage_Input!P50,""))</f>
        <v/>
      </c>
      <c r="Q102" s="152">
        <f>IF($B102=1,$G$9,IF(N(Vintage_Input!Q50)&gt;0,Vintage_Input!Y50/Vintage_Input!Q50,""))</f>
        <v/>
      </c>
      <c r="R102" s="152">
        <f>IF($B102=1,$H$9,IF(N(Vintage_Input!R50)&gt;0,Vintage_Input!Z50/Vintage_Input!R50,""))</f>
        <v/>
      </c>
      <c r="S102" s="152">
        <f>IF($B102=1,$I$9,IF(N(Vintage_Input!S50)&gt;0,Vintage_Input!AA50/Vintage_Input!S50,""))</f>
        <v/>
      </c>
      <c r="T102" s="152">
        <f>IF($B102=1,$B$10,IF(N(Vintage_Input!L50)&gt;0,Vintage_Input!AB50/Vintage_Input!L50,""))</f>
        <v/>
      </c>
      <c r="U102" s="152">
        <f>IF($B102=1,$C$10,IF(N(Vintage_Input!M50)&gt;0,Vintage_Input!AC50/Vintage_Input!M50,""))</f>
        <v/>
      </c>
      <c r="V102" s="152">
        <f>IF($B102=1,$D$10,IF(N(Vintage_Input!N50)&gt;0,Vintage_Input!AD50/Vintage_Input!N50,""))</f>
        <v/>
      </c>
      <c r="W102" s="152">
        <f>IF($B102=1,$E$10,IF(N(Vintage_Input!O50)&gt;0,Vintage_Input!AE50/Vintage_Input!O50,""))</f>
        <v/>
      </c>
      <c r="X102" s="152">
        <f>IF($B102=1,$F$10,IF(N(Vintage_Input!P50)&gt;0,Vintage_Input!AF50/Vintage_Input!P50,""))</f>
        <v/>
      </c>
      <c r="Y102" s="152">
        <f>IF($B102=1,$G$10,IF(N(Vintage_Input!Q50)&gt;0,Vintage_Input!AG50/Vintage_Input!Q50,""))</f>
        <v/>
      </c>
      <c r="Z102" s="152">
        <f>IF($B102=1,$H$10,IF(N(Vintage_Input!R50)&gt;0,Vintage_Input!AH50/Vintage_Input!R50,""))</f>
        <v/>
      </c>
      <c r="AA102" s="152">
        <f>IF($B102=1,$I$10,IF(N(Vintage_Input!S50)&gt;0,Vintage_Input!AI50/Vintage_Input!S50,""))</f>
        <v/>
      </c>
      <c r="AB102" s="152">
        <f>IF($B102=1,$B$11,IF(N(Vintage_Input!L50)&gt;0,Vintage_Input!AJ50/Vintage_Input!L50,""))</f>
        <v/>
      </c>
      <c r="AC102" s="152">
        <f>IF($B102=1,$C$11,IF(N(Vintage_Input!M50)&gt;0,Vintage_Input!AK50/Vintage_Input!M50,""))</f>
        <v/>
      </c>
      <c r="AD102" s="152">
        <f>IF($B102=1,$D$11,IF(N(Vintage_Input!N50)&gt;0,Vintage_Input!AL50/Vintage_Input!N50,""))</f>
        <v/>
      </c>
      <c r="AE102" s="152">
        <f>IF($B102=1,$E$11,IF(N(Vintage_Input!O50)&gt;0,Vintage_Input!AM50/Vintage_Input!O50,""))</f>
        <v/>
      </c>
      <c r="AF102" s="152">
        <f>IF($B102=1,$F$11,IF(N(Vintage_Input!P50)&gt;0,Vintage_Input!AN50/Vintage_Input!P50,""))</f>
        <v/>
      </c>
      <c r="AG102" s="152">
        <f>IF($B102=1,$G$11,IF(N(Vintage_Input!Q50)&gt;0,Vintage_Input!AO50/Vintage_Input!Q50,""))</f>
        <v/>
      </c>
      <c r="AH102" s="152">
        <f>IF($B102=1,$H$11,IF(N(Vintage_Input!R50)&gt;0,Vintage_Input!AP50/Vintage_Input!R50,""))</f>
        <v/>
      </c>
      <c r="AI102" s="152">
        <f>IF($B102=1,$I$11,IF(N(Vintage_Input!S50)&gt;0,Vintage_Input!AQ50/Vintage_Input!S50,""))</f>
        <v/>
      </c>
      <c r="AJ102" s="152">
        <f>IF($B102=1,$B$12,IF(N(Vintage_Input!L50)&gt;0,IFERROR(Vintage_Input!AR50/Vintage_Input!AJ50,""),""))</f>
        <v/>
      </c>
      <c r="AK102" s="152">
        <f>IF($B102=1,$C$12,IF(N(Vintage_Input!M50)&gt;0,IFERROR(Vintage_Input!AS50/Vintage_Input!AK50,""),""))</f>
        <v/>
      </c>
      <c r="AL102" s="152">
        <f>IF($B102=1,$D$12,IF(N(Vintage_Input!N50)&gt;0,IFERROR(Vintage_Input!AT50/Vintage_Input!AL50,""),""))</f>
        <v/>
      </c>
      <c r="AM102" s="152">
        <f>IF($B102=1,$E$12,IF(N(Vintage_Input!O50)&gt;0,IFERROR(Vintage_Input!AU50/Vintage_Input!AM50,""),""))</f>
        <v/>
      </c>
      <c r="AN102" s="152">
        <f>IF($B102=1,$F$12,IF(N(Vintage_Input!P50)&gt;0,IFERROR(Vintage_Input!AV50/Vintage_Input!AN50,""),""))</f>
        <v/>
      </c>
      <c r="AO102" s="152">
        <f>IF($B102=1,$G$12,IF(N(Vintage_Input!Q50)&gt;0,IFERROR(Vintage_Input!AW50/Vintage_Input!AO50,""),""))</f>
        <v/>
      </c>
      <c r="AP102" s="152">
        <f>IF($B102=1,$H$12,IF(N(Vintage_Input!R50)&gt;0,IFERROR(Vintage_Input!AX50/Vintage_Input!AP50,""),""))</f>
        <v/>
      </c>
      <c r="AQ102" s="152">
        <f>IF($B102=1,$I$12,IF(N(Vintage_Input!S50)&gt;0,IFERROR(Vintage_Input!AY50/Vintage_Input!AQ50,""),""))</f>
        <v/>
      </c>
      <c r="AR102" s="152">
        <f>IF($B102=1,$B$13,IF(N(Vintage_Input!L50)&gt;0,IFERROR(Vintage_Input!AZ50/$C102,""),""))</f>
        <v/>
      </c>
      <c r="AS102" s="152">
        <f>IF($B102=1,$C$13,IF(N(Vintage_Input!M50)&gt;0,IFERROR(Vintage_Input!BA50/$C102,""),""))</f>
        <v/>
      </c>
      <c r="AT102" s="152">
        <f>IF($B102=1,$D$13,IF(N(Vintage_Input!N50)&gt;0,IFERROR(Vintage_Input!BB50/$C102,""),""))</f>
        <v/>
      </c>
      <c r="AU102" s="152">
        <f>IF($B102=1,$E$13,IF(N(Vintage_Input!O50)&gt;0,IFERROR(Vintage_Input!BC50/$C102,""),""))</f>
        <v/>
      </c>
      <c r="AV102" s="152">
        <f>IF($B102=1,$F$13,IF(N(Vintage_Input!P50)&gt;0,IFERROR(Vintage_Input!BD50/$C102,""),""))</f>
        <v/>
      </c>
      <c r="AW102" s="152">
        <f>IF($B102=1,$G$13,IF(N(Vintage_Input!Q50)&gt;0,IFERROR(Vintage_Input!BE50/$C102,""),""))</f>
        <v/>
      </c>
      <c r="AX102" s="152">
        <f>IF($B102=1,$H$13,IF(N(Vintage_Input!R50)&gt;0,IFERROR(Vintage_Input!BF50/$C102,""),""))</f>
        <v/>
      </c>
      <c r="AY102" s="152">
        <f>IF($B102=1,$I$13,IF(N(Vintage_Input!S50)&gt;0,IFERROR(Vintage_Input!BG50/$C102,""),""))</f>
        <v/>
      </c>
      <c r="AZ102" s="153">
        <f>IF($B102=1,$B$14,IF(N(Vintage_Input!L50)&gt;0,IFERROR((Vintage_Input!D50+Vintage_Input!AR50)/$C102+Products!$C$14-(Products!$C$43+Products!$C$19+Products!$C$43*Products!$C$22+Products!$C$44),""),""))</f>
        <v/>
      </c>
      <c r="BA102" s="153">
        <f>IF($B102=1,$C$14,IF(N(Vintage_Input!M50)&gt;0,IFERROR((Vintage_Input!E50+Vintage_Input!AS50)/$C102+Products!$C$14-(Products!$C$43+Products!$C$19+Products!$C$43*Products!$C$22+Products!$C$44),""),""))</f>
        <v/>
      </c>
      <c r="BB102" s="153">
        <f>IF($B102=1,$D$14,IF(N(Vintage_Input!N50)&gt;0,IFERROR((Vintage_Input!F50+Vintage_Input!AT50)/$C102+Products!$C$14-(Products!$C$43+Products!$C$19+Products!$C$43*Products!$C$22+Products!$C$44),""),""))</f>
        <v/>
      </c>
      <c r="BC102" s="153">
        <f>IF($B102=1,$E$14,IF(N(Vintage_Input!O50)&gt;0,IFERROR((Vintage_Input!G50+Vintage_Input!AU50)/$C102+Products!$C$14-(Products!$C$43+Products!$C$19+Products!$C$43*Products!$C$22+Products!$C$44),""),""))</f>
        <v/>
      </c>
      <c r="BD102" s="153">
        <f>IF($B102=1,$F$14,IF(N(Vintage_Input!P50)&gt;0,IFERROR((Vintage_Input!H50+Vintage_Input!AV50)/$C102+Products!$C$14-(Products!$C$43+Products!$C$19+Products!$C$43*Products!$C$22+Products!$C$44),""),""))</f>
        <v/>
      </c>
      <c r="BE102" s="153">
        <f>IF($B102=1,$G$14,IF(N(Vintage_Input!Q50)&gt;0,IFERROR((Vintage_Input!I50+Vintage_Input!AW50)/$C102+Products!$C$14-(Products!$C$43+Products!$C$19+Products!$C$43*Products!$C$22+Products!$C$44),""),""))</f>
        <v/>
      </c>
      <c r="BF102" s="153">
        <f>IF($B102=1,$H$14,IF(N(Vintage_Input!R50)&gt;0,IFERROR((Vintage_Input!J50+Vintage_Input!AX50)/$C102+Products!$C$14-(Products!$C$43+Products!$C$19+Products!$C$43*Products!$C$22+Products!$C$44),""),""))</f>
        <v/>
      </c>
      <c r="BG102" s="153">
        <f>IF($B102=1,$I$14,IF(N(Vintage_Input!S50)&gt;0,IFERROR((Vintage_Input!K50+Vintage_Input!AY50)/$C102+Products!$C$14-(Products!$C$43+Products!$C$19+Products!$C$43*Products!$C$22+Products!$C$44),""),""))</f>
        <v/>
      </c>
      <c r="BH102" s="81">
        <f>IF($B102=1,0,IF(Vintage_Input!$BH$50="","",Vintage_Input!$BH$50))</f>
        <v/>
      </c>
    </row>
    <row r="103">
      <c r="A103" s="23" t="n">
        <v>43</v>
      </c>
      <c r="B103" s="48">
        <f>Vintage_Input!$B$51</f>
        <v/>
      </c>
      <c r="C103" s="41">
        <f>IF(Vintage_Input!$C$51="",0,Vintage_Input!$C$51)</f>
        <v/>
      </c>
      <c r="D103" s="152">
        <f>IF($B103=1,$B$8,IF(N(Vintage_Input!L51)&gt;0,Vintage_Input!D51/Vintage_Input!L51,""))</f>
        <v/>
      </c>
      <c r="E103" s="152">
        <f>IF($B103=1,$C$8,IF(N(Vintage_Input!M51)&gt;0,Vintage_Input!E51/Vintage_Input!M51,""))</f>
        <v/>
      </c>
      <c r="F103" s="152">
        <f>IF($B103=1,$D$8,IF(N(Vintage_Input!N51)&gt;0,Vintage_Input!F51/Vintage_Input!N51,""))</f>
        <v/>
      </c>
      <c r="G103" s="152">
        <f>IF($B103=1,$E$8,IF(N(Vintage_Input!O51)&gt;0,Vintage_Input!G51/Vintage_Input!O51,""))</f>
        <v/>
      </c>
      <c r="H103" s="152">
        <f>IF($B103=1,$F$8,IF(N(Vintage_Input!P51)&gt;0,Vintage_Input!H51/Vintage_Input!P51,""))</f>
        <v/>
      </c>
      <c r="I103" s="152">
        <f>IF($B103=1,$G$8,IF(N(Vintage_Input!Q51)&gt;0,Vintage_Input!I51/Vintage_Input!Q51,""))</f>
        <v/>
      </c>
      <c r="J103" s="152">
        <f>IF($B103=1,$H$8,IF(N(Vintage_Input!R51)&gt;0,Vintage_Input!J51/Vintage_Input!R51,""))</f>
        <v/>
      </c>
      <c r="K103" s="152">
        <f>IF($B103=1,$I$8,IF(N(Vintage_Input!S51)&gt;0,Vintage_Input!K51/Vintage_Input!S51,""))</f>
        <v/>
      </c>
      <c r="L103" s="152">
        <f>IF($B103=1,$B$9,IF(N(Vintage_Input!L51)&gt;0,Vintage_Input!T51/Vintage_Input!L51,""))</f>
        <v/>
      </c>
      <c r="M103" s="152">
        <f>IF($B103=1,$C$9,IF(N(Vintage_Input!M51)&gt;0,Vintage_Input!U51/Vintage_Input!M51,""))</f>
        <v/>
      </c>
      <c r="N103" s="152">
        <f>IF($B103=1,$D$9,IF(N(Vintage_Input!N51)&gt;0,Vintage_Input!V51/Vintage_Input!N51,""))</f>
        <v/>
      </c>
      <c r="O103" s="152">
        <f>IF($B103=1,$E$9,IF(N(Vintage_Input!O51)&gt;0,Vintage_Input!W51/Vintage_Input!O51,""))</f>
        <v/>
      </c>
      <c r="P103" s="152">
        <f>IF($B103=1,$F$9,IF(N(Vintage_Input!P51)&gt;0,Vintage_Input!X51/Vintage_Input!P51,""))</f>
        <v/>
      </c>
      <c r="Q103" s="152">
        <f>IF($B103=1,$G$9,IF(N(Vintage_Input!Q51)&gt;0,Vintage_Input!Y51/Vintage_Input!Q51,""))</f>
        <v/>
      </c>
      <c r="R103" s="152">
        <f>IF($B103=1,$H$9,IF(N(Vintage_Input!R51)&gt;0,Vintage_Input!Z51/Vintage_Input!R51,""))</f>
        <v/>
      </c>
      <c r="S103" s="152">
        <f>IF($B103=1,$I$9,IF(N(Vintage_Input!S51)&gt;0,Vintage_Input!AA51/Vintage_Input!S51,""))</f>
        <v/>
      </c>
      <c r="T103" s="152">
        <f>IF($B103=1,$B$10,IF(N(Vintage_Input!L51)&gt;0,Vintage_Input!AB51/Vintage_Input!L51,""))</f>
        <v/>
      </c>
      <c r="U103" s="152">
        <f>IF($B103=1,$C$10,IF(N(Vintage_Input!M51)&gt;0,Vintage_Input!AC51/Vintage_Input!M51,""))</f>
        <v/>
      </c>
      <c r="V103" s="152">
        <f>IF($B103=1,$D$10,IF(N(Vintage_Input!N51)&gt;0,Vintage_Input!AD51/Vintage_Input!N51,""))</f>
        <v/>
      </c>
      <c r="W103" s="152">
        <f>IF($B103=1,$E$10,IF(N(Vintage_Input!O51)&gt;0,Vintage_Input!AE51/Vintage_Input!O51,""))</f>
        <v/>
      </c>
      <c r="X103" s="152">
        <f>IF($B103=1,$F$10,IF(N(Vintage_Input!P51)&gt;0,Vintage_Input!AF51/Vintage_Input!P51,""))</f>
        <v/>
      </c>
      <c r="Y103" s="152">
        <f>IF($B103=1,$G$10,IF(N(Vintage_Input!Q51)&gt;0,Vintage_Input!AG51/Vintage_Input!Q51,""))</f>
        <v/>
      </c>
      <c r="Z103" s="152">
        <f>IF($B103=1,$H$10,IF(N(Vintage_Input!R51)&gt;0,Vintage_Input!AH51/Vintage_Input!R51,""))</f>
        <v/>
      </c>
      <c r="AA103" s="152">
        <f>IF($B103=1,$I$10,IF(N(Vintage_Input!S51)&gt;0,Vintage_Input!AI51/Vintage_Input!S51,""))</f>
        <v/>
      </c>
      <c r="AB103" s="152">
        <f>IF($B103=1,$B$11,IF(N(Vintage_Input!L51)&gt;0,Vintage_Input!AJ51/Vintage_Input!L51,""))</f>
        <v/>
      </c>
      <c r="AC103" s="152">
        <f>IF($B103=1,$C$11,IF(N(Vintage_Input!M51)&gt;0,Vintage_Input!AK51/Vintage_Input!M51,""))</f>
        <v/>
      </c>
      <c r="AD103" s="152">
        <f>IF($B103=1,$D$11,IF(N(Vintage_Input!N51)&gt;0,Vintage_Input!AL51/Vintage_Input!N51,""))</f>
        <v/>
      </c>
      <c r="AE103" s="152">
        <f>IF($B103=1,$E$11,IF(N(Vintage_Input!O51)&gt;0,Vintage_Input!AM51/Vintage_Input!O51,""))</f>
        <v/>
      </c>
      <c r="AF103" s="152">
        <f>IF($B103=1,$F$11,IF(N(Vintage_Input!P51)&gt;0,Vintage_Input!AN51/Vintage_Input!P51,""))</f>
        <v/>
      </c>
      <c r="AG103" s="152">
        <f>IF($B103=1,$G$11,IF(N(Vintage_Input!Q51)&gt;0,Vintage_Input!AO51/Vintage_Input!Q51,""))</f>
        <v/>
      </c>
      <c r="AH103" s="152">
        <f>IF($B103=1,$H$11,IF(N(Vintage_Input!R51)&gt;0,Vintage_Input!AP51/Vintage_Input!R51,""))</f>
        <v/>
      </c>
      <c r="AI103" s="152">
        <f>IF($B103=1,$I$11,IF(N(Vintage_Input!S51)&gt;0,Vintage_Input!AQ51/Vintage_Input!S51,""))</f>
        <v/>
      </c>
      <c r="AJ103" s="152">
        <f>IF($B103=1,$B$12,IF(N(Vintage_Input!L51)&gt;0,IFERROR(Vintage_Input!AR51/Vintage_Input!AJ51,""),""))</f>
        <v/>
      </c>
      <c r="AK103" s="152">
        <f>IF($B103=1,$C$12,IF(N(Vintage_Input!M51)&gt;0,IFERROR(Vintage_Input!AS51/Vintage_Input!AK51,""),""))</f>
        <v/>
      </c>
      <c r="AL103" s="152">
        <f>IF($B103=1,$D$12,IF(N(Vintage_Input!N51)&gt;0,IFERROR(Vintage_Input!AT51/Vintage_Input!AL51,""),""))</f>
        <v/>
      </c>
      <c r="AM103" s="152">
        <f>IF($B103=1,$E$12,IF(N(Vintage_Input!O51)&gt;0,IFERROR(Vintage_Input!AU51/Vintage_Input!AM51,""),""))</f>
        <v/>
      </c>
      <c r="AN103" s="152">
        <f>IF($B103=1,$F$12,IF(N(Vintage_Input!P51)&gt;0,IFERROR(Vintage_Input!AV51/Vintage_Input!AN51,""),""))</f>
        <v/>
      </c>
      <c r="AO103" s="152">
        <f>IF($B103=1,$G$12,IF(N(Vintage_Input!Q51)&gt;0,IFERROR(Vintage_Input!AW51/Vintage_Input!AO51,""),""))</f>
        <v/>
      </c>
      <c r="AP103" s="152">
        <f>IF($B103=1,$H$12,IF(N(Vintage_Input!R51)&gt;0,IFERROR(Vintage_Input!AX51/Vintage_Input!AP51,""),""))</f>
        <v/>
      </c>
      <c r="AQ103" s="152">
        <f>IF($B103=1,$I$12,IF(N(Vintage_Input!S51)&gt;0,IFERROR(Vintage_Input!AY51/Vintage_Input!AQ51,""),""))</f>
        <v/>
      </c>
      <c r="AR103" s="152">
        <f>IF($B103=1,$B$13,IF(N(Vintage_Input!L51)&gt;0,IFERROR(Vintage_Input!AZ51/$C103,""),""))</f>
        <v/>
      </c>
      <c r="AS103" s="152">
        <f>IF($B103=1,$C$13,IF(N(Vintage_Input!M51)&gt;0,IFERROR(Vintage_Input!BA51/$C103,""),""))</f>
        <v/>
      </c>
      <c r="AT103" s="152">
        <f>IF($B103=1,$D$13,IF(N(Vintage_Input!N51)&gt;0,IFERROR(Vintage_Input!BB51/$C103,""),""))</f>
        <v/>
      </c>
      <c r="AU103" s="152">
        <f>IF($B103=1,$E$13,IF(N(Vintage_Input!O51)&gt;0,IFERROR(Vintage_Input!BC51/$C103,""),""))</f>
        <v/>
      </c>
      <c r="AV103" s="152">
        <f>IF($B103=1,$F$13,IF(N(Vintage_Input!P51)&gt;0,IFERROR(Vintage_Input!BD51/$C103,""),""))</f>
        <v/>
      </c>
      <c r="AW103" s="152">
        <f>IF($B103=1,$G$13,IF(N(Vintage_Input!Q51)&gt;0,IFERROR(Vintage_Input!BE51/$C103,""),""))</f>
        <v/>
      </c>
      <c r="AX103" s="152">
        <f>IF($B103=1,$H$13,IF(N(Vintage_Input!R51)&gt;0,IFERROR(Vintage_Input!BF51/$C103,""),""))</f>
        <v/>
      </c>
      <c r="AY103" s="152">
        <f>IF($B103=1,$I$13,IF(N(Vintage_Input!S51)&gt;0,IFERROR(Vintage_Input!BG51/$C103,""),""))</f>
        <v/>
      </c>
      <c r="AZ103" s="153">
        <f>IF($B103=1,$B$14,IF(N(Vintage_Input!L51)&gt;0,IFERROR((Vintage_Input!D51+Vintage_Input!AR51)/$C103+Products!$C$14-(Products!$C$43+Products!$C$19+Products!$C$43*Products!$C$22+Products!$C$44),""),""))</f>
        <v/>
      </c>
      <c r="BA103" s="153">
        <f>IF($B103=1,$C$14,IF(N(Vintage_Input!M51)&gt;0,IFERROR((Vintage_Input!E51+Vintage_Input!AS51)/$C103+Products!$C$14-(Products!$C$43+Products!$C$19+Products!$C$43*Products!$C$22+Products!$C$44),""),""))</f>
        <v/>
      </c>
      <c r="BB103" s="153">
        <f>IF($B103=1,$D$14,IF(N(Vintage_Input!N51)&gt;0,IFERROR((Vintage_Input!F51+Vintage_Input!AT51)/$C103+Products!$C$14-(Products!$C$43+Products!$C$19+Products!$C$43*Products!$C$22+Products!$C$44),""),""))</f>
        <v/>
      </c>
      <c r="BC103" s="153">
        <f>IF($B103=1,$E$14,IF(N(Vintage_Input!O51)&gt;0,IFERROR((Vintage_Input!G51+Vintage_Input!AU51)/$C103+Products!$C$14-(Products!$C$43+Products!$C$19+Products!$C$43*Products!$C$22+Products!$C$44),""),""))</f>
        <v/>
      </c>
      <c r="BD103" s="153">
        <f>IF($B103=1,$F$14,IF(N(Vintage_Input!P51)&gt;0,IFERROR((Vintage_Input!H51+Vintage_Input!AV51)/$C103+Products!$C$14-(Products!$C$43+Products!$C$19+Products!$C$43*Products!$C$22+Products!$C$44),""),""))</f>
        <v/>
      </c>
      <c r="BE103" s="153">
        <f>IF($B103=1,$G$14,IF(N(Vintage_Input!Q51)&gt;0,IFERROR((Vintage_Input!I51+Vintage_Input!AW51)/$C103+Products!$C$14-(Products!$C$43+Products!$C$19+Products!$C$43*Products!$C$22+Products!$C$44),""),""))</f>
        <v/>
      </c>
      <c r="BF103" s="153">
        <f>IF($B103=1,$H$14,IF(N(Vintage_Input!R51)&gt;0,IFERROR((Vintage_Input!J51+Vintage_Input!AX51)/$C103+Products!$C$14-(Products!$C$43+Products!$C$19+Products!$C$43*Products!$C$22+Products!$C$44),""),""))</f>
        <v/>
      </c>
      <c r="BG103" s="153">
        <f>IF($B103=1,$I$14,IF(N(Vintage_Input!S51)&gt;0,IFERROR((Vintage_Input!K51+Vintage_Input!AY51)/$C103+Products!$C$14-(Products!$C$43+Products!$C$19+Products!$C$43*Products!$C$22+Products!$C$44),""),""))</f>
        <v/>
      </c>
      <c r="BH103" s="81">
        <f>IF($B103=1,0,IF(Vintage_Input!$BH$51="","",Vintage_Input!$BH$51))</f>
        <v/>
      </c>
    </row>
    <row r="104">
      <c r="A104" s="23" t="n">
        <v>44</v>
      </c>
      <c r="B104" s="48">
        <f>Vintage_Input!$B$52</f>
        <v/>
      </c>
      <c r="C104" s="41">
        <f>IF(Vintage_Input!$C$52="",0,Vintage_Input!$C$52)</f>
        <v/>
      </c>
      <c r="D104" s="152">
        <f>IF($B104=1,$B$8,IF(N(Vintage_Input!L52)&gt;0,Vintage_Input!D52/Vintage_Input!L52,""))</f>
        <v/>
      </c>
      <c r="E104" s="152">
        <f>IF($B104=1,$C$8,IF(N(Vintage_Input!M52)&gt;0,Vintage_Input!E52/Vintage_Input!M52,""))</f>
        <v/>
      </c>
      <c r="F104" s="152">
        <f>IF($B104=1,$D$8,IF(N(Vintage_Input!N52)&gt;0,Vintage_Input!F52/Vintage_Input!N52,""))</f>
        <v/>
      </c>
      <c r="G104" s="152">
        <f>IF($B104=1,$E$8,IF(N(Vintage_Input!O52)&gt;0,Vintage_Input!G52/Vintage_Input!O52,""))</f>
        <v/>
      </c>
      <c r="H104" s="152">
        <f>IF($B104=1,$F$8,IF(N(Vintage_Input!P52)&gt;0,Vintage_Input!H52/Vintage_Input!P52,""))</f>
        <v/>
      </c>
      <c r="I104" s="152">
        <f>IF($B104=1,$G$8,IF(N(Vintage_Input!Q52)&gt;0,Vintage_Input!I52/Vintage_Input!Q52,""))</f>
        <v/>
      </c>
      <c r="J104" s="152">
        <f>IF($B104=1,$H$8,IF(N(Vintage_Input!R52)&gt;0,Vintage_Input!J52/Vintage_Input!R52,""))</f>
        <v/>
      </c>
      <c r="K104" s="152">
        <f>IF($B104=1,$I$8,IF(N(Vintage_Input!S52)&gt;0,Vintage_Input!K52/Vintage_Input!S52,""))</f>
        <v/>
      </c>
      <c r="L104" s="152">
        <f>IF($B104=1,$B$9,IF(N(Vintage_Input!L52)&gt;0,Vintage_Input!T52/Vintage_Input!L52,""))</f>
        <v/>
      </c>
      <c r="M104" s="152">
        <f>IF($B104=1,$C$9,IF(N(Vintage_Input!M52)&gt;0,Vintage_Input!U52/Vintage_Input!M52,""))</f>
        <v/>
      </c>
      <c r="N104" s="152">
        <f>IF($B104=1,$D$9,IF(N(Vintage_Input!N52)&gt;0,Vintage_Input!V52/Vintage_Input!N52,""))</f>
        <v/>
      </c>
      <c r="O104" s="152">
        <f>IF($B104=1,$E$9,IF(N(Vintage_Input!O52)&gt;0,Vintage_Input!W52/Vintage_Input!O52,""))</f>
        <v/>
      </c>
      <c r="P104" s="152">
        <f>IF($B104=1,$F$9,IF(N(Vintage_Input!P52)&gt;0,Vintage_Input!X52/Vintage_Input!P52,""))</f>
        <v/>
      </c>
      <c r="Q104" s="152">
        <f>IF($B104=1,$G$9,IF(N(Vintage_Input!Q52)&gt;0,Vintage_Input!Y52/Vintage_Input!Q52,""))</f>
        <v/>
      </c>
      <c r="R104" s="152">
        <f>IF($B104=1,$H$9,IF(N(Vintage_Input!R52)&gt;0,Vintage_Input!Z52/Vintage_Input!R52,""))</f>
        <v/>
      </c>
      <c r="S104" s="152">
        <f>IF($B104=1,$I$9,IF(N(Vintage_Input!S52)&gt;0,Vintage_Input!AA52/Vintage_Input!S52,""))</f>
        <v/>
      </c>
      <c r="T104" s="152">
        <f>IF($B104=1,$B$10,IF(N(Vintage_Input!L52)&gt;0,Vintage_Input!AB52/Vintage_Input!L52,""))</f>
        <v/>
      </c>
      <c r="U104" s="152">
        <f>IF($B104=1,$C$10,IF(N(Vintage_Input!M52)&gt;0,Vintage_Input!AC52/Vintage_Input!M52,""))</f>
        <v/>
      </c>
      <c r="V104" s="152">
        <f>IF($B104=1,$D$10,IF(N(Vintage_Input!N52)&gt;0,Vintage_Input!AD52/Vintage_Input!N52,""))</f>
        <v/>
      </c>
      <c r="W104" s="152">
        <f>IF($B104=1,$E$10,IF(N(Vintage_Input!O52)&gt;0,Vintage_Input!AE52/Vintage_Input!O52,""))</f>
        <v/>
      </c>
      <c r="X104" s="152">
        <f>IF($B104=1,$F$10,IF(N(Vintage_Input!P52)&gt;0,Vintage_Input!AF52/Vintage_Input!P52,""))</f>
        <v/>
      </c>
      <c r="Y104" s="152">
        <f>IF($B104=1,$G$10,IF(N(Vintage_Input!Q52)&gt;0,Vintage_Input!AG52/Vintage_Input!Q52,""))</f>
        <v/>
      </c>
      <c r="Z104" s="152">
        <f>IF($B104=1,$H$10,IF(N(Vintage_Input!R52)&gt;0,Vintage_Input!AH52/Vintage_Input!R52,""))</f>
        <v/>
      </c>
      <c r="AA104" s="152">
        <f>IF($B104=1,$I$10,IF(N(Vintage_Input!S52)&gt;0,Vintage_Input!AI52/Vintage_Input!S52,""))</f>
        <v/>
      </c>
      <c r="AB104" s="152">
        <f>IF($B104=1,$B$11,IF(N(Vintage_Input!L52)&gt;0,Vintage_Input!AJ52/Vintage_Input!L52,""))</f>
        <v/>
      </c>
      <c r="AC104" s="152">
        <f>IF($B104=1,$C$11,IF(N(Vintage_Input!M52)&gt;0,Vintage_Input!AK52/Vintage_Input!M52,""))</f>
        <v/>
      </c>
      <c r="AD104" s="152">
        <f>IF($B104=1,$D$11,IF(N(Vintage_Input!N52)&gt;0,Vintage_Input!AL52/Vintage_Input!N52,""))</f>
        <v/>
      </c>
      <c r="AE104" s="152">
        <f>IF($B104=1,$E$11,IF(N(Vintage_Input!O52)&gt;0,Vintage_Input!AM52/Vintage_Input!O52,""))</f>
        <v/>
      </c>
      <c r="AF104" s="152">
        <f>IF($B104=1,$F$11,IF(N(Vintage_Input!P52)&gt;0,Vintage_Input!AN52/Vintage_Input!P52,""))</f>
        <v/>
      </c>
      <c r="AG104" s="152">
        <f>IF($B104=1,$G$11,IF(N(Vintage_Input!Q52)&gt;0,Vintage_Input!AO52/Vintage_Input!Q52,""))</f>
        <v/>
      </c>
      <c r="AH104" s="152">
        <f>IF($B104=1,$H$11,IF(N(Vintage_Input!R52)&gt;0,Vintage_Input!AP52/Vintage_Input!R52,""))</f>
        <v/>
      </c>
      <c r="AI104" s="152">
        <f>IF($B104=1,$I$11,IF(N(Vintage_Input!S52)&gt;0,Vintage_Input!AQ52/Vintage_Input!S52,""))</f>
        <v/>
      </c>
      <c r="AJ104" s="152">
        <f>IF($B104=1,$B$12,IF(N(Vintage_Input!L52)&gt;0,IFERROR(Vintage_Input!AR52/Vintage_Input!AJ52,""),""))</f>
        <v/>
      </c>
      <c r="AK104" s="152">
        <f>IF($B104=1,$C$12,IF(N(Vintage_Input!M52)&gt;0,IFERROR(Vintage_Input!AS52/Vintage_Input!AK52,""),""))</f>
        <v/>
      </c>
      <c r="AL104" s="152">
        <f>IF($B104=1,$D$12,IF(N(Vintage_Input!N52)&gt;0,IFERROR(Vintage_Input!AT52/Vintage_Input!AL52,""),""))</f>
        <v/>
      </c>
      <c r="AM104" s="152">
        <f>IF($B104=1,$E$12,IF(N(Vintage_Input!O52)&gt;0,IFERROR(Vintage_Input!AU52/Vintage_Input!AM52,""),""))</f>
        <v/>
      </c>
      <c r="AN104" s="152">
        <f>IF($B104=1,$F$12,IF(N(Vintage_Input!P52)&gt;0,IFERROR(Vintage_Input!AV52/Vintage_Input!AN52,""),""))</f>
        <v/>
      </c>
      <c r="AO104" s="152">
        <f>IF($B104=1,$G$12,IF(N(Vintage_Input!Q52)&gt;0,IFERROR(Vintage_Input!AW52/Vintage_Input!AO52,""),""))</f>
        <v/>
      </c>
      <c r="AP104" s="152">
        <f>IF($B104=1,$H$12,IF(N(Vintage_Input!R52)&gt;0,IFERROR(Vintage_Input!AX52/Vintage_Input!AP52,""),""))</f>
        <v/>
      </c>
      <c r="AQ104" s="152">
        <f>IF($B104=1,$I$12,IF(N(Vintage_Input!S52)&gt;0,IFERROR(Vintage_Input!AY52/Vintage_Input!AQ52,""),""))</f>
        <v/>
      </c>
      <c r="AR104" s="152">
        <f>IF($B104=1,$B$13,IF(N(Vintage_Input!L52)&gt;0,IFERROR(Vintage_Input!AZ52/$C104,""),""))</f>
        <v/>
      </c>
      <c r="AS104" s="152">
        <f>IF($B104=1,$C$13,IF(N(Vintage_Input!M52)&gt;0,IFERROR(Vintage_Input!BA52/$C104,""),""))</f>
        <v/>
      </c>
      <c r="AT104" s="152">
        <f>IF($B104=1,$D$13,IF(N(Vintage_Input!N52)&gt;0,IFERROR(Vintage_Input!BB52/$C104,""),""))</f>
        <v/>
      </c>
      <c r="AU104" s="152">
        <f>IF($B104=1,$E$13,IF(N(Vintage_Input!O52)&gt;0,IFERROR(Vintage_Input!BC52/$C104,""),""))</f>
        <v/>
      </c>
      <c r="AV104" s="152">
        <f>IF($B104=1,$F$13,IF(N(Vintage_Input!P52)&gt;0,IFERROR(Vintage_Input!BD52/$C104,""),""))</f>
        <v/>
      </c>
      <c r="AW104" s="152">
        <f>IF($B104=1,$G$13,IF(N(Vintage_Input!Q52)&gt;0,IFERROR(Vintage_Input!BE52/$C104,""),""))</f>
        <v/>
      </c>
      <c r="AX104" s="152">
        <f>IF($B104=1,$H$13,IF(N(Vintage_Input!R52)&gt;0,IFERROR(Vintage_Input!BF52/$C104,""),""))</f>
        <v/>
      </c>
      <c r="AY104" s="152">
        <f>IF($B104=1,$I$13,IF(N(Vintage_Input!S52)&gt;0,IFERROR(Vintage_Input!BG52/$C104,""),""))</f>
        <v/>
      </c>
      <c r="AZ104" s="153">
        <f>IF($B104=1,$B$14,IF(N(Vintage_Input!L52)&gt;0,IFERROR((Vintage_Input!D52+Vintage_Input!AR52)/$C104+Products!$C$14-(Products!$C$43+Products!$C$19+Products!$C$43*Products!$C$22+Products!$C$44),""),""))</f>
        <v/>
      </c>
      <c r="BA104" s="153">
        <f>IF($B104=1,$C$14,IF(N(Vintage_Input!M52)&gt;0,IFERROR((Vintage_Input!E52+Vintage_Input!AS52)/$C104+Products!$C$14-(Products!$C$43+Products!$C$19+Products!$C$43*Products!$C$22+Products!$C$44),""),""))</f>
        <v/>
      </c>
      <c r="BB104" s="153">
        <f>IF($B104=1,$D$14,IF(N(Vintage_Input!N52)&gt;0,IFERROR((Vintage_Input!F52+Vintage_Input!AT52)/$C104+Products!$C$14-(Products!$C$43+Products!$C$19+Products!$C$43*Products!$C$22+Products!$C$44),""),""))</f>
        <v/>
      </c>
      <c r="BC104" s="153">
        <f>IF($B104=1,$E$14,IF(N(Vintage_Input!O52)&gt;0,IFERROR((Vintage_Input!G52+Vintage_Input!AU52)/$C104+Products!$C$14-(Products!$C$43+Products!$C$19+Products!$C$43*Products!$C$22+Products!$C$44),""),""))</f>
        <v/>
      </c>
      <c r="BD104" s="153">
        <f>IF($B104=1,$F$14,IF(N(Vintage_Input!P52)&gt;0,IFERROR((Vintage_Input!H52+Vintage_Input!AV52)/$C104+Products!$C$14-(Products!$C$43+Products!$C$19+Products!$C$43*Products!$C$22+Products!$C$44),""),""))</f>
        <v/>
      </c>
      <c r="BE104" s="153">
        <f>IF($B104=1,$G$14,IF(N(Vintage_Input!Q52)&gt;0,IFERROR((Vintage_Input!I52+Vintage_Input!AW52)/$C104+Products!$C$14-(Products!$C$43+Products!$C$19+Products!$C$43*Products!$C$22+Products!$C$44),""),""))</f>
        <v/>
      </c>
      <c r="BF104" s="153">
        <f>IF($B104=1,$H$14,IF(N(Vintage_Input!R52)&gt;0,IFERROR((Vintage_Input!J52+Vintage_Input!AX52)/$C104+Products!$C$14-(Products!$C$43+Products!$C$19+Products!$C$43*Products!$C$22+Products!$C$44),""),""))</f>
        <v/>
      </c>
      <c r="BG104" s="153">
        <f>IF($B104=1,$I$14,IF(N(Vintage_Input!S52)&gt;0,IFERROR((Vintage_Input!K52+Vintage_Input!AY52)/$C104+Products!$C$14-(Products!$C$43+Products!$C$19+Products!$C$43*Products!$C$22+Products!$C$44),""),""))</f>
        <v/>
      </c>
      <c r="BH104" s="81">
        <f>IF($B104=1,0,IF(Vintage_Input!$BH$52="","",Vintage_Input!$BH$52))</f>
        <v/>
      </c>
    </row>
    <row r="105">
      <c r="A105" s="23" t="n">
        <v>45</v>
      </c>
      <c r="B105" s="48">
        <f>Vintage_Input!$B$53</f>
        <v/>
      </c>
      <c r="C105" s="41">
        <f>IF(Vintage_Input!$C$53="",0,Vintage_Input!$C$53)</f>
        <v/>
      </c>
      <c r="D105" s="152">
        <f>IF($B105=1,$B$8,IF(N(Vintage_Input!L53)&gt;0,Vintage_Input!D53/Vintage_Input!L53,""))</f>
        <v/>
      </c>
      <c r="E105" s="152">
        <f>IF($B105=1,$C$8,IF(N(Vintage_Input!M53)&gt;0,Vintage_Input!E53/Vintage_Input!M53,""))</f>
        <v/>
      </c>
      <c r="F105" s="152">
        <f>IF($B105=1,$D$8,IF(N(Vintage_Input!N53)&gt;0,Vintage_Input!F53/Vintage_Input!N53,""))</f>
        <v/>
      </c>
      <c r="G105" s="152">
        <f>IF($B105=1,$E$8,IF(N(Vintage_Input!O53)&gt;0,Vintage_Input!G53/Vintage_Input!O53,""))</f>
        <v/>
      </c>
      <c r="H105" s="152">
        <f>IF($B105=1,$F$8,IF(N(Vintage_Input!P53)&gt;0,Vintage_Input!H53/Vintage_Input!P53,""))</f>
        <v/>
      </c>
      <c r="I105" s="152">
        <f>IF($B105=1,$G$8,IF(N(Vintage_Input!Q53)&gt;0,Vintage_Input!I53/Vintage_Input!Q53,""))</f>
        <v/>
      </c>
      <c r="J105" s="152">
        <f>IF($B105=1,$H$8,IF(N(Vintage_Input!R53)&gt;0,Vintage_Input!J53/Vintage_Input!R53,""))</f>
        <v/>
      </c>
      <c r="K105" s="152">
        <f>IF($B105=1,$I$8,IF(N(Vintage_Input!S53)&gt;0,Vintage_Input!K53/Vintage_Input!S53,""))</f>
        <v/>
      </c>
      <c r="L105" s="152">
        <f>IF($B105=1,$B$9,IF(N(Vintage_Input!L53)&gt;0,Vintage_Input!T53/Vintage_Input!L53,""))</f>
        <v/>
      </c>
      <c r="M105" s="152">
        <f>IF($B105=1,$C$9,IF(N(Vintage_Input!M53)&gt;0,Vintage_Input!U53/Vintage_Input!M53,""))</f>
        <v/>
      </c>
      <c r="N105" s="152">
        <f>IF($B105=1,$D$9,IF(N(Vintage_Input!N53)&gt;0,Vintage_Input!V53/Vintage_Input!N53,""))</f>
        <v/>
      </c>
      <c r="O105" s="152">
        <f>IF($B105=1,$E$9,IF(N(Vintage_Input!O53)&gt;0,Vintage_Input!W53/Vintage_Input!O53,""))</f>
        <v/>
      </c>
      <c r="P105" s="152">
        <f>IF($B105=1,$F$9,IF(N(Vintage_Input!P53)&gt;0,Vintage_Input!X53/Vintage_Input!P53,""))</f>
        <v/>
      </c>
      <c r="Q105" s="152">
        <f>IF($B105=1,$G$9,IF(N(Vintage_Input!Q53)&gt;0,Vintage_Input!Y53/Vintage_Input!Q53,""))</f>
        <v/>
      </c>
      <c r="R105" s="152">
        <f>IF($B105=1,$H$9,IF(N(Vintage_Input!R53)&gt;0,Vintage_Input!Z53/Vintage_Input!R53,""))</f>
        <v/>
      </c>
      <c r="S105" s="152">
        <f>IF($B105=1,$I$9,IF(N(Vintage_Input!S53)&gt;0,Vintage_Input!AA53/Vintage_Input!S53,""))</f>
        <v/>
      </c>
      <c r="T105" s="152">
        <f>IF($B105=1,$B$10,IF(N(Vintage_Input!L53)&gt;0,Vintage_Input!AB53/Vintage_Input!L53,""))</f>
        <v/>
      </c>
      <c r="U105" s="152">
        <f>IF($B105=1,$C$10,IF(N(Vintage_Input!M53)&gt;0,Vintage_Input!AC53/Vintage_Input!M53,""))</f>
        <v/>
      </c>
      <c r="V105" s="152">
        <f>IF($B105=1,$D$10,IF(N(Vintage_Input!N53)&gt;0,Vintage_Input!AD53/Vintage_Input!N53,""))</f>
        <v/>
      </c>
      <c r="W105" s="152">
        <f>IF($B105=1,$E$10,IF(N(Vintage_Input!O53)&gt;0,Vintage_Input!AE53/Vintage_Input!O53,""))</f>
        <v/>
      </c>
      <c r="X105" s="152">
        <f>IF($B105=1,$F$10,IF(N(Vintage_Input!P53)&gt;0,Vintage_Input!AF53/Vintage_Input!P53,""))</f>
        <v/>
      </c>
      <c r="Y105" s="152">
        <f>IF($B105=1,$G$10,IF(N(Vintage_Input!Q53)&gt;0,Vintage_Input!AG53/Vintage_Input!Q53,""))</f>
        <v/>
      </c>
      <c r="Z105" s="152">
        <f>IF($B105=1,$H$10,IF(N(Vintage_Input!R53)&gt;0,Vintage_Input!AH53/Vintage_Input!R53,""))</f>
        <v/>
      </c>
      <c r="AA105" s="152">
        <f>IF($B105=1,$I$10,IF(N(Vintage_Input!S53)&gt;0,Vintage_Input!AI53/Vintage_Input!S53,""))</f>
        <v/>
      </c>
      <c r="AB105" s="152">
        <f>IF($B105=1,$B$11,IF(N(Vintage_Input!L53)&gt;0,Vintage_Input!AJ53/Vintage_Input!L53,""))</f>
        <v/>
      </c>
      <c r="AC105" s="152">
        <f>IF($B105=1,$C$11,IF(N(Vintage_Input!M53)&gt;0,Vintage_Input!AK53/Vintage_Input!M53,""))</f>
        <v/>
      </c>
      <c r="AD105" s="152">
        <f>IF($B105=1,$D$11,IF(N(Vintage_Input!N53)&gt;0,Vintage_Input!AL53/Vintage_Input!N53,""))</f>
        <v/>
      </c>
      <c r="AE105" s="152">
        <f>IF($B105=1,$E$11,IF(N(Vintage_Input!O53)&gt;0,Vintage_Input!AM53/Vintage_Input!O53,""))</f>
        <v/>
      </c>
      <c r="AF105" s="152">
        <f>IF($B105=1,$F$11,IF(N(Vintage_Input!P53)&gt;0,Vintage_Input!AN53/Vintage_Input!P53,""))</f>
        <v/>
      </c>
      <c r="AG105" s="152">
        <f>IF($B105=1,$G$11,IF(N(Vintage_Input!Q53)&gt;0,Vintage_Input!AO53/Vintage_Input!Q53,""))</f>
        <v/>
      </c>
      <c r="AH105" s="152">
        <f>IF($B105=1,$H$11,IF(N(Vintage_Input!R53)&gt;0,Vintage_Input!AP53/Vintage_Input!R53,""))</f>
        <v/>
      </c>
      <c r="AI105" s="152">
        <f>IF($B105=1,$I$11,IF(N(Vintage_Input!S53)&gt;0,Vintage_Input!AQ53/Vintage_Input!S53,""))</f>
        <v/>
      </c>
      <c r="AJ105" s="152">
        <f>IF($B105=1,$B$12,IF(N(Vintage_Input!L53)&gt;0,IFERROR(Vintage_Input!AR53/Vintage_Input!AJ53,""),""))</f>
        <v/>
      </c>
      <c r="AK105" s="152">
        <f>IF($B105=1,$C$12,IF(N(Vintage_Input!M53)&gt;0,IFERROR(Vintage_Input!AS53/Vintage_Input!AK53,""),""))</f>
        <v/>
      </c>
      <c r="AL105" s="152">
        <f>IF($B105=1,$D$12,IF(N(Vintage_Input!N53)&gt;0,IFERROR(Vintage_Input!AT53/Vintage_Input!AL53,""),""))</f>
        <v/>
      </c>
      <c r="AM105" s="152">
        <f>IF($B105=1,$E$12,IF(N(Vintage_Input!O53)&gt;0,IFERROR(Vintage_Input!AU53/Vintage_Input!AM53,""),""))</f>
        <v/>
      </c>
      <c r="AN105" s="152">
        <f>IF($B105=1,$F$12,IF(N(Vintage_Input!P53)&gt;0,IFERROR(Vintage_Input!AV53/Vintage_Input!AN53,""),""))</f>
        <v/>
      </c>
      <c r="AO105" s="152">
        <f>IF($B105=1,$G$12,IF(N(Vintage_Input!Q53)&gt;0,IFERROR(Vintage_Input!AW53/Vintage_Input!AO53,""),""))</f>
        <v/>
      </c>
      <c r="AP105" s="152">
        <f>IF($B105=1,$H$12,IF(N(Vintage_Input!R53)&gt;0,IFERROR(Vintage_Input!AX53/Vintage_Input!AP53,""),""))</f>
        <v/>
      </c>
      <c r="AQ105" s="152">
        <f>IF($B105=1,$I$12,IF(N(Vintage_Input!S53)&gt;0,IFERROR(Vintage_Input!AY53/Vintage_Input!AQ53,""),""))</f>
        <v/>
      </c>
      <c r="AR105" s="152">
        <f>IF($B105=1,$B$13,IF(N(Vintage_Input!L53)&gt;0,IFERROR(Vintage_Input!AZ53/$C105,""),""))</f>
        <v/>
      </c>
      <c r="AS105" s="152">
        <f>IF($B105=1,$C$13,IF(N(Vintage_Input!M53)&gt;0,IFERROR(Vintage_Input!BA53/$C105,""),""))</f>
        <v/>
      </c>
      <c r="AT105" s="152">
        <f>IF($B105=1,$D$13,IF(N(Vintage_Input!N53)&gt;0,IFERROR(Vintage_Input!BB53/$C105,""),""))</f>
        <v/>
      </c>
      <c r="AU105" s="152">
        <f>IF($B105=1,$E$13,IF(N(Vintage_Input!O53)&gt;0,IFERROR(Vintage_Input!BC53/$C105,""),""))</f>
        <v/>
      </c>
      <c r="AV105" s="152">
        <f>IF($B105=1,$F$13,IF(N(Vintage_Input!P53)&gt;0,IFERROR(Vintage_Input!BD53/$C105,""),""))</f>
        <v/>
      </c>
      <c r="AW105" s="152">
        <f>IF($B105=1,$G$13,IF(N(Vintage_Input!Q53)&gt;0,IFERROR(Vintage_Input!BE53/$C105,""),""))</f>
        <v/>
      </c>
      <c r="AX105" s="152">
        <f>IF($B105=1,$H$13,IF(N(Vintage_Input!R53)&gt;0,IFERROR(Vintage_Input!BF53/$C105,""),""))</f>
        <v/>
      </c>
      <c r="AY105" s="152">
        <f>IF($B105=1,$I$13,IF(N(Vintage_Input!S53)&gt;0,IFERROR(Vintage_Input!BG53/$C105,""),""))</f>
        <v/>
      </c>
      <c r="AZ105" s="153">
        <f>IF($B105=1,$B$14,IF(N(Vintage_Input!L53)&gt;0,IFERROR((Vintage_Input!D53+Vintage_Input!AR53)/$C105+Products!$C$14-(Products!$C$43+Products!$C$19+Products!$C$43*Products!$C$22+Products!$C$44),""),""))</f>
        <v/>
      </c>
      <c r="BA105" s="153">
        <f>IF($B105=1,$C$14,IF(N(Vintage_Input!M53)&gt;0,IFERROR((Vintage_Input!E53+Vintage_Input!AS53)/$C105+Products!$C$14-(Products!$C$43+Products!$C$19+Products!$C$43*Products!$C$22+Products!$C$44),""),""))</f>
        <v/>
      </c>
      <c r="BB105" s="153">
        <f>IF($B105=1,$D$14,IF(N(Vintage_Input!N53)&gt;0,IFERROR((Vintage_Input!F53+Vintage_Input!AT53)/$C105+Products!$C$14-(Products!$C$43+Products!$C$19+Products!$C$43*Products!$C$22+Products!$C$44),""),""))</f>
        <v/>
      </c>
      <c r="BC105" s="153">
        <f>IF($B105=1,$E$14,IF(N(Vintage_Input!O53)&gt;0,IFERROR((Vintage_Input!G53+Vintage_Input!AU53)/$C105+Products!$C$14-(Products!$C$43+Products!$C$19+Products!$C$43*Products!$C$22+Products!$C$44),""),""))</f>
        <v/>
      </c>
      <c r="BD105" s="153">
        <f>IF($B105=1,$F$14,IF(N(Vintage_Input!P53)&gt;0,IFERROR((Vintage_Input!H53+Vintage_Input!AV53)/$C105+Products!$C$14-(Products!$C$43+Products!$C$19+Products!$C$43*Products!$C$22+Products!$C$44),""),""))</f>
        <v/>
      </c>
      <c r="BE105" s="153">
        <f>IF($B105=1,$G$14,IF(N(Vintage_Input!Q53)&gt;0,IFERROR((Vintage_Input!I53+Vintage_Input!AW53)/$C105+Products!$C$14-(Products!$C$43+Products!$C$19+Products!$C$43*Products!$C$22+Products!$C$44),""),""))</f>
        <v/>
      </c>
      <c r="BF105" s="153">
        <f>IF($B105=1,$H$14,IF(N(Vintage_Input!R53)&gt;0,IFERROR((Vintage_Input!J53+Vintage_Input!AX53)/$C105+Products!$C$14-(Products!$C$43+Products!$C$19+Products!$C$43*Products!$C$22+Products!$C$44),""),""))</f>
        <v/>
      </c>
      <c r="BG105" s="153">
        <f>IF($B105=1,$I$14,IF(N(Vintage_Input!S53)&gt;0,IFERROR((Vintage_Input!K53+Vintage_Input!AY53)/$C105+Products!$C$14-(Products!$C$43+Products!$C$19+Products!$C$43*Products!$C$22+Products!$C$44),""),""))</f>
        <v/>
      </c>
      <c r="BH105" s="81">
        <f>IF($B105=1,0,IF(Vintage_Input!$BH$53="","",Vintage_Input!$BH$53))</f>
        <v/>
      </c>
    </row>
    <row r="106">
      <c r="A106" s="23" t="n">
        <v>46</v>
      </c>
      <c r="B106" s="48">
        <f>Vintage_Input!$B$54</f>
        <v/>
      </c>
      <c r="C106" s="41">
        <f>IF(Vintage_Input!$C$54="",0,Vintage_Input!$C$54)</f>
        <v/>
      </c>
      <c r="D106" s="152">
        <f>IF($B106=1,$B$8,IF(N(Vintage_Input!L54)&gt;0,Vintage_Input!D54/Vintage_Input!L54,""))</f>
        <v/>
      </c>
      <c r="E106" s="152">
        <f>IF($B106=1,$C$8,IF(N(Vintage_Input!M54)&gt;0,Vintage_Input!E54/Vintage_Input!M54,""))</f>
        <v/>
      </c>
      <c r="F106" s="152">
        <f>IF($B106=1,$D$8,IF(N(Vintage_Input!N54)&gt;0,Vintage_Input!F54/Vintage_Input!N54,""))</f>
        <v/>
      </c>
      <c r="G106" s="152">
        <f>IF($B106=1,$E$8,IF(N(Vintage_Input!O54)&gt;0,Vintage_Input!G54/Vintage_Input!O54,""))</f>
        <v/>
      </c>
      <c r="H106" s="152">
        <f>IF($B106=1,$F$8,IF(N(Vintage_Input!P54)&gt;0,Vintage_Input!H54/Vintage_Input!P54,""))</f>
        <v/>
      </c>
      <c r="I106" s="152">
        <f>IF($B106=1,$G$8,IF(N(Vintage_Input!Q54)&gt;0,Vintage_Input!I54/Vintage_Input!Q54,""))</f>
        <v/>
      </c>
      <c r="J106" s="152">
        <f>IF($B106=1,$H$8,IF(N(Vintage_Input!R54)&gt;0,Vintage_Input!J54/Vintage_Input!R54,""))</f>
        <v/>
      </c>
      <c r="K106" s="152">
        <f>IF($B106=1,$I$8,IF(N(Vintage_Input!S54)&gt;0,Vintage_Input!K54/Vintage_Input!S54,""))</f>
        <v/>
      </c>
      <c r="L106" s="152">
        <f>IF($B106=1,$B$9,IF(N(Vintage_Input!L54)&gt;0,Vintage_Input!T54/Vintage_Input!L54,""))</f>
        <v/>
      </c>
      <c r="M106" s="152">
        <f>IF($B106=1,$C$9,IF(N(Vintage_Input!M54)&gt;0,Vintage_Input!U54/Vintage_Input!M54,""))</f>
        <v/>
      </c>
      <c r="N106" s="152">
        <f>IF($B106=1,$D$9,IF(N(Vintage_Input!N54)&gt;0,Vintage_Input!V54/Vintage_Input!N54,""))</f>
        <v/>
      </c>
      <c r="O106" s="152">
        <f>IF($B106=1,$E$9,IF(N(Vintage_Input!O54)&gt;0,Vintage_Input!W54/Vintage_Input!O54,""))</f>
        <v/>
      </c>
      <c r="P106" s="152">
        <f>IF($B106=1,$F$9,IF(N(Vintage_Input!P54)&gt;0,Vintage_Input!X54/Vintage_Input!P54,""))</f>
        <v/>
      </c>
      <c r="Q106" s="152">
        <f>IF($B106=1,$G$9,IF(N(Vintage_Input!Q54)&gt;0,Vintage_Input!Y54/Vintage_Input!Q54,""))</f>
        <v/>
      </c>
      <c r="R106" s="152">
        <f>IF($B106=1,$H$9,IF(N(Vintage_Input!R54)&gt;0,Vintage_Input!Z54/Vintage_Input!R54,""))</f>
        <v/>
      </c>
      <c r="S106" s="152">
        <f>IF($B106=1,$I$9,IF(N(Vintage_Input!S54)&gt;0,Vintage_Input!AA54/Vintage_Input!S54,""))</f>
        <v/>
      </c>
      <c r="T106" s="152">
        <f>IF($B106=1,$B$10,IF(N(Vintage_Input!L54)&gt;0,Vintage_Input!AB54/Vintage_Input!L54,""))</f>
        <v/>
      </c>
      <c r="U106" s="152">
        <f>IF($B106=1,$C$10,IF(N(Vintage_Input!M54)&gt;0,Vintage_Input!AC54/Vintage_Input!M54,""))</f>
        <v/>
      </c>
      <c r="V106" s="152">
        <f>IF($B106=1,$D$10,IF(N(Vintage_Input!N54)&gt;0,Vintage_Input!AD54/Vintage_Input!N54,""))</f>
        <v/>
      </c>
      <c r="W106" s="152">
        <f>IF($B106=1,$E$10,IF(N(Vintage_Input!O54)&gt;0,Vintage_Input!AE54/Vintage_Input!O54,""))</f>
        <v/>
      </c>
      <c r="X106" s="152">
        <f>IF($B106=1,$F$10,IF(N(Vintage_Input!P54)&gt;0,Vintage_Input!AF54/Vintage_Input!P54,""))</f>
        <v/>
      </c>
      <c r="Y106" s="152">
        <f>IF($B106=1,$G$10,IF(N(Vintage_Input!Q54)&gt;0,Vintage_Input!AG54/Vintage_Input!Q54,""))</f>
        <v/>
      </c>
      <c r="Z106" s="152">
        <f>IF($B106=1,$H$10,IF(N(Vintage_Input!R54)&gt;0,Vintage_Input!AH54/Vintage_Input!R54,""))</f>
        <v/>
      </c>
      <c r="AA106" s="152">
        <f>IF($B106=1,$I$10,IF(N(Vintage_Input!S54)&gt;0,Vintage_Input!AI54/Vintage_Input!S54,""))</f>
        <v/>
      </c>
      <c r="AB106" s="152">
        <f>IF($B106=1,$B$11,IF(N(Vintage_Input!L54)&gt;0,Vintage_Input!AJ54/Vintage_Input!L54,""))</f>
        <v/>
      </c>
      <c r="AC106" s="152">
        <f>IF($B106=1,$C$11,IF(N(Vintage_Input!M54)&gt;0,Vintage_Input!AK54/Vintage_Input!M54,""))</f>
        <v/>
      </c>
      <c r="AD106" s="152">
        <f>IF($B106=1,$D$11,IF(N(Vintage_Input!N54)&gt;0,Vintage_Input!AL54/Vintage_Input!N54,""))</f>
        <v/>
      </c>
      <c r="AE106" s="152">
        <f>IF($B106=1,$E$11,IF(N(Vintage_Input!O54)&gt;0,Vintage_Input!AM54/Vintage_Input!O54,""))</f>
        <v/>
      </c>
      <c r="AF106" s="152">
        <f>IF($B106=1,$F$11,IF(N(Vintage_Input!P54)&gt;0,Vintage_Input!AN54/Vintage_Input!P54,""))</f>
        <v/>
      </c>
      <c r="AG106" s="152">
        <f>IF($B106=1,$G$11,IF(N(Vintage_Input!Q54)&gt;0,Vintage_Input!AO54/Vintage_Input!Q54,""))</f>
        <v/>
      </c>
      <c r="AH106" s="152">
        <f>IF($B106=1,$H$11,IF(N(Vintage_Input!R54)&gt;0,Vintage_Input!AP54/Vintage_Input!R54,""))</f>
        <v/>
      </c>
      <c r="AI106" s="152">
        <f>IF($B106=1,$I$11,IF(N(Vintage_Input!S54)&gt;0,Vintage_Input!AQ54/Vintage_Input!S54,""))</f>
        <v/>
      </c>
      <c r="AJ106" s="152">
        <f>IF($B106=1,$B$12,IF(N(Vintage_Input!L54)&gt;0,IFERROR(Vintage_Input!AR54/Vintage_Input!AJ54,""),""))</f>
        <v/>
      </c>
      <c r="AK106" s="152">
        <f>IF($B106=1,$C$12,IF(N(Vintage_Input!M54)&gt;0,IFERROR(Vintage_Input!AS54/Vintage_Input!AK54,""),""))</f>
        <v/>
      </c>
      <c r="AL106" s="152">
        <f>IF($B106=1,$D$12,IF(N(Vintage_Input!N54)&gt;0,IFERROR(Vintage_Input!AT54/Vintage_Input!AL54,""),""))</f>
        <v/>
      </c>
      <c r="AM106" s="152">
        <f>IF($B106=1,$E$12,IF(N(Vintage_Input!O54)&gt;0,IFERROR(Vintage_Input!AU54/Vintage_Input!AM54,""),""))</f>
        <v/>
      </c>
      <c r="AN106" s="152">
        <f>IF($B106=1,$F$12,IF(N(Vintage_Input!P54)&gt;0,IFERROR(Vintage_Input!AV54/Vintage_Input!AN54,""),""))</f>
        <v/>
      </c>
      <c r="AO106" s="152">
        <f>IF($B106=1,$G$12,IF(N(Vintage_Input!Q54)&gt;0,IFERROR(Vintage_Input!AW54/Vintage_Input!AO54,""),""))</f>
        <v/>
      </c>
      <c r="AP106" s="152">
        <f>IF($B106=1,$H$12,IF(N(Vintage_Input!R54)&gt;0,IFERROR(Vintage_Input!AX54/Vintage_Input!AP54,""),""))</f>
        <v/>
      </c>
      <c r="AQ106" s="152">
        <f>IF($B106=1,$I$12,IF(N(Vintage_Input!S54)&gt;0,IFERROR(Vintage_Input!AY54/Vintage_Input!AQ54,""),""))</f>
        <v/>
      </c>
      <c r="AR106" s="152">
        <f>IF($B106=1,$B$13,IF(N(Vintage_Input!L54)&gt;0,IFERROR(Vintage_Input!AZ54/$C106,""),""))</f>
        <v/>
      </c>
      <c r="AS106" s="152">
        <f>IF($B106=1,$C$13,IF(N(Vintage_Input!M54)&gt;0,IFERROR(Vintage_Input!BA54/$C106,""),""))</f>
        <v/>
      </c>
      <c r="AT106" s="152">
        <f>IF($B106=1,$D$13,IF(N(Vintage_Input!N54)&gt;0,IFERROR(Vintage_Input!BB54/$C106,""),""))</f>
        <v/>
      </c>
      <c r="AU106" s="152">
        <f>IF($B106=1,$E$13,IF(N(Vintage_Input!O54)&gt;0,IFERROR(Vintage_Input!BC54/$C106,""),""))</f>
        <v/>
      </c>
      <c r="AV106" s="152">
        <f>IF($B106=1,$F$13,IF(N(Vintage_Input!P54)&gt;0,IFERROR(Vintage_Input!BD54/$C106,""),""))</f>
        <v/>
      </c>
      <c r="AW106" s="152">
        <f>IF($B106=1,$G$13,IF(N(Vintage_Input!Q54)&gt;0,IFERROR(Vintage_Input!BE54/$C106,""),""))</f>
        <v/>
      </c>
      <c r="AX106" s="152">
        <f>IF($B106=1,$H$13,IF(N(Vintage_Input!R54)&gt;0,IFERROR(Vintage_Input!BF54/$C106,""),""))</f>
        <v/>
      </c>
      <c r="AY106" s="152">
        <f>IF($B106=1,$I$13,IF(N(Vintage_Input!S54)&gt;0,IFERROR(Vintage_Input!BG54/$C106,""),""))</f>
        <v/>
      </c>
      <c r="AZ106" s="153">
        <f>IF($B106=1,$B$14,IF(N(Vintage_Input!L54)&gt;0,IFERROR((Vintage_Input!D54+Vintage_Input!AR54)/$C106+Products!$C$14-(Products!$C$43+Products!$C$19+Products!$C$43*Products!$C$22+Products!$C$44),""),""))</f>
        <v/>
      </c>
      <c r="BA106" s="153">
        <f>IF($B106=1,$C$14,IF(N(Vintage_Input!M54)&gt;0,IFERROR((Vintage_Input!E54+Vintage_Input!AS54)/$C106+Products!$C$14-(Products!$C$43+Products!$C$19+Products!$C$43*Products!$C$22+Products!$C$44),""),""))</f>
        <v/>
      </c>
      <c r="BB106" s="153">
        <f>IF($B106=1,$D$14,IF(N(Vintage_Input!N54)&gt;0,IFERROR((Vintage_Input!F54+Vintage_Input!AT54)/$C106+Products!$C$14-(Products!$C$43+Products!$C$19+Products!$C$43*Products!$C$22+Products!$C$44),""),""))</f>
        <v/>
      </c>
      <c r="BC106" s="153">
        <f>IF($B106=1,$E$14,IF(N(Vintage_Input!O54)&gt;0,IFERROR((Vintage_Input!G54+Vintage_Input!AU54)/$C106+Products!$C$14-(Products!$C$43+Products!$C$19+Products!$C$43*Products!$C$22+Products!$C$44),""),""))</f>
        <v/>
      </c>
      <c r="BD106" s="153">
        <f>IF($B106=1,$F$14,IF(N(Vintage_Input!P54)&gt;0,IFERROR((Vintage_Input!H54+Vintage_Input!AV54)/$C106+Products!$C$14-(Products!$C$43+Products!$C$19+Products!$C$43*Products!$C$22+Products!$C$44),""),""))</f>
        <v/>
      </c>
      <c r="BE106" s="153">
        <f>IF($B106=1,$G$14,IF(N(Vintage_Input!Q54)&gt;0,IFERROR((Vintage_Input!I54+Vintage_Input!AW54)/$C106+Products!$C$14-(Products!$C$43+Products!$C$19+Products!$C$43*Products!$C$22+Products!$C$44),""),""))</f>
        <v/>
      </c>
      <c r="BF106" s="153">
        <f>IF($B106=1,$H$14,IF(N(Vintage_Input!R54)&gt;0,IFERROR((Vintage_Input!J54+Vintage_Input!AX54)/$C106+Products!$C$14-(Products!$C$43+Products!$C$19+Products!$C$43*Products!$C$22+Products!$C$44),""),""))</f>
        <v/>
      </c>
      <c r="BG106" s="153">
        <f>IF($B106=1,$I$14,IF(N(Vintage_Input!S54)&gt;0,IFERROR((Vintage_Input!K54+Vintage_Input!AY54)/$C106+Products!$C$14-(Products!$C$43+Products!$C$19+Products!$C$43*Products!$C$22+Products!$C$44),""),""))</f>
        <v/>
      </c>
      <c r="BH106" s="81">
        <f>IF($B106=1,0,IF(Vintage_Input!$BH$54="","",Vintage_Input!$BH$54))</f>
        <v/>
      </c>
    </row>
    <row r="107">
      <c r="A107" s="23" t="n">
        <v>47</v>
      </c>
      <c r="B107" s="48">
        <f>Vintage_Input!$B$55</f>
        <v/>
      </c>
      <c r="C107" s="41">
        <f>IF(Vintage_Input!$C$55="",0,Vintage_Input!$C$55)</f>
        <v/>
      </c>
      <c r="D107" s="152">
        <f>IF($B107=1,$B$8,IF(N(Vintage_Input!L55)&gt;0,Vintage_Input!D55/Vintage_Input!L55,""))</f>
        <v/>
      </c>
      <c r="E107" s="152">
        <f>IF($B107=1,$C$8,IF(N(Vintage_Input!M55)&gt;0,Vintage_Input!E55/Vintage_Input!M55,""))</f>
        <v/>
      </c>
      <c r="F107" s="152">
        <f>IF($B107=1,$D$8,IF(N(Vintage_Input!N55)&gt;0,Vintage_Input!F55/Vintage_Input!N55,""))</f>
        <v/>
      </c>
      <c r="G107" s="152">
        <f>IF($B107=1,$E$8,IF(N(Vintage_Input!O55)&gt;0,Vintage_Input!G55/Vintage_Input!O55,""))</f>
        <v/>
      </c>
      <c r="H107" s="152">
        <f>IF($B107=1,$F$8,IF(N(Vintage_Input!P55)&gt;0,Vintage_Input!H55/Vintage_Input!P55,""))</f>
        <v/>
      </c>
      <c r="I107" s="152">
        <f>IF($B107=1,$G$8,IF(N(Vintage_Input!Q55)&gt;0,Vintage_Input!I55/Vintage_Input!Q55,""))</f>
        <v/>
      </c>
      <c r="J107" s="152">
        <f>IF($B107=1,$H$8,IF(N(Vintage_Input!R55)&gt;0,Vintage_Input!J55/Vintage_Input!R55,""))</f>
        <v/>
      </c>
      <c r="K107" s="152">
        <f>IF($B107=1,$I$8,IF(N(Vintage_Input!S55)&gt;0,Vintage_Input!K55/Vintage_Input!S55,""))</f>
        <v/>
      </c>
      <c r="L107" s="152">
        <f>IF($B107=1,$B$9,IF(N(Vintage_Input!L55)&gt;0,Vintage_Input!T55/Vintage_Input!L55,""))</f>
        <v/>
      </c>
      <c r="M107" s="152">
        <f>IF($B107=1,$C$9,IF(N(Vintage_Input!M55)&gt;0,Vintage_Input!U55/Vintage_Input!M55,""))</f>
        <v/>
      </c>
      <c r="N107" s="152">
        <f>IF($B107=1,$D$9,IF(N(Vintage_Input!N55)&gt;0,Vintage_Input!V55/Vintage_Input!N55,""))</f>
        <v/>
      </c>
      <c r="O107" s="152">
        <f>IF($B107=1,$E$9,IF(N(Vintage_Input!O55)&gt;0,Vintage_Input!W55/Vintage_Input!O55,""))</f>
        <v/>
      </c>
      <c r="P107" s="152">
        <f>IF($B107=1,$F$9,IF(N(Vintage_Input!P55)&gt;0,Vintage_Input!X55/Vintage_Input!P55,""))</f>
        <v/>
      </c>
      <c r="Q107" s="152">
        <f>IF($B107=1,$G$9,IF(N(Vintage_Input!Q55)&gt;0,Vintage_Input!Y55/Vintage_Input!Q55,""))</f>
        <v/>
      </c>
      <c r="R107" s="152">
        <f>IF($B107=1,$H$9,IF(N(Vintage_Input!R55)&gt;0,Vintage_Input!Z55/Vintage_Input!R55,""))</f>
        <v/>
      </c>
      <c r="S107" s="152">
        <f>IF($B107=1,$I$9,IF(N(Vintage_Input!S55)&gt;0,Vintage_Input!AA55/Vintage_Input!S55,""))</f>
        <v/>
      </c>
      <c r="T107" s="152">
        <f>IF($B107=1,$B$10,IF(N(Vintage_Input!L55)&gt;0,Vintage_Input!AB55/Vintage_Input!L55,""))</f>
        <v/>
      </c>
      <c r="U107" s="152">
        <f>IF($B107=1,$C$10,IF(N(Vintage_Input!M55)&gt;0,Vintage_Input!AC55/Vintage_Input!M55,""))</f>
        <v/>
      </c>
      <c r="V107" s="152">
        <f>IF($B107=1,$D$10,IF(N(Vintage_Input!N55)&gt;0,Vintage_Input!AD55/Vintage_Input!N55,""))</f>
        <v/>
      </c>
      <c r="W107" s="152">
        <f>IF($B107=1,$E$10,IF(N(Vintage_Input!O55)&gt;0,Vintage_Input!AE55/Vintage_Input!O55,""))</f>
        <v/>
      </c>
      <c r="X107" s="152">
        <f>IF($B107=1,$F$10,IF(N(Vintage_Input!P55)&gt;0,Vintage_Input!AF55/Vintage_Input!P55,""))</f>
        <v/>
      </c>
      <c r="Y107" s="152">
        <f>IF($B107=1,$G$10,IF(N(Vintage_Input!Q55)&gt;0,Vintage_Input!AG55/Vintage_Input!Q55,""))</f>
        <v/>
      </c>
      <c r="Z107" s="152">
        <f>IF($B107=1,$H$10,IF(N(Vintage_Input!R55)&gt;0,Vintage_Input!AH55/Vintage_Input!R55,""))</f>
        <v/>
      </c>
      <c r="AA107" s="152">
        <f>IF($B107=1,$I$10,IF(N(Vintage_Input!S55)&gt;0,Vintage_Input!AI55/Vintage_Input!S55,""))</f>
        <v/>
      </c>
      <c r="AB107" s="152">
        <f>IF($B107=1,$B$11,IF(N(Vintage_Input!L55)&gt;0,Vintage_Input!AJ55/Vintage_Input!L55,""))</f>
        <v/>
      </c>
      <c r="AC107" s="152">
        <f>IF($B107=1,$C$11,IF(N(Vintage_Input!M55)&gt;0,Vintage_Input!AK55/Vintage_Input!M55,""))</f>
        <v/>
      </c>
      <c r="AD107" s="152">
        <f>IF($B107=1,$D$11,IF(N(Vintage_Input!N55)&gt;0,Vintage_Input!AL55/Vintage_Input!N55,""))</f>
        <v/>
      </c>
      <c r="AE107" s="152">
        <f>IF($B107=1,$E$11,IF(N(Vintage_Input!O55)&gt;0,Vintage_Input!AM55/Vintage_Input!O55,""))</f>
        <v/>
      </c>
      <c r="AF107" s="152">
        <f>IF($B107=1,$F$11,IF(N(Vintage_Input!P55)&gt;0,Vintage_Input!AN55/Vintage_Input!P55,""))</f>
        <v/>
      </c>
      <c r="AG107" s="152">
        <f>IF($B107=1,$G$11,IF(N(Vintage_Input!Q55)&gt;0,Vintage_Input!AO55/Vintage_Input!Q55,""))</f>
        <v/>
      </c>
      <c r="AH107" s="152">
        <f>IF($B107=1,$H$11,IF(N(Vintage_Input!R55)&gt;0,Vintage_Input!AP55/Vintage_Input!R55,""))</f>
        <v/>
      </c>
      <c r="AI107" s="152">
        <f>IF($B107=1,$I$11,IF(N(Vintage_Input!S55)&gt;0,Vintage_Input!AQ55/Vintage_Input!S55,""))</f>
        <v/>
      </c>
      <c r="AJ107" s="152">
        <f>IF($B107=1,$B$12,IF(N(Vintage_Input!L55)&gt;0,IFERROR(Vintage_Input!AR55/Vintage_Input!AJ55,""),""))</f>
        <v/>
      </c>
      <c r="AK107" s="152">
        <f>IF($B107=1,$C$12,IF(N(Vintage_Input!M55)&gt;0,IFERROR(Vintage_Input!AS55/Vintage_Input!AK55,""),""))</f>
        <v/>
      </c>
      <c r="AL107" s="152">
        <f>IF($B107=1,$D$12,IF(N(Vintage_Input!N55)&gt;0,IFERROR(Vintage_Input!AT55/Vintage_Input!AL55,""),""))</f>
        <v/>
      </c>
      <c r="AM107" s="152">
        <f>IF($B107=1,$E$12,IF(N(Vintage_Input!O55)&gt;0,IFERROR(Vintage_Input!AU55/Vintage_Input!AM55,""),""))</f>
        <v/>
      </c>
      <c r="AN107" s="152">
        <f>IF($B107=1,$F$12,IF(N(Vintage_Input!P55)&gt;0,IFERROR(Vintage_Input!AV55/Vintage_Input!AN55,""),""))</f>
        <v/>
      </c>
      <c r="AO107" s="152">
        <f>IF($B107=1,$G$12,IF(N(Vintage_Input!Q55)&gt;0,IFERROR(Vintage_Input!AW55/Vintage_Input!AO55,""),""))</f>
        <v/>
      </c>
      <c r="AP107" s="152">
        <f>IF($B107=1,$H$12,IF(N(Vintage_Input!R55)&gt;0,IFERROR(Vintage_Input!AX55/Vintage_Input!AP55,""),""))</f>
        <v/>
      </c>
      <c r="AQ107" s="152">
        <f>IF($B107=1,$I$12,IF(N(Vintage_Input!S55)&gt;0,IFERROR(Vintage_Input!AY55/Vintage_Input!AQ55,""),""))</f>
        <v/>
      </c>
      <c r="AR107" s="152">
        <f>IF($B107=1,$B$13,IF(N(Vintage_Input!L55)&gt;0,IFERROR(Vintage_Input!AZ55/$C107,""),""))</f>
        <v/>
      </c>
      <c r="AS107" s="152">
        <f>IF($B107=1,$C$13,IF(N(Vintage_Input!M55)&gt;0,IFERROR(Vintage_Input!BA55/$C107,""),""))</f>
        <v/>
      </c>
      <c r="AT107" s="152">
        <f>IF($B107=1,$D$13,IF(N(Vintage_Input!N55)&gt;0,IFERROR(Vintage_Input!BB55/$C107,""),""))</f>
        <v/>
      </c>
      <c r="AU107" s="152">
        <f>IF($B107=1,$E$13,IF(N(Vintage_Input!O55)&gt;0,IFERROR(Vintage_Input!BC55/$C107,""),""))</f>
        <v/>
      </c>
      <c r="AV107" s="152">
        <f>IF($B107=1,$F$13,IF(N(Vintage_Input!P55)&gt;0,IFERROR(Vintage_Input!BD55/$C107,""),""))</f>
        <v/>
      </c>
      <c r="AW107" s="152">
        <f>IF($B107=1,$G$13,IF(N(Vintage_Input!Q55)&gt;0,IFERROR(Vintage_Input!BE55/$C107,""),""))</f>
        <v/>
      </c>
      <c r="AX107" s="152">
        <f>IF($B107=1,$H$13,IF(N(Vintage_Input!R55)&gt;0,IFERROR(Vintage_Input!BF55/$C107,""),""))</f>
        <v/>
      </c>
      <c r="AY107" s="152">
        <f>IF($B107=1,$I$13,IF(N(Vintage_Input!S55)&gt;0,IFERROR(Vintage_Input!BG55/$C107,""),""))</f>
        <v/>
      </c>
      <c r="AZ107" s="153">
        <f>IF($B107=1,$B$14,IF(N(Vintage_Input!L55)&gt;0,IFERROR((Vintage_Input!D55+Vintage_Input!AR55)/$C107+Products!$C$14-(Products!$C$43+Products!$C$19+Products!$C$43*Products!$C$22+Products!$C$44),""),""))</f>
        <v/>
      </c>
      <c r="BA107" s="153">
        <f>IF($B107=1,$C$14,IF(N(Vintage_Input!M55)&gt;0,IFERROR((Vintage_Input!E55+Vintage_Input!AS55)/$C107+Products!$C$14-(Products!$C$43+Products!$C$19+Products!$C$43*Products!$C$22+Products!$C$44),""),""))</f>
        <v/>
      </c>
      <c r="BB107" s="153">
        <f>IF($B107=1,$D$14,IF(N(Vintage_Input!N55)&gt;0,IFERROR((Vintage_Input!F55+Vintage_Input!AT55)/$C107+Products!$C$14-(Products!$C$43+Products!$C$19+Products!$C$43*Products!$C$22+Products!$C$44),""),""))</f>
        <v/>
      </c>
      <c r="BC107" s="153">
        <f>IF($B107=1,$E$14,IF(N(Vintage_Input!O55)&gt;0,IFERROR((Vintage_Input!G55+Vintage_Input!AU55)/$C107+Products!$C$14-(Products!$C$43+Products!$C$19+Products!$C$43*Products!$C$22+Products!$C$44),""),""))</f>
        <v/>
      </c>
      <c r="BD107" s="153">
        <f>IF($B107=1,$F$14,IF(N(Vintage_Input!P55)&gt;0,IFERROR((Vintage_Input!H55+Vintage_Input!AV55)/$C107+Products!$C$14-(Products!$C$43+Products!$C$19+Products!$C$43*Products!$C$22+Products!$C$44),""),""))</f>
        <v/>
      </c>
      <c r="BE107" s="153">
        <f>IF($B107=1,$G$14,IF(N(Vintage_Input!Q55)&gt;0,IFERROR((Vintage_Input!I55+Vintage_Input!AW55)/$C107+Products!$C$14-(Products!$C$43+Products!$C$19+Products!$C$43*Products!$C$22+Products!$C$44),""),""))</f>
        <v/>
      </c>
      <c r="BF107" s="153">
        <f>IF($B107=1,$H$14,IF(N(Vintage_Input!R55)&gt;0,IFERROR((Vintage_Input!J55+Vintage_Input!AX55)/$C107+Products!$C$14-(Products!$C$43+Products!$C$19+Products!$C$43*Products!$C$22+Products!$C$44),""),""))</f>
        <v/>
      </c>
      <c r="BG107" s="153">
        <f>IF($B107=1,$I$14,IF(N(Vintage_Input!S55)&gt;0,IFERROR((Vintage_Input!K55+Vintage_Input!AY55)/$C107+Products!$C$14-(Products!$C$43+Products!$C$19+Products!$C$43*Products!$C$22+Products!$C$44),""),""))</f>
        <v/>
      </c>
      <c r="BH107" s="81">
        <f>IF($B107=1,0,IF(Vintage_Input!$BH$55="","",Vintage_Input!$BH$55))</f>
        <v/>
      </c>
    </row>
    <row r="108">
      <c r="A108" s="23" t="n">
        <v>48</v>
      </c>
      <c r="B108" s="48">
        <f>Vintage_Input!$B$56</f>
        <v/>
      </c>
      <c r="C108" s="41">
        <f>IF(Vintage_Input!$C$56="",0,Vintage_Input!$C$56)</f>
        <v/>
      </c>
      <c r="D108" s="152">
        <f>IF($B108=1,$B$8,IF(N(Vintage_Input!L56)&gt;0,Vintage_Input!D56/Vintage_Input!L56,""))</f>
        <v/>
      </c>
      <c r="E108" s="152">
        <f>IF($B108=1,$C$8,IF(N(Vintage_Input!M56)&gt;0,Vintage_Input!E56/Vintage_Input!M56,""))</f>
        <v/>
      </c>
      <c r="F108" s="152">
        <f>IF($B108=1,$D$8,IF(N(Vintage_Input!N56)&gt;0,Vintage_Input!F56/Vintage_Input!N56,""))</f>
        <v/>
      </c>
      <c r="G108" s="152">
        <f>IF($B108=1,$E$8,IF(N(Vintage_Input!O56)&gt;0,Vintage_Input!G56/Vintage_Input!O56,""))</f>
        <v/>
      </c>
      <c r="H108" s="152">
        <f>IF($B108=1,$F$8,IF(N(Vintage_Input!P56)&gt;0,Vintage_Input!H56/Vintage_Input!P56,""))</f>
        <v/>
      </c>
      <c r="I108" s="152">
        <f>IF($B108=1,$G$8,IF(N(Vintage_Input!Q56)&gt;0,Vintage_Input!I56/Vintage_Input!Q56,""))</f>
        <v/>
      </c>
      <c r="J108" s="152">
        <f>IF($B108=1,$H$8,IF(N(Vintage_Input!R56)&gt;0,Vintage_Input!J56/Vintage_Input!R56,""))</f>
        <v/>
      </c>
      <c r="K108" s="152">
        <f>IF($B108=1,$I$8,IF(N(Vintage_Input!S56)&gt;0,Vintage_Input!K56/Vintage_Input!S56,""))</f>
        <v/>
      </c>
      <c r="L108" s="152">
        <f>IF($B108=1,$B$9,IF(N(Vintage_Input!L56)&gt;0,Vintage_Input!T56/Vintage_Input!L56,""))</f>
        <v/>
      </c>
      <c r="M108" s="152">
        <f>IF($B108=1,$C$9,IF(N(Vintage_Input!M56)&gt;0,Vintage_Input!U56/Vintage_Input!M56,""))</f>
        <v/>
      </c>
      <c r="N108" s="152">
        <f>IF($B108=1,$D$9,IF(N(Vintage_Input!N56)&gt;0,Vintage_Input!V56/Vintage_Input!N56,""))</f>
        <v/>
      </c>
      <c r="O108" s="152">
        <f>IF($B108=1,$E$9,IF(N(Vintage_Input!O56)&gt;0,Vintage_Input!W56/Vintage_Input!O56,""))</f>
        <v/>
      </c>
      <c r="P108" s="152">
        <f>IF($B108=1,$F$9,IF(N(Vintage_Input!P56)&gt;0,Vintage_Input!X56/Vintage_Input!P56,""))</f>
        <v/>
      </c>
      <c r="Q108" s="152">
        <f>IF($B108=1,$G$9,IF(N(Vintage_Input!Q56)&gt;0,Vintage_Input!Y56/Vintage_Input!Q56,""))</f>
        <v/>
      </c>
      <c r="R108" s="152">
        <f>IF($B108=1,$H$9,IF(N(Vintage_Input!R56)&gt;0,Vintage_Input!Z56/Vintage_Input!R56,""))</f>
        <v/>
      </c>
      <c r="S108" s="152">
        <f>IF($B108=1,$I$9,IF(N(Vintage_Input!S56)&gt;0,Vintage_Input!AA56/Vintage_Input!S56,""))</f>
        <v/>
      </c>
      <c r="T108" s="152">
        <f>IF($B108=1,$B$10,IF(N(Vintage_Input!L56)&gt;0,Vintage_Input!AB56/Vintage_Input!L56,""))</f>
        <v/>
      </c>
      <c r="U108" s="152">
        <f>IF($B108=1,$C$10,IF(N(Vintage_Input!M56)&gt;0,Vintage_Input!AC56/Vintage_Input!M56,""))</f>
        <v/>
      </c>
      <c r="V108" s="152">
        <f>IF($B108=1,$D$10,IF(N(Vintage_Input!N56)&gt;0,Vintage_Input!AD56/Vintage_Input!N56,""))</f>
        <v/>
      </c>
      <c r="W108" s="152">
        <f>IF($B108=1,$E$10,IF(N(Vintage_Input!O56)&gt;0,Vintage_Input!AE56/Vintage_Input!O56,""))</f>
        <v/>
      </c>
      <c r="X108" s="152">
        <f>IF($B108=1,$F$10,IF(N(Vintage_Input!P56)&gt;0,Vintage_Input!AF56/Vintage_Input!P56,""))</f>
        <v/>
      </c>
      <c r="Y108" s="152">
        <f>IF($B108=1,$G$10,IF(N(Vintage_Input!Q56)&gt;0,Vintage_Input!AG56/Vintage_Input!Q56,""))</f>
        <v/>
      </c>
      <c r="Z108" s="152">
        <f>IF($B108=1,$H$10,IF(N(Vintage_Input!R56)&gt;0,Vintage_Input!AH56/Vintage_Input!R56,""))</f>
        <v/>
      </c>
      <c r="AA108" s="152">
        <f>IF($B108=1,$I$10,IF(N(Vintage_Input!S56)&gt;0,Vintage_Input!AI56/Vintage_Input!S56,""))</f>
        <v/>
      </c>
      <c r="AB108" s="152">
        <f>IF($B108=1,$B$11,IF(N(Vintage_Input!L56)&gt;0,Vintage_Input!AJ56/Vintage_Input!L56,""))</f>
        <v/>
      </c>
      <c r="AC108" s="152">
        <f>IF($B108=1,$C$11,IF(N(Vintage_Input!M56)&gt;0,Vintage_Input!AK56/Vintage_Input!M56,""))</f>
        <v/>
      </c>
      <c r="AD108" s="152">
        <f>IF($B108=1,$D$11,IF(N(Vintage_Input!N56)&gt;0,Vintage_Input!AL56/Vintage_Input!N56,""))</f>
        <v/>
      </c>
      <c r="AE108" s="152">
        <f>IF($B108=1,$E$11,IF(N(Vintage_Input!O56)&gt;0,Vintage_Input!AM56/Vintage_Input!O56,""))</f>
        <v/>
      </c>
      <c r="AF108" s="152">
        <f>IF($B108=1,$F$11,IF(N(Vintage_Input!P56)&gt;0,Vintage_Input!AN56/Vintage_Input!P56,""))</f>
        <v/>
      </c>
      <c r="AG108" s="152">
        <f>IF($B108=1,$G$11,IF(N(Vintage_Input!Q56)&gt;0,Vintage_Input!AO56/Vintage_Input!Q56,""))</f>
        <v/>
      </c>
      <c r="AH108" s="152">
        <f>IF($B108=1,$H$11,IF(N(Vintage_Input!R56)&gt;0,Vintage_Input!AP56/Vintage_Input!R56,""))</f>
        <v/>
      </c>
      <c r="AI108" s="152">
        <f>IF($B108=1,$I$11,IF(N(Vintage_Input!S56)&gt;0,Vintage_Input!AQ56/Vintage_Input!S56,""))</f>
        <v/>
      </c>
      <c r="AJ108" s="152">
        <f>IF($B108=1,$B$12,IF(N(Vintage_Input!L56)&gt;0,IFERROR(Vintage_Input!AR56/Vintage_Input!AJ56,""),""))</f>
        <v/>
      </c>
      <c r="AK108" s="152">
        <f>IF($B108=1,$C$12,IF(N(Vintage_Input!M56)&gt;0,IFERROR(Vintage_Input!AS56/Vintage_Input!AK56,""),""))</f>
        <v/>
      </c>
      <c r="AL108" s="152">
        <f>IF($B108=1,$D$12,IF(N(Vintage_Input!N56)&gt;0,IFERROR(Vintage_Input!AT56/Vintage_Input!AL56,""),""))</f>
        <v/>
      </c>
      <c r="AM108" s="152">
        <f>IF($B108=1,$E$12,IF(N(Vintage_Input!O56)&gt;0,IFERROR(Vintage_Input!AU56/Vintage_Input!AM56,""),""))</f>
        <v/>
      </c>
      <c r="AN108" s="152">
        <f>IF($B108=1,$F$12,IF(N(Vintage_Input!P56)&gt;0,IFERROR(Vintage_Input!AV56/Vintage_Input!AN56,""),""))</f>
        <v/>
      </c>
      <c r="AO108" s="152">
        <f>IF($B108=1,$G$12,IF(N(Vintage_Input!Q56)&gt;0,IFERROR(Vintage_Input!AW56/Vintage_Input!AO56,""),""))</f>
        <v/>
      </c>
      <c r="AP108" s="152">
        <f>IF($B108=1,$H$12,IF(N(Vintage_Input!R56)&gt;0,IFERROR(Vintage_Input!AX56/Vintage_Input!AP56,""),""))</f>
        <v/>
      </c>
      <c r="AQ108" s="152">
        <f>IF($B108=1,$I$12,IF(N(Vintage_Input!S56)&gt;0,IFERROR(Vintage_Input!AY56/Vintage_Input!AQ56,""),""))</f>
        <v/>
      </c>
      <c r="AR108" s="152">
        <f>IF($B108=1,$B$13,IF(N(Vintage_Input!L56)&gt;0,IFERROR(Vintage_Input!AZ56/$C108,""),""))</f>
        <v/>
      </c>
      <c r="AS108" s="152">
        <f>IF($B108=1,$C$13,IF(N(Vintage_Input!M56)&gt;0,IFERROR(Vintage_Input!BA56/$C108,""),""))</f>
        <v/>
      </c>
      <c r="AT108" s="152">
        <f>IF($B108=1,$D$13,IF(N(Vintage_Input!N56)&gt;0,IFERROR(Vintage_Input!BB56/$C108,""),""))</f>
        <v/>
      </c>
      <c r="AU108" s="152">
        <f>IF($B108=1,$E$13,IF(N(Vintage_Input!O56)&gt;0,IFERROR(Vintage_Input!BC56/$C108,""),""))</f>
        <v/>
      </c>
      <c r="AV108" s="152">
        <f>IF($B108=1,$F$13,IF(N(Vintage_Input!P56)&gt;0,IFERROR(Vintage_Input!BD56/$C108,""),""))</f>
        <v/>
      </c>
      <c r="AW108" s="152">
        <f>IF($B108=1,$G$13,IF(N(Vintage_Input!Q56)&gt;0,IFERROR(Vintage_Input!BE56/$C108,""),""))</f>
        <v/>
      </c>
      <c r="AX108" s="152">
        <f>IF($B108=1,$H$13,IF(N(Vintage_Input!R56)&gt;0,IFERROR(Vintage_Input!BF56/$C108,""),""))</f>
        <v/>
      </c>
      <c r="AY108" s="152">
        <f>IF($B108=1,$I$13,IF(N(Vintage_Input!S56)&gt;0,IFERROR(Vintage_Input!BG56/$C108,""),""))</f>
        <v/>
      </c>
      <c r="AZ108" s="153">
        <f>IF($B108=1,$B$14,IF(N(Vintage_Input!L56)&gt;0,IFERROR((Vintage_Input!D56+Vintage_Input!AR56)/$C108+Products!$C$14-(Products!$C$43+Products!$C$19+Products!$C$43*Products!$C$22+Products!$C$44),""),""))</f>
        <v/>
      </c>
      <c r="BA108" s="153">
        <f>IF($B108=1,$C$14,IF(N(Vintage_Input!M56)&gt;0,IFERROR((Vintage_Input!E56+Vintage_Input!AS56)/$C108+Products!$C$14-(Products!$C$43+Products!$C$19+Products!$C$43*Products!$C$22+Products!$C$44),""),""))</f>
        <v/>
      </c>
      <c r="BB108" s="153">
        <f>IF($B108=1,$D$14,IF(N(Vintage_Input!N56)&gt;0,IFERROR((Vintage_Input!F56+Vintage_Input!AT56)/$C108+Products!$C$14-(Products!$C$43+Products!$C$19+Products!$C$43*Products!$C$22+Products!$C$44),""),""))</f>
        <v/>
      </c>
      <c r="BC108" s="153">
        <f>IF($B108=1,$E$14,IF(N(Vintage_Input!O56)&gt;0,IFERROR((Vintage_Input!G56+Vintage_Input!AU56)/$C108+Products!$C$14-(Products!$C$43+Products!$C$19+Products!$C$43*Products!$C$22+Products!$C$44),""),""))</f>
        <v/>
      </c>
      <c r="BD108" s="153">
        <f>IF($B108=1,$F$14,IF(N(Vintage_Input!P56)&gt;0,IFERROR((Vintage_Input!H56+Vintage_Input!AV56)/$C108+Products!$C$14-(Products!$C$43+Products!$C$19+Products!$C$43*Products!$C$22+Products!$C$44),""),""))</f>
        <v/>
      </c>
      <c r="BE108" s="153">
        <f>IF($B108=1,$G$14,IF(N(Vintage_Input!Q56)&gt;0,IFERROR((Vintage_Input!I56+Vintage_Input!AW56)/$C108+Products!$C$14-(Products!$C$43+Products!$C$19+Products!$C$43*Products!$C$22+Products!$C$44),""),""))</f>
        <v/>
      </c>
      <c r="BF108" s="153">
        <f>IF($B108=1,$H$14,IF(N(Vintage_Input!R56)&gt;0,IFERROR((Vintage_Input!J56+Vintage_Input!AX56)/$C108+Products!$C$14-(Products!$C$43+Products!$C$19+Products!$C$43*Products!$C$22+Products!$C$44),""),""))</f>
        <v/>
      </c>
      <c r="BG108" s="153">
        <f>IF($B108=1,$I$14,IF(N(Vintage_Input!S56)&gt;0,IFERROR((Vintage_Input!K56+Vintage_Input!AY56)/$C108+Products!$C$14-(Products!$C$43+Products!$C$19+Products!$C$43*Products!$C$22+Products!$C$44),""),""))</f>
        <v/>
      </c>
      <c r="BH108" s="81">
        <f>IF($B108=1,0,IF(Vintage_Input!$BH$56="","",Vintage_Input!$BH$56))</f>
        <v/>
      </c>
    </row>
    <row r="109">
      <c r="A109" s="23" t="n">
        <v>49</v>
      </c>
      <c r="B109" s="48">
        <f>Vintage_Input!$B$57</f>
        <v/>
      </c>
      <c r="C109" s="41">
        <f>IF(Vintage_Input!$C$57="",0,Vintage_Input!$C$57)</f>
        <v/>
      </c>
      <c r="D109" s="152">
        <f>IF($B109=1,$B$8,IF(N(Vintage_Input!L57)&gt;0,Vintage_Input!D57/Vintage_Input!L57,""))</f>
        <v/>
      </c>
      <c r="E109" s="152">
        <f>IF($B109=1,$C$8,IF(N(Vintage_Input!M57)&gt;0,Vintage_Input!E57/Vintage_Input!M57,""))</f>
        <v/>
      </c>
      <c r="F109" s="152">
        <f>IF($B109=1,$D$8,IF(N(Vintage_Input!N57)&gt;0,Vintage_Input!F57/Vintage_Input!N57,""))</f>
        <v/>
      </c>
      <c r="G109" s="152">
        <f>IF($B109=1,$E$8,IF(N(Vintage_Input!O57)&gt;0,Vintage_Input!G57/Vintage_Input!O57,""))</f>
        <v/>
      </c>
      <c r="H109" s="152">
        <f>IF($B109=1,$F$8,IF(N(Vintage_Input!P57)&gt;0,Vintage_Input!H57/Vintage_Input!P57,""))</f>
        <v/>
      </c>
      <c r="I109" s="152">
        <f>IF($B109=1,$G$8,IF(N(Vintage_Input!Q57)&gt;0,Vintage_Input!I57/Vintage_Input!Q57,""))</f>
        <v/>
      </c>
      <c r="J109" s="152">
        <f>IF($B109=1,$H$8,IF(N(Vintage_Input!R57)&gt;0,Vintage_Input!J57/Vintage_Input!R57,""))</f>
        <v/>
      </c>
      <c r="K109" s="152">
        <f>IF($B109=1,$I$8,IF(N(Vintage_Input!S57)&gt;0,Vintage_Input!K57/Vintage_Input!S57,""))</f>
        <v/>
      </c>
      <c r="L109" s="152">
        <f>IF($B109=1,$B$9,IF(N(Vintage_Input!L57)&gt;0,Vintage_Input!T57/Vintage_Input!L57,""))</f>
        <v/>
      </c>
      <c r="M109" s="152">
        <f>IF($B109=1,$C$9,IF(N(Vintage_Input!M57)&gt;0,Vintage_Input!U57/Vintage_Input!M57,""))</f>
        <v/>
      </c>
      <c r="N109" s="152">
        <f>IF($B109=1,$D$9,IF(N(Vintage_Input!N57)&gt;0,Vintage_Input!V57/Vintage_Input!N57,""))</f>
        <v/>
      </c>
      <c r="O109" s="152">
        <f>IF($B109=1,$E$9,IF(N(Vintage_Input!O57)&gt;0,Vintage_Input!W57/Vintage_Input!O57,""))</f>
        <v/>
      </c>
      <c r="P109" s="152">
        <f>IF($B109=1,$F$9,IF(N(Vintage_Input!P57)&gt;0,Vintage_Input!X57/Vintage_Input!P57,""))</f>
        <v/>
      </c>
      <c r="Q109" s="152">
        <f>IF($B109=1,$G$9,IF(N(Vintage_Input!Q57)&gt;0,Vintage_Input!Y57/Vintage_Input!Q57,""))</f>
        <v/>
      </c>
      <c r="R109" s="152">
        <f>IF($B109=1,$H$9,IF(N(Vintage_Input!R57)&gt;0,Vintage_Input!Z57/Vintage_Input!R57,""))</f>
        <v/>
      </c>
      <c r="S109" s="152">
        <f>IF($B109=1,$I$9,IF(N(Vintage_Input!S57)&gt;0,Vintage_Input!AA57/Vintage_Input!S57,""))</f>
        <v/>
      </c>
      <c r="T109" s="152">
        <f>IF($B109=1,$B$10,IF(N(Vintage_Input!L57)&gt;0,Vintage_Input!AB57/Vintage_Input!L57,""))</f>
        <v/>
      </c>
      <c r="U109" s="152">
        <f>IF($B109=1,$C$10,IF(N(Vintage_Input!M57)&gt;0,Vintage_Input!AC57/Vintage_Input!M57,""))</f>
        <v/>
      </c>
      <c r="V109" s="152">
        <f>IF($B109=1,$D$10,IF(N(Vintage_Input!N57)&gt;0,Vintage_Input!AD57/Vintage_Input!N57,""))</f>
        <v/>
      </c>
      <c r="W109" s="152">
        <f>IF($B109=1,$E$10,IF(N(Vintage_Input!O57)&gt;0,Vintage_Input!AE57/Vintage_Input!O57,""))</f>
        <v/>
      </c>
      <c r="X109" s="152">
        <f>IF($B109=1,$F$10,IF(N(Vintage_Input!P57)&gt;0,Vintage_Input!AF57/Vintage_Input!P57,""))</f>
        <v/>
      </c>
      <c r="Y109" s="152">
        <f>IF($B109=1,$G$10,IF(N(Vintage_Input!Q57)&gt;0,Vintage_Input!AG57/Vintage_Input!Q57,""))</f>
        <v/>
      </c>
      <c r="Z109" s="152">
        <f>IF($B109=1,$H$10,IF(N(Vintage_Input!R57)&gt;0,Vintage_Input!AH57/Vintage_Input!R57,""))</f>
        <v/>
      </c>
      <c r="AA109" s="152">
        <f>IF($B109=1,$I$10,IF(N(Vintage_Input!S57)&gt;0,Vintage_Input!AI57/Vintage_Input!S57,""))</f>
        <v/>
      </c>
      <c r="AB109" s="152">
        <f>IF($B109=1,$B$11,IF(N(Vintage_Input!L57)&gt;0,Vintage_Input!AJ57/Vintage_Input!L57,""))</f>
        <v/>
      </c>
      <c r="AC109" s="152">
        <f>IF($B109=1,$C$11,IF(N(Vintage_Input!M57)&gt;0,Vintage_Input!AK57/Vintage_Input!M57,""))</f>
        <v/>
      </c>
      <c r="AD109" s="152">
        <f>IF($B109=1,$D$11,IF(N(Vintage_Input!N57)&gt;0,Vintage_Input!AL57/Vintage_Input!N57,""))</f>
        <v/>
      </c>
      <c r="AE109" s="152">
        <f>IF($B109=1,$E$11,IF(N(Vintage_Input!O57)&gt;0,Vintage_Input!AM57/Vintage_Input!O57,""))</f>
        <v/>
      </c>
      <c r="AF109" s="152">
        <f>IF($B109=1,$F$11,IF(N(Vintage_Input!P57)&gt;0,Vintage_Input!AN57/Vintage_Input!P57,""))</f>
        <v/>
      </c>
      <c r="AG109" s="152">
        <f>IF($B109=1,$G$11,IF(N(Vintage_Input!Q57)&gt;0,Vintage_Input!AO57/Vintage_Input!Q57,""))</f>
        <v/>
      </c>
      <c r="AH109" s="152">
        <f>IF($B109=1,$H$11,IF(N(Vintage_Input!R57)&gt;0,Vintage_Input!AP57/Vintage_Input!R57,""))</f>
        <v/>
      </c>
      <c r="AI109" s="152">
        <f>IF($B109=1,$I$11,IF(N(Vintage_Input!S57)&gt;0,Vintage_Input!AQ57/Vintage_Input!S57,""))</f>
        <v/>
      </c>
      <c r="AJ109" s="152">
        <f>IF($B109=1,$B$12,IF(N(Vintage_Input!L57)&gt;0,IFERROR(Vintage_Input!AR57/Vintage_Input!AJ57,""),""))</f>
        <v/>
      </c>
      <c r="AK109" s="152">
        <f>IF($B109=1,$C$12,IF(N(Vintage_Input!M57)&gt;0,IFERROR(Vintage_Input!AS57/Vintage_Input!AK57,""),""))</f>
        <v/>
      </c>
      <c r="AL109" s="152">
        <f>IF($B109=1,$D$12,IF(N(Vintage_Input!N57)&gt;0,IFERROR(Vintage_Input!AT57/Vintage_Input!AL57,""),""))</f>
        <v/>
      </c>
      <c r="AM109" s="152">
        <f>IF($B109=1,$E$12,IF(N(Vintage_Input!O57)&gt;0,IFERROR(Vintage_Input!AU57/Vintage_Input!AM57,""),""))</f>
        <v/>
      </c>
      <c r="AN109" s="152">
        <f>IF($B109=1,$F$12,IF(N(Vintage_Input!P57)&gt;0,IFERROR(Vintage_Input!AV57/Vintage_Input!AN57,""),""))</f>
        <v/>
      </c>
      <c r="AO109" s="152">
        <f>IF($B109=1,$G$12,IF(N(Vintage_Input!Q57)&gt;0,IFERROR(Vintage_Input!AW57/Vintage_Input!AO57,""),""))</f>
        <v/>
      </c>
      <c r="AP109" s="152">
        <f>IF($B109=1,$H$12,IF(N(Vintage_Input!R57)&gt;0,IFERROR(Vintage_Input!AX57/Vintage_Input!AP57,""),""))</f>
        <v/>
      </c>
      <c r="AQ109" s="152">
        <f>IF($B109=1,$I$12,IF(N(Vintage_Input!S57)&gt;0,IFERROR(Vintage_Input!AY57/Vintage_Input!AQ57,""),""))</f>
        <v/>
      </c>
      <c r="AR109" s="152">
        <f>IF($B109=1,$B$13,IF(N(Vintage_Input!L57)&gt;0,IFERROR(Vintage_Input!AZ57/$C109,""),""))</f>
        <v/>
      </c>
      <c r="AS109" s="152">
        <f>IF($B109=1,$C$13,IF(N(Vintage_Input!M57)&gt;0,IFERROR(Vintage_Input!BA57/$C109,""),""))</f>
        <v/>
      </c>
      <c r="AT109" s="152">
        <f>IF($B109=1,$D$13,IF(N(Vintage_Input!N57)&gt;0,IFERROR(Vintage_Input!BB57/$C109,""),""))</f>
        <v/>
      </c>
      <c r="AU109" s="152">
        <f>IF($B109=1,$E$13,IF(N(Vintage_Input!O57)&gt;0,IFERROR(Vintage_Input!BC57/$C109,""),""))</f>
        <v/>
      </c>
      <c r="AV109" s="152">
        <f>IF($B109=1,$F$13,IF(N(Vintage_Input!P57)&gt;0,IFERROR(Vintage_Input!BD57/$C109,""),""))</f>
        <v/>
      </c>
      <c r="AW109" s="152">
        <f>IF($B109=1,$G$13,IF(N(Vintage_Input!Q57)&gt;0,IFERROR(Vintage_Input!BE57/$C109,""),""))</f>
        <v/>
      </c>
      <c r="AX109" s="152">
        <f>IF($B109=1,$H$13,IF(N(Vintage_Input!R57)&gt;0,IFERROR(Vintage_Input!BF57/$C109,""),""))</f>
        <v/>
      </c>
      <c r="AY109" s="152">
        <f>IF($B109=1,$I$13,IF(N(Vintage_Input!S57)&gt;0,IFERROR(Vintage_Input!BG57/$C109,""),""))</f>
        <v/>
      </c>
      <c r="AZ109" s="153">
        <f>IF($B109=1,$B$14,IF(N(Vintage_Input!L57)&gt;0,IFERROR((Vintage_Input!D57+Vintage_Input!AR57)/$C109+Products!$C$14-(Products!$C$43+Products!$C$19+Products!$C$43*Products!$C$22+Products!$C$44),""),""))</f>
        <v/>
      </c>
      <c r="BA109" s="153">
        <f>IF($B109=1,$C$14,IF(N(Vintage_Input!M57)&gt;0,IFERROR((Vintage_Input!E57+Vintage_Input!AS57)/$C109+Products!$C$14-(Products!$C$43+Products!$C$19+Products!$C$43*Products!$C$22+Products!$C$44),""),""))</f>
        <v/>
      </c>
      <c r="BB109" s="153">
        <f>IF($B109=1,$D$14,IF(N(Vintage_Input!N57)&gt;0,IFERROR((Vintage_Input!F57+Vintage_Input!AT57)/$C109+Products!$C$14-(Products!$C$43+Products!$C$19+Products!$C$43*Products!$C$22+Products!$C$44),""),""))</f>
        <v/>
      </c>
      <c r="BC109" s="153">
        <f>IF($B109=1,$E$14,IF(N(Vintage_Input!O57)&gt;0,IFERROR((Vintage_Input!G57+Vintage_Input!AU57)/$C109+Products!$C$14-(Products!$C$43+Products!$C$19+Products!$C$43*Products!$C$22+Products!$C$44),""),""))</f>
        <v/>
      </c>
      <c r="BD109" s="153">
        <f>IF($B109=1,$F$14,IF(N(Vintage_Input!P57)&gt;0,IFERROR((Vintage_Input!H57+Vintage_Input!AV57)/$C109+Products!$C$14-(Products!$C$43+Products!$C$19+Products!$C$43*Products!$C$22+Products!$C$44),""),""))</f>
        <v/>
      </c>
      <c r="BE109" s="153">
        <f>IF($B109=1,$G$14,IF(N(Vintage_Input!Q57)&gt;0,IFERROR((Vintage_Input!I57+Vintage_Input!AW57)/$C109+Products!$C$14-(Products!$C$43+Products!$C$19+Products!$C$43*Products!$C$22+Products!$C$44),""),""))</f>
        <v/>
      </c>
      <c r="BF109" s="153">
        <f>IF($B109=1,$H$14,IF(N(Vintage_Input!R57)&gt;0,IFERROR((Vintage_Input!J57+Vintage_Input!AX57)/$C109+Products!$C$14-(Products!$C$43+Products!$C$19+Products!$C$43*Products!$C$22+Products!$C$44),""),""))</f>
        <v/>
      </c>
      <c r="BG109" s="153">
        <f>IF($B109=1,$I$14,IF(N(Vintage_Input!S57)&gt;0,IFERROR((Vintage_Input!K57+Vintage_Input!AY57)/$C109+Products!$C$14-(Products!$C$43+Products!$C$19+Products!$C$43*Products!$C$22+Products!$C$44),""),""))</f>
        <v/>
      </c>
      <c r="BH109" s="81">
        <f>IF($B109=1,0,IF(Vintage_Input!$BH$57="","",Vintage_Input!$BH$57))</f>
        <v/>
      </c>
    </row>
    <row r="110">
      <c r="A110" s="23" t="n">
        <v>50</v>
      </c>
      <c r="B110" s="48">
        <f>Vintage_Input!$B$58</f>
        <v/>
      </c>
      <c r="C110" s="41">
        <f>IF(Vintage_Input!$C$58="",0,Vintage_Input!$C$58)</f>
        <v/>
      </c>
      <c r="D110" s="152">
        <f>IF($B110=1,$B$8,IF(N(Vintage_Input!L58)&gt;0,Vintage_Input!D58/Vintage_Input!L58,""))</f>
        <v/>
      </c>
      <c r="E110" s="152">
        <f>IF($B110=1,$C$8,IF(N(Vintage_Input!M58)&gt;0,Vintage_Input!E58/Vintage_Input!M58,""))</f>
        <v/>
      </c>
      <c r="F110" s="152">
        <f>IF($B110=1,$D$8,IF(N(Vintage_Input!N58)&gt;0,Vintage_Input!F58/Vintage_Input!N58,""))</f>
        <v/>
      </c>
      <c r="G110" s="152">
        <f>IF($B110=1,$E$8,IF(N(Vintage_Input!O58)&gt;0,Vintage_Input!G58/Vintage_Input!O58,""))</f>
        <v/>
      </c>
      <c r="H110" s="152">
        <f>IF($B110=1,$F$8,IF(N(Vintage_Input!P58)&gt;0,Vintage_Input!H58/Vintage_Input!P58,""))</f>
        <v/>
      </c>
      <c r="I110" s="152">
        <f>IF($B110=1,$G$8,IF(N(Vintage_Input!Q58)&gt;0,Vintage_Input!I58/Vintage_Input!Q58,""))</f>
        <v/>
      </c>
      <c r="J110" s="152">
        <f>IF($B110=1,$H$8,IF(N(Vintage_Input!R58)&gt;0,Vintage_Input!J58/Vintage_Input!R58,""))</f>
        <v/>
      </c>
      <c r="K110" s="152">
        <f>IF($B110=1,$I$8,IF(N(Vintage_Input!S58)&gt;0,Vintage_Input!K58/Vintage_Input!S58,""))</f>
        <v/>
      </c>
      <c r="L110" s="152">
        <f>IF($B110=1,$B$9,IF(N(Vintage_Input!L58)&gt;0,Vintage_Input!T58/Vintage_Input!L58,""))</f>
        <v/>
      </c>
      <c r="M110" s="152">
        <f>IF($B110=1,$C$9,IF(N(Vintage_Input!M58)&gt;0,Vintage_Input!U58/Vintage_Input!M58,""))</f>
        <v/>
      </c>
      <c r="N110" s="152">
        <f>IF($B110=1,$D$9,IF(N(Vintage_Input!N58)&gt;0,Vintage_Input!V58/Vintage_Input!N58,""))</f>
        <v/>
      </c>
      <c r="O110" s="152">
        <f>IF($B110=1,$E$9,IF(N(Vintage_Input!O58)&gt;0,Vintage_Input!W58/Vintage_Input!O58,""))</f>
        <v/>
      </c>
      <c r="P110" s="152">
        <f>IF($B110=1,$F$9,IF(N(Vintage_Input!P58)&gt;0,Vintage_Input!X58/Vintage_Input!P58,""))</f>
        <v/>
      </c>
      <c r="Q110" s="152">
        <f>IF($B110=1,$G$9,IF(N(Vintage_Input!Q58)&gt;0,Vintage_Input!Y58/Vintage_Input!Q58,""))</f>
        <v/>
      </c>
      <c r="R110" s="152">
        <f>IF($B110=1,$H$9,IF(N(Vintage_Input!R58)&gt;0,Vintage_Input!Z58/Vintage_Input!R58,""))</f>
        <v/>
      </c>
      <c r="S110" s="152">
        <f>IF($B110=1,$I$9,IF(N(Vintage_Input!S58)&gt;0,Vintage_Input!AA58/Vintage_Input!S58,""))</f>
        <v/>
      </c>
      <c r="T110" s="152">
        <f>IF($B110=1,$B$10,IF(N(Vintage_Input!L58)&gt;0,Vintage_Input!AB58/Vintage_Input!L58,""))</f>
        <v/>
      </c>
      <c r="U110" s="152">
        <f>IF($B110=1,$C$10,IF(N(Vintage_Input!M58)&gt;0,Vintage_Input!AC58/Vintage_Input!M58,""))</f>
        <v/>
      </c>
      <c r="V110" s="152">
        <f>IF($B110=1,$D$10,IF(N(Vintage_Input!N58)&gt;0,Vintage_Input!AD58/Vintage_Input!N58,""))</f>
        <v/>
      </c>
      <c r="W110" s="152">
        <f>IF($B110=1,$E$10,IF(N(Vintage_Input!O58)&gt;0,Vintage_Input!AE58/Vintage_Input!O58,""))</f>
        <v/>
      </c>
      <c r="X110" s="152">
        <f>IF($B110=1,$F$10,IF(N(Vintage_Input!P58)&gt;0,Vintage_Input!AF58/Vintage_Input!P58,""))</f>
        <v/>
      </c>
      <c r="Y110" s="152">
        <f>IF($B110=1,$G$10,IF(N(Vintage_Input!Q58)&gt;0,Vintage_Input!AG58/Vintage_Input!Q58,""))</f>
        <v/>
      </c>
      <c r="Z110" s="152">
        <f>IF($B110=1,$H$10,IF(N(Vintage_Input!R58)&gt;0,Vintage_Input!AH58/Vintage_Input!R58,""))</f>
        <v/>
      </c>
      <c r="AA110" s="152">
        <f>IF($B110=1,$I$10,IF(N(Vintage_Input!S58)&gt;0,Vintage_Input!AI58/Vintage_Input!S58,""))</f>
        <v/>
      </c>
      <c r="AB110" s="152">
        <f>IF($B110=1,$B$11,IF(N(Vintage_Input!L58)&gt;0,Vintage_Input!AJ58/Vintage_Input!L58,""))</f>
        <v/>
      </c>
      <c r="AC110" s="152">
        <f>IF($B110=1,$C$11,IF(N(Vintage_Input!M58)&gt;0,Vintage_Input!AK58/Vintage_Input!M58,""))</f>
        <v/>
      </c>
      <c r="AD110" s="152">
        <f>IF($B110=1,$D$11,IF(N(Vintage_Input!N58)&gt;0,Vintage_Input!AL58/Vintage_Input!N58,""))</f>
        <v/>
      </c>
      <c r="AE110" s="152">
        <f>IF($B110=1,$E$11,IF(N(Vintage_Input!O58)&gt;0,Vintage_Input!AM58/Vintage_Input!O58,""))</f>
        <v/>
      </c>
      <c r="AF110" s="152">
        <f>IF($B110=1,$F$11,IF(N(Vintage_Input!P58)&gt;0,Vintage_Input!AN58/Vintage_Input!P58,""))</f>
        <v/>
      </c>
      <c r="AG110" s="152">
        <f>IF($B110=1,$G$11,IF(N(Vintage_Input!Q58)&gt;0,Vintage_Input!AO58/Vintage_Input!Q58,""))</f>
        <v/>
      </c>
      <c r="AH110" s="152">
        <f>IF($B110=1,$H$11,IF(N(Vintage_Input!R58)&gt;0,Vintage_Input!AP58/Vintage_Input!R58,""))</f>
        <v/>
      </c>
      <c r="AI110" s="152">
        <f>IF($B110=1,$I$11,IF(N(Vintage_Input!S58)&gt;0,Vintage_Input!AQ58/Vintage_Input!S58,""))</f>
        <v/>
      </c>
      <c r="AJ110" s="152">
        <f>IF($B110=1,$B$12,IF(N(Vintage_Input!L58)&gt;0,IFERROR(Vintage_Input!AR58/Vintage_Input!AJ58,""),""))</f>
        <v/>
      </c>
      <c r="AK110" s="152">
        <f>IF($B110=1,$C$12,IF(N(Vintage_Input!M58)&gt;0,IFERROR(Vintage_Input!AS58/Vintage_Input!AK58,""),""))</f>
        <v/>
      </c>
      <c r="AL110" s="152">
        <f>IF($B110=1,$D$12,IF(N(Vintage_Input!N58)&gt;0,IFERROR(Vintage_Input!AT58/Vintage_Input!AL58,""),""))</f>
        <v/>
      </c>
      <c r="AM110" s="152">
        <f>IF($B110=1,$E$12,IF(N(Vintage_Input!O58)&gt;0,IFERROR(Vintage_Input!AU58/Vintage_Input!AM58,""),""))</f>
        <v/>
      </c>
      <c r="AN110" s="152">
        <f>IF($B110=1,$F$12,IF(N(Vintage_Input!P58)&gt;0,IFERROR(Vintage_Input!AV58/Vintage_Input!AN58,""),""))</f>
        <v/>
      </c>
      <c r="AO110" s="152">
        <f>IF($B110=1,$G$12,IF(N(Vintage_Input!Q58)&gt;0,IFERROR(Vintage_Input!AW58/Vintage_Input!AO58,""),""))</f>
        <v/>
      </c>
      <c r="AP110" s="152">
        <f>IF($B110=1,$H$12,IF(N(Vintage_Input!R58)&gt;0,IFERROR(Vintage_Input!AX58/Vintage_Input!AP58,""),""))</f>
        <v/>
      </c>
      <c r="AQ110" s="152">
        <f>IF($B110=1,$I$12,IF(N(Vintage_Input!S58)&gt;0,IFERROR(Vintage_Input!AY58/Vintage_Input!AQ58,""),""))</f>
        <v/>
      </c>
      <c r="AR110" s="152">
        <f>IF($B110=1,$B$13,IF(N(Vintage_Input!L58)&gt;0,IFERROR(Vintage_Input!AZ58/$C110,""),""))</f>
        <v/>
      </c>
      <c r="AS110" s="152">
        <f>IF($B110=1,$C$13,IF(N(Vintage_Input!M58)&gt;0,IFERROR(Vintage_Input!BA58/$C110,""),""))</f>
        <v/>
      </c>
      <c r="AT110" s="152">
        <f>IF($B110=1,$D$13,IF(N(Vintage_Input!N58)&gt;0,IFERROR(Vintage_Input!BB58/$C110,""),""))</f>
        <v/>
      </c>
      <c r="AU110" s="152">
        <f>IF($B110=1,$E$13,IF(N(Vintage_Input!O58)&gt;0,IFERROR(Vintage_Input!BC58/$C110,""),""))</f>
        <v/>
      </c>
      <c r="AV110" s="152">
        <f>IF($B110=1,$F$13,IF(N(Vintage_Input!P58)&gt;0,IFERROR(Vintage_Input!BD58/$C110,""),""))</f>
        <v/>
      </c>
      <c r="AW110" s="152">
        <f>IF($B110=1,$G$13,IF(N(Vintage_Input!Q58)&gt;0,IFERROR(Vintage_Input!BE58/$C110,""),""))</f>
        <v/>
      </c>
      <c r="AX110" s="152">
        <f>IF($B110=1,$H$13,IF(N(Vintage_Input!R58)&gt;0,IFERROR(Vintage_Input!BF58/$C110,""),""))</f>
        <v/>
      </c>
      <c r="AY110" s="152">
        <f>IF($B110=1,$I$13,IF(N(Vintage_Input!S58)&gt;0,IFERROR(Vintage_Input!BG58/$C110,""),""))</f>
        <v/>
      </c>
      <c r="AZ110" s="153">
        <f>IF($B110=1,$B$14,IF(N(Vintage_Input!L58)&gt;0,IFERROR((Vintage_Input!D58+Vintage_Input!AR58)/$C110+Products!$C$14-(Products!$C$43+Products!$C$19+Products!$C$43*Products!$C$22+Products!$C$44),""),""))</f>
        <v/>
      </c>
      <c r="BA110" s="153">
        <f>IF($B110=1,$C$14,IF(N(Vintage_Input!M58)&gt;0,IFERROR((Vintage_Input!E58+Vintage_Input!AS58)/$C110+Products!$C$14-(Products!$C$43+Products!$C$19+Products!$C$43*Products!$C$22+Products!$C$44),""),""))</f>
        <v/>
      </c>
      <c r="BB110" s="153">
        <f>IF($B110=1,$D$14,IF(N(Vintage_Input!N58)&gt;0,IFERROR((Vintage_Input!F58+Vintage_Input!AT58)/$C110+Products!$C$14-(Products!$C$43+Products!$C$19+Products!$C$43*Products!$C$22+Products!$C$44),""),""))</f>
        <v/>
      </c>
      <c r="BC110" s="153">
        <f>IF($B110=1,$E$14,IF(N(Vintage_Input!O58)&gt;0,IFERROR((Vintage_Input!G58+Vintage_Input!AU58)/$C110+Products!$C$14-(Products!$C$43+Products!$C$19+Products!$C$43*Products!$C$22+Products!$C$44),""),""))</f>
        <v/>
      </c>
      <c r="BD110" s="153">
        <f>IF($B110=1,$F$14,IF(N(Vintage_Input!P58)&gt;0,IFERROR((Vintage_Input!H58+Vintage_Input!AV58)/$C110+Products!$C$14-(Products!$C$43+Products!$C$19+Products!$C$43*Products!$C$22+Products!$C$44),""),""))</f>
        <v/>
      </c>
      <c r="BE110" s="153">
        <f>IF($B110=1,$G$14,IF(N(Vintage_Input!Q58)&gt;0,IFERROR((Vintage_Input!I58+Vintage_Input!AW58)/$C110+Products!$C$14-(Products!$C$43+Products!$C$19+Products!$C$43*Products!$C$22+Products!$C$44),""),""))</f>
        <v/>
      </c>
      <c r="BF110" s="153">
        <f>IF($B110=1,$H$14,IF(N(Vintage_Input!R58)&gt;0,IFERROR((Vintage_Input!J58+Vintage_Input!AX58)/$C110+Products!$C$14-(Products!$C$43+Products!$C$19+Products!$C$43*Products!$C$22+Products!$C$44),""),""))</f>
        <v/>
      </c>
      <c r="BG110" s="153">
        <f>IF($B110=1,$I$14,IF(N(Vintage_Input!S58)&gt;0,IFERROR((Vintage_Input!K58+Vintage_Input!AY58)/$C110+Products!$C$14-(Products!$C$43+Products!$C$19+Products!$C$43*Products!$C$22+Products!$C$44),""),""))</f>
        <v/>
      </c>
      <c r="BH110" s="81">
        <f>IF($B110=1,0,IF(Vintage_Input!$BH$58="","",Vintage_Input!$BH$58))</f>
        <v/>
      </c>
    </row>
    <row r="111">
      <c r="A111" s="23" t="n">
        <v>51</v>
      </c>
      <c r="B111" s="48">
        <f>Vintage_Input!$B$59</f>
        <v/>
      </c>
      <c r="C111" s="41">
        <f>IF(Vintage_Input!$C$59="",0,Vintage_Input!$C$59)</f>
        <v/>
      </c>
      <c r="D111" s="152">
        <f>IF($B111=1,$B$8,IF(N(Vintage_Input!L59)&gt;0,Vintage_Input!D59/Vintage_Input!L59,""))</f>
        <v/>
      </c>
      <c r="E111" s="152">
        <f>IF($B111=1,$C$8,IF(N(Vintage_Input!M59)&gt;0,Vintage_Input!E59/Vintage_Input!M59,""))</f>
        <v/>
      </c>
      <c r="F111" s="152">
        <f>IF($B111=1,$D$8,IF(N(Vintage_Input!N59)&gt;0,Vintage_Input!F59/Vintage_Input!N59,""))</f>
        <v/>
      </c>
      <c r="G111" s="152">
        <f>IF($B111=1,$E$8,IF(N(Vintage_Input!O59)&gt;0,Vintage_Input!G59/Vintage_Input!O59,""))</f>
        <v/>
      </c>
      <c r="H111" s="152">
        <f>IF($B111=1,$F$8,IF(N(Vintage_Input!P59)&gt;0,Vintage_Input!H59/Vintage_Input!P59,""))</f>
        <v/>
      </c>
      <c r="I111" s="152">
        <f>IF($B111=1,$G$8,IF(N(Vintage_Input!Q59)&gt;0,Vintage_Input!I59/Vintage_Input!Q59,""))</f>
        <v/>
      </c>
      <c r="J111" s="152">
        <f>IF($B111=1,$H$8,IF(N(Vintage_Input!R59)&gt;0,Vintage_Input!J59/Vintage_Input!R59,""))</f>
        <v/>
      </c>
      <c r="K111" s="152">
        <f>IF($B111=1,$I$8,IF(N(Vintage_Input!S59)&gt;0,Vintage_Input!K59/Vintage_Input!S59,""))</f>
        <v/>
      </c>
      <c r="L111" s="152">
        <f>IF($B111=1,$B$9,IF(N(Vintage_Input!L59)&gt;0,Vintage_Input!T59/Vintage_Input!L59,""))</f>
        <v/>
      </c>
      <c r="M111" s="152">
        <f>IF($B111=1,$C$9,IF(N(Vintage_Input!M59)&gt;0,Vintage_Input!U59/Vintage_Input!M59,""))</f>
        <v/>
      </c>
      <c r="N111" s="152">
        <f>IF($B111=1,$D$9,IF(N(Vintage_Input!N59)&gt;0,Vintage_Input!V59/Vintage_Input!N59,""))</f>
        <v/>
      </c>
      <c r="O111" s="152">
        <f>IF($B111=1,$E$9,IF(N(Vintage_Input!O59)&gt;0,Vintage_Input!W59/Vintage_Input!O59,""))</f>
        <v/>
      </c>
      <c r="P111" s="152">
        <f>IF($B111=1,$F$9,IF(N(Vintage_Input!P59)&gt;0,Vintage_Input!X59/Vintage_Input!P59,""))</f>
        <v/>
      </c>
      <c r="Q111" s="152">
        <f>IF($B111=1,$G$9,IF(N(Vintage_Input!Q59)&gt;0,Vintage_Input!Y59/Vintage_Input!Q59,""))</f>
        <v/>
      </c>
      <c r="R111" s="152">
        <f>IF($B111=1,$H$9,IF(N(Vintage_Input!R59)&gt;0,Vintage_Input!Z59/Vintage_Input!R59,""))</f>
        <v/>
      </c>
      <c r="S111" s="152">
        <f>IF($B111=1,$I$9,IF(N(Vintage_Input!S59)&gt;0,Vintage_Input!AA59/Vintage_Input!S59,""))</f>
        <v/>
      </c>
      <c r="T111" s="152">
        <f>IF($B111=1,$B$10,IF(N(Vintage_Input!L59)&gt;0,Vintage_Input!AB59/Vintage_Input!L59,""))</f>
        <v/>
      </c>
      <c r="U111" s="152">
        <f>IF($B111=1,$C$10,IF(N(Vintage_Input!M59)&gt;0,Vintage_Input!AC59/Vintage_Input!M59,""))</f>
        <v/>
      </c>
      <c r="V111" s="152">
        <f>IF($B111=1,$D$10,IF(N(Vintage_Input!N59)&gt;0,Vintage_Input!AD59/Vintage_Input!N59,""))</f>
        <v/>
      </c>
      <c r="W111" s="152">
        <f>IF($B111=1,$E$10,IF(N(Vintage_Input!O59)&gt;0,Vintage_Input!AE59/Vintage_Input!O59,""))</f>
        <v/>
      </c>
      <c r="X111" s="152">
        <f>IF($B111=1,$F$10,IF(N(Vintage_Input!P59)&gt;0,Vintage_Input!AF59/Vintage_Input!P59,""))</f>
        <v/>
      </c>
      <c r="Y111" s="152">
        <f>IF($B111=1,$G$10,IF(N(Vintage_Input!Q59)&gt;0,Vintage_Input!AG59/Vintage_Input!Q59,""))</f>
        <v/>
      </c>
      <c r="Z111" s="152">
        <f>IF($B111=1,$H$10,IF(N(Vintage_Input!R59)&gt;0,Vintage_Input!AH59/Vintage_Input!R59,""))</f>
        <v/>
      </c>
      <c r="AA111" s="152">
        <f>IF($B111=1,$I$10,IF(N(Vintage_Input!S59)&gt;0,Vintage_Input!AI59/Vintage_Input!S59,""))</f>
        <v/>
      </c>
      <c r="AB111" s="152">
        <f>IF($B111=1,$B$11,IF(N(Vintage_Input!L59)&gt;0,Vintage_Input!AJ59/Vintage_Input!L59,""))</f>
        <v/>
      </c>
      <c r="AC111" s="152">
        <f>IF($B111=1,$C$11,IF(N(Vintage_Input!M59)&gt;0,Vintage_Input!AK59/Vintage_Input!M59,""))</f>
        <v/>
      </c>
      <c r="AD111" s="152">
        <f>IF($B111=1,$D$11,IF(N(Vintage_Input!N59)&gt;0,Vintage_Input!AL59/Vintage_Input!N59,""))</f>
        <v/>
      </c>
      <c r="AE111" s="152">
        <f>IF($B111=1,$E$11,IF(N(Vintage_Input!O59)&gt;0,Vintage_Input!AM59/Vintage_Input!O59,""))</f>
        <v/>
      </c>
      <c r="AF111" s="152">
        <f>IF($B111=1,$F$11,IF(N(Vintage_Input!P59)&gt;0,Vintage_Input!AN59/Vintage_Input!P59,""))</f>
        <v/>
      </c>
      <c r="AG111" s="152">
        <f>IF($B111=1,$G$11,IF(N(Vintage_Input!Q59)&gt;0,Vintage_Input!AO59/Vintage_Input!Q59,""))</f>
        <v/>
      </c>
      <c r="AH111" s="152">
        <f>IF($B111=1,$H$11,IF(N(Vintage_Input!R59)&gt;0,Vintage_Input!AP59/Vintage_Input!R59,""))</f>
        <v/>
      </c>
      <c r="AI111" s="152">
        <f>IF($B111=1,$I$11,IF(N(Vintage_Input!S59)&gt;0,Vintage_Input!AQ59/Vintage_Input!S59,""))</f>
        <v/>
      </c>
      <c r="AJ111" s="152">
        <f>IF($B111=1,$B$12,IF(N(Vintage_Input!L59)&gt;0,IFERROR(Vintage_Input!AR59/Vintage_Input!AJ59,""),""))</f>
        <v/>
      </c>
      <c r="AK111" s="152">
        <f>IF($B111=1,$C$12,IF(N(Vintage_Input!M59)&gt;0,IFERROR(Vintage_Input!AS59/Vintage_Input!AK59,""),""))</f>
        <v/>
      </c>
      <c r="AL111" s="152">
        <f>IF($B111=1,$D$12,IF(N(Vintage_Input!N59)&gt;0,IFERROR(Vintage_Input!AT59/Vintage_Input!AL59,""),""))</f>
        <v/>
      </c>
      <c r="AM111" s="152">
        <f>IF($B111=1,$E$12,IF(N(Vintage_Input!O59)&gt;0,IFERROR(Vintage_Input!AU59/Vintage_Input!AM59,""),""))</f>
        <v/>
      </c>
      <c r="AN111" s="152">
        <f>IF($B111=1,$F$12,IF(N(Vintage_Input!P59)&gt;0,IFERROR(Vintage_Input!AV59/Vintage_Input!AN59,""),""))</f>
        <v/>
      </c>
      <c r="AO111" s="152">
        <f>IF($B111=1,$G$12,IF(N(Vintage_Input!Q59)&gt;0,IFERROR(Vintage_Input!AW59/Vintage_Input!AO59,""),""))</f>
        <v/>
      </c>
      <c r="AP111" s="152">
        <f>IF($B111=1,$H$12,IF(N(Vintage_Input!R59)&gt;0,IFERROR(Vintage_Input!AX59/Vintage_Input!AP59,""),""))</f>
        <v/>
      </c>
      <c r="AQ111" s="152">
        <f>IF($B111=1,$I$12,IF(N(Vintage_Input!S59)&gt;0,IFERROR(Vintage_Input!AY59/Vintage_Input!AQ59,""),""))</f>
        <v/>
      </c>
      <c r="AR111" s="152">
        <f>IF($B111=1,$B$13,IF(N(Vintage_Input!L59)&gt;0,IFERROR(Vintage_Input!AZ59/$C111,""),""))</f>
        <v/>
      </c>
      <c r="AS111" s="152">
        <f>IF($B111=1,$C$13,IF(N(Vintage_Input!M59)&gt;0,IFERROR(Vintage_Input!BA59/$C111,""),""))</f>
        <v/>
      </c>
      <c r="AT111" s="152">
        <f>IF($B111=1,$D$13,IF(N(Vintage_Input!N59)&gt;0,IFERROR(Vintage_Input!BB59/$C111,""),""))</f>
        <v/>
      </c>
      <c r="AU111" s="152">
        <f>IF($B111=1,$E$13,IF(N(Vintage_Input!O59)&gt;0,IFERROR(Vintage_Input!BC59/$C111,""),""))</f>
        <v/>
      </c>
      <c r="AV111" s="152">
        <f>IF($B111=1,$F$13,IF(N(Vintage_Input!P59)&gt;0,IFERROR(Vintage_Input!BD59/$C111,""),""))</f>
        <v/>
      </c>
      <c r="AW111" s="152">
        <f>IF($B111=1,$G$13,IF(N(Vintage_Input!Q59)&gt;0,IFERROR(Vintage_Input!BE59/$C111,""),""))</f>
        <v/>
      </c>
      <c r="AX111" s="152">
        <f>IF($B111=1,$H$13,IF(N(Vintage_Input!R59)&gt;0,IFERROR(Vintage_Input!BF59/$C111,""),""))</f>
        <v/>
      </c>
      <c r="AY111" s="152">
        <f>IF($B111=1,$I$13,IF(N(Vintage_Input!S59)&gt;0,IFERROR(Vintage_Input!BG59/$C111,""),""))</f>
        <v/>
      </c>
      <c r="AZ111" s="153">
        <f>IF($B111=1,$B$14,IF(N(Vintage_Input!L59)&gt;0,IFERROR((Vintage_Input!D59+Vintage_Input!AR59)/$C111+Products!$C$14-(Products!$C$43+Products!$C$19+Products!$C$43*Products!$C$22+Products!$C$44),""),""))</f>
        <v/>
      </c>
      <c r="BA111" s="153">
        <f>IF($B111=1,$C$14,IF(N(Vintage_Input!M59)&gt;0,IFERROR((Vintage_Input!E59+Vintage_Input!AS59)/$C111+Products!$C$14-(Products!$C$43+Products!$C$19+Products!$C$43*Products!$C$22+Products!$C$44),""),""))</f>
        <v/>
      </c>
      <c r="BB111" s="153">
        <f>IF($B111=1,$D$14,IF(N(Vintage_Input!N59)&gt;0,IFERROR((Vintage_Input!F59+Vintage_Input!AT59)/$C111+Products!$C$14-(Products!$C$43+Products!$C$19+Products!$C$43*Products!$C$22+Products!$C$44),""),""))</f>
        <v/>
      </c>
      <c r="BC111" s="153">
        <f>IF($B111=1,$E$14,IF(N(Vintage_Input!O59)&gt;0,IFERROR((Vintage_Input!G59+Vintage_Input!AU59)/$C111+Products!$C$14-(Products!$C$43+Products!$C$19+Products!$C$43*Products!$C$22+Products!$C$44),""),""))</f>
        <v/>
      </c>
      <c r="BD111" s="153">
        <f>IF($B111=1,$F$14,IF(N(Vintage_Input!P59)&gt;0,IFERROR((Vintage_Input!H59+Vintage_Input!AV59)/$C111+Products!$C$14-(Products!$C$43+Products!$C$19+Products!$C$43*Products!$C$22+Products!$C$44),""),""))</f>
        <v/>
      </c>
      <c r="BE111" s="153">
        <f>IF($B111=1,$G$14,IF(N(Vintage_Input!Q59)&gt;0,IFERROR((Vintage_Input!I59+Vintage_Input!AW59)/$C111+Products!$C$14-(Products!$C$43+Products!$C$19+Products!$C$43*Products!$C$22+Products!$C$44),""),""))</f>
        <v/>
      </c>
      <c r="BF111" s="153">
        <f>IF($B111=1,$H$14,IF(N(Vintage_Input!R59)&gt;0,IFERROR((Vintage_Input!J59+Vintage_Input!AX59)/$C111+Products!$C$14-(Products!$C$43+Products!$C$19+Products!$C$43*Products!$C$22+Products!$C$44),""),""))</f>
        <v/>
      </c>
      <c r="BG111" s="153">
        <f>IF($B111=1,$I$14,IF(N(Vintage_Input!S59)&gt;0,IFERROR((Vintage_Input!K59+Vintage_Input!AY59)/$C111+Products!$C$14-(Products!$C$43+Products!$C$19+Products!$C$43*Products!$C$22+Products!$C$44),""),""))</f>
        <v/>
      </c>
      <c r="BH111" s="81">
        <f>IF($B111=1,0,IF(Vintage_Input!$BH$59="","",Vintage_Input!$BH$59))</f>
        <v/>
      </c>
    </row>
    <row r="112">
      <c r="A112" s="23" t="n">
        <v>52</v>
      </c>
      <c r="B112" s="48">
        <f>Vintage_Input!$B$60</f>
        <v/>
      </c>
      <c r="C112" s="41">
        <f>IF(Vintage_Input!$C$60="",0,Vintage_Input!$C$60)</f>
        <v/>
      </c>
      <c r="D112" s="152">
        <f>IF($B112=1,$B$8,IF(N(Vintage_Input!L60)&gt;0,Vintage_Input!D60/Vintage_Input!L60,""))</f>
        <v/>
      </c>
      <c r="E112" s="152">
        <f>IF($B112=1,$C$8,IF(N(Vintage_Input!M60)&gt;0,Vintage_Input!E60/Vintage_Input!M60,""))</f>
        <v/>
      </c>
      <c r="F112" s="152">
        <f>IF($B112=1,$D$8,IF(N(Vintage_Input!N60)&gt;0,Vintage_Input!F60/Vintage_Input!N60,""))</f>
        <v/>
      </c>
      <c r="G112" s="152">
        <f>IF($B112=1,$E$8,IF(N(Vintage_Input!O60)&gt;0,Vintage_Input!G60/Vintage_Input!O60,""))</f>
        <v/>
      </c>
      <c r="H112" s="152">
        <f>IF($B112=1,$F$8,IF(N(Vintage_Input!P60)&gt;0,Vintage_Input!H60/Vintage_Input!P60,""))</f>
        <v/>
      </c>
      <c r="I112" s="152">
        <f>IF($B112=1,$G$8,IF(N(Vintage_Input!Q60)&gt;0,Vintage_Input!I60/Vintage_Input!Q60,""))</f>
        <v/>
      </c>
      <c r="J112" s="152">
        <f>IF($B112=1,$H$8,IF(N(Vintage_Input!R60)&gt;0,Vintage_Input!J60/Vintage_Input!R60,""))</f>
        <v/>
      </c>
      <c r="K112" s="152">
        <f>IF($B112=1,$I$8,IF(N(Vintage_Input!S60)&gt;0,Vintage_Input!K60/Vintage_Input!S60,""))</f>
        <v/>
      </c>
      <c r="L112" s="152">
        <f>IF($B112=1,$B$9,IF(N(Vintage_Input!L60)&gt;0,Vintage_Input!T60/Vintage_Input!L60,""))</f>
        <v/>
      </c>
      <c r="M112" s="152">
        <f>IF($B112=1,$C$9,IF(N(Vintage_Input!M60)&gt;0,Vintage_Input!U60/Vintage_Input!M60,""))</f>
        <v/>
      </c>
      <c r="N112" s="152">
        <f>IF($B112=1,$D$9,IF(N(Vintage_Input!N60)&gt;0,Vintage_Input!V60/Vintage_Input!N60,""))</f>
        <v/>
      </c>
      <c r="O112" s="152">
        <f>IF($B112=1,$E$9,IF(N(Vintage_Input!O60)&gt;0,Vintage_Input!W60/Vintage_Input!O60,""))</f>
        <v/>
      </c>
      <c r="P112" s="152">
        <f>IF($B112=1,$F$9,IF(N(Vintage_Input!P60)&gt;0,Vintage_Input!X60/Vintage_Input!P60,""))</f>
        <v/>
      </c>
      <c r="Q112" s="152">
        <f>IF($B112=1,$G$9,IF(N(Vintage_Input!Q60)&gt;0,Vintage_Input!Y60/Vintage_Input!Q60,""))</f>
        <v/>
      </c>
      <c r="R112" s="152">
        <f>IF($B112=1,$H$9,IF(N(Vintage_Input!R60)&gt;0,Vintage_Input!Z60/Vintage_Input!R60,""))</f>
        <v/>
      </c>
      <c r="S112" s="152">
        <f>IF($B112=1,$I$9,IF(N(Vintage_Input!S60)&gt;0,Vintage_Input!AA60/Vintage_Input!S60,""))</f>
        <v/>
      </c>
      <c r="T112" s="152">
        <f>IF($B112=1,$B$10,IF(N(Vintage_Input!L60)&gt;0,Vintage_Input!AB60/Vintage_Input!L60,""))</f>
        <v/>
      </c>
      <c r="U112" s="152">
        <f>IF($B112=1,$C$10,IF(N(Vintage_Input!M60)&gt;0,Vintage_Input!AC60/Vintage_Input!M60,""))</f>
        <v/>
      </c>
      <c r="V112" s="152">
        <f>IF($B112=1,$D$10,IF(N(Vintage_Input!N60)&gt;0,Vintage_Input!AD60/Vintage_Input!N60,""))</f>
        <v/>
      </c>
      <c r="W112" s="152">
        <f>IF($B112=1,$E$10,IF(N(Vintage_Input!O60)&gt;0,Vintage_Input!AE60/Vintage_Input!O60,""))</f>
        <v/>
      </c>
      <c r="X112" s="152">
        <f>IF($B112=1,$F$10,IF(N(Vintage_Input!P60)&gt;0,Vintage_Input!AF60/Vintage_Input!P60,""))</f>
        <v/>
      </c>
      <c r="Y112" s="152">
        <f>IF($B112=1,$G$10,IF(N(Vintage_Input!Q60)&gt;0,Vintage_Input!AG60/Vintage_Input!Q60,""))</f>
        <v/>
      </c>
      <c r="Z112" s="152">
        <f>IF($B112=1,$H$10,IF(N(Vintage_Input!R60)&gt;0,Vintage_Input!AH60/Vintage_Input!R60,""))</f>
        <v/>
      </c>
      <c r="AA112" s="152">
        <f>IF($B112=1,$I$10,IF(N(Vintage_Input!S60)&gt;0,Vintage_Input!AI60/Vintage_Input!S60,""))</f>
        <v/>
      </c>
      <c r="AB112" s="152">
        <f>IF($B112=1,$B$11,IF(N(Vintage_Input!L60)&gt;0,Vintage_Input!AJ60/Vintage_Input!L60,""))</f>
        <v/>
      </c>
      <c r="AC112" s="152">
        <f>IF($B112=1,$C$11,IF(N(Vintage_Input!M60)&gt;0,Vintage_Input!AK60/Vintage_Input!M60,""))</f>
        <v/>
      </c>
      <c r="AD112" s="152">
        <f>IF($B112=1,$D$11,IF(N(Vintage_Input!N60)&gt;0,Vintage_Input!AL60/Vintage_Input!N60,""))</f>
        <v/>
      </c>
      <c r="AE112" s="152">
        <f>IF($B112=1,$E$11,IF(N(Vintage_Input!O60)&gt;0,Vintage_Input!AM60/Vintage_Input!O60,""))</f>
        <v/>
      </c>
      <c r="AF112" s="152">
        <f>IF($B112=1,$F$11,IF(N(Vintage_Input!P60)&gt;0,Vintage_Input!AN60/Vintage_Input!P60,""))</f>
        <v/>
      </c>
      <c r="AG112" s="152">
        <f>IF($B112=1,$G$11,IF(N(Vintage_Input!Q60)&gt;0,Vintage_Input!AO60/Vintage_Input!Q60,""))</f>
        <v/>
      </c>
      <c r="AH112" s="152">
        <f>IF($B112=1,$H$11,IF(N(Vintage_Input!R60)&gt;0,Vintage_Input!AP60/Vintage_Input!R60,""))</f>
        <v/>
      </c>
      <c r="AI112" s="152">
        <f>IF($B112=1,$I$11,IF(N(Vintage_Input!S60)&gt;0,Vintage_Input!AQ60/Vintage_Input!S60,""))</f>
        <v/>
      </c>
      <c r="AJ112" s="152">
        <f>IF($B112=1,$B$12,IF(N(Vintage_Input!L60)&gt;0,IFERROR(Vintage_Input!AR60/Vintage_Input!AJ60,""),""))</f>
        <v/>
      </c>
      <c r="AK112" s="152">
        <f>IF($B112=1,$C$12,IF(N(Vintage_Input!M60)&gt;0,IFERROR(Vintage_Input!AS60/Vintage_Input!AK60,""),""))</f>
        <v/>
      </c>
      <c r="AL112" s="152">
        <f>IF($B112=1,$D$12,IF(N(Vintage_Input!N60)&gt;0,IFERROR(Vintage_Input!AT60/Vintage_Input!AL60,""),""))</f>
        <v/>
      </c>
      <c r="AM112" s="152">
        <f>IF($B112=1,$E$12,IF(N(Vintage_Input!O60)&gt;0,IFERROR(Vintage_Input!AU60/Vintage_Input!AM60,""),""))</f>
        <v/>
      </c>
      <c r="AN112" s="152">
        <f>IF($B112=1,$F$12,IF(N(Vintage_Input!P60)&gt;0,IFERROR(Vintage_Input!AV60/Vintage_Input!AN60,""),""))</f>
        <v/>
      </c>
      <c r="AO112" s="152">
        <f>IF($B112=1,$G$12,IF(N(Vintage_Input!Q60)&gt;0,IFERROR(Vintage_Input!AW60/Vintage_Input!AO60,""),""))</f>
        <v/>
      </c>
      <c r="AP112" s="152">
        <f>IF($B112=1,$H$12,IF(N(Vintage_Input!R60)&gt;0,IFERROR(Vintage_Input!AX60/Vintage_Input!AP60,""),""))</f>
        <v/>
      </c>
      <c r="AQ112" s="152">
        <f>IF($B112=1,$I$12,IF(N(Vintage_Input!S60)&gt;0,IFERROR(Vintage_Input!AY60/Vintage_Input!AQ60,""),""))</f>
        <v/>
      </c>
      <c r="AR112" s="152">
        <f>IF($B112=1,$B$13,IF(N(Vintage_Input!L60)&gt;0,IFERROR(Vintage_Input!AZ60/$C112,""),""))</f>
        <v/>
      </c>
      <c r="AS112" s="152">
        <f>IF($B112=1,$C$13,IF(N(Vintage_Input!M60)&gt;0,IFERROR(Vintage_Input!BA60/$C112,""),""))</f>
        <v/>
      </c>
      <c r="AT112" s="152">
        <f>IF($B112=1,$D$13,IF(N(Vintage_Input!N60)&gt;0,IFERROR(Vintage_Input!BB60/$C112,""),""))</f>
        <v/>
      </c>
      <c r="AU112" s="152">
        <f>IF($B112=1,$E$13,IF(N(Vintage_Input!O60)&gt;0,IFERROR(Vintage_Input!BC60/$C112,""),""))</f>
        <v/>
      </c>
      <c r="AV112" s="152">
        <f>IF($B112=1,$F$13,IF(N(Vintage_Input!P60)&gt;0,IFERROR(Vintage_Input!BD60/$C112,""),""))</f>
        <v/>
      </c>
      <c r="AW112" s="152">
        <f>IF($B112=1,$G$13,IF(N(Vintage_Input!Q60)&gt;0,IFERROR(Vintage_Input!BE60/$C112,""),""))</f>
        <v/>
      </c>
      <c r="AX112" s="152">
        <f>IF($B112=1,$H$13,IF(N(Vintage_Input!R60)&gt;0,IFERROR(Vintage_Input!BF60/$C112,""),""))</f>
        <v/>
      </c>
      <c r="AY112" s="152">
        <f>IF($B112=1,$I$13,IF(N(Vintage_Input!S60)&gt;0,IFERROR(Vintage_Input!BG60/$C112,""),""))</f>
        <v/>
      </c>
      <c r="AZ112" s="153">
        <f>IF($B112=1,$B$14,IF(N(Vintage_Input!L60)&gt;0,IFERROR((Vintage_Input!D60+Vintage_Input!AR60)/$C112+Products!$C$14-(Products!$C$43+Products!$C$19+Products!$C$43*Products!$C$22+Products!$C$44),""),""))</f>
        <v/>
      </c>
      <c r="BA112" s="153">
        <f>IF($B112=1,$C$14,IF(N(Vintage_Input!M60)&gt;0,IFERROR((Vintage_Input!E60+Vintage_Input!AS60)/$C112+Products!$C$14-(Products!$C$43+Products!$C$19+Products!$C$43*Products!$C$22+Products!$C$44),""),""))</f>
        <v/>
      </c>
      <c r="BB112" s="153">
        <f>IF($B112=1,$D$14,IF(N(Vintage_Input!N60)&gt;0,IFERROR((Vintage_Input!F60+Vintage_Input!AT60)/$C112+Products!$C$14-(Products!$C$43+Products!$C$19+Products!$C$43*Products!$C$22+Products!$C$44),""),""))</f>
        <v/>
      </c>
      <c r="BC112" s="153">
        <f>IF($B112=1,$E$14,IF(N(Vintage_Input!O60)&gt;0,IFERROR((Vintage_Input!G60+Vintage_Input!AU60)/$C112+Products!$C$14-(Products!$C$43+Products!$C$19+Products!$C$43*Products!$C$22+Products!$C$44),""),""))</f>
        <v/>
      </c>
      <c r="BD112" s="153">
        <f>IF($B112=1,$F$14,IF(N(Vintage_Input!P60)&gt;0,IFERROR((Vintage_Input!H60+Vintage_Input!AV60)/$C112+Products!$C$14-(Products!$C$43+Products!$C$19+Products!$C$43*Products!$C$22+Products!$C$44),""),""))</f>
        <v/>
      </c>
      <c r="BE112" s="153">
        <f>IF($B112=1,$G$14,IF(N(Vintage_Input!Q60)&gt;0,IFERROR((Vintage_Input!I60+Vintage_Input!AW60)/$C112+Products!$C$14-(Products!$C$43+Products!$C$19+Products!$C$43*Products!$C$22+Products!$C$44),""),""))</f>
        <v/>
      </c>
      <c r="BF112" s="153">
        <f>IF($B112=1,$H$14,IF(N(Vintage_Input!R60)&gt;0,IFERROR((Vintage_Input!J60+Vintage_Input!AX60)/$C112+Products!$C$14-(Products!$C$43+Products!$C$19+Products!$C$43*Products!$C$22+Products!$C$44),""),""))</f>
        <v/>
      </c>
      <c r="BG112" s="153">
        <f>IF($B112=1,$I$14,IF(N(Vintage_Input!S60)&gt;0,IFERROR((Vintage_Input!K60+Vintage_Input!AY60)/$C112+Products!$C$14-(Products!$C$43+Products!$C$19+Products!$C$43*Products!$C$22+Products!$C$44),""),""))</f>
        <v/>
      </c>
      <c r="BH112" s="81">
        <f>IF($B112=1,0,IF(Vintage_Input!$BH$60="","",Vintage_Input!$BH$60))</f>
        <v/>
      </c>
    </row>
    <row r="113">
      <c r="A113" s="23" t="n">
        <v>53</v>
      </c>
      <c r="B113" s="48">
        <f>Vintage_Input!$B$61</f>
        <v/>
      </c>
      <c r="C113" s="41">
        <f>IF(Vintage_Input!$C$61="",0,Vintage_Input!$C$61)</f>
        <v/>
      </c>
      <c r="D113" s="152">
        <f>IF($B113=1,$B$8,IF(N(Vintage_Input!L61)&gt;0,Vintage_Input!D61/Vintage_Input!L61,""))</f>
        <v/>
      </c>
      <c r="E113" s="152">
        <f>IF($B113=1,$C$8,IF(N(Vintage_Input!M61)&gt;0,Vintage_Input!E61/Vintage_Input!M61,""))</f>
        <v/>
      </c>
      <c r="F113" s="152">
        <f>IF($B113=1,$D$8,IF(N(Vintage_Input!N61)&gt;0,Vintage_Input!F61/Vintage_Input!N61,""))</f>
        <v/>
      </c>
      <c r="G113" s="152">
        <f>IF($B113=1,$E$8,IF(N(Vintage_Input!O61)&gt;0,Vintage_Input!G61/Vintage_Input!O61,""))</f>
        <v/>
      </c>
      <c r="H113" s="152">
        <f>IF($B113=1,$F$8,IF(N(Vintage_Input!P61)&gt;0,Vintage_Input!H61/Vintage_Input!P61,""))</f>
        <v/>
      </c>
      <c r="I113" s="152">
        <f>IF($B113=1,$G$8,IF(N(Vintage_Input!Q61)&gt;0,Vintage_Input!I61/Vintage_Input!Q61,""))</f>
        <v/>
      </c>
      <c r="J113" s="152">
        <f>IF($B113=1,$H$8,IF(N(Vintage_Input!R61)&gt;0,Vintage_Input!J61/Vintage_Input!R61,""))</f>
        <v/>
      </c>
      <c r="K113" s="152">
        <f>IF($B113=1,$I$8,IF(N(Vintage_Input!S61)&gt;0,Vintage_Input!K61/Vintage_Input!S61,""))</f>
        <v/>
      </c>
      <c r="L113" s="152">
        <f>IF($B113=1,$B$9,IF(N(Vintage_Input!L61)&gt;0,Vintage_Input!T61/Vintage_Input!L61,""))</f>
        <v/>
      </c>
      <c r="M113" s="152">
        <f>IF($B113=1,$C$9,IF(N(Vintage_Input!M61)&gt;0,Vintage_Input!U61/Vintage_Input!M61,""))</f>
        <v/>
      </c>
      <c r="N113" s="152">
        <f>IF($B113=1,$D$9,IF(N(Vintage_Input!N61)&gt;0,Vintage_Input!V61/Vintage_Input!N61,""))</f>
        <v/>
      </c>
      <c r="O113" s="152">
        <f>IF($B113=1,$E$9,IF(N(Vintage_Input!O61)&gt;0,Vintage_Input!W61/Vintage_Input!O61,""))</f>
        <v/>
      </c>
      <c r="P113" s="152">
        <f>IF($B113=1,$F$9,IF(N(Vintage_Input!P61)&gt;0,Vintage_Input!X61/Vintage_Input!P61,""))</f>
        <v/>
      </c>
      <c r="Q113" s="152">
        <f>IF($B113=1,$G$9,IF(N(Vintage_Input!Q61)&gt;0,Vintage_Input!Y61/Vintage_Input!Q61,""))</f>
        <v/>
      </c>
      <c r="R113" s="152">
        <f>IF($B113=1,$H$9,IF(N(Vintage_Input!R61)&gt;0,Vintage_Input!Z61/Vintage_Input!R61,""))</f>
        <v/>
      </c>
      <c r="S113" s="152">
        <f>IF($B113=1,$I$9,IF(N(Vintage_Input!S61)&gt;0,Vintage_Input!AA61/Vintage_Input!S61,""))</f>
        <v/>
      </c>
      <c r="T113" s="152">
        <f>IF($B113=1,$B$10,IF(N(Vintage_Input!L61)&gt;0,Vintage_Input!AB61/Vintage_Input!L61,""))</f>
        <v/>
      </c>
      <c r="U113" s="152">
        <f>IF($B113=1,$C$10,IF(N(Vintage_Input!M61)&gt;0,Vintage_Input!AC61/Vintage_Input!M61,""))</f>
        <v/>
      </c>
      <c r="V113" s="152">
        <f>IF($B113=1,$D$10,IF(N(Vintage_Input!N61)&gt;0,Vintage_Input!AD61/Vintage_Input!N61,""))</f>
        <v/>
      </c>
      <c r="W113" s="152">
        <f>IF($B113=1,$E$10,IF(N(Vintage_Input!O61)&gt;0,Vintage_Input!AE61/Vintage_Input!O61,""))</f>
        <v/>
      </c>
      <c r="X113" s="152">
        <f>IF($B113=1,$F$10,IF(N(Vintage_Input!P61)&gt;0,Vintage_Input!AF61/Vintage_Input!P61,""))</f>
        <v/>
      </c>
      <c r="Y113" s="152">
        <f>IF($B113=1,$G$10,IF(N(Vintage_Input!Q61)&gt;0,Vintage_Input!AG61/Vintage_Input!Q61,""))</f>
        <v/>
      </c>
      <c r="Z113" s="152">
        <f>IF($B113=1,$H$10,IF(N(Vintage_Input!R61)&gt;0,Vintage_Input!AH61/Vintage_Input!R61,""))</f>
        <v/>
      </c>
      <c r="AA113" s="152">
        <f>IF($B113=1,$I$10,IF(N(Vintage_Input!S61)&gt;0,Vintage_Input!AI61/Vintage_Input!S61,""))</f>
        <v/>
      </c>
      <c r="AB113" s="152">
        <f>IF($B113=1,$B$11,IF(N(Vintage_Input!L61)&gt;0,Vintage_Input!AJ61/Vintage_Input!L61,""))</f>
        <v/>
      </c>
      <c r="AC113" s="152">
        <f>IF($B113=1,$C$11,IF(N(Vintage_Input!M61)&gt;0,Vintage_Input!AK61/Vintage_Input!M61,""))</f>
        <v/>
      </c>
      <c r="AD113" s="152">
        <f>IF($B113=1,$D$11,IF(N(Vintage_Input!N61)&gt;0,Vintage_Input!AL61/Vintage_Input!N61,""))</f>
        <v/>
      </c>
      <c r="AE113" s="152">
        <f>IF($B113=1,$E$11,IF(N(Vintage_Input!O61)&gt;0,Vintage_Input!AM61/Vintage_Input!O61,""))</f>
        <v/>
      </c>
      <c r="AF113" s="152">
        <f>IF($B113=1,$F$11,IF(N(Vintage_Input!P61)&gt;0,Vintage_Input!AN61/Vintage_Input!P61,""))</f>
        <v/>
      </c>
      <c r="AG113" s="152">
        <f>IF($B113=1,$G$11,IF(N(Vintage_Input!Q61)&gt;0,Vintage_Input!AO61/Vintage_Input!Q61,""))</f>
        <v/>
      </c>
      <c r="AH113" s="152">
        <f>IF($B113=1,$H$11,IF(N(Vintage_Input!R61)&gt;0,Vintage_Input!AP61/Vintage_Input!R61,""))</f>
        <v/>
      </c>
      <c r="AI113" s="152">
        <f>IF($B113=1,$I$11,IF(N(Vintage_Input!S61)&gt;0,Vintage_Input!AQ61/Vintage_Input!S61,""))</f>
        <v/>
      </c>
      <c r="AJ113" s="152">
        <f>IF($B113=1,$B$12,IF(N(Vintage_Input!L61)&gt;0,IFERROR(Vintage_Input!AR61/Vintage_Input!AJ61,""),""))</f>
        <v/>
      </c>
      <c r="AK113" s="152">
        <f>IF($B113=1,$C$12,IF(N(Vintage_Input!M61)&gt;0,IFERROR(Vintage_Input!AS61/Vintage_Input!AK61,""),""))</f>
        <v/>
      </c>
      <c r="AL113" s="152">
        <f>IF($B113=1,$D$12,IF(N(Vintage_Input!N61)&gt;0,IFERROR(Vintage_Input!AT61/Vintage_Input!AL61,""),""))</f>
        <v/>
      </c>
      <c r="AM113" s="152">
        <f>IF($B113=1,$E$12,IF(N(Vintage_Input!O61)&gt;0,IFERROR(Vintage_Input!AU61/Vintage_Input!AM61,""),""))</f>
        <v/>
      </c>
      <c r="AN113" s="152">
        <f>IF($B113=1,$F$12,IF(N(Vintage_Input!P61)&gt;0,IFERROR(Vintage_Input!AV61/Vintage_Input!AN61,""),""))</f>
        <v/>
      </c>
      <c r="AO113" s="152">
        <f>IF($B113=1,$G$12,IF(N(Vintage_Input!Q61)&gt;0,IFERROR(Vintage_Input!AW61/Vintage_Input!AO61,""),""))</f>
        <v/>
      </c>
      <c r="AP113" s="152">
        <f>IF($B113=1,$H$12,IF(N(Vintage_Input!R61)&gt;0,IFERROR(Vintage_Input!AX61/Vintage_Input!AP61,""),""))</f>
        <v/>
      </c>
      <c r="AQ113" s="152">
        <f>IF($B113=1,$I$12,IF(N(Vintage_Input!S61)&gt;0,IFERROR(Vintage_Input!AY61/Vintage_Input!AQ61,""),""))</f>
        <v/>
      </c>
      <c r="AR113" s="152">
        <f>IF($B113=1,$B$13,IF(N(Vintage_Input!L61)&gt;0,IFERROR(Vintage_Input!AZ61/$C113,""),""))</f>
        <v/>
      </c>
      <c r="AS113" s="152">
        <f>IF($B113=1,$C$13,IF(N(Vintage_Input!M61)&gt;0,IFERROR(Vintage_Input!BA61/$C113,""),""))</f>
        <v/>
      </c>
      <c r="AT113" s="152">
        <f>IF($B113=1,$D$13,IF(N(Vintage_Input!N61)&gt;0,IFERROR(Vintage_Input!BB61/$C113,""),""))</f>
        <v/>
      </c>
      <c r="AU113" s="152">
        <f>IF($B113=1,$E$13,IF(N(Vintage_Input!O61)&gt;0,IFERROR(Vintage_Input!BC61/$C113,""),""))</f>
        <v/>
      </c>
      <c r="AV113" s="152">
        <f>IF($B113=1,$F$13,IF(N(Vintage_Input!P61)&gt;0,IFERROR(Vintage_Input!BD61/$C113,""),""))</f>
        <v/>
      </c>
      <c r="AW113" s="152">
        <f>IF($B113=1,$G$13,IF(N(Vintage_Input!Q61)&gt;0,IFERROR(Vintage_Input!BE61/$C113,""),""))</f>
        <v/>
      </c>
      <c r="AX113" s="152">
        <f>IF($B113=1,$H$13,IF(N(Vintage_Input!R61)&gt;0,IFERROR(Vintage_Input!BF61/$C113,""),""))</f>
        <v/>
      </c>
      <c r="AY113" s="152">
        <f>IF($B113=1,$I$13,IF(N(Vintage_Input!S61)&gt;0,IFERROR(Vintage_Input!BG61/$C113,""),""))</f>
        <v/>
      </c>
      <c r="AZ113" s="153">
        <f>IF($B113=1,$B$14,IF(N(Vintage_Input!L61)&gt;0,IFERROR((Vintage_Input!D61+Vintage_Input!AR61)/$C113+Products!$C$14-(Products!$C$43+Products!$C$19+Products!$C$43*Products!$C$22+Products!$C$44),""),""))</f>
        <v/>
      </c>
      <c r="BA113" s="153">
        <f>IF($B113=1,$C$14,IF(N(Vintage_Input!M61)&gt;0,IFERROR((Vintage_Input!E61+Vintage_Input!AS61)/$C113+Products!$C$14-(Products!$C$43+Products!$C$19+Products!$C$43*Products!$C$22+Products!$C$44),""),""))</f>
        <v/>
      </c>
      <c r="BB113" s="153">
        <f>IF($B113=1,$D$14,IF(N(Vintage_Input!N61)&gt;0,IFERROR((Vintage_Input!F61+Vintage_Input!AT61)/$C113+Products!$C$14-(Products!$C$43+Products!$C$19+Products!$C$43*Products!$C$22+Products!$C$44),""),""))</f>
        <v/>
      </c>
      <c r="BC113" s="153">
        <f>IF($B113=1,$E$14,IF(N(Vintage_Input!O61)&gt;0,IFERROR((Vintage_Input!G61+Vintage_Input!AU61)/$C113+Products!$C$14-(Products!$C$43+Products!$C$19+Products!$C$43*Products!$C$22+Products!$C$44),""),""))</f>
        <v/>
      </c>
      <c r="BD113" s="153">
        <f>IF($B113=1,$F$14,IF(N(Vintage_Input!P61)&gt;0,IFERROR((Vintage_Input!H61+Vintage_Input!AV61)/$C113+Products!$C$14-(Products!$C$43+Products!$C$19+Products!$C$43*Products!$C$22+Products!$C$44),""),""))</f>
        <v/>
      </c>
      <c r="BE113" s="153">
        <f>IF($B113=1,$G$14,IF(N(Vintage_Input!Q61)&gt;0,IFERROR((Vintage_Input!I61+Vintage_Input!AW61)/$C113+Products!$C$14-(Products!$C$43+Products!$C$19+Products!$C$43*Products!$C$22+Products!$C$44),""),""))</f>
        <v/>
      </c>
      <c r="BF113" s="153">
        <f>IF($B113=1,$H$14,IF(N(Vintage_Input!R61)&gt;0,IFERROR((Vintage_Input!J61+Vintage_Input!AX61)/$C113+Products!$C$14-(Products!$C$43+Products!$C$19+Products!$C$43*Products!$C$22+Products!$C$44),""),""))</f>
        <v/>
      </c>
      <c r="BG113" s="153">
        <f>IF($B113=1,$I$14,IF(N(Vintage_Input!S61)&gt;0,IFERROR((Vintage_Input!K61+Vintage_Input!AY61)/$C113+Products!$C$14-(Products!$C$43+Products!$C$19+Products!$C$43*Products!$C$22+Products!$C$44),""),""))</f>
        <v/>
      </c>
      <c r="BH113" s="81">
        <f>IF($B113=1,0,IF(Vintage_Input!$BH$61="","",Vintage_Input!$BH$61))</f>
        <v/>
      </c>
    </row>
    <row r="114">
      <c r="A114" s="23" t="n">
        <v>54</v>
      </c>
      <c r="B114" s="48">
        <f>Vintage_Input!$B$62</f>
        <v/>
      </c>
      <c r="C114" s="41">
        <f>IF(Vintage_Input!$C$62="",0,Vintage_Input!$C$62)</f>
        <v/>
      </c>
      <c r="D114" s="152">
        <f>IF($B114=1,$B$8,IF(N(Vintage_Input!L62)&gt;0,Vintage_Input!D62/Vintage_Input!L62,""))</f>
        <v/>
      </c>
      <c r="E114" s="152">
        <f>IF($B114=1,$C$8,IF(N(Vintage_Input!M62)&gt;0,Vintage_Input!E62/Vintage_Input!M62,""))</f>
        <v/>
      </c>
      <c r="F114" s="152">
        <f>IF($B114=1,$D$8,IF(N(Vintage_Input!N62)&gt;0,Vintage_Input!F62/Vintage_Input!N62,""))</f>
        <v/>
      </c>
      <c r="G114" s="152">
        <f>IF($B114=1,$E$8,IF(N(Vintage_Input!O62)&gt;0,Vintage_Input!G62/Vintage_Input!O62,""))</f>
        <v/>
      </c>
      <c r="H114" s="152">
        <f>IF($B114=1,$F$8,IF(N(Vintage_Input!P62)&gt;0,Vintage_Input!H62/Vintage_Input!P62,""))</f>
        <v/>
      </c>
      <c r="I114" s="152">
        <f>IF($B114=1,$G$8,IF(N(Vintage_Input!Q62)&gt;0,Vintage_Input!I62/Vintage_Input!Q62,""))</f>
        <v/>
      </c>
      <c r="J114" s="152">
        <f>IF($B114=1,$H$8,IF(N(Vintage_Input!R62)&gt;0,Vintage_Input!J62/Vintage_Input!R62,""))</f>
        <v/>
      </c>
      <c r="K114" s="152">
        <f>IF($B114=1,$I$8,IF(N(Vintage_Input!S62)&gt;0,Vintage_Input!K62/Vintage_Input!S62,""))</f>
        <v/>
      </c>
      <c r="L114" s="152">
        <f>IF($B114=1,$B$9,IF(N(Vintage_Input!L62)&gt;0,Vintage_Input!T62/Vintage_Input!L62,""))</f>
        <v/>
      </c>
      <c r="M114" s="152">
        <f>IF($B114=1,$C$9,IF(N(Vintage_Input!M62)&gt;0,Vintage_Input!U62/Vintage_Input!M62,""))</f>
        <v/>
      </c>
      <c r="N114" s="152">
        <f>IF($B114=1,$D$9,IF(N(Vintage_Input!N62)&gt;0,Vintage_Input!V62/Vintage_Input!N62,""))</f>
        <v/>
      </c>
      <c r="O114" s="152">
        <f>IF($B114=1,$E$9,IF(N(Vintage_Input!O62)&gt;0,Vintage_Input!W62/Vintage_Input!O62,""))</f>
        <v/>
      </c>
      <c r="P114" s="152">
        <f>IF($B114=1,$F$9,IF(N(Vintage_Input!P62)&gt;0,Vintage_Input!X62/Vintage_Input!P62,""))</f>
        <v/>
      </c>
      <c r="Q114" s="152">
        <f>IF($B114=1,$G$9,IF(N(Vintage_Input!Q62)&gt;0,Vintage_Input!Y62/Vintage_Input!Q62,""))</f>
        <v/>
      </c>
      <c r="R114" s="152">
        <f>IF($B114=1,$H$9,IF(N(Vintage_Input!R62)&gt;0,Vintage_Input!Z62/Vintage_Input!R62,""))</f>
        <v/>
      </c>
      <c r="S114" s="152">
        <f>IF($B114=1,$I$9,IF(N(Vintage_Input!S62)&gt;0,Vintage_Input!AA62/Vintage_Input!S62,""))</f>
        <v/>
      </c>
      <c r="T114" s="152">
        <f>IF($B114=1,$B$10,IF(N(Vintage_Input!L62)&gt;0,Vintage_Input!AB62/Vintage_Input!L62,""))</f>
        <v/>
      </c>
      <c r="U114" s="152">
        <f>IF($B114=1,$C$10,IF(N(Vintage_Input!M62)&gt;0,Vintage_Input!AC62/Vintage_Input!M62,""))</f>
        <v/>
      </c>
      <c r="V114" s="152">
        <f>IF($B114=1,$D$10,IF(N(Vintage_Input!N62)&gt;0,Vintage_Input!AD62/Vintage_Input!N62,""))</f>
        <v/>
      </c>
      <c r="W114" s="152">
        <f>IF($B114=1,$E$10,IF(N(Vintage_Input!O62)&gt;0,Vintage_Input!AE62/Vintage_Input!O62,""))</f>
        <v/>
      </c>
      <c r="X114" s="152">
        <f>IF($B114=1,$F$10,IF(N(Vintage_Input!P62)&gt;0,Vintage_Input!AF62/Vintage_Input!P62,""))</f>
        <v/>
      </c>
      <c r="Y114" s="152">
        <f>IF($B114=1,$G$10,IF(N(Vintage_Input!Q62)&gt;0,Vintage_Input!AG62/Vintage_Input!Q62,""))</f>
        <v/>
      </c>
      <c r="Z114" s="152">
        <f>IF($B114=1,$H$10,IF(N(Vintage_Input!R62)&gt;0,Vintage_Input!AH62/Vintage_Input!R62,""))</f>
        <v/>
      </c>
      <c r="AA114" s="152">
        <f>IF($B114=1,$I$10,IF(N(Vintage_Input!S62)&gt;0,Vintage_Input!AI62/Vintage_Input!S62,""))</f>
        <v/>
      </c>
      <c r="AB114" s="152">
        <f>IF($B114=1,$B$11,IF(N(Vintage_Input!L62)&gt;0,Vintage_Input!AJ62/Vintage_Input!L62,""))</f>
        <v/>
      </c>
      <c r="AC114" s="152">
        <f>IF($B114=1,$C$11,IF(N(Vintage_Input!M62)&gt;0,Vintage_Input!AK62/Vintage_Input!M62,""))</f>
        <v/>
      </c>
      <c r="AD114" s="152">
        <f>IF($B114=1,$D$11,IF(N(Vintage_Input!N62)&gt;0,Vintage_Input!AL62/Vintage_Input!N62,""))</f>
        <v/>
      </c>
      <c r="AE114" s="152">
        <f>IF($B114=1,$E$11,IF(N(Vintage_Input!O62)&gt;0,Vintage_Input!AM62/Vintage_Input!O62,""))</f>
        <v/>
      </c>
      <c r="AF114" s="152">
        <f>IF($B114=1,$F$11,IF(N(Vintage_Input!P62)&gt;0,Vintage_Input!AN62/Vintage_Input!P62,""))</f>
        <v/>
      </c>
      <c r="AG114" s="152">
        <f>IF($B114=1,$G$11,IF(N(Vintage_Input!Q62)&gt;0,Vintage_Input!AO62/Vintage_Input!Q62,""))</f>
        <v/>
      </c>
      <c r="AH114" s="152">
        <f>IF($B114=1,$H$11,IF(N(Vintage_Input!R62)&gt;0,Vintage_Input!AP62/Vintage_Input!R62,""))</f>
        <v/>
      </c>
      <c r="AI114" s="152">
        <f>IF($B114=1,$I$11,IF(N(Vintage_Input!S62)&gt;0,Vintage_Input!AQ62/Vintage_Input!S62,""))</f>
        <v/>
      </c>
      <c r="AJ114" s="152">
        <f>IF($B114=1,$B$12,IF(N(Vintage_Input!L62)&gt;0,IFERROR(Vintage_Input!AR62/Vintage_Input!AJ62,""),""))</f>
        <v/>
      </c>
      <c r="AK114" s="152">
        <f>IF($B114=1,$C$12,IF(N(Vintage_Input!M62)&gt;0,IFERROR(Vintage_Input!AS62/Vintage_Input!AK62,""),""))</f>
        <v/>
      </c>
      <c r="AL114" s="152">
        <f>IF($B114=1,$D$12,IF(N(Vintage_Input!N62)&gt;0,IFERROR(Vintage_Input!AT62/Vintage_Input!AL62,""),""))</f>
        <v/>
      </c>
      <c r="AM114" s="152">
        <f>IF($B114=1,$E$12,IF(N(Vintage_Input!O62)&gt;0,IFERROR(Vintage_Input!AU62/Vintage_Input!AM62,""),""))</f>
        <v/>
      </c>
      <c r="AN114" s="152">
        <f>IF($B114=1,$F$12,IF(N(Vintage_Input!P62)&gt;0,IFERROR(Vintage_Input!AV62/Vintage_Input!AN62,""),""))</f>
        <v/>
      </c>
      <c r="AO114" s="152">
        <f>IF($B114=1,$G$12,IF(N(Vintage_Input!Q62)&gt;0,IFERROR(Vintage_Input!AW62/Vintage_Input!AO62,""),""))</f>
        <v/>
      </c>
      <c r="AP114" s="152">
        <f>IF($B114=1,$H$12,IF(N(Vintage_Input!R62)&gt;0,IFERROR(Vintage_Input!AX62/Vintage_Input!AP62,""),""))</f>
        <v/>
      </c>
      <c r="AQ114" s="152">
        <f>IF($B114=1,$I$12,IF(N(Vintage_Input!S62)&gt;0,IFERROR(Vintage_Input!AY62/Vintage_Input!AQ62,""),""))</f>
        <v/>
      </c>
      <c r="AR114" s="152">
        <f>IF($B114=1,$B$13,IF(N(Vintage_Input!L62)&gt;0,IFERROR(Vintage_Input!AZ62/$C114,""),""))</f>
        <v/>
      </c>
      <c r="AS114" s="152">
        <f>IF($B114=1,$C$13,IF(N(Vintage_Input!M62)&gt;0,IFERROR(Vintage_Input!BA62/$C114,""),""))</f>
        <v/>
      </c>
      <c r="AT114" s="152">
        <f>IF($B114=1,$D$13,IF(N(Vintage_Input!N62)&gt;0,IFERROR(Vintage_Input!BB62/$C114,""),""))</f>
        <v/>
      </c>
      <c r="AU114" s="152">
        <f>IF($B114=1,$E$13,IF(N(Vintage_Input!O62)&gt;0,IFERROR(Vintage_Input!BC62/$C114,""),""))</f>
        <v/>
      </c>
      <c r="AV114" s="152">
        <f>IF($B114=1,$F$13,IF(N(Vintage_Input!P62)&gt;0,IFERROR(Vintage_Input!BD62/$C114,""),""))</f>
        <v/>
      </c>
      <c r="AW114" s="152">
        <f>IF($B114=1,$G$13,IF(N(Vintage_Input!Q62)&gt;0,IFERROR(Vintage_Input!BE62/$C114,""),""))</f>
        <v/>
      </c>
      <c r="AX114" s="152">
        <f>IF($B114=1,$H$13,IF(N(Vintage_Input!R62)&gt;0,IFERROR(Vintage_Input!BF62/$C114,""),""))</f>
        <v/>
      </c>
      <c r="AY114" s="152">
        <f>IF($B114=1,$I$13,IF(N(Vintage_Input!S62)&gt;0,IFERROR(Vintage_Input!BG62/$C114,""),""))</f>
        <v/>
      </c>
      <c r="AZ114" s="153">
        <f>IF($B114=1,$B$14,IF(N(Vintage_Input!L62)&gt;0,IFERROR((Vintage_Input!D62+Vintage_Input!AR62)/$C114+Products!$C$14-(Products!$C$43+Products!$C$19+Products!$C$43*Products!$C$22+Products!$C$44),""),""))</f>
        <v/>
      </c>
      <c r="BA114" s="153">
        <f>IF($B114=1,$C$14,IF(N(Vintage_Input!M62)&gt;0,IFERROR((Vintage_Input!E62+Vintage_Input!AS62)/$C114+Products!$C$14-(Products!$C$43+Products!$C$19+Products!$C$43*Products!$C$22+Products!$C$44),""),""))</f>
        <v/>
      </c>
      <c r="BB114" s="153">
        <f>IF($B114=1,$D$14,IF(N(Vintage_Input!N62)&gt;0,IFERROR((Vintage_Input!F62+Vintage_Input!AT62)/$C114+Products!$C$14-(Products!$C$43+Products!$C$19+Products!$C$43*Products!$C$22+Products!$C$44),""),""))</f>
        <v/>
      </c>
      <c r="BC114" s="153">
        <f>IF($B114=1,$E$14,IF(N(Vintage_Input!O62)&gt;0,IFERROR((Vintage_Input!G62+Vintage_Input!AU62)/$C114+Products!$C$14-(Products!$C$43+Products!$C$19+Products!$C$43*Products!$C$22+Products!$C$44),""),""))</f>
        <v/>
      </c>
      <c r="BD114" s="153">
        <f>IF($B114=1,$F$14,IF(N(Vintage_Input!P62)&gt;0,IFERROR((Vintage_Input!H62+Vintage_Input!AV62)/$C114+Products!$C$14-(Products!$C$43+Products!$C$19+Products!$C$43*Products!$C$22+Products!$C$44),""),""))</f>
        <v/>
      </c>
      <c r="BE114" s="153">
        <f>IF($B114=1,$G$14,IF(N(Vintage_Input!Q62)&gt;0,IFERROR((Vintage_Input!I62+Vintage_Input!AW62)/$C114+Products!$C$14-(Products!$C$43+Products!$C$19+Products!$C$43*Products!$C$22+Products!$C$44),""),""))</f>
        <v/>
      </c>
      <c r="BF114" s="153">
        <f>IF($B114=1,$H$14,IF(N(Vintage_Input!R62)&gt;0,IFERROR((Vintage_Input!J62+Vintage_Input!AX62)/$C114+Products!$C$14-(Products!$C$43+Products!$C$19+Products!$C$43*Products!$C$22+Products!$C$44),""),""))</f>
        <v/>
      </c>
      <c r="BG114" s="153">
        <f>IF($B114=1,$I$14,IF(N(Vintage_Input!S62)&gt;0,IFERROR((Vintage_Input!K62+Vintage_Input!AY62)/$C114+Products!$C$14-(Products!$C$43+Products!$C$19+Products!$C$43*Products!$C$22+Products!$C$44),""),""))</f>
        <v/>
      </c>
      <c r="BH114" s="81">
        <f>IF($B114=1,0,IF(Vintage_Input!$BH$62="","",Vintage_Input!$BH$62))</f>
        <v/>
      </c>
    </row>
    <row r="115">
      <c r="A115" s="23" t="n">
        <v>55</v>
      </c>
      <c r="B115" s="48">
        <f>Vintage_Input!$B$63</f>
        <v/>
      </c>
      <c r="C115" s="41">
        <f>IF(Vintage_Input!$C$63="",0,Vintage_Input!$C$63)</f>
        <v/>
      </c>
      <c r="D115" s="152">
        <f>IF($B115=1,$B$8,IF(N(Vintage_Input!L63)&gt;0,Vintage_Input!D63/Vintage_Input!L63,""))</f>
        <v/>
      </c>
      <c r="E115" s="152">
        <f>IF($B115=1,$C$8,IF(N(Vintage_Input!M63)&gt;0,Vintage_Input!E63/Vintage_Input!M63,""))</f>
        <v/>
      </c>
      <c r="F115" s="152">
        <f>IF($B115=1,$D$8,IF(N(Vintage_Input!N63)&gt;0,Vintage_Input!F63/Vintage_Input!N63,""))</f>
        <v/>
      </c>
      <c r="G115" s="152">
        <f>IF($B115=1,$E$8,IF(N(Vintage_Input!O63)&gt;0,Vintage_Input!G63/Vintage_Input!O63,""))</f>
        <v/>
      </c>
      <c r="H115" s="152">
        <f>IF($B115=1,$F$8,IF(N(Vintage_Input!P63)&gt;0,Vintage_Input!H63/Vintage_Input!P63,""))</f>
        <v/>
      </c>
      <c r="I115" s="152">
        <f>IF($B115=1,$G$8,IF(N(Vintage_Input!Q63)&gt;0,Vintage_Input!I63/Vintage_Input!Q63,""))</f>
        <v/>
      </c>
      <c r="J115" s="152">
        <f>IF($B115=1,$H$8,IF(N(Vintage_Input!R63)&gt;0,Vintage_Input!J63/Vintage_Input!R63,""))</f>
        <v/>
      </c>
      <c r="K115" s="152">
        <f>IF($B115=1,$I$8,IF(N(Vintage_Input!S63)&gt;0,Vintage_Input!K63/Vintage_Input!S63,""))</f>
        <v/>
      </c>
      <c r="L115" s="152">
        <f>IF($B115=1,$B$9,IF(N(Vintage_Input!L63)&gt;0,Vintage_Input!T63/Vintage_Input!L63,""))</f>
        <v/>
      </c>
      <c r="M115" s="152">
        <f>IF($B115=1,$C$9,IF(N(Vintage_Input!M63)&gt;0,Vintage_Input!U63/Vintage_Input!M63,""))</f>
        <v/>
      </c>
      <c r="N115" s="152">
        <f>IF($B115=1,$D$9,IF(N(Vintage_Input!N63)&gt;0,Vintage_Input!V63/Vintage_Input!N63,""))</f>
        <v/>
      </c>
      <c r="O115" s="152">
        <f>IF($B115=1,$E$9,IF(N(Vintage_Input!O63)&gt;0,Vintage_Input!W63/Vintage_Input!O63,""))</f>
        <v/>
      </c>
      <c r="P115" s="152">
        <f>IF($B115=1,$F$9,IF(N(Vintage_Input!P63)&gt;0,Vintage_Input!X63/Vintage_Input!P63,""))</f>
        <v/>
      </c>
      <c r="Q115" s="152">
        <f>IF($B115=1,$G$9,IF(N(Vintage_Input!Q63)&gt;0,Vintage_Input!Y63/Vintage_Input!Q63,""))</f>
        <v/>
      </c>
      <c r="R115" s="152">
        <f>IF($B115=1,$H$9,IF(N(Vintage_Input!R63)&gt;0,Vintage_Input!Z63/Vintage_Input!R63,""))</f>
        <v/>
      </c>
      <c r="S115" s="152">
        <f>IF($B115=1,$I$9,IF(N(Vintage_Input!S63)&gt;0,Vintage_Input!AA63/Vintage_Input!S63,""))</f>
        <v/>
      </c>
      <c r="T115" s="152">
        <f>IF($B115=1,$B$10,IF(N(Vintage_Input!L63)&gt;0,Vintage_Input!AB63/Vintage_Input!L63,""))</f>
        <v/>
      </c>
      <c r="U115" s="152">
        <f>IF($B115=1,$C$10,IF(N(Vintage_Input!M63)&gt;0,Vintage_Input!AC63/Vintage_Input!M63,""))</f>
        <v/>
      </c>
      <c r="V115" s="152">
        <f>IF($B115=1,$D$10,IF(N(Vintage_Input!N63)&gt;0,Vintage_Input!AD63/Vintage_Input!N63,""))</f>
        <v/>
      </c>
      <c r="W115" s="152">
        <f>IF($B115=1,$E$10,IF(N(Vintage_Input!O63)&gt;0,Vintage_Input!AE63/Vintage_Input!O63,""))</f>
        <v/>
      </c>
      <c r="X115" s="152">
        <f>IF($B115=1,$F$10,IF(N(Vintage_Input!P63)&gt;0,Vintage_Input!AF63/Vintage_Input!P63,""))</f>
        <v/>
      </c>
      <c r="Y115" s="152">
        <f>IF($B115=1,$G$10,IF(N(Vintage_Input!Q63)&gt;0,Vintage_Input!AG63/Vintage_Input!Q63,""))</f>
        <v/>
      </c>
      <c r="Z115" s="152">
        <f>IF($B115=1,$H$10,IF(N(Vintage_Input!R63)&gt;0,Vintage_Input!AH63/Vintage_Input!R63,""))</f>
        <v/>
      </c>
      <c r="AA115" s="152">
        <f>IF($B115=1,$I$10,IF(N(Vintage_Input!S63)&gt;0,Vintage_Input!AI63/Vintage_Input!S63,""))</f>
        <v/>
      </c>
      <c r="AB115" s="152">
        <f>IF($B115=1,$B$11,IF(N(Vintage_Input!L63)&gt;0,Vintage_Input!AJ63/Vintage_Input!L63,""))</f>
        <v/>
      </c>
      <c r="AC115" s="152">
        <f>IF($B115=1,$C$11,IF(N(Vintage_Input!M63)&gt;0,Vintage_Input!AK63/Vintage_Input!M63,""))</f>
        <v/>
      </c>
      <c r="AD115" s="152">
        <f>IF($B115=1,$D$11,IF(N(Vintage_Input!N63)&gt;0,Vintage_Input!AL63/Vintage_Input!N63,""))</f>
        <v/>
      </c>
      <c r="AE115" s="152">
        <f>IF($B115=1,$E$11,IF(N(Vintage_Input!O63)&gt;0,Vintage_Input!AM63/Vintage_Input!O63,""))</f>
        <v/>
      </c>
      <c r="AF115" s="152">
        <f>IF($B115=1,$F$11,IF(N(Vintage_Input!P63)&gt;0,Vintage_Input!AN63/Vintage_Input!P63,""))</f>
        <v/>
      </c>
      <c r="AG115" s="152">
        <f>IF($B115=1,$G$11,IF(N(Vintage_Input!Q63)&gt;0,Vintage_Input!AO63/Vintage_Input!Q63,""))</f>
        <v/>
      </c>
      <c r="AH115" s="152">
        <f>IF($B115=1,$H$11,IF(N(Vintage_Input!R63)&gt;0,Vintage_Input!AP63/Vintage_Input!R63,""))</f>
        <v/>
      </c>
      <c r="AI115" s="152">
        <f>IF($B115=1,$I$11,IF(N(Vintage_Input!S63)&gt;0,Vintage_Input!AQ63/Vintage_Input!S63,""))</f>
        <v/>
      </c>
      <c r="AJ115" s="152">
        <f>IF($B115=1,$B$12,IF(N(Vintage_Input!L63)&gt;0,IFERROR(Vintage_Input!AR63/Vintage_Input!AJ63,""),""))</f>
        <v/>
      </c>
      <c r="AK115" s="152">
        <f>IF($B115=1,$C$12,IF(N(Vintage_Input!M63)&gt;0,IFERROR(Vintage_Input!AS63/Vintage_Input!AK63,""),""))</f>
        <v/>
      </c>
      <c r="AL115" s="152">
        <f>IF($B115=1,$D$12,IF(N(Vintage_Input!N63)&gt;0,IFERROR(Vintage_Input!AT63/Vintage_Input!AL63,""),""))</f>
        <v/>
      </c>
      <c r="AM115" s="152">
        <f>IF($B115=1,$E$12,IF(N(Vintage_Input!O63)&gt;0,IFERROR(Vintage_Input!AU63/Vintage_Input!AM63,""),""))</f>
        <v/>
      </c>
      <c r="AN115" s="152">
        <f>IF($B115=1,$F$12,IF(N(Vintage_Input!P63)&gt;0,IFERROR(Vintage_Input!AV63/Vintage_Input!AN63,""),""))</f>
        <v/>
      </c>
      <c r="AO115" s="152">
        <f>IF($B115=1,$G$12,IF(N(Vintage_Input!Q63)&gt;0,IFERROR(Vintage_Input!AW63/Vintage_Input!AO63,""),""))</f>
        <v/>
      </c>
      <c r="AP115" s="152">
        <f>IF($B115=1,$H$12,IF(N(Vintage_Input!R63)&gt;0,IFERROR(Vintage_Input!AX63/Vintage_Input!AP63,""),""))</f>
        <v/>
      </c>
      <c r="AQ115" s="152">
        <f>IF($B115=1,$I$12,IF(N(Vintage_Input!S63)&gt;0,IFERROR(Vintage_Input!AY63/Vintage_Input!AQ63,""),""))</f>
        <v/>
      </c>
      <c r="AR115" s="152">
        <f>IF($B115=1,$B$13,IF(N(Vintage_Input!L63)&gt;0,IFERROR(Vintage_Input!AZ63/$C115,""),""))</f>
        <v/>
      </c>
      <c r="AS115" s="152">
        <f>IF($B115=1,$C$13,IF(N(Vintage_Input!M63)&gt;0,IFERROR(Vintage_Input!BA63/$C115,""),""))</f>
        <v/>
      </c>
      <c r="AT115" s="152">
        <f>IF($B115=1,$D$13,IF(N(Vintage_Input!N63)&gt;0,IFERROR(Vintage_Input!BB63/$C115,""),""))</f>
        <v/>
      </c>
      <c r="AU115" s="152">
        <f>IF($B115=1,$E$13,IF(N(Vintage_Input!O63)&gt;0,IFERROR(Vintage_Input!BC63/$C115,""),""))</f>
        <v/>
      </c>
      <c r="AV115" s="152">
        <f>IF($B115=1,$F$13,IF(N(Vintage_Input!P63)&gt;0,IFERROR(Vintage_Input!BD63/$C115,""),""))</f>
        <v/>
      </c>
      <c r="AW115" s="152">
        <f>IF($B115=1,$G$13,IF(N(Vintage_Input!Q63)&gt;0,IFERROR(Vintage_Input!BE63/$C115,""),""))</f>
        <v/>
      </c>
      <c r="AX115" s="152">
        <f>IF($B115=1,$H$13,IF(N(Vintage_Input!R63)&gt;0,IFERROR(Vintage_Input!BF63/$C115,""),""))</f>
        <v/>
      </c>
      <c r="AY115" s="152">
        <f>IF($B115=1,$I$13,IF(N(Vintage_Input!S63)&gt;0,IFERROR(Vintage_Input!BG63/$C115,""),""))</f>
        <v/>
      </c>
      <c r="AZ115" s="153">
        <f>IF($B115=1,$B$14,IF(N(Vintage_Input!L63)&gt;0,IFERROR((Vintage_Input!D63+Vintage_Input!AR63)/$C115+Products!$C$14-(Products!$C$43+Products!$C$19+Products!$C$43*Products!$C$22+Products!$C$44),""),""))</f>
        <v/>
      </c>
      <c r="BA115" s="153">
        <f>IF($B115=1,$C$14,IF(N(Vintage_Input!M63)&gt;0,IFERROR((Vintage_Input!E63+Vintage_Input!AS63)/$C115+Products!$C$14-(Products!$C$43+Products!$C$19+Products!$C$43*Products!$C$22+Products!$C$44),""),""))</f>
        <v/>
      </c>
      <c r="BB115" s="153">
        <f>IF($B115=1,$D$14,IF(N(Vintage_Input!N63)&gt;0,IFERROR((Vintage_Input!F63+Vintage_Input!AT63)/$C115+Products!$C$14-(Products!$C$43+Products!$C$19+Products!$C$43*Products!$C$22+Products!$C$44),""),""))</f>
        <v/>
      </c>
      <c r="BC115" s="153">
        <f>IF($B115=1,$E$14,IF(N(Vintage_Input!O63)&gt;0,IFERROR((Vintage_Input!G63+Vintage_Input!AU63)/$C115+Products!$C$14-(Products!$C$43+Products!$C$19+Products!$C$43*Products!$C$22+Products!$C$44),""),""))</f>
        <v/>
      </c>
      <c r="BD115" s="153">
        <f>IF($B115=1,$F$14,IF(N(Vintage_Input!P63)&gt;0,IFERROR((Vintage_Input!H63+Vintage_Input!AV63)/$C115+Products!$C$14-(Products!$C$43+Products!$C$19+Products!$C$43*Products!$C$22+Products!$C$44),""),""))</f>
        <v/>
      </c>
      <c r="BE115" s="153">
        <f>IF($B115=1,$G$14,IF(N(Vintage_Input!Q63)&gt;0,IFERROR((Vintage_Input!I63+Vintage_Input!AW63)/$C115+Products!$C$14-(Products!$C$43+Products!$C$19+Products!$C$43*Products!$C$22+Products!$C$44),""),""))</f>
        <v/>
      </c>
      <c r="BF115" s="153">
        <f>IF($B115=1,$H$14,IF(N(Vintage_Input!R63)&gt;0,IFERROR((Vintage_Input!J63+Vintage_Input!AX63)/$C115+Products!$C$14-(Products!$C$43+Products!$C$19+Products!$C$43*Products!$C$22+Products!$C$44),""),""))</f>
        <v/>
      </c>
      <c r="BG115" s="153">
        <f>IF($B115=1,$I$14,IF(N(Vintage_Input!S63)&gt;0,IFERROR((Vintage_Input!K63+Vintage_Input!AY63)/$C115+Products!$C$14-(Products!$C$43+Products!$C$19+Products!$C$43*Products!$C$22+Products!$C$44),""),""))</f>
        <v/>
      </c>
      <c r="BH115" s="81">
        <f>IF($B115=1,0,IF(Vintage_Input!$BH$63="","",Vintage_Input!$BH$63))</f>
        <v/>
      </c>
    </row>
    <row r="116">
      <c r="A116" s="23" t="n">
        <v>56</v>
      </c>
      <c r="B116" s="48">
        <f>Vintage_Input!$B$64</f>
        <v/>
      </c>
      <c r="C116" s="41">
        <f>IF(Vintage_Input!$C$64="",0,Vintage_Input!$C$64)</f>
        <v/>
      </c>
      <c r="D116" s="152">
        <f>IF($B116=1,$B$8,IF(N(Vintage_Input!L64)&gt;0,Vintage_Input!D64/Vintage_Input!L64,""))</f>
        <v/>
      </c>
      <c r="E116" s="152">
        <f>IF($B116=1,$C$8,IF(N(Vintage_Input!M64)&gt;0,Vintage_Input!E64/Vintage_Input!M64,""))</f>
        <v/>
      </c>
      <c r="F116" s="152">
        <f>IF($B116=1,$D$8,IF(N(Vintage_Input!N64)&gt;0,Vintage_Input!F64/Vintage_Input!N64,""))</f>
        <v/>
      </c>
      <c r="G116" s="152">
        <f>IF($B116=1,$E$8,IF(N(Vintage_Input!O64)&gt;0,Vintage_Input!G64/Vintage_Input!O64,""))</f>
        <v/>
      </c>
      <c r="H116" s="152">
        <f>IF($B116=1,$F$8,IF(N(Vintage_Input!P64)&gt;0,Vintage_Input!H64/Vintage_Input!P64,""))</f>
        <v/>
      </c>
      <c r="I116" s="152">
        <f>IF($B116=1,$G$8,IF(N(Vintage_Input!Q64)&gt;0,Vintage_Input!I64/Vintage_Input!Q64,""))</f>
        <v/>
      </c>
      <c r="J116" s="152">
        <f>IF($B116=1,$H$8,IF(N(Vintage_Input!R64)&gt;0,Vintage_Input!J64/Vintage_Input!R64,""))</f>
        <v/>
      </c>
      <c r="K116" s="152">
        <f>IF($B116=1,$I$8,IF(N(Vintage_Input!S64)&gt;0,Vintage_Input!K64/Vintage_Input!S64,""))</f>
        <v/>
      </c>
      <c r="L116" s="152">
        <f>IF($B116=1,$B$9,IF(N(Vintage_Input!L64)&gt;0,Vintage_Input!T64/Vintage_Input!L64,""))</f>
        <v/>
      </c>
      <c r="M116" s="152">
        <f>IF($B116=1,$C$9,IF(N(Vintage_Input!M64)&gt;0,Vintage_Input!U64/Vintage_Input!M64,""))</f>
        <v/>
      </c>
      <c r="N116" s="152">
        <f>IF($B116=1,$D$9,IF(N(Vintage_Input!N64)&gt;0,Vintage_Input!V64/Vintage_Input!N64,""))</f>
        <v/>
      </c>
      <c r="O116" s="152">
        <f>IF($B116=1,$E$9,IF(N(Vintage_Input!O64)&gt;0,Vintage_Input!W64/Vintage_Input!O64,""))</f>
        <v/>
      </c>
      <c r="P116" s="152">
        <f>IF($B116=1,$F$9,IF(N(Vintage_Input!P64)&gt;0,Vintage_Input!X64/Vintage_Input!P64,""))</f>
        <v/>
      </c>
      <c r="Q116" s="152">
        <f>IF($B116=1,$G$9,IF(N(Vintage_Input!Q64)&gt;0,Vintage_Input!Y64/Vintage_Input!Q64,""))</f>
        <v/>
      </c>
      <c r="R116" s="152">
        <f>IF($B116=1,$H$9,IF(N(Vintage_Input!R64)&gt;0,Vintage_Input!Z64/Vintage_Input!R64,""))</f>
        <v/>
      </c>
      <c r="S116" s="152">
        <f>IF($B116=1,$I$9,IF(N(Vintage_Input!S64)&gt;0,Vintage_Input!AA64/Vintage_Input!S64,""))</f>
        <v/>
      </c>
      <c r="T116" s="152">
        <f>IF($B116=1,$B$10,IF(N(Vintage_Input!L64)&gt;0,Vintage_Input!AB64/Vintage_Input!L64,""))</f>
        <v/>
      </c>
      <c r="U116" s="152">
        <f>IF($B116=1,$C$10,IF(N(Vintage_Input!M64)&gt;0,Vintage_Input!AC64/Vintage_Input!M64,""))</f>
        <v/>
      </c>
      <c r="V116" s="152">
        <f>IF($B116=1,$D$10,IF(N(Vintage_Input!N64)&gt;0,Vintage_Input!AD64/Vintage_Input!N64,""))</f>
        <v/>
      </c>
      <c r="W116" s="152">
        <f>IF($B116=1,$E$10,IF(N(Vintage_Input!O64)&gt;0,Vintage_Input!AE64/Vintage_Input!O64,""))</f>
        <v/>
      </c>
      <c r="X116" s="152">
        <f>IF($B116=1,$F$10,IF(N(Vintage_Input!P64)&gt;0,Vintage_Input!AF64/Vintage_Input!P64,""))</f>
        <v/>
      </c>
      <c r="Y116" s="152">
        <f>IF($B116=1,$G$10,IF(N(Vintage_Input!Q64)&gt;0,Vintage_Input!AG64/Vintage_Input!Q64,""))</f>
        <v/>
      </c>
      <c r="Z116" s="152">
        <f>IF($B116=1,$H$10,IF(N(Vintage_Input!R64)&gt;0,Vintage_Input!AH64/Vintage_Input!R64,""))</f>
        <v/>
      </c>
      <c r="AA116" s="152">
        <f>IF($B116=1,$I$10,IF(N(Vintage_Input!S64)&gt;0,Vintage_Input!AI64/Vintage_Input!S64,""))</f>
        <v/>
      </c>
      <c r="AB116" s="152">
        <f>IF($B116=1,$B$11,IF(N(Vintage_Input!L64)&gt;0,Vintage_Input!AJ64/Vintage_Input!L64,""))</f>
        <v/>
      </c>
      <c r="AC116" s="152">
        <f>IF($B116=1,$C$11,IF(N(Vintage_Input!M64)&gt;0,Vintage_Input!AK64/Vintage_Input!M64,""))</f>
        <v/>
      </c>
      <c r="AD116" s="152">
        <f>IF($B116=1,$D$11,IF(N(Vintage_Input!N64)&gt;0,Vintage_Input!AL64/Vintage_Input!N64,""))</f>
        <v/>
      </c>
      <c r="AE116" s="152">
        <f>IF($B116=1,$E$11,IF(N(Vintage_Input!O64)&gt;0,Vintage_Input!AM64/Vintage_Input!O64,""))</f>
        <v/>
      </c>
      <c r="AF116" s="152">
        <f>IF($B116=1,$F$11,IF(N(Vintage_Input!P64)&gt;0,Vintage_Input!AN64/Vintage_Input!P64,""))</f>
        <v/>
      </c>
      <c r="AG116" s="152">
        <f>IF($B116=1,$G$11,IF(N(Vintage_Input!Q64)&gt;0,Vintage_Input!AO64/Vintage_Input!Q64,""))</f>
        <v/>
      </c>
      <c r="AH116" s="152">
        <f>IF($B116=1,$H$11,IF(N(Vintage_Input!R64)&gt;0,Vintage_Input!AP64/Vintage_Input!R64,""))</f>
        <v/>
      </c>
      <c r="AI116" s="152">
        <f>IF($B116=1,$I$11,IF(N(Vintage_Input!S64)&gt;0,Vintage_Input!AQ64/Vintage_Input!S64,""))</f>
        <v/>
      </c>
      <c r="AJ116" s="152">
        <f>IF($B116=1,$B$12,IF(N(Vintage_Input!L64)&gt;0,IFERROR(Vintage_Input!AR64/Vintage_Input!AJ64,""),""))</f>
        <v/>
      </c>
      <c r="AK116" s="152">
        <f>IF($B116=1,$C$12,IF(N(Vintage_Input!M64)&gt;0,IFERROR(Vintage_Input!AS64/Vintage_Input!AK64,""),""))</f>
        <v/>
      </c>
      <c r="AL116" s="152">
        <f>IF($B116=1,$D$12,IF(N(Vintage_Input!N64)&gt;0,IFERROR(Vintage_Input!AT64/Vintage_Input!AL64,""),""))</f>
        <v/>
      </c>
      <c r="AM116" s="152">
        <f>IF($B116=1,$E$12,IF(N(Vintage_Input!O64)&gt;0,IFERROR(Vintage_Input!AU64/Vintage_Input!AM64,""),""))</f>
        <v/>
      </c>
      <c r="AN116" s="152">
        <f>IF($B116=1,$F$12,IF(N(Vintage_Input!P64)&gt;0,IFERROR(Vintage_Input!AV64/Vintage_Input!AN64,""),""))</f>
        <v/>
      </c>
      <c r="AO116" s="152">
        <f>IF($B116=1,$G$12,IF(N(Vintage_Input!Q64)&gt;0,IFERROR(Vintage_Input!AW64/Vintage_Input!AO64,""),""))</f>
        <v/>
      </c>
      <c r="AP116" s="152">
        <f>IF($B116=1,$H$12,IF(N(Vintage_Input!R64)&gt;0,IFERROR(Vintage_Input!AX64/Vintage_Input!AP64,""),""))</f>
        <v/>
      </c>
      <c r="AQ116" s="152">
        <f>IF($B116=1,$I$12,IF(N(Vintage_Input!S64)&gt;0,IFERROR(Vintage_Input!AY64/Vintage_Input!AQ64,""),""))</f>
        <v/>
      </c>
      <c r="AR116" s="152">
        <f>IF($B116=1,$B$13,IF(N(Vintage_Input!L64)&gt;0,IFERROR(Vintage_Input!AZ64/$C116,""),""))</f>
        <v/>
      </c>
      <c r="AS116" s="152">
        <f>IF($B116=1,$C$13,IF(N(Vintage_Input!M64)&gt;0,IFERROR(Vintage_Input!BA64/$C116,""),""))</f>
        <v/>
      </c>
      <c r="AT116" s="152">
        <f>IF($B116=1,$D$13,IF(N(Vintage_Input!N64)&gt;0,IFERROR(Vintage_Input!BB64/$C116,""),""))</f>
        <v/>
      </c>
      <c r="AU116" s="152">
        <f>IF($B116=1,$E$13,IF(N(Vintage_Input!O64)&gt;0,IFERROR(Vintage_Input!BC64/$C116,""),""))</f>
        <v/>
      </c>
      <c r="AV116" s="152">
        <f>IF($B116=1,$F$13,IF(N(Vintage_Input!P64)&gt;0,IFERROR(Vintage_Input!BD64/$C116,""),""))</f>
        <v/>
      </c>
      <c r="AW116" s="152">
        <f>IF($B116=1,$G$13,IF(N(Vintage_Input!Q64)&gt;0,IFERROR(Vintage_Input!BE64/$C116,""),""))</f>
        <v/>
      </c>
      <c r="AX116" s="152">
        <f>IF($B116=1,$H$13,IF(N(Vintage_Input!R64)&gt;0,IFERROR(Vintage_Input!BF64/$C116,""),""))</f>
        <v/>
      </c>
      <c r="AY116" s="152">
        <f>IF($B116=1,$I$13,IF(N(Vintage_Input!S64)&gt;0,IFERROR(Vintage_Input!BG64/$C116,""),""))</f>
        <v/>
      </c>
      <c r="AZ116" s="153">
        <f>IF($B116=1,$B$14,IF(N(Vintage_Input!L64)&gt;0,IFERROR((Vintage_Input!D64+Vintage_Input!AR64)/$C116+Products!$C$14-(Products!$C$43+Products!$C$19+Products!$C$43*Products!$C$22+Products!$C$44),""),""))</f>
        <v/>
      </c>
      <c r="BA116" s="153">
        <f>IF($B116=1,$C$14,IF(N(Vintage_Input!M64)&gt;0,IFERROR((Vintage_Input!E64+Vintage_Input!AS64)/$C116+Products!$C$14-(Products!$C$43+Products!$C$19+Products!$C$43*Products!$C$22+Products!$C$44),""),""))</f>
        <v/>
      </c>
      <c r="BB116" s="153">
        <f>IF($B116=1,$D$14,IF(N(Vintage_Input!N64)&gt;0,IFERROR((Vintage_Input!F64+Vintage_Input!AT64)/$C116+Products!$C$14-(Products!$C$43+Products!$C$19+Products!$C$43*Products!$C$22+Products!$C$44),""),""))</f>
        <v/>
      </c>
      <c r="BC116" s="153">
        <f>IF($B116=1,$E$14,IF(N(Vintage_Input!O64)&gt;0,IFERROR((Vintage_Input!G64+Vintage_Input!AU64)/$C116+Products!$C$14-(Products!$C$43+Products!$C$19+Products!$C$43*Products!$C$22+Products!$C$44),""),""))</f>
        <v/>
      </c>
      <c r="BD116" s="153">
        <f>IF($B116=1,$F$14,IF(N(Vintage_Input!P64)&gt;0,IFERROR((Vintage_Input!H64+Vintage_Input!AV64)/$C116+Products!$C$14-(Products!$C$43+Products!$C$19+Products!$C$43*Products!$C$22+Products!$C$44),""),""))</f>
        <v/>
      </c>
      <c r="BE116" s="153">
        <f>IF($B116=1,$G$14,IF(N(Vintage_Input!Q64)&gt;0,IFERROR((Vintage_Input!I64+Vintage_Input!AW64)/$C116+Products!$C$14-(Products!$C$43+Products!$C$19+Products!$C$43*Products!$C$22+Products!$C$44),""),""))</f>
        <v/>
      </c>
      <c r="BF116" s="153">
        <f>IF($B116=1,$H$14,IF(N(Vintage_Input!R64)&gt;0,IFERROR((Vintage_Input!J64+Vintage_Input!AX64)/$C116+Products!$C$14-(Products!$C$43+Products!$C$19+Products!$C$43*Products!$C$22+Products!$C$44),""),""))</f>
        <v/>
      </c>
      <c r="BG116" s="153">
        <f>IF($B116=1,$I$14,IF(N(Vintage_Input!S64)&gt;0,IFERROR((Vintage_Input!K64+Vintage_Input!AY64)/$C116+Products!$C$14-(Products!$C$43+Products!$C$19+Products!$C$43*Products!$C$22+Products!$C$44),""),""))</f>
        <v/>
      </c>
      <c r="BH116" s="81">
        <f>IF($B116=1,0,IF(Vintage_Input!$BH$64="","",Vintage_Input!$BH$64))</f>
        <v/>
      </c>
    </row>
    <row r="117">
      <c r="A117" s="23" t="n">
        <v>57</v>
      </c>
      <c r="B117" s="48">
        <f>Vintage_Input!$B$65</f>
        <v/>
      </c>
      <c r="C117" s="41">
        <f>IF(Vintage_Input!$C$65="",0,Vintage_Input!$C$65)</f>
        <v/>
      </c>
      <c r="D117" s="152">
        <f>IF($B117=1,$B$8,IF(N(Vintage_Input!L65)&gt;0,Vintage_Input!D65/Vintage_Input!L65,""))</f>
        <v/>
      </c>
      <c r="E117" s="152">
        <f>IF($B117=1,$C$8,IF(N(Vintage_Input!M65)&gt;0,Vintage_Input!E65/Vintage_Input!M65,""))</f>
        <v/>
      </c>
      <c r="F117" s="152">
        <f>IF($B117=1,$D$8,IF(N(Vintage_Input!N65)&gt;0,Vintage_Input!F65/Vintage_Input!N65,""))</f>
        <v/>
      </c>
      <c r="G117" s="152">
        <f>IF($B117=1,$E$8,IF(N(Vintage_Input!O65)&gt;0,Vintage_Input!G65/Vintage_Input!O65,""))</f>
        <v/>
      </c>
      <c r="H117" s="152">
        <f>IF($B117=1,$F$8,IF(N(Vintage_Input!P65)&gt;0,Vintage_Input!H65/Vintage_Input!P65,""))</f>
        <v/>
      </c>
      <c r="I117" s="152">
        <f>IF($B117=1,$G$8,IF(N(Vintage_Input!Q65)&gt;0,Vintage_Input!I65/Vintage_Input!Q65,""))</f>
        <v/>
      </c>
      <c r="J117" s="152">
        <f>IF($B117=1,$H$8,IF(N(Vintage_Input!R65)&gt;0,Vintage_Input!J65/Vintage_Input!R65,""))</f>
        <v/>
      </c>
      <c r="K117" s="152">
        <f>IF($B117=1,$I$8,IF(N(Vintage_Input!S65)&gt;0,Vintage_Input!K65/Vintage_Input!S65,""))</f>
        <v/>
      </c>
      <c r="L117" s="152">
        <f>IF($B117=1,$B$9,IF(N(Vintage_Input!L65)&gt;0,Vintage_Input!T65/Vintage_Input!L65,""))</f>
        <v/>
      </c>
      <c r="M117" s="152">
        <f>IF($B117=1,$C$9,IF(N(Vintage_Input!M65)&gt;0,Vintage_Input!U65/Vintage_Input!M65,""))</f>
        <v/>
      </c>
      <c r="N117" s="152">
        <f>IF($B117=1,$D$9,IF(N(Vintage_Input!N65)&gt;0,Vintage_Input!V65/Vintage_Input!N65,""))</f>
        <v/>
      </c>
      <c r="O117" s="152">
        <f>IF($B117=1,$E$9,IF(N(Vintage_Input!O65)&gt;0,Vintage_Input!W65/Vintage_Input!O65,""))</f>
        <v/>
      </c>
      <c r="P117" s="152">
        <f>IF($B117=1,$F$9,IF(N(Vintage_Input!P65)&gt;0,Vintage_Input!X65/Vintage_Input!P65,""))</f>
        <v/>
      </c>
      <c r="Q117" s="152">
        <f>IF($B117=1,$G$9,IF(N(Vintage_Input!Q65)&gt;0,Vintage_Input!Y65/Vintage_Input!Q65,""))</f>
        <v/>
      </c>
      <c r="R117" s="152">
        <f>IF($B117=1,$H$9,IF(N(Vintage_Input!R65)&gt;0,Vintage_Input!Z65/Vintage_Input!R65,""))</f>
        <v/>
      </c>
      <c r="S117" s="152">
        <f>IF($B117=1,$I$9,IF(N(Vintage_Input!S65)&gt;0,Vintage_Input!AA65/Vintage_Input!S65,""))</f>
        <v/>
      </c>
      <c r="T117" s="152">
        <f>IF($B117=1,$B$10,IF(N(Vintage_Input!L65)&gt;0,Vintage_Input!AB65/Vintage_Input!L65,""))</f>
        <v/>
      </c>
      <c r="U117" s="152">
        <f>IF($B117=1,$C$10,IF(N(Vintage_Input!M65)&gt;0,Vintage_Input!AC65/Vintage_Input!M65,""))</f>
        <v/>
      </c>
      <c r="V117" s="152">
        <f>IF($B117=1,$D$10,IF(N(Vintage_Input!N65)&gt;0,Vintage_Input!AD65/Vintage_Input!N65,""))</f>
        <v/>
      </c>
      <c r="W117" s="152">
        <f>IF($B117=1,$E$10,IF(N(Vintage_Input!O65)&gt;0,Vintage_Input!AE65/Vintage_Input!O65,""))</f>
        <v/>
      </c>
      <c r="X117" s="152">
        <f>IF($B117=1,$F$10,IF(N(Vintage_Input!P65)&gt;0,Vintage_Input!AF65/Vintage_Input!P65,""))</f>
        <v/>
      </c>
      <c r="Y117" s="152">
        <f>IF($B117=1,$G$10,IF(N(Vintage_Input!Q65)&gt;0,Vintage_Input!AG65/Vintage_Input!Q65,""))</f>
        <v/>
      </c>
      <c r="Z117" s="152">
        <f>IF($B117=1,$H$10,IF(N(Vintage_Input!R65)&gt;0,Vintage_Input!AH65/Vintage_Input!R65,""))</f>
        <v/>
      </c>
      <c r="AA117" s="152">
        <f>IF($B117=1,$I$10,IF(N(Vintage_Input!S65)&gt;0,Vintage_Input!AI65/Vintage_Input!S65,""))</f>
        <v/>
      </c>
      <c r="AB117" s="152">
        <f>IF($B117=1,$B$11,IF(N(Vintage_Input!L65)&gt;0,Vintage_Input!AJ65/Vintage_Input!L65,""))</f>
        <v/>
      </c>
      <c r="AC117" s="152">
        <f>IF($B117=1,$C$11,IF(N(Vintage_Input!M65)&gt;0,Vintage_Input!AK65/Vintage_Input!M65,""))</f>
        <v/>
      </c>
      <c r="AD117" s="152">
        <f>IF($B117=1,$D$11,IF(N(Vintage_Input!N65)&gt;0,Vintage_Input!AL65/Vintage_Input!N65,""))</f>
        <v/>
      </c>
      <c r="AE117" s="152">
        <f>IF($B117=1,$E$11,IF(N(Vintage_Input!O65)&gt;0,Vintage_Input!AM65/Vintage_Input!O65,""))</f>
        <v/>
      </c>
      <c r="AF117" s="152">
        <f>IF($B117=1,$F$11,IF(N(Vintage_Input!P65)&gt;0,Vintage_Input!AN65/Vintage_Input!P65,""))</f>
        <v/>
      </c>
      <c r="AG117" s="152">
        <f>IF($B117=1,$G$11,IF(N(Vintage_Input!Q65)&gt;0,Vintage_Input!AO65/Vintage_Input!Q65,""))</f>
        <v/>
      </c>
      <c r="AH117" s="152">
        <f>IF($B117=1,$H$11,IF(N(Vintage_Input!R65)&gt;0,Vintage_Input!AP65/Vintage_Input!R65,""))</f>
        <v/>
      </c>
      <c r="AI117" s="152">
        <f>IF($B117=1,$I$11,IF(N(Vintage_Input!S65)&gt;0,Vintage_Input!AQ65/Vintage_Input!S65,""))</f>
        <v/>
      </c>
      <c r="AJ117" s="152">
        <f>IF($B117=1,$B$12,IF(N(Vintage_Input!L65)&gt;0,IFERROR(Vintage_Input!AR65/Vintage_Input!AJ65,""),""))</f>
        <v/>
      </c>
      <c r="AK117" s="152">
        <f>IF($B117=1,$C$12,IF(N(Vintage_Input!M65)&gt;0,IFERROR(Vintage_Input!AS65/Vintage_Input!AK65,""),""))</f>
        <v/>
      </c>
      <c r="AL117" s="152">
        <f>IF($B117=1,$D$12,IF(N(Vintage_Input!N65)&gt;0,IFERROR(Vintage_Input!AT65/Vintage_Input!AL65,""),""))</f>
        <v/>
      </c>
      <c r="AM117" s="152">
        <f>IF($B117=1,$E$12,IF(N(Vintage_Input!O65)&gt;0,IFERROR(Vintage_Input!AU65/Vintage_Input!AM65,""),""))</f>
        <v/>
      </c>
      <c r="AN117" s="152">
        <f>IF($B117=1,$F$12,IF(N(Vintage_Input!P65)&gt;0,IFERROR(Vintage_Input!AV65/Vintage_Input!AN65,""),""))</f>
        <v/>
      </c>
      <c r="AO117" s="152">
        <f>IF($B117=1,$G$12,IF(N(Vintage_Input!Q65)&gt;0,IFERROR(Vintage_Input!AW65/Vintage_Input!AO65,""),""))</f>
        <v/>
      </c>
      <c r="AP117" s="152">
        <f>IF($B117=1,$H$12,IF(N(Vintage_Input!R65)&gt;0,IFERROR(Vintage_Input!AX65/Vintage_Input!AP65,""),""))</f>
        <v/>
      </c>
      <c r="AQ117" s="152">
        <f>IF($B117=1,$I$12,IF(N(Vintage_Input!S65)&gt;0,IFERROR(Vintage_Input!AY65/Vintage_Input!AQ65,""),""))</f>
        <v/>
      </c>
      <c r="AR117" s="152">
        <f>IF($B117=1,$B$13,IF(N(Vintage_Input!L65)&gt;0,IFERROR(Vintage_Input!AZ65/$C117,""),""))</f>
        <v/>
      </c>
      <c r="AS117" s="152">
        <f>IF($B117=1,$C$13,IF(N(Vintage_Input!M65)&gt;0,IFERROR(Vintage_Input!BA65/$C117,""),""))</f>
        <v/>
      </c>
      <c r="AT117" s="152">
        <f>IF($B117=1,$D$13,IF(N(Vintage_Input!N65)&gt;0,IFERROR(Vintage_Input!BB65/$C117,""),""))</f>
        <v/>
      </c>
      <c r="AU117" s="152">
        <f>IF($B117=1,$E$13,IF(N(Vintage_Input!O65)&gt;0,IFERROR(Vintage_Input!BC65/$C117,""),""))</f>
        <v/>
      </c>
      <c r="AV117" s="152">
        <f>IF($B117=1,$F$13,IF(N(Vintage_Input!P65)&gt;0,IFERROR(Vintage_Input!BD65/$C117,""),""))</f>
        <v/>
      </c>
      <c r="AW117" s="152">
        <f>IF($B117=1,$G$13,IF(N(Vintage_Input!Q65)&gt;0,IFERROR(Vintage_Input!BE65/$C117,""),""))</f>
        <v/>
      </c>
      <c r="AX117" s="152">
        <f>IF($B117=1,$H$13,IF(N(Vintage_Input!R65)&gt;0,IFERROR(Vintage_Input!BF65/$C117,""),""))</f>
        <v/>
      </c>
      <c r="AY117" s="152">
        <f>IF($B117=1,$I$13,IF(N(Vintage_Input!S65)&gt;0,IFERROR(Vintage_Input!BG65/$C117,""),""))</f>
        <v/>
      </c>
      <c r="AZ117" s="153">
        <f>IF($B117=1,$B$14,IF(N(Vintage_Input!L65)&gt;0,IFERROR((Vintage_Input!D65+Vintage_Input!AR65)/$C117+Products!$C$14-(Products!$C$43+Products!$C$19+Products!$C$43*Products!$C$22+Products!$C$44),""),""))</f>
        <v/>
      </c>
      <c r="BA117" s="153">
        <f>IF($B117=1,$C$14,IF(N(Vintage_Input!M65)&gt;0,IFERROR((Vintage_Input!E65+Vintage_Input!AS65)/$C117+Products!$C$14-(Products!$C$43+Products!$C$19+Products!$C$43*Products!$C$22+Products!$C$44),""),""))</f>
        <v/>
      </c>
      <c r="BB117" s="153">
        <f>IF($B117=1,$D$14,IF(N(Vintage_Input!N65)&gt;0,IFERROR((Vintage_Input!F65+Vintage_Input!AT65)/$C117+Products!$C$14-(Products!$C$43+Products!$C$19+Products!$C$43*Products!$C$22+Products!$C$44),""),""))</f>
        <v/>
      </c>
      <c r="BC117" s="153">
        <f>IF($B117=1,$E$14,IF(N(Vintage_Input!O65)&gt;0,IFERROR((Vintage_Input!G65+Vintage_Input!AU65)/$C117+Products!$C$14-(Products!$C$43+Products!$C$19+Products!$C$43*Products!$C$22+Products!$C$44),""),""))</f>
        <v/>
      </c>
      <c r="BD117" s="153">
        <f>IF($B117=1,$F$14,IF(N(Vintage_Input!P65)&gt;0,IFERROR((Vintage_Input!H65+Vintage_Input!AV65)/$C117+Products!$C$14-(Products!$C$43+Products!$C$19+Products!$C$43*Products!$C$22+Products!$C$44),""),""))</f>
        <v/>
      </c>
      <c r="BE117" s="153">
        <f>IF($B117=1,$G$14,IF(N(Vintage_Input!Q65)&gt;0,IFERROR((Vintage_Input!I65+Vintage_Input!AW65)/$C117+Products!$C$14-(Products!$C$43+Products!$C$19+Products!$C$43*Products!$C$22+Products!$C$44),""),""))</f>
        <v/>
      </c>
      <c r="BF117" s="153">
        <f>IF($B117=1,$H$14,IF(N(Vintage_Input!R65)&gt;0,IFERROR((Vintage_Input!J65+Vintage_Input!AX65)/$C117+Products!$C$14-(Products!$C$43+Products!$C$19+Products!$C$43*Products!$C$22+Products!$C$44),""),""))</f>
        <v/>
      </c>
      <c r="BG117" s="153">
        <f>IF($B117=1,$I$14,IF(N(Vintage_Input!S65)&gt;0,IFERROR((Vintage_Input!K65+Vintage_Input!AY65)/$C117+Products!$C$14-(Products!$C$43+Products!$C$19+Products!$C$43*Products!$C$22+Products!$C$44),""),""))</f>
        <v/>
      </c>
      <c r="BH117" s="81">
        <f>IF($B117=1,0,IF(Vintage_Input!$BH$65="","",Vintage_Input!$BH$65))</f>
        <v/>
      </c>
    </row>
    <row r="118">
      <c r="A118" s="23" t="n">
        <v>58</v>
      </c>
      <c r="B118" s="48">
        <f>Vintage_Input!$B$66</f>
        <v/>
      </c>
      <c r="C118" s="41">
        <f>IF(Vintage_Input!$C$66="",0,Vintage_Input!$C$66)</f>
        <v/>
      </c>
      <c r="D118" s="152">
        <f>IF($B118=1,$B$8,IF(N(Vintage_Input!L66)&gt;0,Vintage_Input!D66/Vintage_Input!L66,""))</f>
        <v/>
      </c>
      <c r="E118" s="152">
        <f>IF($B118=1,$C$8,IF(N(Vintage_Input!M66)&gt;0,Vintage_Input!E66/Vintage_Input!M66,""))</f>
        <v/>
      </c>
      <c r="F118" s="152">
        <f>IF($B118=1,$D$8,IF(N(Vintage_Input!N66)&gt;0,Vintage_Input!F66/Vintage_Input!N66,""))</f>
        <v/>
      </c>
      <c r="G118" s="152">
        <f>IF($B118=1,$E$8,IF(N(Vintage_Input!O66)&gt;0,Vintage_Input!G66/Vintage_Input!O66,""))</f>
        <v/>
      </c>
      <c r="H118" s="152">
        <f>IF($B118=1,$F$8,IF(N(Vintage_Input!P66)&gt;0,Vintage_Input!H66/Vintage_Input!P66,""))</f>
        <v/>
      </c>
      <c r="I118" s="152">
        <f>IF($B118=1,$G$8,IF(N(Vintage_Input!Q66)&gt;0,Vintage_Input!I66/Vintage_Input!Q66,""))</f>
        <v/>
      </c>
      <c r="J118" s="152">
        <f>IF($B118=1,$H$8,IF(N(Vintage_Input!R66)&gt;0,Vintage_Input!J66/Vintage_Input!R66,""))</f>
        <v/>
      </c>
      <c r="K118" s="152">
        <f>IF($B118=1,$I$8,IF(N(Vintage_Input!S66)&gt;0,Vintage_Input!K66/Vintage_Input!S66,""))</f>
        <v/>
      </c>
      <c r="L118" s="152">
        <f>IF($B118=1,$B$9,IF(N(Vintage_Input!L66)&gt;0,Vintage_Input!T66/Vintage_Input!L66,""))</f>
        <v/>
      </c>
      <c r="M118" s="152">
        <f>IF($B118=1,$C$9,IF(N(Vintage_Input!M66)&gt;0,Vintage_Input!U66/Vintage_Input!M66,""))</f>
        <v/>
      </c>
      <c r="N118" s="152">
        <f>IF($B118=1,$D$9,IF(N(Vintage_Input!N66)&gt;0,Vintage_Input!V66/Vintage_Input!N66,""))</f>
        <v/>
      </c>
      <c r="O118" s="152">
        <f>IF($B118=1,$E$9,IF(N(Vintage_Input!O66)&gt;0,Vintage_Input!W66/Vintage_Input!O66,""))</f>
        <v/>
      </c>
      <c r="P118" s="152">
        <f>IF($B118=1,$F$9,IF(N(Vintage_Input!P66)&gt;0,Vintage_Input!X66/Vintage_Input!P66,""))</f>
        <v/>
      </c>
      <c r="Q118" s="152">
        <f>IF($B118=1,$G$9,IF(N(Vintage_Input!Q66)&gt;0,Vintage_Input!Y66/Vintage_Input!Q66,""))</f>
        <v/>
      </c>
      <c r="R118" s="152">
        <f>IF($B118=1,$H$9,IF(N(Vintage_Input!R66)&gt;0,Vintage_Input!Z66/Vintage_Input!R66,""))</f>
        <v/>
      </c>
      <c r="S118" s="152">
        <f>IF($B118=1,$I$9,IF(N(Vintage_Input!S66)&gt;0,Vintage_Input!AA66/Vintage_Input!S66,""))</f>
        <v/>
      </c>
      <c r="T118" s="152">
        <f>IF($B118=1,$B$10,IF(N(Vintage_Input!L66)&gt;0,Vintage_Input!AB66/Vintage_Input!L66,""))</f>
        <v/>
      </c>
      <c r="U118" s="152">
        <f>IF($B118=1,$C$10,IF(N(Vintage_Input!M66)&gt;0,Vintage_Input!AC66/Vintage_Input!M66,""))</f>
        <v/>
      </c>
      <c r="V118" s="152">
        <f>IF($B118=1,$D$10,IF(N(Vintage_Input!N66)&gt;0,Vintage_Input!AD66/Vintage_Input!N66,""))</f>
        <v/>
      </c>
      <c r="W118" s="152">
        <f>IF($B118=1,$E$10,IF(N(Vintage_Input!O66)&gt;0,Vintage_Input!AE66/Vintage_Input!O66,""))</f>
        <v/>
      </c>
      <c r="X118" s="152">
        <f>IF($B118=1,$F$10,IF(N(Vintage_Input!P66)&gt;0,Vintage_Input!AF66/Vintage_Input!P66,""))</f>
        <v/>
      </c>
      <c r="Y118" s="152">
        <f>IF($B118=1,$G$10,IF(N(Vintage_Input!Q66)&gt;0,Vintage_Input!AG66/Vintage_Input!Q66,""))</f>
        <v/>
      </c>
      <c r="Z118" s="152">
        <f>IF($B118=1,$H$10,IF(N(Vintage_Input!R66)&gt;0,Vintage_Input!AH66/Vintage_Input!R66,""))</f>
        <v/>
      </c>
      <c r="AA118" s="152">
        <f>IF($B118=1,$I$10,IF(N(Vintage_Input!S66)&gt;0,Vintage_Input!AI66/Vintage_Input!S66,""))</f>
        <v/>
      </c>
      <c r="AB118" s="152">
        <f>IF($B118=1,$B$11,IF(N(Vintage_Input!L66)&gt;0,Vintage_Input!AJ66/Vintage_Input!L66,""))</f>
        <v/>
      </c>
      <c r="AC118" s="152">
        <f>IF($B118=1,$C$11,IF(N(Vintage_Input!M66)&gt;0,Vintage_Input!AK66/Vintage_Input!M66,""))</f>
        <v/>
      </c>
      <c r="AD118" s="152">
        <f>IF($B118=1,$D$11,IF(N(Vintage_Input!N66)&gt;0,Vintage_Input!AL66/Vintage_Input!N66,""))</f>
        <v/>
      </c>
      <c r="AE118" s="152">
        <f>IF($B118=1,$E$11,IF(N(Vintage_Input!O66)&gt;0,Vintage_Input!AM66/Vintage_Input!O66,""))</f>
        <v/>
      </c>
      <c r="AF118" s="152">
        <f>IF($B118=1,$F$11,IF(N(Vintage_Input!P66)&gt;0,Vintage_Input!AN66/Vintage_Input!P66,""))</f>
        <v/>
      </c>
      <c r="AG118" s="152">
        <f>IF($B118=1,$G$11,IF(N(Vintage_Input!Q66)&gt;0,Vintage_Input!AO66/Vintage_Input!Q66,""))</f>
        <v/>
      </c>
      <c r="AH118" s="152">
        <f>IF($B118=1,$H$11,IF(N(Vintage_Input!R66)&gt;0,Vintage_Input!AP66/Vintage_Input!R66,""))</f>
        <v/>
      </c>
      <c r="AI118" s="152">
        <f>IF($B118=1,$I$11,IF(N(Vintage_Input!S66)&gt;0,Vintage_Input!AQ66/Vintage_Input!S66,""))</f>
        <v/>
      </c>
      <c r="AJ118" s="152">
        <f>IF($B118=1,$B$12,IF(N(Vintage_Input!L66)&gt;0,IFERROR(Vintage_Input!AR66/Vintage_Input!AJ66,""),""))</f>
        <v/>
      </c>
      <c r="AK118" s="152">
        <f>IF($B118=1,$C$12,IF(N(Vintage_Input!M66)&gt;0,IFERROR(Vintage_Input!AS66/Vintage_Input!AK66,""),""))</f>
        <v/>
      </c>
      <c r="AL118" s="152">
        <f>IF($B118=1,$D$12,IF(N(Vintage_Input!N66)&gt;0,IFERROR(Vintage_Input!AT66/Vintage_Input!AL66,""),""))</f>
        <v/>
      </c>
      <c r="AM118" s="152">
        <f>IF($B118=1,$E$12,IF(N(Vintage_Input!O66)&gt;0,IFERROR(Vintage_Input!AU66/Vintage_Input!AM66,""),""))</f>
        <v/>
      </c>
      <c r="AN118" s="152">
        <f>IF($B118=1,$F$12,IF(N(Vintage_Input!P66)&gt;0,IFERROR(Vintage_Input!AV66/Vintage_Input!AN66,""),""))</f>
        <v/>
      </c>
      <c r="AO118" s="152">
        <f>IF($B118=1,$G$12,IF(N(Vintage_Input!Q66)&gt;0,IFERROR(Vintage_Input!AW66/Vintage_Input!AO66,""),""))</f>
        <v/>
      </c>
      <c r="AP118" s="152">
        <f>IF($B118=1,$H$12,IF(N(Vintage_Input!R66)&gt;0,IFERROR(Vintage_Input!AX66/Vintage_Input!AP66,""),""))</f>
        <v/>
      </c>
      <c r="AQ118" s="152">
        <f>IF($B118=1,$I$12,IF(N(Vintage_Input!S66)&gt;0,IFERROR(Vintage_Input!AY66/Vintage_Input!AQ66,""),""))</f>
        <v/>
      </c>
      <c r="AR118" s="152">
        <f>IF($B118=1,$B$13,IF(N(Vintage_Input!L66)&gt;0,IFERROR(Vintage_Input!AZ66/$C118,""),""))</f>
        <v/>
      </c>
      <c r="AS118" s="152">
        <f>IF($B118=1,$C$13,IF(N(Vintage_Input!M66)&gt;0,IFERROR(Vintage_Input!BA66/$C118,""),""))</f>
        <v/>
      </c>
      <c r="AT118" s="152">
        <f>IF($B118=1,$D$13,IF(N(Vintage_Input!N66)&gt;0,IFERROR(Vintage_Input!BB66/$C118,""),""))</f>
        <v/>
      </c>
      <c r="AU118" s="152">
        <f>IF($B118=1,$E$13,IF(N(Vintage_Input!O66)&gt;0,IFERROR(Vintage_Input!BC66/$C118,""),""))</f>
        <v/>
      </c>
      <c r="AV118" s="152">
        <f>IF($B118=1,$F$13,IF(N(Vintage_Input!P66)&gt;0,IFERROR(Vintage_Input!BD66/$C118,""),""))</f>
        <v/>
      </c>
      <c r="AW118" s="152">
        <f>IF($B118=1,$G$13,IF(N(Vintage_Input!Q66)&gt;0,IFERROR(Vintage_Input!BE66/$C118,""),""))</f>
        <v/>
      </c>
      <c r="AX118" s="152">
        <f>IF($B118=1,$H$13,IF(N(Vintage_Input!R66)&gt;0,IFERROR(Vintage_Input!BF66/$C118,""),""))</f>
        <v/>
      </c>
      <c r="AY118" s="152">
        <f>IF($B118=1,$I$13,IF(N(Vintage_Input!S66)&gt;0,IFERROR(Vintage_Input!BG66/$C118,""),""))</f>
        <v/>
      </c>
      <c r="AZ118" s="153">
        <f>IF($B118=1,$B$14,IF(N(Vintage_Input!L66)&gt;0,IFERROR((Vintage_Input!D66+Vintage_Input!AR66)/$C118+Products!$C$14-(Products!$C$43+Products!$C$19+Products!$C$43*Products!$C$22+Products!$C$44),""),""))</f>
        <v/>
      </c>
      <c r="BA118" s="153">
        <f>IF($B118=1,$C$14,IF(N(Vintage_Input!M66)&gt;0,IFERROR((Vintage_Input!E66+Vintage_Input!AS66)/$C118+Products!$C$14-(Products!$C$43+Products!$C$19+Products!$C$43*Products!$C$22+Products!$C$44),""),""))</f>
        <v/>
      </c>
      <c r="BB118" s="153">
        <f>IF($B118=1,$D$14,IF(N(Vintage_Input!N66)&gt;0,IFERROR((Vintage_Input!F66+Vintage_Input!AT66)/$C118+Products!$C$14-(Products!$C$43+Products!$C$19+Products!$C$43*Products!$C$22+Products!$C$44),""),""))</f>
        <v/>
      </c>
      <c r="BC118" s="153">
        <f>IF($B118=1,$E$14,IF(N(Vintage_Input!O66)&gt;0,IFERROR((Vintage_Input!G66+Vintage_Input!AU66)/$C118+Products!$C$14-(Products!$C$43+Products!$C$19+Products!$C$43*Products!$C$22+Products!$C$44),""),""))</f>
        <v/>
      </c>
      <c r="BD118" s="153">
        <f>IF($B118=1,$F$14,IF(N(Vintage_Input!P66)&gt;0,IFERROR((Vintage_Input!H66+Vintage_Input!AV66)/$C118+Products!$C$14-(Products!$C$43+Products!$C$19+Products!$C$43*Products!$C$22+Products!$C$44),""),""))</f>
        <v/>
      </c>
      <c r="BE118" s="153">
        <f>IF($B118=1,$G$14,IF(N(Vintage_Input!Q66)&gt;0,IFERROR((Vintage_Input!I66+Vintage_Input!AW66)/$C118+Products!$C$14-(Products!$C$43+Products!$C$19+Products!$C$43*Products!$C$22+Products!$C$44),""),""))</f>
        <v/>
      </c>
      <c r="BF118" s="153">
        <f>IF($B118=1,$H$14,IF(N(Vintage_Input!R66)&gt;0,IFERROR((Vintage_Input!J66+Vintage_Input!AX66)/$C118+Products!$C$14-(Products!$C$43+Products!$C$19+Products!$C$43*Products!$C$22+Products!$C$44),""),""))</f>
        <v/>
      </c>
      <c r="BG118" s="153">
        <f>IF($B118=1,$I$14,IF(N(Vintage_Input!S66)&gt;0,IFERROR((Vintage_Input!K66+Vintage_Input!AY66)/$C118+Products!$C$14-(Products!$C$43+Products!$C$19+Products!$C$43*Products!$C$22+Products!$C$44),""),""))</f>
        <v/>
      </c>
      <c r="BH118" s="81">
        <f>IF($B118=1,0,IF(Vintage_Input!$BH$66="","",Vintage_Input!$BH$66))</f>
        <v/>
      </c>
    </row>
    <row r="119">
      <c r="A119" s="23" t="n">
        <v>59</v>
      </c>
      <c r="B119" s="48">
        <f>Vintage_Input!$B$67</f>
        <v/>
      </c>
      <c r="C119" s="41">
        <f>IF(Vintage_Input!$C$67="",0,Vintage_Input!$C$67)</f>
        <v/>
      </c>
      <c r="D119" s="152">
        <f>IF($B119=1,$B$8,IF(N(Vintage_Input!L67)&gt;0,Vintage_Input!D67/Vintage_Input!L67,""))</f>
        <v/>
      </c>
      <c r="E119" s="152">
        <f>IF($B119=1,$C$8,IF(N(Vintage_Input!M67)&gt;0,Vintage_Input!E67/Vintage_Input!M67,""))</f>
        <v/>
      </c>
      <c r="F119" s="152">
        <f>IF($B119=1,$D$8,IF(N(Vintage_Input!N67)&gt;0,Vintage_Input!F67/Vintage_Input!N67,""))</f>
        <v/>
      </c>
      <c r="G119" s="152">
        <f>IF($B119=1,$E$8,IF(N(Vintage_Input!O67)&gt;0,Vintage_Input!G67/Vintage_Input!O67,""))</f>
        <v/>
      </c>
      <c r="H119" s="152">
        <f>IF($B119=1,$F$8,IF(N(Vintage_Input!P67)&gt;0,Vintage_Input!H67/Vintage_Input!P67,""))</f>
        <v/>
      </c>
      <c r="I119" s="152">
        <f>IF($B119=1,$G$8,IF(N(Vintage_Input!Q67)&gt;0,Vintage_Input!I67/Vintage_Input!Q67,""))</f>
        <v/>
      </c>
      <c r="J119" s="152">
        <f>IF($B119=1,$H$8,IF(N(Vintage_Input!R67)&gt;0,Vintage_Input!J67/Vintage_Input!R67,""))</f>
        <v/>
      </c>
      <c r="K119" s="152">
        <f>IF($B119=1,$I$8,IF(N(Vintage_Input!S67)&gt;0,Vintage_Input!K67/Vintage_Input!S67,""))</f>
        <v/>
      </c>
      <c r="L119" s="152">
        <f>IF($B119=1,$B$9,IF(N(Vintage_Input!L67)&gt;0,Vintage_Input!T67/Vintage_Input!L67,""))</f>
        <v/>
      </c>
      <c r="M119" s="152">
        <f>IF($B119=1,$C$9,IF(N(Vintage_Input!M67)&gt;0,Vintage_Input!U67/Vintage_Input!M67,""))</f>
        <v/>
      </c>
      <c r="N119" s="152">
        <f>IF($B119=1,$D$9,IF(N(Vintage_Input!N67)&gt;0,Vintage_Input!V67/Vintage_Input!N67,""))</f>
        <v/>
      </c>
      <c r="O119" s="152">
        <f>IF($B119=1,$E$9,IF(N(Vintage_Input!O67)&gt;0,Vintage_Input!W67/Vintage_Input!O67,""))</f>
        <v/>
      </c>
      <c r="P119" s="152">
        <f>IF($B119=1,$F$9,IF(N(Vintage_Input!P67)&gt;0,Vintage_Input!X67/Vintage_Input!P67,""))</f>
        <v/>
      </c>
      <c r="Q119" s="152">
        <f>IF($B119=1,$G$9,IF(N(Vintage_Input!Q67)&gt;0,Vintage_Input!Y67/Vintage_Input!Q67,""))</f>
        <v/>
      </c>
      <c r="R119" s="152">
        <f>IF($B119=1,$H$9,IF(N(Vintage_Input!R67)&gt;0,Vintage_Input!Z67/Vintage_Input!R67,""))</f>
        <v/>
      </c>
      <c r="S119" s="152">
        <f>IF($B119=1,$I$9,IF(N(Vintage_Input!S67)&gt;0,Vintage_Input!AA67/Vintage_Input!S67,""))</f>
        <v/>
      </c>
      <c r="T119" s="152">
        <f>IF($B119=1,$B$10,IF(N(Vintage_Input!L67)&gt;0,Vintage_Input!AB67/Vintage_Input!L67,""))</f>
        <v/>
      </c>
      <c r="U119" s="152">
        <f>IF($B119=1,$C$10,IF(N(Vintage_Input!M67)&gt;0,Vintage_Input!AC67/Vintage_Input!M67,""))</f>
        <v/>
      </c>
      <c r="V119" s="152">
        <f>IF($B119=1,$D$10,IF(N(Vintage_Input!N67)&gt;0,Vintage_Input!AD67/Vintage_Input!N67,""))</f>
        <v/>
      </c>
      <c r="W119" s="152">
        <f>IF($B119=1,$E$10,IF(N(Vintage_Input!O67)&gt;0,Vintage_Input!AE67/Vintage_Input!O67,""))</f>
        <v/>
      </c>
      <c r="X119" s="152">
        <f>IF($B119=1,$F$10,IF(N(Vintage_Input!P67)&gt;0,Vintage_Input!AF67/Vintage_Input!P67,""))</f>
        <v/>
      </c>
      <c r="Y119" s="152">
        <f>IF($B119=1,$G$10,IF(N(Vintage_Input!Q67)&gt;0,Vintage_Input!AG67/Vintage_Input!Q67,""))</f>
        <v/>
      </c>
      <c r="Z119" s="152">
        <f>IF($B119=1,$H$10,IF(N(Vintage_Input!R67)&gt;0,Vintage_Input!AH67/Vintage_Input!R67,""))</f>
        <v/>
      </c>
      <c r="AA119" s="152">
        <f>IF($B119=1,$I$10,IF(N(Vintage_Input!S67)&gt;0,Vintage_Input!AI67/Vintage_Input!S67,""))</f>
        <v/>
      </c>
      <c r="AB119" s="152">
        <f>IF($B119=1,$B$11,IF(N(Vintage_Input!L67)&gt;0,Vintage_Input!AJ67/Vintage_Input!L67,""))</f>
        <v/>
      </c>
      <c r="AC119" s="152">
        <f>IF($B119=1,$C$11,IF(N(Vintage_Input!M67)&gt;0,Vintage_Input!AK67/Vintage_Input!M67,""))</f>
        <v/>
      </c>
      <c r="AD119" s="152">
        <f>IF($B119=1,$D$11,IF(N(Vintage_Input!N67)&gt;0,Vintage_Input!AL67/Vintage_Input!N67,""))</f>
        <v/>
      </c>
      <c r="AE119" s="152">
        <f>IF($B119=1,$E$11,IF(N(Vintage_Input!O67)&gt;0,Vintage_Input!AM67/Vintage_Input!O67,""))</f>
        <v/>
      </c>
      <c r="AF119" s="152">
        <f>IF($B119=1,$F$11,IF(N(Vintage_Input!P67)&gt;0,Vintage_Input!AN67/Vintage_Input!P67,""))</f>
        <v/>
      </c>
      <c r="AG119" s="152">
        <f>IF($B119=1,$G$11,IF(N(Vintage_Input!Q67)&gt;0,Vintage_Input!AO67/Vintage_Input!Q67,""))</f>
        <v/>
      </c>
      <c r="AH119" s="152">
        <f>IF($B119=1,$H$11,IF(N(Vintage_Input!R67)&gt;0,Vintage_Input!AP67/Vintage_Input!R67,""))</f>
        <v/>
      </c>
      <c r="AI119" s="152">
        <f>IF($B119=1,$I$11,IF(N(Vintage_Input!S67)&gt;0,Vintage_Input!AQ67/Vintage_Input!S67,""))</f>
        <v/>
      </c>
      <c r="AJ119" s="152">
        <f>IF($B119=1,$B$12,IF(N(Vintage_Input!L67)&gt;0,IFERROR(Vintage_Input!AR67/Vintage_Input!AJ67,""),""))</f>
        <v/>
      </c>
      <c r="AK119" s="152">
        <f>IF($B119=1,$C$12,IF(N(Vintage_Input!M67)&gt;0,IFERROR(Vintage_Input!AS67/Vintage_Input!AK67,""),""))</f>
        <v/>
      </c>
      <c r="AL119" s="152">
        <f>IF($B119=1,$D$12,IF(N(Vintage_Input!N67)&gt;0,IFERROR(Vintage_Input!AT67/Vintage_Input!AL67,""),""))</f>
        <v/>
      </c>
      <c r="AM119" s="152">
        <f>IF($B119=1,$E$12,IF(N(Vintage_Input!O67)&gt;0,IFERROR(Vintage_Input!AU67/Vintage_Input!AM67,""),""))</f>
        <v/>
      </c>
      <c r="AN119" s="152">
        <f>IF($B119=1,$F$12,IF(N(Vintage_Input!P67)&gt;0,IFERROR(Vintage_Input!AV67/Vintage_Input!AN67,""),""))</f>
        <v/>
      </c>
      <c r="AO119" s="152">
        <f>IF($B119=1,$G$12,IF(N(Vintage_Input!Q67)&gt;0,IFERROR(Vintage_Input!AW67/Vintage_Input!AO67,""),""))</f>
        <v/>
      </c>
      <c r="AP119" s="152">
        <f>IF($B119=1,$H$12,IF(N(Vintage_Input!R67)&gt;0,IFERROR(Vintage_Input!AX67/Vintage_Input!AP67,""),""))</f>
        <v/>
      </c>
      <c r="AQ119" s="152">
        <f>IF($B119=1,$I$12,IF(N(Vintage_Input!S67)&gt;0,IFERROR(Vintage_Input!AY67/Vintage_Input!AQ67,""),""))</f>
        <v/>
      </c>
      <c r="AR119" s="152">
        <f>IF($B119=1,$B$13,IF(N(Vintage_Input!L67)&gt;0,IFERROR(Vintage_Input!AZ67/$C119,""),""))</f>
        <v/>
      </c>
      <c r="AS119" s="152">
        <f>IF($B119=1,$C$13,IF(N(Vintage_Input!M67)&gt;0,IFERROR(Vintage_Input!BA67/$C119,""),""))</f>
        <v/>
      </c>
      <c r="AT119" s="152">
        <f>IF($B119=1,$D$13,IF(N(Vintage_Input!N67)&gt;0,IFERROR(Vintage_Input!BB67/$C119,""),""))</f>
        <v/>
      </c>
      <c r="AU119" s="152">
        <f>IF($B119=1,$E$13,IF(N(Vintage_Input!O67)&gt;0,IFERROR(Vintage_Input!BC67/$C119,""),""))</f>
        <v/>
      </c>
      <c r="AV119" s="152">
        <f>IF($B119=1,$F$13,IF(N(Vintage_Input!P67)&gt;0,IFERROR(Vintage_Input!BD67/$C119,""),""))</f>
        <v/>
      </c>
      <c r="AW119" s="152">
        <f>IF($B119=1,$G$13,IF(N(Vintage_Input!Q67)&gt;0,IFERROR(Vintage_Input!BE67/$C119,""),""))</f>
        <v/>
      </c>
      <c r="AX119" s="152">
        <f>IF($B119=1,$H$13,IF(N(Vintage_Input!R67)&gt;0,IFERROR(Vintage_Input!BF67/$C119,""),""))</f>
        <v/>
      </c>
      <c r="AY119" s="152">
        <f>IF($B119=1,$I$13,IF(N(Vintage_Input!S67)&gt;0,IFERROR(Vintage_Input!BG67/$C119,""),""))</f>
        <v/>
      </c>
      <c r="AZ119" s="153">
        <f>IF($B119=1,$B$14,IF(N(Vintage_Input!L67)&gt;0,IFERROR((Vintage_Input!D67+Vintage_Input!AR67)/$C119+Products!$C$14-(Products!$C$43+Products!$C$19+Products!$C$43*Products!$C$22+Products!$C$44),""),""))</f>
        <v/>
      </c>
      <c r="BA119" s="153">
        <f>IF($B119=1,$C$14,IF(N(Vintage_Input!M67)&gt;0,IFERROR((Vintage_Input!E67+Vintage_Input!AS67)/$C119+Products!$C$14-(Products!$C$43+Products!$C$19+Products!$C$43*Products!$C$22+Products!$C$44),""),""))</f>
        <v/>
      </c>
      <c r="BB119" s="153">
        <f>IF($B119=1,$D$14,IF(N(Vintage_Input!N67)&gt;0,IFERROR((Vintage_Input!F67+Vintage_Input!AT67)/$C119+Products!$C$14-(Products!$C$43+Products!$C$19+Products!$C$43*Products!$C$22+Products!$C$44),""),""))</f>
        <v/>
      </c>
      <c r="BC119" s="153">
        <f>IF($B119=1,$E$14,IF(N(Vintage_Input!O67)&gt;0,IFERROR((Vintage_Input!G67+Vintage_Input!AU67)/$C119+Products!$C$14-(Products!$C$43+Products!$C$19+Products!$C$43*Products!$C$22+Products!$C$44),""),""))</f>
        <v/>
      </c>
      <c r="BD119" s="153">
        <f>IF($B119=1,$F$14,IF(N(Vintage_Input!P67)&gt;0,IFERROR((Vintage_Input!H67+Vintage_Input!AV67)/$C119+Products!$C$14-(Products!$C$43+Products!$C$19+Products!$C$43*Products!$C$22+Products!$C$44),""),""))</f>
        <v/>
      </c>
      <c r="BE119" s="153">
        <f>IF($B119=1,$G$14,IF(N(Vintage_Input!Q67)&gt;0,IFERROR((Vintage_Input!I67+Vintage_Input!AW67)/$C119+Products!$C$14-(Products!$C$43+Products!$C$19+Products!$C$43*Products!$C$22+Products!$C$44),""),""))</f>
        <v/>
      </c>
      <c r="BF119" s="153">
        <f>IF($B119=1,$H$14,IF(N(Vintage_Input!R67)&gt;0,IFERROR((Vintage_Input!J67+Vintage_Input!AX67)/$C119+Products!$C$14-(Products!$C$43+Products!$C$19+Products!$C$43*Products!$C$22+Products!$C$44),""),""))</f>
        <v/>
      </c>
      <c r="BG119" s="153">
        <f>IF($B119=1,$I$14,IF(N(Vintage_Input!S67)&gt;0,IFERROR((Vintage_Input!K67+Vintage_Input!AY67)/$C119+Products!$C$14-(Products!$C$43+Products!$C$19+Products!$C$43*Products!$C$22+Products!$C$44),""),""))</f>
        <v/>
      </c>
      <c r="BH119" s="81">
        <f>IF($B119=1,0,IF(Vintage_Input!$BH$67="","",Vintage_Input!$BH$67))</f>
        <v/>
      </c>
    </row>
    <row r="120">
      <c r="A120" s="23" t="n">
        <v>60</v>
      </c>
      <c r="B120" s="48">
        <f>Vintage_Input!$B$68</f>
        <v/>
      </c>
      <c r="C120" s="41">
        <f>IF(Vintage_Input!$C$68="",0,Vintage_Input!$C$68)</f>
        <v/>
      </c>
      <c r="D120" s="152">
        <f>IF($B120=1,$B$8,IF(N(Vintage_Input!L68)&gt;0,Vintage_Input!D68/Vintage_Input!L68,""))</f>
        <v/>
      </c>
      <c r="E120" s="152">
        <f>IF($B120=1,$C$8,IF(N(Vintage_Input!M68)&gt;0,Vintage_Input!E68/Vintage_Input!M68,""))</f>
        <v/>
      </c>
      <c r="F120" s="152">
        <f>IF($B120=1,$D$8,IF(N(Vintage_Input!N68)&gt;0,Vintage_Input!F68/Vintage_Input!N68,""))</f>
        <v/>
      </c>
      <c r="G120" s="152">
        <f>IF($B120=1,$E$8,IF(N(Vintage_Input!O68)&gt;0,Vintage_Input!G68/Vintage_Input!O68,""))</f>
        <v/>
      </c>
      <c r="H120" s="152">
        <f>IF($B120=1,$F$8,IF(N(Vintage_Input!P68)&gt;0,Vintage_Input!H68/Vintage_Input!P68,""))</f>
        <v/>
      </c>
      <c r="I120" s="152">
        <f>IF($B120=1,$G$8,IF(N(Vintage_Input!Q68)&gt;0,Vintage_Input!I68/Vintage_Input!Q68,""))</f>
        <v/>
      </c>
      <c r="J120" s="152">
        <f>IF($B120=1,$H$8,IF(N(Vintage_Input!R68)&gt;0,Vintage_Input!J68/Vintage_Input!R68,""))</f>
        <v/>
      </c>
      <c r="K120" s="152">
        <f>IF($B120=1,$I$8,IF(N(Vintage_Input!S68)&gt;0,Vintage_Input!K68/Vintage_Input!S68,""))</f>
        <v/>
      </c>
      <c r="L120" s="152">
        <f>IF($B120=1,$B$9,IF(N(Vintage_Input!L68)&gt;0,Vintage_Input!T68/Vintage_Input!L68,""))</f>
        <v/>
      </c>
      <c r="M120" s="152">
        <f>IF($B120=1,$C$9,IF(N(Vintage_Input!M68)&gt;0,Vintage_Input!U68/Vintage_Input!M68,""))</f>
        <v/>
      </c>
      <c r="N120" s="152">
        <f>IF($B120=1,$D$9,IF(N(Vintage_Input!N68)&gt;0,Vintage_Input!V68/Vintage_Input!N68,""))</f>
        <v/>
      </c>
      <c r="O120" s="152">
        <f>IF($B120=1,$E$9,IF(N(Vintage_Input!O68)&gt;0,Vintage_Input!W68/Vintage_Input!O68,""))</f>
        <v/>
      </c>
      <c r="P120" s="152">
        <f>IF($B120=1,$F$9,IF(N(Vintage_Input!P68)&gt;0,Vintage_Input!X68/Vintage_Input!P68,""))</f>
        <v/>
      </c>
      <c r="Q120" s="152">
        <f>IF($B120=1,$G$9,IF(N(Vintage_Input!Q68)&gt;0,Vintage_Input!Y68/Vintage_Input!Q68,""))</f>
        <v/>
      </c>
      <c r="R120" s="152">
        <f>IF($B120=1,$H$9,IF(N(Vintage_Input!R68)&gt;0,Vintage_Input!Z68/Vintage_Input!R68,""))</f>
        <v/>
      </c>
      <c r="S120" s="152">
        <f>IF($B120=1,$I$9,IF(N(Vintage_Input!S68)&gt;0,Vintage_Input!AA68/Vintage_Input!S68,""))</f>
        <v/>
      </c>
      <c r="T120" s="152">
        <f>IF($B120=1,$B$10,IF(N(Vintage_Input!L68)&gt;0,Vintage_Input!AB68/Vintage_Input!L68,""))</f>
        <v/>
      </c>
      <c r="U120" s="152">
        <f>IF($B120=1,$C$10,IF(N(Vintage_Input!M68)&gt;0,Vintage_Input!AC68/Vintage_Input!M68,""))</f>
        <v/>
      </c>
      <c r="V120" s="152">
        <f>IF($B120=1,$D$10,IF(N(Vintage_Input!N68)&gt;0,Vintage_Input!AD68/Vintage_Input!N68,""))</f>
        <v/>
      </c>
      <c r="W120" s="152">
        <f>IF($B120=1,$E$10,IF(N(Vintage_Input!O68)&gt;0,Vintage_Input!AE68/Vintage_Input!O68,""))</f>
        <v/>
      </c>
      <c r="X120" s="152">
        <f>IF($B120=1,$F$10,IF(N(Vintage_Input!P68)&gt;0,Vintage_Input!AF68/Vintage_Input!P68,""))</f>
        <v/>
      </c>
      <c r="Y120" s="152">
        <f>IF($B120=1,$G$10,IF(N(Vintage_Input!Q68)&gt;0,Vintage_Input!AG68/Vintage_Input!Q68,""))</f>
        <v/>
      </c>
      <c r="Z120" s="152">
        <f>IF($B120=1,$H$10,IF(N(Vintage_Input!R68)&gt;0,Vintage_Input!AH68/Vintage_Input!R68,""))</f>
        <v/>
      </c>
      <c r="AA120" s="152">
        <f>IF($B120=1,$I$10,IF(N(Vintage_Input!S68)&gt;0,Vintage_Input!AI68/Vintage_Input!S68,""))</f>
        <v/>
      </c>
      <c r="AB120" s="152">
        <f>IF($B120=1,$B$11,IF(N(Vintage_Input!L68)&gt;0,Vintage_Input!AJ68/Vintage_Input!L68,""))</f>
        <v/>
      </c>
      <c r="AC120" s="152">
        <f>IF($B120=1,$C$11,IF(N(Vintage_Input!M68)&gt;0,Vintage_Input!AK68/Vintage_Input!M68,""))</f>
        <v/>
      </c>
      <c r="AD120" s="152">
        <f>IF($B120=1,$D$11,IF(N(Vintage_Input!N68)&gt;0,Vintage_Input!AL68/Vintage_Input!N68,""))</f>
        <v/>
      </c>
      <c r="AE120" s="152">
        <f>IF($B120=1,$E$11,IF(N(Vintage_Input!O68)&gt;0,Vintage_Input!AM68/Vintage_Input!O68,""))</f>
        <v/>
      </c>
      <c r="AF120" s="152">
        <f>IF($B120=1,$F$11,IF(N(Vintage_Input!P68)&gt;0,Vintage_Input!AN68/Vintage_Input!P68,""))</f>
        <v/>
      </c>
      <c r="AG120" s="152">
        <f>IF($B120=1,$G$11,IF(N(Vintage_Input!Q68)&gt;0,Vintage_Input!AO68/Vintage_Input!Q68,""))</f>
        <v/>
      </c>
      <c r="AH120" s="152">
        <f>IF($B120=1,$H$11,IF(N(Vintage_Input!R68)&gt;0,Vintage_Input!AP68/Vintage_Input!R68,""))</f>
        <v/>
      </c>
      <c r="AI120" s="152">
        <f>IF($B120=1,$I$11,IF(N(Vintage_Input!S68)&gt;0,Vintage_Input!AQ68/Vintage_Input!S68,""))</f>
        <v/>
      </c>
      <c r="AJ120" s="152">
        <f>IF($B120=1,$B$12,IF(N(Vintage_Input!L68)&gt;0,IFERROR(Vintage_Input!AR68/Vintage_Input!AJ68,""),""))</f>
        <v/>
      </c>
      <c r="AK120" s="152">
        <f>IF($B120=1,$C$12,IF(N(Vintage_Input!M68)&gt;0,IFERROR(Vintage_Input!AS68/Vintage_Input!AK68,""),""))</f>
        <v/>
      </c>
      <c r="AL120" s="152">
        <f>IF($B120=1,$D$12,IF(N(Vintage_Input!N68)&gt;0,IFERROR(Vintage_Input!AT68/Vintage_Input!AL68,""),""))</f>
        <v/>
      </c>
      <c r="AM120" s="152">
        <f>IF($B120=1,$E$12,IF(N(Vintage_Input!O68)&gt;0,IFERROR(Vintage_Input!AU68/Vintage_Input!AM68,""),""))</f>
        <v/>
      </c>
      <c r="AN120" s="152">
        <f>IF($B120=1,$F$12,IF(N(Vintage_Input!P68)&gt;0,IFERROR(Vintage_Input!AV68/Vintage_Input!AN68,""),""))</f>
        <v/>
      </c>
      <c r="AO120" s="152">
        <f>IF($B120=1,$G$12,IF(N(Vintage_Input!Q68)&gt;0,IFERROR(Vintage_Input!AW68/Vintage_Input!AO68,""),""))</f>
        <v/>
      </c>
      <c r="AP120" s="152">
        <f>IF($B120=1,$H$12,IF(N(Vintage_Input!R68)&gt;0,IFERROR(Vintage_Input!AX68/Vintage_Input!AP68,""),""))</f>
        <v/>
      </c>
      <c r="AQ120" s="152">
        <f>IF($B120=1,$I$12,IF(N(Vintage_Input!S68)&gt;0,IFERROR(Vintage_Input!AY68/Vintage_Input!AQ68,""),""))</f>
        <v/>
      </c>
      <c r="AR120" s="152">
        <f>IF($B120=1,$B$13,IF(N(Vintage_Input!L68)&gt;0,IFERROR(Vintage_Input!AZ68/$C120,""),""))</f>
        <v/>
      </c>
      <c r="AS120" s="152">
        <f>IF($B120=1,$C$13,IF(N(Vintage_Input!M68)&gt;0,IFERROR(Vintage_Input!BA68/$C120,""),""))</f>
        <v/>
      </c>
      <c r="AT120" s="152">
        <f>IF($B120=1,$D$13,IF(N(Vintage_Input!N68)&gt;0,IFERROR(Vintage_Input!BB68/$C120,""),""))</f>
        <v/>
      </c>
      <c r="AU120" s="152">
        <f>IF($B120=1,$E$13,IF(N(Vintage_Input!O68)&gt;0,IFERROR(Vintage_Input!BC68/$C120,""),""))</f>
        <v/>
      </c>
      <c r="AV120" s="152">
        <f>IF($B120=1,$F$13,IF(N(Vintage_Input!P68)&gt;0,IFERROR(Vintage_Input!BD68/$C120,""),""))</f>
        <v/>
      </c>
      <c r="AW120" s="152">
        <f>IF($B120=1,$G$13,IF(N(Vintage_Input!Q68)&gt;0,IFERROR(Vintage_Input!BE68/$C120,""),""))</f>
        <v/>
      </c>
      <c r="AX120" s="152">
        <f>IF($B120=1,$H$13,IF(N(Vintage_Input!R68)&gt;0,IFERROR(Vintage_Input!BF68/$C120,""),""))</f>
        <v/>
      </c>
      <c r="AY120" s="152">
        <f>IF($B120=1,$I$13,IF(N(Vintage_Input!S68)&gt;0,IFERROR(Vintage_Input!BG68/$C120,""),""))</f>
        <v/>
      </c>
      <c r="AZ120" s="153">
        <f>IF($B120=1,$B$14,IF(N(Vintage_Input!L68)&gt;0,IFERROR((Vintage_Input!D68+Vintage_Input!AR68)/$C120+Products!$C$14-(Products!$C$43+Products!$C$19+Products!$C$43*Products!$C$22+Products!$C$44),""),""))</f>
        <v/>
      </c>
      <c r="BA120" s="153">
        <f>IF($B120=1,$C$14,IF(N(Vintage_Input!M68)&gt;0,IFERROR((Vintage_Input!E68+Vintage_Input!AS68)/$C120+Products!$C$14-(Products!$C$43+Products!$C$19+Products!$C$43*Products!$C$22+Products!$C$44),""),""))</f>
        <v/>
      </c>
      <c r="BB120" s="153">
        <f>IF($B120=1,$D$14,IF(N(Vintage_Input!N68)&gt;0,IFERROR((Vintage_Input!F68+Vintage_Input!AT68)/$C120+Products!$C$14-(Products!$C$43+Products!$C$19+Products!$C$43*Products!$C$22+Products!$C$44),""),""))</f>
        <v/>
      </c>
      <c r="BC120" s="153">
        <f>IF($B120=1,$E$14,IF(N(Vintage_Input!O68)&gt;0,IFERROR((Vintage_Input!G68+Vintage_Input!AU68)/$C120+Products!$C$14-(Products!$C$43+Products!$C$19+Products!$C$43*Products!$C$22+Products!$C$44),""),""))</f>
        <v/>
      </c>
      <c r="BD120" s="153">
        <f>IF($B120=1,$F$14,IF(N(Vintage_Input!P68)&gt;0,IFERROR((Vintage_Input!H68+Vintage_Input!AV68)/$C120+Products!$C$14-(Products!$C$43+Products!$C$19+Products!$C$43*Products!$C$22+Products!$C$44),""),""))</f>
        <v/>
      </c>
      <c r="BE120" s="153">
        <f>IF($B120=1,$G$14,IF(N(Vintage_Input!Q68)&gt;0,IFERROR((Vintage_Input!I68+Vintage_Input!AW68)/$C120+Products!$C$14-(Products!$C$43+Products!$C$19+Products!$C$43*Products!$C$22+Products!$C$44),""),""))</f>
        <v/>
      </c>
      <c r="BF120" s="153">
        <f>IF($B120=1,$H$14,IF(N(Vintage_Input!R68)&gt;0,IFERROR((Vintage_Input!J68+Vintage_Input!AX68)/$C120+Products!$C$14-(Products!$C$43+Products!$C$19+Products!$C$43*Products!$C$22+Products!$C$44),""),""))</f>
        <v/>
      </c>
      <c r="BG120" s="153">
        <f>IF($B120=1,$I$14,IF(N(Vintage_Input!S68)&gt;0,IFERROR((Vintage_Input!K68+Vintage_Input!AY68)/$C120+Products!$C$14-(Products!$C$43+Products!$C$19+Products!$C$43*Products!$C$22+Products!$C$44),""),""))</f>
        <v/>
      </c>
      <c r="BH120" s="81">
        <f>IF($B120=1,0,IF(Vintage_Input!$BH$68="","",Vintage_Input!$BH$68))</f>
        <v/>
      </c>
    </row>
    <row r="121"/>
    <row r="122">
      <c r="A122" s="111" t="inlineStr">
        <is>
          <t>Tier 2: SHS with TV</t>
        </is>
      </c>
    </row>
    <row r="123">
      <c r="D123" s="151" t="inlineStr">
        <is>
          <t>Cohort repayment ratio (not PERFORM)</t>
        </is>
      </c>
      <c r="L123" s="151" t="inlineStr">
        <is>
          <t>30+ DPD exposure / due</t>
        </is>
      </c>
      <c r="T123" s="151" t="inlineStr">
        <is>
          <t>90+ DPD exposure / due</t>
        </is>
      </c>
      <c r="AB123" s="151" t="inlineStr">
        <is>
          <t>180+ default exposure / due</t>
        </is>
      </c>
      <c r="AJ123" s="151" t="inlineStr">
        <is>
          <t>Recovery / default</t>
        </is>
      </c>
      <c r="AR123" s="151" t="inlineStr">
        <is>
          <t>Active account share</t>
        </is>
      </c>
      <c r="AZ123" s="151" t="inlineStr">
        <is>
          <t>Cumulative contribution per unit (LCY)</t>
        </is>
      </c>
    </row>
    <row r="124">
      <c r="A124" s="40" t="inlineStr">
        <is>
          <t>Cohort #</t>
        </is>
      </c>
      <c r="B124" s="40" t="inlineStr">
        <is>
          <t>Mode</t>
        </is>
      </c>
      <c r="C124" s="40" t="inlineStr">
        <is>
          <t>Units</t>
        </is>
      </c>
      <c r="D124" s="40" t="inlineStr">
        <is>
          <t>M3</t>
        </is>
      </c>
      <c r="E124" s="40" t="inlineStr">
        <is>
          <t>M6</t>
        </is>
      </c>
      <c r="F124" s="40" t="inlineStr">
        <is>
          <t>M12</t>
        </is>
      </c>
      <c r="G124" s="40" t="inlineStr">
        <is>
          <t>M18</t>
        </is>
      </c>
      <c r="H124" s="40" t="inlineStr">
        <is>
          <t>M24</t>
        </is>
      </c>
      <c r="I124" s="40" t="inlineStr">
        <is>
          <t>M36</t>
        </is>
      </c>
      <c r="J124" s="40" t="inlineStr">
        <is>
          <t>M48</t>
        </is>
      </c>
      <c r="K124" s="40" t="inlineStr">
        <is>
          <t>M60</t>
        </is>
      </c>
      <c r="L124" s="40" t="inlineStr">
        <is>
          <t>M3</t>
        </is>
      </c>
      <c r="M124" s="40" t="inlineStr">
        <is>
          <t>M6</t>
        </is>
      </c>
      <c r="N124" s="40" t="inlineStr">
        <is>
          <t>M12</t>
        </is>
      </c>
      <c r="O124" s="40" t="inlineStr">
        <is>
          <t>M18</t>
        </is>
      </c>
      <c r="P124" s="40" t="inlineStr">
        <is>
          <t>M24</t>
        </is>
      </c>
      <c r="Q124" s="40" t="inlineStr">
        <is>
          <t>M36</t>
        </is>
      </c>
      <c r="R124" s="40" t="inlineStr">
        <is>
          <t>M48</t>
        </is>
      </c>
      <c r="S124" s="40" t="inlineStr">
        <is>
          <t>M60</t>
        </is>
      </c>
      <c r="T124" s="40" t="inlineStr">
        <is>
          <t>M3</t>
        </is>
      </c>
      <c r="U124" s="40" t="inlineStr">
        <is>
          <t>M6</t>
        </is>
      </c>
      <c r="V124" s="40" t="inlineStr">
        <is>
          <t>M12</t>
        </is>
      </c>
      <c r="W124" s="40" t="inlineStr">
        <is>
          <t>M18</t>
        </is>
      </c>
      <c r="X124" s="40" t="inlineStr">
        <is>
          <t>M24</t>
        </is>
      </c>
      <c r="Y124" s="40" t="inlineStr">
        <is>
          <t>M36</t>
        </is>
      </c>
      <c r="Z124" s="40" t="inlineStr">
        <is>
          <t>M48</t>
        </is>
      </c>
      <c r="AA124" s="40" t="inlineStr">
        <is>
          <t>M60</t>
        </is>
      </c>
      <c r="AB124" s="40" t="inlineStr">
        <is>
          <t>M3</t>
        </is>
      </c>
      <c r="AC124" s="40" t="inlineStr">
        <is>
          <t>M6</t>
        </is>
      </c>
      <c r="AD124" s="40" t="inlineStr">
        <is>
          <t>M12</t>
        </is>
      </c>
      <c r="AE124" s="40" t="inlineStr">
        <is>
          <t>M18</t>
        </is>
      </c>
      <c r="AF124" s="40" t="inlineStr">
        <is>
          <t>M24</t>
        </is>
      </c>
      <c r="AG124" s="40" t="inlineStr">
        <is>
          <t>M36</t>
        </is>
      </c>
      <c r="AH124" s="40" t="inlineStr">
        <is>
          <t>M48</t>
        </is>
      </c>
      <c r="AI124" s="40" t="inlineStr">
        <is>
          <t>M60</t>
        </is>
      </c>
      <c r="AJ124" s="40" t="inlineStr">
        <is>
          <t>M3</t>
        </is>
      </c>
      <c r="AK124" s="40" t="inlineStr">
        <is>
          <t>M6</t>
        </is>
      </c>
      <c r="AL124" s="40" t="inlineStr">
        <is>
          <t>M12</t>
        </is>
      </c>
      <c r="AM124" s="40" t="inlineStr">
        <is>
          <t>M18</t>
        </is>
      </c>
      <c r="AN124" s="40" t="inlineStr">
        <is>
          <t>M24</t>
        </is>
      </c>
      <c r="AO124" s="40" t="inlineStr">
        <is>
          <t>M36</t>
        </is>
      </c>
      <c r="AP124" s="40" t="inlineStr">
        <is>
          <t>M48</t>
        </is>
      </c>
      <c r="AQ124" s="40" t="inlineStr">
        <is>
          <t>M60</t>
        </is>
      </c>
      <c r="AR124" s="40" t="inlineStr">
        <is>
          <t>M3</t>
        </is>
      </c>
      <c r="AS124" s="40" t="inlineStr">
        <is>
          <t>M6</t>
        </is>
      </c>
      <c r="AT124" s="40" t="inlineStr">
        <is>
          <t>M12</t>
        </is>
      </c>
      <c r="AU124" s="40" t="inlineStr">
        <is>
          <t>M18</t>
        </is>
      </c>
      <c r="AV124" s="40" t="inlineStr">
        <is>
          <t>M24</t>
        </is>
      </c>
      <c r="AW124" s="40" t="inlineStr">
        <is>
          <t>M36</t>
        </is>
      </c>
      <c r="AX124" s="40" t="inlineStr">
        <is>
          <t>M48</t>
        </is>
      </c>
      <c r="AY124" s="40" t="inlineStr">
        <is>
          <t>M60</t>
        </is>
      </c>
      <c r="AZ124" s="40" t="inlineStr">
        <is>
          <t>M3</t>
        </is>
      </c>
      <c r="BA124" s="40" t="inlineStr">
        <is>
          <t>M6</t>
        </is>
      </c>
      <c r="BB124" s="40" t="inlineStr">
        <is>
          <t>M12</t>
        </is>
      </c>
      <c r="BC124" s="40" t="inlineStr">
        <is>
          <t>M18</t>
        </is>
      </c>
      <c r="BD124" s="40" t="inlineStr">
        <is>
          <t>M24</t>
        </is>
      </c>
      <c r="BE124" s="40" t="inlineStr">
        <is>
          <t>M36</t>
        </is>
      </c>
      <c r="BF124" s="40" t="inlineStr">
        <is>
          <t>M48</t>
        </is>
      </c>
      <c r="BG124" s="40" t="inlineStr">
        <is>
          <t>M60</t>
        </is>
      </c>
      <c r="BH124" s="40" t="inlineStr">
        <is>
          <t>Ownership at 2x</t>
        </is>
      </c>
    </row>
    <row r="125">
      <c r="A125" s="23" t="n">
        <v>1</v>
      </c>
      <c r="B125" s="48">
        <f>Vintage_Input!$B$74</f>
        <v/>
      </c>
      <c r="C125" s="41">
        <f>IF(Vintage_Input!$C$74="",0,Vintage_Input!$C$74)</f>
        <v/>
      </c>
      <c r="D125" s="152">
        <f>IF($B125=1,$B$18,IF(N(Vintage_Input!L74)&gt;0,Vintage_Input!D74/Vintage_Input!L74,""))</f>
        <v/>
      </c>
      <c r="E125" s="152">
        <f>IF($B125=1,$C$18,IF(N(Vintage_Input!M74)&gt;0,Vintage_Input!E74/Vintage_Input!M74,""))</f>
        <v/>
      </c>
      <c r="F125" s="152">
        <f>IF($B125=1,$D$18,IF(N(Vintage_Input!N74)&gt;0,Vintage_Input!F74/Vintage_Input!N74,""))</f>
        <v/>
      </c>
      <c r="G125" s="152">
        <f>IF($B125=1,$E$18,IF(N(Vintage_Input!O74)&gt;0,Vintage_Input!G74/Vintage_Input!O74,""))</f>
        <v/>
      </c>
      <c r="H125" s="152">
        <f>IF($B125=1,$F$18,IF(N(Vintage_Input!P74)&gt;0,Vintage_Input!H74/Vintage_Input!P74,""))</f>
        <v/>
      </c>
      <c r="I125" s="152">
        <f>IF($B125=1,$G$18,IF(N(Vintage_Input!Q74)&gt;0,Vintage_Input!I74/Vintage_Input!Q74,""))</f>
        <v/>
      </c>
      <c r="J125" s="152">
        <f>IF($B125=1,$H$18,IF(N(Vintage_Input!R74)&gt;0,Vintage_Input!J74/Vintage_Input!R74,""))</f>
        <v/>
      </c>
      <c r="K125" s="152">
        <f>IF($B125=1,$I$18,IF(N(Vintage_Input!S74)&gt;0,Vintage_Input!K74/Vintage_Input!S74,""))</f>
        <v/>
      </c>
      <c r="L125" s="152">
        <f>IF($B125=1,$B$19,IF(N(Vintage_Input!L74)&gt;0,Vintage_Input!T74/Vintage_Input!L74,""))</f>
        <v/>
      </c>
      <c r="M125" s="152">
        <f>IF($B125=1,$C$19,IF(N(Vintage_Input!M74)&gt;0,Vintage_Input!U74/Vintage_Input!M74,""))</f>
        <v/>
      </c>
      <c r="N125" s="152">
        <f>IF($B125=1,$D$19,IF(N(Vintage_Input!N74)&gt;0,Vintage_Input!V74/Vintage_Input!N74,""))</f>
        <v/>
      </c>
      <c r="O125" s="152">
        <f>IF($B125=1,$E$19,IF(N(Vintage_Input!O74)&gt;0,Vintage_Input!W74/Vintage_Input!O74,""))</f>
        <v/>
      </c>
      <c r="P125" s="152">
        <f>IF($B125=1,$F$19,IF(N(Vintage_Input!P74)&gt;0,Vintage_Input!X74/Vintage_Input!P74,""))</f>
        <v/>
      </c>
      <c r="Q125" s="152">
        <f>IF($B125=1,$G$19,IF(N(Vintage_Input!Q74)&gt;0,Vintage_Input!Y74/Vintage_Input!Q74,""))</f>
        <v/>
      </c>
      <c r="R125" s="152">
        <f>IF($B125=1,$H$19,IF(N(Vintage_Input!R74)&gt;0,Vintage_Input!Z74/Vintage_Input!R74,""))</f>
        <v/>
      </c>
      <c r="S125" s="152">
        <f>IF($B125=1,$I$19,IF(N(Vintage_Input!S74)&gt;0,Vintage_Input!AA74/Vintage_Input!S74,""))</f>
        <v/>
      </c>
      <c r="T125" s="152">
        <f>IF($B125=1,$B$20,IF(N(Vintage_Input!L74)&gt;0,Vintage_Input!AB74/Vintage_Input!L74,""))</f>
        <v/>
      </c>
      <c r="U125" s="152">
        <f>IF($B125=1,$C$20,IF(N(Vintage_Input!M74)&gt;0,Vintage_Input!AC74/Vintage_Input!M74,""))</f>
        <v/>
      </c>
      <c r="V125" s="152">
        <f>IF($B125=1,$D$20,IF(N(Vintage_Input!N74)&gt;0,Vintage_Input!AD74/Vintage_Input!N74,""))</f>
        <v/>
      </c>
      <c r="W125" s="152">
        <f>IF($B125=1,$E$20,IF(N(Vintage_Input!O74)&gt;0,Vintage_Input!AE74/Vintage_Input!O74,""))</f>
        <v/>
      </c>
      <c r="X125" s="152">
        <f>IF($B125=1,$F$20,IF(N(Vintage_Input!P74)&gt;0,Vintage_Input!AF74/Vintage_Input!P74,""))</f>
        <v/>
      </c>
      <c r="Y125" s="152">
        <f>IF($B125=1,$G$20,IF(N(Vintage_Input!Q74)&gt;0,Vintage_Input!AG74/Vintage_Input!Q74,""))</f>
        <v/>
      </c>
      <c r="Z125" s="152">
        <f>IF($B125=1,$H$20,IF(N(Vintage_Input!R74)&gt;0,Vintage_Input!AH74/Vintage_Input!R74,""))</f>
        <v/>
      </c>
      <c r="AA125" s="152">
        <f>IF($B125=1,$I$20,IF(N(Vintage_Input!S74)&gt;0,Vintage_Input!AI74/Vintage_Input!S74,""))</f>
        <v/>
      </c>
      <c r="AB125" s="152">
        <f>IF($B125=1,$B$21,IF(N(Vintage_Input!L74)&gt;0,Vintage_Input!AJ74/Vintage_Input!L74,""))</f>
        <v/>
      </c>
      <c r="AC125" s="152">
        <f>IF($B125=1,$C$21,IF(N(Vintage_Input!M74)&gt;0,Vintage_Input!AK74/Vintage_Input!M74,""))</f>
        <v/>
      </c>
      <c r="AD125" s="152">
        <f>IF($B125=1,$D$21,IF(N(Vintage_Input!N74)&gt;0,Vintage_Input!AL74/Vintage_Input!N74,""))</f>
        <v/>
      </c>
      <c r="AE125" s="152">
        <f>IF($B125=1,$E$21,IF(N(Vintage_Input!O74)&gt;0,Vintage_Input!AM74/Vintage_Input!O74,""))</f>
        <v/>
      </c>
      <c r="AF125" s="152">
        <f>IF($B125=1,$F$21,IF(N(Vintage_Input!P74)&gt;0,Vintage_Input!AN74/Vintage_Input!P74,""))</f>
        <v/>
      </c>
      <c r="AG125" s="152">
        <f>IF($B125=1,$G$21,IF(N(Vintage_Input!Q74)&gt;0,Vintage_Input!AO74/Vintage_Input!Q74,""))</f>
        <v/>
      </c>
      <c r="AH125" s="152">
        <f>IF($B125=1,$H$21,IF(N(Vintage_Input!R74)&gt;0,Vintage_Input!AP74/Vintage_Input!R74,""))</f>
        <v/>
      </c>
      <c r="AI125" s="152">
        <f>IF($B125=1,$I$21,IF(N(Vintage_Input!S74)&gt;0,Vintage_Input!AQ74/Vintage_Input!S74,""))</f>
        <v/>
      </c>
      <c r="AJ125" s="152">
        <f>IF($B125=1,$B$22,IF(N(Vintage_Input!L74)&gt;0,IFERROR(Vintage_Input!AR74/Vintage_Input!AJ74,""),""))</f>
        <v/>
      </c>
      <c r="AK125" s="152">
        <f>IF($B125=1,$C$22,IF(N(Vintage_Input!M74)&gt;0,IFERROR(Vintage_Input!AS74/Vintage_Input!AK74,""),""))</f>
        <v/>
      </c>
      <c r="AL125" s="152">
        <f>IF($B125=1,$D$22,IF(N(Vintage_Input!N74)&gt;0,IFERROR(Vintage_Input!AT74/Vintage_Input!AL74,""),""))</f>
        <v/>
      </c>
      <c r="AM125" s="152">
        <f>IF($B125=1,$E$22,IF(N(Vintage_Input!O74)&gt;0,IFERROR(Vintage_Input!AU74/Vintage_Input!AM74,""),""))</f>
        <v/>
      </c>
      <c r="AN125" s="152">
        <f>IF($B125=1,$F$22,IF(N(Vintage_Input!P74)&gt;0,IFERROR(Vintage_Input!AV74/Vintage_Input!AN74,""),""))</f>
        <v/>
      </c>
      <c r="AO125" s="152">
        <f>IF($B125=1,$G$22,IF(N(Vintage_Input!Q74)&gt;0,IFERROR(Vintage_Input!AW74/Vintage_Input!AO74,""),""))</f>
        <v/>
      </c>
      <c r="AP125" s="152">
        <f>IF($B125=1,$H$22,IF(N(Vintage_Input!R74)&gt;0,IFERROR(Vintage_Input!AX74/Vintage_Input!AP74,""),""))</f>
        <v/>
      </c>
      <c r="AQ125" s="152">
        <f>IF($B125=1,$I$22,IF(N(Vintage_Input!S74)&gt;0,IFERROR(Vintage_Input!AY74/Vintage_Input!AQ74,""),""))</f>
        <v/>
      </c>
      <c r="AR125" s="152">
        <f>IF($B125=1,$B$23,IF(N(Vintage_Input!L74)&gt;0,IFERROR(Vintage_Input!AZ74/$C125,""),""))</f>
        <v/>
      </c>
      <c r="AS125" s="152">
        <f>IF($B125=1,$C$23,IF(N(Vintage_Input!M74)&gt;0,IFERROR(Vintage_Input!BA74/$C125,""),""))</f>
        <v/>
      </c>
      <c r="AT125" s="152">
        <f>IF($B125=1,$D$23,IF(N(Vintage_Input!N74)&gt;0,IFERROR(Vintage_Input!BB74/$C125,""),""))</f>
        <v/>
      </c>
      <c r="AU125" s="152">
        <f>IF($B125=1,$E$23,IF(N(Vintage_Input!O74)&gt;0,IFERROR(Vintage_Input!BC74/$C125,""),""))</f>
        <v/>
      </c>
      <c r="AV125" s="152">
        <f>IF($B125=1,$F$23,IF(N(Vintage_Input!P74)&gt;0,IFERROR(Vintage_Input!BD74/$C125,""),""))</f>
        <v/>
      </c>
      <c r="AW125" s="152">
        <f>IF($B125=1,$G$23,IF(N(Vintage_Input!Q74)&gt;0,IFERROR(Vintage_Input!BE74/$C125,""),""))</f>
        <v/>
      </c>
      <c r="AX125" s="152">
        <f>IF($B125=1,$H$23,IF(N(Vintage_Input!R74)&gt;0,IFERROR(Vintage_Input!BF74/$C125,""),""))</f>
        <v/>
      </c>
      <c r="AY125" s="152">
        <f>IF($B125=1,$I$23,IF(N(Vintage_Input!S74)&gt;0,IFERROR(Vintage_Input!BG74/$C125,""),""))</f>
        <v/>
      </c>
      <c r="AZ125" s="153">
        <f>IF($B125=1,$B$24,IF(N(Vintage_Input!L74)&gt;0,IFERROR((Vintage_Input!D74+Vintage_Input!AR74)/$C125+Products!$D$14-(Products!$D$43+Products!$D$19+Products!$D$43*Products!$D$22+Products!$D$44),""),""))</f>
        <v/>
      </c>
      <c r="BA125" s="153">
        <f>IF($B125=1,$C$24,IF(N(Vintage_Input!M74)&gt;0,IFERROR((Vintage_Input!E74+Vintage_Input!AS74)/$C125+Products!$D$14-(Products!$D$43+Products!$D$19+Products!$D$43*Products!$D$22+Products!$D$44),""),""))</f>
        <v/>
      </c>
      <c r="BB125" s="153">
        <f>IF($B125=1,$D$24,IF(N(Vintage_Input!N74)&gt;0,IFERROR((Vintage_Input!F74+Vintage_Input!AT74)/$C125+Products!$D$14-(Products!$D$43+Products!$D$19+Products!$D$43*Products!$D$22+Products!$D$44),""),""))</f>
        <v/>
      </c>
      <c r="BC125" s="153">
        <f>IF($B125=1,$E$24,IF(N(Vintage_Input!O74)&gt;0,IFERROR((Vintage_Input!G74+Vintage_Input!AU74)/$C125+Products!$D$14-(Products!$D$43+Products!$D$19+Products!$D$43*Products!$D$22+Products!$D$44),""),""))</f>
        <v/>
      </c>
      <c r="BD125" s="153">
        <f>IF($B125=1,$F$24,IF(N(Vintage_Input!P74)&gt;0,IFERROR((Vintage_Input!H74+Vintage_Input!AV74)/$C125+Products!$D$14-(Products!$D$43+Products!$D$19+Products!$D$43*Products!$D$22+Products!$D$44),""),""))</f>
        <v/>
      </c>
      <c r="BE125" s="153">
        <f>IF($B125=1,$G$24,IF(N(Vintage_Input!Q74)&gt;0,IFERROR((Vintage_Input!I74+Vintage_Input!AW74)/$C125+Products!$D$14-(Products!$D$43+Products!$D$19+Products!$D$43*Products!$D$22+Products!$D$44),""),""))</f>
        <v/>
      </c>
      <c r="BF125" s="153">
        <f>IF($B125=1,$H$24,IF(N(Vintage_Input!R74)&gt;0,IFERROR((Vintage_Input!J74+Vintage_Input!AX74)/$C125+Products!$D$14-(Products!$D$43+Products!$D$19+Products!$D$43*Products!$D$22+Products!$D$44),""),""))</f>
        <v/>
      </c>
      <c r="BG125" s="153">
        <f>IF($B125=1,$I$24,IF(N(Vintage_Input!S74)&gt;0,IFERROR((Vintage_Input!K74+Vintage_Input!AY74)/$C125+Products!$D$14-(Products!$D$43+Products!$D$19+Products!$D$43*Products!$D$22+Products!$D$44),""),""))</f>
        <v/>
      </c>
      <c r="BH125" s="81">
        <f>IF($B125=1,0,IF(Vintage_Input!$BH$74="","",Vintage_Input!$BH$74))</f>
        <v/>
      </c>
    </row>
    <row r="126">
      <c r="A126" s="23" t="n">
        <v>2</v>
      </c>
      <c r="B126" s="48">
        <f>Vintage_Input!$B$75</f>
        <v/>
      </c>
      <c r="C126" s="41">
        <f>IF(Vintage_Input!$C$75="",0,Vintage_Input!$C$75)</f>
        <v/>
      </c>
      <c r="D126" s="152">
        <f>IF($B126=1,$B$18,IF(N(Vintage_Input!L75)&gt;0,Vintage_Input!D75/Vintage_Input!L75,""))</f>
        <v/>
      </c>
      <c r="E126" s="152">
        <f>IF($B126=1,$C$18,IF(N(Vintage_Input!M75)&gt;0,Vintage_Input!E75/Vintage_Input!M75,""))</f>
        <v/>
      </c>
      <c r="F126" s="152">
        <f>IF($B126=1,$D$18,IF(N(Vintage_Input!N75)&gt;0,Vintage_Input!F75/Vintage_Input!N75,""))</f>
        <v/>
      </c>
      <c r="G126" s="152">
        <f>IF($B126=1,$E$18,IF(N(Vintage_Input!O75)&gt;0,Vintage_Input!G75/Vintage_Input!O75,""))</f>
        <v/>
      </c>
      <c r="H126" s="152">
        <f>IF($B126=1,$F$18,IF(N(Vintage_Input!P75)&gt;0,Vintage_Input!H75/Vintage_Input!P75,""))</f>
        <v/>
      </c>
      <c r="I126" s="152">
        <f>IF($B126=1,$G$18,IF(N(Vintage_Input!Q75)&gt;0,Vintage_Input!I75/Vintage_Input!Q75,""))</f>
        <v/>
      </c>
      <c r="J126" s="152">
        <f>IF($B126=1,$H$18,IF(N(Vintage_Input!R75)&gt;0,Vintage_Input!J75/Vintage_Input!R75,""))</f>
        <v/>
      </c>
      <c r="K126" s="152">
        <f>IF($B126=1,$I$18,IF(N(Vintage_Input!S75)&gt;0,Vintage_Input!K75/Vintage_Input!S75,""))</f>
        <v/>
      </c>
      <c r="L126" s="152">
        <f>IF($B126=1,$B$19,IF(N(Vintage_Input!L75)&gt;0,Vintage_Input!T75/Vintage_Input!L75,""))</f>
        <v/>
      </c>
      <c r="M126" s="152">
        <f>IF($B126=1,$C$19,IF(N(Vintage_Input!M75)&gt;0,Vintage_Input!U75/Vintage_Input!M75,""))</f>
        <v/>
      </c>
      <c r="N126" s="152">
        <f>IF($B126=1,$D$19,IF(N(Vintage_Input!N75)&gt;0,Vintage_Input!V75/Vintage_Input!N75,""))</f>
        <v/>
      </c>
      <c r="O126" s="152">
        <f>IF($B126=1,$E$19,IF(N(Vintage_Input!O75)&gt;0,Vintage_Input!W75/Vintage_Input!O75,""))</f>
        <v/>
      </c>
      <c r="P126" s="152">
        <f>IF($B126=1,$F$19,IF(N(Vintage_Input!P75)&gt;0,Vintage_Input!X75/Vintage_Input!P75,""))</f>
        <v/>
      </c>
      <c r="Q126" s="152">
        <f>IF($B126=1,$G$19,IF(N(Vintage_Input!Q75)&gt;0,Vintage_Input!Y75/Vintage_Input!Q75,""))</f>
        <v/>
      </c>
      <c r="R126" s="152">
        <f>IF($B126=1,$H$19,IF(N(Vintage_Input!R75)&gt;0,Vintage_Input!Z75/Vintage_Input!R75,""))</f>
        <v/>
      </c>
      <c r="S126" s="152">
        <f>IF($B126=1,$I$19,IF(N(Vintage_Input!S75)&gt;0,Vintage_Input!AA75/Vintage_Input!S75,""))</f>
        <v/>
      </c>
      <c r="T126" s="152">
        <f>IF($B126=1,$B$20,IF(N(Vintage_Input!L75)&gt;0,Vintage_Input!AB75/Vintage_Input!L75,""))</f>
        <v/>
      </c>
      <c r="U126" s="152">
        <f>IF($B126=1,$C$20,IF(N(Vintage_Input!M75)&gt;0,Vintage_Input!AC75/Vintage_Input!M75,""))</f>
        <v/>
      </c>
      <c r="V126" s="152">
        <f>IF($B126=1,$D$20,IF(N(Vintage_Input!N75)&gt;0,Vintage_Input!AD75/Vintage_Input!N75,""))</f>
        <v/>
      </c>
      <c r="W126" s="152">
        <f>IF($B126=1,$E$20,IF(N(Vintage_Input!O75)&gt;0,Vintage_Input!AE75/Vintage_Input!O75,""))</f>
        <v/>
      </c>
      <c r="X126" s="152">
        <f>IF($B126=1,$F$20,IF(N(Vintage_Input!P75)&gt;0,Vintage_Input!AF75/Vintage_Input!P75,""))</f>
        <v/>
      </c>
      <c r="Y126" s="152">
        <f>IF($B126=1,$G$20,IF(N(Vintage_Input!Q75)&gt;0,Vintage_Input!AG75/Vintage_Input!Q75,""))</f>
        <v/>
      </c>
      <c r="Z126" s="152">
        <f>IF($B126=1,$H$20,IF(N(Vintage_Input!R75)&gt;0,Vintage_Input!AH75/Vintage_Input!R75,""))</f>
        <v/>
      </c>
      <c r="AA126" s="152">
        <f>IF($B126=1,$I$20,IF(N(Vintage_Input!S75)&gt;0,Vintage_Input!AI75/Vintage_Input!S75,""))</f>
        <v/>
      </c>
      <c r="AB126" s="152">
        <f>IF($B126=1,$B$21,IF(N(Vintage_Input!L75)&gt;0,Vintage_Input!AJ75/Vintage_Input!L75,""))</f>
        <v/>
      </c>
      <c r="AC126" s="152">
        <f>IF($B126=1,$C$21,IF(N(Vintage_Input!M75)&gt;0,Vintage_Input!AK75/Vintage_Input!M75,""))</f>
        <v/>
      </c>
      <c r="AD126" s="152">
        <f>IF($B126=1,$D$21,IF(N(Vintage_Input!N75)&gt;0,Vintage_Input!AL75/Vintage_Input!N75,""))</f>
        <v/>
      </c>
      <c r="AE126" s="152">
        <f>IF($B126=1,$E$21,IF(N(Vintage_Input!O75)&gt;0,Vintage_Input!AM75/Vintage_Input!O75,""))</f>
        <v/>
      </c>
      <c r="AF126" s="152">
        <f>IF($B126=1,$F$21,IF(N(Vintage_Input!P75)&gt;0,Vintage_Input!AN75/Vintage_Input!P75,""))</f>
        <v/>
      </c>
      <c r="AG126" s="152">
        <f>IF($B126=1,$G$21,IF(N(Vintage_Input!Q75)&gt;0,Vintage_Input!AO75/Vintage_Input!Q75,""))</f>
        <v/>
      </c>
      <c r="AH126" s="152">
        <f>IF($B126=1,$H$21,IF(N(Vintage_Input!R75)&gt;0,Vintage_Input!AP75/Vintage_Input!R75,""))</f>
        <v/>
      </c>
      <c r="AI126" s="152">
        <f>IF($B126=1,$I$21,IF(N(Vintage_Input!S75)&gt;0,Vintage_Input!AQ75/Vintage_Input!S75,""))</f>
        <v/>
      </c>
      <c r="AJ126" s="152">
        <f>IF($B126=1,$B$22,IF(N(Vintage_Input!L75)&gt;0,IFERROR(Vintage_Input!AR75/Vintage_Input!AJ75,""),""))</f>
        <v/>
      </c>
      <c r="AK126" s="152">
        <f>IF($B126=1,$C$22,IF(N(Vintage_Input!M75)&gt;0,IFERROR(Vintage_Input!AS75/Vintage_Input!AK75,""),""))</f>
        <v/>
      </c>
      <c r="AL126" s="152">
        <f>IF($B126=1,$D$22,IF(N(Vintage_Input!N75)&gt;0,IFERROR(Vintage_Input!AT75/Vintage_Input!AL75,""),""))</f>
        <v/>
      </c>
      <c r="AM126" s="152">
        <f>IF($B126=1,$E$22,IF(N(Vintage_Input!O75)&gt;0,IFERROR(Vintage_Input!AU75/Vintage_Input!AM75,""),""))</f>
        <v/>
      </c>
      <c r="AN126" s="152">
        <f>IF($B126=1,$F$22,IF(N(Vintage_Input!P75)&gt;0,IFERROR(Vintage_Input!AV75/Vintage_Input!AN75,""),""))</f>
        <v/>
      </c>
      <c r="AO126" s="152">
        <f>IF($B126=1,$G$22,IF(N(Vintage_Input!Q75)&gt;0,IFERROR(Vintage_Input!AW75/Vintage_Input!AO75,""),""))</f>
        <v/>
      </c>
      <c r="AP126" s="152">
        <f>IF($B126=1,$H$22,IF(N(Vintage_Input!R75)&gt;0,IFERROR(Vintage_Input!AX75/Vintage_Input!AP75,""),""))</f>
        <v/>
      </c>
      <c r="AQ126" s="152">
        <f>IF($B126=1,$I$22,IF(N(Vintage_Input!S75)&gt;0,IFERROR(Vintage_Input!AY75/Vintage_Input!AQ75,""),""))</f>
        <v/>
      </c>
      <c r="AR126" s="152">
        <f>IF($B126=1,$B$23,IF(N(Vintage_Input!L75)&gt;0,IFERROR(Vintage_Input!AZ75/$C126,""),""))</f>
        <v/>
      </c>
      <c r="AS126" s="152">
        <f>IF($B126=1,$C$23,IF(N(Vintage_Input!M75)&gt;0,IFERROR(Vintage_Input!BA75/$C126,""),""))</f>
        <v/>
      </c>
      <c r="AT126" s="152">
        <f>IF($B126=1,$D$23,IF(N(Vintage_Input!N75)&gt;0,IFERROR(Vintage_Input!BB75/$C126,""),""))</f>
        <v/>
      </c>
      <c r="AU126" s="152">
        <f>IF($B126=1,$E$23,IF(N(Vintage_Input!O75)&gt;0,IFERROR(Vintage_Input!BC75/$C126,""),""))</f>
        <v/>
      </c>
      <c r="AV126" s="152">
        <f>IF($B126=1,$F$23,IF(N(Vintage_Input!P75)&gt;0,IFERROR(Vintage_Input!BD75/$C126,""),""))</f>
        <v/>
      </c>
      <c r="AW126" s="152">
        <f>IF($B126=1,$G$23,IF(N(Vintage_Input!Q75)&gt;0,IFERROR(Vintage_Input!BE75/$C126,""),""))</f>
        <v/>
      </c>
      <c r="AX126" s="152">
        <f>IF($B126=1,$H$23,IF(N(Vintage_Input!R75)&gt;0,IFERROR(Vintage_Input!BF75/$C126,""),""))</f>
        <v/>
      </c>
      <c r="AY126" s="152">
        <f>IF($B126=1,$I$23,IF(N(Vintage_Input!S75)&gt;0,IFERROR(Vintage_Input!BG75/$C126,""),""))</f>
        <v/>
      </c>
      <c r="AZ126" s="153">
        <f>IF($B126=1,$B$24,IF(N(Vintage_Input!L75)&gt;0,IFERROR((Vintage_Input!D75+Vintage_Input!AR75)/$C126+Products!$D$14-(Products!$D$43+Products!$D$19+Products!$D$43*Products!$D$22+Products!$D$44),""),""))</f>
        <v/>
      </c>
      <c r="BA126" s="153">
        <f>IF($B126=1,$C$24,IF(N(Vintage_Input!M75)&gt;0,IFERROR((Vintage_Input!E75+Vintage_Input!AS75)/$C126+Products!$D$14-(Products!$D$43+Products!$D$19+Products!$D$43*Products!$D$22+Products!$D$44),""),""))</f>
        <v/>
      </c>
      <c r="BB126" s="153">
        <f>IF($B126=1,$D$24,IF(N(Vintage_Input!N75)&gt;0,IFERROR((Vintage_Input!F75+Vintage_Input!AT75)/$C126+Products!$D$14-(Products!$D$43+Products!$D$19+Products!$D$43*Products!$D$22+Products!$D$44),""),""))</f>
        <v/>
      </c>
      <c r="BC126" s="153">
        <f>IF($B126=1,$E$24,IF(N(Vintage_Input!O75)&gt;0,IFERROR((Vintage_Input!G75+Vintage_Input!AU75)/$C126+Products!$D$14-(Products!$D$43+Products!$D$19+Products!$D$43*Products!$D$22+Products!$D$44),""),""))</f>
        <v/>
      </c>
      <c r="BD126" s="153">
        <f>IF($B126=1,$F$24,IF(N(Vintage_Input!P75)&gt;0,IFERROR((Vintage_Input!H75+Vintage_Input!AV75)/$C126+Products!$D$14-(Products!$D$43+Products!$D$19+Products!$D$43*Products!$D$22+Products!$D$44),""),""))</f>
        <v/>
      </c>
      <c r="BE126" s="153">
        <f>IF($B126=1,$G$24,IF(N(Vintage_Input!Q75)&gt;0,IFERROR((Vintage_Input!I75+Vintage_Input!AW75)/$C126+Products!$D$14-(Products!$D$43+Products!$D$19+Products!$D$43*Products!$D$22+Products!$D$44),""),""))</f>
        <v/>
      </c>
      <c r="BF126" s="153">
        <f>IF($B126=1,$H$24,IF(N(Vintage_Input!R75)&gt;0,IFERROR((Vintage_Input!J75+Vintage_Input!AX75)/$C126+Products!$D$14-(Products!$D$43+Products!$D$19+Products!$D$43*Products!$D$22+Products!$D$44),""),""))</f>
        <v/>
      </c>
      <c r="BG126" s="153">
        <f>IF($B126=1,$I$24,IF(N(Vintage_Input!S75)&gt;0,IFERROR((Vintage_Input!K75+Vintage_Input!AY75)/$C126+Products!$D$14-(Products!$D$43+Products!$D$19+Products!$D$43*Products!$D$22+Products!$D$44),""),""))</f>
        <v/>
      </c>
      <c r="BH126" s="81">
        <f>IF($B126=1,0,IF(Vintage_Input!$BH$75="","",Vintage_Input!$BH$75))</f>
        <v/>
      </c>
    </row>
    <row r="127">
      <c r="A127" s="23" t="n">
        <v>3</v>
      </c>
      <c r="B127" s="48">
        <f>Vintage_Input!$B$76</f>
        <v/>
      </c>
      <c r="C127" s="41">
        <f>IF(Vintage_Input!$C$76="",0,Vintage_Input!$C$76)</f>
        <v/>
      </c>
      <c r="D127" s="152">
        <f>IF($B127=1,$B$18,IF(N(Vintage_Input!L76)&gt;0,Vintage_Input!D76/Vintage_Input!L76,""))</f>
        <v/>
      </c>
      <c r="E127" s="152">
        <f>IF($B127=1,$C$18,IF(N(Vintage_Input!M76)&gt;0,Vintage_Input!E76/Vintage_Input!M76,""))</f>
        <v/>
      </c>
      <c r="F127" s="152">
        <f>IF($B127=1,$D$18,IF(N(Vintage_Input!N76)&gt;0,Vintage_Input!F76/Vintage_Input!N76,""))</f>
        <v/>
      </c>
      <c r="G127" s="152">
        <f>IF($B127=1,$E$18,IF(N(Vintage_Input!O76)&gt;0,Vintage_Input!G76/Vintage_Input!O76,""))</f>
        <v/>
      </c>
      <c r="H127" s="152">
        <f>IF($B127=1,$F$18,IF(N(Vintage_Input!P76)&gt;0,Vintage_Input!H76/Vintage_Input!P76,""))</f>
        <v/>
      </c>
      <c r="I127" s="152">
        <f>IF($B127=1,$G$18,IF(N(Vintage_Input!Q76)&gt;0,Vintage_Input!I76/Vintage_Input!Q76,""))</f>
        <v/>
      </c>
      <c r="J127" s="152">
        <f>IF($B127=1,$H$18,IF(N(Vintage_Input!R76)&gt;0,Vintage_Input!J76/Vintage_Input!R76,""))</f>
        <v/>
      </c>
      <c r="K127" s="152">
        <f>IF($B127=1,$I$18,IF(N(Vintage_Input!S76)&gt;0,Vintage_Input!K76/Vintage_Input!S76,""))</f>
        <v/>
      </c>
      <c r="L127" s="152">
        <f>IF($B127=1,$B$19,IF(N(Vintage_Input!L76)&gt;0,Vintage_Input!T76/Vintage_Input!L76,""))</f>
        <v/>
      </c>
      <c r="M127" s="152">
        <f>IF($B127=1,$C$19,IF(N(Vintage_Input!M76)&gt;0,Vintage_Input!U76/Vintage_Input!M76,""))</f>
        <v/>
      </c>
      <c r="N127" s="152">
        <f>IF($B127=1,$D$19,IF(N(Vintage_Input!N76)&gt;0,Vintage_Input!V76/Vintage_Input!N76,""))</f>
        <v/>
      </c>
      <c r="O127" s="152">
        <f>IF($B127=1,$E$19,IF(N(Vintage_Input!O76)&gt;0,Vintage_Input!W76/Vintage_Input!O76,""))</f>
        <v/>
      </c>
      <c r="P127" s="152">
        <f>IF($B127=1,$F$19,IF(N(Vintage_Input!P76)&gt;0,Vintage_Input!X76/Vintage_Input!P76,""))</f>
        <v/>
      </c>
      <c r="Q127" s="152">
        <f>IF($B127=1,$G$19,IF(N(Vintage_Input!Q76)&gt;0,Vintage_Input!Y76/Vintage_Input!Q76,""))</f>
        <v/>
      </c>
      <c r="R127" s="152">
        <f>IF($B127=1,$H$19,IF(N(Vintage_Input!R76)&gt;0,Vintage_Input!Z76/Vintage_Input!R76,""))</f>
        <v/>
      </c>
      <c r="S127" s="152">
        <f>IF($B127=1,$I$19,IF(N(Vintage_Input!S76)&gt;0,Vintage_Input!AA76/Vintage_Input!S76,""))</f>
        <v/>
      </c>
      <c r="T127" s="152">
        <f>IF($B127=1,$B$20,IF(N(Vintage_Input!L76)&gt;0,Vintage_Input!AB76/Vintage_Input!L76,""))</f>
        <v/>
      </c>
      <c r="U127" s="152">
        <f>IF($B127=1,$C$20,IF(N(Vintage_Input!M76)&gt;0,Vintage_Input!AC76/Vintage_Input!M76,""))</f>
        <v/>
      </c>
      <c r="V127" s="152">
        <f>IF($B127=1,$D$20,IF(N(Vintage_Input!N76)&gt;0,Vintage_Input!AD76/Vintage_Input!N76,""))</f>
        <v/>
      </c>
      <c r="W127" s="152">
        <f>IF($B127=1,$E$20,IF(N(Vintage_Input!O76)&gt;0,Vintage_Input!AE76/Vintage_Input!O76,""))</f>
        <v/>
      </c>
      <c r="X127" s="152">
        <f>IF($B127=1,$F$20,IF(N(Vintage_Input!P76)&gt;0,Vintage_Input!AF76/Vintage_Input!P76,""))</f>
        <v/>
      </c>
      <c r="Y127" s="152">
        <f>IF($B127=1,$G$20,IF(N(Vintage_Input!Q76)&gt;0,Vintage_Input!AG76/Vintage_Input!Q76,""))</f>
        <v/>
      </c>
      <c r="Z127" s="152">
        <f>IF($B127=1,$H$20,IF(N(Vintage_Input!R76)&gt;0,Vintage_Input!AH76/Vintage_Input!R76,""))</f>
        <v/>
      </c>
      <c r="AA127" s="152">
        <f>IF($B127=1,$I$20,IF(N(Vintage_Input!S76)&gt;0,Vintage_Input!AI76/Vintage_Input!S76,""))</f>
        <v/>
      </c>
      <c r="AB127" s="152">
        <f>IF($B127=1,$B$21,IF(N(Vintage_Input!L76)&gt;0,Vintage_Input!AJ76/Vintage_Input!L76,""))</f>
        <v/>
      </c>
      <c r="AC127" s="152">
        <f>IF($B127=1,$C$21,IF(N(Vintage_Input!M76)&gt;0,Vintage_Input!AK76/Vintage_Input!M76,""))</f>
        <v/>
      </c>
      <c r="AD127" s="152">
        <f>IF($B127=1,$D$21,IF(N(Vintage_Input!N76)&gt;0,Vintage_Input!AL76/Vintage_Input!N76,""))</f>
        <v/>
      </c>
      <c r="AE127" s="152">
        <f>IF($B127=1,$E$21,IF(N(Vintage_Input!O76)&gt;0,Vintage_Input!AM76/Vintage_Input!O76,""))</f>
        <v/>
      </c>
      <c r="AF127" s="152">
        <f>IF($B127=1,$F$21,IF(N(Vintage_Input!P76)&gt;0,Vintage_Input!AN76/Vintage_Input!P76,""))</f>
        <v/>
      </c>
      <c r="AG127" s="152">
        <f>IF($B127=1,$G$21,IF(N(Vintage_Input!Q76)&gt;0,Vintage_Input!AO76/Vintage_Input!Q76,""))</f>
        <v/>
      </c>
      <c r="AH127" s="152">
        <f>IF($B127=1,$H$21,IF(N(Vintage_Input!R76)&gt;0,Vintage_Input!AP76/Vintage_Input!R76,""))</f>
        <v/>
      </c>
      <c r="AI127" s="152">
        <f>IF($B127=1,$I$21,IF(N(Vintage_Input!S76)&gt;0,Vintage_Input!AQ76/Vintage_Input!S76,""))</f>
        <v/>
      </c>
      <c r="AJ127" s="152">
        <f>IF($B127=1,$B$22,IF(N(Vintage_Input!L76)&gt;0,IFERROR(Vintage_Input!AR76/Vintage_Input!AJ76,""),""))</f>
        <v/>
      </c>
      <c r="AK127" s="152">
        <f>IF($B127=1,$C$22,IF(N(Vintage_Input!M76)&gt;0,IFERROR(Vintage_Input!AS76/Vintage_Input!AK76,""),""))</f>
        <v/>
      </c>
      <c r="AL127" s="152">
        <f>IF($B127=1,$D$22,IF(N(Vintage_Input!N76)&gt;0,IFERROR(Vintage_Input!AT76/Vintage_Input!AL76,""),""))</f>
        <v/>
      </c>
      <c r="AM127" s="152">
        <f>IF($B127=1,$E$22,IF(N(Vintage_Input!O76)&gt;0,IFERROR(Vintage_Input!AU76/Vintage_Input!AM76,""),""))</f>
        <v/>
      </c>
      <c r="AN127" s="152">
        <f>IF($B127=1,$F$22,IF(N(Vintage_Input!P76)&gt;0,IFERROR(Vintage_Input!AV76/Vintage_Input!AN76,""),""))</f>
        <v/>
      </c>
      <c r="AO127" s="152">
        <f>IF($B127=1,$G$22,IF(N(Vintage_Input!Q76)&gt;0,IFERROR(Vintage_Input!AW76/Vintage_Input!AO76,""),""))</f>
        <v/>
      </c>
      <c r="AP127" s="152">
        <f>IF($B127=1,$H$22,IF(N(Vintage_Input!R76)&gt;0,IFERROR(Vintage_Input!AX76/Vintage_Input!AP76,""),""))</f>
        <v/>
      </c>
      <c r="AQ127" s="152">
        <f>IF($B127=1,$I$22,IF(N(Vintage_Input!S76)&gt;0,IFERROR(Vintage_Input!AY76/Vintage_Input!AQ76,""),""))</f>
        <v/>
      </c>
      <c r="AR127" s="152">
        <f>IF($B127=1,$B$23,IF(N(Vintage_Input!L76)&gt;0,IFERROR(Vintage_Input!AZ76/$C127,""),""))</f>
        <v/>
      </c>
      <c r="AS127" s="152">
        <f>IF($B127=1,$C$23,IF(N(Vintage_Input!M76)&gt;0,IFERROR(Vintage_Input!BA76/$C127,""),""))</f>
        <v/>
      </c>
      <c r="AT127" s="152">
        <f>IF($B127=1,$D$23,IF(N(Vintage_Input!N76)&gt;0,IFERROR(Vintage_Input!BB76/$C127,""),""))</f>
        <v/>
      </c>
      <c r="AU127" s="152">
        <f>IF($B127=1,$E$23,IF(N(Vintage_Input!O76)&gt;0,IFERROR(Vintage_Input!BC76/$C127,""),""))</f>
        <v/>
      </c>
      <c r="AV127" s="152">
        <f>IF($B127=1,$F$23,IF(N(Vintage_Input!P76)&gt;0,IFERROR(Vintage_Input!BD76/$C127,""),""))</f>
        <v/>
      </c>
      <c r="AW127" s="152">
        <f>IF($B127=1,$G$23,IF(N(Vintage_Input!Q76)&gt;0,IFERROR(Vintage_Input!BE76/$C127,""),""))</f>
        <v/>
      </c>
      <c r="AX127" s="152">
        <f>IF($B127=1,$H$23,IF(N(Vintage_Input!R76)&gt;0,IFERROR(Vintage_Input!BF76/$C127,""),""))</f>
        <v/>
      </c>
      <c r="AY127" s="152">
        <f>IF($B127=1,$I$23,IF(N(Vintage_Input!S76)&gt;0,IFERROR(Vintage_Input!BG76/$C127,""),""))</f>
        <v/>
      </c>
      <c r="AZ127" s="153">
        <f>IF($B127=1,$B$24,IF(N(Vintage_Input!L76)&gt;0,IFERROR((Vintage_Input!D76+Vintage_Input!AR76)/$C127+Products!$D$14-(Products!$D$43+Products!$D$19+Products!$D$43*Products!$D$22+Products!$D$44),""),""))</f>
        <v/>
      </c>
      <c r="BA127" s="153">
        <f>IF($B127=1,$C$24,IF(N(Vintage_Input!M76)&gt;0,IFERROR((Vintage_Input!E76+Vintage_Input!AS76)/$C127+Products!$D$14-(Products!$D$43+Products!$D$19+Products!$D$43*Products!$D$22+Products!$D$44),""),""))</f>
        <v/>
      </c>
      <c r="BB127" s="153">
        <f>IF($B127=1,$D$24,IF(N(Vintage_Input!N76)&gt;0,IFERROR((Vintage_Input!F76+Vintage_Input!AT76)/$C127+Products!$D$14-(Products!$D$43+Products!$D$19+Products!$D$43*Products!$D$22+Products!$D$44),""),""))</f>
        <v/>
      </c>
      <c r="BC127" s="153">
        <f>IF($B127=1,$E$24,IF(N(Vintage_Input!O76)&gt;0,IFERROR((Vintage_Input!G76+Vintage_Input!AU76)/$C127+Products!$D$14-(Products!$D$43+Products!$D$19+Products!$D$43*Products!$D$22+Products!$D$44),""),""))</f>
        <v/>
      </c>
      <c r="BD127" s="153">
        <f>IF($B127=1,$F$24,IF(N(Vintage_Input!P76)&gt;0,IFERROR((Vintage_Input!H76+Vintage_Input!AV76)/$C127+Products!$D$14-(Products!$D$43+Products!$D$19+Products!$D$43*Products!$D$22+Products!$D$44),""),""))</f>
        <v/>
      </c>
      <c r="BE127" s="153">
        <f>IF($B127=1,$G$24,IF(N(Vintage_Input!Q76)&gt;0,IFERROR((Vintage_Input!I76+Vintage_Input!AW76)/$C127+Products!$D$14-(Products!$D$43+Products!$D$19+Products!$D$43*Products!$D$22+Products!$D$44),""),""))</f>
        <v/>
      </c>
      <c r="BF127" s="153">
        <f>IF($B127=1,$H$24,IF(N(Vintage_Input!R76)&gt;0,IFERROR((Vintage_Input!J76+Vintage_Input!AX76)/$C127+Products!$D$14-(Products!$D$43+Products!$D$19+Products!$D$43*Products!$D$22+Products!$D$44),""),""))</f>
        <v/>
      </c>
      <c r="BG127" s="153">
        <f>IF($B127=1,$I$24,IF(N(Vintage_Input!S76)&gt;0,IFERROR((Vintage_Input!K76+Vintage_Input!AY76)/$C127+Products!$D$14-(Products!$D$43+Products!$D$19+Products!$D$43*Products!$D$22+Products!$D$44),""),""))</f>
        <v/>
      </c>
      <c r="BH127" s="81">
        <f>IF($B127=1,0,IF(Vintage_Input!$BH$76="","",Vintage_Input!$BH$76))</f>
        <v/>
      </c>
    </row>
    <row r="128">
      <c r="A128" s="23" t="n">
        <v>4</v>
      </c>
      <c r="B128" s="48">
        <f>Vintage_Input!$B$77</f>
        <v/>
      </c>
      <c r="C128" s="41">
        <f>IF(Vintage_Input!$C$77="",0,Vintage_Input!$C$77)</f>
        <v/>
      </c>
      <c r="D128" s="152">
        <f>IF($B128=1,$B$18,IF(N(Vintage_Input!L77)&gt;0,Vintage_Input!D77/Vintage_Input!L77,""))</f>
        <v/>
      </c>
      <c r="E128" s="152">
        <f>IF($B128=1,$C$18,IF(N(Vintage_Input!M77)&gt;0,Vintage_Input!E77/Vintage_Input!M77,""))</f>
        <v/>
      </c>
      <c r="F128" s="152">
        <f>IF($B128=1,$D$18,IF(N(Vintage_Input!N77)&gt;0,Vintage_Input!F77/Vintage_Input!N77,""))</f>
        <v/>
      </c>
      <c r="G128" s="152">
        <f>IF($B128=1,$E$18,IF(N(Vintage_Input!O77)&gt;0,Vintage_Input!G77/Vintage_Input!O77,""))</f>
        <v/>
      </c>
      <c r="H128" s="152">
        <f>IF($B128=1,$F$18,IF(N(Vintage_Input!P77)&gt;0,Vintage_Input!H77/Vintage_Input!P77,""))</f>
        <v/>
      </c>
      <c r="I128" s="152">
        <f>IF($B128=1,$G$18,IF(N(Vintage_Input!Q77)&gt;0,Vintage_Input!I77/Vintage_Input!Q77,""))</f>
        <v/>
      </c>
      <c r="J128" s="152">
        <f>IF($B128=1,$H$18,IF(N(Vintage_Input!R77)&gt;0,Vintage_Input!J77/Vintage_Input!R77,""))</f>
        <v/>
      </c>
      <c r="K128" s="152">
        <f>IF($B128=1,$I$18,IF(N(Vintage_Input!S77)&gt;0,Vintage_Input!K77/Vintage_Input!S77,""))</f>
        <v/>
      </c>
      <c r="L128" s="152">
        <f>IF($B128=1,$B$19,IF(N(Vintage_Input!L77)&gt;0,Vintage_Input!T77/Vintage_Input!L77,""))</f>
        <v/>
      </c>
      <c r="M128" s="152">
        <f>IF($B128=1,$C$19,IF(N(Vintage_Input!M77)&gt;0,Vintage_Input!U77/Vintage_Input!M77,""))</f>
        <v/>
      </c>
      <c r="N128" s="152">
        <f>IF($B128=1,$D$19,IF(N(Vintage_Input!N77)&gt;0,Vintage_Input!V77/Vintage_Input!N77,""))</f>
        <v/>
      </c>
      <c r="O128" s="152">
        <f>IF($B128=1,$E$19,IF(N(Vintage_Input!O77)&gt;0,Vintage_Input!W77/Vintage_Input!O77,""))</f>
        <v/>
      </c>
      <c r="P128" s="152">
        <f>IF($B128=1,$F$19,IF(N(Vintage_Input!P77)&gt;0,Vintage_Input!X77/Vintage_Input!P77,""))</f>
        <v/>
      </c>
      <c r="Q128" s="152">
        <f>IF($B128=1,$G$19,IF(N(Vintage_Input!Q77)&gt;0,Vintage_Input!Y77/Vintage_Input!Q77,""))</f>
        <v/>
      </c>
      <c r="R128" s="152">
        <f>IF($B128=1,$H$19,IF(N(Vintage_Input!R77)&gt;0,Vintage_Input!Z77/Vintage_Input!R77,""))</f>
        <v/>
      </c>
      <c r="S128" s="152">
        <f>IF($B128=1,$I$19,IF(N(Vintage_Input!S77)&gt;0,Vintage_Input!AA77/Vintage_Input!S77,""))</f>
        <v/>
      </c>
      <c r="T128" s="152">
        <f>IF($B128=1,$B$20,IF(N(Vintage_Input!L77)&gt;0,Vintage_Input!AB77/Vintage_Input!L77,""))</f>
        <v/>
      </c>
      <c r="U128" s="152">
        <f>IF($B128=1,$C$20,IF(N(Vintage_Input!M77)&gt;0,Vintage_Input!AC77/Vintage_Input!M77,""))</f>
        <v/>
      </c>
      <c r="V128" s="152">
        <f>IF($B128=1,$D$20,IF(N(Vintage_Input!N77)&gt;0,Vintage_Input!AD77/Vintage_Input!N77,""))</f>
        <v/>
      </c>
      <c r="W128" s="152">
        <f>IF($B128=1,$E$20,IF(N(Vintage_Input!O77)&gt;0,Vintage_Input!AE77/Vintage_Input!O77,""))</f>
        <v/>
      </c>
      <c r="X128" s="152">
        <f>IF($B128=1,$F$20,IF(N(Vintage_Input!P77)&gt;0,Vintage_Input!AF77/Vintage_Input!P77,""))</f>
        <v/>
      </c>
      <c r="Y128" s="152">
        <f>IF($B128=1,$G$20,IF(N(Vintage_Input!Q77)&gt;0,Vintage_Input!AG77/Vintage_Input!Q77,""))</f>
        <v/>
      </c>
      <c r="Z128" s="152">
        <f>IF($B128=1,$H$20,IF(N(Vintage_Input!R77)&gt;0,Vintage_Input!AH77/Vintage_Input!R77,""))</f>
        <v/>
      </c>
      <c r="AA128" s="152">
        <f>IF($B128=1,$I$20,IF(N(Vintage_Input!S77)&gt;0,Vintage_Input!AI77/Vintage_Input!S77,""))</f>
        <v/>
      </c>
      <c r="AB128" s="152">
        <f>IF($B128=1,$B$21,IF(N(Vintage_Input!L77)&gt;0,Vintage_Input!AJ77/Vintage_Input!L77,""))</f>
        <v/>
      </c>
      <c r="AC128" s="152">
        <f>IF($B128=1,$C$21,IF(N(Vintage_Input!M77)&gt;0,Vintage_Input!AK77/Vintage_Input!M77,""))</f>
        <v/>
      </c>
      <c r="AD128" s="152">
        <f>IF($B128=1,$D$21,IF(N(Vintage_Input!N77)&gt;0,Vintage_Input!AL77/Vintage_Input!N77,""))</f>
        <v/>
      </c>
      <c r="AE128" s="152">
        <f>IF($B128=1,$E$21,IF(N(Vintage_Input!O77)&gt;0,Vintage_Input!AM77/Vintage_Input!O77,""))</f>
        <v/>
      </c>
      <c r="AF128" s="152">
        <f>IF($B128=1,$F$21,IF(N(Vintage_Input!P77)&gt;0,Vintage_Input!AN77/Vintage_Input!P77,""))</f>
        <v/>
      </c>
      <c r="AG128" s="152">
        <f>IF($B128=1,$G$21,IF(N(Vintage_Input!Q77)&gt;0,Vintage_Input!AO77/Vintage_Input!Q77,""))</f>
        <v/>
      </c>
      <c r="AH128" s="152">
        <f>IF($B128=1,$H$21,IF(N(Vintage_Input!R77)&gt;0,Vintage_Input!AP77/Vintage_Input!R77,""))</f>
        <v/>
      </c>
      <c r="AI128" s="152">
        <f>IF($B128=1,$I$21,IF(N(Vintage_Input!S77)&gt;0,Vintage_Input!AQ77/Vintage_Input!S77,""))</f>
        <v/>
      </c>
      <c r="AJ128" s="152">
        <f>IF($B128=1,$B$22,IF(N(Vintage_Input!L77)&gt;0,IFERROR(Vintage_Input!AR77/Vintage_Input!AJ77,""),""))</f>
        <v/>
      </c>
      <c r="AK128" s="152">
        <f>IF($B128=1,$C$22,IF(N(Vintage_Input!M77)&gt;0,IFERROR(Vintage_Input!AS77/Vintage_Input!AK77,""),""))</f>
        <v/>
      </c>
      <c r="AL128" s="152">
        <f>IF($B128=1,$D$22,IF(N(Vintage_Input!N77)&gt;0,IFERROR(Vintage_Input!AT77/Vintage_Input!AL77,""),""))</f>
        <v/>
      </c>
      <c r="AM128" s="152">
        <f>IF($B128=1,$E$22,IF(N(Vintage_Input!O77)&gt;0,IFERROR(Vintage_Input!AU77/Vintage_Input!AM77,""),""))</f>
        <v/>
      </c>
      <c r="AN128" s="152">
        <f>IF($B128=1,$F$22,IF(N(Vintage_Input!P77)&gt;0,IFERROR(Vintage_Input!AV77/Vintage_Input!AN77,""),""))</f>
        <v/>
      </c>
      <c r="AO128" s="152">
        <f>IF($B128=1,$G$22,IF(N(Vintage_Input!Q77)&gt;0,IFERROR(Vintage_Input!AW77/Vintage_Input!AO77,""),""))</f>
        <v/>
      </c>
      <c r="AP128" s="152">
        <f>IF($B128=1,$H$22,IF(N(Vintage_Input!R77)&gt;0,IFERROR(Vintage_Input!AX77/Vintage_Input!AP77,""),""))</f>
        <v/>
      </c>
      <c r="AQ128" s="152">
        <f>IF($B128=1,$I$22,IF(N(Vintage_Input!S77)&gt;0,IFERROR(Vintage_Input!AY77/Vintage_Input!AQ77,""),""))</f>
        <v/>
      </c>
      <c r="AR128" s="152">
        <f>IF($B128=1,$B$23,IF(N(Vintage_Input!L77)&gt;0,IFERROR(Vintage_Input!AZ77/$C128,""),""))</f>
        <v/>
      </c>
      <c r="AS128" s="152">
        <f>IF($B128=1,$C$23,IF(N(Vintage_Input!M77)&gt;0,IFERROR(Vintage_Input!BA77/$C128,""),""))</f>
        <v/>
      </c>
      <c r="AT128" s="152">
        <f>IF($B128=1,$D$23,IF(N(Vintage_Input!N77)&gt;0,IFERROR(Vintage_Input!BB77/$C128,""),""))</f>
        <v/>
      </c>
      <c r="AU128" s="152">
        <f>IF($B128=1,$E$23,IF(N(Vintage_Input!O77)&gt;0,IFERROR(Vintage_Input!BC77/$C128,""),""))</f>
        <v/>
      </c>
      <c r="AV128" s="152">
        <f>IF($B128=1,$F$23,IF(N(Vintage_Input!P77)&gt;0,IFERROR(Vintage_Input!BD77/$C128,""),""))</f>
        <v/>
      </c>
      <c r="AW128" s="152">
        <f>IF($B128=1,$G$23,IF(N(Vintage_Input!Q77)&gt;0,IFERROR(Vintage_Input!BE77/$C128,""),""))</f>
        <v/>
      </c>
      <c r="AX128" s="152">
        <f>IF($B128=1,$H$23,IF(N(Vintage_Input!R77)&gt;0,IFERROR(Vintage_Input!BF77/$C128,""),""))</f>
        <v/>
      </c>
      <c r="AY128" s="152">
        <f>IF($B128=1,$I$23,IF(N(Vintage_Input!S77)&gt;0,IFERROR(Vintage_Input!BG77/$C128,""),""))</f>
        <v/>
      </c>
      <c r="AZ128" s="153">
        <f>IF($B128=1,$B$24,IF(N(Vintage_Input!L77)&gt;0,IFERROR((Vintage_Input!D77+Vintage_Input!AR77)/$C128+Products!$D$14-(Products!$D$43+Products!$D$19+Products!$D$43*Products!$D$22+Products!$D$44),""),""))</f>
        <v/>
      </c>
      <c r="BA128" s="153">
        <f>IF($B128=1,$C$24,IF(N(Vintage_Input!M77)&gt;0,IFERROR((Vintage_Input!E77+Vintage_Input!AS77)/$C128+Products!$D$14-(Products!$D$43+Products!$D$19+Products!$D$43*Products!$D$22+Products!$D$44),""),""))</f>
        <v/>
      </c>
      <c r="BB128" s="153">
        <f>IF($B128=1,$D$24,IF(N(Vintage_Input!N77)&gt;0,IFERROR((Vintage_Input!F77+Vintage_Input!AT77)/$C128+Products!$D$14-(Products!$D$43+Products!$D$19+Products!$D$43*Products!$D$22+Products!$D$44),""),""))</f>
        <v/>
      </c>
      <c r="BC128" s="153">
        <f>IF($B128=1,$E$24,IF(N(Vintage_Input!O77)&gt;0,IFERROR((Vintage_Input!G77+Vintage_Input!AU77)/$C128+Products!$D$14-(Products!$D$43+Products!$D$19+Products!$D$43*Products!$D$22+Products!$D$44),""),""))</f>
        <v/>
      </c>
      <c r="BD128" s="153">
        <f>IF($B128=1,$F$24,IF(N(Vintage_Input!P77)&gt;0,IFERROR((Vintage_Input!H77+Vintage_Input!AV77)/$C128+Products!$D$14-(Products!$D$43+Products!$D$19+Products!$D$43*Products!$D$22+Products!$D$44),""),""))</f>
        <v/>
      </c>
      <c r="BE128" s="153">
        <f>IF($B128=1,$G$24,IF(N(Vintage_Input!Q77)&gt;0,IFERROR((Vintage_Input!I77+Vintage_Input!AW77)/$C128+Products!$D$14-(Products!$D$43+Products!$D$19+Products!$D$43*Products!$D$22+Products!$D$44),""),""))</f>
        <v/>
      </c>
      <c r="BF128" s="153">
        <f>IF($B128=1,$H$24,IF(N(Vintage_Input!R77)&gt;0,IFERROR((Vintage_Input!J77+Vintage_Input!AX77)/$C128+Products!$D$14-(Products!$D$43+Products!$D$19+Products!$D$43*Products!$D$22+Products!$D$44),""),""))</f>
        <v/>
      </c>
      <c r="BG128" s="153">
        <f>IF($B128=1,$I$24,IF(N(Vintage_Input!S77)&gt;0,IFERROR((Vintage_Input!K77+Vintage_Input!AY77)/$C128+Products!$D$14-(Products!$D$43+Products!$D$19+Products!$D$43*Products!$D$22+Products!$D$44),""),""))</f>
        <v/>
      </c>
      <c r="BH128" s="81">
        <f>IF($B128=1,0,IF(Vintage_Input!$BH$77="","",Vintage_Input!$BH$77))</f>
        <v/>
      </c>
    </row>
    <row r="129">
      <c r="A129" s="23" t="n">
        <v>5</v>
      </c>
      <c r="B129" s="48">
        <f>Vintage_Input!$B$78</f>
        <v/>
      </c>
      <c r="C129" s="41">
        <f>IF(Vintage_Input!$C$78="",0,Vintage_Input!$C$78)</f>
        <v/>
      </c>
      <c r="D129" s="152">
        <f>IF($B129=1,$B$18,IF(N(Vintage_Input!L78)&gt;0,Vintage_Input!D78/Vintage_Input!L78,""))</f>
        <v/>
      </c>
      <c r="E129" s="152">
        <f>IF($B129=1,$C$18,IF(N(Vintage_Input!M78)&gt;0,Vintage_Input!E78/Vintage_Input!M78,""))</f>
        <v/>
      </c>
      <c r="F129" s="152">
        <f>IF($B129=1,$D$18,IF(N(Vintage_Input!N78)&gt;0,Vintage_Input!F78/Vintage_Input!N78,""))</f>
        <v/>
      </c>
      <c r="G129" s="152">
        <f>IF($B129=1,$E$18,IF(N(Vintage_Input!O78)&gt;0,Vintage_Input!G78/Vintage_Input!O78,""))</f>
        <v/>
      </c>
      <c r="H129" s="152">
        <f>IF($B129=1,$F$18,IF(N(Vintage_Input!P78)&gt;0,Vintage_Input!H78/Vintage_Input!P78,""))</f>
        <v/>
      </c>
      <c r="I129" s="152">
        <f>IF($B129=1,$G$18,IF(N(Vintage_Input!Q78)&gt;0,Vintage_Input!I78/Vintage_Input!Q78,""))</f>
        <v/>
      </c>
      <c r="J129" s="152">
        <f>IF($B129=1,$H$18,IF(N(Vintage_Input!R78)&gt;0,Vintage_Input!J78/Vintage_Input!R78,""))</f>
        <v/>
      </c>
      <c r="K129" s="152">
        <f>IF($B129=1,$I$18,IF(N(Vintage_Input!S78)&gt;0,Vintage_Input!K78/Vintage_Input!S78,""))</f>
        <v/>
      </c>
      <c r="L129" s="152">
        <f>IF($B129=1,$B$19,IF(N(Vintage_Input!L78)&gt;0,Vintage_Input!T78/Vintage_Input!L78,""))</f>
        <v/>
      </c>
      <c r="M129" s="152">
        <f>IF($B129=1,$C$19,IF(N(Vintage_Input!M78)&gt;0,Vintage_Input!U78/Vintage_Input!M78,""))</f>
        <v/>
      </c>
      <c r="N129" s="152">
        <f>IF($B129=1,$D$19,IF(N(Vintage_Input!N78)&gt;0,Vintage_Input!V78/Vintage_Input!N78,""))</f>
        <v/>
      </c>
      <c r="O129" s="152">
        <f>IF($B129=1,$E$19,IF(N(Vintage_Input!O78)&gt;0,Vintage_Input!W78/Vintage_Input!O78,""))</f>
        <v/>
      </c>
      <c r="P129" s="152">
        <f>IF($B129=1,$F$19,IF(N(Vintage_Input!P78)&gt;0,Vintage_Input!X78/Vintage_Input!P78,""))</f>
        <v/>
      </c>
      <c r="Q129" s="152">
        <f>IF($B129=1,$G$19,IF(N(Vintage_Input!Q78)&gt;0,Vintage_Input!Y78/Vintage_Input!Q78,""))</f>
        <v/>
      </c>
      <c r="R129" s="152">
        <f>IF($B129=1,$H$19,IF(N(Vintage_Input!R78)&gt;0,Vintage_Input!Z78/Vintage_Input!R78,""))</f>
        <v/>
      </c>
      <c r="S129" s="152">
        <f>IF($B129=1,$I$19,IF(N(Vintage_Input!S78)&gt;0,Vintage_Input!AA78/Vintage_Input!S78,""))</f>
        <v/>
      </c>
      <c r="T129" s="152">
        <f>IF($B129=1,$B$20,IF(N(Vintage_Input!L78)&gt;0,Vintage_Input!AB78/Vintage_Input!L78,""))</f>
        <v/>
      </c>
      <c r="U129" s="152">
        <f>IF($B129=1,$C$20,IF(N(Vintage_Input!M78)&gt;0,Vintage_Input!AC78/Vintage_Input!M78,""))</f>
        <v/>
      </c>
      <c r="V129" s="152">
        <f>IF($B129=1,$D$20,IF(N(Vintage_Input!N78)&gt;0,Vintage_Input!AD78/Vintage_Input!N78,""))</f>
        <v/>
      </c>
      <c r="W129" s="152">
        <f>IF($B129=1,$E$20,IF(N(Vintage_Input!O78)&gt;0,Vintage_Input!AE78/Vintage_Input!O78,""))</f>
        <v/>
      </c>
      <c r="X129" s="152">
        <f>IF($B129=1,$F$20,IF(N(Vintage_Input!P78)&gt;0,Vintage_Input!AF78/Vintage_Input!P78,""))</f>
        <v/>
      </c>
      <c r="Y129" s="152">
        <f>IF($B129=1,$G$20,IF(N(Vintage_Input!Q78)&gt;0,Vintage_Input!AG78/Vintage_Input!Q78,""))</f>
        <v/>
      </c>
      <c r="Z129" s="152">
        <f>IF($B129=1,$H$20,IF(N(Vintage_Input!R78)&gt;0,Vintage_Input!AH78/Vintage_Input!R78,""))</f>
        <v/>
      </c>
      <c r="AA129" s="152">
        <f>IF($B129=1,$I$20,IF(N(Vintage_Input!S78)&gt;0,Vintage_Input!AI78/Vintage_Input!S78,""))</f>
        <v/>
      </c>
      <c r="AB129" s="152">
        <f>IF($B129=1,$B$21,IF(N(Vintage_Input!L78)&gt;0,Vintage_Input!AJ78/Vintage_Input!L78,""))</f>
        <v/>
      </c>
      <c r="AC129" s="152">
        <f>IF($B129=1,$C$21,IF(N(Vintage_Input!M78)&gt;0,Vintage_Input!AK78/Vintage_Input!M78,""))</f>
        <v/>
      </c>
      <c r="AD129" s="152">
        <f>IF($B129=1,$D$21,IF(N(Vintage_Input!N78)&gt;0,Vintage_Input!AL78/Vintage_Input!N78,""))</f>
        <v/>
      </c>
      <c r="AE129" s="152">
        <f>IF($B129=1,$E$21,IF(N(Vintage_Input!O78)&gt;0,Vintage_Input!AM78/Vintage_Input!O78,""))</f>
        <v/>
      </c>
      <c r="AF129" s="152">
        <f>IF($B129=1,$F$21,IF(N(Vintage_Input!P78)&gt;0,Vintage_Input!AN78/Vintage_Input!P78,""))</f>
        <v/>
      </c>
      <c r="AG129" s="152">
        <f>IF($B129=1,$G$21,IF(N(Vintage_Input!Q78)&gt;0,Vintage_Input!AO78/Vintage_Input!Q78,""))</f>
        <v/>
      </c>
      <c r="AH129" s="152">
        <f>IF($B129=1,$H$21,IF(N(Vintage_Input!R78)&gt;0,Vintage_Input!AP78/Vintage_Input!R78,""))</f>
        <v/>
      </c>
      <c r="AI129" s="152">
        <f>IF($B129=1,$I$21,IF(N(Vintage_Input!S78)&gt;0,Vintage_Input!AQ78/Vintage_Input!S78,""))</f>
        <v/>
      </c>
      <c r="AJ129" s="152">
        <f>IF($B129=1,$B$22,IF(N(Vintage_Input!L78)&gt;0,IFERROR(Vintage_Input!AR78/Vintage_Input!AJ78,""),""))</f>
        <v/>
      </c>
      <c r="AK129" s="152">
        <f>IF($B129=1,$C$22,IF(N(Vintage_Input!M78)&gt;0,IFERROR(Vintage_Input!AS78/Vintage_Input!AK78,""),""))</f>
        <v/>
      </c>
      <c r="AL129" s="152">
        <f>IF($B129=1,$D$22,IF(N(Vintage_Input!N78)&gt;0,IFERROR(Vintage_Input!AT78/Vintage_Input!AL78,""),""))</f>
        <v/>
      </c>
      <c r="AM129" s="152">
        <f>IF($B129=1,$E$22,IF(N(Vintage_Input!O78)&gt;0,IFERROR(Vintage_Input!AU78/Vintage_Input!AM78,""),""))</f>
        <v/>
      </c>
      <c r="AN129" s="152">
        <f>IF($B129=1,$F$22,IF(N(Vintage_Input!P78)&gt;0,IFERROR(Vintage_Input!AV78/Vintage_Input!AN78,""),""))</f>
        <v/>
      </c>
      <c r="AO129" s="152">
        <f>IF($B129=1,$G$22,IF(N(Vintage_Input!Q78)&gt;0,IFERROR(Vintage_Input!AW78/Vintage_Input!AO78,""),""))</f>
        <v/>
      </c>
      <c r="AP129" s="152">
        <f>IF($B129=1,$H$22,IF(N(Vintage_Input!R78)&gt;0,IFERROR(Vintage_Input!AX78/Vintage_Input!AP78,""),""))</f>
        <v/>
      </c>
      <c r="AQ129" s="152">
        <f>IF($B129=1,$I$22,IF(N(Vintage_Input!S78)&gt;0,IFERROR(Vintage_Input!AY78/Vintage_Input!AQ78,""),""))</f>
        <v/>
      </c>
      <c r="AR129" s="152">
        <f>IF($B129=1,$B$23,IF(N(Vintage_Input!L78)&gt;0,IFERROR(Vintage_Input!AZ78/$C129,""),""))</f>
        <v/>
      </c>
      <c r="AS129" s="152">
        <f>IF($B129=1,$C$23,IF(N(Vintage_Input!M78)&gt;0,IFERROR(Vintage_Input!BA78/$C129,""),""))</f>
        <v/>
      </c>
      <c r="AT129" s="152">
        <f>IF($B129=1,$D$23,IF(N(Vintage_Input!N78)&gt;0,IFERROR(Vintage_Input!BB78/$C129,""),""))</f>
        <v/>
      </c>
      <c r="AU129" s="152">
        <f>IF($B129=1,$E$23,IF(N(Vintage_Input!O78)&gt;0,IFERROR(Vintage_Input!BC78/$C129,""),""))</f>
        <v/>
      </c>
      <c r="AV129" s="152">
        <f>IF($B129=1,$F$23,IF(N(Vintage_Input!P78)&gt;0,IFERROR(Vintage_Input!BD78/$C129,""),""))</f>
        <v/>
      </c>
      <c r="AW129" s="152">
        <f>IF($B129=1,$G$23,IF(N(Vintage_Input!Q78)&gt;0,IFERROR(Vintage_Input!BE78/$C129,""),""))</f>
        <v/>
      </c>
      <c r="AX129" s="152">
        <f>IF($B129=1,$H$23,IF(N(Vintage_Input!R78)&gt;0,IFERROR(Vintage_Input!BF78/$C129,""),""))</f>
        <v/>
      </c>
      <c r="AY129" s="152">
        <f>IF($B129=1,$I$23,IF(N(Vintage_Input!S78)&gt;0,IFERROR(Vintage_Input!BG78/$C129,""),""))</f>
        <v/>
      </c>
      <c r="AZ129" s="153">
        <f>IF($B129=1,$B$24,IF(N(Vintage_Input!L78)&gt;0,IFERROR((Vintage_Input!D78+Vintage_Input!AR78)/$C129+Products!$D$14-(Products!$D$43+Products!$D$19+Products!$D$43*Products!$D$22+Products!$D$44),""),""))</f>
        <v/>
      </c>
      <c r="BA129" s="153">
        <f>IF($B129=1,$C$24,IF(N(Vintage_Input!M78)&gt;0,IFERROR((Vintage_Input!E78+Vintage_Input!AS78)/$C129+Products!$D$14-(Products!$D$43+Products!$D$19+Products!$D$43*Products!$D$22+Products!$D$44),""),""))</f>
        <v/>
      </c>
      <c r="BB129" s="153">
        <f>IF($B129=1,$D$24,IF(N(Vintage_Input!N78)&gt;0,IFERROR((Vintage_Input!F78+Vintage_Input!AT78)/$C129+Products!$D$14-(Products!$D$43+Products!$D$19+Products!$D$43*Products!$D$22+Products!$D$44),""),""))</f>
        <v/>
      </c>
      <c r="BC129" s="153">
        <f>IF($B129=1,$E$24,IF(N(Vintage_Input!O78)&gt;0,IFERROR((Vintage_Input!G78+Vintage_Input!AU78)/$C129+Products!$D$14-(Products!$D$43+Products!$D$19+Products!$D$43*Products!$D$22+Products!$D$44),""),""))</f>
        <v/>
      </c>
      <c r="BD129" s="153">
        <f>IF($B129=1,$F$24,IF(N(Vintage_Input!P78)&gt;0,IFERROR((Vintage_Input!H78+Vintage_Input!AV78)/$C129+Products!$D$14-(Products!$D$43+Products!$D$19+Products!$D$43*Products!$D$22+Products!$D$44),""),""))</f>
        <v/>
      </c>
      <c r="BE129" s="153">
        <f>IF($B129=1,$G$24,IF(N(Vintage_Input!Q78)&gt;0,IFERROR((Vintage_Input!I78+Vintage_Input!AW78)/$C129+Products!$D$14-(Products!$D$43+Products!$D$19+Products!$D$43*Products!$D$22+Products!$D$44),""),""))</f>
        <v/>
      </c>
      <c r="BF129" s="153">
        <f>IF($B129=1,$H$24,IF(N(Vintage_Input!R78)&gt;0,IFERROR((Vintage_Input!J78+Vintage_Input!AX78)/$C129+Products!$D$14-(Products!$D$43+Products!$D$19+Products!$D$43*Products!$D$22+Products!$D$44),""),""))</f>
        <v/>
      </c>
      <c r="BG129" s="153">
        <f>IF($B129=1,$I$24,IF(N(Vintage_Input!S78)&gt;0,IFERROR((Vintage_Input!K78+Vintage_Input!AY78)/$C129+Products!$D$14-(Products!$D$43+Products!$D$19+Products!$D$43*Products!$D$22+Products!$D$44),""),""))</f>
        <v/>
      </c>
      <c r="BH129" s="81">
        <f>IF($B129=1,0,IF(Vintage_Input!$BH$78="","",Vintage_Input!$BH$78))</f>
        <v/>
      </c>
    </row>
    <row r="130">
      <c r="A130" s="23" t="n">
        <v>6</v>
      </c>
      <c r="B130" s="48">
        <f>Vintage_Input!$B$79</f>
        <v/>
      </c>
      <c r="C130" s="41">
        <f>IF(Vintage_Input!$C$79="",0,Vintage_Input!$C$79)</f>
        <v/>
      </c>
      <c r="D130" s="152">
        <f>IF($B130=1,$B$18,IF(N(Vintage_Input!L79)&gt;0,Vintage_Input!D79/Vintage_Input!L79,""))</f>
        <v/>
      </c>
      <c r="E130" s="152">
        <f>IF($B130=1,$C$18,IF(N(Vintage_Input!M79)&gt;0,Vintage_Input!E79/Vintage_Input!M79,""))</f>
        <v/>
      </c>
      <c r="F130" s="152">
        <f>IF($B130=1,$D$18,IF(N(Vintage_Input!N79)&gt;0,Vintage_Input!F79/Vintage_Input!N79,""))</f>
        <v/>
      </c>
      <c r="G130" s="152">
        <f>IF($B130=1,$E$18,IF(N(Vintage_Input!O79)&gt;0,Vintage_Input!G79/Vintage_Input!O79,""))</f>
        <v/>
      </c>
      <c r="H130" s="152">
        <f>IF($B130=1,$F$18,IF(N(Vintage_Input!P79)&gt;0,Vintage_Input!H79/Vintage_Input!P79,""))</f>
        <v/>
      </c>
      <c r="I130" s="152">
        <f>IF($B130=1,$G$18,IF(N(Vintage_Input!Q79)&gt;0,Vintage_Input!I79/Vintage_Input!Q79,""))</f>
        <v/>
      </c>
      <c r="J130" s="152">
        <f>IF($B130=1,$H$18,IF(N(Vintage_Input!R79)&gt;0,Vintage_Input!J79/Vintage_Input!R79,""))</f>
        <v/>
      </c>
      <c r="K130" s="152">
        <f>IF($B130=1,$I$18,IF(N(Vintage_Input!S79)&gt;0,Vintage_Input!K79/Vintage_Input!S79,""))</f>
        <v/>
      </c>
      <c r="L130" s="152">
        <f>IF($B130=1,$B$19,IF(N(Vintage_Input!L79)&gt;0,Vintage_Input!T79/Vintage_Input!L79,""))</f>
        <v/>
      </c>
      <c r="M130" s="152">
        <f>IF($B130=1,$C$19,IF(N(Vintage_Input!M79)&gt;0,Vintage_Input!U79/Vintage_Input!M79,""))</f>
        <v/>
      </c>
      <c r="N130" s="152">
        <f>IF($B130=1,$D$19,IF(N(Vintage_Input!N79)&gt;0,Vintage_Input!V79/Vintage_Input!N79,""))</f>
        <v/>
      </c>
      <c r="O130" s="152">
        <f>IF($B130=1,$E$19,IF(N(Vintage_Input!O79)&gt;0,Vintage_Input!W79/Vintage_Input!O79,""))</f>
        <v/>
      </c>
      <c r="P130" s="152">
        <f>IF($B130=1,$F$19,IF(N(Vintage_Input!P79)&gt;0,Vintage_Input!X79/Vintage_Input!P79,""))</f>
        <v/>
      </c>
      <c r="Q130" s="152">
        <f>IF($B130=1,$G$19,IF(N(Vintage_Input!Q79)&gt;0,Vintage_Input!Y79/Vintage_Input!Q79,""))</f>
        <v/>
      </c>
      <c r="R130" s="152">
        <f>IF($B130=1,$H$19,IF(N(Vintage_Input!R79)&gt;0,Vintage_Input!Z79/Vintage_Input!R79,""))</f>
        <v/>
      </c>
      <c r="S130" s="152">
        <f>IF($B130=1,$I$19,IF(N(Vintage_Input!S79)&gt;0,Vintage_Input!AA79/Vintage_Input!S79,""))</f>
        <v/>
      </c>
      <c r="T130" s="152">
        <f>IF($B130=1,$B$20,IF(N(Vintage_Input!L79)&gt;0,Vintage_Input!AB79/Vintage_Input!L79,""))</f>
        <v/>
      </c>
      <c r="U130" s="152">
        <f>IF($B130=1,$C$20,IF(N(Vintage_Input!M79)&gt;0,Vintage_Input!AC79/Vintage_Input!M79,""))</f>
        <v/>
      </c>
      <c r="V130" s="152">
        <f>IF($B130=1,$D$20,IF(N(Vintage_Input!N79)&gt;0,Vintage_Input!AD79/Vintage_Input!N79,""))</f>
        <v/>
      </c>
      <c r="W130" s="152">
        <f>IF($B130=1,$E$20,IF(N(Vintage_Input!O79)&gt;0,Vintage_Input!AE79/Vintage_Input!O79,""))</f>
        <v/>
      </c>
      <c r="X130" s="152">
        <f>IF($B130=1,$F$20,IF(N(Vintage_Input!P79)&gt;0,Vintage_Input!AF79/Vintage_Input!P79,""))</f>
        <v/>
      </c>
      <c r="Y130" s="152">
        <f>IF($B130=1,$G$20,IF(N(Vintage_Input!Q79)&gt;0,Vintage_Input!AG79/Vintage_Input!Q79,""))</f>
        <v/>
      </c>
      <c r="Z130" s="152">
        <f>IF($B130=1,$H$20,IF(N(Vintage_Input!R79)&gt;0,Vintage_Input!AH79/Vintage_Input!R79,""))</f>
        <v/>
      </c>
      <c r="AA130" s="152">
        <f>IF($B130=1,$I$20,IF(N(Vintage_Input!S79)&gt;0,Vintage_Input!AI79/Vintage_Input!S79,""))</f>
        <v/>
      </c>
      <c r="AB130" s="152">
        <f>IF($B130=1,$B$21,IF(N(Vintage_Input!L79)&gt;0,Vintage_Input!AJ79/Vintage_Input!L79,""))</f>
        <v/>
      </c>
      <c r="AC130" s="152">
        <f>IF($B130=1,$C$21,IF(N(Vintage_Input!M79)&gt;0,Vintage_Input!AK79/Vintage_Input!M79,""))</f>
        <v/>
      </c>
      <c r="AD130" s="152">
        <f>IF($B130=1,$D$21,IF(N(Vintage_Input!N79)&gt;0,Vintage_Input!AL79/Vintage_Input!N79,""))</f>
        <v/>
      </c>
      <c r="AE130" s="152">
        <f>IF($B130=1,$E$21,IF(N(Vintage_Input!O79)&gt;0,Vintage_Input!AM79/Vintage_Input!O79,""))</f>
        <v/>
      </c>
      <c r="AF130" s="152">
        <f>IF($B130=1,$F$21,IF(N(Vintage_Input!P79)&gt;0,Vintage_Input!AN79/Vintage_Input!P79,""))</f>
        <v/>
      </c>
      <c r="AG130" s="152">
        <f>IF($B130=1,$G$21,IF(N(Vintage_Input!Q79)&gt;0,Vintage_Input!AO79/Vintage_Input!Q79,""))</f>
        <v/>
      </c>
      <c r="AH130" s="152">
        <f>IF($B130=1,$H$21,IF(N(Vintage_Input!R79)&gt;0,Vintage_Input!AP79/Vintage_Input!R79,""))</f>
        <v/>
      </c>
      <c r="AI130" s="152">
        <f>IF($B130=1,$I$21,IF(N(Vintage_Input!S79)&gt;0,Vintage_Input!AQ79/Vintage_Input!S79,""))</f>
        <v/>
      </c>
      <c r="AJ130" s="152">
        <f>IF($B130=1,$B$22,IF(N(Vintage_Input!L79)&gt;0,IFERROR(Vintage_Input!AR79/Vintage_Input!AJ79,""),""))</f>
        <v/>
      </c>
      <c r="AK130" s="152">
        <f>IF($B130=1,$C$22,IF(N(Vintage_Input!M79)&gt;0,IFERROR(Vintage_Input!AS79/Vintage_Input!AK79,""),""))</f>
        <v/>
      </c>
      <c r="AL130" s="152">
        <f>IF($B130=1,$D$22,IF(N(Vintage_Input!N79)&gt;0,IFERROR(Vintage_Input!AT79/Vintage_Input!AL79,""),""))</f>
        <v/>
      </c>
      <c r="AM130" s="152">
        <f>IF($B130=1,$E$22,IF(N(Vintage_Input!O79)&gt;0,IFERROR(Vintage_Input!AU79/Vintage_Input!AM79,""),""))</f>
        <v/>
      </c>
      <c r="AN130" s="152">
        <f>IF($B130=1,$F$22,IF(N(Vintage_Input!P79)&gt;0,IFERROR(Vintage_Input!AV79/Vintage_Input!AN79,""),""))</f>
        <v/>
      </c>
      <c r="AO130" s="152">
        <f>IF($B130=1,$G$22,IF(N(Vintage_Input!Q79)&gt;0,IFERROR(Vintage_Input!AW79/Vintage_Input!AO79,""),""))</f>
        <v/>
      </c>
      <c r="AP130" s="152">
        <f>IF($B130=1,$H$22,IF(N(Vintage_Input!R79)&gt;0,IFERROR(Vintage_Input!AX79/Vintage_Input!AP79,""),""))</f>
        <v/>
      </c>
      <c r="AQ130" s="152">
        <f>IF($B130=1,$I$22,IF(N(Vintage_Input!S79)&gt;0,IFERROR(Vintage_Input!AY79/Vintage_Input!AQ79,""),""))</f>
        <v/>
      </c>
      <c r="AR130" s="152">
        <f>IF($B130=1,$B$23,IF(N(Vintage_Input!L79)&gt;0,IFERROR(Vintage_Input!AZ79/$C130,""),""))</f>
        <v/>
      </c>
      <c r="AS130" s="152">
        <f>IF($B130=1,$C$23,IF(N(Vintage_Input!M79)&gt;0,IFERROR(Vintage_Input!BA79/$C130,""),""))</f>
        <v/>
      </c>
      <c r="AT130" s="152">
        <f>IF($B130=1,$D$23,IF(N(Vintage_Input!N79)&gt;0,IFERROR(Vintage_Input!BB79/$C130,""),""))</f>
        <v/>
      </c>
      <c r="AU130" s="152">
        <f>IF($B130=1,$E$23,IF(N(Vintage_Input!O79)&gt;0,IFERROR(Vintage_Input!BC79/$C130,""),""))</f>
        <v/>
      </c>
      <c r="AV130" s="152">
        <f>IF($B130=1,$F$23,IF(N(Vintage_Input!P79)&gt;0,IFERROR(Vintage_Input!BD79/$C130,""),""))</f>
        <v/>
      </c>
      <c r="AW130" s="152">
        <f>IF($B130=1,$G$23,IF(N(Vintage_Input!Q79)&gt;0,IFERROR(Vintage_Input!BE79/$C130,""),""))</f>
        <v/>
      </c>
      <c r="AX130" s="152">
        <f>IF($B130=1,$H$23,IF(N(Vintage_Input!R79)&gt;0,IFERROR(Vintage_Input!BF79/$C130,""),""))</f>
        <v/>
      </c>
      <c r="AY130" s="152">
        <f>IF($B130=1,$I$23,IF(N(Vintage_Input!S79)&gt;0,IFERROR(Vintage_Input!BG79/$C130,""),""))</f>
        <v/>
      </c>
      <c r="AZ130" s="153">
        <f>IF($B130=1,$B$24,IF(N(Vintage_Input!L79)&gt;0,IFERROR((Vintage_Input!D79+Vintage_Input!AR79)/$C130+Products!$D$14-(Products!$D$43+Products!$D$19+Products!$D$43*Products!$D$22+Products!$D$44),""),""))</f>
        <v/>
      </c>
      <c r="BA130" s="153">
        <f>IF($B130=1,$C$24,IF(N(Vintage_Input!M79)&gt;0,IFERROR((Vintage_Input!E79+Vintage_Input!AS79)/$C130+Products!$D$14-(Products!$D$43+Products!$D$19+Products!$D$43*Products!$D$22+Products!$D$44),""),""))</f>
        <v/>
      </c>
      <c r="BB130" s="153">
        <f>IF($B130=1,$D$24,IF(N(Vintage_Input!N79)&gt;0,IFERROR((Vintage_Input!F79+Vintage_Input!AT79)/$C130+Products!$D$14-(Products!$D$43+Products!$D$19+Products!$D$43*Products!$D$22+Products!$D$44),""),""))</f>
        <v/>
      </c>
      <c r="BC130" s="153">
        <f>IF($B130=1,$E$24,IF(N(Vintage_Input!O79)&gt;0,IFERROR((Vintage_Input!G79+Vintage_Input!AU79)/$C130+Products!$D$14-(Products!$D$43+Products!$D$19+Products!$D$43*Products!$D$22+Products!$D$44),""),""))</f>
        <v/>
      </c>
      <c r="BD130" s="153">
        <f>IF($B130=1,$F$24,IF(N(Vintage_Input!P79)&gt;0,IFERROR((Vintage_Input!H79+Vintage_Input!AV79)/$C130+Products!$D$14-(Products!$D$43+Products!$D$19+Products!$D$43*Products!$D$22+Products!$D$44),""),""))</f>
        <v/>
      </c>
      <c r="BE130" s="153">
        <f>IF($B130=1,$G$24,IF(N(Vintage_Input!Q79)&gt;0,IFERROR((Vintage_Input!I79+Vintage_Input!AW79)/$C130+Products!$D$14-(Products!$D$43+Products!$D$19+Products!$D$43*Products!$D$22+Products!$D$44),""),""))</f>
        <v/>
      </c>
      <c r="BF130" s="153">
        <f>IF($B130=1,$H$24,IF(N(Vintage_Input!R79)&gt;0,IFERROR((Vintage_Input!J79+Vintage_Input!AX79)/$C130+Products!$D$14-(Products!$D$43+Products!$D$19+Products!$D$43*Products!$D$22+Products!$D$44),""),""))</f>
        <v/>
      </c>
      <c r="BG130" s="153">
        <f>IF($B130=1,$I$24,IF(N(Vintage_Input!S79)&gt;0,IFERROR((Vintage_Input!K79+Vintage_Input!AY79)/$C130+Products!$D$14-(Products!$D$43+Products!$D$19+Products!$D$43*Products!$D$22+Products!$D$44),""),""))</f>
        <v/>
      </c>
      <c r="BH130" s="81">
        <f>IF($B130=1,0,IF(Vintage_Input!$BH$79="","",Vintage_Input!$BH$79))</f>
        <v/>
      </c>
    </row>
    <row r="131">
      <c r="A131" s="23" t="n">
        <v>7</v>
      </c>
      <c r="B131" s="48">
        <f>Vintage_Input!$B$80</f>
        <v/>
      </c>
      <c r="C131" s="41">
        <f>IF(Vintage_Input!$C$80="",0,Vintage_Input!$C$80)</f>
        <v/>
      </c>
      <c r="D131" s="152">
        <f>IF($B131=1,$B$18,IF(N(Vintage_Input!L80)&gt;0,Vintage_Input!D80/Vintage_Input!L80,""))</f>
        <v/>
      </c>
      <c r="E131" s="152">
        <f>IF($B131=1,$C$18,IF(N(Vintage_Input!M80)&gt;0,Vintage_Input!E80/Vintage_Input!M80,""))</f>
        <v/>
      </c>
      <c r="F131" s="152">
        <f>IF($B131=1,$D$18,IF(N(Vintage_Input!N80)&gt;0,Vintage_Input!F80/Vintage_Input!N80,""))</f>
        <v/>
      </c>
      <c r="G131" s="152">
        <f>IF($B131=1,$E$18,IF(N(Vintage_Input!O80)&gt;0,Vintage_Input!G80/Vintage_Input!O80,""))</f>
        <v/>
      </c>
      <c r="H131" s="152">
        <f>IF($B131=1,$F$18,IF(N(Vintage_Input!P80)&gt;0,Vintage_Input!H80/Vintage_Input!P80,""))</f>
        <v/>
      </c>
      <c r="I131" s="152">
        <f>IF($B131=1,$G$18,IF(N(Vintage_Input!Q80)&gt;0,Vintage_Input!I80/Vintage_Input!Q80,""))</f>
        <v/>
      </c>
      <c r="J131" s="152">
        <f>IF($B131=1,$H$18,IF(N(Vintage_Input!R80)&gt;0,Vintage_Input!J80/Vintage_Input!R80,""))</f>
        <v/>
      </c>
      <c r="K131" s="152">
        <f>IF($B131=1,$I$18,IF(N(Vintage_Input!S80)&gt;0,Vintage_Input!K80/Vintage_Input!S80,""))</f>
        <v/>
      </c>
      <c r="L131" s="152">
        <f>IF($B131=1,$B$19,IF(N(Vintage_Input!L80)&gt;0,Vintage_Input!T80/Vintage_Input!L80,""))</f>
        <v/>
      </c>
      <c r="M131" s="152">
        <f>IF($B131=1,$C$19,IF(N(Vintage_Input!M80)&gt;0,Vintage_Input!U80/Vintage_Input!M80,""))</f>
        <v/>
      </c>
      <c r="N131" s="152">
        <f>IF($B131=1,$D$19,IF(N(Vintage_Input!N80)&gt;0,Vintage_Input!V80/Vintage_Input!N80,""))</f>
        <v/>
      </c>
      <c r="O131" s="152">
        <f>IF($B131=1,$E$19,IF(N(Vintage_Input!O80)&gt;0,Vintage_Input!W80/Vintage_Input!O80,""))</f>
        <v/>
      </c>
      <c r="P131" s="152">
        <f>IF($B131=1,$F$19,IF(N(Vintage_Input!P80)&gt;0,Vintage_Input!X80/Vintage_Input!P80,""))</f>
        <v/>
      </c>
      <c r="Q131" s="152">
        <f>IF($B131=1,$G$19,IF(N(Vintage_Input!Q80)&gt;0,Vintage_Input!Y80/Vintage_Input!Q80,""))</f>
        <v/>
      </c>
      <c r="R131" s="152">
        <f>IF($B131=1,$H$19,IF(N(Vintage_Input!R80)&gt;0,Vintage_Input!Z80/Vintage_Input!R80,""))</f>
        <v/>
      </c>
      <c r="S131" s="152">
        <f>IF($B131=1,$I$19,IF(N(Vintage_Input!S80)&gt;0,Vintage_Input!AA80/Vintage_Input!S80,""))</f>
        <v/>
      </c>
      <c r="T131" s="152">
        <f>IF($B131=1,$B$20,IF(N(Vintage_Input!L80)&gt;0,Vintage_Input!AB80/Vintage_Input!L80,""))</f>
        <v/>
      </c>
      <c r="U131" s="152">
        <f>IF($B131=1,$C$20,IF(N(Vintage_Input!M80)&gt;0,Vintage_Input!AC80/Vintage_Input!M80,""))</f>
        <v/>
      </c>
      <c r="V131" s="152">
        <f>IF($B131=1,$D$20,IF(N(Vintage_Input!N80)&gt;0,Vintage_Input!AD80/Vintage_Input!N80,""))</f>
        <v/>
      </c>
      <c r="W131" s="152">
        <f>IF($B131=1,$E$20,IF(N(Vintage_Input!O80)&gt;0,Vintage_Input!AE80/Vintage_Input!O80,""))</f>
        <v/>
      </c>
      <c r="X131" s="152">
        <f>IF($B131=1,$F$20,IF(N(Vintage_Input!P80)&gt;0,Vintage_Input!AF80/Vintage_Input!P80,""))</f>
        <v/>
      </c>
      <c r="Y131" s="152">
        <f>IF($B131=1,$G$20,IF(N(Vintage_Input!Q80)&gt;0,Vintage_Input!AG80/Vintage_Input!Q80,""))</f>
        <v/>
      </c>
      <c r="Z131" s="152">
        <f>IF($B131=1,$H$20,IF(N(Vintage_Input!R80)&gt;0,Vintage_Input!AH80/Vintage_Input!R80,""))</f>
        <v/>
      </c>
      <c r="AA131" s="152">
        <f>IF($B131=1,$I$20,IF(N(Vintage_Input!S80)&gt;0,Vintage_Input!AI80/Vintage_Input!S80,""))</f>
        <v/>
      </c>
      <c r="AB131" s="152">
        <f>IF($B131=1,$B$21,IF(N(Vintage_Input!L80)&gt;0,Vintage_Input!AJ80/Vintage_Input!L80,""))</f>
        <v/>
      </c>
      <c r="AC131" s="152">
        <f>IF($B131=1,$C$21,IF(N(Vintage_Input!M80)&gt;0,Vintage_Input!AK80/Vintage_Input!M80,""))</f>
        <v/>
      </c>
      <c r="AD131" s="152">
        <f>IF($B131=1,$D$21,IF(N(Vintage_Input!N80)&gt;0,Vintage_Input!AL80/Vintage_Input!N80,""))</f>
        <v/>
      </c>
      <c r="AE131" s="152">
        <f>IF($B131=1,$E$21,IF(N(Vintage_Input!O80)&gt;0,Vintage_Input!AM80/Vintage_Input!O80,""))</f>
        <v/>
      </c>
      <c r="AF131" s="152">
        <f>IF($B131=1,$F$21,IF(N(Vintage_Input!P80)&gt;0,Vintage_Input!AN80/Vintage_Input!P80,""))</f>
        <v/>
      </c>
      <c r="AG131" s="152">
        <f>IF($B131=1,$G$21,IF(N(Vintage_Input!Q80)&gt;0,Vintage_Input!AO80/Vintage_Input!Q80,""))</f>
        <v/>
      </c>
      <c r="AH131" s="152">
        <f>IF($B131=1,$H$21,IF(N(Vintage_Input!R80)&gt;0,Vintage_Input!AP80/Vintage_Input!R80,""))</f>
        <v/>
      </c>
      <c r="AI131" s="152">
        <f>IF($B131=1,$I$21,IF(N(Vintage_Input!S80)&gt;0,Vintage_Input!AQ80/Vintage_Input!S80,""))</f>
        <v/>
      </c>
      <c r="AJ131" s="152">
        <f>IF($B131=1,$B$22,IF(N(Vintage_Input!L80)&gt;0,IFERROR(Vintage_Input!AR80/Vintage_Input!AJ80,""),""))</f>
        <v/>
      </c>
      <c r="AK131" s="152">
        <f>IF($B131=1,$C$22,IF(N(Vintage_Input!M80)&gt;0,IFERROR(Vintage_Input!AS80/Vintage_Input!AK80,""),""))</f>
        <v/>
      </c>
      <c r="AL131" s="152">
        <f>IF($B131=1,$D$22,IF(N(Vintage_Input!N80)&gt;0,IFERROR(Vintage_Input!AT80/Vintage_Input!AL80,""),""))</f>
        <v/>
      </c>
      <c r="AM131" s="152">
        <f>IF($B131=1,$E$22,IF(N(Vintage_Input!O80)&gt;0,IFERROR(Vintage_Input!AU80/Vintage_Input!AM80,""),""))</f>
        <v/>
      </c>
      <c r="AN131" s="152">
        <f>IF($B131=1,$F$22,IF(N(Vintage_Input!P80)&gt;0,IFERROR(Vintage_Input!AV80/Vintage_Input!AN80,""),""))</f>
        <v/>
      </c>
      <c r="AO131" s="152">
        <f>IF($B131=1,$G$22,IF(N(Vintage_Input!Q80)&gt;0,IFERROR(Vintage_Input!AW80/Vintage_Input!AO80,""),""))</f>
        <v/>
      </c>
      <c r="AP131" s="152">
        <f>IF($B131=1,$H$22,IF(N(Vintage_Input!R80)&gt;0,IFERROR(Vintage_Input!AX80/Vintage_Input!AP80,""),""))</f>
        <v/>
      </c>
      <c r="AQ131" s="152">
        <f>IF($B131=1,$I$22,IF(N(Vintage_Input!S80)&gt;0,IFERROR(Vintage_Input!AY80/Vintage_Input!AQ80,""),""))</f>
        <v/>
      </c>
      <c r="AR131" s="152">
        <f>IF($B131=1,$B$23,IF(N(Vintage_Input!L80)&gt;0,IFERROR(Vintage_Input!AZ80/$C131,""),""))</f>
        <v/>
      </c>
      <c r="AS131" s="152">
        <f>IF($B131=1,$C$23,IF(N(Vintage_Input!M80)&gt;0,IFERROR(Vintage_Input!BA80/$C131,""),""))</f>
        <v/>
      </c>
      <c r="AT131" s="152">
        <f>IF($B131=1,$D$23,IF(N(Vintage_Input!N80)&gt;0,IFERROR(Vintage_Input!BB80/$C131,""),""))</f>
        <v/>
      </c>
      <c r="AU131" s="152">
        <f>IF($B131=1,$E$23,IF(N(Vintage_Input!O80)&gt;0,IFERROR(Vintage_Input!BC80/$C131,""),""))</f>
        <v/>
      </c>
      <c r="AV131" s="152">
        <f>IF($B131=1,$F$23,IF(N(Vintage_Input!P80)&gt;0,IFERROR(Vintage_Input!BD80/$C131,""),""))</f>
        <v/>
      </c>
      <c r="AW131" s="152">
        <f>IF($B131=1,$G$23,IF(N(Vintage_Input!Q80)&gt;0,IFERROR(Vintage_Input!BE80/$C131,""),""))</f>
        <v/>
      </c>
      <c r="AX131" s="152">
        <f>IF($B131=1,$H$23,IF(N(Vintage_Input!R80)&gt;0,IFERROR(Vintage_Input!BF80/$C131,""),""))</f>
        <v/>
      </c>
      <c r="AY131" s="152">
        <f>IF($B131=1,$I$23,IF(N(Vintage_Input!S80)&gt;0,IFERROR(Vintage_Input!BG80/$C131,""),""))</f>
        <v/>
      </c>
      <c r="AZ131" s="153">
        <f>IF($B131=1,$B$24,IF(N(Vintage_Input!L80)&gt;0,IFERROR((Vintage_Input!D80+Vintage_Input!AR80)/$C131+Products!$D$14-(Products!$D$43+Products!$D$19+Products!$D$43*Products!$D$22+Products!$D$44),""),""))</f>
        <v/>
      </c>
      <c r="BA131" s="153">
        <f>IF($B131=1,$C$24,IF(N(Vintage_Input!M80)&gt;0,IFERROR((Vintage_Input!E80+Vintage_Input!AS80)/$C131+Products!$D$14-(Products!$D$43+Products!$D$19+Products!$D$43*Products!$D$22+Products!$D$44),""),""))</f>
        <v/>
      </c>
      <c r="BB131" s="153">
        <f>IF($B131=1,$D$24,IF(N(Vintage_Input!N80)&gt;0,IFERROR((Vintage_Input!F80+Vintage_Input!AT80)/$C131+Products!$D$14-(Products!$D$43+Products!$D$19+Products!$D$43*Products!$D$22+Products!$D$44),""),""))</f>
        <v/>
      </c>
      <c r="BC131" s="153">
        <f>IF($B131=1,$E$24,IF(N(Vintage_Input!O80)&gt;0,IFERROR((Vintage_Input!G80+Vintage_Input!AU80)/$C131+Products!$D$14-(Products!$D$43+Products!$D$19+Products!$D$43*Products!$D$22+Products!$D$44),""),""))</f>
        <v/>
      </c>
      <c r="BD131" s="153">
        <f>IF($B131=1,$F$24,IF(N(Vintage_Input!P80)&gt;0,IFERROR((Vintage_Input!H80+Vintage_Input!AV80)/$C131+Products!$D$14-(Products!$D$43+Products!$D$19+Products!$D$43*Products!$D$22+Products!$D$44),""),""))</f>
        <v/>
      </c>
      <c r="BE131" s="153">
        <f>IF($B131=1,$G$24,IF(N(Vintage_Input!Q80)&gt;0,IFERROR((Vintage_Input!I80+Vintage_Input!AW80)/$C131+Products!$D$14-(Products!$D$43+Products!$D$19+Products!$D$43*Products!$D$22+Products!$D$44),""),""))</f>
        <v/>
      </c>
      <c r="BF131" s="153">
        <f>IF($B131=1,$H$24,IF(N(Vintage_Input!R80)&gt;0,IFERROR((Vintage_Input!J80+Vintage_Input!AX80)/$C131+Products!$D$14-(Products!$D$43+Products!$D$19+Products!$D$43*Products!$D$22+Products!$D$44),""),""))</f>
        <v/>
      </c>
      <c r="BG131" s="153">
        <f>IF($B131=1,$I$24,IF(N(Vintage_Input!S80)&gt;0,IFERROR((Vintage_Input!K80+Vintage_Input!AY80)/$C131+Products!$D$14-(Products!$D$43+Products!$D$19+Products!$D$43*Products!$D$22+Products!$D$44),""),""))</f>
        <v/>
      </c>
      <c r="BH131" s="81">
        <f>IF($B131=1,0,IF(Vintage_Input!$BH$80="","",Vintage_Input!$BH$80))</f>
        <v/>
      </c>
    </row>
    <row r="132">
      <c r="A132" s="23" t="n">
        <v>8</v>
      </c>
      <c r="B132" s="48">
        <f>Vintage_Input!$B$81</f>
        <v/>
      </c>
      <c r="C132" s="41">
        <f>IF(Vintage_Input!$C$81="",0,Vintage_Input!$C$81)</f>
        <v/>
      </c>
      <c r="D132" s="152">
        <f>IF($B132=1,$B$18,IF(N(Vintage_Input!L81)&gt;0,Vintage_Input!D81/Vintage_Input!L81,""))</f>
        <v/>
      </c>
      <c r="E132" s="152">
        <f>IF($B132=1,$C$18,IF(N(Vintage_Input!M81)&gt;0,Vintage_Input!E81/Vintage_Input!M81,""))</f>
        <v/>
      </c>
      <c r="F132" s="152">
        <f>IF($B132=1,$D$18,IF(N(Vintage_Input!N81)&gt;0,Vintage_Input!F81/Vintage_Input!N81,""))</f>
        <v/>
      </c>
      <c r="G132" s="152">
        <f>IF($B132=1,$E$18,IF(N(Vintage_Input!O81)&gt;0,Vintage_Input!G81/Vintage_Input!O81,""))</f>
        <v/>
      </c>
      <c r="H132" s="152">
        <f>IF($B132=1,$F$18,IF(N(Vintage_Input!P81)&gt;0,Vintage_Input!H81/Vintage_Input!P81,""))</f>
        <v/>
      </c>
      <c r="I132" s="152">
        <f>IF($B132=1,$G$18,IF(N(Vintage_Input!Q81)&gt;0,Vintage_Input!I81/Vintage_Input!Q81,""))</f>
        <v/>
      </c>
      <c r="J132" s="152">
        <f>IF($B132=1,$H$18,IF(N(Vintage_Input!R81)&gt;0,Vintage_Input!J81/Vintage_Input!R81,""))</f>
        <v/>
      </c>
      <c r="K132" s="152">
        <f>IF($B132=1,$I$18,IF(N(Vintage_Input!S81)&gt;0,Vintage_Input!K81/Vintage_Input!S81,""))</f>
        <v/>
      </c>
      <c r="L132" s="152">
        <f>IF($B132=1,$B$19,IF(N(Vintage_Input!L81)&gt;0,Vintage_Input!T81/Vintage_Input!L81,""))</f>
        <v/>
      </c>
      <c r="M132" s="152">
        <f>IF($B132=1,$C$19,IF(N(Vintage_Input!M81)&gt;0,Vintage_Input!U81/Vintage_Input!M81,""))</f>
        <v/>
      </c>
      <c r="N132" s="152">
        <f>IF($B132=1,$D$19,IF(N(Vintage_Input!N81)&gt;0,Vintage_Input!V81/Vintage_Input!N81,""))</f>
        <v/>
      </c>
      <c r="O132" s="152">
        <f>IF($B132=1,$E$19,IF(N(Vintage_Input!O81)&gt;0,Vintage_Input!W81/Vintage_Input!O81,""))</f>
        <v/>
      </c>
      <c r="P132" s="152">
        <f>IF($B132=1,$F$19,IF(N(Vintage_Input!P81)&gt;0,Vintage_Input!X81/Vintage_Input!P81,""))</f>
        <v/>
      </c>
      <c r="Q132" s="152">
        <f>IF($B132=1,$G$19,IF(N(Vintage_Input!Q81)&gt;0,Vintage_Input!Y81/Vintage_Input!Q81,""))</f>
        <v/>
      </c>
      <c r="R132" s="152">
        <f>IF($B132=1,$H$19,IF(N(Vintage_Input!R81)&gt;0,Vintage_Input!Z81/Vintage_Input!R81,""))</f>
        <v/>
      </c>
      <c r="S132" s="152">
        <f>IF($B132=1,$I$19,IF(N(Vintage_Input!S81)&gt;0,Vintage_Input!AA81/Vintage_Input!S81,""))</f>
        <v/>
      </c>
      <c r="T132" s="152">
        <f>IF($B132=1,$B$20,IF(N(Vintage_Input!L81)&gt;0,Vintage_Input!AB81/Vintage_Input!L81,""))</f>
        <v/>
      </c>
      <c r="U132" s="152">
        <f>IF($B132=1,$C$20,IF(N(Vintage_Input!M81)&gt;0,Vintage_Input!AC81/Vintage_Input!M81,""))</f>
        <v/>
      </c>
      <c r="V132" s="152">
        <f>IF($B132=1,$D$20,IF(N(Vintage_Input!N81)&gt;0,Vintage_Input!AD81/Vintage_Input!N81,""))</f>
        <v/>
      </c>
      <c r="W132" s="152">
        <f>IF($B132=1,$E$20,IF(N(Vintage_Input!O81)&gt;0,Vintage_Input!AE81/Vintage_Input!O81,""))</f>
        <v/>
      </c>
      <c r="X132" s="152">
        <f>IF($B132=1,$F$20,IF(N(Vintage_Input!P81)&gt;0,Vintage_Input!AF81/Vintage_Input!P81,""))</f>
        <v/>
      </c>
      <c r="Y132" s="152">
        <f>IF($B132=1,$G$20,IF(N(Vintage_Input!Q81)&gt;0,Vintage_Input!AG81/Vintage_Input!Q81,""))</f>
        <v/>
      </c>
      <c r="Z132" s="152">
        <f>IF($B132=1,$H$20,IF(N(Vintage_Input!R81)&gt;0,Vintage_Input!AH81/Vintage_Input!R81,""))</f>
        <v/>
      </c>
      <c r="AA132" s="152">
        <f>IF($B132=1,$I$20,IF(N(Vintage_Input!S81)&gt;0,Vintage_Input!AI81/Vintage_Input!S81,""))</f>
        <v/>
      </c>
      <c r="AB132" s="152">
        <f>IF($B132=1,$B$21,IF(N(Vintage_Input!L81)&gt;0,Vintage_Input!AJ81/Vintage_Input!L81,""))</f>
        <v/>
      </c>
      <c r="AC132" s="152">
        <f>IF($B132=1,$C$21,IF(N(Vintage_Input!M81)&gt;0,Vintage_Input!AK81/Vintage_Input!M81,""))</f>
        <v/>
      </c>
      <c r="AD132" s="152">
        <f>IF($B132=1,$D$21,IF(N(Vintage_Input!N81)&gt;0,Vintage_Input!AL81/Vintage_Input!N81,""))</f>
        <v/>
      </c>
      <c r="AE132" s="152">
        <f>IF($B132=1,$E$21,IF(N(Vintage_Input!O81)&gt;0,Vintage_Input!AM81/Vintage_Input!O81,""))</f>
        <v/>
      </c>
      <c r="AF132" s="152">
        <f>IF($B132=1,$F$21,IF(N(Vintage_Input!P81)&gt;0,Vintage_Input!AN81/Vintage_Input!P81,""))</f>
        <v/>
      </c>
      <c r="AG132" s="152">
        <f>IF($B132=1,$G$21,IF(N(Vintage_Input!Q81)&gt;0,Vintage_Input!AO81/Vintage_Input!Q81,""))</f>
        <v/>
      </c>
      <c r="AH132" s="152">
        <f>IF($B132=1,$H$21,IF(N(Vintage_Input!R81)&gt;0,Vintage_Input!AP81/Vintage_Input!R81,""))</f>
        <v/>
      </c>
      <c r="AI132" s="152">
        <f>IF($B132=1,$I$21,IF(N(Vintage_Input!S81)&gt;0,Vintage_Input!AQ81/Vintage_Input!S81,""))</f>
        <v/>
      </c>
      <c r="AJ132" s="152">
        <f>IF($B132=1,$B$22,IF(N(Vintage_Input!L81)&gt;0,IFERROR(Vintage_Input!AR81/Vintage_Input!AJ81,""),""))</f>
        <v/>
      </c>
      <c r="AK132" s="152">
        <f>IF($B132=1,$C$22,IF(N(Vintage_Input!M81)&gt;0,IFERROR(Vintage_Input!AS81/Vintage_Input!AK81,""),""))</f>
        <v/>
      </c>
      <c r="AL132" s="152">
        <f>IF($B132=1,$D$22,IF(N(Vintage_Input!N81)&gt;0,IFERROR(Vintage_Input!AT81/Vintage_Input!AL81,""),""))</f>
        <v/>
      </c>
      <c r="AM132" s="152">
        <f>IF($B132=1,$E$22,IF(N(Vintage_Input!O81)&gt;0,IFERROR(Vintage_Input!AU81/Vintage_Input!AM81,""),""))</f>
        <v/>
      </c>
      <c r="AN132" s="152">
        <f>IF($B132=1,$F$22,IF(N(Vintage_Input!P81)&gt;0,IFERROR(Vintage_Input!AV81/Vintage_Input!AN81,""),""))</f>
        <v/>
      </c>
      <c r="AO132" s="152">
        <f>IF($B132=1,$G$22,IF(N(Vintage_Input!Q81)&gt;0,IFERROR(Vintage_Input!AW81/Vintage_Input!AO81,""),""))</f>
        <v/>
      </c>
      <c r="AP132" s="152">
        <f>IF($B132=1,$H$22,IF(N(Vintage_Input!R81)&gt;0,IFERROR(Vintage_Input!AX81/Vintage_Input!AP81,""),""))</f>
        <v/>
      </c>
      <c r="AQ132" s="152">
        <f>IF($B132=1,$I$22,IF(N(Vintage_Input!S81)&gt;0,IFERROR(Vintage_Input!AY81/Vintage_Input!AQ81,""),""))</f>
        <v/>
      </c>
      <c r="AR132" s="152">
        <f>IF($B132=1,$B$23,IF(N(Vintage_Input!L81)&gt;0,IFERROR(Vintage_Input!AZ81/$C132,""),""))</f>
        <v/>
      </c>
      <c r="AS132" s="152">
        <f>IF($B132=1,$C$23,IF(N(Vintage_Input!M81)&gt;0,IFERROR(Vintage_Input!BA81/$C132,""),""))</f>
        <v/>
      </c>
      <c r="AT132" s="152">
        <f>IF($B132=1,$D$23,IF(N(Vintage_Input!N81)&gt;0,IFERROR(Vintage_Input!BB81/$C132,""),""))</f>
        <v/>
      </c>
      <c r="AU132" s="152">
        <f>IF($B132=1,$E$23,IF(N(Vintage_Input!O81)&gt;0,IFERROR(Vintage_Input!BC81/$C132,""),""))</f>
        <v/>
      </c>
      <c r="AV132" s="152">
        <f>IF($B132=1,$F$23,IF(N(Vintage_Input!P81)&gt;0,IFERROR(Vintage_Input!BD81/$C132,""),""))</f>
        <v/>
      </c>
      <c r="AW132" s="152">
        <f>IF($B132=1,$G$23,IF(N(Vintage_Input!Q81)&gt;0,IFERROR(Vintage_Input!BE81/$C132,""),""))</f>
        <v/>
      </c>
      <c r="AX132" s="152">
        <f>IF($B132=1,$H$23,IF(N(Vintage_Input!R81)&gt;0,IFERROR(Vintage_Input!BF81/$C132,""),""))</f>
        <v/>
      </c>
      <c r="AY132" s="152">
        <f>IF($B132=1,$I$23,IF(N(Vintage_Input!S81)&gt;0,IFERROR(Vintage_Input!BG81/$C132,""),""))</f>
        <v/>
      </c>
      <c r="AZ132" s="153">
        <f>IF($B132=1,$B$24,IF(N(Vintage_Input!L81)&gt;0,IFERROR((Vintage_Input!D81+Vintage_Input!AR81)/$C132+Products!$D$14-(Products!$D$43+Products!$D$19+Products!$D$43*Products!$D$22+Products!$D$44),""),""))</f>
        <v/>
      </c>
      <c r="BA132" s="153">
        <f>IF($B132=1,$C$24,IF(N(Vintage_Input!M81)&gt;0,IFERROR((Vintage_Input!E81+Vintage_Input!AS81)/$C132+Products!$D$14-(Products!$D$43+Products!$D$19+Products!$D$43*Products!$D$22+Products!$D$44),""),""))</f>
        <v/>
      </c>
      <c r="BB132" s="153">
        <f>IF($B132=1,$D$24,IF(N(Vintage_Input!N81)&gt;0,IFERROR((Vintage_Input!F81+Vintage_Input!AT81)/$C132+Products!$D$14-(Products!$D$43+Products!$D$19+Products!$D$43*Products!$D$22+Products!$D$44),""),""))</f>
        <v/>
      </c>
      <c r="BC132" s="153">
        <f>IF($B132=1,$E$24,IF(N(Vintage_Input!O81)&gt;0,IFERROR((Vintage_Input!G81+Vintage_Input!AU81)/$C132+Products!$D$14-(Products!$D$43+Products!$D$19+Products!$D$43*Products!$D$22+Products!$D$44),""),""))</f>
        <v/>
      </c>
      <c r="BD132" s="153">
        <f>IF($B132=1,$F$24,IF(N(Vintage_Input!P81)&gt;0,IFERROR((Vintage_Input!H81+Vintage_Input!AV81)/$C132+Products!$D$14-(Products!$D$43+Products!$D$19+Products!$D$43*Products!$D$22+Products!$D$44),""),""))</f>
        <v/>
      </c>
      <c r="BE132" s="153">
        <f>IF($B132=1,$G$24,IF(N(Vintage_Input!Q81)&gt;0,IFERROR((Vintage_Input!I81+Vintage_Input!AW81)/$C132+Products!$D$14-(Products!$D$43+Products!$D$19+Products!$D$43*Products!$D$22+Products!$D$44),""),""))</f>
        <v/>
      </c>
      <c r="BF132" s="153">
        <f>IF($B132=1,$H$24,IF(N(Vintage_Input!R81)&gt;0,IFERROR((Vintage_Input!J81+Vintage_Input!AX81)/$C132+Products!$D$14-(Products!$D$43+Products!$D$19+Products!$D$43*Products!$D$22+Products!$D$44),""),""))</f>
        <v/>
      </c>
      <c r="BG132" s="153">
        <f>IF($B132=1,$I$24,IF(N(Vintage_Input!S81)&gt;0,IFERROR((Vintage_Input!K81+Vintage_Input!AY81)/$C132+Products!$D$14-(Products!$D$43+Products!$D$19+Products!$D$43*Products!$D$22+Products!$D$44),""),""))</f>
        <v/>
      </c>
      <c r="BH132" s="81">
        <f>IF($B132=1,0,IF(Vintage_Input!$BH$81="","",Vintage_Input!$BH$81))</f>
        <v/>
      </c>
    </row>
    <row r="133">
      <c r="A133" s="23" t="n">
        <v>9</v>
      </c>
      <c r="B133" s="48">
        <f>Vintage_Input!$B$82</f>
        <v/>
      </c>
      <c r="C133" s="41">
        <f>IF(Vintage_Input!$C$82="",0,Vintage_Input!$C$82)</f>
        <v/>
      </c>
      <c r="D133" s="152">
        <f>IF($B133=1,$B$18,IF(N(Vintage_Input!L82)&gt;0,Vintage_Input!D82/Vintage_Input!L82,""))</f>
        <v/>
      </c>
      <c r="E133" s="152">
        <f>IF($B133=1,$C$18,IF(N(Vintage_Input!M82)&gt;0,Vintage_Input!E82/Vintage_Input!M82,""))</f>
        <v/>
      </c>
      <c r="F133" s="152">
        <f>IF($B133=1,$D$18,IF(N(Vintage_Input!N82)&gt;0,Vintage_Input!F82/Vintage_Input!N82,""))</f>
        <v/>
      </c>
      <c r="G133" s="152">
        <f>IF($B133=1,$E$18,IF(N(Vintage_Input!O82)&gt;0,Vintage_Input!G82/Vintage_Input!O82,""))</f>
        <v/>
      </c>
      <c r="H133" s="152">
        <f>IF($B133=1,$F$18,IF(N(Vintage_Input!P82)&gt;0,Vintage_Input!H82/Vintage_Input!P82,""))</f>
        <v/>
      </c>
      <c r="I133" s="152">
        <f>IF($B133=1,$G$18,IF(N(Vintage_Input!Q82)&gt;0,Vintage_Input!I82/Vintage_Input!Q82,""))</f>
        <v/>
      </c>
      <c r="J133" s="152">
        <f>IF($B133=1,$H$18,IF(N(Vintage_Input!R82)&gt;0,Vintage_Input!J82/Vintage_Input!R82,""))</f>
        <v/>
      </c>
      <c r="K133" s="152">
        <f>IF($B133=1,$I$18,IF(N(Vintage_Input!S82)&gt;0,Vintage_Input!K82/Vintage_Input!S82,""))</f>
        <v/>
      </c>
      <c r="L133" s="152">
        <f>IF($B133=1,$B$19,IF(N(Vintage_Input!L82)&gt;0,Vintage_Input!T82/Vintage_Input!L82,""))</f>
        <v/>
      </c>
      <c r="M133" s="152">
        <f>IF($B133=1,$C$19,IF(N(Vintage_Input!M82)&gt;0,Vintage_Input!U82/Vintage_Input!M82,""))</f>
        <v/>
      </c>
      <c r="N133" s="152">
        <f>IF($B133=1,$D$19,IF(N(Vintage_Input!N82)&gt;0,Vintage_Input!V82/Vintage_Input!N82,""))</f>
        <v/>
      </c>
      <c r="O133" s="152">
        <f>IF($B133=1,$E$19,IF(N(Vintage_Input!O82)&gt;0,Vintage_Input!W82/Vintage_Input!O82,""))</f>
        <v/>
      </c>
      <c r="P133" s="152">
        <f>IF($B133=1,$F$19,IF(N(Vintage_Input!P82)&gt;0,Vintage_Input!X82/Vintage_Input!P82,""))</f>
        <v/>
      </c>
      <c r="Q133" s="152">
        <f>IF($B133=1,$G$19,IF(N(Vintage_Input!Q82)&gt;0,Vintage_Input!Y82/Vintage_Input!Q82,""))</f>
        <v/>
      </c>
      <c r="R133" s="152">
        <f>IF($B133=1,$H$19,IF(N(Vintage_Input!R82)&gt;0,Vintage_Input!Z82/Vintage_Input!R82,""))</f>
        <v/>
      </c>
      <c r="S133" s="152">
        <f>IF($B133=1,$I$19,IF(N(Vintage_Input!S82)&gt;0,Vintage_Input!AA82/Vintage_Input!S82,""))</f>
        <v/>
      </c>
      <c r="T133" s="152">
        <f>IF($B133=1,$B$20,IF(N(Vintage_Input!L82)&gt;0,Vintage_Input!AB82/Vintage_Input!L82,""))</f>
        <v/>
      </c>
      <c r="U133" s="152">
        <f>IF($B133=1,$C$20,IF(N(Vintage_Input!M82)&gt;0,Vintage_Input!AC82/Vintage_Input!M82,""))</f>
        <v/>
      </c>
      <c r="V133" s="152">
        <f>IF($B133=1,$D$20,IF(N(Vintage_Input!N82)&gt;0,Vintage_Input!AD82/Vintage_Input!N82,""))</f>
        <v/>
      </c>
      <c r="W133" s="152">
        <f>IF($B133=1,$E$20,IF(N(Vintage_Input!O82)&gt;0,Vintage_Input!AE82/Vintage_Input!O82,""))</f>
        <v/>
      </c>
      <c r="X133" s="152">
        <f>IF($B133=1,$F$20,IF(N(Vintage_Input!P82)&gt;0,Vintage_Input!AF82/Vintage_Input!P82,""))</f>
        <v/>
      </c>
      <c r="Y133" s="152">
        <f>IF($B133=1,$G$20,IF(N(Vintage_Input!Q82)&gt;0,Vintage_Input!AG82/Vintage_Input!Q82,""))</f>
        <v/>
      </c>
      <c r="Z133" s="152">
        <f>IF($B133=1,$H$20,IF(N(Vintage_Input!R82)&gt;0,Vintage_Input!AH82/Vintage_Input!R82,""))</f>
        <v/>
      </c>
      <c r="AA133" s="152">
        <f>IF($B133=1,$I$20,IF(N(Vintage_Input!S82)&gt;0,Vintage_Input!AI82/Vintage_Input!S82,""))</f>
        <v/>
      </c>
      <c r="AB133" s="152">
        <f>IF($B133=1,$B$21,IF(N(Vintage_Input!L82)&gt;0,Vintage_Input!AJ82/Vintage_Input!L82,""))</f>
        <v/>
      </c>
      <c r="AC133" s="152">
        <f>IF($B133=1,$C$21,IF(N(Vintage_Input!M82)&gt;0,Vintage_Input!AK82/Vintage_Input!M82,""))</f>
        <v/>
      </c>
      <c r="AD133" s="152">
        <f>IF($B133=1,$D$21,IF(N(Vintage_Input!N82)&gt;0,Vintage_Input!AL82/Vintage_Input!N82,""))</f>
        <v/>
      </c>
      <c r="AE133" s="152">
        <f>IF($B133=1,$E$21,IF(N(Vintage_Input!O82)&gt;0,Vintage_Input!AM82/Vintage_Input!O82,""))</f>
        <v/>
      </c>
      <c r="AF133" s="152">
        <f>IF($B133=1,$F$21,IF(N(Vintage_Input!P82)&gt;0,Vintage_Input!AN82/Vintage_Input!P82,""))</f>
        <v/>
      </c>
      <c r="AG133" s="152">
        <f>IF($B133=1,$G$21,IF(N(Vintage_Input!Q82)&gt;0,Vintage_Input!AO82/Vintage_Input!Q82,""))</f>
        <v/>
      </c>
      <c r="AH133" s="152">
        <f>IF($B133=1,$H$21,IF(N(Vintage_Input!R82)&gt;0,Vintage_Input!AP82/Vintage_Input!R82,""))</f>
        <v/>
      </c>
      <c r="AI133" s="152">
        <f>IF($B133=1,$I$21,IF(N(Vintage_Input!S82)&gt;0,Vintage_Input!AQ82/Vintage_Input!S82,""))</f>
        <v/>
      </c>
      <c r="AJ133" s="152">
        <f>IF($B133=1,$B$22,IF(N(Vintage_Input!L82)&gt;0,IFERROR(Vintage_Input!AR82/Vintage_Input!AJ82,""),""))</f>
        <v/>
      </c>
      <c r="AK133" s="152">
        <f>IF($B133=1,$C$22,IF(N(Vintage_Input!M82)&gt;0,IFERROR(Vintage_Input!AS82/Vintage_Input!AK82,""),""))</f>
        <v/>
      </c>
      <c r="AL133" s="152">
        <f>IF($B133=1,$D$22,IF(N(Vintage_Input!N82)&gt;0,IFERROR(Vintage_Input!AT82/Vintage_Input!AL82,""),""))</f>
        <v/>
      </c>
      <c r="AM133" s="152">
        <f>IF($B133=1,$E$22,IF(N(Vintage_Input!O82)&gt;0,IFERROR(Vintage_Input!AU82/Vintage_Input!AM82,""),""))</f>
        <v/>
      </c>
      <c r="AN133" s="152">
        <f>IF($B133=1,$F$22,IF(N(Vintage_Input!P82)&gt;0,IFERROR(Vintage_Input!AV82/Vintage_Input!AN82,""),""))</f>
        <v/>
      </c>
      <c r="AO133" s="152">
        <f>IF($B133=1,$G$22,IF(N(Vintage_Input!Q82)&gt;0,IFERROR(Vintage_Input!AW82/Vintage_Input!AO82,""),""))</f>
        <v/>
      </c>
      <c r="AP133" s="152">
        <f>IF($B133=1,$H$22,IF(N(Vintage_Input!R82)&gt;0,IFERROR(Vintage_Input!AX82/Vintage_Input!AP82,""),""))</f>
        <v/>
      </c>
      <c r="AQ133" s="152">
        <f>IF($B133=1,$I$22,IF(N(Vintage_Input!S82)&gt;0,IFERROR(Vintage_Input!AY82/Vintage_Input!AQ82,""),""))</f>
        <v/>
      </c>
      <c r="AR133" s="152">
        <f>IF($B133=1,$B$23,IF(N(Vintage_Input!L82)&gt;0,IFERROR(Vintage_Input!AZ82/$C133,""),""))</f>
        <v/>
      </c>
      <c r="AS133" s="152">
        <f>IF($B133=1,$C$23,IF(N(Vintage_Input!M82)&gt;0,IFERROR(Vintage_Input!BA82/$C133,""),""))</f>
        <v/>
      </c>
      <c r="AT133" s="152">
        <f>IF($B133=1,$D$23,IF(N(Vintage_Input!N82)&gt;0,IFERROR(Vintage_Input!BB82/$C133,""),""))</f>
        <v/>
      </c>
      <c r="AU133" s="152">
        <f>IF($B133=1,$E$23,IF(N(Vintage_Input!O82)&gt;0,IFERROR(Vintage_Input!BC82/$C133,""),""))</f>
        <v/>
      </c>
      <c r="AV133" s="152">
        <f>IF($B133=1,$F$23,IF(N(Vintage_Input!P82)&gt;0,IFERROR(Vintage_Input!BD82/$C133,""),""))</f>
        <v/>
      </c>
      <c r="AW133" s="152">
        <f>IF($B133=1,$G$23,IF(N(Vintage_Input!Q82)&gt;0,IFERROR(Vintage_Input!BE82/$C133,""),""))</f>
        <v/>
      </c>
      <c r="AX133" s="152">
        <f>IF($B133=1,$H$23,IF(N(Vintage_Input!R82)&gt;0,IFERROR(Vintage_Input!BF82/$C133,""),""))</f>
        <v/>
      </c>
      <c r="AY133" s="152">
        <f>IF($B133=1,$I$23,IF(N(Vintage_Input!S82)&gt;0,IFERROR(Vintage_Input!BG82/$C133,""),""))</f>
        <v/>
      </c>
      <c r="AZ133" s="153">
        <f>IF($B133=1,$B$24,IF(N(Vintage_Input!L82)&gt;0,IFERROR((Vintage_Input!D82+Vintage_Input!AR82)/$C133+Products!$D$14-(Products!$D$43+Products!$D$19+Products!$D$43*Products!$D$22+Products!$D$44),""),""))</f>
        <v/>
      </c>
      <c r="BA133" s="153">
        <f>IF($B133=1,$C$24,IF(N(Vintage_Input!M82)&gt;0,IFERROR((Vintage_Input!E82+Vintage_Input!AS82)/$C133+Products!$D$14-(Products!$D$43+Products!$D$19+Products!$D$43*Products!$D$22+Products!$D$44),""),""))</f>
        <v/>
      </c>
      <c r="BB133" s="153">
        <f>IF($B133=1,$D$24,IF(N(Vintage_Input!N82)&gt;0,IFERROR((Vintage_Input!F82+Vintage_Input!AT82)/$C133+Products!$D$14-(Products!$D$43+Products!$D$19+Products!$D$43*Products!$D$22+Products!$D$44),""),""))</f>
        <v/>
      </c>
      <c r="BC133" s="153">
        <f>IF($B133=1,$E$24,IF(N(Vintage_Input!O82)&gt;0,IFERROR((Vintage_Input!G82+Vintage_Input!AU82)/$C133+Products!$D$14-(Products!$D$43+Products!$D$19+Products!$D$43*Products!$D$22+Products!$D$44),""),""))</f>
        <v/>
      </c>
      <c r="BD133" s="153">
        <f>IF($B133=1,$F$24,IF(N(Vintage_Input!P82)&gt;0,IFERROR((Vintage_Input!H82+Vintage_Input!AV82)/$C133+Products!$D$14-(Products!$D$43+Products!$D$19+Products!$D$43*Products!$D$22+Products!$D$44),""),""))</f>
        <v/>
      </c>
      <c r="BE133" s="153">
        <f>IF($B133=1,$G$24,IF(N(Vintage_Input!Q82)&gt;0,IFERROR((Vintage_Input!I82+Vintage_Input!AW82)/$C133+Products!$D$14-(Products!$D$43+Products!$D$19+Products!$D$43*Products!$D$22+Products!$D$44),""),""))</f>
        <v/>
      </c>
      <c r="BF133" s="153">
        <f>IF($B133=1,$H$24,IF(N(Vintage_Input!R82)&gt;0,IFERROR((Vintage_Input!J82+Vintage_Input!AX82)/$C133+Products!$D$14-(Products!$D$43+Products!$D$19+Products!$D$43*Products!$D$22+Products!$D$44),""),""))</f>
        <v/>
      </c>
      <c r="BG133" s="153">
        <f>IF($B133=1,$I$24,IF(N(Vintage_Input!S82)&gt;0,IFERROR((Vintage_Input!K82+Vintage_Input!AY82)/$C133+Products!$D$14-(Products!$D$43+Products!$D$19+Products!$D$43*Products!$D$22+Products!$D$44),""),""))</f>
        <v/>
      </c>
      <c r="BH133" s="81">
        <f>IF($B133=1,0,IF(Vintage_Input!$BH$82="","",Vintage_Input!$BH$82))</f>
        <v/>
      </c>
    </row>
    <row r="134">
      <c r="A134" s="23" t="n">
        <v>10</v>
      </c>
      <c r="B134" s="48">
        <f>Vintage_Input!$B$83</f>
        <v/>
      </c>
      <c r="C134" s="41">
        <f>IF(Vintage_Input!$C$83="",0,Vintage_Input!$C$83)</f>
        <v/>
      </c>
      <c r="D134" s="152">
        <f>IF($B134=1,$B$18,IF(N(Vintage_Input!L83)&gt;0,Vintage_Input!D83/Vintage_Input!L83,""))</f>
        <v/>
      </c>
      <c r="E134" s="152">
        <f>IF($B134=1,$C$18,IF(N(Vintage_Input!M83)&gt;0,Vintage_Input!E83/Vintage_Input!M83,""))</f>
        <v/>
      </c>
      <c r="F134" s="152">
        <f>IF($B134=1,$D$18,IF(N(Vintage_Input!N83)&gt;0,Vintage_Input!F83/Vintage_Input!N83,""))</f>
        <v/>
      </c>
      <c r="G134" s="152">
        <f>IF($B134=1,$E$18,IF(N(Vintage_Input!O83)&gt;0,Vintage_Input!G83/Vintage_Input!O83,""))</f>
        <v/>
      </c>
      <c r="H134" s="152">
        <f>IF($B134=1,$F$18,IF(N(Vintage_Input!P83)&gt;0,Vintage_Input!H83/Vintage_Input!P83,""))</f>
        <v/>
      </c>
      <c r="I134" s="152">
        <f>IF($B134=1,$G$18,IF(N(Vintage_Input!Q83)&gt;0,Vintage_Input!I83/Vintage_Input!Q83,""))</f>
        <v/>
      </c>
      <c r="J134" s="152">
        <f>IF($B134=1,$H$18,IF(N(Vintage_Input!R83)&gt;0,Vintage_Input!J83/Vintage_Input!R83,""))</f>
        <v/>
      </c>
      <c r="K134" s="152">
        <f>IF($B134=1,$I$18,IF(N(Vintage_Input!S83)&gt;0,Vintage_Input!K83/Vintage_Input!S83,""))</f>
        <v/>
      </c>
      <c r="L134" s="152">
        <f>IF($B134=1,$B$19,IF(N(Vintage_Input!L83)&gt;0,Vintage_Input!T83/Vintage_Input!L83,""))</f>
        <v/>
      </c>
      <c r="M134" s="152">
        <f>IF($B134=1,$C$19,IF(N(Vintage_Input!M83)&gt;0,Vintage_Input!U83/Vintage_Input!M83,""))</f>
        <v/>
      </c>
      <c r="N134" s="152">
        <f>IF($B134=1,$D$19,IF(N(Vintage_Input!N83)&gt;0,Vintage_Input!V83/Vintage_Input!N83,""))</f>
        <v/>
      </c>
      <c r="O134" s="152">
        <f>IF($B134=1,$E$19,IF(N(Vintage_Input!O83)&gt;0,Vintage_Input!W83/Vintage_Input!O83,""))</f>
        <v/>
      </c>
      <c r="P134" s="152">
        <f>IF($B134=1,$F$19,IF(N(Vintage_Input!P83)&gt;0,Vintage_Input!X83/Vintage_Input!P83,""))</f>
        <v/>
      </c>
      <c r="Q134" s="152">
        <f>IF($B134=1,$G$19,IF(N(Vintage_Input!Q83)&gt;0,Vintage_Input!Y83/Vintage_Input!Q83,""))</f>
        <v/>
      </c>
      <c r="R134" s="152">
        <f>IF($B134=1,$H$19,IF(N(Vintage_Input!R83)&gt;0,Vintage_Input!Z83/Vintage_Input!R83,""))</f>
        <v/>
      </c>
      <c r="S134" s="152">
        <f>IF($B134=1,$I$19,IF(N(Vintage_Input!S83)&gt;0,Vintage_Input!AA83/Vintage_Input!S83,""))</f>
        <v/>
      </c>
      <c r="T134" s="152">
        <f>IF($B134=1,$B$20,IF(N(Vintage_Input!L83)&gt;0,Vintage_Input!AB83/Vintage_Input!L83,""))</f>
        <v/>
      </c>
      <c r="U134" s="152">
        <f>IF($B134=1,$C$20,IF(N(Vintage_Input!M83)&gt;0,Vintage_Input!AC83/Vintage_Input!M83,""))</f>
        <v/>
      </c>
      <c r="V134" s="152">
        <f>IF($B134=1,$D$20,IF(N(Vintage_Input!N83)&gt;0,Vintage_Input!AD83/Vintage_Input!N83,""))</f>
        <v/>
      </c>
      <c r="W134" s="152">
        <f>IF($B134=1,$E$20,IF(N(Vintage_Input!O83)&gt;0,Vintage_Input!AE83/Vintage_Input!O83,""))</f>
        <v/>
      </c>
      <c r="X134" s="152">
        <f>IF($B134=1,$F$20,IF(N(Vintage_Input!P83)&gt;0,Vintage_Input!AF83/Vintage_Input!P83,""))</f>
        <v/>
      </c>
      <c r="Y134" s="152">
        <f>IF($B134=1,$G$20,IF(N(Vintage_Input!Q83)&gt;0,Vintage_Input!AG83/Vintage_Input!Q83,""))</f>
        <v/>
      </c>
      <c r="Z134" s="152">
        <f>IF($B134=1,$H$20,IF(N(Vintage_Input!R83)&gt;0,Vintage_Input!AH83/Vintage_Input!R83,""))</f>
        <v/>
      </c>
      <c r="AA134" s="152">
        <f>IF($B134=1,$I$20,IF(N(Vintage_Input!S83)&gt;0,Vintage_Input!AI83/Vintage_Input!S83,""))</f>
        <v/>
      </c>
      <c r="AB134" s="152">
        <f>IF($B134=1,$B$21,IF(N(Vintage_Input!L83)&gt;0,Vintage_Input!AJ83/Vintage_Input!L83,""))</f>
        <v/>
      </c>
      <c r="AC134" s="152">
        <f>IF($B134=1,$C$21,IF(N(Vintage_Input!M83)&gt;0,Vintage_Input!AK83/Vintage_Input!M83,""))</f>
        <v/>
      </c>
      <c r="AD134" s="152">
        <f>IF($B134=1,$D$21,IF(N(Vintage_Input!N83)&gt;0,Vintage_Input!AL83/Vintage_Input!N83,""))</f>
        <v/>
      </c>
      <c r="AE134" s="152">
        <f>IF($B134=1,$E$21,IF(N(Vintage_Input!O83)&gt;0,Vintage_Input!AM83/Vintage_Input!O83,""))</f>
        <v/>
      </c>
      <c r="AF134" s="152">
        <f>IF($B134=1,$F$21,IF(N(Vintage_Input!P83)&gt;0,Vintage_Input!AN83/Vintage_Input!P83,""))</f>
        <v/>
      </c>
      <c r="AG134" s="152">
        <f>IF($B134=1,$G$21,IF(N(Vintage_Input!Q83)&gt;0,Vintage_Input!AO83/Vintage_Input!Q83,""))</f>
        <v/>
      </c>
      <c r="AH134" s="152">
        <f>IF($B134=1,$H$21,IF(N(Vintage_Input!R83)&gt;0,Vintage_Input!AP83/Vintage_Input!R83,""))</f>
        <v/>
      </c>
      <c r="AI134" s="152">
        <f>IF($B134=1,$I$21,IF(N(Vintage_Input!S83)&gt;0,Vintage_Input!AQ83/Vintage_Input!S83,""))</f>
        <v/>
      </c>
      <c r="AJ134" s="152">
        <f>IF($B134=1,$B$22,IF(N(Vintage_Input!L83)&gt;0,IFERROR(Vintage_Input!AR83/Vintage_Input!AJ83,""),""))</f>
        <v/>
      </c>
      <c r="AK134" s="152">
        <f>IF($B134=1,$C$22,IF(N(Vintage_Input!M83)&gt;0,IFERROR(Vintage_Input!AS83/Vintage_Input!AK83,""),""))</f>
        <v/>
      </c>
      <c r="AL134" s="152">
        <f>IF($B134=1,$D$22,IF(N(Vintage_Input!N83)&gt;0,IFERROR(Vintage_Input!AT83/Vintage_Input!AL83,""),""))</f>
        <v/>
      </c>
      <c r="AM134" s="152">
        <f>IF($B134=1,$E$22,IF(N(Vintage_Input!O83)&gt;0,IFERROR(Vintage_Input!AU83/Vintage_Input!AM83,""),""))</f>
        <v/>
      </c>
      <c r="AN134" s="152">
        <f>IF($B134=1,$F$22,IF(N(Vintage_Input!P83)&gt;0,IFERROR(Vintage_Input!AV83/Vintage_Input!AN83,""),""))</f>
        <v/>
      </c>
      <c r="AO134" s="152">
        <f>IF($B134=1,$G$22,IF(N(Vintage_Input!Q83)&gt;0,IFERROR(Vintage_Input!AW83/Vintage_Input!AO83,""),""))</f>
        <v/>
      </c>
      <c r="AP134" s="152">
        <f>IF($B134=1,$H$22,IF(N(Vintage_Input!R83)&gt;0,IFERROR(Vintage_Input!AX83/Vintage_Input!AP83,""),""))</f>
        <v/>
      </c>
      <c r="AQ134" s="152">
        <f>IF($B134=1,$I$22,IF(N(Vintage_Input!S83)&gt;0,IFERROR(Vintage_Input!AY83/Vintage_Input!AQ83,""),""))</f>
        <v/>
      </c>
      <c r="AR134" s="152">
        <f>IF($B134=1,$B$23,IF(N(Vintage_Input!L83)&gt;0,IFERROR(Vintage_Input!AZ83/$C134,""),""))</f>
        <v/>
      </c>
      <c r="AS134" s="152">
        <f>IF($B134=1,$C$23,IF(N(Vintage_Input!M83)&gt;0,IFERROR(Vintage_Input!BA83/$C134,""),""))</f>
        <v/>
      </c>
      <c r="AT134" s="152">
        <f>IF($B134=1,$D$23,IF(N(Vintage_Input!N83)&gt;0,IFERROR(Vintage_Input!BB83/$C134,""),""))</f>
        <v/>
      </c>
      <c r="AU134" s="152">
        <f>IF($B134=1,$E$23,IF(N(Vintage_Input!O83)&gt;0,IFERROR(Vintage_Input!BC83/$C134,""),""))</f>
        <v/>
      </c>
      <c r="AV134" s="152">
        <f>IF($B134=1,$F$23,IF(N(Vintage_Input!P83)&gt;0,IFERROR(Vintage_Input!BD83/$C134,""),""))</f>
        <v/>
      </c>
      <c r="AW134" s="152">
        <f>IF($B134=1,$G$23,IF(N(Vintage_Input!Q83)&gt;0,IFERROR(Vintage_Input!BE83/$C134,""),""))</f>
        <v/>
      </c>
      <c r="AX134" s="152">
        <f>IF($B134=1,$H$23,IF(N(Vintage_Input!R83)&gt;0,IFERROR(Vintage_Input!BF83/$C134,""),""))</f>
        <v/>
      </c>
      <c r="AY134" s="152">
        <f>IF($B134=1,$I$23,IF(N(Vintage_Input!S83)&gt;0,IFERROR(Vintage_Input!BG83/$C134,""),""))</f>
        <v/>
      </c>
      <c r="AZ134" s="153">
        <f>IF($B134=1,$B$24,IF(N(Vintage_Input!L83)&gt;0,IFERROR((Vintage_Input!D83+Vintage_Input!AR83)/$C134+Products!$D$14-(Products!$D$43+Products!$D$19+Products!$D$43*Products!$D$22+Products!$D$44),""),""))</f>
        <v/>
      </c>
      <c r="BA134" s="153">
        <f>IF($B134=1,$C$24,IF(N(Vintage_Input!M83)&gt;0,IFERROR((Vintage_Input!E83+Vintage_Input!AS83)/$C134+Products!$D$14-(Products!$D$43+Products!$D$19+Products!$D$43*Products!$D$22+Products!$D$44),""),""))</f>
        <v/>
      </c>
      <c r="BB134" s="153">
        <f>IF($B134=1,$D$24,IF(N(Vintage_Input!N83)&gt;0,IFERROR((Vintage_Input!F83+Vintage_Input!AT83)/$C134+Products!$D$14-(Products!$D$43+Products!$D$19+Products!$D$43*Products!$D$22+Products!$D$44),""),""))</f>
        <v/>
      </c>
      <c r="BC134" s="153">
        <f>IF($B134=1,$E$24,IF(N(Vintage_Input!O83)&gt;0,IFERROR((Vintage_Input!G83+Vintage_Input!AU83)/$C134+Products!$D$14-(Products!$D$43+Products!$D$19+Products!$D$43*Products!$D$22+Products!$D$44),""),""))</f>
        <v/>
      </c>
      <c r="BD134" s="153">
        <f>IF($B134=1,$F$24,IF(N(Vintage_Input!P83)&gt;0,IFERROR((Vintage_Input!H83+Vintage_Input!AV83)/$C134+Products!$D$14-(Products!$D$43+Products!$D$19+Products!$D$43*Products!$D$22+Products!$D$44),""),""))</f>
        <v/>
      </c>
      <c r="BE134" s="153">
        <f>IF($B134=1,$G$24,IF(N(Vintage_Input!Q83)&gt;0,IFERROR((Vintage_Input!I83+Vintage_Input!AW83)/$C134+Products!$D$14-(Products!$D$43+Products!$D$19+Products!$D$43*Products!$D$22+Products!$D$44),""),""))</f>
        <v/>
      </c>
      <c r="BF134" s="153">
        <f>IF($B134=1,$H$24,IF(N(Vintage_Input!R83)&gt;0,IFERROR((Vintage_Input!J83+Vintage_Input!AX83)/$C134+Products!$D$14-(Products!$D$43+Products!$D$19+Products!$D$43*Products!$D$22+Products!$D$44),""),""))</f>
        <v/>
      </c>
      <c r="BG134" s="153">
        <f>IF($B134=1,$I$24,IF(N(Vintage_Input!S83)&gt;0,IFERROR((Vintage_Input!K83+Vintage_Input!AY83)/$C134+Products!$D$14-(Products!$D$43+Products!$D$19+Products!$D$43*Products!$D$22+Products!$D$44),""),""))</f>
        <v/>
      </c>
      <c r="BH134" s="81">
        <f>IF($B134=1,0,IF(Vintage_Input!$BH$83="","",Vintage_Input!$BH$83))</f>
        <v/>
      </c>
    </row>
    <row r="135">
      <c r="A135" s="23" t="n">
        <v>11</v>
      </c>
      <c r="B135" s="48">
        <f>Vintage_Input!$B$84</f>
        <v/>
      </c>
      <c r="C135" s="41">
        <f>IF(Vintage_Input!$C$84="",0,Vintage_Input!$C$84)</f>
        <v/>
      </c>
      <c r="D135" s="152">
        <f>IF($B135=1,$B$18,IF(N(Vintage_Input!L84)&gt;0,Vintage_Input!D84/Vintage_Input!L84,""))</f>
        <v/>
      </c>
      <c r="E135" s="152">
        <f>IF($B135=1,$C$18,IF(N(Vintage_Input!M84)&gt;0,Vintage_Input!E84/Vintage_Input!M84,""))</f>
        <v/>
      </c>
      <c r="F135" s="152">
        <f>IF($B135=1,$D$18,IF(N(Vintage_Input!N84)&gt;0,Vintage_Input!F84/Vintage_Input!N84,""))</f>
        <v/>
      </c>
      <c r="G135" s="152">
        <f>IF($B135=1,$E$18,IF(N(Vintage_Input!O84)&gt;0,Vintage_Input!G84/Vintage_Input!O84,""))</f>
        <v/>
      </c>
      <c r="H135" s="152">
        <f>IF($B135=1,$F$18,IF(N(Vintage_Input!P84)&gt;0,Vintage_Input!H84/Vintage_Input!P84,""))</f>
        <v/>
      </c>
      <c r="I135" s="152">
        <f>IF($B135=1,$G$18,IF(N(Vintage_Input!Q84)&gt;0,Vintage_Input!I84/Vintage_Input!Q84,""))</f>
        <v/>
      </c>
      <c r="J135" s="152">
        <f>IF($B135=1,$H$18,IF(N(Vintage_Input!R84)&gt;0,Vintage_Input!J84/Vintage_Input!R84,""))</f>
        <v/>
      </c>
      <c r="K135" s="152">
        <f>IF($B135=1,$I$18,IF(N(Vintage_Input!S84)&gt;0,Vintage_Input!K84/Vintage_Input!S84,""))</f>
        <v/>
      </c>
      <c r="L135" s="152">
        <f>IF($B135=1,$B$19,IF(N(Vintage_Input!L84)&gt;0,Vintage_Input!T84/Vintage_Input!L84,""))</f>
        <v/>
      </c>
      <c r="M135" s="152">
        <f>IF($B135=1,$C$19,IF(N(Vintage_Input!M84)&gt;0,Vintage_Input!U84/Vintage_Input!M84,""))</f>
        <v/>
      </c>
      <c r="N135" s="152">
        <f>IF($B135=1,$D$19,IF(N(Vintage_Input!N84)&gt;0,Vintage_Input!V84/Vintage_Input!N84,""))</f>
        <v/>
      </c>
      <c r="O135" s="152">
        <f>IF($B135=1,$E$19,IF(N(Vintage_Input!O84)&gt;0,Vintage_Input!W84/Vintage_Input!O84,""))</f>
        <v/>
      </c>
      <c r="P135" s="152">
        <f>IF($B135=1,$F$19,IF(N(Vintage_Input!P84)&gt;0,Vintage_Input!X84/Vintage_Input!P84,""))</f>
        <v/>
      </c>
      <c r="Q135" s="152">
        <f>IF($B135=1,$G$19,IF(N(Vintage_Input!Q84)&gt;0,Vintage_Input!Y84/Vintage_Input!Q84,""))</f>
        <v/>
      </c>
      <c r="R135" s="152">
        <f>IF($B135=1,$H$19,IF(N(Vintage_Input!R84)&gt;0,Vintage_Input!Z84/Vintage_Input!R84,""))</f>
        <v/>
      </c>
      <c r="S135" s="152">
        <f>IF($B135=1,$I$19,IF(N(Vintage_Input!S84)&gt;0,Vintage_Input!AA84/Vintage_Input!S84,""))</f>
        <v/>
      </c>
      <c r="T135" s="152">
        <f>IF($B135=1,$B$20,IF(N(Vintage_Input!L84)&gt;0,Vintage_Input!AB84/Vintage_Input!L84,""))</f>
        <v/>
      </c>
      <c r="U135" s="152">
        <f>IF($B135=1,$C$20,IF(N(Vintage_Input!M84)&gt;0,Vintage_Input!AC84/Vintage_Input!M84,""))</f>
        <v/>
      </c>
      <c r="V135" s="152">
        <f>IF($B135=1,$D$20,IF(N(Vintage_Input!N84)&gt;0,Vintage_Input!AD84/Vintage_Input!N84,""))</f>
        <v/>
      </c>
      <c r="W135" s="152">
        <f>IF($B135=1,$E$20,IF(N(Vintage_Input!O84)&gt;0,Vintage_Input!AE84/Vintage_Input!O84,""))</f>
        <v/>
      </c>
      <c r="X135" s="152">
        <f>IF($B135=1,$F$20,IF(N(Vintage_Input!P84)&gt;0,Vintage_Input!AF84/Vintage_Input!P84,""))</f>
        <v/>
      </c>
      <c r="Y135" s="152">
        <f>IF($B135=1,$G$20,IF(N(Vintage_Input!Q84)&gt;0,Vintage_Input!AG84/Vintage_Input!Q84,""))</f>
        <v/>
      </c>
      <c r="Z135" s="152">
        <f>IF($B135=1,$H$20,IF(N(Vintage_Input!R84)&gt;0,Vintage_Input!AH84/Vintage_Input!R84,""))</f>
        <v/>
      </c>
      <c r="AA135" s="152">
        <f>IF($B135=1,$I$20,IF(N(Vintage_Input!S84)&gt;0,Vintage_Input!AI84/Vintage_Input!S84,""))</f>
        <v/>
      </c>
      <c r="AB135" s="152">
        <f>IF($B135=1,$B$21,IF(N(Vintage_Input!L84)&gt;0,Vintage_Input!AJ84/Vintage_Input!L84,""))</f>
        <v/>
      </c>
      <c r="AC135" s="152">
        <f>IF($B135=1,$C$21,IF(N(Vintage_Input!M84)&gt;0,Vintage_Input!AK84/Vintage_Input!M84,""))</f>
        <v/>
      </c>
      <c r="AD135" s="152">
        <f>IF($B135=1,$D$21,IF(N(Vintage_Input!N84)&gt;0,Vintage_Input!AL84/Vintage_Input!N84,""))</f>
        <v/>
      </c>
      <c r="AE135" s="152">
        <f>IF($B135=1,$E$21,IF(N(Vintage_Input!O84)&gt;0,Vintage_Input!AM84/Vintage_Input!O84,""))</f>
        <v/>
      </c>
      <c r="AF135" s="152">
        <f>IF($B135=1,$F$21,IF(N(Vintage_Input!P84)&gt;0,Vintage_Input!AN84/Vintage_Input!P84,""))</f>
        <v/>
      </c>
      <c r="AG135" s="152">
        <f>IF($B135=1,$G$21,IF(N(Vintage_Input!Q84)&gt;0,Vintage_Input!AO84/Vintage_Input!Q84,""))</f>
        <v/>
      </c>
      <c r="AH135" s="152">
        <f>IF($B135=1,$H$21,IF(N(Vintage_Input!R84)&gt;0,Vintage_Input!AP84/Vintage_Input!R84,""))</f>
        <v/>
      </c>
      <c r="AI135" s="152">
        <f>IF($B135=1,$I$21,IF(N(Vintage_Input!S84)&gt;0,Vintage_Input!AQ84/Vintage_Input!S84,""))</f>
        <v/>
      </c>
      <c r="AJ135" s="152">
        <f>IF($B135=1,$B$22,IF(N(Vintage_Input!L84)&gt;0,IFERROR(Vintage_Input!AR84/Vintage_Input!AJ84,""),""))</f>
        <v/>
      </c>
      <c r="AK135" s="152">
        <f>IF($B135=1,$C$22,IF(N(Vintage_Input!M84)&gt;0,IFERROR(Vintage_Input!AS84/Vintage_Input!AK84,""),""))</f>
        <v/>
      </c>
      <c r="AL135" s="152">
        <f>IF($B135=1,$D$22,IF(N(Vintage_Input!N84)&gt;0,IFERROR(Vintage_Input!AT84/Vintage_Input!AL84,""),""))</f>
        <v/>
      </c>
      <c r="AM135" s="152">
        <f>IF($B135=1,$E$22,IF(N(Vintage_Input!O84)&gt;0,IFERROR(Vintage_Input!AU84/Vintage_Input!AM84,""),""))</f>
        <v/>
      </c>
      <c r="AN135" s="152">
        <f>IF($B135=1,$F$22,IF(N(Vintage_Input!P84)&gt;0,IFERROR(Vintage_Input!AV84/Vintage_Input!AN84,""),""))</f>
        <v/>
      </c>
      <c r="AO135" s="152">
        <f>IF($B135=1,$G$22,IF(N(Vintage_Input!Q84)&gt;0,IFERROR(Vintage_Input!AW84/Vintage_Input!AO84,""),""))</f>
        <v/>
      </c>
      <c r="AP135" s="152">
        <f>IF($B135=1,$H$22,IF(N(Vintage_Input!R84)&gt;0,IFERROR(Vintage_Input!AX84/Vintage_Input!AP84,""),""))</f>
        <v/>
      </c>
      <c r="AQ135" s="152">
        <f>IF($B135=1,$I$22,IF(N(Vintage_Input!S84)&gt;0,IFERROR(Vintage_Input!AY84/Vintage_Input!AQ84,""),""))</f>
        <v/>
      </c>
      <c r="AR135" s="152">
        <f>IF($B135=1,$B$23,IF(N(Vintage_Input!L84)&gt;0,IFERROR(Vintage_Input!AZ84/$C135,""),""))</f>
        <v/>
      </c>
      <c r="AS135" s="152">
        <f>IF($B135=1,$C$23,IF(N(Vintage_Input!M84)&gt;0,IFERROR(Vintage_Input!BA84/$C135,""),""))</f>
        <v/>
      </c>
      <c r="AT135" s="152">
        <f>IF($B135=1,$D$23,IF(N(Vintage_Input!N84)&gt;0,IFERROR(Vintage_Input!BB84/$C135,""),""))</f>
        <v/>
      </c>
      <c r="AU135" s="152">
        <f>IF($B135=1,$E$23,IF(N(Vintage_Input!O84)&gt;0,IFERROR(Vintage_Input!BC84/$C135,""),""))</f>
        <v/>
      </c>
      <c r="AV135" s="152">
        <f>IF($B135=1,$F$23,IF(N(Vintage_Input!P84)&gt;0,IFERROR(Vintage_Input!BD84/$C135,""),""))</f>
        <v/>
      </c>
      <c r="AW135" s="152">
        <f>IF($B135=1,$G$23,IF(N(Vintage_Input!Q84)&gt;0,IFERROR(Vintage_Input!BE84/$C135,""),""))</f>
        <v/>
      </c>
      <c r="AX135" s="152">
        <f>IF($B135=1,$H$23,IF(N(Vintage_Input!R84)&gt;0,IFERROR(Vintage_Input!BF84/$C135,""),""))</f>
        <v/>
      </c>
      <c r="AY135" s="152">
        <f>IF($B135=1,$I$23,IF(N(Vintage_Input!S84)&gt;0,IFERROR(Vintage_Input!BG84/$C135,""),""))</f>
        <v/>
      </c>
      <c r="AZ135" s="153">
        <f>IF($B135=1,$B$24,IF(N(Vintage_Input!L84)&gt;0,IFERROR((Vintage_Input!D84+Vintage_Input!AR84)/$C135+Products!$D$14-(Products!$D$43+Products!$D$19+Products!$D$43*Products!$D$22+Products!$D$44),""),""))</f>
        <v/>
      </c>
      <c r="BA135" s="153">
        <f>IF($B135=1,$C$24,IF(N(Vintage_Input!M84)&gt;0,IFERROR((Vintage_Input!E84+Vintage_Input!AS84)/$C135+Products!$D$14-(Products!$D$43+Products!$D$19+Products!$D$43*Products!$D$22+Products!$D$44),""),""))</f>
        <v/>
      </c>
      <c r="BB135" s="153">
        <f>IF($B135=1,$D$24,IF(N(Vintage_Input!N84)&gt;0,IFERROR((Vintage_Input!F84+Vintage_Input!AT84)/$C135+Products!$D$14-(Products!$D$43+Products!$D$19+Products!$D$43*Products!$D$22+Products!$D$44),""),""))</f>
        <v/>
      </c>
      <c r="BC135" s="153">
        <f>IF($B135=1,$E$24,IF(N(Vintage_Input!O84)&gt;0,IFERROR((Vintage_Input!G84+Vintage_Input!AU84)/$C135+Products!$D$14-(Products!$D$43+Products!$D$19+Products!$D$43*Products!$D$22+Products!$D$44),""),""))</f>
        <v/>
      </c>
      <c r="BD135" s="153">
        <f>IF($B135=1,$F$24,IF(N(Vintage_Input!P84)&gt;0,IFERROR((Vintage_Input!H84+Vintage_Input!AV84)/$C135+Products!$D$14-(Products!$D$43+Products!$D$19+Products!$D$43*Products!$D$22+Products!$D$44),""),""))</f>
        <v/>
      </c>
      <c r="BE135" s="153">
        <f>IF($B135=1,$G$24,IF(N(Vintage_Input!Q84)&gt;0,IFERROR((Vintage_Input!I84+Vintage_Input!AW84)/$C135+Products!$D$14-(Products!$D$43+Products!$D$19+Products!$D$43*Products!$D$22+Products!$D$44),""),""))</f>
        <v/>
      </c>
      <c r="BF135" s="153">
        <f>IF($B135=1,$H$24,IF(N(Vintage_Input!R84)&gt;0,IFERROR((Vintage_Input!J84+Vintage_Input!AX84)/$C135+Products!$D$14-(Products!$D$43+Products!$D$19+Products!$D$43*Products!$D$22+Products!$D$44),""),""))</f>
        <v/>
      </c>
      <c r="BG135" s="153">
        <f>IF($B135=1,$I$24,IF(N(Vintage_Input!S84)&gt;0,IFERROR((Vintage_Input!K84+Vintage_Input!AY84)/$C135+Products!$D$14-(Products!$D$43+Products!$D$19+Products!$D$43*Products!$D$22+Products!$D$44),""),""))</f>
        <v/>
      </c>
      <c r="BH135" s="81">
        <f>IF($B135=1,0,IF(Vintage_Input!$BH$84="","",Vintage_Input!$BH$84))</f>
        <v/>
      </c>
    </row>
    <row r="136">
      <c r="A136" s="23" t="n">
        <v>12</v>
      </c>
      <c r="B136" s="48">
        <f>Vintage_Input!$B$85</f>
        <v/>
      </c>
      <c r="C136" s="41">
        <f>IF(Vintage_Input!$C$85="",0,Vintage_Input!$C$85)</f>
        <v/>
      </c>
      <c r="D136" s="152">
        <f>IF($B136=1,$B$18,IF(N(Vintage_Input!L85)&gt;0,Vintage_Input!D85/Vintage_Input!L85,""))</f>
        <v/>
      </c>
      <c r="E136" s="152">
        <f>IF($B136=1,$C$18,IF(N(Vintage_Input!M85)&gt;0,Vintage_Input!E85/Vintage_Input!M85,""))</f>
        <v/>
      </c>
      <c r="F136" s="152">
        <f>IF($B136=1,$D$18,IF(N(Vintage_Input!N85)&gt;0,Vintage_Input!F85/Vintage_Input!N85,""))</f>
        <v/>
      </c>
      <c r="G136" s="152">
        <f>IF($B136=1,$E$18,IF(N(Vintage_Input!O85)&gt;0,Vintage_Input!G85/Vintage_Input!O85,""))</f>
        <v/>
      </c>
      <c r="H136" s="152">
        <f>IF($B136=1,$F$18,IF(N(Vintage_Input!P85)&gt;0,Vintage_Input!H85/Vintage_Input!P85,""))</f>
        <v/>
      </c>
      <c r="I136" s="152">
        <f>IF($B136=1,$G$18,IF(N(Vintage_Input!Q85)&gt;0,Vintage_Input!I85/Vintage_Input!Q85,""))</f>
        <v/>
      </c>
      <c r="J136" s="152">
        <f>IF($B136=1,$H$18,IF(N(Vintage_Input!R85)&gt;0,Vintage_Input!J85/Vintage_Input!R85,""))</f>
        <v/>
      </c>
      <c r="K136" s="152">
        <f>IF($B136=1,$I$18,IF(N(Vintage_Input!S85)&gt;0,Vintage_Input!K85/Vintage_Input!S85,""))</f>
        <v/>
      </c>
      <c r="L136" s="152">
        <f>IF($B136=1,$B$19,IF(N(Vintage_Input!L85)&gt;0,Vintage_Input!T85/Vintage_Input!L85,""))</f>
        <v/>
      </c>
      <c r="M136" s="152">
        <f>IF($B136=1,$C$19,IF(N(Vintage_Input!M85)&gt;0,Vintage_Input!U85/Vintage_Input!M85,""))</f>
        <v/>
      </c>
      <c r="N136" s="152">
        <f>IF($B136=1,$D$19,IF(N(Vintage_Input!N85)&gt;0,Vintage_Input!V85/Vintage_Input!N85,""))</f>
        <v/>
      </c>
      <c r="O136" s="152">
        <f>IF($B136=1,$E$19,IF(N(Vintage_Input!O85)&gt;0,Vintage_Input!W85/Vintage_Input!O85,""))</f>
        <v/>
      </c>
      <c r="P136" s="152">
        <f>IF($B136=1,$F$19,IF(N(Vintage_Input!P85)&gt;0,Vintage_Input!X85/Vintage_Input!P85,""))</f>
        <v/>
      </c>
      <c r="Q136" s="152">
        <f>IF($B136=1,$G$19,IF(N(Vintage_Input!Q85)&gt;0,Vintage_Input!Y85/Vintage_Input!Q85,""))</f>
        <v/>
      </c>
      <c r="R136" s="152">
        <f>IF($B136=1,$H$19,IF(N(Vintage_Input!R85)&gt;0,Vintage_Input!Z85/Vintage_Input!R85,""))</f>
        <v/>
      </c>
      <c r="S136" s="152">
        <f>IF($B136=1,$I$19,IF(N(Vintage_Input!S85)&gt;0,Vintage_Input!AA85/Vintage_Input!S85,""))</f>
        <v/>
      </c>
      <c r="T136" s="152">
        <f>IF($B136=1,$B$20,IF(N(Vintage_Input!L85)&gt;0,Vintage_Input!AB85/Vintage_Input!L85,""))</f>
        <v/>
      </c>
      <c r="U136" s="152">
        <f>IF($B136=1,$C$20,IF(N(Vintage_Input!M85)&gt;0,Vintage_Input!AC85/Vintage_Input!M85,""))</f>
        <v/>
      </c>
      <c r="V136" s="152">
        <f>IF($B136=1,$D$20,IF(N(Vintage_Input!N85)&gt;0,Vintage_Input!AD85/Vintage_Input!N85,""))</f>
        <v/>
      </c>
      <c r="W136" s="152">
        <f>IF($B136=1,$E$20,IF(N(Vintage_Input!O85)&gt;0,Vintage_Input!AE85/Vintage_Input!O85,""))</f>
        <v/>
      </c>
      <c r="X136" s="152">
        <f>IF($B136=1,$F$20,IF(N(Vintage_Input!P85)&gt;0,Vintage_Input!AF85/Vintage_Input!P85,""))</f>
        <v/>
      </c>
      <c r="Y136" s="152">
        <f>IF($B136=1,$G$20,IF(N(Vintage_Input!Q85)&gt;0,Vintage_Input!AG85/Vintage_Input!Q85,""))</f>
        <v/>
      </c>
      <c r="Z136" s="152">
        <f>IF($B136=1,$H$20,IF(N(Vintage_Input!R85)&gt;0,Vintage_Input!AH85/Vintage_Input!R85,""))</f>
        <v/>
      </c>
      <c r="AA136" s="152">
        <f>IF($B136=1,$I$20,IF(N(Vintage_Input!S85)&gt;0,Vintage_Input!AI85/Vintage_Input!S85,""))</f>
        <v/>
      </c>
      <c r="AB136" s="152">
        <f>IF($B136=1,$B$21,IF(N(Vintage_Input!L85)&gt;0,Vintage_Input!AJ85/Vintage_Input!L85,""))</f>
        <v/>
      </c>
      <c r="AC136" s="152">
        <f>IF($B136=1,$C$21,IF(N(Vintage_Input!M85)&gt;0,Vintage_Input!AK85/Vintage_Input!M85,""))</f>
        <v/>
      </c>
      <c r="AD136" s="152">
        <f>IF($B136=1,$D$21,IF(N(Vintage_Input!N85)&gt;0,Vintage_Input!AL85/Vintage_Input!N85,""))</f>
        <v/>
      </c>
      <c r="AE136" s="152">
        <f>IF($B136=1,$E$21,IF(N(Vintage_Input!O85)&gt;0,Vintage_Input!AM85/Vintage_Input!O85,""))</f>
        <v/>
      </c>
      <c r="AF136" s="152">
        <f>IF($B136=1,$F$21,IF(N(Vintage_Input!P85)&gt;0,Vintage_Input!AN85/Vintage_Input!P85,""))</f>
        <v/>
      </c>
      <c r="AG136" s="152">
        <f>IF($B136=1,$G$21,IF(N(Vintage_Input!Q85)&gt;0,Vintage_Input!AO85/Vintage_Input!Q85,""))</f>
        <v/>
      </c>
      <c r="AH136" s="152">
        <f>IF($B136=1,$H$21,IF(N(Vintage_Input!R85)&gt;0,Vintage_Input!AP85/Vintage_Input!R85,""))</f>
        <v/>
      </c>
      <c r="AI136" s="152">
        <f>IF($B136=1,$I$21,IF(N(Vintage_Input!S85)&gt;0,Vintage_Input!AQ85/Vintage_Input!S85,""))</f>
        <v/>
      </c>
      <c r="AJ136" s="152">
        <f>IF($B136=1,$B$22,IF(N(Vintage_Input!L85)&gt;0,IFERROR(Vintage_Input!AR85/Vintage_Input!AJ85,""),""))</f>
        <v/>
      </c>
      <c r="AK136" s="152">
        <f>IF($B136=1,$C$22,IF(N(Vintage_Input!M85)&gt;0,IFERROR(Vintage_Input!AS85/Vintage_Input!AK85,""),""))</f>
        <v/>
      </c>
      <c r="AL136" s="152">
        <f>IF($B136=1,$D$22,IF(N(Vintage_Input!N85)&gt;0,IFERROR(Vintage_Input!AT85/Vintage_Input!AL85,""),""))</f>
        <v/>
      </c>
      <c r="AM136" s="152">
        <f>IF($B136=1,$E$22,IF(N(Vintage_Input!O85)&gt;0,IFERROR(Vintage_Input!AU85/Vintage_Input!AM85,""),""))</f>
        <v/>
      </c>
      <c r="AN136" s="152">
        <f>IF($B136=1,$F$22,IF(N(Vintage_Input!P85)&gt;0,IFERROR(Vintage_Input!AV85/Vintage_Input!AN85,""),""))</f>
        <v/>
      </c>
      <c r="AO136" s="152">
        <f>IF($B136=1,$G$22,IF(N(Vintage_Input!Q85)&gt;0,IFERROR(Vintage_Input!AW85/Vintage_Input!AO85,""),""))</f>
        <v/>
      </c>
      <c r="AP136" s="152">
        <f>IF($B136=1,$H$22,IF(N(Vintage_Input!R85)&gt;0,IFERROR(Vintage_Input!AX85/Vintage_Input!AP85,""),""))</f>
        <v/>
      </c>
      <c r="AQ136" s="152">
        <f>IF($B136=1,$I$22,IF(N(Vintage_Input!S85)&gt;0,IFERROR(Vintage_Input!AY85/Vintage_Input!AQ85,""),""))</f>
        <v/>
      </c>
      <c r="AR136" s="152">
        <f>IF($B136=1,$B$23,IF(N(Vintage_Input!L85)&gt;0,IFERROR(Vintage_Input!AZ85/$C136,""),""))</f>
        <v/>
      </c>
      <c r="AS136" s="152">
        <f>IF($B136=1,$C$23,IF(N(Vintage_Input!M85)&gt;0,IFERROR(Vintage_Input!BA85/$C136,""),""))</f>
        <v/>
      </c>
      <c r="AT136" s="152">
        <f>IF($B136=1,$D$23,IF(N(Vintage_Input!N85)&gt;0,IFERROR(Vintage_Input!BB85/$C136,""),""))</f>
        <v/>
      </c>
      <c r="AU136" s="152">
        <f>IF($B136=1,$E$23,IF(N(Vintage_Input!O85)&gt;0,IFERROR(Vintage_Input!BC85/$C136,""),""))</f>
        <v/>
      </c>
      <c r="AV136" s="152">
        <f>IF($B136=1,$F$23,IF(N(Vintage_Input!P85)&gt;0,IFERROR(Vintage_Input!BD85/$C136,""),""))</f>
        <v/>
      </c>
      <c r="AW136" s="152">
        <f>IF($B136=1,$G$23,IF(N(Vintage_Input!Q85)&gt;0,IFERROR(Vintage_Input!BE85/$C136,""),""))</f>
        <v/>
      </c>
      <c r="AX136" s="152">
        <f>IF($B136=1,$H$23,IF(N(Vintage_Input!R85)&gt;0,IFERROR(Vintage_Input!BF85/$C136,""),""))</f>
        <v/>
      </c>
      <c r="AY136" s="152">
        <f>IF($B136=1,$I$23,IF(N(Vintage_Input!S85)&gt;0,IFERROR(Vintage_Input!BG85/$C136,""),""))</f>
        <v/>
      </c>
      <c r="AZ136" s="153">
        <f>IF($B136=1,$B$24,IF(N(Vintage_Input!L85)&gt;0,IFERROR((Vintage_Input!D85+Vintage_Input!AR85)/$C136+Products!$D$14-(Products!$D$43+Products!$D$19+Products!$D$43*Products!$D$22+Products!$D$44),""),""))</f>
        <v/>
      </c>
      <c r="BA136" s="153">
        <f>IF($B136=1,$C$24,IF(N(Vintage_Input!M85)&gt;0,IFERROR((Vintage_Input!E85+Vintage_Input!AS85)/$C136+Products!$D$14-(Products!$D$43+Products!$D$19+Products!$D$43*Products!$D$22+Products!$D$44),""),""))</f>
        <v/>
      </c>
      <c r="BB136" s="153">
        <f>IF($B136=1,$D$24,IF(N(Vintage_Input!N85)&gt;0,IFERROR((Vintage_Input!F85+Vintage_Input!AT85)/$C136+Products!$D$14-(Products!$D$43+Products!$D$19+Products!$D$43*Products!$D$22+Products!$D$44),""),""))</f>
        <v/>
      </c>
      <c r="BC136" s="153">
        <f>IF($B136=1,$E$24,IF(N(Vintage_Input!O85)&gt;0,IFERROR((Vintage_Input!G85+Vintage_Input!AU85)/$C136+Products!$D$14-(Products!$D$43+Products!$D$19+Products!$D$43*Products!$D$22+Products!$D$44),""),""))</f>
        <v/>
      </c>
      <c r="BD136" s="153">
        <f>IF($B136=1,$F$24,IF(N(Vintage_Input!P85)&gt;0,IFERROR((Vintage_Input!H85+Vintage_Input!AV85)/$C136+Products!$D$14-(Products!$D$43+Products!$D$19+Products!$D$43*Products!$D$22+Products!$D$44),""),""))</f>
        <v/>
      </c>
      <c r="BE136" s="153">
        <f>IF($B136=1,$G$24,IF(N(Vintage_Input!Q85)&gt;0,IFERROR((Vintage_Input!I85+Vintage_Input!AW85)/$C136+Products!$D$14-(Products!$D$43+Products!$D$19+Products!$D$43*Products!$D$22+Products!$D$44),""),""))</f>
        <v/>
      </c>
      <c r="BF136" s="153">
        <f>IF($B136=1,$H$24,IF(N(Vintage_Input!R85)&gt;0,IFERROR((Vintage_Input!J85+Vintage_Input!AX85)/$C136+Products!$D$14-(Products!$D$43+Products!$D$19+Products!$D$43*Products!$D$22+Products!$D$44),""),""))</f>
        <v/>
      </c>
      <c r="BG136" s="153">
        <f>IF($B136=1,$I$24,IF(N(Vintage_Input!S85)&gt;0,IFERROR((Vintage_Input!K85+Vintage_Input!AY85)/$C136+Products!$D$14-(Products!$D$43+Products!$D$19+Products!$D$43*Products!$D$22+Products!$D$44),""),""))</f>
        <v/>
      </c>
      <c r="BH136" s="81">
        <f>IF($B136=1,0,IF(Vintage_Input!$BH$85="","",Vintage_Input!$BH$85))</f>
        <v/>
      </c>
    </row>
    <row r="137">
      <c r="A137" s="23" t="n">
        <v>13</v>
      </c>
      <c r="B137" s="48">
        <f>Vintage_Input!$B$86</f>
        <v/>
      </c>
      <c r="C137" s="41">
        <f>IF(Vintage_Input!$C$86="",0,Vintage_Input!$C$86)</f>
        <v/>
      </c>
      <c r="D137" s="152">
        <f>IF($B137=1,$B$18,IF(N(Vintage_Input!L86)&gt;0,Vintage_Input!D86/Vintage_Input!L86,""))</f>
        <v/>
      </c>
      <c r="E137" s="152">
        <f>IF($B137=1,$C$18,IF(N(Vintage_Input!M86)&gt;0,Vintage_Input!E86/Vintage_Input!M86,""))</f>
        <v/>
      </c>
      <c r="F137" s="152">
        <f>IF($B137=1,$D$18,IF(N(Vintage_Input!N86)&gt;0,Vintage_Input!F86/Vintage_Input!N86,""))</f>
        <v/>
      </c>
      <c r="G137" s="152">
        <f>IF($B137=1,$E$18,IF(N(Vintage_Input!O86)&gt;0,Vintage_Input!G86/Vintage_Input!O86,""))</f>
        <v/>
      </c>
      <c r="H137" s="152">
        <f>IF($B137=1,$F$18,IF(N(Vintage_Input!P86)&gt;0,Vintage_Input!H86/Vintage_Input!P86,""))</f>
        <v/>
      </c>
      <c r="I137" s="152">
        <f>IF($B137=1,$G$18,IF(N(Vintage_Input!Q86)&gt;0,Vintage_Input!I86/Vintage_Input!Q86,""))</f>
        <v/>
      </c>
      <c r="J137" s="152">
        <f>IF($B137=1,$H$18,IF(N(Vintage_Input!R86)&gt;0,Vintage_Input!J86/Vintage_Input!R86,""))</f>
        <v/>
      </c>
      <c r="K137" s="152">
        <f>IF($B137=1,$I$18,IF(N(Vintage_Input!S86)&gt;0,Vintage_Input!K86/Vintage_Input!S86,""))</f>
        <v/>
      </c>
      <c r="L137" s="152">
        <f>IF($B137=1,$B$19,IF(N(Vintage_Input!L86)&gt;0,Vintage_Input!T86/Vintage_Input!L86,""))</f>
        <v/>
      </c>
      <c r="M137" s="152">
        <f>IF($B137=1,$C$19,IF(N(Vintage_Input!M86)&gt;0,Vintage_Input!U86/Vintage_Input!M86,""))</f>
        <v/>
      </c>
      <c r="N137" s="152">
        <f>IF($B137=1,$D$19,IF(N(Vintage_Input!N86)&gt;0,Vintage_Input!V86/Vintage_Input!N86,""))</f>
        <v/>
      </c>
      <c r="O137" s="152">
        <f>IF($B137=1,$E$19,IF(N(Vintage_Input!O86)&gt;0,Vintage_Input!W86/Vintage_Input!O86,""))</f>
        <v/>
      </c>
      <c r="P137" s="152">
        <f>IF($B137=1,$F$19,IF(N(Vintage_Input!P86)&gt;0,Vintage_Input!X86/Vintage_Input!P86,""))</f>
        <v/>
      </c>
      <c r="Q137" s="152">
        <f>IF($B137=1,$G$19,IF(N(Vintage_Input!Q86)&gt;0,Vintage_Input!Y86/Vintage_Input!Q86,""))</f>
        <v/>
      </c>
      <c r="R137" s="152">
        <f>IF($B137=1,$H$19,IF(N(Vintage_Input!R86)&gt;0,Vintage_Input!Z86/Vintage_Input!R86,""))</f>
        <v/>
      </c>
      <c r="S137" s="152">
        <f>IF($B137=1,$I$19,IF(N(Vintage_Input!S86)&gt;0,Vintage_Input!AA86/Vintage_Input!S86,""))</f>
        <v/>
      </c>
      <c r="T137" s="152">
        <f>IF($B137=1,$B$20,IF(N(Vintage_Input!L86)&gt;0,Vintage_Input!AB86/Vintage_Input!L86,""))</f>
        <v/>
      </c>
      <c r="U137" s="152">
        <f>IF($B137=1,$C$20,IF(N(Vintage_Input!M86)&gt;0,Vintage_Input!AC86/Vintage_Input!M86,""))</f>
        <v/>
      </c>
      <c r="V137" s="152">
        <f>IF($B137=1,$D$20,IF(N(Vintage_Input!N86)&gt;0,Vintage_Input!AD86/Vintage_Input!N86,""))</f>
        <v/>
      </c>
      <c r="W137" s="152">
        <f>IF($B137=1,$E$20,IF(N(Vintage_Input!O86)&gt;0,Vintage_Input!AE86/Vintage_Input!O86,""))</f>
        <v/>
      </c>
      <c r="X137" s="152">
        <f>IF($B137=1,$F$20,IF(N(Vintage_Input!P86)&gt;0,Vintage_Input!AF86/Vintage_Input!P86,""))</f>
        <v/>
      </c>
      <c r="Y137" s="152">
        <f>IF($B137=1,$G$20,IF(N(Vintage_Input!Q86)&gt;0,Vintage_Input!AG86/Vintage_Input!Q86,""))</f>
        <v/>
      </c>
      <c r="Z137" s="152">
        <f>IF($B137=1,$H$20,IF(N(Vintage_Input!R86)&gt;0,Vintage_Input!AH86/Vintage_Input!R86,""))</f>
        <v/>
      </c>
      <c r="AA137" s="152">
        <f>IF($B137=1,$I$20,IF(N(Vintage_Input!S86)&gt;0,Vintage_Input!AI86/Vintage_Input!S86,""))</f>
        <v/>
      </c>
      <c r="AB137" s="152">
        <f>IF($B137=1,$B$21,IF(N(Vintage_Input!L86)&gt;0,Vintage_Input!AJ86/Vintage_Input!L86,""))</f>
        <v/>
      </c>
      <c r="AC137" s="152">
        <f>IF($B137=1,$C$21,IF(N(Vintage_Input!M86)&gt;0,Vintage_Input!AK86/Vintage_Input!M86,""))</f>
        <v/>
      </c>
      <c r="AD137" s="152">
        <f>IF($B137=1,$D$21,IF(N(Vintage_Input!N86)&gt;0,Vintage_Input!AL86/Vintage_Input!N86,""))</f>
        <v/>
      </c>
      <c r="AE137" s="152">
        <f>IF($B137=1,$E$21,IF(N(Vintage_Input!O86)&gt;0,Vintage_Input!AM86/Vintage_Input!O86,""))</f>
        <v/>
      </c>
      <c r="AF137" s="152">
        <f>IF($B137=1,$F$21,IF(N(Vintage_Input!P86)&gt;0,Vintage_Input!AN86/Vintage_Input!P86,""))</f>
        <v/>
      </c>
      <c r="AG137" s="152">
        <f>IF($B137=1,$G$21,IF(N(Vintage_Input!Q86)&gt;0,Vintage_Input!AO86/Vintage_Input!Q86,""))</f>
        <v/>
      </c>
      <c r="AH137" s="152">
        <f>IF($B137=1,$H$21,IF(N(Vintage_Input!R86)&gt;0,Vintage_Input!AP86/Vintage_Input!R86,""))</f>
        <v/>
      </c>
      <c r="AI137" s="152">
        <f>IF($B137=1,$I$21,IF(N(Vintage_Input!S86)&gt;0,Vintage_Input!AQ86/Vintage_Input!S86,""))</f>
        <v/>
      </c>
      <c r="AJ137" s="152">
        <f>IF($B137=1,$B$22,IF(N(Vintage_Input!L86)&gt;0,IFERROR(Vintage_Input!AR86/Vintage_Input!AJ86,""),""))</f>
        <v/>
      </c>
      <c r="AK137" s="152">
        <f>IF($B137=1,$C$22,IF(N(Vintage_Input!M86)&gt;0,IFERROR(Vintage_Input!AS86/Vintage_Input!AK86,""),""))</f>
        <v/>
      </c>
      <c r="AL137" s="152">
        <f>IF($B137=1,$D$22,IF(N(Vintage_Input!N86)&gt;0,IFERROR(Vintage_Input!AT86/Vintage_Input!AL86,""),""))</f>
        <v/>
      </c>
      <c r="AM137" s="152">
        <f>IF($B137=1,$E$22,IF(N(Vintage_Input!O86)&gt;0,IFERROR(Vintage_Input!AU86/Vintage_Input!AM86,""),""))</f>
        <v/>
      </c>
      <c r="AN137" s="152">
        <f>IF($B137=1,$F$22,IF(N(Vintage_Input!P86)&gt;0,IFERROR(Vintage_Input!AV86/Vintage_Input!AN86,""),""))</f>
        <v/>
      </c>
      <c r="AO137" s="152">
        <f>IF($B137=1,$G$22,IF(N(Vintage_Input!Q86)&gt;0,IFERROR(Vintage_Input!AW86/Vintage_Input!AO86,""),""))</f>
        <v/>
      </c>
      <c r="AP137" s="152">
        <f>IF($B137=1,$H$22,IF(N(Vintage_Input!R86)&gt;0,IFERROR(Vintage_Input!AX86/Vintage_Input!AP86,""),""))</f>
        <v/>
      </c>
      <c r="AQ137" s="152">
        <f>IF($B137=1,$I$22,IF(N(Vintage_Input!S86)&gt;0,IFERROR(Vintage_Input!AY86/Vintage_Input!AQ86,""),""))</f>
        <v/>
      </c>
      <c r="AR137" s="152">
        <f>IF($B137=1,$B$23,IF(N(Vintage_Input!L86)&gt;0,IFERROR(Vintage_Input!AZ86/$C137,""),""))</f>
        <v/>
      </c>
      <c r="AS137" s="152">
        <f>IF($B137=1,$C$23,IF(N(Vintage_Input!M86)&gt;0,IFERROR(Vintage_Input!BA86/$C137,""),""))</f>
        <v/>
      </c>
      <c r="AT137" s="152">
        <f>IF($B137=1,$D$23,IF(N(Vintage_Input!N86)&gt;0,IFERROR(Vintage_Input!BB86/$C137,""),""))</f>
        <v/>
      </c>
      <c r="AU137" s="152">
        <f>IF($B137=1,$E$23,IF(N(Vintage_Input!O86)&gt;0,IFERROR(Vintage_Input!BC86/$C137,""),""))</f>
        <v/>
      </c>
      <c r="AV137" s="152">
        <f>IF($B137=1,$F$23,IF(N(Vintage_Input!P86)&gt;0,IFERROR(Vintage_Input!BD86/$C137,""),""))</f>
        <v/>
      </c>
      <c r="AW137" s="152">
        <f>IF($B137=1,$G$23,IF(N(Vintage_Input!Q86)&gt;0,IFERROR(Vintage_Input!BE86/$C137,""),""))</f>
        <v/>
      </c>
      <c r="AX137" s="152">
        <f>IF($B137=1,$H$23,IF(N(Vintage_Input!R86)&gt;0,IFERROR(Vintage_Input!BF86/$C137,""),""))</f>
        <v/>
      </c>
      <c r="AY137" s="152">
        <f>IF($B137=1,$I$23,IF(N(Vintage_Input!S86)&gt;0,IFERROR(Vintage_Input!BG86/$C137,""),""))</f>
        <v/>
      </c>
      <c r="AZ137" s="153">
        <f>IF($B137=1,$B$24,IF(N(Vintage_Input!L86)&gt;0,IFERROR((Vintage_Input!D86+Vintage_Input!AR86)/$C137+Products!$D$14-(Products!$D$43+Products!$D$19+Products!$D$43*Products!$D$22+Products!$D$44),""),""))</f>
        <v/>
      </c>
      <c r="BA137" s="153">
        <f>IF($B137=1,$C$24,IF(N(Vintage_Input!M86)&gt;0,IFERROR((Vintage_Input!E86+Vintage_Input!AS86)/$C137+Products!$D$14-(Products!$D$43+Products!$D$19+Products!$D$43*Products!$D$22+Products!$D$44),""),""))</f>
        <v/>
      </c>
      <c r="BB137" s="153">
        <f>IF($B137=1,$D$24,IF(N(Vintage_Input!N86)&gt;0,IFERROR((Vintage_Input!F86+Vintage_Input!AT86)/$C137+Products!$D$14-(Products!$D$43+Products!$D$19+Products!$D$43*Products!$D$22+Products!$D$44),""),""))</f>
        <v/>
      </c>
      <c r="BC137" s="153">
        <f>IF($B137=1,$E$24,IF(N(Vintage_Input!O86)&gt;0,IFERROR((Vintage_Input!G86+Vintage_Input!AU86)/$C137+Products!$D$14-(Products!$D$43+Products!$D$19+Products!$D$43*Products!$D$22+Products!$D$44),""),""))</f>
        <v/>
      </c>
      <c r="BD137" s="153">
        <f>IF($B137=1,$F$24,IF(N(Vintage_Input!P86)&gt;0,IFERROR((Vintage_Input!H86+Vintage_Input!AV86)/$C137+Products!$D$14-(Products!$D$43+Products!$D$19+Products!$D$43*Products!$D$22+Products!$D$44),""),""))</f>
        <v/>
      </c>
      <c r="BE137" s="153">
        <f>IF($B137=1,$G$24,IF(N(Vintage_Input!Q86)&gt;0,IFERROR((Vintage_Input!I86+Vintage_Input!AW86)/$C137+Products!$D$14-(Products!$D$43+Products!$D$19+Products!$D$43*Products!$D$22+Products!$D$44),""),""))</f>
        <v/>
      </c>
      <c r="BF137" s="153">
        <f>IF($B137=1,$H$24,IF(N(Vintage_Input!R86)&gt;0,IFERROR((Vintage_Input!J86+Vintage_Input!AX86)/$C137+Products!$D$14-(Products!$D$43+Products!$D$19+Products!$D$43*Products!$D$22+Products!$D$44),""),""))</f>
        <v/>
      </c>
      <c r="BG137" s="153">
        <f>IF($B137=1,$I$24,IF(N(Vintage_Input!S86)&gt;0,IFERROR((Vintage_Input!K86+Vintage_Input!AY86)/$C137+Products!$D$14-(Products!$D$43+Products!$D$19+Products!$D$43*Products!$D$22+Products!$D$44),""),""))</f>
        <v/>
      </c>
      <c r="BH137" s="81">
        <f>IF($B137=1,0,IF(Vintage_Input!$BH$86="","",Vintage_Input!$BH$86))</f>
        <v/>
      </c>
    </row>
    <row r="138">
      <c r="A138" s="23" t="n">
        <v>14</v>
      </c>
      <c r="B138" s="48">
        <f>Vintage_Input!$B$87</f>
        <v/>
      </c>
      <c r="C138" s="41">
        <f>IF(Vintage_Input!$C$87="",0,Vintage_Input!$C$87)</f>
        <v/>
      </c>
      <c r="D138" s="152">
        <f>IF($B138=1,$B$18,IF(N(Vintage_Input!L87)&gt;0,Vintage_Input!D87/Vintage_Input!L87,""))</f>
        <v/>
      </c>
      <c r="E138" s="152">
        <f>IF($B138=1,$C$18,IF(N(Vintage_Input!M87)&gt;0,Vintage_Input!E87/Vintage_Input!M87,""))</f>
        <v/>
      </c>
      <c r="F138" s="152">
        <f>IF($B138=1,$D$18,IF(N(Vintage_Input!N87)&gt;0,Vintage_Input!F87/Vintage_Input!N87,""))</f>
        <v/>
      </c>
      <c r="G138" s="152">
        <f>IF($B138=1,$E$18,IF(N(Vintage_Input!O87)&gt;0,Vintage_Input!G87/Vintage_Input!O87,""))</f>
        <v/>
      </c>
      <c r="H138" s="152">
        <f>IF($B138=1,$F$18,IF(N(Vintage_Input!P87)&gt;0,Vintage_Input!H87/Vintage_Input!P87,""))</f>
        <v/>
      </c>
      <c r="I138" s="152">
        <f>IF($B138=1,$G$18,IF(N(Vintage_Input!Q87)&gt;0,Vintage_Input!I87/Vintage_Input!Q87,""))</f>
        <v/>
      </c>
      <c r="J138" s="152">
        <f>IF($B138=1,$H$18,IF(N(Vintage_Input!R87)&gt;0,Vintage_Input!J87/Vintage_Input!R87,""))</f>
        <v/>
      </c>
      <c r="K138" s="152">
        <f>IF($B138=1,$I$18,IF(N(Vintage_Input!S87)&gt;0,Vintage_Input!K87/Vintage_Input!S87,""))</f>
        <v/>
      </c>
      <c r="L138" s="152">
        <f>IF($B138=1,$B$19,IF(N(Vintage_Input!L87)&gt;0,Vintage_Input!T87/Vintage_Input!L87,""))</f>
        <v/>
      </c>
      <c r="M138" s="152">
        <f>IF($B138=1,$C$19,IF(N(Vintage_Input!M87)&gt;0,Vintage_Input!U87/Vintage_Input!M87,""))</f>
        <v/>
      </c>
      <c r="N138" s="152">
        <f>IF($B138=1,$D$19,IF(N(Vintage_Input!N87)&gt;0,Vintage_Input!V87/Vintage_Input!N87,""))</f>
        <v/>
      </c>
      <c r="O138" s="152">
        <f>IF($B138=1,$E$19,IF(N(Vintage_Input!O87)&gt;0,Vintage_Input!W87/Vintage_Input!O87,""))</f>
        <v/>
      </c>
      <c r="P138" s="152">
        <f>IF($B138=1,$F$19,IF(N(Vintage_Input!P87)&gt;0,Vintage_Input!X87/Vintage_Input!P87,""))</f>
        <v/>
      </c>
      <c r="Q138" s="152">
        <f>IF($B138=1,$G$19,IF(N(Vintage_Input!Q87)&gt;0,Vintage_Input!Y87/Vintage_Input!Q87,""))</f>
        <v/>
      </c>
      <c r="R138" s="152">
        <f>IF($B138=1,$H$19,IF(N(Vintage_Input!R87)&gt;0,Vintage_Input!Z87/Vintage_Input!R87,""))</f>
        <v/>
      </c>
      <c r="S138" s="152">
        <f>IF($B138=1,$I$19,IF(N(Vintage_Input!S87)&gt;0,Vintage_Input!AA87/Vintage_Input!S87,""))</f>
        <v/>
      </c>
      <c r="T138" s="152">
        <f>IF($B138=1,$B$20,IF(N(Vintage_Input!L87)&gt;0,Vintage_Input!AB87/Vintage_Input!L87,""))</f>
        <v/>
      </c>
      <c r="U138" s="152">
        <f>IF($B138=1,$C$20,IF(N(Vintage_Input!M87)&gt;0,Vintage_Input!AC87/Vintage_Input!M87,""))</f>
        <v/>
      </c>
      <c r="V138" s="152">
        <f>IF($B138=1,$D$20,IF(N(Vintage_Input!N87)&gt;0,Vintage_Input!AD87/Vintage_Input!N87,""))</f>
        <v/>
      </c>
      <c r="W138" s="152">
        <f>IF($B138=1,$E$20,IF(N(Vintage_Input!O87)&gt;0,Vintage_Input!AE87/Vintage_Input!O87,""))</f>
        <v/>
      </c>
      <c r="X138" s="152">
        <f>IF($B138=1,$F$20,IF(N(Vintage_Input!P87)&gt;0,Vintage_Input!AF87/Vintage_Input!P87,""))</f>
        <v/>
      </c>
      <c r="Y138" s="152">
        <f>IF($B138=1,$G$20,IF(N(Vintage_Input!Q87)&gt;0,Vintage_Input!AG87/Vintage_Input!Q87,""))</f>
        <v/>
      </c>
      <c r="Z138" s="152">
        <f>IF($B138=1,$H$20,IF(N(Vintage_Input!R87)&gt;0,Vintage_Input!AH87/Vintage_Input!R87,""))</f>
        <v/>
      </c>
      <c r="AA138" s="152">
        <f>IF($B138=1,$I$20,IF(N(Vintage_Input!S87)&gt;0,Vintage_Input!AI87/Vintage_Input!S87,""))</f>
        <v/>
      </c>
      <c r="AB138" s="152">
        <f>IF($B138=1,$B$21,IF(N(Vintage_Input!L87)&gt;0,Vintage_Input!AJ87/Vintage_Input!L87,""))</f>
        <v/>
      </c>
      <c r="AC138" s="152">
        <f>IF($B138=1,$C$21,IF(N(Vintage_Input!M87)&gt;0,Vintage_Input!AK87/Vintage_Input!M87,""))</f>
        <v/>
      </c>
      <c r="AD138" s="152">
        <f>IF($B138=1,$D$21,IF(N(Vintage_Input!N87)&gt;0,Vintage_Input!AL87/Vintage_Input!N87,""))</f>
        <v/>
      </c>
      <c r="AE138" s="152">
        <f>IF($B138=1,$E$21,IF(N(Vintage_Input!O87)&gt;0,Vintage_Input!AM87/Vintage_Input!O87,""))</f>
        <v/>
      </c>
      <c r="AF138" s="152">
        <f>IF($B138=1,$F$21,IF(N(Vintage_Input!P87)&gt;0,Vintage_Input!AN87/Vintage_Input!P87,""))</f>
        <v/>
      </c>
      <c r="AG138" s="152">
        <f>IF($B138=1,$G$21,IF(N(Vintage_Input!Q87)&gt;0,Vintage_Input!AO87/Vintage_Input!Q87,""))</f>
        <v/>
      </c>
      <c r="AH138" s="152">
        <f>IF($B138=1,$H$21,IF(N(Vintage_Input!R87)&gt;0,Vintage_Input!AP87/Vintage_Input!R87,""))</f>
        <v/>
      </c>
      <c r="AI138" s="152">
        <f>IF($B138=1,$I$21,IF(N(Vintage_Input!S87)&gt;0,Vintage_Input!AQ87/Vintage_Input!S87,""))</f>
        <v/>
      </c>
      <c r="AJ138" s="152">
        <f>IF($B138=1,$B$22,IF(N(Vintage_Input!L87)&gt;0,IFERROR(Vintage_Input!AR87/Vintage_Input!AJ87,""),""))</f>
        <v/>
      </c>
      <c r="AK138" s="152">
        <f>IF($B138=1,$C$22,IF(N(Vintage_Input!M87)&gt;0,IFERROR(Vintage_Input!AS87/Vintage_Input!AK87,""),""))</f>
        <v/>
      </c>
      <c r="AL138" s="152">
        <f>IF($B138=1,$D$22,IF(N(Vintage_Input!N87)&gt;0,IFERROR(Vintage_Input!AT87/Vintage_Input!AL87,""),""))</f>
        <v/>
      </c>
      <c r="AM138" s="152">
        <f>IF($B138=1,$E$22,IF(N(Vintage_Input!O87)&gt;0,IFERROR(Vintage_Input!AU87/Vintage_Input!AM87,""),""))</f>
        <v/>
      </c>
      <c r="AN138" s="152">
        <f>IF($B138=1,$F$22,IF(N(Vintage_Input!P87)&gt;0,IFERROR(Vintage_Input!AV87/Vintage_Input!AN87,""),""))</f>
        <v/>
      </c>
      <c r="AO138" s="152">
        <f>IF($B138=1,$G$22,IF(N(Vintage_Input!Q87)&gt;0,IFERROR(Vintage_Input!AW87/Vintage_Input!AO87,""),""))</f>
        <v/>
      </c>
      <c r="AP138" s="152">
        <f>IF($B138=1,$H$22,IF(N(Vintage_Input!R87)&gt;0,IFERROR(Vintage_Input!AX87/Vintage_Input!AP87,""),""))</f>
        <v/>
      </c>
      <c r="AQ138" s="152">
        <f>IF($B138=1,$I$22,IF(N(Vintage_Input!S87)&gt;0,IFERROR(Vintage_Input!AY87/Vintage_Input!AQ87,""),""))</f>
        <v/>
      </c>
      <c r="AR138" s="152">
        <f>IF($B138=1,$B$23,IF(N(Vintage_Input!L87)&gt;0,IFERROR(Vintage_Input!AZ87/$C138,""),""))</f>
        <v/>
      </c>
      <c r="AS138" s="152">
        <f>IF($B138=1,$C$23,IF(N(Vintage_Input!M87)&gt;0,IFERROR(Vintage_Input!BA87/$C138,""),""))</f>
        <v/>
      </c>
      <c r="AT138" s="152">
        <f>IF($B138=1,$D$23,IF(N(Vintage_Input!N87)&gt;0,IFERROR(Vintage_Input!BB87/$C138,""),""))</f>
        <v/>
      </c>
      <c r="AU138" s="152">
        <f>IF($B138=1,$E$23,IF(N(Vintage_Input!O87)&gt;0,IFERROR(Vintage_Input!BC87/$C138,""),""))</f>
        <v/>
      </c>
      <c r="AV138" s="152">
        <f>IF($B138=1,$F$23,IF(N(Vintage_Input!P87)&gt;0,IFERROR(Vintage_Input!BD87/$C138,""),""))</f>
        <v/>
      </c>
      <c r="AW138" s="152">
        <f>IF($B138=1,$G$23,IF(N(Vintage_Input!Q87)&gt;0,IFERROR(Vintage_Input!BE87/$C138,""),""))</f>
        <v/>
      </c>
      <c r="AX138" s="152">
        <f>IF($B138=1,$H$23,IF(N(Vintage_Input!R87)&gt;0,IFERROR(Vintage_Input!BF87/$C138,""),""))</f>
        <v/>
      </c>
      <c r="AY138" s="152">
        <f>IF($B138=1,$I$23,IF(N(Vintage_Input!S87)&gt;0,IFERROR(Vintage_Input!BG87/$C138,""),""))</f>
        <v/>
      </c>
      <c r="AZ138" s="153">
        <f>IF($B138=1,$B$24,IF(N(Vintage_Input!L87)&gt;0,IFERROR((Vintage_Input!D87+Vintage_Input!AR87)/$C138+Products!$D$14-(Products!$D$43+Products!$D$19+Products!$D$43*Products!$D$22+Products!$D$44),""),""))</f>
        <v/>
      </c>
      <c r="BA138" s="153">
        <f>IF($B138=1,$C$24,IF(N(Vintage_Input!M87)&gt;0,IFERROR((Vintage_Input!E87+Vintage_Input!AS87)/$C138+Products!$D$14-(Products!$D$43+Products!$D$19+Products!$D$43*Products!$D$22+Products!$D$44),""),""))</f>
        <v/>
      </c>
      <c r="BB138" s="153">
        <f>IF($B138=1,$D$24,IF(N(Vintage_Input!N87)&gt;0,IFERROR((Vintage_Input!F87+Vintage_Input!AT87)/$C138+Products!$D$14-(Products!$D$43+Products!$D$19+Products!$D$43*Products!$D$22+Products!$D$44),""),""))</f>
        <v/>
      </c>
      <c r="BC138" s="153">
        <f>IF($B138=1,$E$24,IF(N(Vintage_Input!O87)&gt;0,IFERROR((Vintage_Input!G87+Vintage_Input!AU87)/$C138+Products!$D$14-(Products!$D$43+Products!$D$19+Products!$D$43*Products!$D$22+Products!$D$44),""),""))</f>
        <v/>
      </c>
      <c r="BD138" s="153">
        <f>IF($B138=1,$F$24,IF(N(Vintage_Input!P87)&gt;0,IFERROR((Vintage_Input!H87+Vintage_Input!AV87)/$C138+Products!$D$14-(Products!$D$43+Products!$D$19+Products!$D$43*Products!$D$22+Products!$D$44),""),""))</f>
        <v/>
      </c>
      <c r="BE138" s="153">
        <f>IF($B138=1,$G$24,IF(N(Vintage_Input!Q87)&gt;0,IFERROR((Vintage_Input!I87+Vintage_Input!AW87)/$C138+Products!$D$14-(Products!$D$43+Products!$D$19+Products!$D$43*Products!$D$22+Products!$D$44),""),""))</f>
        <v/>
      </c>
      <c r="BF138" s="153">
        <f>IF($B138=1,$H$24,IF(N(Vintage_Input!R87)&gt;0,IFERROR((Vintage_Input!J87+Vintage_Input!AX87)/$C138+Products!$D$14-(Products!$D$43+Products!$D$19+Products!$D$43*Products!$D$22+Products!$D$44),""),""))</f>
        <v/>
      </c>
      <c r="BG138" s="153">
        <f>IF($B138=1,$I$24,IF(N(Vintage_Input!S87)&gt;0,IFERROR((Vintage_Input!K87+Vintage_Input!AY87)/$C138+Products!$D$14-(Products!$D$43+Products!$D$19+Products!$D$43*Products!$D$22+Products!$D$44),""),""))</f>
        <v/>
      </c>
      <c r="BH138" s="81">
        <f>IF($B138=1,0,IF(Vintage_Input!$BH$87="","",Vintage_Input!$BH$87))</f>
        <v/>
      </c>
    </row>
    <row r="139">
      <c r="A139" s="23" t="n">
        <v>15</v>
      </c>
      <c r="B139" s="48">
        <f>Vintage_Input!$B$88</f>
        <v/>
      </c>
      <c r="C139" s="41">
        <f>IF(Vintage_Input!$C$88="",0,Vintage_Input!$C$88)</f>
        <v/>
      </c>
      <c r="D139" s="152">
        <f>IF($B139=1,$B$18,IF(N(Vintage_Input!L88)&gt;0,Vintage_Input!D88/Vintage_Input!L88,""))</f>
        <v/>
      </c>
      <c r="E139" s="152">
        <f>IF($B139=1,$C$18,IF(N(Vintage_Input!M88)&gt;0,Vintage_Input!E88/Vintage_Input!M88,""))</f>
        <v/>
      </c>
      <c r="F139" s="152">
        <f>IF($B139=1,$D$18,IF(N(Vintage_Input!N88)&gt;0,Vintage_Input!F88/Vintage_Input!N88,""))</f>
        <v/>
      </c>
      <c r="G139" s="152">
        <f>IF($B139=1,$E$18,IF(N(Vintage_Input!O88)&gt;0,Vintage_Input!G88/Vintage_Input!O88,""))</f>
        <v/>
      </c>
      <c r="H139" s="152">
        <f>IF($B139=1,$F$18,IF(N(Vintage_Input!P88)&gt;0,Vintage_Input!H88/Vintage_Input!P88,""))</f>
        <v/>
      </c>
      <c r="I139" s="152">
        <f>IF($B139=1,$G$18,IF(N(Vintage_Input!Q88)&gt;0,Vintage_Input!I88/Vintage_Input!Q88,""))</f>
        <v/>
      </c>
      <c r="J139" s="152">
        <f>IF($B139=1,$H$18,IF(N(Vintage_Input!R88)&gt;0,Vintage_Input!J88/Vintage_Input!R88,""))</f>
        <v/>
      </c>
      <c r="K139" s="152">
        <f>IF($B139=1,$I$18,IF(N(Vintage_Input!S88)&gt;0,Vintage_Input!K88/Vintage_Input!S88,""))</f>
        <v/>
      </c>
      <c r="L139" s="152">
        <f>IF($B139=1,$B$19,IF(N(Vintage_Input!L88)&gt;0,Vintage_Input!T88/Vintage_Input!L88,""))</f>
        <v/>
      </c>
      <c r="M139" s="152">
        <f>IF($B139=1,$C$19,IF(N(Vintage_Input!M88)&gt;0,Vintage_Input!U88/Vintage_Input!M88,""))</f>
        <v/>
      </c>
      <c r="N139" s="152">
        <f>IF($B139=1,$D$19,IF(N(Vintage_Input!N88)&gt;0,Vintage_Input!V88/Vintage_Input!N88,""))</f>
        <v/>
      </c>
      <c r="O139" s="152">
        <f>IF($B139=1,$E$19,IF(N(Vintage_Input!O88)&gt;0,Vintage_Input!W88/Vintage_Input!O88,""))</f>
        <v/>
      </c>
      <c r="P139" s="152">
        <f>IF($B139=1,$F$19,IF(N(Vintage_Input!P88)&gt;0,Vintage_Input!X88/Vintage_Input!P88,""))</f>
        <v/>
      </c>
      <c r="Q139" s="152">
        <f>IF($B139=1,$G$19,IF(N(Vintage_Input!Q88)&gt;0,Vintage_Input!Y88/Vintage_Input!Q88,""))</f>
        <v/>
      </c>
      <c r="R139" s="152">
        <f>IF($B139=1,$H$19,IF(N(Vintage_Input!R88)&gt;0,Vintage_Input!Z88/Vintage_Input!R88,""))</f>
        <v/>
      </c>
      <c r="S139" s="152">
        <f>IF($B139=1,$I$19,IF(N(Vintage_Input!S88)&gt;0,Vintage_Input!AA88/Vintage_Input!S88,""))</f>
        <v/>
      </c>
      <c r="T139" s="152">
        <f>IF($B139=1,$B$20,IF(N(Vintage_Input!L88)&gt;0,Vintage_Input!AB88/Vintage_Input!L88,""))</f>
        <v/>
      </c>
      <c r="U139" s="152">
        <f>IF($B139=1,$C$20,IF(N(Vintage_Input!M88)&gt;0,Vintage_Input!AC88/Vintage_Input!M88,""))</f>
        <v/>
      </c>
      <c r="V139" s="152">
        <f>IF($B139=1,$D$20,IF(N(Vintage_Input!N88)&gt;0,Vintage_Input!AD88/Vintage_Input!N88,""))</f>
        <v/>
      </c>
      <c r="W139" s="152">
        <f>IF($B139=1,$E$20,IF(N(Vintage_Input!O88)&gt;0,Vintage_Input!AE88/Vintage_Input!O88,""))</f>
        <v/>
      </c>
      <c r="X139" s="152">
        <f>IF($B139=1,$F$20,IF(N(Vintage_Input!P88)&gt;0,Vintage_Input!AF88/Vintage_Input!P88,""))</f>
        <v/>
      </c>
      <c r="Y139" s="152">
        <f>IF($B139=1,$G$20,IF(N(Vintage_Input!Q88)&gt;0,Vintage_Input!AG88/Vintage_Input!Q88,""))</f>
        <v/>
      </c>
      <c r="Z139" s="152">
        <f>IF($B139=1,$H$20,IF(N(Vintage_Input!R88)&gt;0,Vintage_Input!AH88/Vintage_Input!R88,""))</f>
        <v/>
      </c>
      <c r="AA139" s="152">
        <f>IF($B139=1,$I$20,IF(N(Vintage_Input!S88)&gt;0,Vintage_Input!AI88/Vintage_Input!S88,""))</f>
        <v/>
      </c>
      <c r="AB139" s="152">
        <f>IF($B139=1,$B$21,IF(N(Vintage_Input!L88)&gt;0,Vintage_Input!AJ88/Vintage_Input!L88,""))</f>
        <v/>
      </c>
      <c r="AC139" s="152">
        <f>IF($B139=1,$C$21,IF(N(Vintage_Input!M88)&gt;0,Vintage_Input!AK88/Vintage_Input!M88,""))</f>
        <v/>
      </c>
      <c r="AD139" s="152">
        <f>IF($B139=1,$D$21,IF(N(Vintage_Input!N88)&gt;0,Vintage_Input!AL88/Vintage_Input!N88,""))</f>
        <v/>
      </c>
      <c r="AE139" s="152">
        <f>IF($B139=1,$E$21,IF(N(Vintage_Input!O88)&gt;0,Vintage_Input!AM88/Vintage_Input!O88,""))</f>
        <v/>
      </c>
      <c r="AF139" s="152">
        <f>IF($B139=1,$F$21,IF(N(Vintage_Input!P88)&gt;0,Vintage_Input!AN88/Vintage_Input!P88,""))</f>
        <v/>
      </c>
      <c r="AG139" s="152">
        <f>IF($B139=1,$G$21,IF(N(Vintage_Input!Q88)&gt;0,Vintage_Input!AO88/Vintage_Input!Q88,""))</f>
        <v/>
      </c>
      <c r="AH139" s="152">
        <f>IF($B139=1,$H$21,IF(N(Vintage_Input!R88)&gt;0,Vintage_Input!AP88/Vintage_Input!R88,""))</f>
        <v/>
      </c>
      <c r="AI139" s="152">
        <f>IF($B139=1,$I$21,IF(N(Vintage_Input!S88)&gt;0,Vintage_Input!AQ88/Vintage_Input!S88,""))</f>
        <v/>
      </c>
      <c r="AJ139" s="152">
        <f>IF($B139=1,$B$22,IF(N(Vintage_Input!L88)&gt;0,IFERROR(Vintage_Input!AR88/Vintage_Input!AJ88,""),""))</f>
        <v/>
      </c>
      <c r="AK139" s="152">
        <f>IF($B139=1,$C$22,IF(N(Vintage_Input!M88)&gt;0,IFERROR(Vintage_Input!AS88/Vintage_Input!AK88,""),""))</f>
        <v/>
      </c>
      <c r="AL139" s="152">
        <f>IF($B139=1,$D$22,IF(N(Vintage_Input!N88)&gt;0,IFERROR(Vintage_Input!AT88/Vintage_Input!AL88,""),""))</f>
        <v/>
      </c>
      <c r="AM139" s="152">
        <f>IF($B139=1,$E$22,IF(N(Vintage_Input!O88)&gt;0,IFERROR(Vintage_Input!AU88/Vintage_Input!AM88,""),""))</f>
        <v/>
      </c>
      <c r="AN139" s="152">
        <f>IF($B139=1,$F$22,IF(N(Vintage_Input!P88)&gt;0,IFERROR(Vintage_Input!AV88/Vintage_Input!AN88,""),""))</f>
        <v/>
      </c>
      <c r="AO139" s="152">
        <f>IF($B139=1,$G$22,IF(N(Vintage_Input!Q88)&gt;0,IFERROR(Vintage_Input!AW88/Vintage_Input!AO88,""),""))</f>
        <v/>
      </c>
      <c r="AP139" s="152">
        <f>IF($B139=1,$H$22,IF(N(Vintage_Input!R88)&gt;0,IFERROR(Vintage_Input!AX88/Vintage_Input!AP88,""),""))</f>
        <v/>
      </c>
      <c r="AQ139" s="152">
        <f>IF($B139=1,$I$22,IF(N(Vintage_Input!S88)&gt;0,IFERROR(Vintage_Input!AY88/Vintage_Input!AQ88,""),""))</f>
        <v/>
      </c>
      <c r="AR139" s="152">
        <f>IF($B139=1,$B$23,IF(N(Vintage_Input!L88)&gt;0,IFERROR(Vintage_Input!AZ88/$C139,""),""))</f>
        <v/>
      </c>
      <c r="AS139" s="152">
        <f>IF($B139=1,$C$23,IF(N(Vintage_Input!M88)&gt;0,IFERROR(Vintage_Input!BA88/$C139,""),""))</f>
        <v/>
      </c>
      <c r="AT139" s="152">
        <f>IF($B139=1,$D$23,IF(N(Vintage_Input!N88)&gt;0,IFERROR(Vintage_Input!BB88/$C139,""),""))</f>
        <v/>
      </c>
      <c r="AU139" s="152">
        <f>IF($B139=1,$E$23,IF(N(Vintage_Input!O88)&gt;0,IFERROR(Vintage_Input!BC88/$C139,""),""))</f>
        <v/>
      </c>
      <c r="AV139" s="152">
        <f>IF($B139=1,$F$23,IF(N(Vintage_Input!P88)&gt;0,IFERROR(Vintage_Input!BD88/$C139,""),""))</f>
        <v/>
      </c>
      <c r="AW139" s="152">
        <f>IF($B139=1,$G$23,IF(N(Vintage_Input!Q88)&gt;0,IFERROR(Vintage_Input!BE88/$C139,""),""))</f>
        <v/>
      </c>
      <c r="AX139" s="152">
        <f>IF($B139=1,$H$23,IF(N(Vintage_Input!R88)&gt;0,IFERROR(Vintage_Input!BF88/$C139,""),""))</f>
        <v/>
      </c>
      <c r="AY139" s="152">
        <f>IF($B139=1,$I$23,IF(N(Vintage_Input!S88)&gt;0,IFERROR(Vintage_Input!BG88/$C139,""),""))</f>
        <v/>
      </c>
      <c r="AZ139" s="153">
        <f>IF($B139=1,$B$24,IF(N(Vintage_Input!L88)&gt;0,IFERROR((Vintage_Input!D88+Vintage_Input!AR88)/$C139+Products!$D$14-(Products!$D$43+Products!$D$19+Products!$D$43*Products!$D$22+Products!$D$44),""),""))</f>
        <v/>
      </c>
      <c r="BA139" s="153">
        <f>IF($B139=1,$C$24,IF(N(Vintage_Input!M88)&gt;0,IFERROR((Vintage_Input!E88+Vintage_Input!AS88)/$C139+Products!$D$14-(Products!$D$43+Products!$D$19+Products!$D$43*Products!$D$22+Products!$D$44),""),""))</f>
        <v/>
      </c>
      <c r="BB139" s="153">
        <f>IF($B139=1,$D$24,IF(N(Vintage_Input!N88)&gt;0,IFERROR((Vintage_Input!F88+Vintage_Input!AT88)/$C139+Products!$D$14-(Products!$D$43+Products!$D$19+Products!$D$43*Products!$D$22+Products!$D$44),""),""))</f>
        <v/>
      </c>
      <c r="BC139" s="153">
        <f>IF($B139=1,$E$24,IF(N(Vintage_Input!O88)&gt;0,IFERROR((Vintage_Input!G88+Vintage_Input!AU88)/$C139+Products!$D$14-(Products!$D$43+Products!$D$19+Products!$D$43*Products!$D$22+Products!$D$44),""),""))</f>
        <v/>
      </c>
      <c r="BD139" s="153">
        <f>IF($B139=1,$F$24,IF(N(Vintage_Input!P88)&gt;0,IFERROR((Vintage_Input!H88+Vintage_Input!AV88)/$C139+Products!$D$14-(Products!$D$43+Products!$D$19+Products!$D$43*Products!$D$22+Products!$D$44),""),""))</f>
        <v/>
      </c>
      <c r="BE139" s="153">
        <f>IF($B139=1,$G$24,IF(N(Vintage_Input!Q88)&gt;0,IFERROR((Vintage_Input!I88+Vintage_Input!AW88)/$C139+Products!$D$14-(Products!$D$43+Products!$D$19+Products!$D$43*Products!$D$22+Products!$D$44),""),""))</f>
        <v/>
      </c>
      <c r="BF139" s="153">
        <f>IF($B139=1,$H$24,IF(N(Vintage_Input!R88)&gt;0,IFERROR((Vintage_Input!J88+Vintage_Input!AX88)/$C139+Products!$D$14-(Products!$D$43+Products!$D$19+Products!$D$43*Products!$D$22+Products!$D$44),""),""))</f>
        <v/>
      </c>
      <c r="BG139" s="153">
        <f>IF($B139=1,$I$24,IF(N(Vintage_Input!S88)&gt;0,IFERROR((Vintage_Input!K88+Vintage_Input!AY88)/$C139+Products!$D$14-(Products!$D$43+Products!$D$19+Products!$D$43*Products!$D$22+Products!$D$44),""),""))</f>
        <v/>
      </c>
      <c r="BH139" s="81">
        <f>IF($B139=1,0,IF(Vintage_Input!$BH$88="","",Vintage_Input!$BH$88))</f>
        <v/>
      </c>
    </row>
    <row r="140">
      <c r="A140" s="23" t="n">
        <v>16</v>
      </c>
      <c r="B140" s="48">
        <f>Vintage_Input!$B$89</f>
        <v/>
      </c>
      <c r="C140" s="41">
        <f>IF(Vintage_Input!$C$89="",0,Vintage_Input!$C$89)</f>
        <v/>
      </c>
      <c r="D140" s="152">
        <f>IF($B140=1,$B$18,IF(N(Vintage_Input!L89)&gt;0,Vintage_Input!D89/Vintage_Input!L89,""))</f>
        <v/>
      </c>
      <c r="E140" s="152">
        <f>IF($B140=1,$C$18,IF(N(Vintage_Input!M89)&gt;0,Vintage_Input!E89/Vintage_Input!M89,""))</f>
        <v/>
      </c>
      <c r="F140" s="152">
        <f>IF($B140=1,$D$18,IF(N(Vintage_Input!N89)&gt;0,Vintage_Input!F89/Vintage_Input!N89,""))</f>
        <v/>
      </c>
      <c r="G140" s="152">
        <f>IF($B140=1,$E$18,IF(N(Vintage_Input!O89)&gt;0,Vintage_Input!G89/Vintage_Input!O89,""))</f>
        <v/>
      </c>
      <c r="H140" s="152">
        <f>IF($B140=1,$F$18,IF(N(Vintage_Input!P89)&gt;0,Vintage_Input!H89/Vintage_Input!P89,""))</f>
        <v/>
      </c>
      <c r="I140" s="152">
        <f>IF($B140=1,$G$18,IF(N(Vintage_Input!Q89)&gt;0,Vintage_Input!I89/Vintage_Input!Q89,""))</f>
        <v/>
      </c>
      <c r="J140" s="152">
        <f>IF($B140=1,$H$18,IF(N(Vintage_Input!R89)&gt;0,Vintage_Input!J89/Vintage_Input!R89,""))</f>
        <v/>
      </c>
      <c r="K140" s="152">
        <f>IF($B140=1,$I$18,IF(N(Vintage_Input!S89)&gt;0,Vintage_Input!K89/Vintage_Input!S89,""))</f>
        <v/>
      </c>
      <c r="L140" s="152">
        <f>IF($B140=1,$B$19,IF(N(Vintage_Input!L89)&gt;0,Vintage_Input!T89/Vintage_Input!L89,""))</f>
        <v/>
      </c>
      <c r="M140" s="152">
        <f>IF($B140=1,$C$19,IF(N(Vintage_Input!M89)&gt;0,Vintage_Input!U89/Vintage_Input!M89,""))</f>
        <v/>
      </c>
      <c r="N140" s="152">
        <f>IF($B140=1,$D$19,IF(N(Vintage_Input!N89)&gt;0,Vintage_Input!V89/Vintage_Input!N89,""))</f>
        <v/>
      </c>
      <c r="O140" s="152">
        <f>IF($B140=1,$E$19,IF(N(Vintage_Input!O89)&gt;0,Vintage_Input!W89/Vintage_Input!O89,""))</f>
        <v/>
      </c>
      <c r="P140" s="152">
        <f>IF($B140=1,$F$19,IF(N(Vintage_Input!P89)&gt;0,Vintage_Input!X89/Vintage_Input!P89,""))</f>
        <v/>
      </c>
      <c r="Q140" s="152">
        <f>IF($B140=1,$G$19,IF(N(Vintage_Input!Q89)&gt;0,Vintage_Input!Y89/Vintage_Input!Q89,""))</f>
        <v/>
      </c>
      <c r="R140" s="152">
        <f>IF($B140=1,$H$19,IF(N(Vintage_Input!R89)&gt;0,Vintage_Input!Z89/Vintage_Input!R89,""))</f>
        <v/>
      </c>
      <c r="S140" s="152">
        <f>IF($B140=1,$I$19,IF(N(Vintage_Input!S89)&gt;0,Vintage_Input!AA89/Vintage_Input!S89,""))</f>
        <v/>
      </c>
      <c r="T140" s="152">
        <f>IF($B140=1,$B$20,IF(N(Vintage_Input!L89)&gt;0,Vintage_Input!AB89/Vintage_Input!L89,""))</f>
        <v/>
      </c>
      <c r="U140" s="152">
        <f>IF($B140=1,$C$20,IF(N(Vintage_Input!M89)&gt;0,Vintage_Input!AC89/Vintage_Input!M89,""))</f>
        <v/>
      </c>
      <c r="V140" s="152">
        <f>IF($B140=1,$D$20,IF(N(Vintage_Input!N89)&gt;0,Vintage_Input!AD89/Vintage_Input!N89,""))</f>
        <v/>
      </c>
      <c r="W140" s="152">
        <f>IF($B140=1,$E$20,IF(N(Vintage_Input!O89)&gt;0,Vintage_Input!AE89/Vintage_Input!O89,""))</f>
        <v/>
      </c>
      <c r="X140" s="152">
        <f>IF($B140=1,$F$20,IF(N(Vintage_Input!P89)&gt;0,Vintage_Input!AF89/Vintage_Input!P89,""))</f>
        <v/>
      </c>
      <c r="Y140" s="152">
        <f>IF($B140=1,$G$20,IF(N(Vintage_Input!Q89)&gt;0,Vintage_Input!AG89/Vintage_Input!Q89,""))</f>
        <v/>
      </c>
      <c r="Z140" s="152">
        <f>IF($B140=1,$H$20,IF(N(Vintage_Input!R89)&gt;0,Vintage_Input!AH89/Vintage_Input!R89,""))</f>
        <v/>
      </c>
      <c r="AA140" s="152">
        <f>IF($B140=1,$I$20,IF(N(Vintage_Input!S89)&gt;0,Vintage_Input!AI89/Vintage_Input!S89,""))</f>
        <v/>
      </c>
      <c r="AB140" s="152">
        <f>IF($B140=1,$B$21,IF(N(Vintage_Input!L89)&gt;0,Vintage_Input!AJ89/Vintage_Input!L89,""))</f>
        <v/>
      </c>
      <c r="AC140" s="152">
        <f>IF($B140=1,$C$21,IF(N(Vintage_Input!M89)&gt;0,Vintage_Input!AK89/Vintage_Input!M89,""))</f>
        <v/>
      </c>
      <c r="AD140" s="152">
        <f>IF($B140=1,$D$21,IF(N(Vintage_Input!N89)&gt;0,Vintage_Input!AL89/Vintage_Input!N89,""))</f>
        <v/>
      </c>
      <c r="AE140" s="152">
        <f>IF($B140=1,$E$21,IF(N(Vintage_Input!O89)&gt;0,Vintage_Input!AM89/Vintage_Input!O89,""))</f>
        <v/>
      </c>
      <c r="AF140" s="152">
        <f>IF($B140=1,$F$21,IF(N(Vintage_Input!P89)&gt;0,Vintage_Input!AN89/Vintage_Input!P89,""))</f>
        <v/>
      </c>
      <c r="AG140" s="152">
        <f>IF($B140=1,$G$21,IF(N(Vintage_Input!Q89)&gt;0,Vintage_Input!AO89/Vintage_Input!Q89,""))</f>
        <v/>
      </c>
      <c r="AH140" s="152">
        <f>IF($B140=1,$H$21,IF(N(Vintage_Input!R89)&gt;0,Vintage_Input!AP89/Vintage_Input!R89,""))</f>
        <v/>
      </c>
      <c r="AI140" s="152">
        <f>IF($B140=1,$I$21,IF(N(Vintage_Input!S89)&gt;0,Vintage_Input!AQ89/Vintage_Input!S89,""))</f>
        <v/>
      </c>
      <c r="AJ140" s="152">
        <f>IF($B140=1,$B$22,IF(N(Vintage_Input!L89)&gt;0,IFERROR(Vintage_Input!AR89/Vintage_Input!AJ89,""),""))</f>
        <v/>
      </c>
      <c r="AK140" s="152">
        <f>IF($B140=1,$C$22,IF(N(Vintage_Input!M89)&gt;0,IFERROR(Vintage_Input!AS89/Vintage_Input!AK89,""),""))</f>
        <v/>
      </c>
      <c r="AL140" s="152">
        <f>IF($B140=1,$D$22,IF(N(Vintage_Input!N89)&gt;0,IFERROR(Vintage_Input!AT89/Vintage_Input!AL89,""),""))</f>
        <v/>
      </c>
      <c r="AM140" s="152">
        <f>IF($B140=1,$E$22,IF(N(Vintage_Input!O89)&gt;0,IFERROR(Vintage_Input!AU89/Vintage_Input!AM89,""),""))</f>
        <v/>
      </c>
      <c r="AN140" s="152">
        <f>IF($B140=1,$F$22,IF(N(Vintage_Input!P89)&gt;0,IFERROR(Vintage_Input!AV89/Vintage_Input!AN89,""),""))</f>
        <v/>
      </c>
      <c r="AO140" s="152">
        <f>IF($B140=1,$G$22,IF(N(Vintage_Input!Q89)&gt;0,IFERROR(Vintage_Input!AW89/Vintage_Input!AO89,""),""))</f>
        <v/>
      </c>
      <c r="AP140" s="152">
        <f>IF($B140=1,$H$22,IF(N(Vintage_Input!R89)&gt;0,IFERROR(Vintage_Input!AX89/Vintage_Input!AP89,""),""))</f>
        <v/>
      </c>
      <c r="AQ140" s="152">
        <f>IF($B140=1,$I$22,IF(N(Vintage_Input!S89)&gt;0,IFERROR(Vintage_Input!AY89/Vintage_Input!AQ89,""),""))</f>
        <v/>
      </c>
      <c r="AR140" s="152">
        <f>IF($B140=1,$B$23,IF(N(Vintage_Input!L89)&gt;0,IFERROR(Vintage_Input!AZ89/$C140,""),""))</f>
        <v/>
      </c>
      <c r="AS140" s="152">
        <f>IF($B140=1,$C$23,IF(N(Vintage_Input!M89)&gt;0,IFERROR(Vintage_Input!BA89/$C140,""),""))</f>
        <v/>
      </c>
      <c r="AT140" s="152">
        <f>IF($B140=1,$D$23,IF(N(Vintage_Input!N89)&gt;0,IFERROR(Vintage_Input!BB89/$C140,""),""))</f>
        <v/>
      </c>
      <c r="AU140" s="152">
        <f>IF($B140=1,$E$23,IF(N(Vintage_Input!O89)&gt;0,IFERROR(Vintage_Input!BC89/$C140,""),""))</f>
        <v/>
      </c>
      <c r="AV140" s="152">
        <f>IF($B140=1,$F$23,IF(N(Vintage_Input!P89)&gt;0,IFERROR(Vintage_Input!BD89/$C140,""),""))</f>
        <v/>
      </c>
      <c r="AW140" s="152">
        <f>IF($B140=1,$G$23,IF(N(Vintage_Input!Q89)&gt;0,IFERROR(Vintage_Input!BE89/$C140,""),""))</f>
        <v/>
      </c>
      <c r="AX140" s="152">
        <f>IF($B140=1,$H$23,IF(N(Vintage_Input!R89)&gt;0,IFERROR(Vintage_Input!BF89/$C140,""),""))</f>
        <v/>
      </c>
      <c r="AY140" s="152">
        <f>IF($B140=1,$I$23,IF(N(Vintage_Input!S89)&gt;0,IFERROR(Vintage_Input!BG89/$C140,""),""))</f>
        <v/>
      </c>
      <c r="AZ140" s="153">
        <f>IF($B140=1,$B$24,IF(N(Vintage_Input!L89)&gt;0,IFERROR((Vintage_Input!D89+Vintage_Input!AR89)/$C140+Products!$D$14-(Products!$D$43+Products!$D$19+Products!$D$43*Products!$D$22+Products!$D$44),""),""))</f>
        <v/>
      </c>
      <c r="BA140" s="153">
        <f>IF($B140=1,$C$24,IF(N(Vintage_Input!M89)&gt;0,IFERROR((Vintage_Input!E89+Vintage_Input!AS89)/$C140+Products!$D$14-(Products!$D$43+Products!$D$19+Products!$D$43*Products!$D$22+Products!$D$44),""),""))</f>
        <v/>
      </c>
      <c r="BB140" s="153">
        <f>IF($B140=1,$D$24,IF(N(Vintage_Input!N89)&gt;0,IFERROR((Vintage_Input!F89+Vintage_Input!AT89)/$C140+Products!$D$14-(Products!$D$43+Products!$D$19+Products!$D$43*Products!$D$22+Products!$D$44),""),""))</f>
        <v/>
      </c>
      <c r="BC140" s="153">
        <f>IF($B140=1,$E$24,IF(N(Vintage_Input!O89)&gt;0,IFERROR((Vintage_Input!G89+Vintage_Input!AU89)/$C140+Products!$D$14-(Products!$D$43+Products!$D$19+Products!$D$43*Products!$D$22+Products!$D$44),""),""))</f>
        <v/>
      </c>
      <c r="BD140" s="153">
        <f>IF($B140=1,$F$24,IF(N(Vintage_Input!P89)&gt;0,IFERROR((Vintage_Input!H89+Vintage_Input!AV89)/$C140+Products!$D$14-(Products!$D$43+Products!$D$19+Products!$D$43*Products!$D$22+Products!$D$44),""),""))</f>
        <v/>
      </c>
      <c r="BE140" s="153">
        <f>IF($B140=1,$G$24,IF(N(Vintage_Input!Q89)&gt;0,IFERROR((Vintage_Input!I89+Vintage_Input!AW89)/$C140+Products!$D$14-(Products!$D$43+Products!$D$19+Products!$D$43*Products!$D$22+Products!$D$44),""),""))</f>
        <v/>
      </c>
      <c r="BF140" s="153">
        <f>IF($B140=1,$H$24,IF(N(Vintage_Input!R89)&gt;0,IFERROR((Vintage_Input!J89+Vintage_Input!AX89)/$C140+Products!$D$14-(Products!$D$43+Products!$D$19+Products!$D$43*Products!$D$22+Products!$D$44),""),""))</f>
        <v/>
      </c>
      <c r="BG140" s="153">
        <f>IF($B140=1,$I$24,IF(N(Vintage_Input!S89)&gt;0,IFERROR((Vintage_Input!K89+Vintage_Input!AY89)/$C140+Products!$D$14-(Products!$D$43+Products!$D$19+Products!$D$43*Products!$D$22+Products!$D$44),""),""))</f>
        <v/>
      </c>
      <c r="BH140" s="81">
        <f>IF($B140=1,0,IF(Vintage_Input!$BH$89="","",Vintage_Input!$BH$89))</f>
        <v/>
      </c>
    </row>
    <row r="141">
      <c r="A141" s="23" t="n">
        <v>17</v>
      </c>
      <c r="B141" s="48">
        <f>Vintage_Input!$B$90</f>
        <v/>
      </c>
      <c r="C141" s="41">
        <f>IF(Vintage_Input!$C$90="",0,Vintage_Input!$C$90)</f>
        <v/>
      </c>
      <c r="D141" s="152">
        <f>IF($B141=1,$B$18,IF(N(Vintage_Input!L90)&gt;0,Vintage_Input!D90/Vintage_Input!L90,""))</f>
        <v/>
      </c>
      <c r="E141" s="152">
        <f>IF($B141=1,$C$18,IF(N(Vintage_Input!M90)&gt;0,Vintage_Input!E90/Vintage_Input!M90,""))</f>
        <v/>
      </c>
      <c r="F141" s="152">
        <f>IF($B141=1,$D$18,IF(N(Vintage_Input!N90)&gt;0,Vintage_Input!F90/Vintage_Input!N90,""))</f>
        <v/>
      </c>
      <c r="G141" s="152">
        <f>IF($B141=1,$E$18,IF(N(Vintage_Input!O90)&gt;0,Vintage_Input!G90/Vintage_Input!O90,""))</f>
        <v/>
      </c>
      <c r="H141" s="152">
        <f>IF($B141=1,$F$18,IF(N(Vintage_Input!P90)&gt;0,Vintage_Input!H90/Vintage_Input!P90,""))</f>
        <v/>
      </c>
      <c r="I141" s="152">
        <f>IF($B141=1,$G$18,IF(N(Vintage_Input!Q90)&gt;0,Vintage_Input!I90/Vintage_Input!Q90,""))</f>
        <v/>
      </c>
      <c r="J141" s="152">
        <f>IF($B141=1,$H$18,IF(N(Vintage_Input!R90)&gt;0,Vintage_Input!J90/Vintage_Input!R90,""))</f>
        <v/>
      </c>
      <c r="K141" s="152">
        <f>IF($B141=1,$I$18,IF(N(Vintage_Input!S90)&gt;0,Vintage_Input!K90/Vintage_Input!S90,""))</f>
        <v/>
      </c>
      <c r="L141" s="152">
        <f>IF($B141=1,$B$19,IF(N(Vintage_Input!L90)&gt;0,Vintage_Input!T90/Vintage_Input!L90,""))</f>
        <v/>
      </c>
      <c r="M141" s="152">
        <f>IF($B141=1,$C$19,IF(N(Vintage_Input!M90)&gt;0,Vintage_Input!U90/Vintage_Input!M90,""))</f>
        <v/>
      </c>
      <c r="N141" s="152">
        <f>IF($B141=1,$D$19,IF(N(Vintage_Input!N90)&gt;0,Vintage_Input!V90/Vintage_Input!N90,""))</f>
        <v/>
      </c>
      <c r="O141" s="152">
        <f>IF($B141=1,$E$19,IF(N(Vintage_Input!O90)&gt;0,Vintage_Input!W90/Vintage_Input!O90,""))</f>
        <v/>
      </c>
      <c r="P141" s="152">
        <f>IF($B141=1,$F$19,IF(N(Vintage_Input!P90)&gt;0,Vintage_Input!X90/Vintage_Input!P90,""))</f>
        <v/>
      </c>
      <c r="Q141" s="152">
        <f>IF($B141=1,$G$19,IF(N(Vintage_Input!Q90)&gt;0,Vintage_Input!Y90/Vintage_Input!Q90,""))</f>
        <v/>
      </c>
      <c r="R141" s="152">
        <f>IF($B141=1,$H$19,IF(N(Vintage_Input!R90)&gt;0,Vintage_Input!Z90/Vintage_Input!R90,""))</f>
        <v/>
      </c>
      <c r="S141" s="152">
        <f>IF($B141=1,$I$19,IF(N(Vintage_Input!S90)&gt;0,Vintage_Input!AA90/Vintage_Input!S90,""))</f>
        <v/>
      </c>
      <c r="T141" s="152">
        <f>IF($B141=1,$B$20,IF(N(Vintage_Input!L90)&gt;0,Vintage_Input!AB90/Vintage_Input!L90,""))</f>
        <v/>
      </c>
      <c r="U141" s="152">
        <f>IF($B141=1,$C$20,IF(N(Vintage_Input!M90)&gt;0,Vintage_Input!AC90/Vintage_Input!M90,""))</f>
        <v/>
      </c>
      <c r="V141" s="152">
        <f>IF($B141=1,$D$20,IF(N(Vintage_Input!N90)&gt;0,Vintage_Input!AD90/Vintage_Input!N90,""))</f>
        <v/>
      </c>
      <c r="W141" s="152">
        <f>IF($B141=1,$E$20,IF(N(Vintage_Input!O90)&gt;0,Vintage_Input!AE90/Vintage_Input!O90,""))</f>
        <v/>
      </c>
      <c r="X141" s="152">
        <f>IF($B141=1,$F$20,IF(N(Vintage_Input!P90)&gt;0,Vintage_Input!AF90/Vintage_Input!P90,""))</f>
        <v/>
      </c>
      <c r="Y141" s="152">
        <f>IF($B141=1,$G$20,IF(N(Vintage_Input!Q90)&gt;0,Vintage_Input!AG90/Vintage_Input!Q90,""))</f>
        <v/>
      </c>
      <c r="Z141" s="152">
        <f>IF($B141=1,$H$20,IF(N(Vintage_Input!R90)&gt;0,Vintage_Input!AH90/Vintage_Input!R90,""))</f>
        <v/>
      </c>
      <c r="AA141" s="152">
        <f>IF($B141=1,$I$20,IF(N(Vintage_Input!S90)&gt;0,Vintage_Input!AI90/Vintage_Input!S90,""))</f>
        <v/>
      </c>
      <c r="AB141" s="152">
        <f>IF($B141=1,$B$21,IF(N(Vintage_Input!L90)&gt;0,Vintage_Input!AJ90/Vintage_Input!L90,""))</f>
        <v/>
      </c>
      <c r="AC141" s="152">
        <f>IF($B141=1,$C$21,IF(N(Vintage_Input!M90)&gt;0,Vintage_Input!AK90/Vintage_Input!M90,""))</f>
        <v/>
      </c>
      <c r="AD141" s="152">
        <f>IF($B141=1,$D$21,IF(N(Vintage_Input!N90)&gt;0,Vintage_Input!AL90/Vintage_Input!N90,""))</f>
        <v/>
      </c>
      <c r="AE141" s="152">
        <f>IF($B141=1,$E$21,IF(N(Vintage_Input!O90)&gt;0,Vintage_Input!AM90/Vintage_Input!O90,""))</f>
        <v/>
      </c>
      <c r="AF141" s="152">
        <f>IF($B141=1,$F$21,IF(N(Vintage_Input!P90)&gt;0,Vintage_Input!AN90/Vintage_Input!P90,""))</f>
        <v/>
      </c>
      <c r="AG141" s="152">
        <f>IF($B141=1,$G$21,IF(N(Vintage_Input!Q90)&gt;0,Vintage_Input!AO90/Vintage_Input!Q90,""))</f>
        <v/>
      </c>
      <c r="AH141" s="152">
        <f>IF($B141=1,$H$21,IF(N(Vintage_Input!R90)&gt;0,Vintage_Input!AP90/Vintage_Input!R90,""))</f>
        <v/>
      </c>
      <c r="AI141" s="152">
        <f>IF($B141=1,$I$21,IF(N(Vintage_Input!S90)&gt;0,Vintage_Input!AQ90/Vintage_Input!S90,""))</f>
        <v/>
      </c>
      <c r="AJ141" s="152">
        <f>IF($B141=1,$B$22,IF(N(Vintage_Input!L90)&gt;0,IFERROR(Vintage_Input!AR90/Vintage_Input!AJ90,""),""))</f>
        <v/>
      </c>
      <c r="AK141" s="152">
        <f>IF($B141=1,$C$22,IF(N(Vintage_Input!M90)&gt;0,IFERROR(Vintage_Input!AS90/Vintage_Input!AK90,""),""))</f>
        <v/>
      </c>
      <c r="AL141" s="152">
        <f>IF($B141=1,$D$22,IF(N(Vintage_Input!N90)&gt;0,IFERROR(Vintage_Input!AT90/Vintage_Input!AL90,""),""))</f>
        <v/>
      </c>
      <c r="AM141" s="152">
        <f>IF($B141=1,$E$22,IF(N(Vintage_Input!O90)&gt;0,IFERROR(Vintage_Input!AU90/Vintage_Input!AM90,""),""))</f>
        <v/>
      </c>
      <c r="AN141" s="152">
        <f>IF($B141=1,$F$22,IF(N(Vintage_Input!P90)&gt;0,IFERROR(Vintage_Input!AV90/Vintage_Input!AN90,""),""))</f>
        <v/>
      </c>
      <c r="AO141" s="152">
        <f>IF($B141=1,$G$22,IF(N(Vintage_Input!Q90)&gt;0,IFERROR(Vintage_Input!AW90/Vintage_Input!AO90,""),""))</f>
        <v/>
      </c>
      <c r="AP141" s="152">
        <f>IF($B141=1,$H$22,IF(N(Vintage_Input!R90)&gt;0,IFERROR(Vintage_Input!AX90/Vintage_Input!AP90,""),""))</f>
        <v/>
      </c>
      <c r="AQ141" s="152">
        <f>IF($B141=1,$I$22,IF(N(Vintage_Input!S90)&gt;0,IFERROR(Vintage_Input!AY90/Vintage_Input!AQ90,""),""))</f>
        <v/>
      </c>
      <c r="AR141" s="152">
        <f>IF($B141=1,$B$23,IF(N(Vintage_Input!L90)&gt;0,IFERROR(Vintage_Input!AZ90/$C141,""),""))</f>
        <v/>
      </c>
      <c r="AS141" s="152">
        <f>IF($B141=1,$C$23,IF(N(Vintage_Input!M90)&gt;0,IFERROR(Vintage_Input!BA90/$C141,""),""))</f>
        <v/>
      </c>
      <c r="AT141" s="152">
        <f>IF($B141=1,$D$23,IF(N(Vintage_Input!N90)&gt;0,IFERROR(Vintage_Input!BB90/$C141,""),""))</f>
        <v/>
      </c>
      <c r="AU141" s="152">
        <f>IF($B141=1,$E$23,IF(N(Vintage_Input!O90)&gt;0,IFERROR(Vintage_Input!BC90/$C141,""),""))</f>
        <v/>
      </c>
      <c r="AV141" s="152">
        <f>IF($B141=1,$F$23,IF(N(Vintage_Input!P90)&gt;0,IFERROR(Vintage_Input!BD90/$C141,""),""))</f>
        <v/>
      </c>
      <c r="AW141" s="152">
        <f>IF($B141=1,$G$23,IF(N(Vintage_Input!Q90)&gt;0,IFERROR(Vintage_Input!BE90/$C141,""),""))</f>
        <v/>
      </c>
      <c r="AX141" s="152">
        <f>IF($B141=1,$H$23,IF(N(Vintage_Input!R90)&gt;0,IFERROR(Vintage_Input!BF90/$C141,""),""))</f>
        <v/>
      </c>
      <c r="AY141" s="152">
        <f>IF($B141=1,$I$23,IF(N(Vintage_Input!S90)&gt;0,IFERROR(Vintage_Input!BG90/$C141,""),""))</f>
        <v/>
      </c>
      <c r="AZ141" s="153">
        <f>IF($B141=1,$B$24,IF(N(Vintage_Input!L90)&gt;0,IFERROR((Vintage_Input!D90+Vintage_Input!AR90)/$C141+Products!$D$14-(Products!$D$43+Products!$D$19+Products!$D$43*Products!$D$22+Products!$D$44),""),""))</f>
        <v/>
      </c>
      <c r="BA141" s="153">
        <f>IF($B141=1,$C$24,IF(N(Vintage_Input!M90)&gt;0,IFERROR((Vintage_Input!E90+Vintage_Input!AS90)/$C141+Products!$D$14-(Products!$D$43+Products!$D$19+Products!$D$43*Products!$D$22+Products!$D$44),""),""))</f>
        <v/>
      </c>
      <c r="BB141" s="153">
        <f>IF($B141=1,$D$24,IF(N(Vintage_Input!N90)&gt;0,IFERROR((Vintage_Input!F90+Vintage_Input!AT90)/$C141+Products!$D$14-(Products!$D$43+Products!$D$19+Products!$D$43*Products!$D$22+Products!$D$44),""),""))</f>
        <v/>
      </c>
      <c r="BC141" s="153">
        <f>IF($B141=1,$E$24,IF(N(Vintage_Input!O90)&gt;0,IFERROR((Vintage_Input!G90+Vintage_Input!AU90)/$C141+Products!$D$14-(Products!$D$43+Products!$D$19+Products!$D$43*Products!$D$22+Products!$D$44),""),""))</f>
        <v/>
      </c>
      <c r="BD141" s="153">
        <f>IF($B141=1,$F$24,IF(N(Vintage_Input!P90)&gt;0,IFERROR((Vintage_Input!H90+Vintage_Input!AV90)/$C141+Products!$D$14-(Products!$D$43+Products!$D$19+Products!$D$43*Products!$D$22+Products!$D$44),""),""))</f>
        <v/>
      </c>
      <c r="BE141" s="153">
        <f>IF($B141=1,$G$24,IF(N(Vintage_Input!Q90)&gt;0,IFERROR((Vintage_Input!I90+Vintage_Input!AW90)/$C141+Products!$D$14-(Products!$D$43+Products!$D$19+Products!$D$43*Products!$D$22+Products!$D$44),""),""))</f>
        <v/>
      </c>
      <c r="BF141" s="153">
        <f>IF($B141=1,$H$24,IF(N(Vintage_Input!R90)&gt;0,IFERROR((Vintage_Input!J90+Vintage_Input!AX90)/$C141+Products!$D$14-(Products!$D$43+Products!$D$19+Products!$D$43*Products!$D$22+Products!$D$44),""),""))</f>
        <v/>
      </c>
      <c r="BG141" s="153">
        <f>IF($B141=1,$I$24,IF(N(Vintage_Input!S90)&gt;0,IFERROR((Vintage_Input!K90+Vintage_Input!AY90)/$C141+Products!$D$14-(Products!$D$43+Products!$D$19+Products!$D$43*Products!$D$22+Products!$D$44),""),""))</f>
        <v/>
      </c>
      <c r="BH141" s="81">
        <f>IF($B141=1,0,IF(Vintage_Input!$BH$90="","",Vintage_Input!$BH$90))</f>
        <v/>
      </c>
    </row>
    <row r="142">
      <c r="A142" s="23" t="n">
        <v>18</v>
      </c>
      <c r="B142" s="48">
        <f>Vintage_Input!$B$91</f>
        <v/>
      </c>
      <c r="C142" s="41">
        <f>IF(Vintage_Input!$C$91="",0,Vintage_Input!$C$91)</f>
        <v/>
      </c>
      <c r="D142" s="152">
        <f>IF($B142=1,$B$18,IF(N(Vintage_Input!L91)&gt;0,Vintage_Input!D91/Vintage_Input!L91,""))</f>
        <v/>
      </c>
      <c r="E142" s="152">
        <f>IF($B142=1,$C$18,IF(N(Vintage_Input!M91)&gt;0,Vintage_Input!E91/Vintage_Input!M91,""))</f>
        <v/>
      </c>
      <c r="F142" s="152">
        <f>IF($B142=1,$D$18,IF(N(Vintage_Input!N91)&gt;0,Vintage_Input!F91/Vintage_Input!N91,""))</f>
        <v/>
      </c>
      <c r="G142" s="152">
        <f>IF($B142=1,$E$18,IF(N(Vintage_Input!O91)&gt;0,Vintage_Input!G91/Vintage_Input!O91,""))</f>
        <v/>
      </c>
      <c r="H142" s="152">
        <f>IF($B142=1,$F$18,IF(N(Vintage_Input!P91)&gt;0,Vintage_Input!H91/Vintage_Input!P91,""))</f>
        <v/>
      </c>
      <c r="I142" s="152">
        <f>IF($B142=1,$G$18,IF(N(Vintage_Input!Q91)&gt;0,Vintage_Input!I91/Vintage_Input!Q91,""))</f>
        <v/>
      </c>
      <c r="J142" s="152">
        <f>IF($B142=1,$H$18,IF(N(Vintage_Input!R91)&gt;0,Vintage_Input!J91/Vintage_Input!R91,""))</f>
        <v/>
      </c>
      <c r="K142" s="152">
        <f>IF($B142=1,$I$18,IF(N(Vintage_Input!S91)&gt;0,Vintage_Input!K91/Vintage_Input!S91,""))</f>
        <v/>
      </c>
      <c r="L142" s="152">
        <f>IF($B142=1,$B$19,IF(N(Vintage_Input!L91)&gt;0,Vintage_Input!T91/Vintage_Input!L91,""))</f>
        <v/>
      </c>
      <c r="M142" s="152">
        <f>IF($B142=1,$C$19,IF(N(Vintage_Input!M91)&gt;0,Vintage_Input!U91/Vintage_Input!M91,""))</f>
        <v/>
      </c>
      <c r="N142" s="152">
        <f>IF($B142=1,$D$19,IF(N(Vintage_Input!N91)&gt;0,Vintage_Input!V91/Vintage_Input!N91,""))</f>
        <v/>
      </c>
      <c r="O142" s="152">
        <f>IF($B142=1,$E$19,IF(N(Vintage_Input!O91)&gt;0,Vintage_Input!W91/Vintage_Input!O91,""))</f>
        <v/>
      </c>
      <c r="P142" s="152">
        <f>IF($B142=1,$F$19,IF(N(Vintage_Input!P91)&gt;0,Vintage_Input!X91/Vintage_Input!P91,""))</f>
        <v/>
      </c>
      <c r="Q142" s="152">
        <f>IF($B142=1,$G$19,IF(N(Vintage_Input!Q91)&gt;0,Vintage_Input!Y91/Vintage_Input!Q91,""))</f>
        <v/>
      </c>
      <c r="R142" s="152">
        <f>IF($B142=1,$H$19,IF(N(Vintage_Input!R91)&gt;0,Vintage_Input!Z91/Vintage_Input!R91,""))</f>
        <v/>
      </c>
      <c r="S142" s="152">
        <f>IF($B142=1,$I$19,IF(N(Vintage_Input!S91)&gt;0,Vintage_Input!AA91/Vintage_Input!S91,""))</f>
        <v/>
      </c>
      <c r="T142" s="152">
        <f>IF($B142=1,$B$20,IF(N(Vintage_Input!L91)&gt;0,Vintage_Input!AB91/Vintage_Input!L91,""))</f>
        <v/>
      </c>
      <c r="U142" s="152">
        <f>IF($B142=1,$C$20,IF(N(Vintage_Input!M91)&gt;0,Vintage_Input!AC91/Vintage_Input!M91,""))</f>
        <v/>
      </c>
      <c r="V142" s="152">
        <f>IF($B142=1,$D$20,IF(N(Vintage_Input!N91)&gt;0,Vintage_Input!AD91/Vintage_Input!N91,""))</f>
        <v/>
      </c>
      <c r="W142" s="152">
        <f>IF($B142=1,$E$20,IF(N(Vintage_Input!O91)&gt;0,Vintage_Input!AE91/Vintage_Input!O91,""))</f>
        <v/>
      </c>
      <c r="X142" s="152">
        <f>IF($B142=1,$F$20,IF(N(Vintage_Input!P91)&gt;0,Vintage_Input!AF91/Vintage_Input!P91,""))</f>
        <v/>
      </c>
      <c r="Y142" s="152">
        <f>IF($B142=1,$G$20,IF(N(Vintage_Input!Q91)&gt;0,Vintage_Input!AG91/Vintage_Input!Q91,""))</f>
        <v/>
      </c>
      <c r="Z142" s="152">
        <f>IF($B142=1,$H$20,IF(N(Vintage_Input!R91)&gt;0,Vintage_Input!AH91/Vintage_Input!R91,""))</f>
        <v/>
      </c>
      <c r="AA142" s="152">
        <f>IF($B142=1,$I$20,IF(N(Vintage_Input!S91)&gt;0,Vintage_Input!AI91/Vintage_Input!S91,""))</f>
        <v/>
      </c>
      <c r="AB142" s="152">
        <f>IF($B142=1,$B$21,IF(N(Vintage_Input!L91)&gt;0,Vintage_Input!AJ91/Vintage_Input!L91,""))</f>
        <v/>
      </c>
      <c r="AC142" s="152">
        <f>IF($B142=1,$C$21,IF(N(Vintage_Input!M91)&gt;0,Vintage_Input!AK91/Vintage_Input!M91,""))</f>
        <v/>
      </c>
      <c r="AD142" s="152">
        <f>IF($B142=1,$D$21,IF(N(Vintage_Input!N91)&gt;0,Vintage_Input!AL91/Vintage_Input!N91,""))</f>
        <v/>
      </c>
      <c r="AE142" s="152">
        <f>IF($B142=1,$E$21,IF(N(Vintage_Input!O91)&gt;0,Vintage_Input!AM91/Vintage_Input!O91,""))</f>
        <v/>
      </c>
      <c r="AF142" s="152">
        <f>IF($B142=1,$F$21,IF(N(Vintage_Input!P91)&gt;0,Vintage_Input!AN91/Vintage_Input!P91,""))</f>
        <v/>
      </c>
      <c r="AG142" s="152">
        <f>IF($B142=1,$G$21,IF(N(Vintage_Input!Q91)&gt;0,Vintage_Input!AO91/Vintage_Input!Q91,""))</f>
        <v/>
      </c>
      <c r="AH142" s="152">
        <f>IF($B142=1,$H$21,IF(N(Vintage_Input!R91)&gt;0,Vintage_Input!AP91/Vintage_Input!R91,""))</f>
        <v/>
      </c>
      <c r="AI142" s="152">
        <f>IF($B142=1,$I$21,IF(N(Vintage_Input!S91)&gt;0,Vintage_Input!AQ91/Vintage_Input!S91,""))</f>
        <v/>
      </c>
      <c r="AJ142" s="152">
        <f>IF($B142=1,$B$22,IF(N(Vintage_Input!L91)&gt;0,IFERROR(Vintage_Input!AR91/Vintage_Input!AJ91,""),""))</f>
        <v/>
      </c>
      <c r="AK142" s="152">
        <f>IF($B142=1,$C$22,IF(N(Vintage_Input!M91)&gt;0,IFERROR(Vintage_Input!AS91/Vintage_Input!AK91,""),""))</f>
        <v/>
      </c>
      <c r="AL142" s="152">
        <f>IF($B142=1,$D$22,IF(N(Vintage_Input!N91)&gt;0,IFERROR(Vintage_Input!AT91/Vintage_Input!AL91,""),""))</f>
        <v/>
      </c>
      <c r="AM142" s="152">
        <f>IF($B142=1,$E$22,IF(N(Vintage_Input!O91)&gt;0,IFERROR(Vintage_Input!AU91/Vintage_Input!AM91,""),""))</f>
        <v/>
      </c>
      <c r="AN142" s="152">
        <f>IF($B142=1,$F$22,IF(N(Vintage_Input!P91)&gt;0,IFERROR(Vintage_Input!AV91/Vintage_Input!AN91,""),""))</f>
        <v/>
      </c>
      <c r="AO142" s="152">
        <f>IF($B142=1,$G$22,IF(N(Vintage_Input!Q91)&gt;0,IFERROR(Vintage_Input!AW91/Vintage_Input!AO91,""),""))</f>
        <v/>
      </c>
      <c r="AP142" s="152">
        <f>IF($B142=1,$H$22,IF(N(Vintage_Input!R91)&gt;0,IFERROR(Vintage_Input!AX91/Vintage_Input!AP91,""),""))</f>
        <v/>
      </c>
      <c r="AQ142" s="152">
        <f>IF($B142=1,$I$22,IF(N(Vintage_Input!S91)&gt;0,IFERROR(Vintage_Input!AY91/Vintage_Input!AQ91,""),""))</f>
        <v/>
      </c>
      <c r="AR142" s="152">
        <f>IF($B142=1,$B$23,IF(N(Vintage_Input!L91)&gt;0,IFERROR(Vintage_Input!AZ91/$C142,""),""))</f>
        <v/>
      </c>
      <c r="AS142" s="152">
        <f>IF($B142=1,$C$23,IF(N(Vintage_Input!M91)&gt;0,IFERROR(Vintage_Input!BA91/$C142,""),""))</f>
        <v/>
      </c>
      <c r="AT142" s="152">
        <f>IF($B142=1,$D$23,IF(N(Vintage_Input!N91)&gt;0,IFERROR(Vintage_Input!BB91/$C142,""),""))</f>
        <v/>
      </c>
      <c r="AU142" s="152">
        <f>IF($B142=1,$E$23,IF(N(Vintage_Input!O91)&gt;0,IFERROR(Vintage_Input!BC91/$C142,""),""))</f>
        <v/>
      </c>
      <c r="AV142" s="152">
        <f>IF($B142=1,$F$23,IF(N(Vintage_Input!P91)&gt;0,IFERROR(Vintage_Input!BD91/$C142,""),""))</f>
        <v/>
      </c>
      <c r="AW142" s="152">
        <f>IF($B142=1,$G$23,IF(N(Vintage_Input!Q91)&gt;0,IFERROR(Vintage_Input!BE91/$C142,""),""))</f>
        <v/>
      </c>
      <c r="AX142" s="152">
        <f>IF($B142=1,$H$23,IF(N(Vintage_Input!R91)&gt;0,IFERROR(Vintage_Input!BF91/$C142,""),""))</f>
        <v/>
      </c>
      <c r="AY142" s="152">
        <f>IF($B142=1,$I$23,IF(N(Vintage_Input!S91)&gt;0,IFERROR(Vintage_Input!BG91/$C142,""),""))</f>
        <v/>
      </c>
      <c r="AZ142" s="153">
        <f>IF($B142=1,$B$24,IF(N(Vintage_Input!L91)&gt;0,IFERROR((Vintage_Input!D91+Vintage_Input!AR91)/$C142+Products!$D$14-(Products!$D$43+Products!$D$19+Products!$D$43*Products!$D$22+Products!$D$44),""),""))</f>
        <v/>
      </c>
      <c r="BA142" s="153">
        <f>IF($B142=1,$C$24,IF(N(Vintage_Input!M91)&gt;0,IFERROR((Vintage_Input!E91+Vintage_Input!AS91)/$C142+Products!$D$14-(Products!$D$43+Products!$D$19+Products!$D$43*Products!$D$22+Products!$D$44),""),""))</f>
        <v/>
      </c>
      <c r="BB142" s="153">
        <f>IF($B142=1,$D$24,IF(N(Vintage_Input!N91)&gt;0,IFERROR((Vintage_Input!F91+Vintage_Input!AT91)/$C142+Products!$D$14-(Products!$D$43+Products!$D$19+Products!$D$43*Products!$D$22+Products!$D$44),""),""))</f>
        <v/>
      </c>
      <c r="BC142" s="153">
        <f>IF($B142=1,$E$24,IF(N(Vintage_Input!O91)&gt;0,IFERROR((Vintage_Input!G91+Vintage_Input!AU91)/$C142+Products!$D$14-(Products!$D$43+Products!$D$19+Products!$D$43*Products!$D$22+Products!$D$44),""),""))</f>
        <v/>
      </c>
      <c r="BD142" s="153">
        <f>IF($B142=1,$F$24,IF(N(Vintage_Input!P91)&gt;0,IFERROR((Vintage_Input!H91+Vintage_Input!AV91)/$C142+Products!$D$14-(Products!$D$43+Products!$D$19+Products!$D$43*Products!$D$22+Products!$D$44),""),""))</f>
        <v/>
      </c>
      <c r="BE142" s="153">
        <f>IF($B142=1,$G$24,IF(N(Vintage_Input!Q91)&gt;0,IFERROR((Vintage_Input!I91+Vintage_Input!AW91)/$C142+Products!$D$14-(Products!$D$43+Products!$D$19+Products!$D$43*Products!$D$22+Products!$D$44),""),""))</f>
        <v/>
      </c>
      <c r="BF142" s="153">
        <f>IF($B142=1,$H$24,IF(N(Vintage_Input!R91)&gt;0,IFERROR((Vintage_Input!J91+Vintage_Input!AX91)/$C142+Products!$D$14-(Products!$D$43+Products!$D$19+Products!$D$43*Products!$D$22+Products!$D$44),""),""))</f>
        <v/>
      </c>
      <c r="BG142" s="153">
        <f>IF($B142=1,$I$24,IF(N(Vintage_Input!S91)&gt;0,IFERROR((Vintage_Input!K91+Vintage_Input!AY91)/$C142+Products!$D$14-(Products!$D$43+Products!$D$19+Products!$D$43*Products!$D$22+Products!$D$44),""),""))</f>
        <v/>
      </c>
      <c r="BH142" s="81">
        <f>IF($B142=1,0,IF(Vintage_Input!$BH$91="","",Vintage_Input!$BH$91))</f>
        <v/>
      </c>
    </row>
    <row r="143">
      <c r="A143" s="23" t="n">
        <v>19</v>
      </c>
      <c r="B143" s="48">
        <f>Vintage_Input!$B$92</f>
        <v/>
      </c>
      <c r="C143" s="41">
        <f>IF(Vintage_Input!$C$92="",0,Vintage_Input!$C$92)</f>
        <v/>
      </c>
      <c r="D143" s="152">
        <f>IF($B143=1,$B$18,IF(N(Vintage_Input!L92)&gt;0,Vintage_Input!D92/Vintage_Input!L92,""))</f>
        <v/>
      </c>
      <c r="E143" s="152">
        <f>IF($B143=1,$C$18,IF(N(Vintage_Input!M92)&gt;0,Vintage_Input!E92/Vintage_Input!M92,""))</f>
        <v/>
      </c>
      <c r="F143" s="152">
        <f>IF($B143=1,$D$18,IF(N(Vintage_Input!N92)&gt;0,Vintage_Input!F92/Vintage_Input!N92,""))</f>
        <v/>
      </c>
      <c r="G143" s="152">
        <f>IF($B143=1,$E$18,IF(N(Vintage_Input!O92)&gt;0,Vintage_Input!G92/Vintage_Input!O92,""))</f>
        <v/>
      </c>
      <c r="H143" s="152">
        <f>IF($B143=1,$F$18,IF(N(Vintage_Input!P92)&gt;0,Vintage_Input!H92/Vintage_Input!P92,""))</f>
        <v/>
      </c>
      <c r="I143" s="152">
        <f>IF($B143=1,$G$18,IF(N(Vintage_Input!Q92)&gt;0,Vintage_Input!I92/Vintage_Input!Q92,""))</f>
        <v/>
      </c>
      <c r="J143" s="152">
        <f>IF($B143=1,$H$18,IF(N(Vintage_Input!R92)&gt;0,Vintage_Input!J92/Vintage_Input!R92,""))</f>
        <v/>
      </c>
      <c r="K143" s="152">
        <f>IF($B143=1,$I$18,IF(N(Vintage_Input!S92)&gt;0,Vintage_Input!K92/Vintage_Input!S92,""))</f>
        <v/>
      </c>
      <c r="L143" s="152">
        <f>IF($B143=1,$B$19,IF(N(Vintage_Input!L92)&gt;0,Vintage_Input!T92/Vintage_Input!L92,""))</f>
        <v/>
      </c>
      <c r="M143" s="152">
        <f>IF($B143=1,$C$19,IF(N(Vintage_Input!M92)&gt;0,Vintage_Input!U92/Vintage_Input!M92,""))</f>
        <v/>
      </c>
      <c r="N143" s="152">
        <f>IF($B143=1,$D$19,IF(N(Vintage_Input!N92)&gt;0,Vintage_Input!V92/Vintage_Input!N92,""))</f>
        <v/>
      </c>
      <c r="O143" s="152">
        <f>IF($B143=1,$E$19,IF(N(Vintage_Input!O92)&gt;0,Vintage_Input!W92/Vintage_Input!O92,""))</f>
        <v/>
      </c>
      <c r="P143" s="152">
        <f>IF($B143=1,$F$19,IF(N(Vintage_Input!P92)&gt;0,Vintage_Input!X92/Vintage_Input!P92,""))</f>
        <v/>
      </c>
      <c r="Q143" s="152">
        <f>IF($B143=1,$G$19,IF(N(Vintage_Input!Q92)&gt;0,Vintage_Input!Y92/Vintage_Input!Q92,""))</f>
        <v/>
      </c>
      <c r="R143" s="152">
        <f>IF($B143=1,$H$19,IF(N(Vintage_Input!R92)&gt;0,Vintage_Input!Z92/Vintage_Input!R92,""))</f>
        <v/>
      </c>
      <c r="S143" s="152">
        <f>IF($B143=1,$I$19,IF(N(Vintage_Input!S92)&gt;0,Vintage_Input!AA92/Vintage_Input!S92,""))</f>
        <v/>
      </c>
      <c r="T143" s="152">
        <f>IF($B143=1,$B$20,IF(N(Vintage_Input!L92)&gt;0,Vintage_Input!AB92/Vintage_Input!L92,""))</f>
        <v/>
      </c>
      <c r="U143" s="152">
        <f>IF($B143=1,$C$20,IF(N(Vintage_Input!M92)&gt;0,Vintage_Input!AC92/Vintage_Input!M92,""))</f>
        <v/>
      </c>
      <c r="V143" s="152">
        <f>IF($B143=1,$D$20,IF(N(Vintage_Input!N92)&gt;0,Vintage_Input!AD92/Vintage_Input!N92,""))</f>
        <v/>
      </c>
      <c r="W143" s="152">
        <f>IF($B143=1,$E$20,IF(N(Vintage_Input!O92)&gt;0,Vintage_Input!AE92/Vintage_Input!O92,""))</f>
        <v/>
      </c>
      <c r="X143" s="152">
        <f>IF($B143=1,$F$20,IF(N(Vintage_Input!P92)&gt;0,Vintage_Input!AF92/Vintage_Input!P92,""))</f>
        <v/>
      </c>
      <c r="Y143" s="152">
        <f>IF($B143=1,$G$20,IF(N(Vintage_Input!Q92)&gt;0,Vintage_Input!AG92/Vintage_Input!Q92,""))</f>
        <v/>
      </c>
      <c r="Z143" s="152">
        <f>IF($B143=1,$H$20,IF(N(Vintage_Input!R92)&gt;0,Vintage_Input!AH92/Vintage_Input!R92,""))</f>
        <v/>
      </c>
      <c r="AA143" s="152">
        <f>IF($B143=1,$I$20,IF(N(Vintage_Input!S92)&gt;0,Vintage_Input!AI92/Vintage_Input!S92,""))</f>
        <v/>
      </c>
      <c r="AB143" s="152">
        <f>IF($B143=1,$B$21,IF(N(Vintage_Input!L92)&gt;0,Vintage_Input!AJ92/Vintage_Input!L92,""))</f>
        <v/>
      </c>
      <c r="AC143" s="152">
        <f>IF($B143=1,$C$21,IF(N(Vintage_Input!M92)&gt;0,Vintage_Input!AK92/Vintage_Input!M92,""))</f>
        <v/>
      </c>
      <c r="AD143" s="152">
        <f>IF($B143=1,$D$21,IF(N(Vintage_Input!N92)&gt;0,Vintage_Input!AL92/Vintage_Input!N92,""))</f>
        <v/>
      </c>
      <c r="AE143" s="152">
        <f>IF($B143=1,$E$21,IF(N(Vintage_Input!O92)&gt;0,Vintage_Input!AM92/Vintage_Input!O92,""))</f>
        <v/>
      </c>
      <c r="AF143" s="152">
        <f>IF($B143=1,$F$21,IF(N(Vintage_Input!P92)&gt;0,Vintage_Input!AN92/Vintage_Input!P92,""))</f>
        <v/>
      </c>
      <c r="AG143" s="152">
        <f>IF($B143=1,$G$21,IF(N(Vintage_Input!Q92)&gt;0,Vintage_Input!AO92/Vintage_Input!Q92,""))</f>
        <v/>
      </c>
      <c r="AH143" s="152">
        <f>IF($B143=1,$H$21,IF(N(Vintage_Input!R92)&gt;0,Vintage_Input!AP92/Vintage_Input!R92,""))</f>
        <v/>
      </c>
      <c r="AI143" s="152">
        <f>IF($B143=1,$I$21,IF(N(Vintage_Input!S92)&gt;0,Vintage_Input!AQ92/Vintage_Input!S92,""))</f>
        <v/>
      </c>
      <c r="AJ143" s="152">
        <f>IF($B143=1,$B$22,IF(N(Vintage_Input!L92)&gt;0,IFERROR(Vintage_Input!AR92/Vintage_Input!AJ92,""),""))</f>
        <v/>
      </c>
      <c r="AK143" s="152">
        <f>IF($B143=1,$C$22,IF(N(Vintage_Input!M92)&gt;0,IFERROR(Vintage_Input!AS92/Vintage_Input!AK92,""),""))</f>
        <v/>
      </c>
      <c r="AL143" s="152">
        <f>IF($B143=1,$D$22,IF(N(Vintage_Input!N92)&gt;0,IFERROR(Vintage_Input!AT92/Vintage_Input!AL92,""),""))</f>
        <v/>
      </c>
      <c r="AM143" s="152">
        <f>IF($B143=1,$E$22,IF(N(Vintage_Input!O92)&gt;0,IFERROR(Vintage_Input!AU92/Vintage_Input!AM92,""),""))</f>
        <v/>
      </c>
      <c r="AN143" s="152">
        <f>IF($B143=1,$F$22,IF(N(Vintage_Input!P92)&gt;0,IFERROR(Vintage_Input!AV92/Vintage_Input!AN92,""),""))</f>
        <v/>
      </c>
      <c r="AO143" s="152">
        <f>IF($B143=1,$G$22,IF(N(Vintage_Input!Q92)&gt;0,IFERROR(Vintage_Input!AW92/Vintage_Input!AO92,""),""))</f>
        <v/>
      </c>
      <c r="AP143" s="152">
        <f>IF($B143=1,$H$22,IF(N(Vintage_Input!R92)&gt;0,IFERROR(Vintage_Input!AX92/Vintage_Input!AP92,""),""))</f>
        <v/>
      </c>
      <c r="AQ143" s="152">
        <f>IF($B143=1,$I$22,IF(N(Vintage_Input!S92)&gt;0,IFERROR(Vintage_Input!AY92/Vintage_Input!AQ92,""),""))</f>
        <v/>
      </c>
      <c r="AR143" s="152">
        <f>IF($B143=1,$B$23,IF(N(Vintage_Input!L92)&gt;0,IFERROR(Vintage_Input!AZ92/$C143,""),""))</f>
        <v/>
      </c>
      <c r="AS143" s="152">
        <f>IF($B143=1,$C$23,IF(N(Vintage_Input!M92)&gt;0,IFERROR(Vintage_Input!BA92/$C143,""),""))</f>
        <v/>
      </c>
      <c r="AT143" s="152">
        <f>IF($B143=1,$D$23,IF(N(Vintage_Input!N92)&gt;0,IFERROR(Vintage_Input!BB92/$C143,""),""))</f>
        <v/>
      </c>
      <c r="AU143" s="152">
        <f>IF($B143=1,$E$23,IF(N(Vintage_Input!O92)&gt;0,IFERROR(Vintage_Input!BC92/$C143,""),""))</f>
        <v/>
      </c>
      <c r="AV143" s="152">
        <f>IF($B143=1,$F$23,IF(N(Vintage_Input!P92)&gt;0,IFERROR(Vintage_Input!BD92/$C143,""),""))</f>
        <v/>
      </c>
      <c r="AW143" s="152">
        <f>IF($B143=1,$G$23,IF(N(Vintage_Input!Q92)&gt;0,IFERROR(Vintage_Input!BE92/$C143,""),""))</f>
        <v/>
      </c>
      <c r="AX143" s="152">
        <f>IF($B143=1,$H$23,IF(N(Vintage_Input!R92)&gt;0,IFERROR(Vintage_Input!BF92/$C143,""),""))</f>
        <v/>
      </c>
      <c r="AY143" s="152">
        <f>IF($B143=1,$I$23,IF(N(Vintage_Input!S92)&gt;0,IFERROR(Vintage_Input!BG92/$C143,""),""))</f>
        <v/>
      </c>
      <c r="AZ143" s="153">
        <f>IF($B143=1,$B$24,IF(N(Vintage_Input!L92)&gt;0,IFERROR((Vintage_Input!D92+Vintage_Input!AR92)/$C143+Products!$D$14-(Products!$D$43+Products!$D$19+Products!$D$43*Products!$D$22+Products!$D$44),""),""))</f>
        <v/>
      </c>
      <c r="BA143" s="153">
        <f>IF($B143=1,$C$24,IF(N(Vintage_Input!M92)&gt;0,IFERROR((Vintage_Input!E92+Vintage_Input!AS92)/$C143+Products!$D$14-(Products!$D$43+Products!$D$19+Products!$D$43*Products!$D$22+Products!$D$44),""),""))</f>
        <v/>
      </c>
      <c r="BB143" s="153">
        <f>IF($B143=1,$D$24,IF(N(Vintage_Input!N92)&gt;0,IFERROR((Vintage_Input!F92+Vintage_Input!AT92)/$C143+Products!$D$14-(Products!$D$43+Products!$D$19+Products!$D$43*Products!$D$22+Products!$D$44),""),""))</f>
        <v/>
      </c>
      <c r="BC143" s="153">
        <f>IF($B143=1,$E$24,IF(N(Vintage_Input!O92)&gt;0,IFERROR((Vintage_Input!G92+Vintage_Input!AU92)/$C143+Products!$D$14-(Products!$D$43+Products!$D$19+Products!$D$43*Products!$D$22+Products!$D$44),""),""))</f>
        <v/>
      </c>
      <c r="BD143" s="153">
        <f>IF($B143=1,$F$24,IF(N(Vintage_Input!P92)&gt;0,IFERROR((Vintage_Input!H92+Vintage_Input!AV92)/$C143+Products!$D$14-(Products!$D$43+Products!$D$19+Products!$D$43*Products!$D$22+Products!$D$44),""),""))</f>
        <v/>
      </c>
      <c r="BE143" s="153">
        <f>IF($B143=1,$G$24,IF(N(Vintage_Input!Q92)&gt;0,IFERROR((Vintage_Input!I92+Vintage_Input!AW92)/$C143+Products!$D$14-(Products!$D$43+Products!$D$19+Products!$D$43*Products!$D$22+Products!$D$44),""),""))</f>
        <v/>
      </c>
      <c r="BF143" s="153">
        <f>IF($B143=1,$H$24,IF(N(Vintage_Input!R92)&gt;0,IFERROR((Vintage_Input!J92+Vintage_Input!AX92)/$C143+Products!$D$14-(Products!$D$43+Products!$D$19+Products!$D$43*Products!$D$22+Products!$D$44),""),""))</f>
        <v/>
      </c>
      <c r="BG143" s="153">
        <f>IF($B143=1,$I$24,IF(N(Vintage_Input!S92)&gt;0,IFERROR((Vintage_Input!K92+Vintage_Input!AY92)/$C143+Products!$D$14-(Products!$D$43+Products!$D$19+Products!$D$43*Products!$D$22+Products!$D$44),""),""))</f>
        <v/>
      </c>
      <c r="BH143" s="81">
        <f>IF($B143=1,0,IF(Vintage_Input!$BH$92="","",Vintage_Input!$BH$92))</f>
        <v/>
      </c>
    </row>
    <row r="144">
      <c r="A144" s="23" t="n">
        <v>20</v>
      </c>
      <c r="B144" s="48">
        <f>Vintage_Input!$B$93</f>
        <v/>
      </c>
      <c r="C144" s="41">
        <f>IF(Vintage_Input!$C$93="",0,Vintage_Input!$C$93)</f>
        <v/>
      </c>
      <c r="D144" s="152">
        <f>IF($B144=1,$B$18,IF(N(Vintage_Input!L93)&gt;0,Vintage_Input!D93/Vintage_Input!L93,""))</f>
        <v/>
      </c>
      <c r="E144" s="152">
        <f>IF($B144=1,$C$18,IF(N(Vintage_Input!M93)&gt;0,Vintage_Input!E93/Vintage_Input!M93,""))</f>
        <v/>
      </c>
      <c r="F144" s="152">
        <f>IF($B144=1,$D$18,IF(N(Vintage_Input!N93)&gt;0,Vintage_Input!F93/Vintage_Input!N93,""))</f>
        <v/>
      </c>
      <c r="G144" s="152">
        <f>IF($B144=1,$E$18,IF(N(Vintage_Input!O93)&gt;0,Vintage_Input!G93/Vintage_Input!O93,""))</f>
        <v/>
      </c>
      <c r="H144" s="152">
        <f>IF($B144=1,$F$18,IF(N(Vintage_Input!P93)&gt;0,Vintage_Input!H93/Vintage_Input!P93,""))</f>
        <v/>
      </c>
      <c r="I144" s="152">
        <f>IF($B144=1,$G$18,IF(N(Vintage_Input!Q93)&gt;0,Vintage_Input!I93/Vintage_Input!Q93,""))</f>
        <v/>
      </c>
      <c r="J144" s="152">
        <f>IF($B144=1,$H$18,IF(N(Vintage_Input!R93)&gt;0,Vintage_Input!J93/Vintage_Input!R93,""))</f>
        <v/>
      </c>
      <c r="K144" s="152">
        <f>IF($B144=1,$I$18,IF(N(Vintage_Input!S93)&gt;0,Vintage_Input!K93/Vintage_Input!S93,""))</f>
        <v/>
      </c>
      <c r="L144" s="152">
        <f>IF($B144=1,$B$19,IF(N(Vintage_Input!L93)&gt;0,Vintage_Input!T93/Vintage_Input!L93,""))</f>
        <v/>
      </c>
      <c r="M144" s="152">
        <f>IF($B144=1,$C$19,IF(N(Vintage_Input!M93)&gt;0,Vintage_Input!U93/Vintage_Input!M93,""))</f>
        <v/>
      </c>
      <c r="N144" s="152">
        <f>IF($B144=1,$D$19,IF(N(Vintage_Input!N93)&gt;0,Vintage_Input!V93/Vintage_Input!N93,""))</f>
        <v/>
      </c>
      <c r="O144" s="152">
        <f>IF($B144=1,$E$19,IF(N(Vintage_Input!O93)&gt;0,Vintage_Input!W93/Vintage_Input!O93,""))</f>
        <v/>
      </c>
      <c r="P144" s="152">
        <f>IF($B144=1,$F$19,IF(N(Vintage_Input!P93)&gt;0,Vintage_Input!X93/Vintage_Input!P93,""))</f>
        <v/>
      </c>
      <c r="Q144" s="152">
        <f>IF($B144=1,$G$19,IF(N(Vintage_Input!Q93)&gt;0,Vintage_Input!Y93/Vintage_Input!Q93,""))</f>
        <v/>
      </c>
      <c r="R144" s="152">
        <f>IF($B144=1,$H$19,IF(N(Vintage_Input!R93)&gt;0,Vintage_Input!Z93/Vintage_Input!R93,""))</f>
        <v/>
      </c>
      <c r="S144" s="152">
        <f>IF($B144=1,$I$19,IF(N(Vintage_Input!S93)&gt;0,Vintage_Input!AA93/Vintage_Input!S93,""))</f>
        <v/>
      </c>
      <c r="T144" s="152">
        <f>IF($B144=1,$B$20,IF(N(Vintage_Input!L93)&gt;0,Vintage_Input!AB93/Vintage_Input!L93,""))</f>
        <v/>
      </c>
      <c r="U144" s="152">
        <f>IF($B144=1,$C$20,IF(N(Vintage_Input!M93)&gt;0,Vintage_Input!AC93/Vintage_Input!M93,""))</f>
        <v/>
      </c>
      <c r="V144" s="152">
        <f>IF($B144=1,$D$20,IF(N(Vintage_Input!N93)&gt;0,Vintage_Input!AD93/Vintage_Input!N93,""))</f>
        <v/>
      </c>
      <c r="W144" s="152">
        <f>IF($B144=1,$E$20,IF(N(Vintage_Input!O93)&gt;0,Vintage_Input!AE93/Vintage_Input!O93,""))</f>
        <v/>
      </c>
      <c r="X144" s="152">
        <f>IF($B144=1,$F$20,IF(N(Vintage_Input!P93)&gt;0,Vintage_Input!AF93/Vintage_Input!P93,""))</f>
        <v/>
      </c>
      <c r="Y144" s="152">
        <f>IF($B144=1,$G$20,IF(N(Vintage_Input!Q93)&gt;0,Vintage_Input!AG93/Vintage_Input!Q93,""))</f>
        <v/>
      </c>
      <c r="Z144" s="152">
        <f>IF($B144=1,$H$20,IF(N(Vintage_Input!R93)&gt;0,Vintage_Input!AH93/Vintage_Input!R93,""))</f>
        <v/>
      </c>
      <c r="AA144" s="152">
        <f>IF($B144=1,$I$20,IF(N(Vintage_Input!S93)&gt;0,Vintage_Input!AI93/Vintage_Input!S93,""))</f>
        <v/>
      </c>
      <c r="AB144" s="152">
        <f>IF($B144=1,$B$21,IF(N(Vintage_Input!L93)&gt;0,Vintage_Input!AJ93/Vintage_Input!L93,""))</f>
        <v/>
      </c>
      <c r="AC144" s="152">
        <f>IF($B144=1,$C$21,IF(N(Vintage_Input!M93)&gt;0,Vintage_Input!AK93/Vintage_Input!M93,""))</f>
        <v/>
      </c>
      <c r="AD144" s="152">
        <f>IF($B144=1,$D$21,IF(N(Vintage_Input!N93)&gt;0,Vintage_Input!AL93/Vintage_Input!N93,""))</f>
        <v/>
      </c>
      <c r="AE144" s="152">
        <f>IF($B144=1,$E$21,IF(N(Vintage_Input!O93)&gt;0,Vintage_Input!AM93/Vintage_Input!O93,""))</f>
        <v/>
      </c>
      <c r="AF144" s="152">
        <f>IF($B144=1,$F$21,IF(N(Vintage_Input!P93)&gt;0,Vintage_Input!AN93/Vintage_Input!P93,""))</f>
        <v/>
      </c>
      <c r="AG144" s="152">
        <f>IF($B144=1,$G$21,IF(N(Vintage_Input!Q93)&gt;0,Vintage_Input!AO93/Vintage_Input!Q93,""))</f>
        <v/>
      </c>
      <c r="AH144" s="152">
        <f>IF($B144=1,$H$21,IF(N(Vintage_Input!R93)&gt;0,Vintage_Input!AP93/Vintage_Input!R93,""))</f>
        <v/>
      </c>
      <c r="AI144" s="152">
        <f>IF($B144=1,$I$21,IF(N(Vintage_Input!S93)&gt;0,Vintage_Input!AQ93/Vintage_Input!S93,""))</f>
        <v/>
      </c>
      <c r="AJ144" s="152">
        <f>IF($B144=1,$B$22,IF(N(Vintage_Input!L93)&gt;0,IFERROR(Vintage_Input!AR93/Vintage_Input!AJ93,""),""))</f>
        <v/>
      </c>
      <c r="AK144" s="152">
        <f>IF($B144=1,$C$22,IF(N(Vintage_Input!M93)&gt;0,IFERROR(Vintage_Input!AS93/Vintage_Input!AK93,""),""))</f>
        <v/>
      </c>
      <c r="AL144" s="152">
        <f>IF($B144=1,$D$22,IF(N(Vintage_Input!N93)&gt;0,IFERROR(Vintage_Input!AT93/Vintage_Input!AL93,""),""))</f>
        <v/>
      </c>
      <c r="AM144" s="152">
        <f>IF($B144=1,$E$22,IF(N(Vintage_Input!O93)&gt;0,IFERROR(Vintage_Input!AU93/Vintage_Input!AM93,""),""))</f>
        <v/>
      </c>
      <c r="AN144" s="152">
        <f>IF($B144=1,$F$22,IF(N(Vintage_Input!P93)&gt;0,IFERROR(Vintage_Input!AV93/Vintage_Input!AN93,""),""))</f>
        <v/>
      </c>
      <c r="AO144" s="152">
        <f>IF($B144=1,$G$22,IF(N(Vintage_Input!Q93)&gt;0,IFERROR(Vintage_Input!AW93/Vintage_Input!AO93,""),""))</f>
        <v/>
      </c>
      <c r="AP144" s="152">
        <f>IF($B144=1,$H$22,IF(N(Vintage_Input!R93)&gt;0,IFERROR(Vintage_Input!AX93/Vintage_Input!AP93,""),""))</f>
        <v/>
      </c>
      <c r="AQ144" s="152">
        <f>IF($B144=1,$I$22,IF(N(Vintage_Input!S93)&gt;0,IFERROR(Vintage_Input!AY93/Vintage_Input!AQ93,""),""))</f>
        <v/>
      </c>
      <c r="AR144" s="152">
        <f>IF($B144=1,$B$23,IF(N(Vintage_Input!L93)&gt;0,IFERROR(Vintage_Input!AZ93/$C144,""),""))</f>
        <v/>
      </c>
      <c r="AS144" s="152">
        <f>IF($B144=1,$C$23,IF(N(Vintage_Input!M93)&gt;0,IFERROR(Vintage_Input!BA93/$C144,""),""))</f>
        <v/>
      </c>
      <c r="AT144" s="152">
        <f>IF($B144=1,$D$23,IF(N(Vintage_Input!N93)&gt;0,IFERROR(Vintage_Input!BB93/$C144,""),""))</f>
        <v/>
      </c>
      <c r="AU144" s="152">
        <f>IF($B144=1,$E$23,IF(N(Vintage_Input!O93)&gt;0,IFERROR(Vintage_Input!BC93/$C144,""),""))</f>
        <v/>
      </c>
      <c r="AV144" s="152">
        <f>IF($B144=1,$F$23,IF(N(Vintage_Input!P93)&gt;0,IFERROR(Vintage_Input!BD93/$C144,""),""))</f>
        <v/>
      </c>
      <c r="AW144" s="152">
        <f>IF($B144=1,$G$23,IF(N(Vintage_Input!Q93)&gt;0,IFERROR(Vintage_Input!BE93/$C144,""),""))</f>
        <v/>
      </c>
      <c r="AX144" s="152">
        <f>IF($B144=1,$H$23,IF(N(Vintage_Input!R93)&gt;0,IFERROR(Vintage_Input!BF93/$C144,""),""))</f>
        <v/>
      </c>
      <c r="AY144" s="152">
        <f>IF($B144=1,$I$23,IF(N(Vintage_Input!S93)&gt;0,IFERROR(Vintage_Input!BG93/$C144,""),""))</f>
        <v/>
      </c>
      <c r="AZ144" s="153">
        <f>IF($B144=1,$B$24,IF(N(Vintage_Input!L93)&gt;0,IFERROR((Vintage_Input!D93+Vintage_Input!AR93)/$C144+Products!$D$14-(Products!$D$43+Products!$D$19+Products!$D$43*Products!$D$22+Products!$D$44),""),""))</f>
        <v/>
      </c>
      <c r="BA144" s="153">
        <f>IF($B144=1,$C$24,IF(N(Vintage_Input!M93)&gt;0,IFERROR((Vintage_Input!E93+Vintage_Input!AS93)/$C144+Products!$D$14-(Products!$D$43+Products!$D$19+Products!$D$43*Products!$D$22+Products!$D$44),""),""))</f>
        <v/>
      </c>
      <c r="BB144" s="153">
        <f>IF($B144=1,$D$24,IF(N(Vintage_Input!N93)&gt;0,IFERROR((Vintage_Input!F93+Vintage_Input!AT93)/$C144+Products!$D$14-(Products!$D$43+Products!$D$19+Products!$D$43*Products!$D$22+Products!$D$44),""),""))</f>
        <v/>
      </c>
      <c r="BC144" s="153">
        <f>IF($B144=1,$E$24,IF(N(Vintage_Input!O93)&gt;0,IFERROR((Vintage_Input!G93+Vintage_Input!AU93)/$C144+Products!$D$14-(Products!$D$43+Products!$D$19+Products!$D$43*Products!$D$22+Products!$D$44),""),""))</f>
        <v/>
      </c>
      <c r="BD144" s="153">
        <f>IF($B144=1,$F$24,IF(N(Vintage_Input!P93)&gt;0,IFERROR((Vintage_Input!H93+Vintage_Input!AV93)/$C144+Products!$D$14-(Products!$D$43+Products!$D$19+Products!$D$43*Products!$D$22+Products!$D$44),""),""))</f>
        <v/>
      </c>
      <c r="BE144" s="153">
        <f>IF($B144=1,$G$24,IF(N(Vintage_Input!Q93)&gt;0,IFERROR((Vintage_Input!I93+Vintage_Input!AW93)/$C144+Products!$D$14-(Products!$D$43+Products!$D$19+Products!$D$43*Products!$D$22+Products!$D$44),""),""))</f>
        <v/>
      </c>
      <c r="BF144" s="153">
        <f>IF($B144=1,$H$24,IF(N(Vintage_Input!R93)&gt;0,IFERROR((Vintage_Input!J93+Vintage_Input!AX93)/$C144+Products!$D$14-(Products!$D$43+Products!$D$19+Products!$D$43*Products!$D$22+Products!$D$44),""),""))</f>
        <v/>
      </c>
      <c r="BG144" s="153">
        <f>IF($B144=1,$I$24,IF(N(Vintage_Input!S93)&gt;0,IFERROR((Vintage_Input!K93+Vintage_Input!AY93)/$C144+Products!$D$14-(Products!$D$43+Products!$D$19+Products!$D$43*Products!$D$22+Products!$D$44),""),""))</f>
        <v/>
      </c>
      <c r="BH144" s="81">
        <f>IF($B144=1,0,IF(Vintage_Input!$BH$93="","",Vintage_Input!$BH$93))</f>
        <v/>
      </c>
    </row>
    <row r="145">
      <c r="A145" s="23" t="n">
        <v>21</v>
      </c>
      <c r="B145" s="48">
        <f>Vintage_Input!$B$94</f>
        <v/>
      </c>
      <c r="C145" s="41">
        <f>IF(Vintage_Input!$C$94="",0,Vintage_Input!$C$94)</f>
        <v/>
      </c>
      <c r="D145" s="152">
        <f>IF($B145=1,$B$18,IF(N(Vintage_Input!L94)&gt;0,Vintage_Input!D94/Vintage_Input!L94,""))</f>
        <v/>
      </c>
      <c r="E145" s="152">
        <f>IF($B145=1,$C$18,IF(N(Vintage_Input!M94)&gt;0,Vintage_Input!E94/Vintage_Input!M94,""))</f>
        <v/>
      </c>
      <c r="F145" s="152">
        <f>IF($B145=1,$D$18,IF(N(Vintage_Input!N94)&gt;0,Vintage_Input!F94/Vintage_Input!N94,""))</f>
        <v/>
      </c>
      <c r="G145" s="152">
        <f>IF($B145=1,$E$18,IF(N(Vintage_Input!O94)&gt;0,Vintage_Input!G94/Vintage_Input!O94,""))</f>
        <v/>
      </c>
      <c r="H145" s="152">
        <f>IF($B145=1,$F$18,IF(N(Vintage_Input!P94)&gt;0,Vintage_Input!H94/Vintage_Input!P94,""))</f>
        <v/>
      </c>
      <c r="I145" s="152">
        <f>IF($B145=1,$G$18,IF(N(Vintage_Input!Q94)&gt;0,Vintage_Input!I94/Vintage_Input!Q94,""))</f>
        <v/>
      </c>
      <c r="J145" s="152">
        <f>IF($B145=1,$H$18,IF(N(Vintage_Input!R94)&gt;0,Vintage_Input!J94/Vintage_Input!R94,""))</f>
        <v/>
      </c>
      <c r="K145" s="152">
        <f>IF($B145=1,$I$18,IF(N(Vintage_Input!S94)&gt;0,Vintage_Input!K94/Vintage_Input!S94,""))</f>
        <v/>
      </c>
      <c r="L145" s="152">
        <f>IF($B145=1,$B$19,IF(N(Vintage_Input!L94)&gt;0,Vintage_Input!T94/Vintage_Input!L94,""))</f>
        <v/>
      </c>
      <c r="M145" s="152">
        <f>IF($B145=1,$C$19,IF(N(Vintage_Input!M94)&gt;0,Vintage_Input!U94/Vintage_Input!M94,""))</f>
        <v/>
      </c>
      <c r="N145" s="152">
        <f>IF($B145=1,$D$19,IF(N(Vintage_Input!N94)&gt;0,Vintage_Input!V94/Vintage_Input!N94,""))</f>
        <v/>
      </c>
      <c r="O145" s="152">
        <f>IF($B145=1,$E$19,IF(N(Vintage_Input!O94)&gt;0,Vintage_Input!W94/Vintage_Input!O94,""))</f>
        <v/>
      </c>
      <c r="P145" s="152">
        <f>IF($B145=1,$F$19,IF(N(Vintage_Input!P94)&gt;0,Vintage_Input!X94/Vintage_Input!P94,""))</f>
        <v/>
      </c>
      <c r="Q145" s="152">
        <f>IF($B145=1,$G$19,IF(N(Vintage_Input!Q94)&gt;0,Vintage_Input!Y94/Vintage_Input!Q94,""))</f>
        <v/>
      </c>
      <c r="R145" s="152">
        <f>IF($B145=1,$H$19,IF(N(Vintage_Input!R94)&gt;0,Vintage_Input!Z94/Vintage_Input!R94,""))</f>
        <v/>
      </c>
      <c r="S145" s="152">
        <f>IF($B145=1,$I$19,IF(N(Vintage_Input!S94)&gt;0,Vintage_Input!AA94/Vintage_Input!S94,""))</f>
        <v/>
      </c>
      <c r="T145" s="152">
        <f>IF($B145=1,$B$20,IF(N(Vintage_Input!L94)&gt;0,Vintage_Input!AB94/Vintage_Input!L94,""))</f>
        <v/>
      </c>
      <c r="U145" s="152">
        <f>IF($B145=1,$C$20,IF(N(Vintage_Input!M94)&gt;0,Vintage_Input!AC94/Vintage_Input!M94,""))</f>
        <v/>
      </c>
      <c r="V145" s="152">
        <f>IF($B145=1,$D$20,IF(N(Vintage_Input!N94)&gt;0,Vintage_Input!AD94/Vintage_Input!N94,""))</f>
        <v/>
      </c>
      <c r="W145" s="152">
        <f>IF($B145=1,$E$20,IF(N(Vintage_Input!O94)&gt;0,Vintage_Input!AE94/Vintage_Input!O94,""))</f>
        <v/>
      </c>
      <c r="X145" s="152">
        <f>IF($B145=1,$F$20,IF(N(Vintage_Input!P94)&gt;0,Vintage_Input!AF94/Vintage_Input!P94,""))</f>
        <v/>
      </c>
      <c r="Y145" s="152">
        <f>IF($B145=1,$G$20,IF(N(Vintage_Input!Q94)&gt;0,Vintage_Input!AG94/Vintage_Input!Q94,""))</f>
        <v/>
      </c>
      <c r="Z145" s="152">
        <f>IF($B145=1,$H$20,IF(N(Vintage_Input!R94)&gt;0,Vintage_Input!AH94/Vintage_Input!R94,""))</f>
        <v/>
      </c>
      <c r="AA145" s="152">
        <f>IF($B145=1,$I$20,IF(N(Vintage_Input!S94)&gt;0,Vintage_Input!AI94/Vintage_Input!S94,""))</f>
        <v/>
      </c>
      <c r="AB145" s="152">
        <f>IF($B145=1,$B$21,IF(N(Vintage_Input!L94)&gt;0,Vintage_Input!AJ94/Vintage_Input!L94,""))</f>
        <v/>
      </c>
      <c r="AC145" s="152">
        <f>IF($B145=1,$C$21,IF(N(Vintage_Input!M94)&gt;0,Vintage_Input!AK94/Vintage_Input!M94,""))</f>
        <v/>
      </c>
      <c r="AD145" s="152">
        <f>IF($B145=1,$D$21,IF(N(Vintage_Input!N94)&gt;0,Vintage_Input!AL94/Vintage_Input!N94,""))</f>
        <v/>
      </c>
      <c r="AE145" s="152">
        <f>IF($B145=1,$E$21,IF(N(Vintage_Input!O94)&gt;0,Vintage_Input!AM94/Vintage_Input!O94,""))</f>
        <v/>
      </c>
      <c r="AF145" s="152">
        <f>IF($B145=1,$F$21,IF(N(Vintage_Input!P94)&gt;0,Vintage_Input!AN94/Vintage_Input!P94,""))</f>
        <v/>
      </c>
      <c r="AG145" s="152">
        <f>IF($B145=1,$G$21,IF(N(Vintage_Input!Q94)&gt;0,Vintage_Input!AO94/Vintage_Input!Q94,""))</f>
        <v/>
      </c>
      <c r="AH145" s="152">
        <f>IF($B145=1,$H$21,IF(N(Vintage_Input!R94)&gt;0,Vintage_Input!AP94/Vintage_Input!R94,""))</f>
        <v/>
      </c>
      <c r="AI145" s="152">
        <f>IF($B145=1,$I$21,IF(N(Vintage_Input!S94)&gt;0,Vintage_Input!AQ94/Vintage_Input!S94,""))</f>
        <v/>
      </c>
      <c r="AJ145" s="152">
        <f>IF($B145=1,$B$22,IF(N(Vintage_Input!L94)&gt;0,IFERROR(Vintage_Input!AR94/Vintage_Input!AJ94,""),""))</f>
        <v/>
      </c>
      <c r="AK145" s="152">
        <f>IF($B145=1,$C$22,IF(N(Vintage_Input!M94)&gt;0,IFERROR(Vintage_Input!AS94/Vintage_Input!AK94,""),""))</f>
        <v/>
      </c>
      <c r="AL145" s="152">
        <f>IF($B145=1,$D$22,IF(N(Vintage_Input!N94)&gt;0,IFERROR(Vintage_Input!AT94/Vintage_Input!AL94,""),""))</f>
        <v/>
      </c>
      <c r="AM145" s="152">
        <f>IF($B145=1,$E$22,IF(N(Vintage_Input!O94)&gt;0,IFERROR(Vintage_Input!AU94/Vintage_Input!AM94,""),""))</f>
        <v/>
      </c>
      <c r="AN145" s="152">
        <f>IF($B145=1,$F$22,IF(N(Vintage_Input!P94)&gt;0,IFERROR(Vintage_Input!AV94/Vintage_Input!AN94,""),""))</f>
        <v/>
      </c>
      <c r="AO145" s="152">
        <f>IF($B145=1,$G$22,IF(N(Vintage_Input!Q94)&gt;0,IFERROR(Vintage_Input!AW94/Vintage_Input!AO94,""),""))</f>
        <v/>
      </c>
      <c r="AP145" s="152">
        <f>IF($B145=1,$H$22,IF(N(Vintage_Input!R94)&gt;0,IFERROR(Vintage_Input!AX94/Vintage_Input!AP94,""),""))</f>
        <v/>
      </c>
      <c r="AQ145" s="152">
        <f>IF($B145=1,$I$22,IF(N(Vintage_Input!S94)&gt;0,IFERROR(Vintage_Input!AY94/Vintage_Input!AQ94,""),""))</f>
        <v/>
      </c>
      <c r="AR145" s="152">
        <f>IF($B145=1,$B$23,IF(N(Vintage_Input!L94)&gt;0,IFERROR(Vintage_Input!AZ94/$C145,""),""))</f>
        <v/>
      </c>
      <c r="AS145" s="152">
        <f>IF($B145=1,$C$23,IF(N(Vintage_Input!M94)&gt;0,IFERROR(Vintage_Input!BA94/$C145,""),""))</f>
        <v/>
      </c>
      <c r="AT145" s="152">
        <f>IF($B145=1,$D$23,IF(N(Vintage_Input!N94)&gt;0,IFERROR(Vintage_Input!BB94/$C145,""),""))</f>
        <v/>
      </c>
      <c r="AU145" s="152">
        <f>IF($B145=1,$E$23,IF(N(Vintage_Input!O94)&gt;0,IFERROR(Vintage_Input!BC94/$C145,""),""))</f>
        <v/>
      </c>
      <c r="AV145" s="152">
        <f>IF($B145=1,$F$23,IF(N(Vintage_Input!P94)&gt;0,IFERROR(Vintage_Input!BD94/$C145,""),""))</f>
        <v/>
      </c>
      <c r="AW145" s="152">
        <f>IF($B145=1,$G$23,IF(N(Vintage_Input!Q94)&gt;0,IFERROR(Vintage_Input!BE94/$C145,""),""))</f>
        <v/>
      </c>
      <c r="AX145" s="152">
        <f>IF($B145=1,$H$23,IF(N(Vintage_Input!R94)&gt;0,IFERROR(Vintage_Input!BF94/$C145,""),""))</f>
        <v/>
      </c>
      <c r="AY145" s="152">
        <f>IF($B145=1,$I$23,IF(N(Vintage_Input!S94)&gt;0,IFERROR(Vintage_Input!BG94/$C145,""),""))</f>
        <v/>
      </c>
      <c r="AZ145" s="153">
        <f>IF($B145=1,$B$24,IF(N(Vintage_Input!L94)&gt;0,IFERROR((Vintage_Input!D94+Vintage_Input!AR94)/$C145+Products!$D$14-(Products!$D$43+Products!$D$19+Products!$D$43*Products!$D$22+Products!$D$44),""),""))</f>
        <v/>
      </c>
      <c r="BA145" s="153">
        <f>IF($B145=1,$C$24,IF(N(Vintage_Input!M94)&gt;0,IFERROR((Vintage_Input!E94+Vintage_Input!AS94)/$C145+Products!$D$14-(Products!$D$43+Products!$D$19+Products!$D$43*Products!$D$22+Products!$D$44),""),""))</f>
        <v/>
      </c>
      <c r="BB145" s="153">
        <f>IF($B145=1,$D$24,IF(N(Vintage_Input!N94)&gt;0,IFERROR((Vintage_Input!F94+Vintage_Input!AT94)/$C145+Products!$D$14-(Products!$D$43+Products!$D$19+Products!$D$43*Products!$D$22+Products!$D$44),""),""))</f>
        <v/>
      </c>
      <c r="BC145" s="153">
        <f>IF($B145=1,$E$24,IF(N(Vintage_Input!O94)&gt;0,IFERROR((Vintage_Input!G94+Vintage_Input!AU94)/$C145+Products!$D$14-(Products!$D$43+Products!$D$19+Products!$D$43*Products!$D$22+Products!$D$44),""),""))</f>
        <v/>
      </c>
      <c r="BD145" s="153">
        <f>IF($B145=1,$F$24,IF(N(Vintage_Input!P94)&gt;0,IFERROR((Vintage_Input!H94+Vintage_Input!AV94)/$C145+Products!$D$14-(Products!$D$43+Products!$D$19+Products!$D$43*Products!$D$22+Products!$D$44),""),""))</f>
        <v/>
      </c>
      <c r="BE145" s="153">
        <f>IF($B145=1,$G$24,IF(N(Vintage_Input!Q94)&gt;0,IFERROR((Vintage_Input!I94+Vintage_Input!AW94)/$C145+Products!$D$14-(Products!$D$43+Products!$D$19+Products!$D$43*Products!$D$22+Products!$D$44),""),""))</f>
        <v/>
      </c>
      <c r="BF145" s="153">
        <f>IF($B145=1,$H$24,IF(N(Vintage_Input!R94)&gt;0,IFERROR((Vintage_Input!J94+Vintage_Input!AX94)/$C145+Products!$D$14-(Products!$D$43+Products!$D$19+Products!$D$43*Products!$D$22+Products!$D$44),""),""))</f>
        <v/>
      </c>
      <c r="BG145" s="153">
        <f>IF($B145=1,$I$24,IF(N(Vintage_Input!S94)&gt;0,IFERROR((Vintage_Input!K94+Vintage_Input!AY94)/$C145+Products!$D$14-(Products!$D$43+Products!$D$19+Products!$D$43*Products!$D$22+Products!$D$44),""),""))</f>
        <v/>
      </c>
      <c r="BH145" s="81">
        <f>IF($B145=1,0,IF(Vintage_Input!$BH$94="","",Vintage_Input!$BH$94))</f>
        <v/>
      </c>
    </row>
    <row r="146">
      <c r="A146" s="23" t="n">
        <v>22</v>
      </c>
      <c r="B146" s="48">
        <f>Vintage_Input!$B$95</f>
        <v/>
      </c>
      <c r="C146" s="41">
        <f>IF(Vintage_Input!$C$95="",0,Vintage_Input!$C$95)</f>
        <v/>
      </c>
      <c r="D146" s="152">
        <f>IF($B146=1,$B$18,IF(N(Vintage_Input!L95)&gt;0,Vintage_Input!D95/Vintage_Input!L95,""))</f>
        <v/>
      </c>
      <c r="E146" s="152">
        <f>IF($B146=1,$C$18,IF(N(Vintage_Input!M95)&gt;0,Vintage_Input!E95/Vintage_Input!M95,""))</f>
        <v/>
      </c>
      <c r="F146" s="152">
        <f>IF($B146=1,$D$18,IF(N(Vintage_Input!N95)&gt;0,Vintage_Input!F95/Vintage_Input!N95,""))</f>
        <v/>
      </c>
      <c r="G146" s="152">
        <f>IF($B146=1,$E$18,IF(N(Vintage_Input!O95)&gt;0,Vintage_Input!G95/Vintage_Input!O95,""))</f>
        <v/>
      </c>
      <c r="H146" s="152">
        <f>IF($B146=1,$F$18,IF(N(Vintage_Input!P95)&gt;0,Vintage_Input!H95/Vintage_Input!P95,""))</f>
        <v/>
      </c>
      <c r="I146" s="152">
        <f>IF($B146=1,$G$18,IF(N(Vintage_Input!Q95)&gt;0,Vintage_Input!I95/Vintage_Input!Q95,""))</f>
        <v/>
      </c>
      <c r="J146" s="152">
        <f>IF($B146=1,$H$18,IF(N(Vintage_Input!R95)&gt;0,Vintage_Input!J95/Vintage_Input!R95,""))</f>
        <v/>
      </c>
      <c r="K146" s="152">
        <f>IF($B146=1,$I$18,IF(N(Vintage_Input!S95)&gt;0,Vintage_Input!K95/Vintage_Input!S95,""))</f>
        <v/>
      </c>
      <c r="L146" s="152">
        <f>IF($B146=1,$B$19,IF(N(Vintage_Input!L95)&gt;0,Vintage_Input!T95/Vintage_Input!L95,""))</f>
        <v/>
      </c>
      <c r="M146" s="152">
        <f>IF($B146=1,$C$19,IF(N(Vintage_Input!M95)&gt;0,Vintage_Input!U95/Vintage_Input!M95,""))</f>
        <v/>
      </c>
      <c r="N146" s="152">
        <f>IF($B146=1,$D$19,IF(N(Vintage_Input!N95)&gt;0,Vintage_Input!V95/Vintage_Input!N95,""))</f>
        <v/>
      </c>
      <c r="O146" s="152">
        <f>IF($B146=1,$E$19,IF(N(Vintage_Input!O95)&gt;0,Vintage_Input!W95/Vintage_Input!O95,""))</f>
        <v/>
      </c>
      <c r="P146" s="152">
        <f>IF($B146=1,$F$19,IF(N(Vintage_Input!P95)&gt;0,Vintage_Input!X95/Vintage_Input!P95,""))</f>
        <v/>
      </c>
      <c r="Q146" s="152">
        <f>IF($B146=1,$G$19,IF(N(Vintage_Input!Q95)&gt;0,Vintage_Input!Y95/Vintage_Input!Q95,""))</f>
        <v/>
      </c>
      <c r="R146" s="152">
        <f>IF($B146=1,$H$19,IF(N(Vintage_Input!R95)&gt;0,Vintage_Input!Z95/Vintage_Input!R95,""))</f>
        <v/>
      </c>
      <c r="S146" s="152">
        <f>IF($B146=1,$I$19,IF(N(Vintage_Input!S95)&gt;0,Vintage_Input!AA95/Vintage_Input!S95,""))</f>
        <v/>
      </c>
      <c r="T146" s="152">
        <f>IF($B146=1,$B$20,IF(N(Vintage_Input!L95)&gt;0,Vintage_Input!AB95/Vintage_Input!L95,""))</f>
        <v/>
      </c>
      <c r="U146" s="152">
        <f>IF($B146=1,$C$20,IF(N(Vintage_Input!M95)&gt;0,Vintage_Input!AC95/Vintage_Input!M95,""))</f>
        <v/>
      </c>
      <c r="V146" s="152">
        <f>IF($B146=1,$D$20,IF(N(Vintage_Input!N95)&gt;0,Vintage_Input!AD95/Vintage_Input!N95,""))</f>
        <v/>
      </c>
      <c r="W146" s="152">
        <f>IF($B146=1,$E$20,IF(N(Vintage_Input!O95)&gt;0,Vintage_Input!AE95/Vintage_Input!O95,""))</f>
        <v/>
      </c>
      <c r="X146" s="152">
        <f>IF($B146=1,$F$20,IF(N(Vintage_Input!P95)&gt;0,Vintage_Input!AF95/Vintage_Input!P95,""))</f>
        <v/>
      </c>
      <c r="Y146" s="152">
        <f>IF($B146=1,$G$20,IF(N(Vintage_Input!Q95)&gt;0,Vintage_Input!AG95/Vintage_Input!Q95,""))</f>
        <v/>
      </c>
      <c r="Z146" s="152">
        <f>IF($B146=1,$H$20,IF(N(Vintage_Input!R95)&gt;0,Vintage_Input!AH95/Vintage_Input!R95,""))</f>
        <v/>
      </c>
      <c r="AA146" s="152">
        <f>IF($B146=1,$I$20,IF(N(Vintage_Input!S95)&gt;0,Vintage_Input!AI95/Vintage_Input!S95,""))</f>
        <v/>
      </c>
      <c r="AB146" s="152">
        <f>IF($B146=1,$B$21,IF(N(Vintage_Input!L95)&gt;0,Vintage_Input!AJ95/Vintage_Input!L95,""))</f>
        <v/>
      </c>
      <c r="AC146" s="152">
        <f>IF($B146=1,$C$21,IF(N(Vintage_Input!M95)&gt;0,Vintage_Input!AK95/Vintage_Input!M95,""))</f>
        <v/>
      </c>
      <c r="AD146" s="152">
        <f>IF($B146=1,$D$21,IF(N(Vintage_Input!N95)&gt;0,Vintage_Input!AL95/Vintage_Input!N95,""))</f>
        <v/>
      </c>
      <c r="AE146" s="152">
        <f>IF($B146=1,$E$21,IF(N(Vintage_Input!O95)&gt;0,Vintage_Input!AM95/Vintage_Input!O95,""))</f>
        <v/>
      </c>
      <c r="AF146" s="152">
        <f>IF($B146=1,$F$21,IF(N(Vintage_Input!P95)&gt;0,Vintage_Input!AN95/Vintage_Input!P95,""))</f>
        <v/>
      </c>
      <c r="AG146" s="152">
        <f>IF($B146=1,$G$21,IF(N(Vintage_Input!Q95)&gt;0,Vintage_Input!AO95/Vintage_Input!Q95,""))</f>
        <v/>
      </c>
      <c r="AH146" s="152">
        <f>IF($B146=1,$H$21,IF(N(Vintage_Input!R95)&gt;0,Vintage_Input!AP95/Vintage_Input!R95,""))</f>
        <v/>
      </c>
      <c r="AI146" s="152">
        <f>IF($B146=1,$I$21,IF(N(Vintage_Input!S95)&gt;0,Vintage_Input!AQ95/Vintage_Input!S95,""))</f>
        <v/>
      </c>
      <c r="AJ146" s="152">
        <f>IF($B146=1,$B$22,IF(N(Vintage_Input!L95)&gt;0,IFERROR(Vintage_Input!AR95/Vintage_Input!AJ95,""),""))</f>
        <v/>
      </c>
      <c r="AK146" s="152">
        <f>IF($B146=1,$C$22,IF(N(Vintage_Input!M95)&gt;0,IFERROR(Vintage_Input!AS95/Vintage_Input!AK95,""),""))</f>
        <v/>
      </c>
      <c r="AL146" s="152">
        <f>IF($B146=1,$D$22,IF(N(Vintage_Input!N95)&gt;0,IFERROR(Vintage_Input!AT95/Vintage_Input!AL95,""),""))</f>
        <v/>
      </c>
      <c r="AM146" s="152">
        <f>IF($B146=1,$E$22,IF(N(Vintage_Input!O95)&gt;0,IFERROR(Vintage_Input!AU95/Vintage_Input!AM95,""),""))</f>
        <v/>
      </c>
      <c r="AN146" s="152">
        <f>IF($B146=1,$F$22,IF(N(Vintage_Input!P95)&gt;0,IFERROR(Vintage_Input!AV95/Vintage_Input!AN95,""),""))</f>
        <v/>
      </c>
      <c r="AO146" s="152">
        <f>IF($B146=1,$G$22,IF(N(Vintage_Input!Q95)&gt;0,IFERROR(Vintage_Input!AW95/Vintage_Input!AO95,""),""))</f>
        <v/>
      </c>
      <c r="AP146" s="152">
        <f>IF($B146=1,$H$22,IF(N(Vintage_Input!R95)&gt;0,IFERROR(Vintage_Input!AX95/Vintage_Input!AP95,""),""))</f>
        <v/>
      </c>
      <c r="AQ146" s="152">
        <f>IF($B146=1,$I$22,IF(N(Vintage_Input!S95)&gt;0,IFERROR(Vintage_Input!AY95/Vintage_Input!AQ95,""),""))</f>
        <v/>
      </c>
      <c r="AR146" s="152">
        <f>IF($B146=1,$B$23,IF(N(Vintage_Input!L95)&gt;0,IFERROR(Vintage_Input!AZ95/$C146,""),""))</f>
        <v/>
      </c>
      <c r="AS146" s="152">
        <f>IF($B146=1,$C$23,IF(N(Vintage_Input!M95)&gt;0,IFERROR(Vintage_Input!BA95/$C146,""),""))</f>
        <v/>
      </c>
      <c r="AT146" s="152">
        <f>IF($B146=1,$D$23,IF(N(Vintage_Input!N95)&gt;0,IFERROR(Vintage_Input!BB95/$C146,""),""))</f>
        <v/>
      </c>
      <c r="AU146" s="152">
        <f>IF($B146=1,$E$23,IF(N(Vintage_Input!O95)&gt;0,IFERROR(Vintage_Input!BC95/$C146,""),""))</f>
        <v/>
      </c>
      <c r="AV146" s="152">
        <f>IF($B146=1,$F$23,IF(N(Vintage_Input!P95)&gt;0,IFERROR(Vintage_Input!BD95/$C146,""),""))</f>
        <v/>
      </c>
      <c r="AW146" s="152">
        <f>IF($B146=1,$G$23,IF(N(Vintage_Input!Q95)&gt;0,IFERROR(Vintage_Input!BE95/$C146,""),""))</f>
        <v/>
      </c>
      <c r="AX146" s="152">
        <f>IF($B146=1,$H$23,IF(N(Vintage_Input!R95)&gt;0,IFERROR(Vintage_Input!BF95/$C146,""),""))</f>
        <v/>
      </c>
      <c r="AY146" s="152">
        <f>IF($B146=1,$I$23,IF(N(Vintage_Input!S95)&gt;0,IFERROR(Vintage_Input!BG95/$C146,""),""))</f>
        <v/>
      </c>
      <c r="AZ146" s="153">
        <f>IF($B146=1,$B$24,IF(N(Vintage_Input!L95)&gt;0,IFERROR((Vintage_Input!D95+Vintage_Input!AR95)/$C146+Products!$D$14-(Products!$D$43+Products!$D$19+Products!$D$43*Products!$D$22+Products!$D$44),""),""))</f>
        <v/>
      </c>
      <c r="BA146" s="153">
        <f>IF($B146=1,$C$24,IF(N(Vintage_Input!M95)&gt;0,IFERROR((Vintage_Input!E95+Vintage_Input!AS95)/$C146+Products!$D$14-(Products!$D$43+Products!$D$19+Products!$D$43*Products!$D$22+Products!$D$44),""),""))</f>
        <v/>
      </c>
      <c r="BB146" s="153">
        <f>IF($B146=1,$D$24,IF(N(Vintage_Input!N95)&gt;0,IFERROR((Vintage_Input!F95+Vintage_Input!AT95)/$C146+Products!$D$14-(Products!$D$43+Products!$D$19+Products!$D$43*Products!$D$22+Products!$D$44),""),""))</f>
        <v/>
      </c>
      <c r="BC146" s="153">
        <f>IF($B146=1,$E$24,IF(N(Vintage_Input!O95)&gt;0,IFERROR((Vintage_Input!G95+Vintage_Input!AU95)/$C146+Products!$D$14-(Products!$D$43+Products!$D$19+Products!$D$43*Products!$D$22+Products!$D$44),""),""))</f>
        <v/>
      </c>
      <c r="BD146" s="153">
        <f>IF($B146=1,$F$24,IF(N(Vintage_Input!P95)&gt;0,IFERROR((Vintage_Input!H95+Vintage_Input!AV95)/$C146+Products!$D$14-(Products!$D$43+Products!$D$19+Products!$D$43*Products!$D$22+Products!$D$44),""),""))</f>
        <v/>
      </c>
      <c r="BE146" s="153">
        <f>IF($B146=1,$G$24,IF(N(Vintage_Input!Q95)&gt;0,IFERROR((Vintage_Input!I95+Vintage_Input!AW95)/$C146+Products!$D$14-(Products!$D$43+Products!$D$19+Products!$D$43*Products!$D$22+Products!$D$44),""),""))</f>
        <v/>
      </c>
      <c r="BF146" s="153">
        <f>IF($B146=1,$H$24,IF(N(Vintage_Input!R95)&gt;0,IFERROR((Vintage_Input!J95+Vintage_Input!AX95)/$C146+Products!$D$14-(Products!$D$43+Products!$D$19+Products!$D$43*Products!$D$22+Products!$D$44),""),""))</f>
        <v/>
      </c>
      <c r="BG146" s="153">
        <f>IF($B146=1,$I$24,IF(N(Vintage_Input!S95)&gt;0,IFERROR((Vintage_Input!K95+Vintage_Input!AY95)/$C146+Products!$D$14-(Products!$D$43+Products!$D$19+Products!$D$43*Products!$D$22+Products!$D$44),""),""))</f>
        <v/>
      </c>
      <c r="BH146" s="81">
        <f>IF($B146=1,0,IF(Vintage_Input!$BH$95="","",Vintage_Input!$BH$95))</f>
        <v/>
      </c>
    </row>
    <row r="147">
      <c r="A147" s="23" t="n">
        <v>23</v>
      </c>
      <c r="B147" s="48">
        <f>Vintage_Input!$B$96</f>
        <v/>
      </c>
      <c r="C147" s="41">
        <f>IF(Vintage_Input!$C$96="",0,Vintage_Input!$C$96)</f>
        <v/>
      </c>
      <c r="D147" s="152">
        <f>IF($B147=1,$B$18,IF(N(Vintage_Input!L96)&gt;0,Vintage_Input!D96/Vintage_Input!L96,""))</f>
        <v/>
      </c>
      <c r="E147" s="152">
        <f>IF($B147=1,$C$18,IF(N(Vintage_Input!M96)&gt;0,Vintage_Input!E96/Vintage_Input!M96,""))</f>
        <v/>
      </c>
      <c r="F147" s="152">
        <f>IF($B147=1,$D$18,IF(N(Vintage_Input!N96)&gt;0,Vintage_Input!F96/Vintage_Input!N96,""))</f>
        <v/>
      </c>
      <c r="G147" s="152">
        <f>IF($B147=1,$E$18,IF(N(Vintage_Input!O96)&gt;0,Vintage_Input!G96/Vintage_Input!O96,""))</f>
        <v/>
      </c>
      <c r="H147" s="152">
        <f>IF($B147=1,$F$18,IF(N(Vintage_Input!P96)&gt;0,Vintage_Input!H96/Vintage_Input!P96,""))</f>
        <v/>
      </c>
      <c r="I147" s="152">
        <f>IF($B147=1,$G$18,IF(N(Vintage_Input!Q96)&gt;0,Vintage_Input!I96/Vintage_Input!Q96,""))</f>
        <v/>
      </c>
      <c r="J147" s="152">
        <f>IF($B147=1,$H$18,IF(N(Vintage_Input!R96)&gt;0,Vintage_Input!J96/Vintage_Input!R96,""))</f>
        <v/>
      </c>
      <c r="K147" s="152">
        <f>IF($B147=1,$I$18,IF(N(Vintage_Input!S96)&gt;0,Vintage_Input!K96/Vintage_Input!S96,""))</f>
        <v/>
      </c>
      <c r="L147" s="152">
        <f>IF($B147=1,$B$19,IF(N(Vintage_Input!L96)&gt;0,Vintage_Input!T96/Vintage_Input!L96,""))</f>
        <v/>
      </c>
      <c r="M147" s="152">
        <f>IF($B147=1,$C$19,IF(N(Vintage_Input!M96)&gt;0,Vintage_Input!U96/Vintage_Input!M96,""))</f>
        <v/>
      </c>
      <c r="N147" s="152">
        <f>IF($B147=1,$D$19,IF(N(Vintage_Input!N96)&gt;0,Vintage_Input!V96/Vintage_Input!N96,""))</f>
        <v/>
      </c>
      <c r="O147" s="152">
        <f>IF($B147=1,$E$19,IF(N(Vintage_Input!O96)&gt;0,Vintage_Input!W96/Vintage_Input!O96,""))</f>
        <v/>
      </c>
      <c r="P147" s="152">
        <f>IF($B147=1,$F$19,IF(N(Vintage_Input!P96)&gt;0,Vintage_Input!X96/Vintage_Input!P96,""))</f>
        <v/>
      </c>
      <c r="Q147" s="152">
        <f>IF($B147=1,$G$19,IF(N(Vintage_Input!Q96)&gt;0,Vintage_Input!Y96/Vintage_Input!Q96,""))</f>
        <v/>
      </c>
      <c r="R147" s="152">
        <f>IF($B147=1,$H$19,IF(N(Vintage_Input!R96)&gt;0,Vintage_Input!Z96/Vintage_Input!R96,""))</f>
        <v/>
      </c>
      <c r="S147" s="152">
        <f>IF($B147=1,$I$19,IF(N(Vintage_Input!S96)&gt;0,Vintage_Input!AA96/Vintage_Input!S96,""))</f>
        <v/>
      </c>
      <c r="T147" s="152">
        <f>IF($B147=1,$B$20,IF(N(Vintage_Input!L96)&gt;0,Vintage_Input!AB96/Vintage_Input!L96,""))</f>
        <v/>
      </c>
      <c r="U147" s="152">
        <f>IF($B147=1,$C$20,IF(N(Vintage_Input!M96)&gt;0,Vintage_Input!AC96/Vintage_Input!M96,""))</f>
        <v/>
      </c>
      <c r="V147" s="152">
        <f>IF($B147=1,$D$20,IF(N(Vintage_Input!N96)&gt;0,Vintage_Input!AD96/Vintage_Input!N96,""))</f>
        <v/>
      </c>
      <c r="W147" s="152">
        <f>IF($B147=1,$E$20,IF(N(Vintage_Input!O96)&gt;0,Vintage_Input!AE96/Vintage_Input!O96,""))</f>
        <v/>
      </c>
      <c r="X147" s="152">
        <f>IF($B147=1,$F$20,IF(N(Vintage_Input!P96)&gt;0,Vintage_Input!AF96/Vintage_Input!P96,""))</f>
        <v/>
      </c>
      <c r="Y147" s="152">
        <f>IF($B147=1,$G$20,IF(N(Vintage_Input!Q96)&gt;0,Vintage_Input!AG96/Vintage_Input!Q96,""))</f>
        <v/>
      </c>
      <c r="Z147" s="152">
        <f>IF($B147=1,$H$20,IF(N(Vintage_Input!R96)&gt;0,Vintage_Input!AH96/Vintage_Input!R96,""))</f>
        <v/>
      </c>
      <c r="AA147" s="152">
        <f>IF($B147=1,$I$20,IF(N(Vintage_Input!S96)&gt;0,Vintage_Input!AI96/Vintage_Input!S96,""))</f>
        <v/>
      </c>
      <c r="AB147" s="152">
        <f>IF($B147=1,$B$21,IF(N(Vintage_Input!L96)&gt;0,Vintage_Input!AJ96/Vintage_Input!L96,""))</f>
        <v/>
      </c>
      <c r="AC147" s="152">
        <f>IF($B147=1,$C$21,IF(N(Vintage_Input!M96)&gt;0,Vintage_Input!AK96/Vintage_Input!M96,""))</f>
        <v/>
      </c>
      <c r="AD147" s="152">
        <f>IF($B147=1,$D$21,IF(N(Vintage_Input!N96)&gt;0,Vintage_Input!AL96/Vintage_Input!N96,""))</f>
        <v/>
      </c>
      <c r="AE147" s="152">
        <f>IF($B147=1,$E$21,IF(N(Vintage_Input!O96)&gt;0,Vintage_Input!AM96/Vintage_Input!O96,""))</f>
        <v/>
      </c>
      <c r="AF147" s="152">
        <f>IF($B147=1,$F$21,IF(N(Vintage_Input!P96)&gt;0,Vintage_Input!AN96/Vintage_Input!P96,""))</f>
        <v/>
      </c>
      <c r="AG147" s="152">
        <f>IF($B147=1,$G$21,IF(N(Vintage_Input!Q96)&gt;0,Vintage_Input!AO96/Vintage_Input!Q96,""))</f>
        <v/>
      </c>
      <c r="AH147" s="152">
        <f>IF($B147=1,$H$21,IF(N(Vintage_Input!R96)&gt;0,Vintage_Input!AP96/Vintage_Input!R96,""))</f>
        <v/>
      </c>
      <c r="AI147" s="152">
        <f>IF($B147=1,$I$21,IF(N(Vintage_Input!S96)&gt;0,Vintage_Input!AQ96/Vintage_Input!S96,""))</f>
        <v/>
      </c>
      <c r="AJ147" s="152">
        <f>IF($B147=1,$B$22,IF(N(Vintage_Input!L96)&gt;0,IFERROR(Vintage_Input!AR96/Vintage_Input!AJ96,""),""))</f>
        <v/>
      </c>
      <c r="AK147" s="152">
        <f>IF($B147=1,$C$22,IF(N(Vintage_Input!M96)&gt;0,IFERROR(Vintage_Input!AS96/Vintage_Input!AK96,""),""))</f>
        <v/>
      </c>
      <c r="AL147" s="152">
        <f>IF($B147=1,$D$22,IF(N(Vintage_Input!N96)&gt;0,IFERROR(Vintage_Input!AT96/Vintage_Input!AL96,""),""))</f>
        <v/>
      </c>
      <c r="AM147" s="152">
        <f>IF($B147=1,$E$22,IF(N(Vintage_Input!O96)&gt;0,IFERROR(Vintage_Input!AU96/Vintage_Input!AM96,""),""))</f>
        <v/>
      </c>
      <c r="AN147" s="152">
        <f>IF($B147=1,$F$22,IF(N(Vintage_Input!P96)&gt;0,IFERROR(Vintage_Input!AV96/Vintage_Input!AN96,""),""))</f>
        <v/>
      </c>
      <c r="AO147" s="152">
        <f>IF($B147=1,$G$22,IF(N(Vintage_Input!Q96)&gt;0,IFERROR(Vintage_Input!AW96/Vintage_Input!AO96,""),""))</f>
        <v/>
      </c>
      <c r="AP147" s="152">
        <f>IF($B147=1,$H$22,IF(N(Vintage_Input!R96)&gt;0,IFERROR(Vintage_Input!AX96/Vintage_Input!AP96,""),""))</f>
        <v/>
      </c>
      <c r="AQ147" s="152">
        <f>IF($B147=1,$I$22,IF(N(Vintage_Input!S96)&gt;0,IFERROR(Vintage_Input!AY96/Vintage_Input!AQ96,""),""))</f>
        <v/>
      </c>
      <c r="AR147" s="152">
        <f>IF($B147=1,$B$23,IF(N(Vintage_Input!L96)&gt;0,IFERROR(Vintage_Input!AZ96/$C147,""),""))</f>
        <v/>
      </c>
      <c r="AS147" s="152">
        <f>IF($B147=1,$C$23,IF(N(Vintage_Input!M96)&gt;0,IFERROR(Vintage_Input!BA96/$C147,""),""))</f>
        <v/>
      </c>
      <c r="AT147" s="152">
        <f>IF($B147=1,$D$23,IF(N(Vintage_Input!N96)&gt;0,IFERROR(Vintage_Input!BB96/$C147,""),""))</f>
        <v/>
      </c>
      <c r="AU147" s="152">
        <f>IF($B147=1,$E$23,IF(N(Vintage_Input!O96)&gt;0,IFERROR(Vintage_Input!BC96/$C147,""),""))</f>
        <v/>
      </c>
      <c r="AV147" s="152">
        <f>IF($B147=1,$F$23,IF(N(Vintage_Input!P96)&gt;0,IFERROR(Vintage_Input!BD96/$C147,""),""))</f>
        <v/>
      </c>
      <c r="AW147" s="152">
        <f>IF($B147=1,$G$23,IF(N(Vintage_Input!Q96)&gt;0,IFERROR(Vintage_Input!BE96/$C147,""),""))</f>
        <v/>
      </c>
      <c r="AX147" s="152">
        <f>IF($B147=1,$H$23,IF(N(Vintage_Input!R96)&gt;0,IFERROR(Vintage_Input!BF96/$C147,""),""))</f>
        <v/>
      </c>
      <c r="AY147" s="152">
        <f>IF($B147=1,$I$23,IF(N(Vintage_Input!S96)&gt;0,IFERROR(Vintage_Input!BG96/$C147,""),""))</f>
        <v/>
      </c>
      <c r="AZ147" s="153">
        <f>IF($B147=1,$B$24,IF(N(Vintage_Input!L96)&gt;0,IFERROR((Vintage_Input!D96+Vintage_Input!AR96)/$C147+Products!$D$14-(Products!$D$43+Products!$D$19+Products!$D$43*Products!$D$22+Products!$D$44),""),""))</f>
        <v/>
      </c>
      <c r="BA147" s="153">
        <f>IF($B147=1,$C$24,IF(N(Vintage_Input!M96)&gt;0,IFERROR((Vintage_Input!E96+Vintage_Input!AS96)/$C147+Products!$D$14-(Products!$D$43+Products!$D$19+Products!$D$43*Products!$D$22+Products!$D$44),""),""))</f>
        <v/>
      </c>
      <c r="BB147" s="153">
        <f>IF($B147=1,$D$24,IF(N(Vintage_Input!N96)&gt;0,IFERROR((Vintage_Input!F96+Vintage_Input!AT96)/$C147+Products!$D$14-(Products!$D$43+Products!$D$19+Products!$D$43*Products!$D$22+Products!$D$44),""),""))</f>
        <v/>
      </c>
      <c r="BC147" s="153">
        <f>IF($B147=1,$E$24,IF(N(Vintage_Input!O96)&gt;0,IFERROR((Vintage_Input!G96+Vintage_Input!AU96)/$C147+Products!$D$14-(Products!$D$43+Products!$D$19+Products!$D$43*Products!$D$22+Products!$D$44),""),""))</f>
        <v/>
      </c>
      <c r="BD147" s="153">
        <f>IF($B147=1,$F$24,IF(N(Vintage_Input!P96)&gt;0,IFERROR((Vintage_Input!H96+Vintage_Input!AV96)/$C147+Products!$D$14-(Products!$D$43+Products!$D$19+Products!$D$43*Products!$D$22+Products!$D$44),""),""))</f>
        <v/>
      </c>
      <c r="BE147" s="153">
        <f>IF($B147=1,$G$24,IF(N(Vintage_Input!Q96)&gt;0,IFERROR((Vintage_Input!I96+Vintage_Input!AW96)/$C147+Products!$D$14-(Products!$D$43+Products!$D$19+Products!$D$43*Products!$D$22+Products!$D$44),""),""))</f>
        <v/>
      </c>
      <c r="BF147" s="153">
        <f>IF($B147=1,$H$24,IF(N(Vintage_Input!R96)&gt;0,IFERROR((Vintage_Input!J96+Vintage_Input!AX96)/$C147+Products!$D$14-(Products!$D$43+Products!$D$19+Products!$D$43*Products!$D$22+Products!$D$44),""),""))</f>
        <v/>
      </c>
      <c r="BG147" s="153">
        <f>IF($B147=1,$I$24,IF(N(Vintage_Input!S96)&gt;0,IFERROR((Vintage_Input!K96+Vintage_Input!AY96)/$C147+Products!$D$14-(Products!$D$43+Products!$D$19+Products!$D$43*Products!$D$22+Products!$D$44),""),""))</f>
        <v/>
      </c>
      <c r="BH147" s="81">
        <f>IF($B147=1,0,IF(Vintage_Input!$BH$96="","",Vintage_Input!$BH$96))</f>
        <v/>
      </c>
    </row>
    <row r="148">
      <c r="A148" s="23" t="n">
        <v>24</v>
      </c>
      <c r="B148" s="48">
        <f>Vintage_Input!$B$97</f>
        <v/>
      </c>
      <c r="C148" s="41">
        <f>IF(Vintage_Input!$C$97="",0,Vintage_Input!$C$97)</f>
        <v/>
      </c>
      <c r="D148" s="152">
        <f>IF($B148=1,$B$18,IF(N(Vintage_Input!L97)&gt;0,Vintage_Input!D97/Vintage_Input!L97,""))</f>
        <v/>
      </c>
      <c r="E148" s="152">
        <f>IF($B148=1,$C$18,IF(N(Vintage_Input!M97)&gt;0,Vintage_Input!E97/Vintage_Input!M97,""))</f>
        <v/>
      </c>
      <c r="F148" s="152">
        <f>IF($B148=1,$D$18,IF(N(Vintage_Input!N97)&gt;0,Vintage_Input!F97/Vintage_Input!N97,""))</f>
        <v/>
      </c>
      <c r="G148" s="152">
        <f>IF($B148=1,$E$18,IF(N(Vintage_Input!O97)&gt;0,Vintage_Input!G97/Vintage_Input!O97,""))</f>
        <v/>
      </c>
      <c r="H148" s="152">
        <f>IF($B148=1,$F$18,IF(N(Vintage_Input!P97)&gt;0,Vintage_Input!H97/Vintage_Input!P97,""))</f>
        <v/>
      </c>
      <c r="I148" s="152">
        <f>IF($B148=1,$G$18,IF(N(Vintage_Input!Q97)&gt;0,Vintage_Input!I97/Vintage_Input!Q97,""))</f>
        <v/>
      </c>
      <c r="J148" s="152">
        <f>IF($B148=1,$H$18,IF(N(Vintage_Input!R97)&gt;0,Vintage_Input!J97/Vintage_Input!R97,""))</f>
        <v/>
      </c>
      <c r="K148" s="152">
        <f>IF($B148=1,$I$18,IF(N(Vintage_Input!S97)&gt;0,Vintage_Input!K97/Vintage_Input!S97,""))</f>
        <v/>
      </c>
      <c r="L148" s="152">
        <f>IF($B148=1,$B$19,IF(N(Vintage_Input!L97)&gt;0,Vintage_Input!T97/Vintage_Input!L97,""))</f>
        <v/>
      </c>
      <c r="M148" s="152">
        <f>IF($B148=1,$C$19,IF(N(Vintage_Input!M97)&gt;0,Vintage_Input!U97/Vintage_Input!M97,""))</f>
        <v/>
      </c>
      <c r="N148" s="152">
        <f>IF($B148=1,$D$19,IF(N(Vintage_Input!N97)&gt;0,Vintage_Input!V97/Vintage_Input!N97,""))</f>
        <v/>
      </c>
      <c r="O148" s="152">
        <f>IF($B148=1,$E$19,IF(N(Vintage_Input!O97)&gt;0,Vintage_Input!W97/Vintage_Input!O97,""))</f>
        <v/>
      </c>
      <c r="P148" s="152">
        <f>IF($B148=1,$F$19,IF(N(Vintage_Input!P97)&gt;0,Vintage_Input!X97/Vintage_Input!P97,""))</f>
        <v/>
      </c>
      <c r="Q148" s="152">
        <f>IF($B148=1,$G$19,IF(N(Vintage_Input!Q97)&gt;0,Vintage_Input!Y97/Vintage_Input!Q97,""))</f>
        <v/>
      </c>
      <c r="R148" s="152">
        <f>IF($B148=1,$H$19,IF(N(Vintage_Input!R97)&gt;0,Vintage_Input!Z97/Vintage_Input!R97,""))</f>
        <v/>
      </c>
      <c r="S148" s="152">
        <f>IF($B148=1,$I$19,IF(N(Vintage_Input!S97)&gt;0,Vintage_Input!AA97/Vintage_Input!S97,""))</f>
        <v/>
      </c>
      <c r="T148" s="152">
        <f>IF($B148=1,$B$20,IF(N(Vintage_Input!L97)&gt;0,Vintage_Input!AB97/Vintage_Input!L97,""))</f>
        <v/>
      </c>
      <c r="U148" s="152">
        <f>IF($B148=1,$C$20,IF(N(Vintage_Input!M97)&gt;0,Vintage_Input!AC97/Vintage_Input!M97,""))</f>
        <v/>
      </c>
      <c r="V148" s="152">
        <f>IF($B148=1,$D$20,IF(N(Vintage_Input!N97)&gt;0,Vintage_Input!AD97/Vintage_Input!N97,""))</f>
        <v/>
      </c>
      <c r="W148" s="152">
        <f>IF($B148=1,$E$20,IF(N(Vintage_Input!O97)&gt;0,Vintage_Input!AE97/Vintage_Input!O97,""))</f>
        <v/>
      </c>
      <c r="X148" s="152">
        <f>IF($B148=1,$F$20,IF(N(Vintage_Input!P97)&gt;0,Vintage_Input!AF97/Vintage_Input!P97,""))</f>
        <v/>
      </c>
      <c r="Y148" s="152">
        <f>IF($B148=1,$G$20,IF(N(Vintage_Input!Q97)&gt;0,Vintage_Input!AG97/Vintage_Input!Q97,""))</f>
        <v/>
      </c>
      <c r="Z148" s="152">
        <f>IF($B148=1,$H$20,IF(N(Vintage_Input!R97)&gt;0,Vintage_Input!AH97/Vintage_Input!R97,""))</f>
        <v/>
      </c>
      <c r="AA148" s="152">
        <f>IF($B148=1,$I$20,IF(N(Vintage_Input!S97)&gt;0,Vintage_Input!AI97/Vintage_Input!S97,""))</f>
        <v/>
      </c>
      <c r="AB148" s="152">
        <f>IF($B148=1,$B$21,IF(N(Vintage_Input!L97)&gt;0,Vintage_Input!AJ97/Vintage_Input!L97,""))</f>
        <v/>
      </c>
      <c r="AC148" s="152">
        <f>IF($B148=1,$C$21,IF(N(Vintage_Input!M97)&gt;0,Vintage_Input!AK97/Vintage_Input!M97,""))</f>
        <v/>
      </c>
      <c r="AD148" s="152">
        <f>IF($B148=1,$D$21,IF(N(Vintage_Input!N97)&gt;0,Vintage_Input!AL97/Vintage_Input!N97,""))</f>
        <v/>
      </c>
      <c r="AE148" s="152">
        <f>IF($B148=1,$E$21,IF(N(Vintage_Input!O97)&gt;0,Vintage_Input!AM97/Vintage_Input!O97,""))</f>
        <v/>
      </c>
      <c r="AF148" s="152">
        <f>IF($B148=1,$F$21,IF(N(Vintage_Input!P97)&gt;0,Vintage_Input!AN97/Vintage_Input!P97,""))</f>
        <v/>
      </c>
      <c r="AG148" s="152">
        <f>IF($B148=1,$G$21,IF(N(Vintage_Input!Q97)&gt;0,Vintage_Input!AO97/Vintage_Input!Q97,""))</f>
        <v/>
      </c>
      <c r="AH148" s="152">
        <f>IF($B148=1,$H$21,IF(N(Vintage_Input!R97)&gt;0,Vintage_Input!AP97/Vintage_Input!R97,""))</f>
        <v/>
      </c>
      <c r="AI148" s="152">
        <f>IF($B148=1,$I$21,IF(N(Vintage_Input!S97)&gt;0,Vintage_Input!AQ97/Vintage_Input!S97,""))</f>
        <v/>
      </c>
      <c r="AJ148" s="152">
        <f>IF($B148=1,$B$22,IF(N(Vintage_Input!L97)&gt;0,IFERROR(Vintage_Input!AR97/Vintage_Input!AJ97,""),""))</f>
        <v/>
      </c>
      <c r="AK148" s="152">
        <f>IF($B148=1,$C$22,IF(N(Vintage_Input!M97)&gt;0,IFERROR(Vintage_Input!AS97/Vintage_Input!AK97,""),""))</f>
        <v/>
      </c>
      <c r="AL148" s="152">
        <f>IF($B148=1,$D$22,IF(N(Vintage_Input!N97)&gt;0,IFERROR(Vintage_Input!AT97/Vintage_Input!AL97,""),""))</f>
        <v/>
      </c>
      <c r="AM148" s="152">
        <f>IF($B148=1,$E$22,IF(N(Vintage_Input!O97)&gt;0,IFERROR(Vintage_Input!AU97/Vintage_Input!AM97,""),""))</f>
        <v/>
      </c>
      <c r="AN148" s="152">
        <f>IF($B148=1,$F$22,IF(N(Vintage_Input!P97)&gt;0,IFERROR(Vintage_Input!AV97/Vintage_Input!AN97,""),""))</f>
        <v/>
      </c>
      <c r="AO148" s="152">
        <f>IF($B148=1,$G$22,IF(N(Vintage_Input!Q97)&gt;0,IFERROR(Vintage_Input!AW97/Vintage_Input!AO97,""),""))</f>
        <v/>
      </c>
      <c r="AP148" s="152">
        <f>IF($B148=1,$H$22,IF(N(Vintage_Input!R97)&gt;0,IFERROR(Vintage_Input!AX97/Vintage_Input!AP97,""),""))</f>
        <v/>
      </c>
      <c r="AQ148" s="152">
        <f>IF($B148=1,$I$22,IF(N(Vintage_Input!S97)&gt;0,IFERROR(Vintage_Input!AY97/Vintage_Input!AQ97,""),""))</f>
        <v/>
      </c>
      <c r="AR148" s="152">
        <f>IF($B148=1,$B$23,IF(N(Vintage_Input!L97)&gt;0,IFERROR(Vintage_Input!AZ97/$C148,""),""))</f>
        <v/>
      </c>
      <c r="AS148" s="152">
        <f>IF($B148=1,$C$23,IF(N(Vintage_Input!M97)&gt;0,IFERROR(Vintage_Input!BA97/$C148,""),""))</f>
        <v/>
      </c>
      <c r="AT148" s="152">
        <f>IF($B148=1,$D$23,IF(N(Vintage_Input!N97)&gt;0,IFERROR(Vintage_Input!BB97/$C148,""),""))</f>
        <v/>
      </c>
      <c r="AU148" s="152">
        <f>IF($B148=1,$E$23,IF(N(Vintage_Input!O97)&gt;0,IFERROR(Vintage_Input!BC97/$C148,""),""))</f>
        <v/>
      </c>
      <c r="AV148" s="152">
        <f>IF($B148=1,$F$23,IF(N(Vintage_Input!P97)&gt;0,IFERROR(Vintage_Input!BD97/$C148,""),""))</f>
        <v/>
      </c>
      <c r="AW148" s="152">
        <f>IF($B148=1,$G$23,IF(N(Vintage_Input!Q97)&gt;0,IFERROR(Vintage_Input!BE97/$C148,""),""))</f>
        <v/>
      </c>
      <c r="AX148" s="152">
        <f>IF($B148=1,$H$23,IF(N(Vintage_Input!R97)&gt;0,IFERROR(Vintage_Input!BF97/$C148,""),""))</f>
        <v/>
      </c>
      <c r="AY148" s="152">
        <f>IF($B148=1,$I$23,IF(N(Vintage_Input!S97)&gt;0,IFERROR(Vintage_Input!BG97/$C148,""),""))</f>
        <v/>
      </c>
      <c r="AZ148" s="153">
        <f>IF($B148=1,$B$24,IF(N(Vintage_Input!L97)&gt;0,IFERROR((Vintage_Input!D97+Vintage_Input!AR97)/$C148+Products!$D$14-(Products!$D$43+Products!$D$19+Products!$D$43*Products!$D$22+Products!$D$44),""),""))</f>
        <v/>
      </c>
      <c r="BA148" s="153">
        <f>IF($B148=1,$C$24,IF(N(Vintage_Input!M97)&gt;0,IFERROR((Vintage_Input!E97+Vintage_Input!AS97)/$C148+Products!$D$14-(Products!$D$43+Products!$D$19+Products!$D$43*Products!$D$22+Products!$D$44),""),""))</f>
        <v/>
      </c>
      <c r="BB148" s="153">
        <f>IF($B148=1,$D$24,IF(N(Vintage_Input!N97)&gt;0,IFERROR((Vintage_Input!F97+Vintage_Input!AT97)/$C148+Products!$D$14-(Products!$D$43+Products!$D$19+Products!$D$43*Products!$D$22+Products!$D$44),""),""))</f>
        <v/>
      </c>
      <c r="BC148" s="153">
        <f>IF($B148=1,$E$24,IF(N(Vintage_Input!O97)&gt;0,IFERROR((Vintage_Input!G97+Vintage_Input!AU97)/$C148+Products!$D$14-(Products!$D$43+Products!$D$19+Products!$D$43*Products!$D$22+Products!$D$44),""),""))</f>
        <v/>
      </c>
      <c r="BD148" s="153">
        <f>IF($B148=1,$F$24,IF(N(Vintage_Input!P97)&gt;0,IFERROR((Vintage_Input!H97+Vintage_Input!AV97)/$C148+Products!$D$14-(Products!$D$43+Products!$D$19+Products!$D$43*Products!$D$22+Products!$D$44),""),""))</f>
        <v/>
      </c>
      <c r="BE148" s="153">
        <f>IF($B148=1,$G$24,IF(N(Vintage_Input!Q97)&gt;0,IFERROR((Vintage_Input!I97+Vintage_Input!AW97)/$C148+Products!$D$14-(Products!$D$43+Products!$D$19+Products!$D$43*Products!$D$22+Products!$D$44),""),""))</f>
        <v/>
      </c>
      <c r="BF148" s="153">
        <f>IF($B148=1,$H$24,IF(N(Vintage_Input!R97)&gt;0,IFERROR((Vintage_Input!J97+Vintage_Input!AX97)/$C148+Products!$D$14-(Products!$D$43+Products!$D$19+Products!$D$43*Products!$D$22+Products!$D$44),""),""))</f>
        <v/>
      </c>
      <c r="BG148" s="153">
        <f>IF($B148=1,$I$24,IF(N(Vintage_Input!S97)&gt;0,IFERROR((Vintage_Input!K97+Vintage_Input!AY97)/$C148+Products!$D$14-(Products!$D$43+Products!$D$19+Products!$D$43*Products!$D$22+Products!$D$44),""),""))</f>
        <v/>
      </c>
      <c r="BH148" s="81">
        <f>IF($B148=1,0,IF(Vintage_Input!$BH$97="","",Vintage_Input!$BH$97))</f>
        <v/>
      </c>
    </row>
    <row r="149">
      <c r="A149" s="23" t="n">
        <v>25</v>
      </c>
      <c r="B149" s="48">
        <f>Vintage_Input!$B$98</f>
        <v/>
      </c>
      <c r="C149" s="41">
        <f>IF(Vintage_Input!$C$98="",0,Vintage_Input!$C$98)</f>
        <v/>
      </c>
      <c r="D149" s="152">
        <f>IF($B149=1,$B$18,IF(N(Vintage_Input!L98)&gt;0,Vintage_Input!D98/Vintage_Input!L98,""))</f>
        <v/>
      </c>
      <c r="E149" s="152">
        <f>IF($B149=1,$C$18,IF(N(Vintage_Input!M98)&gt;0,Vintage_Input!E98/Vintage_Input!M98,""))</f>
        <v/>
      </c>
      <c r="F149" s="152">
        <f>IF($B149=1,$D$18,IF(N(Vintage_Input!N98)&gt;0,Vintage_Input!F98/Vintage_Input!N98,""))</f>
        <v/>
      </c>
      <c r="G149" s="152">
        <f>IF($B149=1,$E$18,IF(N(Vintage_Input!O98)&gt;0,Vintage_Input!G98/Vintage_Input!O98,""))</f>
        <v/>
      </c>
      <c r="H149" s="152">
        <f>IF($B149=1,$F$18,IF(N(Vintage_Input!P98)&gt;0,Vintage_Input!H98/Vintage_Input!P98,""))</f>
        <v/>
      </c>
      <c r="I149" s="152">
        <f>IF($B149=1,$G$18,IF(N(Vintage_Input!Q98)&gt;0,Vintage_Input!I98/Vintage_Input!Q98,""))</f>
        <v/>
      </c>
      <c r="J149" s="152">
        <f>IF($B149=1,$H$18,IF(N(Vintage_Input!R98)&gt;0,Vintage_Input!J98/Vintage_Input!R98,""))</f>
        <v/>
      </c>
      <c r="K149" s="152">
        <f>IF($B149=1,$I$18,IF(N(Vintage_Input!S98)&gt;0,Vintage_Input!K98/Vintage_Input!S98,""))</f>
        <v/>
      </c>
      <c r="L149" s="152">
        <f>IF($B149=1,$B$19,IF(N(Vintage_Input!L98)&gt;0,Vintage_Input!T98/Vintage_Input!L98,""))</f>
        <v/>
      </c>
      <c r="M149" s="152">
        <f>IF($B149=1,$C$19,IF(N(Vintage_Input!M98)&gt;0,Vintage_Input!U98/Vintage_Input!M98,""))</f>
        <v/>
      </c>
      <c r="N149" s="152">
        <f>IF($B149=1,$D$19,IF(N(Vintage_Input!N98)&gt;0,Vintage_Input!V98/Vintage_Input!N98,""))</f>
        <v/>
      </c>
      <c r="O149" s="152">
        <f>IF($B149=1,$E$19,IF(N(Vintage_Input!O98)&gt;0,Vintage_Input!W98/Vintage_Input!O98,""))</f>
        <v/>
      </c>
      <c r="P149" s="152">
        <f>IF($B149=1,$F$19,IF(N(Vintage_Input!P98)&gt;0,Vintage_Input!X98/Vintage_Input!P98,""))</f>
        <v/>
      </c>
      <c r="Q149" s="152">
        <f>IF($B149=1,$G$19,IF(N(Vintage_Input!Q98)&gt;0,Vintage_Input!Y98/Vintage_Input!Q98,""))</f>
        <v/>
      </c>
      <c r="R149" s="152">
        <f>IF($B149=1,$H$19,IF(N(Vintage_Input!R98)&gt;0,Vintage_Input!Z98/Vintage_Input!R98,""))</f>
        <v/>
      </c>
      <c r="S149" s="152">
        <f>IF($B149=1,$I$19,IF(N(Vintage_Input!S98)&gt;0,Vintage_Input!AA98/Vintage_Input!S98,""))</f>
        <v/>
      </c>
      <c r="T149" s="152">
        <f>IF($B149=1,$B$20,IF(N(Vintage_Input!L98)&gt;0,Vintage_Input!AB98/Vintage_Input!L98,""))</f>
        <v/>
      </c>
      <c r="U149" s="152">
        <f>IF($B149=1,$C$20,IF(N(Vintage_Input!M98)&gt;0,Vintage_Input!AC98/Vintage_Input!M98,""))</f>
        <v/>
      </c>
      <c r="V149" s="152">
        <f>IF($B149=1,$D$20,IF(N(Vintage_Input!N98)&gt;0,Vintage_Input!AD98/Vintage_Input!N98,""))</f>
        <v/>
      </c>
      <c r="W149" s="152">
        <f>IF($B149=1,$E$20,IF(N(Vintage_Input!O98)&gt;0,Vintage_Input!AE98/Vintage_Input!O98,""))</f>
        <v/>
      </c>
      <c r="X149" s="152">
        <f>IF($B149=1,$F$20,IF(N(Vintage_Input!P98)&gt;0,Vintage_Input!AF98/Vintage_Input!P98,""))</f>
        <v/>
      </c>
      <c r="Y149" s="152">
        <f>IF($B149=1,$G$20,IF(N(Vintage_Input!Q98)&gt;0,Vintage_Input!AG98/Vintage_Input!Q98,""))</f>
        <v/>
      </c>
      <c r="Z149" s="152">
        <f>IF($B149=1,$H$20,IF(N(Vintage_Input!R98)&gt;0,Vintage_Input!AH98/Vintage_Input!R98,""))</f>
        <v/>
      </c>
      <c r="AA149" s="152">
        <f>IF($B149=1,$I$20,IF(N(Vintage_Input!S98)&gt;0,Vintage_Input!AI98/Vintage_Input!S98,""))</f>
        <v/>
      </c>
      <c r="AB149" s="152">
        <f>IF($B149=1,$B$21,IF(N(Vintage_Input!L98)&gt;0,Vintage_Input!AJ98/Vintage_Input!L98,""))</f>
        <v/>
      </c>
      <c r="AC149" s="152">
        <f>IF($B149=1,$C$21,IF(N(Vintage_Input!M98)&gt;0,Vintage_Input!AK98/Vintage_Input!M98,""))</f>
        <v/>
      </c>
      <c r="AD149" s="152">
        <f>IF($B149=1,$D$21,IF(N(Vintage_Input!N98)&gt;0,Vintage_Input!AL98/Vintage_Input!N98,""))</f>
        <v/>
      </c>
      <c r="AE149" s="152">
        <f>IF($B149=1,$E$21,IF(N(Vintage_Input!O98)&gt;0,Vintage_Input!AM98/Vintage_Input!O98,""))</f>
        <v/>
      </c>
      <c r="AF149" s="152">
        <f>IF($B149=1,$F$21,IF(N(Vintage_Input!P98)&gt;0,Vintage_Input!AN98/Vintage_Input!P98,""))</f>
        <v/>
      </c>
      <c r="AG149" s="152">
        <f>IF($B149=1,$G$21,IF(N(Vintage_Input!Q98)&gt;0,Vintage_Input!AO98/Vintage_Input!Q98,""))</f>
        <v/>
      </c>
      <c r="AH149" s="152">
        <f>IF($B149=1,$H$21,IF(N(Vintage_Input!R98)&gt;0,Vintage_Input!AP98/Vintage_Input!R98,""))</f>
        <v/>
      </c>
      <c r="AI149" s="152">
        <f>IF($B149=1,$I$21,IF(N(Vintage_Input!S98)&gt;0,Vintage_Input!AQ98/Vintage_Input!S98,""))</f>
        <v/>
      </c>
      <c r="AJ149" s="152">
        <f>IF($B149=1,$B$22,IF(N(Vintage_Input!L98)&gt;0,IFERROR(Vintage_Input!AR98/Vintage_Input!AJ98,""),""))</f>
        <v/>
      </c>
      <c r="AK149" s="152">
        <f>IF($B149=1,$C$22,IF(N(Vintage_Input!M98)&gt;0,IFERROR(Vintage_Input!AS98/Vintage_Input!AK98,""),""))</f>
        <v/>
      </c>
      <c r="AL149" s="152">
        <f>IF($B149=1,$D$22,IF(N(Vintage_Input!N98)&gt;0,IFERROR(Vintage_Input!AT98/Vintage_Input!AL98,""),""))</f>
        <v/>
      </c>
      <c r="AM149" s="152">
        <f>IF($B149=1,$E$22,IF(N(Vintage_Input!O98)&gt;0,IFERROR(Vintage_Input!AU98/Vintage_Input!AM98,""),""))</f>
        <v/>
      </c>
      <c r="AN149" s="152">
        <f>IF($B149=1,$F$22,IF(N(Vintage_Input!P98)&gt;0,IFERROR(Vintage_Input!AV98/Vintage_Input!AN98,""),""))</f>
        <v/>
      </c>
      <c r="AO149" s="152">
        <f>IF($B149=1,$G$22,IF(N(Vintage_Input!Q98)&gt;0,IFERROR(Vintage_Input!AW98/Vintage_Input!AO98,""),""))</f>
        <v/>
      </c>
      <c r="AP149" s="152">
        <f>IF($B149=1,$H$22,IF(N(Vintage_Input!R98)&gt;0,IFERROR(Vintage_Input!AX98/Vintage_Input!AP98,""),""))</f>
        <v/>
      </c>
      <c r="AQ149" s="152">
        <f>IF($B149=1,$I$22,IF(N(Vintage_Input!S98)&gt;0,IFERROR(Vintage_Input!AY98/Vintage_Input!AQ98,""),""))</f>
        <v/>
      </c>
      <c r="AR149" s="152">
        <f>IF($B149=1,$B$23,IF(N(Vintage_Input!L98)&gt;0,IFERROR(Vintage_Input!AZ98/$C149,""),""))</f>
        <v/>
      </c>
      <c r="AS149" s="152">
        <f>IF($B149=1,$C$23,IF(N(Vintage_Input!M98)&gt;0,IFERROR(Vintage_Input!BA98/$C149,""),""))</f>
        <v/>
      </c>
      <c r="AT149" s="152">
        <f>IF($B149=1,$D$23,IF(N(Vintage_Input!N98)&gt;0,IFERROR(Vintage_Input!BB98/$C149,""),""))</f>
        <v/>
      </c>
      <c r="AU149" s="152">
        <f>IF($B149=1,$E$23,IF(N(Vintage_Input!O98)&gt;0,IFERROR(Vintage_Input!BC98/$C149,""),""))</f>
        <v/>
      </c>
      <c r="AV149" s="152">
        <f>IF($B149=1,$F$23,IF(N(Vintage_Input!P98)&gt;0,IFERROR(Vintage_Input!BD98/$C149,""),""))</f>
        <v/>
      </c>
      <c r="AW149" s="152">
        <f>IF($B149=1,$G$23,IF(N(Vintage_Input!Q98)&gt;0,IFERROR(Vintage_Input!BE98/$C149,""),""))</f>
        <v/>
      </c>
      <c r="AX149" s="152">
        <f>IF($B149=1,$H$23,IF(N(Vintage_Input!R98)&gt;0,IFERROR(Vintage_Input!BF98/$C149,""),""))</f>
        <v/>
      </c>
      <c r="AY149" s="152">
        <f>IF($B149=1,$I$23,IF(N(Vintage_Input!S98)&gt;0,IFERROR(Vintage_Input!BG98/$C149,""),""))</f>
        <v/>
      </c>
      <c r="AZ149" s="153">
        <f>IF($B149=1,$B$24,IF(N(Vintage_Input!L98)&gt;0,IFERROR((Vintage_Input!D98+Vintage_Input!AR98)/$C149+Products!$D$14-(Products!$D$43+Products!$D$19+Products!$D$43*Products!$D$22+Products!$D$44),""),""))</f>
        <v/>
      </c>
      <c r="BA149" s="153">
        <f>IF($B149=1,$C$24,IF(N(Vintage_Input!M98)&gt;0,IFERROR((Vintage_Input!E98+Vintage_Input!AS98)/$C149+Products!$D$14-(Products!$D$43+Products!$D$19+Products!$D$43*Products!$D$22+Products!$D$44),""),""))</f>
        <v/>
      </c>
      <c r="BB149" s="153">
        <f>IF($B149=1,$D$24,IF(N(Vintage_Input!N98)&gt;0,IFERROR((Vintage_Input!F98+Vintage_Input!AT98)/$C149+Products!$D$14-(Products!$D$43+Products!$D$19+Products!$D$43*Products!$D$22+Products!$D$44),""),""))</f>
        <v/>
      </c>
      <c r="BC149" s="153">
        <f>IF($B149=1,$E$24,IF(N(Vintage_Input!O98)&gt;0,IFERROR((Vintage_Input!G98+Vintage_Input!AU98)/$C149+Products!$D$14-(Products!$D$43+Products!$D$19+Products!$D$43*Products!$D$22+Products!$D$44),""),""))</f>
        <v/>
      </c>
      <c r="BD149" s="153">
        <f>IF($B149=1,$F$24,IF(N(Vintage_Input!P98)&gt;0,IFERROR((Vintage_Input!H98+Vintage_Input!AV98)/$C149+Products!$D$14-(Products!$D$43+Products!$D$19+Products!$D$43*Products!$D$22+Products!$D$44),""),""))</f>
        <v/>
      </c>
      <c r="BE149" s="153">
        <f>IF($B149=1,$G$24,IF(N(Vintage_Input!Q98)&gt;0,IFERROR((Vintage_Input!I98+Vintage_Input!AW98)/$C149+Products!$D$14-(Products!$D$43+Products!$D$19+Products!$D$43*Products!$D$22+Products!$D$44),""),""))</f>
        <v/>
      </c>
      <c r="BF149" s="153">
        <f>IF($B149=1,$H$24,IF(N(Vintage_Input!R98)&gt;0,IFERROR((Vintage_Input!J98+Vintage_Input!AX98)/$C149+Products!$D$14-(Products!$D$43+Products!$D$19+Products!$D$43*Products!$D$22+Products!$D$44),""),""))</f>
        <v/>
      </c>
      <c r="BG149" s="153">
        <f>IF($B149=1,$I$24,IF(N(Vintage_Input!S98)&gt;0,IFERROR((Vintage_Input!K98+Vintage_Input!AY98)/$C149+Products!$D$14-(Products!$D$43+Products!$D$19+Products!$D$43*Products!$D$22+Products!$D$44),""),""))</f>
        <v/>
      </c>
      <c r="BH149" s="81">
        <f>IF($B149=1,0,IF(Vintage_Input!$BH$98="","",Vintage_Input!$BH$98))</f>
        <v/>
      </c>
    </row>
    <row r="150">
      <c r="A150" s="23" t="n">
        <v>26</v>
      </c>
      <c r="B150" s="48">
        <f>Vintage_Input!$B$99</f>
        <v/>
      </c>
      <c r="C150" s="41">
        <f>IF(Vintage_Input!$C$99="",0,Vintage_Input!$C$99)</f>
        <v/>
      </c>
      <c r="D150" s="152">
        <f>IF($B150=1,$B$18,IF(N(Vintage_Input!L99)&gt;0,Vintage_Input!D99/Vintage_Input!L99,""))</f>
        <v/>
      </c>
      <c r="E150" s="152">
        <f>IF($B150=1,$C$18,IF(N(Vintage_Input!M99)&gt;0,Vintage_Input!E99/Vintage_Input!M99,""))</f>
        <v/>
      </c>
      <c r="F150" s="152">
        <f>IF($B150=1,$D$18,IF(N(Vintage_Input!N99)&gt;0,Vintage_Input!F99/Vintage_Input!N99,""))</f>
        <v/>
      </c>
      <c r="G150" s="152">
        <f>IF($B150=1,$E$18,IF(N(Vintage_Input!O99)&gt;0,Vintage_Input!G99/Vintage_Input!O99,""))</f>
        <v/>
      </c>
      <c r="H150" s="152">
        <f>IF($B150=1,$F$18,IF(N(Vintage_Input!P99)&gt;0,Vintage_Input!H99/Vintage_Input!P99,""))</f>
        <v/>
      </c>
      <c r="I150" s="152">
        <f>IF($B150=1,$G$18,IF(N(Vintage_Input!Q99)&gt;0,Vintage_Input!I99/Vintage_Input!Q99,""))</f>
        <v/>
      </c>
      <c r="J150" s="152">
        <f>IF($B150=1,$H$18,IF(N(Vintage_Input!R99)&gt;0,Vintage_Input!J99/Vintage_Input!R99,""))</f>
        <v/>
      </c>
      <c r="K150" s="152">
        <f>IF($B150=1,$I$18,IF(N(Vintage_Input!S99)&gt;0,Vintage_Input!K99/Vintage_Input!S99,""))</f>
        <v/>
      </c>
      <c r="L150" s="152">
        <f>IF($B150=1,$B$19,IF(N(Vintage_Input!L99)&gt;0,Vintage_Input!T99/Vintage_Input!L99,""))</f>
        <v/>
      </c>
      <c r="M150" s="152">
        <f>IF($B150=1,$C$19,IF(N(Vintage_Input!M99)&gt;0,Vintage_Input!U99/Vintage_Input!M99,""))</f>
        <v/>
      </c>
      <c r="N150" s="152">
        <f>IF($B150=1,$D$19,IF(N(Vintage_Input!N99)&gt;0,Vintage_Input!V99/Vintage_Input!N99,""))</f>
        <v/>
      </c>
      <c r="O150" s="152">
        <f>IF($B150=1,$E$19,IF(N(Vintage_Input!O99)&gt;0,Vintage_Input!W99/Vintage_Input!O99,""))</f>
        <v/>
      </c>
      <c r="P150" s="152">
        <f>IF($B150=1,$F$19,IF(N(Vintage_Input!P99)&gt;0,Vintage_Input!X99/Vintage_Input!P99,""))</f>
        <v/>
      </c>
      <c r="Q150" s="152">
        <f>IF($B150=1,$G$19,IF(N(Vintage_Input!Q99)&gt;0,Vintage_Input!Y99/Vintage_Input!Q99,""))</f>
        <v/>
      </c>
      <c r="R150" s="152">
        <f>IF($B150=1,$H$19,IF(N(Vintage_Input!R99)&gt;0,Vintage_Input!Z99/Vintage_Input!R99,""))</f>
        <v/>
      </c>
      <c r="S150" s="152">
        <f>IF($B150=1,$I$19,IF(N(Vintage_Input!S99)&gt;0,Vintage_Input!AA99/Vintage_Input!S99,""))</f>
        <v/>
      </c>
      <c r="T150" s="152">
        <f>IF($B150=1,$B$20,IF(N(Vintage_Input!L99)&gt;0,Vintage_Input!AB99/Vintage_Input!L99,""))</f>
        <v/>
      </c>
      <c r="U150" s="152">
        <f>IF($B150=1,$C$20,IF(N(Vintage_Input!M99)&gt;0,Vintage_Input!AC99/Vintage_Input!M99,""))</f>
        <v/>
      </c>
      <c r="V150" s="152">
        <f>IF($B150=1,$D$20,IF(N(Vintage_Input!N99)&gt;0,Vintage_Input!AD99/Vintage_Input!N99,""))</f>
        <v/>
      </c>
      <c r="W150" s="152">
        <f>IF($B150=1,$E$20,IF(N(Vintage_Input!O99)&gt;0,Vintage_Input!AE99/Vintage_Input!O99,""))</f>
        <v/>
      </c>
      <c r="X150" s="152">
        <f>IF($B150=1,$F$20,IF(N(Vintage_Input!P99)&gt;0,Vintage_Input!AF99/Vintage_Input!P99,""))</f>
        <v/>
      </c>
      <c r="Y150" s="152">
        <f>IF($B150=1,$G$20,IF(N(Vintage_Input!Q99)&gt;0,Vintage_Input!AG99/Vintage_Input!Q99,""))</f>
        <v/>
      </c>
      <c r="Z150" s="152">
        <f>IF($B150=1,$H$20,IF(N(Vintage_Input!R99)&gt;0,Vintage_Input!AH99/Vintage_Input!R99,""))</f>
        <v/>
      </c>
      <c r="AA150" s="152">
        <f>IF($B150=1,$I$20,IF(N(Vintage_Input!S99)&gt;0,Vintage_Input!AI99/Vintage_Input!S99,""))</f>
        <v/>
      </c>
      <c r="AB150" s="152">
        <f>IF($B150=1,$B$21,IF(N(Vintage_Input!L99)&gt;0,Vintage_Input!AJ99/Vintage_Input!L99,""))</f>
        <v/>
      </c>
      <c r="AC150" s="152">
        <f>IF($B150=1,$C$21,IF(N(Vintage_Input!M99)&gt;0,Vintage_Input!AK99/Vintage_Input!M99,""))</f>
        <v/>
      </c>
      <c r="AD150" s="152">
        <f>IF($B150=1,$D$21,IF(N(Vintage_Input!N99)&gt;0,Vintage_Input!AL99/Vintage_Input!N99,""))</f>
        <v/>
      </c>
      <c r="AE150" s="152">
        <f>IF($B150=1,$E$21,IF(N(Vintage_Input!O99)&gt;0,Vintage_Input!AM99/Vintage_Input!O99,""))</f>
        <v/>
      </c>
      <c r="AF150" s="152">
        <f>IF($B150=1,$F$21,IF(N(Vintage_Input!P99)&gt;0,Vintage_Input!AN99/Vintage_Input!P99,""))</f>
        <v/>
      </c>
      <c r="AG150" s="152">
        <f>IF($B150=1,$G$21,IF(N(Vintage_Input!Q99)&gt;0,Vintage_Input!AO99/Vintage_Input!Q99,""))</f>
        <v/>
      </c>
      <c r="AH150" s="152">
        <f>IF($B150=1,$H$21,IF(N(Vintage_Input!R99)&gt;0,Vintage_Input!AP99/Vintage_Input!R99,""))</f>
        <v/>
      </c>
      <c r="AI150" s="152">
        <f>IF($B150=1,$I$21,IF(N(Vintage_Input!S99)&gt;0,Vintage_Input!AQ99/Vintage_Input!S99,""))</f>
        <v/>
      </c>
      <c r="AJ150" s="152">
        <f>IF($B150=1,$B$22,IF(N(Vintage_Input!L99)&gt;0,IFERROR(Vintage_Input!AR99/Vintage_Input!AJ99,""),""))</f>
        <v/>
      </c>
      <c r="AK150" s="152">
        <f>IF($B150=1,$C$22,IF(N(Vintage_Input!M99)&gt;0,IFERROR(Vintage_Input!AS99/Vintage_Input!AK99,""),""))</f>
        <v/>
      </c>
      <c r="AL150" s="152">
        <f>IF($B150=1,$D$22,IF(N(Vintage_Input!N99)&gt;0,IFERROR(Vintage_Input!AT99/Vintage_Input!AL99,""),""))</f>
        <v/>
      </c>
      <c r="AM150" s="152">
        <f>IF($B150=1,$E$22,IF(N(Vintage_Input!O99)&gt;0,IFERROR(Vintage_Input!AU99/Vintage_Input!AM99,""),""))</f>
        <v/>
      </c>
      <c r="AN150" s="152">
        <f>IF($B150=1,$F$22,IF(N(Vintage_Input!P99)&gt;0,IFERROR(Vintage_Input!AV99/Vintage_Input!AN99,""),""))</f>
        <v/>
      </c>
      <c r="AO150" s="152">
        <f>IF($B150=1,$G$22,IF(N(Vintage_Input!Q99)&gt;0,IFERROR(Vintage_Input!AW99/Vintage_Input!AO99,""),""))</f>
        <v/>
      </c>
      <c r="AP150" s="152">
        <f>IF($B150=1,$H$22,IF(N(Vintage_Input!R99)&gt;0,IFERROR(Vintage_Input!AX99/Vintage_Input!AP99,""),""))</f>
        <v/>
      </c>
      <c r="AQ150" s="152">
        <f>IF($B150=1,$I$22,IF(N(Vintage_Input!S99)&gt;0,IFERROR(Vintage_Input!AY99/Vintage_Input!AQ99,""),""))</f>
        <v/>
      </c>
      <c r="AR150" s="152">
        <f>IF($B150=1,$B$23,IF(N(Vintage_Input!L99)&gt;0,IFERROR(Vintage_Input!AZ99/$C150,""),""))</f>
        <v/>
      </c>
      <c r="AS150" s="152">
        <f>IF($B150=1,$C$23,IF(N(Vintage_Input!M99)&gt;0,IFERROR(Vintage_Input!BA99/$C150,""),""))</f>
        <v/>
      </c>
      <c r="AT150" s="152">
        <f>IF($B150=1,$D$23,IF(N(Vintage_Input!N99)&gt;0,IFERROR(Vintage_Input!BB99/$C150,""),""))</f>
        <v/>
      </c>
      <c r="AU150" s="152">
        <f>IF($B150=1,$E$23,IF(N(Vintage_Input!O99)&gt;0,IFERROR(Vintage_Input!BC99/$C150,""),""))</f>
        <v/>
      </c>
      <c r="AV150" s="152">
        <f>IF($B150=1,$F$23,IF(N(Vintage_Input!P99)&gt;0,IFERROR(Vintage_Input!BD99/$C150,""),""))</f>
        <v/>
      </c>
      <c r="AW150" s="152">
        <f>IF($B150=1,$G$23,IF(N(Vintage_Input!Q99)&gt;0,IFERROR(Vintage_Input!BE99/$C150,""),""))</f>
        <v/>
      </c>
      <c r="AX150" s="152">
        <f>IF($B150=1,$H$23,IF(N(Vintage_Input!R99)&gt;0,IFERROR(Vintage_Input!BF99/$C150,""),""))</f>
        <v/>
      </c>
      <c r="AY150" s="152">
        <f>IF($B150=1,$I$23,IF(N(Vintage_Input!S99)&gt;0,IFERROR(Vintage_Input!BG99/$C150,""),""))</f>
        <v/>
      </c>
      <c r="AZ150" s="153">
        <f>IF($B150=1,$B$24,IF(N(Vintage_Input!L99)&gt;0,IFERROR((Vintage_Input!D99+Vintage_Input!AR99)/$C150+Products!$D$14-(Products!$D$43+Products!$D$19+Products!$D$43*Products!$D$22+Products!$D$44),""),""))</f>
        <v/>
      </c>
      <c r="BA150" s="153">
        <f>IF($B150=1,$C$24,IF(N(Vintage_Input!M99)&gt;0,IFERROR((Vintage_Input!E99+Vintage_Input!AS99)/$C150+Products!$D$14-(Products!$D$43+Products!$D$19+Products!$D$43*Products!$D$22+Products!$D$44),""),""))</f>
        <v/>
      </c>
      <c r="BB150" s="153">
        <f>IF($B150=1,$D$24,IF(N(Vintage_Input!N99)&gt;0,IFERROR((Vintage_Input!F99+Vintage_Input!AT99)/$C150+Products!$D$14-(Products!$D$43+Products!$D$19+Products!$D$43*Products!$D$22+Products!$D$44),""),""))</f>
        <v/>
      </c>
      <c r="BC150" s="153">
        <f>IF($B150=1,$E$24,IF(N(Vintage_Input!O99)&gt;0,IFERROR((Vintage_Input!G99+Vintage_Input!AU99)/$C150+Products!$D$14-(Products!$D$43+Products!$D$19+Products!$D$43*Products!$D$22+Products!$D$44),""),""))</f>
        <v/>
      </c>
      <c r="BD150" s="153">
        <f>IF($B150=1,$F$24,IF(N(Vintage_Input!P99)&gt;0,IFERROR((Vintage_Input!H99+Vintage_Input!AV99)/$C150+Products!$D$14-(Products!$D$43+Products!$D$19+Products!$D$43*Products!$D$22+Products!$D$44),""),""))</f>
        <v/>
      </c>
      <c r="BE150" s="153">
        <f>IF($B150=1,$G$24,IF(N(Vintage_Input!Q99)&gt;0,IFERROR((Vintage_Input!I99+Vintage_Input!AW99)/$C150+Products!$D$14-(Products!$D$43+Products!$D$19+Products!$D$43*Products!$D$22+Products!$D$44),""),""))</f>
        <v/>
      </c>
      <c r="BF150" s="153">
        <f>IF($B150=1,$H$24,IF(N(Vintage_Input!R99)&gt;0,IFERROR((Vintage_Input!J99+Vintage_Input!AX99)/$C150+Products!$D$14-(Products!$D$43+Products!$D$19+Products!$D$43*Products!$D$22+Products!$D$44),""),""))</f>
        <v/>
      </c>
      <c r="BG150" s="153">
        <f>IF($B150=1,$I$24,IF(N(Vintage_Input!S99)&gt;0,IFERROR((Vintage_Input!K99+Vintage_Input!AY99)/$C150+Products!$D$14-(Products!$D$43+Products!$D$19+Products!$D$43*Products!$D$22+Products!$D$44),""),""))</f>
        <v/>
      </c>
      <c r="BH150" s="81">
        <f>IF($B150=1,0,IF(Vintage_Input!$BH$99="","",Vintage_Input!$BH$99))</f>
        <v/>
      </c>
    </row>
    <row r="151">
      <c r="A151" s="23" t="n">
        <v>27</v>
      </c>
      <c r="B151" s="48">
        <f>Vintage_Input!$B$100</f>
        <v/>
      </c>
      <c r="C151" s="41">
        <f>IF(Vintage_Input!$C$100="",0,Vintage_Input!$C$100)</f>
        <v/>
      </c>
      <c r="D151" s="152">
        <f>IF($B151=1,$B$18,IF(N(Vintage_Input!L100)&gt;0,Vintage_Input!D100/Vintage_Input!L100,""))</f>
        <v/>
      </c>
      <c r="E151" s="152">
        <f>IF($B151=1,$C$18,IF(N(Vintage_Input!M100)&gt;0,Vintage_Input!E100/Vintage_Input!M100,""))</f>
        <v/>
      </c>
      <c r="F151" s="152">
        <f>IF($B151=1,$D$18,IF(N(Vintage_Input!N100)&gt;0,Vintage_Input!F100/Vintage_Input!N100,""))</f>
        <v/>
      </c>
      <c r="G151" s="152">
        <f>IF($B151=1,$E$18,IF(N(Vintage_Input!O100)&gt;0,Vintage_Input!G100/Vintage_Input!O100,""))</f>
        <v/>
      </c>
      <c r="H151" s="152">
        <f>IF($B151=1,$F$18,IF(N(Vintage_Input!P100)&gt;0,Vintage_Input!H100/Vintage_Input!P100,""))</f>
        <v/>
      </c>
      <c r="I151" s="152">
        <f>IF($B151=1,$G$18,IF(N(Vintage_Input!Q100)&gt;0,Vintage_Input!I100/Vintage_Input!Q100,""))</f>
        <v/>
      </c>
      <c r="J151" s="152">
        <f>IF($B151=1,$H$18,IF(N(Vintage_Input!R100)&gt;0,Vintage_Input!J100/Vintage_Input!R100,""))</f>
        <v/>
      </c>
      <c r="K151" s="152">
        <f>IF($B151=1,$I$18,IF(N(Vintage_Input!S100)&gt;0,Vintage_Input!K100/Vintage_Input!S100,""))</f>
        <v/>
      </c>
      <c r="L151" s="152">
        <f>IF($B151=1,$B$19,IF(N(Vintage_Input!L100)&gt;0,Vintage_Input!T100/Vintage_Input!L100,""))</f>
        <v/>
      </c>
      <c r="M151" s="152">
        <f>IF($B151=1,$C$19,IF(N(Vintage_Input!M100)&gt;0,Vintage_Input!U100/Vintage_Input!M100,""))</f>
        <v/>
      </c>
      <c r="N151" s="152">
        <f>IF($B151=1,$D$19,IF(N(Vintage_Input!N100)&gt;0,Vintage_Input!V100/Vintage_Input!N100,""))</f>
        <v/>
      </c>
      <c r="O151" s="152">
        <f>IF($B151=1,$E$19,IF(N(Vintage_Input!O100)&gt;0,Vintage_Input!W100/Vintage_Input!O100,""))</f>
        <v/>
      </c>
      <c r="P151" s="152">
        <f>IF($B151=1,$F$19,IF(N(Vintage_Input!P100)&gt;0,Vintage_Input!X100/Vintage_Input!P100,""))</f>
        <v/>
      </c>
      <c r="Q151" s="152">
        <f>IF($B151=1,$G$19,IF(N(Vintage_Input!Q100)&gt;0,Vintage_Input!Y100/Vintage_Input!Q100,""))</f>
        <v/>
      </c>
      <c r="R151" s="152">
        <f>IF($B151=1,$H$19,IF(N(Vintage_Input!R100)&gt;0,Vintage_Input!Z100/Vintage_Input!R100,""))</f>
        <v/>
      </c>
      <c r="S151" s="152">
        <f>IF($B151=1,$I$19,IF(N(Vintage_Input!S100)&gt;0,Vintage_Input!AA100/Vintage_Input!S100,""))</f>
        <v/>
      </c>
      <c r="T151" s="152">
        <f>IF($B151=1,$B$20,IF(N(Vintage_Input!L100)&gt;0,Vintage_Input!AB100/Vintage_Input!L100,""))</f>
        <v/>
      </c>
      <c r="U151" s="152">
        <f>IF($B151=1,$C$20,IF(N(Vintage_Input!M100)&gt;0,Vintage_Input!AC100/Vintage_Input!M100,""))</f>
        <v/>
      </c>
      <c r="V151" s="152">
        <f>IF($B151=1,$D$20,IF(N(Vintage_Input!N100)&gt;0,Vintage_Input!AD100/Vintage_Input!N100,""))</f>
        <v/>
      </c>
      <c r="W151" s="152">
        <f>IF($B151=1,$E$20,IF(N(Vintage_Input!O100)&gt;0,Vintage_Input!AE100/Vintage_Input!O100,""))</f>
        <v/>
      </c>
      <c r="X151" s="152">
        <f>IF($B151=1,$F$20,IF(N(Vintage_Input!P100)&gt;0,Vintage_Input!AF100/Vintage_Input!P100,""))</f>
        <v/>
      </c>
      <c r="Y151" s="152">
        <f>IF($B151=1,$G$20,IF(N(Vintage_Input!Q100)&gt;0,Vintage_Input!AG100/Vintage_Input!Q100,""))</f>
        <v/>
      </c>
      <c r="Z151" s="152">
        <f>IF($B151=1,$H$20,IF(N(Vintage_Input!R100)&gt;0,Vintage_Input!AH100/Vintage_Input!R100,""))</f>
        <v/>
      </c>
      <c r="AA151" s="152">
        <f>IF($B151=1,$I$20,IF(N(Vintage_Input!S100)&gt;0,Vintage_Input!AI100/Vintage_Input!S100,""))</f>
        <v/>
      </c>
      <c r="AB151" s="152">
        <f>IF($B151=1,$B$21,IF(N(Vintage_Input!L100)&gt;0,Vintage_Input!AJ100/Vintage_Input!L100,""))</f>
        <v/>
      </c>
      <c r="AC151" s="152">
        <f>IF($B151=1,$C$21,IF(N(Vintage_Input!M100)&gt;0,Vintage_Input!AK100/Vintage_Input!M100,""))</f>
        <v/>
      </c>
      <c r="AD151" s="152">
        <f>IF($B151=1,$D$21,IF(N(Vintage_Input!N100)&gt;0,Vintage_Input!AL100/Vintage_Input!N100,""))</f>
        <v/>
      </c>
      <c r="AE151" s="152">
        <f>IF($B151=1,$E$21,IF(N(Vintage_Input!O100)&gt;0,Vintage_Input!AM100/Vintage_Input!O100,""))</f>
        <v/>
      </c>
      <c r="AF151" s="152">
        <f>IF($B151=1,$F$21,IF(N(Vintage_Input!P100)&gt;0,Vintage_Input!AN100/Vintage_Input!P100,""))</f>
        <v/>
      </c>
      <c r="AG151" s="152">
        <f>IF($B151=1,$G$21,IF(N(Vintage_Input!Q100)&gt;0,Vintage_Input!AO100/Vintage_Input!Q100,""))</f>
        <v/>
      </c>
      <c r="AH151" s="152">
        <f>IF($B151=1,$H$21,IF(N(Vintage_Input!R100)&gt;0,Vintage_Input!AP100/Vintage_Input!R100,""))</f>
        <v/>
      </c>
      <c r="AI151" s="152">
        <f>IF($B151=1,$I$21,IF(N(Vintage_Input!S100)&gt;0,Vintage_Input!AQ100/Vintage_Input!S100,""))</f>
        <v/>
      </c>
      <c r="AJ151" s="152">
        <f>IF($B151=1,$B$22,IF(N(Vintage_Input!L100)&gt;0,IFERROR(Vintage_Input!AR100/Vintage_Input!AJ100,""),""))</f>
        <v/>
      </c>
      <c r="AK151" s="152">
        <f>IF($B151=1,$C$22,IF(N(Vintage_Input!M100)&gt;0,IFERROR(Vintage_Input!AS100/Vintage_Input!AK100,""),""))</f>
        <v/>
      </c>
      <c r="AL151" s="152">
        <f>IF($B151=1,$D$22,IF(N(Vintage_Input!N100)&gt;0,IFERROR(Vintage_Input!AT100/Vintage_Input!AL100,""),""))</f>
        <v/>
      </c>
      <c r="AM151" s="152">
        <f>IF($B151=1,$E$22,IF(N(Vintage_Input!O100)&gt;0,IFERROR(Vintage_Input!AU100/Vintage_Input!AM100,""),""))</f>
        <v/>
      </c>
      <c r="AN151" s="152">
        <f>IF($B151=1,$F$22,IF(N(Vintage_Input!P100)&gt;0,IFERROR(Vintage_Input!AV100/Vintage_Input!AN100,""),""))</f>
        <v/>
      </c>
      <c r="AO151" s="152">
        <f>IF($B151=1,$G$22,IF(N(Vintage_Input!Q100)&gt;0,IFERROR(Vintage_Input!AW100/Vintage_Input!AO100,""),""))</f>
        <v/>
      </c>
      <c r="AP151" s="152">
        <f>IF($B151=1,$H$22,IF(N(Vintage_Input!R100)&gt;0,IFERROR(Vintage_Input!AX100/Vintage_Input!AP100,""),""))</f>
        <v/>
      </c>
      <c r="AQ151" s="152">
        <f>IF($B151=1,$I$22,IF(N(Vintage_Input!S100)&gt;0,IFERROR(Vintage_Input!AY100/Vintage_Input!AQ100,""),""))</f>
        <v/>
      </c>
      <c r="AR151" s="152">
        <f>IF($B151=1,$B$23,IF(N(Vintage_Input!L100)&gt;0,IFERROR(Vintage_Input!AZ100/$C151,""),""))</f>
        <v/>
      </c>
      <c r="AS151" s="152">
        <f>IF($B151=1,$C$23,IF(N(Vintage_Input!M100)&gt;0,IFERROR(Vintage_Input!BA100/$C151,""),""))</f>
        <v/>
      </c>
      <c r="AT151" s="152">
        <f>IF($B151=1,$D$23,IF(N(Vintage_Input!N100)&gt;0,IFERROR(Vintage_Input!BB100/$C151,""),""))</f>
        <v/>
      </c>
      <c r="AU151" s="152">
        <f>IF($B151=1,$E$23,IF(N(Vintage_Input!O100)&gt;0,IFERROR(Vintage_Input!BC100/$C151,""),""))</f>
        <v/>
      </c>
      <c r="AV151" s="152">
        <f>IF($B151=1,$F$23,IF(N(Vintage_Input!P100)&gt;0,IFERROR(Vintage_Input!BD100/$C151,""),""))</f>
        <v/>
      </c>
      <c r="AW151" s="152">
        <f>IF($B151=1,$G$23,IF(N(Vintage_Input!Q100)&gt;0,IFERROR(Vintage_Input!BE100/$C151,""),""))</f>
        <v/>
      </c>
      <c r="AX151" s="152">
        <f>IF($B151=1,$H$23,IF(N(Vintage_Input!R100)&gt;0,IFERROR(Vintage_Input!BF100/$C151,""),""))</f>
        <v/>
      </c>
      <c r="AY151" s="152">
        <f>IF($B151=1,$I$23,IF(N(Vintage_Input!S100)&gt;0,IFERROR(Vintage_Input!BG100/$C151,""),""))</f>
        <v/>
      </c>
      <c r="AZ151" s="153">
        <f>IF($B151=1,$B$24,IF(N(Vintage_Input!L100)&gt;0,IFERROR((Vintage_Input!D100+Vintage_Input!AR100)/$C151+Products!$D$14-(Products!$D$43+Products!$D$19+Products!$D$43*Products!$D$22+Products!$D$44),""),""))</f>
        <v/>
      </c>
      <c r="BA151" s="153">
        <f>IF($B151=1,$C$24,IF(N(Vintage_Input!M100)&gt;0,IFERROR((Vintage_Input!E100+Vintage_Input!AS100)/$C151+Products!$D$14-(Products!$D$43+Products!$D$19+Products!$D$43*Products!$D$22+Products!$D$44),""),""))</f>
        <v/>
      </c>
      <c r="BB151" s="153">
        <f>IF($B151=1,$D$24,IF(N(Vintage_Input!N100)&gt;0,IFERROR((Vintage_Input!F100+Vintage_Input!AT100)/$C151+Products!$D$14-(Products!$D$43+Products!$D$19+Products!$D$43*Products!$D$22+Products!$D$44),""),""))</f>
        <v/>
      </c>
      <c r="BC151" s="153">
        <f>IF($B151=1,$E$24,IF(N(Vintage_Input!O100)&gt;0,IFERROR((Vintage_Input!G100+Vintage_Input!AU100)/$C151+Products!$D$14-(Products!$D$43+Products!$D$19+Products!$D$43*Products!$D$22+Products!$D$44),""),""))</f>
        <v/>
      </c>
      <c r="BD151" s="153">
        <f>IF($B151=1,$F$24,IF(N(Vintage_Input!P100)&gt;0,IFERROR((Vintage_Input!H100+Vintage_Input!AV100)/$C151+Products!$D$14-(Products!$D$43+Products!$D$19+Products!$D$43*Products!$D$22+Products!$D$44),""),""))</f>
        <v/>
      </c>
      <c r="BE151" s="153">
        <f>IF($B151=1,$G$24,IF(N(Vintage_Input!Q100)&gt;0,IFERROR((Vintage_Input!I100+Vintage_Input!AW100)/$C151+Products!$D$14-(Products!$D$43+Products!$D$19+Products!$D$43*Products!$D$22+Products!$D$44),""),""))</f>
        <v/>
      </c>
      <c r="BF151" s="153">
        <f>IF($B151=1,$H$24,IF(N(Vintage_Input!R100)&gt;0,IFERROR((Vintage_Input!J100+Vintage_Input!AX100)/$C151+Products!$D$14-(Products!$D$43+Products!$D$19+Products!$D$43*Products!$D$22+Products!$D$44),""),""))</f>
        <v/>
      </c>
      <c r="BG151" s="153">
        <f>IF($B151=1,$I$24,IF(N(Vintage_Input!S100)&gt;0,IFERROR((Vintage_Input!K100+Vintage_Input!AY100)/$C151+Products!$D$14-(Products!$D$43+Products!$D$19+Products!$D$43*Products!$D$22+Products!$D$44),""),""))</f>
        <v/>
      </c>
      <c r="BH151" s="81">
        <f>IF($B151=1,0,IF(Vintage_Input!$BH$100="","",Vintage_Input!$BH$100))</f>
        <v/>
      </c>
    </row>
    <row r="152">
      <c r="A152" s="23" t="n">
        <v>28</v>
      </c>
      <c r="B152" s="48">
        <f>Vintage_Input!$B$101</f>
        <v/>
      </c>
      <c r="C152" s="41">
        <f>IF(Vintage_Input!$C$101="",0,Vintage_Input!$C$101)</f>
        <v/>
      </c>
      <c r="D152" s="152">
        <f>IF($B152=1,$B$18,IF(N(Vintage_Input!L101)&gt;0,Vintage_Input!D101/Vintage_Input!L101,""))</f>
        <v/>
      </c>
      <c r="E152" s="152">
        <f>IF($B152=1,$C$18,IF(N(Vintage_Input!M101)&gt;0,Vintage_Input!E101/Vintage_Input!M101,""))</f>
        <v/>
      </c>
      <c r="F152" s="152">
        <f>IF($B152=1,$D$18,IF(N(Vintage_Input!N101)&gt;0,Vintage_Input!F101/Vintage_Input!N101,""))</f>
        <v/>
      </c>
      <c r="G152" s="152">
        <f>IF($B152=1,$E$18,IF(N(Vintage_Input!O101)&gt;0,Vintage_Input!G101/Vintage_Input!O101,""))</f>
        <v/>
      </c>
      <c r="H152" s="152">
        <f>IF($B152=1,$F$18,IF(N(Vintage_Input!P101)&gt;0,Vintage_Input!H101/Vintage_Input!P101,""))</f>
        <v/>
      </c>
      <c r="I152" s="152">
        <f>IF($B152=1,$G$18,IF(N(Vintage_Input!Q101)&gt;0,Vintage_Input!I101/Vintage_Input!Q101,""))</f>
        <v/>
      </c>
      <c r="J152" s="152">
        <f>IF($B152=1,$H$18,IF(N(Vintage_Input!R101)&gt;0,Vintage_Input!J101/Vintage_Input!R101,""))</f>
        <v/>
      </c>
      <c r="K152" s="152">
        <f>IF($B152=1,$I$18,IF(N(Vintage_Input!S101)&gt;0,Vintage_Input!K101/Vintage_Input!S101,""))</f>
        <v/>
      </c>
      <c r="L152" s="152">
        <f>IF($B152=1,$B$19,IF(N(Vintage_Input!L101)&gt;0,Vintage_Input!T101/Vintage_Input!L101,""))</f>
        <v/>
      </c>
      <c r="M152" s="152">
        <f>IF($B152=1,$C$19,IF(N(Vintage_Input!M101)&gt;0,Vintage_Input!U101/Vintage_Input!M101,""))</f>
        <v/>
      </c>
      <c r="N152" s="152">
        <f>IF($B152=1,$D$19,IF(N(Vintage_Input!N101)&gt;0,Vintage_Input!V101/Vintage_Input!N101,""))</f>
        <v/>
      </c>
      <c r="O152" s="152">
        <f>IF($B152=1,$E$19,IF(N(Vintage_Input!O101)&gt;0,Vintage_Input!W101/Vintage_Input!O101,""))</f>
        <v/>
      </c>
      <c r="P152" s="152">
        <f>IF($B152=1,$F$19,IF(N(Vintage_Input!P101)&gt;0,Vintage_Input!X101/Vintage_Input!P101,""))</f>
        <v/>
      </c>
      <c r="Q152" s="152">
        <f>IF($B152=1,$G$19,IF(N(Vintage_Input!Q101)&gt;0,Vintage_Input!Y101/Vintage_Input!Q101,""))</f>
        <v/>
      </c>
      <c r="R152" s="152">
        <f>IF($B152=1,$H$19,IF(N(Vintage_Input!R101)&gt;0,Vintage_Input!Z101/Vintage_Input!R101,""))</f>
        <v/>
      </c>
      <c r="S152" s="152">
        <f>IF($B152=1,$I$19,IF(N(Vintage_Input!S101)&gt;0,Vintage_Input!AA101/Vintage_Input!S101,""))</f>
        <v/>
      </c>
      <c r="T152" s="152">
        <f>IF($B152=1,$B$20,IF(N(Vintage_Input!L101)&gt;0,Vintage_Input!AB101/Vintage_Input!L101,""))</f>
        <v/>
      </c>
      <c r="U152" s="152">
        <f>IF($B152=1,$C$20,IF(N(Vintage_Input!M101)&gt;0,Vintage_Input!AC101/Vintage_Input!M101,""))</f>
        <v/>
      </c>
      <c r="V152" s="152">
        <f>IF($B152=1,$D$20,IF(N(Vintage_Input!N101)&gt;0,Vintage_Input!AD101/Vintage_Input!N101,""))</f>
        <v/>
      </c>
      <c r="W152" s="152">
        <f>IF($B152=1,$E$20,IF(N(Vintage_Input!O101)&gt;0,Vintage_Input!AE101/Vintage_Input!O101,""))</f>
        <v/>
      </c>
      <c r="X152" s="152">
        <f>IF($B152=1,$F$20,IF(N(Vintage_Input!P101)&gt;0,Vintage_Input!AF101/Vintage_Input!P101,""))</f>
        <v/>
      </c>
      <c r="Y152" s="152">
        <f>IF($B152=1,$G$20,IF(N(Vintage_Input!Q101)&gt;0,Vintage_Input!AG101/Vintage_Input!Q101,""))</f>
        <v/>
      </c>
      <c r="Z152" s="152">
        <f>IF($B152=1,$H$20,IF(N(Vintage_Input!R101)&gt;0,Vintage_Input!AH101/Vintage_Input!R101,""))</f>
        <v/>
      </c>
      <c r="AA152" s="152">
        <f>IF($B152=1,$I$20,IF(N(Vintage_Input!S101)&gt;0,Vintage_Input!AI101/Vintage_Input!S101,""))</f>
        <v/>
      </c>
      <c r="AB152" s="152">
        <f>IF($B152=1,$B$21,IF(N(Vintage_Input!L101)&gt;0,Vintage_Input!AJ101/Vintage_Input!L101,""))</f>
        <v/>
      </c>
      <c r="AC152" s="152">
        <f>IF($B152=1,$C$21,IF(N(Vintage_Input!M101)&gt;0,Vintage_Input!AK101/Vintage_Input!M101,""))</f>
        <v/>
      </c>
      <c r="AD152" s="152">
        <f>IF($B152=1,$D$21,IF(N(Vintage_Input!N101)&gt;0,Vintage_Input!AL101/Vintage_Input!N101,""))</f>
        <v/>
      </c>
      <c r="AE152" s="152">
        <f>IF($B152=1,$E$21,IF(N(Vintage_Input!O101)&gt;0,Vintage_Input!AM101/Vintage_Input!O101,""))</f>
        <v/>
      </c>
      <c r="AF152" s="152">
        <f>IF($B152=1,$F$21,IF(N(Vintage_Input!P101)&gt;0,Vintage_Input!AN101/Vintage_Input!P101,""))</f>
        <v/>
      </c>
      <c r="AG152" s="152">
        <f>IF($B152=1,$G$21,IF(N(Vintage_Input!Q101)&gt;0,Vintage_Input!AO101/Vintage_Input!Q101,""))</f>
        <v/>
      </c>
      <c r="AH152" s="152">
        <f>IF($B152=1,$H$21,IF(N(Vintage_Input!R101)&gt;0,Vintage_Input!AP101/Vintage_Input!R101,""))</f>
        <v/>
      </c>
      <c r="AI152" s="152">
        <f>IF($B152=1,$I$21,IF(N(Vintage_Input!S101)&gt;0,Vintage_Input!AQ101/Vintage_Input!S101,""))</f>
        <v/>
      </c>
      <c r="AJ152" s="152">
        <f>IF($B152=1,$B$22,IF(N(Vintage_Input!L101)&gt;0,IFERROR(Vintage_Input!AR101/Vintage_Input!AJ101,""),""))</f>
        <v/>
      </c>
      <c r="AK152" s="152">
        <f>IF($B152=1,$C$22,IF(N(Vintage_Input!M101)&gt;0,IFERROR(Vintage_Input!AS101/Vintage_Input!AK101,""),""))</f>
        <v/>
      </c>
      <c r="AL152" s="152">
        <f>IF($B152=1,$D$22,IF(N(Vintage_Input!N101)&gt;0,IFERROR(Vintage_Input!AT101/Vintage_Input!AL101,""),""))</f>
        <v/>
      </c>
      <c r="AM152" s="152">
        <f>IF($B152=1,$E$22,IF(N(Vintage_Input!O101)&gt;0,IFERROR(Vintage_Input!AU101/Vintage_Input!AM101,""),""))</f>
        <v/>
      </c>
      <c r="AN152" s="152">
        <f>IF($B152=1,$F$22,IF(N(Vintage_Input!P101)&gt;0,IFERROR(Vintage_Input!AV101/Vintage_Input!AN101,""),""))</f>
        <v/>
      </c>
      <c r="AO152" s="152">
        <f>IF($B152=1,$G$22,IF(N(Vintage_Input!Q101)&gt;0,IFERROR(Vintage_Input!AW101/Vintage_Input!AO101,""),""))</f>
        <v/>
      </c>
      <c r="AP152" s="152">
        <f>IF($B152=1,$H$22,IF(N(Vintage_Input!R101)&gt;0,IFERROR(Vintage_Input!AX101/Vintage_Input!AP101,""),""))</f>
        <v/>
      </c>
      <c r="AQ152" s="152">
        <f>IF($B152=1,$I$22,IF(N(Vintage_Input!S101)&gt;0,IFERROR(Vintage_Input!AY101/Vintage_Input!AQ101,""),""))</f>
        <v/>
      </c>
      <c r="AR152" s="152">
        <f>IF($B152=1,$B$23,IF(N(Vintage_Input!L101)&gt;0,IFERROR(Vintage_Input!AZ101/$C152,""),""))</f>
        <v/>
      </c>
      <c r="AS152" s="152">
        <f>IF($B152=1,$C$23,IF(N(Vintage_Input!M101)&gt;0,IFERROR(Vintage_Input!BA101/$C152,""),""))</f>
        <v/>
      </c>
      <c r="AT152" s="152">
        <f>IF($B152=1,$D$23,IF(N(Vintage_Input!N101)&gt;0,IFERROR(Vintage_Input!BB101/$C152,""),""))</f>
        <v/>
      </c>
      <c r="AU152" s="152">
        <f>IF($B152=1,$E$23,IF(N(Vintage_Input!O101)&gt;0,IFERROR(Vintage_Input!BC101/$C152,""),""))</f>
        <v/>
      </c>
      <c r="AV152" s="152">
        <f>IF($B152=1,$F$23,IF(N(Vintage_Input!P101)&gt;0,IFERROR(Vintage_Input!BD101/$C152,""),""))</f>
        <v/>
      </c>
      <c r="AW152" s="152">
        <f>IF($B152=1,$G$23,IF(N(Vintage_Input!Q101)&gt;0,IFERROR(Vintage_Input!BE101/$C152,""),""))</f>
        <v/>
      </c>
      <c r="AX152" s="152">
        <f>IF($B152=1,$H$23,IF(N(Vintage_Input!R101)&gt;0,IFERROR(Vintage_Input!BF101/$C152,""),""))</f>
        <v/>
      </c>
      <c r="AY152" s="152">
        <f>IF($B152=1,$I$23,IF(N(Vintage_Input!S101)&gt;0,IFERROR(Vintage_Input!BG101/$C152,""),""))</f>
        <v/>
      </c>
      <c r="AZ152" s="153">
        <f>IF($B152=1,$B$24,IF(N(Vintage_Input!L101)&gt;0,IFERROR((Vintage_Input!D101+Vintage_Input!AR101)/$C152+Products!$D$14-(Products!$D$43+Products!$D$19+Products!$D$43*Products!$D$22+Products!$D$44),""),""))</f>
        <v/>
      </c>
      <c r="BA152" s="153">
        <f>IF($B152=1,$C$24,IF(N(Vintage_Input!M101)&gt;0,IFERROR((Vintage_Input!E101+Vintage_Input!AS101)/$C152+Products!$D$14-(Products!$D$43+Products!$D$19+Products!$D$43*Products!$D$22+Products!$D$44),""),""))</f>
        <v/>
      </c>
      <c r="BB152" s="153">
        <f>IF($B152=1,$D$24,IF(N(Vintage_Input!N101)&gt;0,IFERROR((Vintage_Input!F101+Vintage_Input!AT101)/$C152+Products!$D$14-(Products!$D$43+Products!$D$19+Products!$D$43*Products!$D$22+Products!$D$44),""),""))</f>
        <v/>
      </c>
      <c r="BC152" s="153">
        <f>IF($B152=1,$E$24,IF(N(Vintage_Input!O101)&gt;0,IFERROR((Vintage_Input!G101+Vintage_Input!AU101)/$C152+Products!$D$14-(Products!$D$43+Products!$D$19+Products!$D$43*Products!$D$22+Products!$D$44),""),""))</f>
        <v/>
      </c>
      <c r="BD152" s="153">
        <f>IF($B152=1,$F$24,IF(N(Vintage_Input!P101)&gt;0,IFERROR((Vintage_Input!H101+Vintage_Input!AV101)/$C152+Products!$D$14-(Products!$D$43+Products!$D$19+Products!$D$43*Products!$D$22+Products!$D$44),""),""))</f>
        <v/>
      </c>
      <c r="BE152" s="153">
        <f>IF($B152=1,$G$24,IF(N(Vintage_Input!Q101)&gt;0,IFERROR((Vintage_Input!I101+Vintage_Input!AW101)/$C152+Products!$D$14-(Products!$D$43+Products!$D$19+Products!$D$43*Products!$D$22+Products!$D$44),""),""))</f>
        <v/>
      </c>
      <c r="BF152" s="153">
        <f>IF($B152=1,$H$24,IF(N(Vintage_Input!R101)&gt;0,IFERROR((Vintage_Input!J101+Vintage_Input!AX101)/$C152+Products!$D$14-(Products!$D$43+Products!$D$19+Products!$D$43*Products!$D$22+Products!$D$44),""),""))</f>
        <v/>
      </c>
      <c r="BG152" s="153">
        <f>IF($B152=1,$I$24,IF(N(Vintage_Input!S101)&gt;0,IFERROR((Vintage_Input!K101+Vintage_Input!AY101)/$C152+Products!$D$14-(Products!$D$43+Products!$D$19+Products!$D$43*Products!$D$22+Products!$D$44),""),""))</f>
        <v/>
      </c>
      <c r="BH152" s="81">
        <f>IF($B152=1,0,IF(Vintage_Input!$BH$101="","",Vintage_Input!$BH$101))</f>
        <v/>
      </c>
    </row>
    <row r="153">
      <c r="A153" s="23" t="n">
        <v>29</v>
      </c>
      <c r="B153" s="48">
        <f>Vintage_Input!$B$102</f>
        <v/>
      </c>
      <c r="C153" s="41">
        <f>IF(Vintage_Input!$C$102="",0,Vintage_Input!$C$102)</f>
        <v/>
      </c>
      <c r="D153" s="152">
        <f>IF($B153=1,$B$18,IF(N(Vintage_Input!L102)&gt;0,Vintage_Input!D102/Vintage_Input!L102,""))</f>
        <v/>
      </c>
      <c r="E153" s="152">
        <f>IF($B153=1,$C$18,IF(N(Vintage_Input!M102)&gt;0,Vintage_Input!E102/Vintage_Input!M102,""))</f>
        <v/>
      </c>
      <c r="F153" s="152">
        <f>IF($B153=1,$D$18,IF(N(Vintage_Input!N102)&gt;0,Vintage_Input!F102/Vintage_Input!N102,""))</f>
        <v/>
      </c>
      <c r="G153" s="152">
        <f>IF($B153=1,$E$18,IF(N(Vintage_Input!O102)&gt;0,Vintage_Input!G102/Vintage_Input!O102,""))</f>
        <v/>
      </c>
      <c r="H153" s="152">
        <f>IF($B153=1,$F$18,IF(N(Vintage_Input!P102)&gt;0,Vintage_Input!H102/Vintage_Input!P102,""))</f>
        <v/>
      </c>
      <c r="I153" s="152">
        <f>IF($B153=1,$G$18,IF(N(Vintage_Input!Q102)&gt;0,Vintage_Input!I102/Vintage_Input!Q102,""))</f>
        <v/>
      </c>
      <c r="J153" s="152">
        <f>IF($B153=1,$H$18,IF(N(Vintage_Input!R102)&gt;0,Vintage_Input!J102/Vintage_Input!R102,""))</f>
        <v/>
      </c>
      <c r="K153" s="152">
        <f>IF($B153=1,$I$18,IF(N(Vintage_Input!S102)&gt;0,Vintage_Input!K102/Vintage_Input!S102,""))</f>
        <v/>
      </c>
      <c r="L153" s="152">
        <f>IF($B153=1,$B$19,IF(N(Vintage_Input!L102)&gt;0,Vintage_Input!T102/Vintage_Input!L102,""))</f>
        <v/>
      </c>
      <c r="M153" s="152">
        <f>IF($B153=1,$C$19,IF(N(Vintage_Input!M102)&gt;0,Vintage_Input!U102/Vintage_Input!M102,""))</f>
        <v/>
      </c>
      <c r="N153" s="152">
        <f>IF($B153=1,$D$19,IF(N(Vintage_Input!N102)&gt;0,Vintage_Input!V102/Vintage_Input!N102,""))</f>
        <v/>
      </c>
      <c r="O153" s="152">
        <f>IF($B153=1,$E$19,IF(N(Vintage_Input!O102)&gt;0,Vintage_Input!W102/Vintage_Input!O102,""))</f>
        <v/>
      </c>
      <c r="P153" s="152">
        <f>IF($B153=1,$F$19,IF(N(Vintage_Input!P102)&gt;0,Vintage_Input!X102/Vintage_Input!P102,""))</f>
        <v/>
      </c>
      <c r="Q153" s="152">
        <f>IF($B153=1,$G$19,IF(N(Vintage_Input!Q102)&gt;0,Vintage_Input!Y102/Vintage_Input!Q102,""))</f>
        <v/>
      </c>
      <c r="R153" s="152">
        <f>IF($B153=1,$H$19,IF(N(Vintage_Input!R102)&gt;0,Vintage_Input!Z102/Vintage_Input!R102,""))</f>
        <v/>
      </c>
      <c r="S153" s="152">
        <f>IF($B153=1,$I$19,IF(N(Vintage_Input!S102)&gt;0,Vintage_Input!AA102/Vintage_Input!S102,""))</f>
        <v/>
      </c>
      <c r="T153" s="152">
        <f>IF($B153=1,$B$20,IF(N(Vintage_Input!L102)&gt;0,Vintage_Input!AB102/Vintage_Input!L102,""))</f>
        <v/>
      </c>
      <c r="U153" s="152">
        <f>IF($B153=1,$C$20,IF(N(Vintage_Input!M102)&gt;0,Vintage_Input!AC102/Vintage_Input!M102,""))</f>
        <v/>
      </c>
      <c r="V153" s="152">
        <f>IF($B153=1,$D$20,IF(N(Vintage_Input!N102)&gt;0,Vintage_Input!AD102/Vintage_Input!N102,""))</f>
        <v/>
      </c>
      <c r="W153" s="152">
        <f>IF($B153=1,$E$20,IF(N(Vintage_Input!O102)&gt;0,Vintage_Input!AE102/Vintage_Input!O102,""))</f>
        <v/>
      </c>
      <c r="X153" s="152">
        <f>IF($B153=1,$F$20,IF(N(Vintage_Input!P102)&gt;0,Vintage_Input!AF102/Vintage_Input!P102,""))</f>
        <v/>
      </c>
      <c r="Y153" s="152">
        <f>IF($B153=1,$G$20,IF(N(Vintage_Input!Q102)&gt;0,Vintage_Input!AG102/Vintage_Input!Q102,""))</f>
        <v/>
      </c>
      <c r="Z153" s="152">
        <f>IF($B153=1,$H$20,IF(N(Vintage_Input!R102)&gt;0,Vintage_Input!AH102/Vintage_Input!R102,""))</f>
        <v/>
      </c>
      <c r="AA153" s="152">
        <f>IF($B153=1,$I$20,IF(N(Vintage_Input!S102)&gt;0,Vintage_Input!AI102/Vintage_Input!S102,""))</f>
        <v/>
      </c>
      <c r="AB153" s="152">
        <f>IF($B153=1,$B$21,IF(N(Vintage_Input!L102)&gt;0,Vintage_Input!AJ102/Vintage_Input!L102,""))</f>
        <v/>
      </c>
      <c r="AC153" s="152">
        <f>IF($B153=1,$C$21,IF(N(Vintage_Input!M102)&gt;0,Vintage_Input!AK102/Vintage_Input!M102,""))</f>
        <v/>
      </c>
      <c r="AD153" s="152">
        <f>IF($B153=1,$D$21,IF(N(Vintage_Input!N102)&gt;0,Vintage_Input!AL102/Vintage_Input!N102,""))</f>
        <v/>
      </c>
      <c r="AE153" s="152">
        <f>IF($B153=1,$E$21,IF(N(Vintage_Input!O102)&gt;0,Vintage_Input!AM102/Vintage_Input!O102,""))</f>
        <v/>
      </c>
      <c r="AF153" s="152">
        <f>IF($B153=1,$F$21,IF(N(Vintage_Input!P102)&gt;0,Vintage_Input!AN102/Vintage_Input!P102,""))</f>
        <v/>
      </c>
      <c r="AG153" s="152">
        <f>IF($B153=1,$G$21,IF(N(Vintage_Input!Q102)&gt;0,Vintage_Input!AO102/Vintage_Input!Q102,""))</f>
        <v/>
      </c>
      <c r="AH153" s="152">
        <f>IF($B153=1,$H$21,IF(N(Vintage_Input!R102)&gt;0,Vintage_Input!AP102/Vintage_Input!R102,""))</f>
        <v/>
      </c>
      <c r="AI153" s="152">
        <f>IF($B153=1,$I$21,IF(N(Vintage_Input!S102)&gt;0,Vintage_Input!AQ102/Vintage_Input!S102,""))</f>
        <v/>
      </c>
      <c r="AJ153" s="152">
        <f>IF($B153=1,$B$22,IF(N(Vintage_Input!L102)&gt;0,IFERROR(Vintage_Input!AR102/Vintage_Input!AJ102,""),""))</f>
        <v/>
      </c>
      <c r="AK153" s="152">
        <f>IF($B153=1,$C$22,IF(N(Vintage_Input!M102)&gt;0,IFERROR(Vintage_Input!AS102/Vintage_Input!AK102,""),""))</f>
        <v/>
      </c>
      <c r="AL153" s="152">
        <f>IF($B153=1,$D$22,IF(N(Vintage_Input!N102)&gt;0,IFERROR(Vintage_Input!AT102/Vintage_Input!AL102,""),""))</f>
        <v/>
      </c>
      <c r="AM153" s="152">
        <f>IF($B153=1,$E$22,IF(N(Vintage_Input!O102)&gt;0,IFERROR(Vintage_Input!AU102/Vintage_Input!AM102,""),""))</f>
        <v/>
      </c>
      <c r="AN153" s="152">
        <f>IF($B153=1,$F$22,IF(N(Vintage_Input!P102)&gt;0,IFERROR(Vintage_Input!AV102/Vintage_Input!AN102,""),""))</f>
        <v/>
      </c>
      <c r="AO153" s="152">
        <f>IF($B153=1,$G$22,IF(N(Vintage_Input!Q102)&gt;0,IFERROR(Vintage_Input!AW102/Vintage_Input!AO102,""),""))</f>
        <v/>
      </c>
      <c r="AP153" s="152">
        <f>IF($B153=1,$H$22,IF(N(Vintage_Input!R102)&gt;0,IFERROR(Vintage_Input!AX102/Vintage_Input!AP102,""),""))</f>
        <v/>
      </c>
      <c r="AQ153" s="152">
        <f>IF($B153=1,$I$22,IF(N(Vintage_Input!S102)&gt;0,IFERROR(Vintage_Input!AY102/Vintage_Input!AQ102,""),""))</f>
        <v/>
      </c>
      <c r="AR153" s="152">
        <f>IF($B153=1,$B$23,IF(N(Vintage_Input!L102)&gt;0,IFERROR(Vintage_Input!AZ102/$C153,""),""))</f>
        <v/>
      </c>
      <c r="AS153" s="152">
        <f>IF($B153=1,$C$23,IF(N(Vintage_Input!M102)&gt;0,IFERROR(Vintage_Input!BA102/$C153,""),""))</f>
        <v/>
      </c>
      <c r="AT153" s="152">
        <f>IF($B153=1,$D$23,IF(N(Vintage_Input!N102)&gt;0,IFERROR(Vintage_Input!BB102/$C153,""),""))</f>
        <v/>
      </c>
      <c r="AU153" s="152">
        <f>IF($B153=1,$E$23,IF(N(Vintage_Input!O102)&gt;0,IFERROR(Vintage_Input!BC102/$C153,""),""))</f>
        <v/>
      </c>
      <c r="AV153" s="152">
        <f>IF($B153=1,$F$23,IF(N(Vintage_Input!P102)&gt;0,IFERROR(Vintage_Input!BD102/$C153,""),""))</f>
        <v/>
      </c>
      <c r="AW153" s="152">
        <f>IF($B153=1,$G$23,IF(N(Vintage_Input!Q102)&gt;0,IFERROR(Vintage_Input!BE102/$C153,""),""))</f>
        <v/>
      </c>
      <c r="AX153" s="152">
        <f>IF($B153=1,$H$23,IF(N(Vintage_Input!R102)&gt;0,IFERROR(Vintage_Input!BF102/$C153,""),""))</f>
        <v/>
      </c>
      <c r="AY153" s="152">
        <f>IF($B153=1,$I$23,IF(N(Vintage_Input!S102)&gt;0,IFERROR(Vintage_Input!BG102/$C153,""),""))</f>
        <v/>
      </c>
      <c r="AZ153" s="153">
        <f>IF($B153=1,$B$24,IF(N(Vintage_Input!L102)&gt;0,IFERROR((Vintage_Input!D102+Vintage_Input!AR102)/$C153+Products!$D$14-(Products!$D$43+Products!$D$19+Products!$D$43*Products!$D$22+Products!$D$44),""),""))</f>
        <v/>
      </c>
      <c r="BA153" s="153">
        <f>IF($B153=1,$C$24,IF(N(Vintage_Input!M102)&gt;0,IFERROR((Vintage_Input!E102+Vintage_Input!AS102)/$C153+Products!$D$14-(Products!$D$43+Products!$D$19+Products!$D$43*Products!$D$22+Products!$D$44),""),""))</f>
        <v/>
      </c>
      <c r="BB153" s="153">
        <f>IF($B153=1,$D$24,IF(N(Vintage_Input!N102)&gt;0,IFERROR((Vintage_Input!F102+Vintage_Input!AT102)/$C153+Products!$D$14-(Products!$D$43+Products!$D$19+Products!$D$43*Products!$D$22+Products!$D$44),""),""))</f>
        <v/>
      </c>
      <c r="BC153" s="153">
        <f>IF($B153=1,$E$24,IF(N(Vintage_Input!O102)&gt;0,IFERROR((Vintage_Input!G102+Vintage_Input!AU102)/$C153+Products!$D$14-(Products!$D$43+Products!$D$19+Products!$D$43*Products!$D$22+Products!$D$44),""),""))</f>
        <v/>
      </c>
      <c r="BD153" s="153">
        <f>IF($B153=1,$F$24,IF(N(Vintage_Input!P102)&gt;0,IFERROR((Vintage_Input!H102+Vintage_Input!AV102)/$C153+Products!$D$14-(Products!$D$43+Products!$D$19+Products!$D$43*Products!$D$22+Products!$D$44),""),""))</f>
        <v/>
      </c>
      <c r="BE153" s="153">
        <f>IF($B153=1,$G$24,IF(N(Vintage_Input!Q102)&gt;0,IFERROR((Vintage_Input!I102+Vintage_Input!AW102)/$C153+Products!$D$14-(Products!$D$43+Products!$D$19+Products!$D$43*Products!$D$22+Products!$D$44),""),""))</f>
        <v/>
      </c>
      <c r="BF153" s="153">
        <f>IF($B153=1,$H$24,IF(N(Vintage_Input!R102)&gt;0,IFERROR((Vintage_Input!J102+Vintage_Input!AX102)/$C153+Products!$D$14-(Products!$D$43+Products!$D$19+Products!$D$43*Products!$D$22+Products!$D$44),""),""))</f>
        <v/>
      </c>
      <c r="BG153" s="153">
        <f>IF($B153=1,$I$24,IF(N(Vintage_Input!S102)&gt;0,IFERROR((Vintage_Input!K102+Vintage_Input!AY102)/$C153+Products!$D$14-(Products!$D$43+Products!$D$19+Products!$D$43*Products!$D$22+Products!$D$44),""),""))</f>
        <v/>
      </c>
      <c r="BH153" s="81">
        <f>IF($B153=1,0,IF(Vintage_Input!$BH$102="","",Vintage_Input!$BH$102))</f>
        <v/>
      </c>
    </row>
    <row r="154">
      <c r="A154" s="23" t="n">
        <v>30</v>
      </c>
      <c r="B154" s="48">
        <f>Vintage_Input!$B$103</f>
        <v/>
      </c>
      <c r="C154" s="41">
        <f>IF(Vintage_Input!$C$103="",0,Vintage_Input!$C$103)</f>
        <v/>
      </c>
      <c r="D154" s="152">
        <f>IF($B154=1,$B$18,IF(N(Vintage_Input!L103)&gt;0,Vintage_Input!D103/Vintage_Input!L103,""))</f>
        <v/>
      </c>
      <c r="E154" s="152">
        <f>IF($B154=1,$C$18,IF(N(Vintage_Input!M103)&gt;0,Vintage_Input!E103/Vintage_Input!M103,""))</f>
        <v/>
      </c>
      <c r="F154" s="152">
        <f>IF($B154=1,$D$18,IF(N(Vintage_Input!N103)&gt;0,Vintage_Input!F103/Vintage_Input!N103,""))</f>
        <v/>
      </c>
      <c r="G154" s="152">
        <f>IF($B154=1,$E$18,IF(N(Vintage_Input!O103)&gt;0,Vintage_Input!G103/Vintage_Input!O103,""))</f>
        <v/>
      </c>
      <c r="H154" s="152">
        <f>IF($B154=1,$F$18,IF(N(Vintage_Input!P103)&gt;0,Vintage_Input!H103/Vintage_Input!P103,""))</f>
        <v/>
      </c>
      <c r="I154" s="152">
        <f>IF($B154=1,$G$18,IF(N(Vintage_Input!Q103)&gt;0,Vintage_Input!I103/Vintage_Input!Q103,""))</f>
        <v/>
      </c>
      <c r="J154" s="152">
        <f>IF($B154=1,$H$18,IF(N(Vintage_Input!R103)&gt;0,Vintage_Input!J103/Vintage_Input!R103,""))</f>
        <v/>
      </c>
      <c r="K154" s="152">
        <f>IF($B154=1,$I$18,IF(N(Vintage_Input!S103)&gt;0,Vintage_Input!K103/Vintage_Input!S103,""))</f>
        <v/>
      </c>
      <c r="L154" s="152">
        <f>IF($B154=1,$B$19,IF(N(Vintage_Input!L103)&gt;0,Vintage_Input!T103/Vintage_Input!L103,""))</f>
        <v/>
      </c>
      <c r="M154" s="152">
        <f>IF($B154=1,$C$19,IF(N(Vintage_Input!M103)&gt;0,Vintage_Input!U103/Vintage_Input!M103,""))</f>
        <v/>
      </c>
      <c r="N154" s="152">
        <f>IF($B154=1,$D$19,IF(N(Vintage_Input!N103)&gt;0,Vintage_Input!V103/Vintage_Input!N103,""))</f>
        <v/>
      </c>
      <c r="O154" s="152">
        <f>IF($B154=1,$E$19,IF(N(Vintage_Input!O103)&gt;0,Vintage_Input!W103/Vintage_Input!O103,""))</f>
        <v/>
      </c>
      <c r="P154" s="152">
        <f>IF($B154=1,$F$19,IF(N(Vintage_Input!P103)&gt;0,Vintage_Input!X103/Vintage_Input!P103,""))</f>
        <v/>
      </c>
      <c r="Q154" s="152">
        <f>IF($B154=1,$G$19,IF(N(Vintage_Input!Q103)&gt;0,Vintage_Input!Y103/Vintage_Input!Q103,""))</f>
        <v/>
      </c>
      <c r="R154" s="152">
        <f>IF($B154=1,$H$19,IF(N(Vintage_Input!R103)&gt;0,Vintage_Input!Z103/Vintage_Input!R103,""))</f>
        <v/>
      </c>
      <c r="S154" s="152">
        <f>IF($B154=1,$I$19,IF(N(Vintage_Input!S103)&gt;0,Vintage_Input!AA103/Vintage_Input!S103,""))</f>
        <v/>
      </c>
      <c r="T154" s="152">
        <f>IF($B154=1,$B$20,IF(N(Vintage_Input!L103)&gt;0,Vintage_Input!AB103/Vintage_Input!L103,""))</f>
        <v/>
      </c>
      <c r="U154" s="152">
        <f>IF($B154=1,$C$20,IF(N(Vintage_Input!M103)&gt;0,Vintage_Input!AC103/Vintage_Input!M103,""))</f>
        <v/>
      </c>
      <c r="V154" s="152">
        <f>IF($B154=1,$D$20,IF(N(Vintage_Input!N103)&gt;0,Vintage_Input!AD103/Vintage_Input!N103,""))</f>
        <v/>
      </c>
      <c r="W154" s="152">
        <f>IF($B154=1,$E$20,IF(N(Vintage_Input!O103)&gt;0,Vintage_Input!AE103/Vintage_Input!O103,""))</f>
        <v/>
      </c>
      <c r="X154" s="152">
        <f>IF($B154=1,$F$20,IF(N(Vintage_Input!P103)&gt;0,Vintage_Input!AF103/Vintage_Input!P103,""))</f>
        <v/>
      </c>
      <c r="Y154" s="152">
        <f>IF($B154=1,$G$20,IF(N(Vintage_Input!Q103)&gt;0,Vintage_Input!AG103/Vintage_Input!Q103,""))</f>
        <v/>
      </c>
      <c r="Z154" s="152">
        <f>IF($B154=1,$H$20,IF(N(Vintage_Input!R103)&gt;0,Vintage_Input!AH103/Vintage_Input!R103,""))</f>
        <v/>
      </c>
      <c r="AA154" s="152">
        <f>IF($B154=1,$I$20,IF(N(Vintage_Input!S103)&gt;0,Vintage_Input!AI103/Vintage_Input!S103,""))</f>
        <v/>
      </c>
      <c r="AB154" s="152">
        <f>IF($B154=1,$B$21,IF(N(Vintage_Input!L103)&gt;0,Vintage_Input!AJ103/Vintage_Input!L103,""))</f>
        <v/>
      </c>
      <c r="AC154" s="152">
        <f>IF($B154=1,$C$21,IF(N(Vintage_Input!M103)&gt;0,Vintage_Input!AK103/Vintage_Input!M103,""))</f>
        <v/>
      </c>
      <c r="AD154" s="152">
        <f>IF($B154=1,$D$21,IF(N(Vintage_Input!N103)&gt;0,Vintage_Input!AL103/Vintage_Input!N103,""))</f>
        <v/>
      </c>
      <c r="AE154" s="152">
        <f>IF($B154=1,$E$21,IF(N(Vintage_Input!O103)&gt;0,Vintage_Input!AM103/Vintage_Input!O103,""))</f>
        <v/>
      </c>
      <c r="AF154" s="152">
        <f>IF($B154=1,$F$21,IF(N(Vintage_Input!P103)&gt;0,Vintage_Input!AN103/Vintage_Input!P103,""))</f>
        <v/>
      </c>
      <c r="AG154" s="152">
        <f>IF($B154=1,$G$21,IF(N(Vintage_Input!Q103)&gt;0,Vintage_Input!AO103/Vintage_Input!Q103,""))</f>
        <v/>
      </c>
      <c r="AH154" s="152">
        <f>IF($B154=1,$H$21,IF(N(Vintage_Input!R103)&gt;0,Vintage_Input!AP103/Vintage_Input!R103,""))</f>
        <v/>
      </c>
      <c r="AI154" s="152">
        <f>IF($B154=1,$I$21,IF(N(Vintage_Input!S103)&gt;0,Vintage_Input!AQ103/Vintage_Input!S103,""))</f>
        <v/>
      </c>
      <c r="AJ154" s="152">
        <f>IF($B154=1,$B$22,IF(N(Vintage_Input!L103)&gt;0,IFERROR(Vintage_Input!AR103/Vintage_Input!AJ103,""),""))</f>
        <v/>
      </c>
      <c r="AK154" s="152">
        <f>IF($B154=1,$C$22,IF(N(Vintage_Input!M103)&gt;0,IFERROR(Vintage_Input!AS103/Vintage_Input!AK103,""),""))</f>
        <v/>
      </c>
      <c r="AL154" s="152">
        <f>IF($B154=1,$D$22,IF(N(Vintage_Input!N103)&gt;0,IFERROR(Vintage_Input!AT103/Vintage_Input!AL103,""),""))</f>
        <v/>
      </c>
      <c r="AM154" s="152">
        <f>IF($B154=1,$E$22,IF(N(Vintage_Input!O103)&gt;0,IFERROR(Vintage_Input!AU103/Vintage_Input!AM103,""),""))</f>
        <v/>
      </c>
      <c r="AN154" s="152">
        <f>IF($B154=1,$F$22,IF(N(Vintage_Input!P103)&gt;0,IFERROR(Vintage_Input!AV103/Vintage_Input!AN103,""),""))</f>
        <v/>
      </c>
      <c r="AO154" s="152">
        <f>IF($B154=1,$G$22,IF(N(Vintage_Input!Q103)&gt;0,IFERROR(Vintage_Input!AW103/Vintage_Input!AO103,""),""))</f>
        <v/>
      </c>
      <c r="AP154" s="152">
        <f>IF($B154=1,$H$22,IF(N(Vintage_Input!R103)&gt;0,IFERROR(Vintage_Input!AX103/Vintage_Input!AP103,""),""))</f>
        <v/>
      </c>
      <c r="AQ154" s="152">
        <f>IF($B154=1,$I$22,IF(N(Vintage_Input!S103)&gt;0,IFERROR(Vintage_Input!AY103/Vintage_Input!AQ103,""),""))</f>
        <v/>
      </c>
      <c r="AR154" s="152">
        <f>IF($B154=1,$B$23,IF(N(Vintage_Input!L103)&gt;0,IFERROR(Vintage_Input!AZ103/$C154,""),""))</f>
        <v/>
      </c>
      <c r="AS154" s="152">
        <f>IF($B154=1,$C$23,IF(N(Vintage_Input!M103)&gt;0,IFERROR(Vintage_Input!BA103/$C154,""),""))</f>
        <v/>
      </c>
      <c r="AT154" s="152">
        <f>IF($B154=1,$D$23,IF(N(Vintage_Input!N103)&gt;0,IFERROR(Vintage_Input!BB103/$C154,""),""))</f>
        <v/>
      </c>
      <c r="AU154" s="152">
        <f>IF($B154=1,$E$23,IF(N(Vintage_Input!O103)&gt;0,IFERROR(Vintage_Input!BC103/$C154,""),""))</f>
        <v/>
      </c>
      <c r="AV154" s="152">
        <f>IF($B154=1,$F$23,IF(N(Vintage_Input!P103)&gt;0,IFERROR(Vintage_Input!BD103/$C154,""),""))</f>
        <v/>
      </c>
      <c r="AW154" s="152">
        <f>IF($B154=1,$G$23,IF(N(Vintage_Input!Q103)&gt;0,IFERROR(Vintage_Input!BE103/$C154,""),""))</f>
        <v/>
      </c>
      <c r="AX154" s="152">
        <f>IF($B154=1,$H$23,IF(N(Vintage_Input!R103)&gt;0,IFERROR(Vintage_Input!BF103/$C154,""),""))</f>
        <v/>
      </c>
      <c r="AY154" s="152">
        <f>IF($B154=1,$I$23,IF(N(Vintage_Input!S103)&gt;0,IFERROR(Vintage_Input!BG103/$C154,""),""))</f>
        <v/>
      </c>
      <c r="AZ154" s="153">
        <f>IF($B154=1,$B$24,IF(N(Vintage_Input!L103)&gt;0,IFERROR((Vintage_Input!D103+Vintage_Input!AR103)/$C154+Products!$D$14-(Products!$D$43+Products!$D$19+Products!$D$43*Products!$D$22+Products!$D$44),""),""))</f>
        <v/>
      </c>
      <c r="BA154" s="153">
        <f>IF($B154=1,$C$24,IF(N(Vintage_Input!M103)&gt;0,IFERROR((Vintage_Input!E103+Vintage_Input!AS103)/$C154+Products!$D$14-(Products!$D$43+Products!$D$19+Products!$D$43*Products!$D$22+Products!$D$44),""),""))</f>
        <v/>
      </c>
      <c r="BB154" s="153">
        <f>IF($B154=1,$D$24,IF(N(Vintage_Input!N103)&gt;0,IFERROR((Vintage_Input!F103+Vintage_Input!AT103)/$C154+Products!$D$14-(Products!$D$43+Products!$D$19+Products!$D$43*Products!$D$22+Products!$D$44),""),""))</f>
        <v/>
      </c>
      <c r="BC154" s="153">
        <f>IF($B154=1,$E$24,IF(N(Vintage_Input!O103)&gt;0,IFERROR((Vintage_Input!G103+Vintage_Input!AU103)/$C154+Products!$D$14-(Products!$D$43+Products!$D$19+Products!$D$43*Products!$D$22+Products!$D$44),""),""))</f>
        <v/>
      </c>
      <c r="BD154" s="153">
        <f>IF($B154=1,$F$24,IF(N(Vintage_Input!P103)&gt;0,IFERROR((Vintage_Input!H103+Vintage_Input!AV103)/$C154+Products!$D$14-(Products!$D$43+Products!$D$19+Products!$D$43*Products!$D$22+Products!$D$44),""),""))</f>
        <v/>
      </c>
      <c r="BE154" s="153">
        <f>IF($B154=1,$G$24,IF(N(Vintage_Input!Q103)&gt;0,IFERROR((Vintage_Input!I103+Vintage_Input!AW103)/$C154+Products!$D$14-(Products!$D$43+Products!$D$19+Products!$D$43*Products!$D$22+Products!$D$44),""),""))</f>
        <v/>
      </c>
      <c r="BF154" s="153">
        <f>IF($B154=1,$H$24,IF(N(Vintage_Input!R103)&gt;0,IFERROR((Vintage_Input!J103+Vintage_Input!AX103)/$C154+Products!$D$14-(Products!$D$43+Products!$D$19+Products!$D$43*Products!$D$22+Products!$D$44),""),""))</f>
        <v/>
      </c>
      <c r="BG154" s="153">
        <f>IF($B154=1,$I$24,IF(N(Vintage_Input!S103)&gt;0,IFERROR((Vintage_Input!K103+Vintage_Input!AY103)/$C154+Products!$D$14-(Products!$D$43+Products!$D$19+Products!$D$43*Products!$D$22+Products!$D$44),""),""))</f>
        <v/>
      </c>
      <c r="BH154" s="81">
        <f>IF($B154=1,0,IF(Vintage_Input!$BH$103="","",Vintage_Input!$BH$103))</f>
        <v/>
      </c>
    </row>
    <row r="155">
      <c r="A155" s="23" t="n">
        <v>31</v>
      </c>
      <c r="B155" s="48">
        <f>Vintage_Input!$B$104</f>
        <v/>
      </c>
      <c r="C155" s="41">
        <f>IF(Vintage_Input!$C$104="",0,Vintage_Input!$C$104)</f>
        <v/>
      </c>
      <c r="D155" s="152">
        <f>IF($B155=1,$B$18,IF(N(Vintage_Input!L104)&gt;0,Vintage_Input!D104/Vintage_Input!L104,""))</f>
        <v/>
      </c>
      <c r="E155" s="152">
        <f>IF($B155=1,$C$18,IF(N(Vintage_Input!M104)&gt;0,Vintage_Input!E104/Vintage_Input!M104,""))</f>
        <v/>
      </c>
      <c r="F155" s="152">
        <f>IF($B155=1,$D$18,IF(N(Vintage_Input!N104)&gt;0,Vintage_Input!F104/Vintage_Input!N104,""))</f>
        <v/>
      </c>
      <c r="G155" s="152">
        <f>IF($B155=1,$E$18,IF(N(Vintage_Input!O104)&gt;0,Vintage_Input!G104/Vintage_Input!O104,""))</f>
        <v/>
      </c>
      <c r="H155" s="152">
        <f>IF($B155=1,$F$18,IF(N(Vintage_Input!P104)&gt;0,Vintage_Input!H104/Vintage_Input!P104,""))</f>
        <v/>
      </c>
      <c r="I155" s="152">
        <f>IF($B155=1,$G$18,IF(N(Vintage_Input!Q104)&gt;0,Vintage_Input!I104/Vintage_Input!Q104,""))</f>
        <v/>
      </c>
      <c r="J155" s="152">
        <f>IF($B155=1,$H$18,IF(N(Vintage_Input!R104)&gt;0,Vintage_Input!J104/Vintage_Input!R104,""))</f>
        <v/>
      </c>
      <c r="K155" s="152">
        <f>IF($B155=1,$I$18,IF(N(Vintage_Input!S104)&gt;0,Vintage_Input!K104/Vintage_Input!S104,""))</f>
        <v/>
      </c>
      <c r="L155" s="152">
        <f>IF($B155=1,$B$19,IF(N(Vintage_Input!L104)&gt;0,Vintage_Input!T104/Vintage_Input!L104,""))</f>
        <v/>
      </c>
      <c r="M155" s="152">
        <f>IF($B155=1,$C$19,IF(N(Vintage_Input!M104)&gt;0,Vintage_Input!U104/Vintage_Input!M104,""))</f>
        <v/>
      </c>
      <c r="N155" s="152">
        <f>IF($B155=1,$D$19,IF(N(Vintage_Input!N104)&gt;0,Vintage_Input!V104/Vintage_Input!N104,""))</f>
        <v/>
      </c>
      <c r="O155" s="152">
        <f>IF($B155=1,$E$19,IF(N(Vintage_Input!O104)&gt;0,Vintage_Input!W104/Vintage_Input!O104,""))</f>
        <v/>
      </c>
      <c r="P155" s="152">
        <f>IF($B155=1,$F$19,IF(N(Vintage_Input!P104)&gt;0,Vintage_Input!X104/Vintage_Input!P104,""))</f>
        <v/>
      </c>
      <c r="Q155" s="152">
        <f>IF($B155=1,$G$19,IF(N(Vintage_Input!Q104)&gt;0,Vintage_Input!Y104/Vintage_Input!Q104,""))</f>
        <v/>
      </c>
      <c r="R155" s="152">
        <f>IF($B155=1,$H$19,IF(N(Vintage_Input!R104)&gt;0,Vintage_Input!Z104/Vintage_Input!R104,""))</f>
        <v/>
      </c>
      <c r="S155" s="152">
        <f>IF($B155=1,$I$19,IF(N(Vintage_Input!S104)&gt;0,Vintage_Input!AA104/Vintage_Input!S104,""))</f>
        <v/>
      </c>
      <c r="T155" s="152">
        <f>IF($B155=1,$B$20,IF(N(Vintage_Input!L104)&gt;0,Vintage_Input!AB104/Vintage_Input!L104,""))</f>
        <v/>
      </c>
      <c r="U155" s="152">
        <f>IF($B155=1,$C$20,IF(N(Vintage_Input!M104)&gt;0,Vintage_Input!AC104/Vintage_Input!M104,""))</f>
        <v/>
      </c>
      <c r="V155" s="152">
        <f>IF($B155=1,$D$20,IF(N(Vintage_Input!N104)&gt;0,Vintage_Input!AD104/Vintage_Input!N104,""))</f>
        <v/>
      </c>
      <c r="W155" s="152">
        <f>IF($B155=1,$E$20,IF(N(Vintage_Input!O104)&gt;0,Vintage_Input!AE104/Vintage_Input!O104,""))</f>
        <v/>
      </c>
      <c r="X155" s="152">
        <f>IF($B155=1,$F$20,IF(N(Vintage_Input!P104)&gt;0,Vintage_Input!AF104/Vintage_Input!P104,""))</f>
        <v/>
      </c>
      <c r="Y155" s="152">
        <f>IF($B155=1,$G$20,IF(N(Vintage_Input!Q104)&gt;0,Vintage_Input!AG104/Vintage_Input!Q104,""))</f>
        <v/>
      </c>
      <c r="Z155" s="152">
        <f>IF($B155=1,$H$20,IF(N(Vintage_Input!R104)&gt;0,Vintage_Input!AH104/Vintage_Input!R104,""))</f>
        <v/>
      </c>
      <c r="AA155" s="152">
        <f>IF($B155=1,$I$20,IF(N(Vintage_Input!S104)&gt;0,Vintage_Input!AI104/Vintage_Input!S104,""))</f>
        <v/>
      </c>
      <c r="AB155" s="152">
        <f>IF($B155=1,$B$21,IF(N(Vintage_Input!L104)&gt;0,Vintage_Input!AJ104/Vintage_Input!L104,""))</f>
        <v/>
      </c>
      <c r="AC155" s="152">
        <f>IF($B155=1,$C$21,IF(N(Vintage_Input!M104)&gt;0,Vintage_Input!AK104/Vintage_Input!M104,""))</f>
        <v/>
      </c>
      <c r="AD155" s="152">
        <f>IF($B155=1,$D$21,IF(N(Vintage_Input!N104)&gt;0,Vintage_Input!AL104/Vintage_Input!N104,""))</f>
        <v/>
      </c>
      <c r="AE155" s="152">
        <f>IF($B155=1,$E$21,IF(N(Vintage_Input!O104)&gt;0,Vintage_Input!AM104/Vintage_Input!O104,""))</f>
        <v/>
      </c>
      <c r="AF155" s="152">
        <f>IF($B155=1,$F$21,IF(N(Vintage_Input!P104)&gt;0,Vintage_Input!AN104/Vintage_Input!P104,""))</f>
        <v/>
      </c>
      <c r="AG155" s="152">
        <f>IF($B155=1,$G$21,IF(N(Vintage_Input!Q104)&gt;0,Vintage_Input!AO104/Vintage_Input!Q104,""))</f>
        <v/>
      </c>
      <c r="AH155" s="152">
        <f>IF($B155=1,$H$21,IF(N(Vintage_Input!R104)&gt;0,Vintage_Input!AP104/Vintage_Input!R104,""))</f>
        <v/>
      </c>
      <c r="AI155" s="152">
        <f>IF($B155=1,$I$21,IF(N(Vintage_Input!S104)&gt;0,Vintage_Input!AQ104/Vintage_Input!S104,""))</f>
        <v/>
      </c>
      <c r="AJ155" s="152">
        <f>IF($B155=1,$B$22,IF(N(Vintage_Input!L104)&gt;0,IFERROR(Vintage_Input!AR104/Vintage_Input!AJ104,""),""))</f>
        <v/>
      </c>
      <c r="AK155" s="152">
        <f>IF($B155=1,$C$22,IF(N(Vintage_Input!M104)&gt;0,IFERROR(Vintage_Input!AS104/Vintage_Input!AK104,""),""))</f>
        <v/>
      </c>
      <c r="AL155" s="152">
        <f>IF($B155=1,$D$22,IF(N(Vintage_Input!N104)&gt;0,IFERROR(Vintage_Input!AT104/Vintage_Input!AL104,""),""))</f>
        <v/>
      </c>
      <c r="AM155" s="152">
        <f>IF($B155=1,$E$22,IF(N(Vintage_Input!O104)&gt;0,IFERROR(Vintage_Input!AU104/Vintage_Input!AM104,""),""))</f>
        <v/>
      </c>
      <c r="AN155" s="152">
        <f>IF($B155=1,$F$22,IF(N(Vintage_Input!P104)&gt;0,IFERROR(Vintage_Input!AV104/Vintage_Input!AN104,""),""))</f>
        <v/>
      </c>
      <c r="AO155" s="152">
        <f>IF($B155=1,$G$22,IF(N(Vintage_Input!Q104)&gt;0,IFERROR(Vintage_Input!AW104/Vintage_Input!AO104,""),""))</f>
        <v/>
      </c>
      <c r="AP155" s="152">
        <f>IF($B155=1,$H$22,IF(N(Vintage_Input!R104)&gt;0,IFERROR(Vintage_Input!AX104/Vintage_Input!AP104,""),""))</f>
        <v/>
      </c>
      <c r="AQ155" s="152">
        <f>IF($B155=1,$I$22,IF(N(Vintage_Input!S104)&gt;0,IFERROR(Vintage_Input!AY104/Vintage_Input!AQ104,""),""))</f>
        <v/>
      </c>
      <c r="AR155" s="152">
        <f>IF($B155=1,$B$23,IF(N(Vintage_Input!L104)&gt;0,IFERROR(Vintage_Input!AZ104/$C155,""),""))</f>
        <v/>
      </c>
      <c r="AS155" s="152">
        <f>IF($B155=1,$C$23,IF(N(Vintage_Input!M104)&gt;0,IFERROR(Vintage_Input!BA104/$C155,""),""))</f>
        <v/>
      </c>
      <c r="AT155" s="152">
        <f>IF($B155=1,$D$23,IF(N(Vintage_Input!N104)&gt;0,IFERROR(Vintage_Input!BB104/$C155,""),""))</f>
        <v/>
      </c>
      <c r="AU155" s="152">
        <f>IF($B155=1,$E$23,IF(N(Vintage_Input!O104)&gt;0,IFERROR(Vintage_Input!BC104/$C155,""),""))</f>
        <v/>
      </c>
      <c r="AV155" s="152">
        <f>IF($B155=1,$F$23,IF(N(Vintage_Input!P104)&gt;0,IFERROR(Vintage_Input!BD104/$C155,""),""))</f>
        <v/>
      </c>
      <c r="AW155" s="152">
        <f>IF($B155=1,$G$23,IF(N(Vintage_Input!Q104)&gt;0,IFERROR(Vintage_Input!BE104/$C155,""),""))</f>
        <v/>
      </c>
      <c r="AX155" s="152">
        <f>IF($B155=1,$H$23,IF(N(Vintage_Input!R104)&gt;0,IFERROR(Vintage_Input!BF104/$C155,""),""))</f>
        <v/>
      </c>
      <c r="AY155" s="152">
        <f>IF($B155=1,$I$23,IF(N(Vintage_Input!S104)&gt;0,IFERROR(Vintage_Input!BG104/$C155,""),""))</f>
        <v/>
      </c>
      <c r="AZ155" s="153">
        <f>IF($B155=1,$B$24,IF(N(Vintage_Input!L104)&gt;0,IFERROR((Vintage_Input!D104+Vintage_Input!AR104)/$C155+Products!$D$14-(Products!$D$43+Products!$D$19+Products!$D$43*Products!$D$22+Products!$D$44),""),""))</f>
        <v/>
      </c>
      <c r="BA155" s="153">
        <f>IF($B155=1,$C$24,IF(N(Vintage_Input!M104)&gt;0,IFERROR((Vintage_Input!E104+Vintage_Input!AS104)/$C155+Products!$D$14-(Products!$D$43+Products!$D$19+Products!$D$43*Products!$D$22+Products!$D$44),""),""))</f>
        <v/>
      </c>
      <c r="BB155" s="153">
        <f>IF($B155=1,$D$24,IF(N(Vintage_Input!N104)&gt;0,IFERROR((Vintage_Input!F104+Vintage_Input!AT104)/$C155+Products!$D$14-(Products!$D$43+Products!$D$19+Products!$D$43*Products!$D$22+Products!$D$44),""),""))</f>
        <v/>
      </c>
      <c r="BC155" s="153">
        <f>IF($B155=1,$E$24,IF(N(Vintage_Input!O104)&gt;0,IFERROR((Vintage_Input!G104+Vintage_Input!AU104)/$C155+Products!$D$14-(Products!$D$43+Products!$D$19+Products!$D$43*Products!$D$22+Products!$D$44),""),""))</f>
        <v/>
      </c>
      <c r="BD155" s="153">
        <f>IF($B155=1,$F$24,IF(N(Vintage_Input!P104)&gt;0,IFERROR((Vintage_Input!H104+Vintage_Input!AV104)/$C155+Products!$D$14-(Products!$D$43+Products!$D$19+Products!$D$43*Products!$D$22+Products!$D$44),""),""))</f>
        <v/>
      </c>
      <c r="BE155" s="153">
        <f>IF($B155=1,$G$24,IF(N(Vintage_Input!Q104)&gt;0,IFERROR((Vintage_Input!I104+Vintage_Input!AW104)/$C155+Products!$D$14-(Products!$D$43+Products!$D$19+Products!$D$43*Products!$D$22+Products!$D$44),""),""))</f>
        <v/>
      </c>
      <c r="BF155" s="153">
        <f>IF($B155=1,$H$24,IF(N(Vintage_Input!R104)&gt;0,IFERROR((Vintage_Input!J104+Vintage_Input!AX104)/$C155+Products!$D$14-(Products!$D$43+Products!$D$19+Products!$D$43*Products!$D$22+Products!$D$44),""),""))</f>
        <v/>
      </c>
      <c r="BG155" s="153">
        <f>IF($B155=1,$I$24,IF(N(Vintage_Input!S104)&gt;0,IFERROR((Vintage_Input!K104+Vintage_Input!AY104)/$C155+Products!$D$14-(Products!$D$43+Products!$D$19+Products!$D$43*Products!$D$22+Products!$D$44),""),""))</f>
        <v/>
      </c>
      <c r="BH155" s="81">
        <f>IF($B155=1,0,IF(Vintage_Input!$BH$104="","",Vintage_Input!$BH$104))</f>
        <v/>
      </c>
    </row>
    <row r="156">
      <c r="A156" s="23" t="n">
        <v>32</v>
      </c>
      <c r="B156" s="48">
        <f>Vintage_Input!$B$105</f>
        <v/>
      </c>
      <c r="C156" s="41">
        <f>IF(Vintage_Input!$C$105="",0,Vintage_Input!$C$105)</f>
        <v/>
      </c>
      <c r="D156" s="152">
        <f>IF($B156=1,$B$18,IF(N(Vintage_Input!L105)&gt;0,Vintage_Input!D105/Vintage_Input!L105,""))</f>
        <v/>
      </c>
      <c r="E156" s="152">
        <f>IF($B156=1,$C$18,IF(N(Vintage_Input!M105)&gt;0,Vintage_Input!E105/Vintage_Input!M105,""))</f>
        <v/>
      </c>
      <c r="F156" s="152">
        <f>IF($B156=1,$D$18,IF(N(Vintage_Input!N105)&gt;0,Vintage_Input!F105/Vintage_Input!N105,""))</f>
        <v/>
      </c>
      <c r="G156" s="152">
        <f>IF($B156=1,$E$18,IF(N(Vintage_Input!O105)&gt;0,Vintage_Input!G105/Vintage_Input!O105,""))</f>
        <v/>
      </c>
      <c r="H156" s="152">
        <f>IF($B156=1,$F$18,IF(N(Vintage_Input!P105)&gt;0,Vintage_Input!H105/Vintage_Input!P105,""))</f>
        <v/>
      </c>
      <c r="I156" s="152">
        <f>IF($B156=1,$G$18,IF(N(Vintage_Input!Q105)&gt;0,Vintage_Input!I105/Vintage_Input!Q105,""))</f>
        <v/>
      </c>
      <c r="J156" s="152">
        <f>IF($B156=1,$H$18,IF(N(Vintage_Input!R105)&gt;0,Vintage_Input!J105/Vintage_Input!R105,""))</f>
        <v/>
      </c>
      <c r="K156" s="152">
        <f>IF($B156=1,$I$18,IF(N(Vintage_Input!S105)&gt;0,Vintage_Input!K105/Vintage_Input!S105,""))</f>
        <v/>
      </c>
      <c r="L156" s="152">
        <f>IF($B156=1,$B$19,IF(N(Vintage_Input!L105)&gt;0,Vintage_Input!T105/Vintage_Input!L105,""))</f>
        <v/>
      </c>
      <c r="M156" s="152">
        <f>IF($B156=1,$C$19,IF(N(Vintage_Input!M105)&gt;0,Vintage_Input!U105/Vintage_Input!M105,""))</f>
        <v/>
      </c>
      <c r="N156" s="152">
        <f>IF($B156=1,$D$19,IF(N(Vintage_Input!N105)&gt;0,Vintage_Input!V105/Vintage_Input!N105,""))</f>
        <v/>
      </c>
      <c r="O156" s="152">
        <f>IF($B156=1,$E$19,IF(N(Vintage_Input!O105)&gt;0,Vintage_Input!W105/Vintage_Input!O105,""))</f>
        <v/>
      </c>
      <c r="P156" s="152">
        <f>IF($B156=1,$F$19,IF(N(Vintage_Input!P105)&gt;0,Vintage_Input!X105/Vintage_Input!P105,""))</f>
        <v/>
      </c>
      <c r="Q156" s="152">
        <f>IF($B156=1,$G$19,IF(N(Vintage_Input!Q105)&gt;0,Vintage_Input!Y105/Vintage_Input!Q105,""))</f>
        <v/>
      </c>
      <c r="R156" s="152">
        <f>IF($B156=1,$H$19,IF(N(Vintage_Input!R105)&gt;0,Vintage_Input!Z105/Vintage_Input!R105,""))</f>
        <v/>
      </c>
      <c r="S156" s="152">
        <f>IF($B156=1,$I$19,IF(N(Vintage_Input!S105)&gt;0,Vintage_Input!AA105/Vintage_Input!S105,""))</f>
        <v/>
      </c>
      <c r="T156" s="152">
        <f>IF($B156=1,$B$20,IF(N(Vintage_Input!L105)&gt;0,Vintage_Input!AB105/Vintage_Input!L105,""))</f>
        <v/>
      </c>
      <c r="U156" s="152">
        <f>IF($B156=1,$C$20,IF(N(Vintage_Input!M105)&gt;0,Vintage_Input!AC105/Vintage_Input!M105,""))</f>
        <v/>
      </c>
      <c r="V156" s="152">
        <f>IF($B156=1,$D$20,IF(N(Vintage_Input!N105)&gt;0,Vintage_Input!AD105/Vintage_Input!N105,""))</f>
        <v/>
      </c>
      <c r="W156" s="152">
        <f>IF($B156=1,$E$20,IF(N(Vintage_Input!O105)&gt;0,Vintage_Input!AE105/Vintage_Input!O105,""))</f>
        <v/>
      </c>
      <c r="X156" s="152">
        <f>IF($B156=1,$F$20,IF(N(Vintage_Input!P105)&gt;0,Vintage_Input!AF105/Vintage_Input!P105,""))</f>
        <v/>
      </c>
      <c r="Y156" s="152">
        <f>IF($B156=1,$G$20,IF(N(Vintage_Input!Q105)&gt;0,Vintage_Input!AG105/Vintage_Input!Q105,""))</f>
        <v/>
      </c>
      <c r="Z156" s="152">
        <f>IF($B156=1,$H$20,IF(N(Vintage_Input!R105)&gt;0,Vintage_Input!AH105/Vintage_Input!R105,""))</f>
        <v/>
      </c>
      <c r="AA156" s="152">
        <f>IF($B156=1,$I$20,IF(N(Vintage_Input!S105)&gt;0,Vintage_Input!AI105/Vintage_Input!S105,""))</f>
        <v/>
      </c>
      <c r="AB156" s="152">
        <f>IF($B156=1,$B$21,IF(N(Vintage_Input!L105)&gt;0,Vintage_Input!AJ105/Vintage_Input!L105,""))</f>
        <v/>
      </c>
      <c r="AC156" s="152">
        <f>IF($B156=1,$C$21,IF(N(Vintage_Input!M105)&gt;0,Vintage_Input!AK105/Vintage_Input!M105,""))</f>
        <v/>
      </c>
      <c r="AD156" s="152">
        <f>IF($B156=1,$D$21,IF(N(Vintage_Input!N105)&gt;0,Vintage_Input!AL105/Vintage_Input!N105,""))</f>
        <v/>
      </c>
      <c r="AE156" s="152">
        <f>IF($B156=1,$E$21,IF(N(Vintage_Input!O105)&gt;0,Vintage_Input!AM105/Vintage_Input!O105,""))</f>
        <v/>
      </c>
      <c r="AF156" s="152">
        <f>IF($B156=1,$F$21,IF(N(Vintage_Input!P105)&gt;0,Vintage_Input!AN105/Vintage_Input!P105,""))</f>
        <v/>
      </c>
      <c r="AG156" s="152">
        <f>IF($B156=1,$G$21,IF(N(Vintage_Input!Q105)&gt;0,Vintage_Input!AO105/Vintage_Input!Q105,""))</f>
        <v/>
      </c>
      <c r="AH156" s="152">
        <f>IF($B156=1,$H$21,IF(N(Vintage_Input!R105)&gt;0,Vintage_Input!AP105/Vintage_Input!R105,""))</f>
        <v/>
      </c>
      <c r="AI156" s="152">
        <f>IF($B156=1,$I$21,IF(N(Vintage_Input!S105)&gt;0,Vintage_Input!AQ105/Vintage_Input!S105,""))</f>
        <v/>
      </c>
      <c r="AJ156" s="152">
        <f>IF($B156=1,$B$22,IF(N(Vintage_Input!L105)&gt;0,IFERROR(Vintage_Input!AR105/Vintage_Input!AJ105,""),""))</f>
        <v/>
      </c>
      <c r="AK156" s="152">
        <f>IF($B156=1,$C$22,IF(N(Vintage_Input!M105)&gt;0,IFERROR(Vintage_Input!AS105/Vintage_Input!AK105,""),""))</f>
        <v/>
      </c>
      <c r="AL156" s="152">
        <f>IF($B156=1,$D$22,IF(N(Vintage_Input!N105)&gt;0,IFERROR(Vintage_Input!AT105/Vintage_Input!AL105,""),""))</f>
        <v/>
      </c>
      <c r="AM156" s="152">
        <f>IF($B156=1,$E$22,IF(N(Vintage_Input!O105)&gt;0,IFERROR(Vintage_Input!AU105/Vintage_Input!AM105,""),""))</f>
        <v/>
      </c>
      <c r="AN156" s="152">
        <f>IF($B156=1,$F$22,IF(N(Vintage_Input!P105)&gt;0,IFERROR(Vintage_Input!AV105/Vintage_Input!AN105,""),""))</f>
        <v/>
      </c>
      <c r="AO156" s="152">
        <f>IF($B156=1,$G$22,IF(N(Vintage_Input!Q105)&gt;0,IFERROR(Vintage_Input!AW105/Vintage_Input!AO105,""),""))</f>
        <v/>
      </c>
      <c r="AP156" s="152">
        <f>IF($B156=1,$H$22,IF(N(Vintage_Input!R105)&gt;0,IFERROR(Vintage_Input!AX105/Vintage_Input!AP105,""),""))</f>
        <v/>
      </c>
      <c r="AQ156" s="152">
        <f>IF($B156=1,$I$22,IF(N(Vintage_Input!S105)&gt;0,IFERROR(Vintage_Input!AY105/Vintage_Input!AQ105,""),""))</f>
        <v/>
      </c>
      <c r="AR156" s="152">
        <f>IF($B156=1,$B$23,IF(N(Vintage_Input!L105)&gt;0,IFERROR(Vintage_Input!AZ105/$C156,""),""))</f>
        <v/>
      </c>
      <c r="AS156" s="152">
        <f>IF($B156=1,$C$23,IF(N(Vintage_Input!M105)&gt;0,IFERROR(Vintage_Input!BA105/$C156,""),""))</f>
        <v/>
      </c>
      <c r="AT156" s="152">
        <f>IF($B156=1,$D$23,IF(N(Vintage_Input!N105)&gt;0,IFERROR(Vintage_Input!BB105/$C156,""),""))</f>
        <v/>
      </c>
      <c r="AU156" s="152">
        <f>IF($B156=1,$E$23,IF(N(Vintage_Input!O105)&gt;0,IFERROR(Vintage_Input!BC105/$C156,""),""))</f>
        <v/>
      </c>
      <c r="AV156" s="152">
        <f>IF($B156=1,$F$23,IF(N(Vintage_Input!P105)&gt;0,IFERROR(Vintage_Input!BD105/$C156,""),""))</f>
        <v/>
      </c>
      <c r="AW156" s="152">
        <f>IF($B156=1,$G$23,IF(N(Vintage_Input!Q105)&gt;0,IFERROR(Vintage_Input!BE105/$C156,""),""))</f>
        <v/>
      </c>
      <c r="AX156" s="152">
        <f>IF($B156=1,$H$23,IF(N(Vintage_Input!R105)&gt;0,IFERROR(Vintage_Input!BF105/$C156,""),""))</f>
        <v/>
      </c>
      <c r="AY156" s="152">
        <f>IF($B156=1,$I$23,IF(N(Vintage_Input!S105)&gt;0,IFERROR(Vintage_Input!BG105/$C156,""),""))</f>
        <v/>
      </c>
      <c r="AZ156" s="153">
        <f>IF($B156=1,$B$24,IF(N(Vintage_Input!L105)&gt;0,IFERROR((Vintage_Input!D105+Vintage_Input!AR105)/$C156+Products!$D$14-(Products!$D$43+Products!$D$19+Products!$D$43*Products!$D$22+Products!$D$44),""),""))</f>
        <v/>
      </c>
      <c r="BA156" s="153">
        <f>IF($B156=1,$C$24,IF(N(Vintage_Input!M105)&gt;0,IFERROR((Vintage_Input!E105+Vintage_Input!AS105)/$C156+Products!$D$14-(Products!$D$43+Products!$D$19+Products!$D$43*Products!$D$22+Products!$D$44),""),""))</f>
        <v/>
      </c>
      <c r="BB156" s="153">
        <f>IF($B156=1,$D$24,IF(N(Vintage_Input!N105)&gt;0,IFERROR((Vintage_Input!F105+Vintage_Input!AT105)/$C156+Products!$D$14-(Products!$D$43+Products!$D$19+Products!$D$43*Products!$D$22+Products!$D$44),""),""))</f>
        <v/>
      </c>
      <c r="BC156" s="153">
        <f>IF($B156=1,$E$24,IF(N(Vintage_Input!O105)&gt;0,IFERROR((Vintage_Input!G105+Vintage_Input!AU105)/$C156+Products!$D$14-(Products!$D$43+Products!$D$19+Products!$D$43*Products!$D$22+Products!$D$44),""),""))</f>
        <v/>
      </c>
      <c r="BD156" s="153">
        <f>IF($B156=1,$F$24,IF(N(Vintage_Input!P105)&gt;0,IFERROR((Vintage_Input!H105+Vintage_Input!AV105)/$C156+Products!$D$14-(Products!$D$43+Products!$D$19+Products!$D$43*Products!$D$22+Products!$D$44),""),""))</f>
        <v/>
      </c>
      <c r="BE156" s="153">
        <f>IF($B156=1,$G$24,IF(N(Vintage_Input!Q105)&gt;0,IFERROR((Vintage_Input!I105+Vintage_Input!AW105)/$C156+Products!$D$14-(Products!$D$43+Products!$D$19+Products!$D$43*Products!$D$22+Products!$D$44),""),""))</f>
        <v/>
      </c>
      <c r="BF156" s="153">
        <f>IF($B156=1,$H$24,IF(N(Vintage_Input!R105)&gt;0,IFERROR((Vintage_Input!J105+Vintage_Input!AX105)/$C156+Products!$D$14-(Products!$D$43+Products!$D$19+Products!$D$43*Products!$D$22+Products!$D$44),""),""))</f>
        <v/>
      </c>
      <c r="BG156" s="153">
        <f>IF($B156=1,$I$24,IF(N(Vintage_Input!S105)&gt;0,IFERROR((Vintage_Input!K105+Vintage_Input!AY105)/$C156+Products!$D$14-(Products!$D$43+Products!$D$19+Products!$D$43*Products!$D$22+Products!$D$44),""),""))</f>
        <v/>
      </c>
      <c r="BH156" s="81">
        <f>IF($B156=1,0,IF(Vintage_Input!$BH$105="","",Vintage_Input!$BH$105))</f>
        <v/>
      </c>
    </row>
    <row r="157">
      <c r="A157" s="23" t="n">
        <v>33</v>
      </c>
      <c r="B157" s="48">
        <f>Vintage_Input!$B$106</f>
        <v/>
      </c>
      <c r="C157" s="41">
        <f>IF(Vintage_Input!$C$106="",0,Vintage_Input!$C$106)</f>
        <v/>
      </c>
      <c r="D157" s="152">
        <f>IF($B157=1,$B$18,IF(N(Vintage_Input!L106)&gt;0,Vintage_Input!D106/Vintage_Input!L106,""))</f>
        <v/>
      </c>
      <c r="E157" s="152">
        <f>IF($B157=1,$C$18,IF(N(Vintage_Input!M106)&gt;0,Vintage_Input!E106/Vintage_Input!M106,""))</f>
        <v/>
      </c>
      <c r="F157" s="152">
        <f>IF($B157=1,$D$18,IF(N(Vintage_Input!N106)&gt;0,Vintage_Input!F106/Vintage_Input!N106,""))</f>
        <v/>
      </c>
      <c r="G157" s="152">
        <f>IF($B157=1,$E$18,IF(N(Vintage_Input!O106)&gt;0,Vintage_Input!G106/Vintage_Input!O106,""))</f>
        <v/>
      </c>
      <c r="H157" s="152">
        <f>IF($B157=1,$F$18,IF(N(Vintage_Input!P106)&gt;0,Vintage_Input!H106/Vintage_Input!P106,""))</f>
        <v/>
      </c>
      <c r="I157" s="152">
        <f>IF($B157=1,$G$18,IF(N(Vintage_Input!Q106)&gt;0,Vintage_Input!I106/Vintage_Input!Q106,""))</f>
        <v/>
      </c>
      <c r="J157" s="152">
        <f>IF($B157=1,$H$18,IF(N(Vintage_Input!R106)&gt;0,Vintage_Input!J106/Vintage_Input!R106,""))</f>
        <v/>
      </c>
      <c r="K157" s="152">
        <f>IF($B157=1,$I$18,IF(N(Vintage_Input!S106)&gt;0,Vintage_Input!K106/Vintage_Input!S106,""))</f>
        <v/>
      </c>
      <c r="L157" s="152">
        <f>IF($B157=1,$B$19,IF(N(Vintage_Input!L106)&gt;0,Vintage_Input!T106/Vintage_Input!L106,""))</f>
        <v/>
      </c>
      <c r="M157" s="152">
        <f>IF($B157=1,$C$19,IF(N(Vintage_Input!M106)&gt;0,Vintage_Input!U106/Vintage_Input!M106,""))</f>
        <v/>
      </c>
      <c r="N157" s="152">
        <f>IF($B157=1,$D$19,IF(N(Vintage_Input!N106)&gt;0,Vintage_Input!V106/Vintage_Input!N106,""))</f>
        <v/>
      </c>
      <c r="O157" s="152">
        <f>IF($B157=1,$E$19,IF(N(Vintage_Input!O106)&gt;0,Vintage_Input!W106/Vintage_Input!O106,""))</f>
        <v/>
      </c>
      <c r="P157" s="152">
        <f>IF($B157=1,$F$19,IF(N(Vintage_Input!P106)&gt;0,Vintage_Input!X106/Vintage_Input!P106,""))</f>
        <v/>
      </c>
      <c r="Q157" s="152">
        <f>IF($B157=1,$G$19,IF(N(Vintage_Input!Q106)&gt;0,Vintage_Input!Y106/Vintage_Input!Q106,""))</f>
        <v/>
      </c>
      <c r="R157" s="152">
        <f>IF($B157=1,$H$19,IF(N(Vintage_Input!R106)&gt;0,Vintage_Input!Z106/Vintage_Input!R106,""))</f>
        <v/>
      </c>
      <c r="S157" s="152">
        <f>IF($B157=1,$I$19,IF(N(Vintage_Input!S106)&gt;0,Vintage_Input!AA106/Vintage_Input!S106,""))</f>
        <v/>
      </c>
      <c r="T157" s="152">
        <f>IF($B157=1,$B$20,IF(N(Vintage_Input!L106)&gt;0,Vintage_Input!AB106/Vintage_Input!L106,""))</f>
        <v/>
      </c>
      <c r="U157" s="152">
        <f>IF($B157=1,$C$20,IF(N(Vintage_Input!M106)&gt;0,Vintage_Input!AC106/Vintage_Input!M106,""))</f>
        <v/>
      </c>
      <c r="V157" s="152">
        <f>IF($B157=1,$D$20,IF(N(Vintage_Input!N106)&gt;0,Vintage_Input!AD106/Vintage_Input!N106,""))</f>
        <v/>
      </c>
      <c r="W157" s="152">
        <f>IF($B157=1,$E$20,IF(N(Vintage_Input!O106)&gt;0,Vintage_Input!AE106/Vintage_Input!O106,""))</f>
        <v/>
      </c>
      <c r="X157" s="152">
        <f>IF($B157=1,$F$20,IF(N(Vintage_Input!P106)&gt;0,Vintage_Input!AF106/Vintage_Input!P106,""))</f>
        <v/>
      </c>
      <c r="Y157" s="152">
        <f>IF($B157=1,$G$20,IF(N(Vintage_Input!Q106)&gt;0,Vintage_Input!AG106/Vintage_Input!Q106,""))</f>
        <v/>
      </c>
      <c r="Z157" s="152">
        <f>IF($B157=1,$H$20,IF(N(Vintage_Input!R106)&gt;0,Vintage_Input!AH106/Vintage_Input!R106,""))</f>
        <v/>
      </c>
      <c r="AA157" s="152">
        <f>IF($B157=1,$I$20,IF(N(Vintage_Input!S106)&gt;0,Vintage_Input!AI106/Vintage_Input!S106,""))</f>
        <v/>
      </c>
      <c r="AB157" s="152">
        <f>IF($B157=1,$B$21,IF(N(Vintage_Input!L106)&gt;0,Vintage_Input!AJ106/Vintage_Input!L106,""))</f>
        <v/>
      </c>
      <c r="AC157" s="152">
        <f>IF($B157=1,$C$21,IF(N(Vintage_Input!M106)&gt;0,Vintage_Input!AK106/Vintage_Input!M106,""))</f>
        <v/>
      </c>
      <c r="AD157" s="152">
        <f>IF($B157=1,$D$21,IF(N(Vintage_Input!N106)&gt;0,Vintage_Input!AL106/Vintage_Input!N106,""))</f>
        <v/>
      </c>
      <c r="AE157" s="152">
        <f>IF($B157=1,$E$21,IF(N(Vintage_Input!O106)&gt;0,Vintage_Input!AM106/Vintage_Input!O106,""))</f>
        <v/>
      </c>
      <c r="AF157" s="152">
        <f>IF($B157=1,$F$21,IF(N(Vintage_Input!P106)&gt;0,Vintage_Input!AN106/Vintage_Input!P106,""))</f>
        <v/>
      </c>
      <c r="AG157" s="152">
        <f>IF($B157=1,$G$21,IF(N(Vintage_Input!Q106)&gt;0,Vintage_Input!AO106/Vintage_Input!Q106,""))</f>
        <v/>
      </c>
      <c r="AH157" s="152">
        <f>IF($B157=1,$H$21,IF(N(Vintage_Input!R106)&gt;0,Vintage_Input!AP106/Vintage_Input!R106,""))</f>
        <v/>
      </c>
      <c r="AI157" s="152">
        <f>IF($B157=1,$I$21,IF(N(Vintage_Input!S106)&gt;0,Vintage_Input!AQ106/Vintage_Input!S106,""))</f>
        <v/>
      </c>
      <c r="AJ157" s="152">
        <f>IF($B157=1,$B$22,IF(N(Vintage_Input!L106)&gt;0,IFERROR(Vintage_Input!AR106/Vintage_Input!AJ106,""),""))</f>
        <v/>
      </c>
      <c r="AK157" s="152">
        <f>IF($B157=1,$C$22,IF(N(Vintage_Input!M106)&gt;0,IFERROR(Vintage_Input!AS106/Vintage_Input!AK106,""),""))</f>
        <v/>
      </c>
      <c r="AL157" s="152">
        <f>IF($B157=1,$D$22,IF(N(Vintage_Input!N106)&gt;0,IFERROR(Vintage_Input!AT106/Vintage_Input!AL106,""),""))</f>
        <v/>
      </c>
      <c r="AM157" s="152">
        <f>IF($B157=1,$E$22,IF(N(Vintage_Input!O106)&gt;0,IFERROR(Vintage_Input!AU106/Vintage_Input!AM106,""),""))</f>
        <v/>
      </c>
      <c r="AN157" s="152">
        <f>IF($B157=1,$F$22,IF(N(Vintage_Input!P106)&gt;0,IFERROR(Vintage_Input!AV106/Vintage_Input!AN106,""),""))</f>
        <v/>
      </c>
      <c r="AO157" s="152">
        <f>IF($B157=1,$G$22,IF(N(Vintage_Input!Q106)&gt;0,IFERROR(Vintage_Input!AW106/Vintage_Input!AO106,""),""))</f>
        <v/>
      </c>
      <c r="AP157" s="152">
        <f>IF($B157=1,$H$22,IF(N(Vintage_Input!R106)&gt;0,IFERROR(Vintage_Input!AX106/Vintage_Input!AP106,""),""))</f>
        <v/>
      </c>
      <c r="AQ157" s="152">
        <f>IF($B157=1,$I$22,IF(N(Vintage_Input!S106)&gt;0,IFERROR(Vintage_Input!AY106/Vintage_Input!AQ106,""),""))</f>
        <v/>
      </c>
      <c r="AR157" s="152">
        <f>IF($B157=1,$B$23,IF(N(Vintage_Input!L106)&gt;0,IFERROR(Vintage_Input!AZ106/$C157,""),""))</f>
        <v/>
      </c>
      <c r="AS157" s="152">
        <f>IF($B157=1,$C$23,IF(N(Vintage_Input!M106)&gt;0,IFERROR(Vintage_Input!BA106/$C157,""),""))</f>
        <v/>
      </c>
      <c r="AT157" s="152">
        <f>IF($B157=1,$D$23,IF(N(Vintage_Input!N106)&gt;0,IFERROR(Vintage_Input!BB106/$C157,""),""))</f>
        <v/>
      </c>
      <c r="AU157" s="152">
        <f>IF($B157=1,$E$23,IF(N(Vintage_Input!O106)&gt;0,IFERROR(Vintage_Input!BC106/$C157,""),""))</f>
        <v/>
      </c>
      <c r="AV157" s="152">
        <f>IF($B157=1,$F$23,IF(N(Vintage_Input!P106)&gt;0,IFERROR(Vintage_Input!BD106/$C157,""),""))</f>
        <v/>
      </c>
      <c r="AW157" s="152">
        <f>IF($B157=1,$G$23,IF(N(Vintage_Input!Q106)&gt;0,IFERROR(Vintage_Input!BE106/$C157,""),""))</f>
        <v/>
      </c>
      <c r="AX157" s="152">
        <f>IF($B157=1,$H$23,IF(N(Vintage_Input!R106)&gt;0,IFERROR(Vintage_Input!BF106/$C157,""),""))</f>
        <v/>
      </c>
      <c r="AY157" s="152">
        <f>IF($B157=1,$I$23,IF(N(Vintage_Input!S106)&gt;0,IFERROR(Vintage_Input!BG106/$C157,""),""))</f>
        <v/>
      </c>
      <c r="AZ157" s="153">
        <f>IF($B157=1,$B$24,IF(N(Vintage_Input!L106)&gt;0,IFERROR((Vintage_Input!D106+Vintage_Input!AR106)/$C157+Products!$D$14-(Products!$D$43+Products!$D$19+Products!$D$43*Products!$D$22+Products!$D$44),""),""))</f>
        <v/>
      </c>
      <c r="BA157" s="153">
        <f>IF($B157=1,$C$24,IF(N(Vintage_Input!M106)&gt;0,IFERROR((Vintage_Input!E106+Vintage_Input!AS106)/$C157+Products!$D$14-(Products!$D$43+Products!$D$19+Products!$D$43*Products!$D$22+Products!$D$44),""),""))</f>
        <v/>
      </c>
      <c r="BB157" s="153">
        <f>IF($B157=1,$D$24,IF(N(Vintage_Input!N106)&gt;0,IFERROR((Vintage_Input!F106+Vintage_Input!AT106)/$C157+Products!$D$14-(Products!$D$43+Products!$D$19+Products!$D$43*Products!$D$22+Products!$D$44),""),""))</f>
        <v/>
      </c>
      <c r="BC157" s="153">
        <f>IF($B157=1,$E$24,IF(N(Vintage_Input!O106)&gt;0,IFERROR((Vintage_Input!G106+Vintage_Input!AU106)/$C157+Products!$D$14-(Products!$D$43+Products!$D$19+Products!$D$43*Products!$D$22+Products!$D$44),""),""))</f>
        <v/>
      </c>
      <c r="BD157" s="153">
        <f>IF($B157=1,$F$24,IF(N(Vintage_Input!P106)&gt;0,IFERROR((Vintage_Input!H106+Vintage_Input!AV106)/$C157+Products!$D$14-(Products!$D$43+Products!$D$19+Products!$D$43*Products!$D$22+Products!$D$44),""),""))</f>
        <v/>
      </c>
      <c r="BE157" s="153">
        <f>IF($B157=1,$G$24,IF(N(Vintage_Input!Q106)&gt;0,IFERROR((Vintage_Input!I106+Vintage_Input!AW106)/$C157+Products!$D$14-(Products!$D$43+Products!$D$19+Products!$D$43*Products!$D$22+Products!$D$44),""),""))</f>
        <v/>
      </c>
      <c r="BF157" s="153">
        <f>IF($B157=1,$H$24,IF(N(Vintage_Input!R106)&gt;0,IFERROR((Vintage_Input!J106+Vintage_Input!AX106)/$C157+Products!$D$14-(Products!$D$43+Products!$D$19+Products!$D$43*Products!$D$22+Products!$D$44),""),""))</f>
        <v/>
      </c>
      <c r="BG157" s="153">
        <f>IF($B157=1,$I$24,IF(N(Vintage_Input!S106)&gt;0,IFERROR((Vintage_Input!K106+Vintage_Input!AY106)/$C157+Products!$D$14-(Products!$D$43+Products!$D$19+Products!$D$43*Products!$D$22+Products!$D$44),""),""))</f>
        <v/>
      </c>
      <c r="BH157" s="81">
        <f>IF($B157=1,0,IF(Vintage_Input!$BH$106="","",Vintage_Input!$BH$106))</f>
        <v/>
      </c>
    </row>
    <row r="158">
      <c r="A158" s="23" t="n">
        <v>34</v>
      </c>
      <c r="B158" s="48">
        <f>Vintage_Input!$B$107</f>
        <v/>
      </c>
      <c r="C158" s="41">
        <f>IF(Vintage_Input!$C$107="",0,Vintage_Input!$C$107)</f>
        <v/>
      </c>
      <c r="D158" s="152">
        <f>IF($B158=1,$B$18,IF(N(Vintage_Input!L107)&gt;0,Vintage_Input!D107/Vintage_Input!L107,""))</f>
        <v/>
      </c>
      <c r="E158" s="152">
        <f>IF($B158=1,$C$18,IF(N(Vintage_Input!M107)&gt;0,Vintage_Input!E107/Vintage_Input!M107,""))</f>
        <v/>
      </c>
      <c r="F158" s="152">
        <f>IF($B158=1,$D$18,IF(N(Vintage_Input!N107)&gt;0,Vintage_Input!F107/Vintage_Input!N107,""))</f>
        <v/>
      </c>
      <c r="G158" s="152">
        <f>IF($B158=1,$E$18,IF(N(Vintage_Input!O107)&gt;0,Vintage_Input!G107/Vintage_Input!O107,""))</f>
        <v/>
      </c>
      <c r="H158" s="152">
        <f>IF($B158=1,$F$18,IF(N(Vintage_Input!P107)&gt;0,Vintage_Input!H107/Vintage_Input!P107,""))</f>
        <v/>
      </c>
      <c r="I158" s="152">
        <f>IF($B158=1,$G$18,IF(N(Vintage_Input!Q107)&gt;0,Vintage_Input!I107/Vintage_Input!Q107,""))</f>
        <v/>
      </c>
      <c r="J158" s="152">
        <f>IF($B158=1,$H$18,IF(N(Vintage_Input!R107)&gt;0,Vintage_Input!J107/Vintage_Input!R107,""))</f>
        <v/>
      </c>
      <c r="K158" s="152">
        <f>IF($B158=1,$I$18,IF(N(Vintage_Input!S107)&gt;0,Vintage_Input!K107/Vintage_Input!S107,""))</f>
        <v/>
      </c>
      <c r="L158" s="152">
        <f>IF($B158=1,$B$19,IF(N(Vintage_Input!L107)&gt;0,Vintage_Input!T107/Vintage_Input!L107,""))</f>
        <v/>
      </c>
      <c r="M158" s="152">
        <f>IF($B158=1,$C$19,IF(N(Vintage_Input!M107)&gt;0,Vintage_Input!U107/Vintage_Input!M107,""))</f>
        <v/>
      </c>
      <c r="N158" s="152">
        <f>IF($B158=1,$D$19,IF(N(Vintage_Input!N107)&gt;0,Vintage_Input!V107/Vintage_Input!N107,""))</f>
        <v/>
      </c>
      <c r="O158" s="152">
        <f>IF($B158=1,$E$19,IF(N(Vintage_Input!O107)&gt;0,Vintage_Input!W107/Vintage_Input!O107,""))</f>
        <v/>
      </c>
      <c r="P158" s="152">
        <f>IF($B158=1,$F$19,IF(N(Vintage_Input!P107)&gt;0,Vintage_Input!X107/Vintage_Input!P107,""))</f>
        <v/>
      </c>
      <c r="Q158" s="152">
        <f>IF($B158=1,$G$19,IF(N(Vintage_Input!Q107)&gt;0,Vintage_Input!Y107/Vintage_Input!Q107,""))</f>
        <v/>
      </c>
      <c r="R158" s="152">
        <f>IF($B158=1,$H$19,IF(N(Vintage_Input!R107)&gt;0,Vintage_Input!Z107/Vintage_Input!R107,""))</f>
        <v/>
      </c>
      <c r="S158" s="152">
        <f>IF($B158=1,$I$19,IF(N(Vintage_Input!S107)&gt;0,Vintage_Input!AA107/Vintage_Input!S107,""))</f>
        <v/>
      </c>
      <c r="T158" s="152">
        <f>IF($B158=1,$B$20,IF(N(Vintage_Input!L107)&gt;0,Vintage_Input!AB107/Vintage_Input!L107,""))</f>
        <v/>
      </c>
      <c r="U158" s="152">
        <f>IF($B158=1,$C$20,IF(N(Vintage_Input!M107)&gt;0,Vintage_Input!AC107/Vintage_Input!M107,""))</f>
        <v/>
      </c>
      <c r="V158" s="152">
        <f>IF($B158=1,$D$20,IF(N(Vintage_Input!N107)&gt;0,Vintage_Input!AD107/Vintage_Input!N107,""))</f>
        <v/>
      </c>
      <c r="W158" s="152">
        <f>IF($B158=1,$E$20,IF(N(Vintage_Input!O107)&gt;0,Vintage_Input!AE107/Vintage_Input!O107,""))</f>
        <v/>
      </c>
      <c r="X158" s="152">
        <f>IF($B158=1,$F$20,IF(N(Vintage_Input!P107)&gt;0,Vintage_Input!AF107/Vintage_Input!P107,""))</f>
        <v/>
      </c>
      <c r="Y158" s="152">
        <f>IF($B158=1,$G$20,IF(N(Vintage_Input!Q107)&gt;0,Vintage_Input!AG107/Vintage_Input!Q107,""))</f>
        <v/>
      </c>
      <c r="Z158" s="152">
        <f>IF($B158=1,$H$20,IF(N(Vintage_Input!R107)&gt;0,Vintage_Input!AH107/Vintage_Input!R107,""))</f>
        <v/>
      </c>
      <c r="AA158" s="152">
        <f>IF($B158=1,$I$20,IF(N(Vintage_Input!S107)&gt;0,Vintage_Input!AI107/Vintage_Input!S107,""))</f>
        <v/>
      </c>
      <c r="AB158" s="152">
        <f>IF($B158=1,$B$21,IF(N(Vintage_Input!L107)&gt;0,Vintage_Input!AJ107/Vintage_Input!L107,""))</f>
        <v/>
      </c>
      <c r="AC158" s="152">
        <f>IF($B158=1,$C$21,IF(N(Vintage_Input!M107)&gt;0,Vintage_Input!AK107/Vintage_Input!M107,""))</f>
        <v/>
      </c>
      <c r="AD158" s="152">
        <f>IF($B158=1,$D$21,IF(N(Vintage_Input!N107)&gt;0,Vintage_Input!AL107/Vintage_Input!N107,""))</f>
        <v/>
      </c>
      <c r="AE158" s="152">
        <f>IF($B158=1,$E$21,IF(N(Vintage_Input!O107)&gt;0,Vintage_Input!AM107/Vintage_Input!O107,""))</f>
        <v/>
      </c>
      <c r="AF158" s="152">
        <f>IF($B158=1,$F$21,IF(N(Vintage_Input!P107)&gt;0,Vintage_Input!AN107/Vintage_Input!P107,""))</f>
        <v/>
      </c>
      <c r="AG158" s="152">
        <f>IF($B158=1,$G$21,IF(N(Vintage_Input!Q107)&gt;0,Vintage_Input!AO107/Vintage_Input!Q107,""))</f>
        <v/>
      </c>
      <c r="AH158" s="152">
        <f>IF($B158=1,$H$21,IF(N(Vintage_Input!R107)&gt;0,Vintage_Input!AP107/Vintage_Input!R107,""))</f>
        <v/>
      </c>
      <c r="AI158" s="152">
        <f>IF($B158=1,$I$21,IF(N(Vintage_Input!S107)&gt;0,Vintage_Input!AQ107/Vintage_Input!S107,""))</f>
        <v/>
      </c>
      <c r="AJ158" s="152">
        <f>IF($B158=1,$B$22,IF(N(Vintage_Input!L107)&gt;0,IFERROR(Vintage_Input!AR107/Vintage_Input!AJ107,""),""))</f>
        <v/>
      </c>
      <c r="AK158" s="152">
        <f>IF($B158=1,$C$22,IF(N(Vintage_Input!M107)&gt;0,IFERROR(Vintage_Input!AS107/Vintage_Input!AK107,""),""))</f>
        <v/>
      </c>
      <c r="AL158" s="152">
        <f>IF($B158=1,$D$22,IF(N(Vintage_Input!N107)&gt;0,IFERROR(Vintage_Input!AT107/Vintage_Input!AL107,""),""))</f>
        <v/>
      </c>
      <c r="AM158" s="152">
        <f>IF($B158=1,$E$22,IF(N(Vintage_Input!O107)&gt;0,IFERROR(Vintage_Input!AU107/Vintage_Input!AM107,""),""))</f>
        <v/>
      </c>
      <c r="AN158" s="152">
        <f>IF($B158=1,$F$22,IF(N(Vintage_Input!P107)&gt;0,IFERROR(Vintage_Input!AV107/Vintage_Input!AN107,""),""))</f>
        <v/>
      </c>
      <c r="AO158" s="152">
        <f>IF($B158=1,$G$22,IF(N(Vintage_Input!Q107)&gt;0,IFERROR(Vintage_Input!AW107/Vintage_Input!AO107,""),""))</f>
        <v/>
      </c>
      <c r="AP158" s="152">
        <f>IF($B158=1,$H$22,IF(N(Vintage_Input!R107)&gt;0,IFERROR(Vintage_Input!AX107/Vintage_Input!AP107,""),""))</f>
        <v/>
      </c>
      <c r="AQ158" s="152">
        <f>IF($B158=1,$I$22,IF(N(Vintage_Input!S107)&gt;0,IFERROR(Vintage_Input!AY107/Vintage_Input!AQ107,""),""))</f>
        <v/>
      </c>
      <c r="AR158" s="152">
        <f>IF($B158=1,$B$23,IF(N(Vintage_Input!L107)&gt;0,IFERROR(Vintage_Input!AZ107/$C158,""),""))</f>
        <v/>
      </c>
      <c r="AS158" s="152">
        <f>IF($B158=1,$C$23,IF(N(Vintage_Input!M107)&gt;0,IFERROR(Vintage_Input!BA107/$C158,""),""))</f>
        <v/>
      </c>
      <c r="AT158" s="152">
        <f>IF($B158=1,$D$23,IF(N(Vintage_Input!N107)&gt;0,IFERROR(Vintage_Input!BB107/$C158,""),""))</f>
        <v/>
      </c>
      <c r="AU158" s="152">
        <f>IF($B158=1,$E$23,IF(N(Vintage_Input!O107)&gt;0,IFERROR(Vintage_Input!BC107/$C158,""),""))</f>
        <v/>
      </c>
      <c r="AV158" s="152">
        <f>IF($B158=1,$F$23,IF(N(Vintage_Input!P107)&gt;0,IFERROR(Vintage_Input!BD107/$C158,""),""))</f>
        <v/>
      </c>
      <c r="AW158" s="152">
        <f>IF($B158=1,$G$23,IF(N(Vintage_Input!Q107)&gt;0,IFERROR(Vintage_Input!BE107/$C158,""),""))</f>
        <v/>
      </c>
      <c r="AX158" s="152">
        <f>IF($B158=1,$H$23,IF(N(Vintage_Input!R107)&gt;0,IFERROR(Vintage_Input!BF107/$C158,""),""))</f>
        <v/>
      </c>
      <c r="AY158" s="152">
        <f>IF($B158=1,$I$23,IF(N(Vintage_Input!S107)&gt;0,IFERROR(Vintage_Input!BG107/$C158,""),""))</f>
        <v/>
      </c>
      <c r="AZ158" s="153">
        <f>IF($B158=1,$B$24,IF(N(Vintage_Input!L107)&gt;0,IFERROR((Vintage_Input!D107+Vintage_Input!AR107)/$C158+Products!$D$14-(Products!$D$43+Products!$D$19+Products!$D$43*Products!$D$22+Products!$D$44),""),""))</f>
        <v/>
      </c>
      <c r="BA158" s="153">
        <f>IF($B158=1,$C$24,IF(N(Vintage_Input!M107)&gt;0,IFERROR((Vintage_Input!E107+Vintage_Input!AS107)/$C158+Products!$D$14-(Products!$D$43+Products!$D$19+Products!$D$43*Products!$D$22+Products!$D$44),""),""))</f>
        <v/>
      </c>
      <c r="BB158" s="153">
        <f>IF($B158=1,$D$24,IF(N(Vintage_Input!N107)&gt;0,IFERROR((Vintage_Input!F107+Vintage_Input!AT107)/$C158+Products!$D$14-(Products!$D$43+Products!$D$19+Products!$D$43*Products!$D$22+Products!$D$44),""),""))</f>
        <v/>
      </c>
      <c r="BC158" s="153">
        <f>IF($B158=1,$E$24,IF(N(Vintage_Input!O107)&gt;0,IFERROR((Vintage_Input!G107+Vintage_Input!AU107)/$C158+Products!$D$14-(Products!$D$43+Products!$D$19+Products!$D$43*Products!$D$22+Products!$D$44),""),""))</f>
        <v/>
      </c>
      <c r="BD158" s="153">
        <f>IF($B158=1,$F$24,IF(N(Vintage_Input!P107)&gt;0,IFERROR((Vintage_Input!H107+Vintage_Input!AV107)/$C158+Products!$D$14-(Products!$D$43+Products!$D$19+Products!$D$43*Products!$D$22+Products!$D$44),""),""))</f>
        <v/>
      </c>
      <c r="BE158" s="153">
        <f>IF($B158=1,$G$24,IF(N(Vintage_Input!Q107)&gt;0,IFERROR((Vintage_Input!I107+Vintage_Input!AW107)/$C158+Products!$D$14-(Products!$D$43+Products!$D$19+Products!$D$43*Products!$D$22+Products!$D$44),""),""))</f>
        <v/>
      </c>
      <c r="BF158" s="153">
        <f>IF($B158=1,$H$24,IF(N(Vintage_Input!R107)&gt;0,IFERROR((Vintage_Input!J107+Vintage_Input!AX107)/$C158+Products!$D$14-(Products!$D$43+Products!$D$19+Products!$D$43*Products!$D$22+Products!$D$44),""),""))</f>
        <v/>
      </c>
      <c r="BG158" s="153">
        <f>IF($B158=1,$I$24,IF(N(Vintage_Input!S107)&gt;0,IFERROR((Vintage_Input!K107+Vintage_Input!AY107)/$C158+Products!$D$14-(Products!$D$43+Products!$D$19+Products!$D$43*Products!$D$22+Products!$D$44),""),""))</f>
        <v/>
      </c>
      <c r="BH158" s="81">
        <f>IF($B158=1,0,IF(Vintage_Input!$BH$107="","",Vintage_Input!$BH$107))</f>
        <v/>
      </c>
    </row>
    <row r="159">
      <c r="A159" s="23" t="n">
        <v>35</v>
      </c>
      <c r="B159" s="48">
        <f>Vintage_Input!$B$108</f>
        <v/>
      </c>
      <c r="C159" s="41">
        <f>IF(Vintage_Input!$C$108="",0,Vintage_Input!$C$108)</f>
        <v/>
      </c>
      <c r="D159" s="152">
        <f>IF($B159=1,$B$18,IF(N(Vintage_Input!L108)&gt;0,Vintage_Input!D108/Vintage_Input!L108,""))</f>
        <v/>
      </c>
      <c r="E159" s="152">
        <f>IF($B159=1,$C$18,IF(N(Vintage_Input!M108)&gt;0,Vintage_Input!E108/Vintage_Input!M108,""))</f>
        <v/>
      </c>
      <c r="F159" s="152">
        <f>IF($B159=1,$D$18,IF(N(Vintage_Input!N108)&gt;0,Vintage_Input!F108/Vintage_Input!N108,""))</f>
        <v/>
      </c>
      <c r="G159" s="152">
        <f>IF($B159=1,$E$18,IF(N(Vintage_Input!O108)&gt;0,Vintage_Input!G108/Vintage_Input!O108,""))</f>
        <v/>
      </c>
      <c r="H159" s="152">
        <f>IF($B159=1,$F$18,IF(N(Vintage_Input!P108)&gt;0,Vintage_Input!H108/Vintage_Input!P108,""))</f>
        <v/>
      </c>
      <c r="I159" s="152">
        <f>IF($B159=1,$G$18,IF(N(Vintage_Input!Q108)&gt;0,Vintage_Input!I108/Vintage_Input!Q108,""))</f>
        <v/>
      </c>
      <c r="J159" s="152">
        <f>IF($B159=1,$H$18,IF(N(Vintage_Input!R108)&gt;0,Vintage_Input!J108/Vintage_Input!R108,""))</f>
        <v/>
      </c>
      <c r="K159" s="152">
        <f>IF($B159=1,$I$18,IF(N(Vintage_Input!S108)&gt;0,Vintage_Input!K108/Vintage_Input!S108,""))</f>
        <v/>
      </c>
      <c r="L159" s="152">
        <f>IF($B159=1,$B$19,IF(N(Vintage_Input!L108)&gt;0,Vintage_Input!T108/Vintage_Input!L108,""))</f>
        <v/>
      </c>
      <c r="M159" s="152">
        <f>IF($B159=1,$C$19,IF(N(Vintage_Input!M108)&gt;0,Vintage_Input!U108/Vintage_Input!M108,""))</f>
        <v/>
      </c>
      <c r="N159" s="152">
        <f>IF($B159=1,$D$19,IF(N(Vintage_Input!N108)&gt;0,Vintage_Input!V108/Vintage_Input!N108,""))</f>
        <v/>
      </c>
      <c r="O159" s="152">
        <f>IF($B159=1,$E$19,IF(N(Vintage_Input!O108)&gt;0,Vintage_Input!W108/Vintage_Input!O108,""))</f>
        <v/>
      </c>
      <c r="P159" s="152">
        <f>IF($B159=1,$F$19,IF(N(Vintage_Input!P108)&gt;0,Vintage_Input!X108/Vintage_Input!P108,""))</f>
        <v/>
      </c>
      <c r="Q159" s="152">
        <f>IF($B159=1,$G$19,IF(N(Vintage_Input!Q108)&gt;0,Vintage_Input!Y108/Vintage_Input!Q108,""))</f>
        <v/>
      </c>
      <c r="R159" s="152">
        <f>IF($B159=1,$H$19,IF(N(Vintage_Input!R108)&gt;0,Vintage_Input!Z108/Vintage_Input!R108,""))</f>
        <v/>
      </c>
      <c r="S159" s="152">
        <f>IF($B159=1,$I$19,IF(N(Vintage_Input!S108)&gt;0,Vintage_Input!AA108/Vintage_Input!S108,""))</f>
        <v/>
      </c>
      <c r="T159" s="152">
        <f>IF($B159=1,$B$20,IF(N(Vintage_Input!L108)&gt;0,Vintage_Input!AB108/Vintage_Input!L108,""))</f>
        <v/>
      </c>
      <c r="U159" s="152">
        <f>IF($B159=1,$C$20,IF(N(Vintage_Input!M108)&gt;0,Vintage_Input!AC108/Vintage_Input!M108,""))</f>
        <v/>
      </c>
      <c r="V159" s="152">
        <f>IF($B159=1,$D$20,IF(N(Vintage_Input!N108)&gt;0,Vintage_Input!AD108/Vintage_Input!N108,""))</f>
        <v/>
      </c>
      <c r="W159" s="152">
        <f>IF($B159=1,$E$20,IF(N(Vintage_Input!O108)&gt;0,Vintage_Input!AE108/Vintage_Input!O108,""))</f>
        <v/>
      </c>
      <c r="X159" s="152">
        <f>IF($B159=1,$F$20,IF(N(Vintage_Input!P108)&gt;0,Vintage_Input!AF108/Vintage_Input!P108,""))</f>
        <v/>
      </c>
      <c r="Y159" s="152">
        <f>IF($B159=1,$G$20,IF(N(Vintage_Input!Q108)&gt;0,Vintage_Input!AG108/Vintage_Input!Q108,""))</f>
        <v/>
      </c>
      <c r="Z159" s="152">
        <f>IF($B159=1,$H$20,IF(N(Vintage_Input!R108)&gt;0,Vintage_Input!AH108/Vintage_Input!R108,""))</f>
        <v/>
      </c>
      <c r="AA159" s="152">
        <f>IF($B159=1,$I$20,IF(N(Vintage_Input!S108)&gt;0,Vintage_Input!AI108/Vintage_Input!S108,""))</f>
        <v/>
      </c>
      <c r="AB159" s="152">
        <f>IF($B159=1,$B$21,IF(N(Vintage_Input!L108)&gt;0,Vintage_Input!AJ108/Vintage_Input!L108,""))</f>
        <v/>
      </c>
      <c r="AC159" s="152">
        <f>IF($B159=1,$C$21,IF(N(Vintage_Input!M108)&gt;0,Vintage_Input!AK108/Vintage_Input!M108,""))</f>
        <v/>
      </c>
      <c r="AD159" s="152">
        <f>IF($B159=1,$D$21,IF(N(Vintage_Input!N108)&gt;0,Vintage_Input!AL108/Vintage_Input!N108,""))</f>
        <v/>
      </c>
      <c r="AE159" s="152">
        <f>IF($B159=1,$E$21,IF(N(Vintage_Input!O108)&gt;0,Vintage_Input!AM108/Vintage_Input!O108,""))</f>
        <v/>
      </c>
      <c r="AF159" s="152">
        <f>IF($B159=1,$F$21,IF(N(Vintage_Input!P108)&gt;0,Vintage_Input!AN108/Vintage_Input!P108,""))</f>
        <v/>
      </c>
      <c r="AG159" s="152">
        <f>IF($B159=1,$G$21,IF(N(Vintage_Input!Q108)&gt;0,Vintage_Input!AO108/Vintage_Input!Q108,""))</f>
        <v/>
      </c>
      <c r="AH159" s="152">
        <f>IF($B159=1,$H$21,IF(N(Vintage_Input!R108)&gt;0,Vintage_Input!AP108/Vintage_Input!R108,""))</f>
        <v/>
      </c>
      <c r="AI159" s="152">
        <f>IF($B159=1,$I$21,IF(N(Vintage_Input!S108)&gt;0,Vintage_Input!AQ108/Vintage_Input!S108,""))</f>
        <v/>
      </c>
      <c r="AJ159" s="152">
        <f>IF($B159=1,$B$22,IF(N(Vintage_Input!L108)&gt;0,IFERROR(Vintage_Input!AR108/Vintage_Input!AJ108,""),""))</f>
        <v/>
      </c>
      <c r="AK159" s="152">
        <f>IF($B159=1,$C$22,IF(N(Vintage_Input!M108)&gt;0,IFERROR(Vintage_Input!AS108/Vintage_Input!AK108,""),""))</f>
        <v/>
      </c>
      <c r="AL159" s="152">
        <f>IF($B159=1,$D$22,IF(N(Vintage_Input!N108)&gt;0,IFERROR(Vintage_Input!AT108/Vintage_Input!AL108,""),""))</f>
        <v/>
      </c>
      <c r="AM159" s="152">
        <f>IF($B159=1,$E$22,IF(N(Vintage_Input!O108)&gt;0,IFERROR(Vintage_Input!AU108/Vintage_Input!AM108,""),""))</f>
        <v/>
      </c>
      <c r="AN159" s="152">
        <f>IF($B159=1,$F$22,IF(N(Vintage_Input!P108)&gt;0,IFERROR(Vintage_Input!AV108/Vintage_Input!AN108,""),""))</f>
        <v/>
      </c>
      <c r="AO159" s="152">
        <f>IF($B159=1,$G$22,IF(N(Vintage_Input!Q108)&gt;0,IFERROR(Vintage_Input!AW108/Vintage_Input!AO108,""),""))</f>
        <v/>
      </c>
      <c r="AP159" s="152">
        <f>IF($B159=1,$H$22,IF(N(Vintage_Input!R108)&gt;0,IFERROR(Vintage_Input!AX108/Vintage_Input!AP108,""),""))</f>
        <v/>
      </c>
      <c r="AQ159" s="152">
        <f>IF($B159=1,$I$22,IF(N(Vintage_Input!S108)&gt;0,IFERROR(Vintage_Input!AY108/Vintage_Input!AQ108,""),""))</f>
        <v/>
      </c>
      <c r="AR159" s="152">
        <f>IF($B159=1,$B$23,IF(N(Vintage_Input!L108)&gt;0,IFERROR(Vintage_Input!AZ108/$C159,""),""))</f>
        <v/>
      </c>
      <c r="AS159" s="152">
        <f>IF($B159=1,$C$23,IF(N(Vintage_Input!M108)&gt;0,IFERROR(Vintage_Input!BA108/$C159,""),""))</f>
        <v/>
      </c>
      <c r="AT159" s="152">
        <f>IF($B159=1,$D$23,IF(N(Vintage_Input!N108)&gt;0,IFERROR(Vintage_Input!BB108/$C159,""),""))</f>
        <v/>
      </c>
      <c r="AU159" s="152">
        <f>IF($B159=1,$E$23,IF(N(Vintage_Input!O108)&gt;0,IFERROR(Vintage_Input!BC108/$C159,""),""))</f>
        <v/>
      </c>
      <c r="AV159" s="152">
        <f>IF($B159=1,$F$23,IF(N(Vintage_Input!P108)&gt;0,IFERROR(Vintage_Input!BD108/$C159,""),""))</f>
        <v/>
      </c>
      <c r="AW159" s="152">
        <f>IF($B159=1,$G$23,IF(N(Vintage_Input!Q108)&gt;0,IFERROR(Vintage_Input!BE108/$C159,""),""))</f>
        <v/>
      </c>
      <c r="AX159" s="152">
        <f>IF($B159=1,$H$23,IF(N(Vintage_Input!R108)&gt;0,IFERROR(Vintage_Input!BF108/$C159,""),""))</f>
        <v/>
      </c>
      <c r="AY159" s="152">
        <f>IF($B159=1,$I$23,IF(N(Vintage_Input!S108)&gt;0,IFERROR(Vintage_Input!BG108/$C159,""),""))</f>
        <v/>
      </c>
      <c r="AZ159" s="153">
        <f>IF($B159=1,$B$24,IF(N(Vintage_Input!L108)&gt;0,IFERROR((Vintage_Input!D108+Vintage_Input!AR108)/$C159+Products!$D$14-(Products!$D$43+Products!$D$19+Products!$D$43*Products!$D$22+Products!$D$44),""),""))</f>
        <v/>
      </c>
      <c r="BA159" s="153">
        <f>IF($B159=1,$C$24,IF(N(Vintage_Input!M108)&gt;0,IFERROR((Vintage_Input!E108+Vintage_Input!AS108)/$C159+Products!$D$14-(Products!$D$43+Products!$D$19+Products!$D$43*Products!$D$22+Products!$D$44),""),""))</f>
        <v/>
      </c>
      <c r="BB159" s="153">
        <f>IF($B159=1,$D$24,IF(N(Vintage_Input!N108)&gt;0,IFERROR((Vintage_Input!F108+Vintage_Input!AT108)/$C159+Products!$D$14-(Products!$D$43+Products!$D$19+Products!$D$43*Products!$D$22+Products!$D$44),""),""))</f>
        <v/>
      </c>
      <c r="BC159" s="153">
        <f>IF($B159=1,$E$24,IF(N(Vintage_Input!O108)&gt;0,IFERROR((Vintage_Input!G108+Vintage_Input!AU108)/$C159+Products!$D$14-(Products!$D$43+Products!$D$19+Products!$D$43*Products!$D$22+Products!$D$44),""),""))</f>
        <v/>
      </c>
      <c r="BD159" s="153">
        <f>IF($B159=1,$F$24,IF(N(Vintage_Input!P108)&gt;0,IFERROR((Vintage_Input!H108+Vintage_Input!AV108)/$C159+Products!$D$14-(Products!$D$43+Products!$D$19+Products!$D$43*Products!$D$22+Products!$D$44),""),""))</f>
        <v/>
      </c>
      <c r="BE159" s="153">
        <f>IF($B159=1,$G$24,IF(N(Vintage_Input!Q108)&gt;0,IFERROR((Vintage_Input!I108+Vintage_Input!AW108)/$C159+Products!$D$14-(Products!$D$43+Products!$D$19+Products!$D$43*Products!$D$22+Products!$D$44),""),""))</f>
        <v/>
      </c>
      <c r="BF159" s="153">
        <f>IF($B159=1,$H$24,IF(N(Vintage_Input!R108)&gt;0,IFERROR((Vintage_Input!J108+Vintage_Input!AX108)/$C159+Products!$D$14-(Products!$D$43+Products!$D$19+Products!$D$43*Products!$D$22+Products!$D$44),""),""))</f>
        <v/>
      </c>
      <c r="BG159" s="153">
        <f>IF($B159=1,$I$24,IF(N(Vintage_Input!S108)&gt;0,IFERROR((Vintage_Input!K108+Vintage_Input!AY108)/$C159+Products!$D$14-(Products!$D$43+Products!$D$19+Products!$D$43*Products!$D$22+Products!$D$44),""),""))</f>
        <v/>
      </c>
      <c r="BH159" s="81">
        <f>IF($B159=1,0,IF(Vintage_Input!$BH$108="","",Vintage_Input!$BH$108))</f>
        <v/>
      </c>
    </row>
    <row r="160">
      <c r="A160" s="23" t="n">
        <v>36</v>
      </c>
      <c r="B160" s="48">
        <f>Vintage_Input!$B$109</f>
        <v/>
      </c>
      <c r="C160" s="41">
        <f>IF(Vintage_Input!$C$109="",0,Vintage_Input!$C$109)</f>
        <v/>
      </c>
      <c r="D160" s="152">
        <f>IF($B160=1,$B$18,IF(N(Vintage_Input!L109)&gt;0,Vintage_Input!D109/Vintage_Input!L109,""))</f>
        <v/>
      </c>
      <c r="E160" s="152">
        <f>IF($B160=1,$C$18,IF(N(Vintage_Input!M109)&gt;0,Vintage_Input!E109/Vintage_Input!M109,""))</f>
        <v/>
      </c>
      <c r="F160" s="152">
        <f>IF($B160=1,$D$18,IF(N(Vintage_Input!N109)&gt;0,Vintage_Input!F109/Vintage_Input!N109,""))</f>
        <v/>
      </c>
      <c r="G160" s="152">
        <f>IF($B160=1,$E$18,IF(N(Vintage_Input!O109)&gt;0,Vintage_Input!G109/Vintage_Input!O109,""))</f>
        <v/>
      </c>
      <c r="H160" s="152">
        <f>IF($B160=1,$F$18,IF(N(Vintage_Input!P109)&gt;0,Vintage_Input!H109/Vintage_Input!P109,""))</f>
        <v/>
      </c>
      <c r="I160" s="152">
        <f>IF($B160=1,$G$18,IF(N(Vintage_Input!Q109)&gt;0,Vintage_Input!I109/Vintage_Input!Q109,""))</f>
        <v/>
      </c>
      <c r="J160" s="152">
        <f>IF($B160=1,$H$18,IF(N(Vintage_Input!R109)&gt;0,Vintage_Input!J109/Vintage_Input!R109,""))</f>
        <v/>
      </c>
      <c r="K160" s="152">
        <f>IF($B160=1,$I$18,IF(N(Vintage_Input!S109)&gt;0,Vintage_Input!K109/Vintage_Input!S109,""))</f>
        <v/>
      </c>
      <c r="L160" s="152">
        <f>IF($B160=1,$B$19,IF(N(Vintage_Input!L109)&gt;0,Vintage_Input!T109/Vintage_Input!L109,""))</f>
        <v/>
      </c>
      <c r="M160" s="152">
        <f>IF($B160=1,$C$19,IF(N(Vintage_Input!M109)&gt;0,Vintage_Input!U109/Vintage_Input!M109,""))</f>
        <v/>
      </c>
      <c r="N160" s="152">
        <f>IF($B160=1,$D$19,IF(N(Vintage_Input!N109)&gt;0,Vintage_Input!V109/Vintage_Input!N109,""))</f>
        <v/>
      </c>
      <c r="O160" s="152">
        <f>IF($B160=1,$E$19,IF(N(Vintage_Input!O109)&gt;0,Vintage_Input!W109/Vintage_Input!O109,""))</f>
        <v/>
      </c>
      <c r="P160" s="152">
        <f>IF($B160=1,$F$19,IF(N(Vintage_Input!P109)&gt;0,Vintage_Input!X109/Vintage_Input!P109,""))</f>
        <v/>
      </c>
      <c r="Q160" s="152">
        <f>IF($B160=1,$G$19,IF(N(Vintage_Input!Q109)&gt;0,Vintage_Input!Y109/Vintage_Input!Q109,""))</f>
        <v/>
      </c>
      <c r="R160" s="152">
        <f>IF($B160=1,$H$19,IF(N(Vintage_Input!R109)&gt;0,Vintage_Input!Z109/Vintage_Input!R109,""))</f>
        <v/>
      </c>
      <c r="S160" s="152">
        <f>IF($B160=1,$I$19,IF(N(Vintage_Input!S109)&gt;0,Vintage_Input!AA109/Vintage_Input!S109,""))</f>
        <v/>
      </c>
      <c r="T160" s="152">
        <f>IF($B160=1,$B$20,IF(N(Vintage_Input!L109)&gt;0,Vintage_Input!AB109/Vintage_Input!L109,""))</f>
        <v/>
      </c>
      <c r="U160" s="152">
        <f>IF($B160=1,$C$20,IF(N(Vintage_Input!M109)&gt;0,Vintage_Input!AC109/Vintage_Input!M109,""))</f>
        <v/>
      </c>
      <c r="V160" s="152">
        <f>IF($B160=1,$D$20,IF(N(Vintage_Input!N109)&gt;0,Vintage_Input!AD109/Vintage_Input!N109,""))</f>
        <v/>
      </c>
      <c r="W160" s="152">
        <f>IF($B160=1,$E$20,IF(N(Vintage_Input!O109)&gt;0,Vintage_Input!AE109/Vintage_Input!O109,""))</f>
        <v/>
      </c>
      <c r="X160" s="152">
        <f>IF($B160=1,$F$20,IF(N(Vintage_Input!P109)&gt;0,Vintage_Input!AF109/Vintage_Input!P109,""))</f>
        <v/>
      </c>
      <c r="Y160" s="152">
        <f>IF($B160=1,$G$20,IF(N(Vintage_Input!Q109)&gt;0,Vintage_Input!AG109/Vintage_Input!Q109,""))</f>
        <v/>
      </c>
      <c r="Z160" s="152">
        <f>IF($B160=1,$H$20,IF(N(Vintage_Input!R109)&gt;0,Vintage_Input!AH109/Vintage_Input!R109,""))</f>
        <v/>
      </c>
      <c r="AA160" s="152">
        <f>IF($B160=1,$I$20,IF(N(Vintage_Input!S109)&gt;0,Vintage_Input!AI109/Vintage_Input!S109,""))</f>
        <v/>
      </c>
      <c r="AB160" s="152">
        <f>IF($B160=1,$B$21,IF(N(Vintage_Input!L109)&gt;0,Vintage_Input!AJ109/Vintage_Input!L109,""))</f>
        <v/>
      </c>
      <c r="AC160" s="152">
        <f>IF($B160=1,$C$21,IF(N(Vintage_Input!M109)&gt;0,Vintage_Input!AK109/Vintage_Input!M109,""))</f>
        <v/>
      </c>
      <c r="AD160" s="152">
        <f>IF($B160=1,$D$21,IF(N(Vintage_Input!N109)&gt;0,Vintage_Input!AL109/Vintage_Input!N109,""))</f>
        <v/>
      </c>
      <c r="AE160" s="152">
        <f>IF($B160=1,$E$21,IF(N(Vintage_Input!O109)&gt;0,Vintage_Input!AM109/Vintage_Input!O109,""))</f>
        <v/>
      </c>
      <c r="AF160" s="152">
        <f>IF($B160=1,$F$21,IF(N(Vintage_Input!P109)&gt;0,Vintage_Input!AN109/Vintage_Input!P109,""))</f>
        <v/>
      </c>
      <c r="AG160" s="152">
        <f>IF($B160=1,$G$21,IF(N(Vintage_Input!Q109)&gt;0,Vintage_Input!AO109/Vintage_Input!Q109,""))</f>
        <v/>
      </c>
      <c r="AH160" s="152">
        <f>IF($B160=1,$H$21,IF(N(Vintage_Input!R109)&gt;0,Vintage_Input!AP109/Vintage_Input!R109,""))</f>
        <v/>
      </c>
      <c r="AI160" s="152">
        <f>IF($B160=1,$I$21,IF(N(Vintage_Input!S109)&gt;0,Vintage_Input!AQ109/Vintage_Input!S109,""))</f>
        <v/>
      </c>
      <c r="AJ160" s="152">
        <f>IF($B160=1,$B$22,IF(N(Vintage_Input!L109)&gt;0,IFERROR(Vintage_Input!AR109/Vintage_Input!AJ109,""),""))</f>
        <v/>
      </c>
      <c r="AK160" s="152">
        <f>IF($B160=1,$C$22,IF(N(Vintage_Input!M109)&gt;0,IFERROR(Vintage_Input!AS109/Vintage_Input!AK109,""),""))</f>
        <v/>
      </c>
      <c r="AL160" s="152">
        <f>IF($B160=1,$D$22,IF(N(Vintage_Input!N109)&gt;0,IFERROR(Vintage_Input!AT109/Vintage_Input!AL109,""),""))</f>
        <v/>
      </c>
      <c r="AM160" s="152">
        <f>IF($B160=1,$E$22,IF(N(Vintage_Input!O109)&gt;0,IFERROR(Vintage_Input!AU109/Vintage_Input!AM109,""),""))</f>
        <v/>
      </c>
      <c r="AN160" s="152">
        <f>IF($B160=1,$F$22,IF(N(Vintage_Input!P109)&gt;0,IFERROR(Vintage_Input!AV109/Vintage_Input!AN109,""),""))</f>
        <v/>
      </c>
      <c r="AO160" s="152">
        <f>IF($B160=1,$G$22,IF(N(Vintage_Input!Q109)&gt;0,IFERROR(Vintage_Input!AW109/Vintage_Input!AO109,""),""))</f>
        <v/>
      </c>
      <c r="AP160" s="152">
        <f>IF($B160=1,$H$22,IF(N(Vintage_Input!R109)&gt;0,IFERROR(Vintage_Input!AX109/Vintage_Input!AP109,""),""))</f>
        <v/>
      </c>
      <c r="AQ160" s="152">
        <f>IF($B160=1,$I$22,IF(N(Vintage_Input!S109)&gt;0,IFERROR(Vintage_Input!AY109/Vintage_Input!AQ109,""),""))</f>
        <v/>
      </c>
      <c r="AR160" s="152">
        <f>IF($B160=1,$B$23,IF(N(Vintage_Input!L109)&gt;0,IFERROR(Vintage_Input!AZ109/$C160,""),""))</f>
        <v/>
      </c>
      <c r="AS160" s="152">
        <f>IF($B160=1,$C$23,IF(N(Vintage_Input!M109)&gt;0,IFERROR(Vintage_Input!BA109/$C160,""),""))</f>
        <v/>
      </c>
      <c r="AT160" s="152">
        <f>IF($B160=1,$D$23,IF(N(Vintage_Input!N109)&gt;0,IFERROR(Vintage_Input!BB109/$C160,""),""))</f>
        <v/>
      </c>
      <c r="AU160" s="152">
        <f>IF($B160=1,$E$23,IF(N(Vintage_Input!O109)&gt;0,IFERROR(Vintage_Input!BC109/$C160,""),""))</f>
        <v/>
      </c>
      <c r="AV160" s="152">
        <f>IF($B160=1,$F$23,IF(N(Vintage_Input!P109)&gt;0,IFERROR(Vintage_Input!BD109/$C160,""),""))</f>
        <v/>
      </c>
      <c r="AW160" s="152">
        <f>IF($B160=1,$G$23,IF(N(Vintage_Input!Q109)&gt;0,IFERROR(Vintage_Input!BE109/$C160,""),""))</f>
        <v/>
      </c>
      <c r="AX160" s="152">
        <f>IF($B160=1,$H$23,IF(N(Vintage_Input!R109)&gt;0,IFERROR(Vintage_Input!BF109/$C160,""),""))</f>
        <v/>
      </c>
      <c r="AY160" s="152">
        <f>IF($B160=1,$I$23,IF(N(Vintage_Input!S109)&gt;0,IFERROR(Vintage_Input!BG109/$C160,""),""))</f>
        <v/>
      </c>
      <c r="AZ160" s="153">
        <f>IF($B160=1,$B$24,IF(N(Vintage_Input!L109)&gt;0,IFERROR((Vintage_Input!D109+Vintage_Input!AR109)/$C160+Products!$D$14-(Products!$D$43+Products!$D$19+Products!$D$43*Products!$D$22+Products!$D$44),""),""))</f>
        <v/>
      </c>
      <c r="BA160" s="153">
        <f>IF($B160=1,$C$24,IF(N(Vintage_Input!M109)&gt;0,IFERROR((Vintage_Input!E109+Vintage_Input!AS109)/$C160+Products!$D$14-(Products!$D$43+Products!$D$19+Products!$D$43*Products!$D$22+Products!$D$44),""),""))</f>
        <v/>
      </c>
      <c r="BB160" s="153">
        <f>IF($B160=1,$D$24,IF(N(Vintage_Input!N109)&gt;0,IFERROR((Vintage_Input!F109+Vintage_Input!AT109)/$C160+Products!$D$14-(Products!$D$43+Products!$D$19+Products!$D$43*Products!$D$22+Products!$D$44),""),""))</f>
        <v/>
      </c>
      <c r="BC160" s="153">
        <f>IF($B160=1,$E$24,IF(N(Vintage_Input!O109)&gt;0,IFERROR((Vintage_Input!G109+Vintage_Input!AU109)/$C160+Products!$D$14-(Products!$D$43+Products!$D$19+Products!$D$43*Products!$D$22+Products!$D$44),""),""))</f>
        <v/>
      </c>
      <c r="BD160" s="153">
        <f>IF($B160=1,$F$24,IF(N(Vintage_Input!P109)&gt;0,IFERROR((Vintage_Input!H109+Vintage_Input!AV109)/$C160+Products!$D$14-(Products!$D$43+Products!$D$19+Products!$D$43*Products!$D$22+Products!$D$44),""),""))</f>
        <v/>
      </c>
      <c r="BE160" s="153">
        <f>IF($B160=1,$G$24,IF(N(Vintage_Input!Q109)&gt;0,IFERROR((Vintage_Input!I109+Vintage_Input!AW109)/$C160+Products!$D$14-(Products!$D$43+Products!$D$19+Products!$D$43*Products!$D$22+Products!$D$44),""),""))</f>
        <v/>
      </c>
      <c r="BF160" s="153">
        <f>IF($B160=1,$H$24,IF(N(Vintage_Input!R109)&gt;0,IFERROR((Vintage_Input!J109+Vintage_Input!AX109)/$C160+Products!$D$14-(Products!$D$43+Products!$D$19+Products!$D$43*Products!$D$22+Products!$D$44),""),""))</f>
        <v/>
      </c>
      <c r="BG160" s="153">
        <f>IF($B160=1,$I$24,IF(N(Vintage_Input!S109)&gt;0,IFERROR((Vintage_Input!K109+Vintage_Input!AY109)/$C160+Products!$D$14-(Products!$D$43+Products!$D$19+Products!$D$43*Products!$D$22+Products!$D$44),""),""))</f>
        <v/>
      </c>
      <c r="BH160" s="81">
        <f>IF($B160=1,0,IF(Vintage_Input!$BH$109="","",Vintage_Input!$BH$109))</f>
        <v/>
      </c>
    </row>
    <row r="161">
      <c r="A161" s="23" t="n">
        <v>37</v>
      </c>
      <c r="B161" s="48">
        <f>Vintage_Input!$B$110</f>
        <v/>
      </c>
      <c r="C161" s="41">
        <f>IF(Vintage_Input!$C$110="",0,Vintage_Input!$C$110)</f>
        <v/>
      </c>
      <c r="D161" s="152">
        <f>IF($B161=1,$B$18,IF(N(Vintage_Input!L110)&gt;0,Vintage_Input!D110/Vintage_Input!L110,""))</f>
        <v/>
      </c>
      <c r="E161" s="152">
        <f>IF($B161=1,$C$18,IF(N(Vintage_Input!M110)&gt;0,Vintage_Input!E110/Vintage_Input!M110,""))</f>
        <v/>
      </c>
      <c r="F161" s="152">
        <f>IF($B161=1,$D$18,IF(N(Vintage_Input!N110)&gt;0,Vintage_Input!F110/Vintage_Input!N110,""))</f>
        <v/>
      </c>
      <c r="G161" s="152">
        <f>IF($B161=1,$E$18,IF(N(Vintage_Input!O110)&gt;0,Vintage_Input!G110/Vintage_Input!O110,""))</f>
        <v/>
      </c>
      <c r="H161" s="152">
        <f>IF($B161=1,$F$18,IF(N(Vintage_Input!P110)&gt;0,Vintage_Input!H110/Vintage_Input!P110,""))</f>
        <v/>
      </c>
      <c r="I161" s="152">
        <f>IF($B161=1,$G$18,IF(N(Vintage_Input!Q110)&gt;0,Vintage_Input!I110/Vintage_Input!Q110,""))</f>
        <v/>
      </c>
      <c r="J161" s="152">
        <f>IF($B161=1,$H$18,IF(N(Vintage_Input!R110)&gt;0,Vintage_Input!J110/Vintage_Input!R110,""))</f>
        <v/>
      </c>
      <c r="K161" s="152">
        <f>IF($B161=1,$I$18,IF(N(Vintage_Input!S110)&gt;0,Vintage_Input!K110/Vintage_Input!S110,""))</f>
        <v/>
      </c>
      <c r="L161" s="152">
        <f>IF($B161=1,$B$19,IF(N(Vintage_Input!L110)&gt;0,Vintage_Input!T110/Vintage_Input!L110,""))</f>
        <v/>
      </c>
      <c r="M161" s="152">
        <f>IF($B161=1,$C$19,IF(N(Vintage_Input!M110)&gt;0,Vintage_Input!U110/Vintage_Input!M110,""))</f>
        <v/>
      </c>
      <c r="N161" s="152">
        <f>IF($B161=1,$D$19,IF(N(Vintage_Input!N110)&gt;0,Vintage_Input!V110/Vintage_Input!N110,""))</f>
        <v/>
      </c>
      <c r="O161" s="152">
        <f>IF($B161=1,$E$19,IF(N(Vintage_Input!O110)&gt;0,Vintage_Input!W110/Vintage_Input!O110,""))</f>
        <v/>
      </c>
      <c r="P161" s="152">
        <f>IF($B161=1,$F$19,IF(N(Vintage_Input!P110)&gt;0,Vintage_Input!X110/Vintage_Input!P110,""))</f>
        <v/>
      </c>
      <c r="Q161" s="152">
        <f>IF($B161=1,$G$19,IF(N(Vintage_Input!Q110)&gt;0,Vintage_Input!Y110/Vintage_Input!Q110,""))</f>
        <v/>
      </c>
      <c r="R161" s="152">
        <f>IF($B161=1,$H$19,IF(N(Vintage_Input!R110)&gt;0,Vintage_Input!Z110/Vintage_Input!R110,""))</f>
        <v/>
      </c>
      <c r="S161" s="152">
        <f>IF($B161=1,$I$19,IF(N(Vintage_Input!S110)&gt;0,Vintage_Input!AA110/Vintage_Input!S110,""))</f>
        <v/>
      </c>
      <c r="T161" s="152">
        <f>IF($B161=1,$B$20,IF(N(Vintage_Input!L110)&gt;0,Vintage_Input!AB110/Vintage_Input!L110,""))</f>
        <v/>
      </c>
      <c r="U161" s="152">
        <f>IF($B161=1,$C$20,IF(N(Vintage_Input!M110)&gt;0,Vintage_Input!AC110/Vintage_Input!M110,""))</f>
        <v/>
      </c>
      <c r="V161" s="152">
        <f>IF($B161=1,$D$20,IF(N(Vintage_Input!N110)&gt;0,Vintage_Input!AD110/Vintage_Input!N110,""))</f>
        <v/>
      </c>
      <c r="W161" s="152">
        <f>IF($B161=1,$E$20,IF(N(Vintage_Input!O110)&gt;0,Vintage_Input!AE110/Vintage_Input!O110,""))</f>
        <v/>
      </c>
      <c r="X161" s="152">
        <f>IF($B161=1,$F$20,IF(N(Vintage_Input!P110)&gt;0,Vintage_Input!AF110/Vintage_Input!P110,""))</f>
        <v/>
      </c>
      <c r="Y161" s="152">
        <f>IF($B161=1,$G$20,IF(N(Vintage_Input!Q110)&gt;0,Vintage_Input!AG110/Vintage_Input!Q110,""))</f>
        <v/>
      </c>
      <c r="Z161" s="152">
        <f>IF($B161=1,$H$20,IF(N(Vintage_Input!R110)&gt;0,Vintage_Input!AH110/Vintage_Input!R110,""))</f>
        <v/>
      </c>
      <c r="AA161" s="152">
        <f>IF($B161=1,$I$20,IF(N(Vintage_Input!S110)&gt;0,Vintage_Input!AI110/Vintage_Input!S110,""))</f>
        <v/>
      </c>
      <c r="AB161" s="152">
        <f>IF($B161=1,$B$21,IF(N(Vintage_Input!L110)&gt;0,Vintage_Input!AJ110/Vintage_Input!L110,""))</f>
        <v/>
      </c>
      <c r="AC161" s="152">
        <f>IF($B161=1,$C$21,IF(N(Vintage_Input!M110)&gt;0,Vintage_Input!AK110/Vintage_Input!M110,""))</f>
        <v/>
      </c>
      <c r="AD161" s="152">
        <f>IF($B161=1,$D$21,IF(N(Vintage_Input!N110)&gt;0,Vintage_Input!AL110/Vintage_Input!N110,""))</f>
        <v/>
      </c>
      <c r="AE161" s="152">
        <f>IF($B161=1,$E$21,IF(N(Vintage_Input!O110)&gt;0,Vintage_Input!AM110/Vintage_Input!O110,""))</f>
        <v/>
      </c>
      <c r="AF161" s="152">
        <f>IF($B161=1,$F$21,IF(N(Vintage_Input!P110)&gt;0,Vintage_Input!AN110/Vintage_Input!P110,""))</f>
        <v/>
      </c>
      <c r="AG161" s="152">
        <f>IF($B161=1,$G$21,IF(N(Vintage_Input!Q110)&gt;0,Vintage_Input!AO110/Vintage_Input!Q110,""))</f>
        <v/>
      </c>
      <c r="AH161" s="152">
        <f>IF($B161=1,$H$21,IF(N(Vintage_Input!R110)&gt;0,Vintage_Input!AP110/Vintage_Input!R110,""))</f>
        <v/>
      </c>
      <c r="AI161" s="152">
        <f>IF($B161=1,$I$21,IF(N(Vintage_Input!S110)&gt;0,Vintage_Input!AQ110/Vintage_Input!S110,""))</f>
        <v/>
      </c>
      <c r="AJ161" s="152">
        <f>IF($B161=1,$B$22,IF(N(Vintage_Input!L110)&gt;0,IFERROR(Vintage_Input!AR110/Vintage_Input!AJ110,""),""))</f>
        <v/>
      </c>
      <c r="AK161" s="152">
        <f>IF($B161=1,$C$22,IF(N(Vintage_Input!M110)&gt;0,IFERROR(Vintage_Input!AS110/Vintage_Input!AK110,""),""))</f>
        <v/>
      </c>
      <c r="AL161" s="152">
        <f>IF($B161=1,$D$22,IF(N(Vintage_Input!N110)&gt;0,IFERROR(Vintage_Input!AT110/Vintage_Input!AL110,""),""))</f>
        <v/>
      </c>
      <c r="AM161" s="152">
        <f>IF($B161=1,$E$22,IF(N(Vintage_Input!O110)&gt;0,IFERROR(Vintage_Input!AU110/Vintage_Input!AM110,""),""))</f>
        <v/>
      </c>
      <c r="AN161" s="152">
        <f>IF($B161=1,$F$22,IF(N(Vintage_Input!P110)&gt;0,IFERROR(Vintage_Input!AV110/Vintage_Input!AN110,""),""))</f>
        <v/>
      </c>
      <c r="AO161" s="152">
        <f>IF($B161=1,$G$22,IF(N(Vintage_Input!Q110)&gt;0,IFERROR(Vintage_Input!AW110/Vintage_Input!AO110,""),""))</f>
        <v/>
      </c>
      <c r="AP161" s="152">
        <f>IF($B161=1,$H$22,IF(N(Vintage_Input!R110)&gt;0,IFERROR(Vintage_Input!AX110/Vintage_Input!AP110,""),""))</f>
        <v/>
      </c>
      <c r="AQ161" s="152">
        <f>IF($B161=1,$I$22,IF(N(Vintage_Input!S110)&gt;0,IFERROR(Vintage_Input!AY110/Vintage_Input!AQ110,""),""))</f>
        <v/>
      </c>
      <c r="AR161" s="152">
        <f>IF($B161=1,$B$23,IF(N(Vintage_Input!L110)&gt;0,IFERROR(Vintage_Input!AZ110/$C161,""),""))</f>
        <v/>
      </c>
      <c r="AS161" s="152">
        <f>IF($B161=1,$C$23,IF(N(Vintage_Input!M110)&gt;0,IFERROR(Vintage_Input!BA110/$C161,""),""))</f>
        <v/>
      </c>
      <c r="AT161" s="152">
        <f>IF($B161=1,$D$23,IF(N(Vintage_Input!N110)&gt;0,IFERROR(Vintage_Input!BB110/$C161,""),""))</f>
        <v/>
      </c>
      <c r="AU161" s="152">
        <f>IF($B161=1,$E$23,IF(N(Vintage_Input!O110)&gt;0,IFERROR(Vintage_Input!BC110/$C161,""),""))</f>
        <v/>
      </c>
      <c r="AV161" s="152">
        <f>IF($B161=1,$F$23,IF(N(Vintage_Input!P110)&gt;0,IFERROR(Vintage_Input!BD110/$C161,""),""))</f>
        <v/>
      </c>
      <c r="AW161" s="152">
        <f>IF($B161=1,$G$23,IF(N(Vintage_Input!Q110)&gt;0,IFERROR(Vintage_Input!BE110/$C161,""),""))</f>
        <v/>
      </c>
      <c r="AX161" s="152">
        <f>IF($B161=1,$H$23,IF(N(Vintage_Input!R110)&gt;0,IFERROR(Vintage_Input!BF110/$C161,""),""))</f>
        <v/>
      </c>
      <c r="AY161" s="152">
        <f>IF($B161=1,$I$23,IF(N(Vintage_Input!S110)&gt;0,IFERROR(Vintage_Input!BG110/$C161,""),""))</f>
        <v/>
      </c>
      <c r="AZ161" s="153">
        <f>IF($B161=1,$B$24,IF(N(Vintage_Input!L110)&gt;0,IFERROR((Vintage_Input!D110+Vintage_Input!AR110)/$C161+Products!$D$14-(Products!$D$43+Products!$D$19+Products!$D$43*Products!$D$22+Products!$D$44),""),""))</f>
        <v/>
      </c>
      <c r="BA161" s="153">
        <f>IF($B161=1,$C$24,IF(N(Vintage_Input!M110)&gt;0,IFERROR((Vintage_Input!E110+Vintage_Input!AS110)/$C161+Products!$D$14-(Products!$D$43+Products!$D$19+Products!$D$43*Products!$D$22+Products!$D$44),""),""))</f>
        <v/>
      </c>
      <c r="BB161" s="153">
        <f>IF($B161=1,$D$24,IF(N(Vintage_Input!N110)&gt;0,IFERROR((Vintage_Input!F110+Vintage_Input!AT110)/$C161+Products!$D$14-(Products!$D$43+Products!$D$19+Products!$D$43*Products!$D$22+Products!$D$44),""),""))</f>
        <v/>
      </c>
      <c r="BC161" s="153">
        <f>IF($B161=1,$E$24,IF(N(Vintage_Input!O110)&gt;0,IFERROR((Vintage_Input!G110+Vintage_Input!AU110)/$C161+Products!$D$14-(Products!$D$43+Products!$D$19+Products!$D$43*Products!$D$22+Products!$D$44),""),""))</f>
        <v/>
      </c>
      <c r="BD161" s="153">
        <f>IF($B161=1,$F$24,IF(N(Vintage_Input!P110)&gt;0,IFERROR((Vintage_Input!H110+Vintage_Input!AV110)/$C161+Products!$D$14-(Products!$D$43+Products!$D$19+Products!$D$43*Products!$D$22+Products!$D$44),""),""))</f>
        <v/>
      </c>
      <c r="BE161" s="153">
        <f>IF($B161=1,$G$24,IF(N(Vintage_Input!Q110)&gt;0,IFERROR((Vintage_Input!I110+Vintage_Input!AW110)/$C161+Products!$D$14-(Products!$D$43+Products!$D$19+Products!$D$43*Products!$D$22+Products!$D$44),""),""))</f>
        <v/>
      </c>
      <c r="BF161" s="153">
        <f>IF($B161=1,$H$24,IF(N(Vintage_Input!R110)&gt;0,IFERROR((Vintage_Input!J110+Vintage_Input!AX110)/$C161+Products!$D$14-(Products!$D$43+Products!$D$19+Products!$D$43*Products!$D$22+Products!$D$44),""),""))</f>
        <v/>
      </c>
      <c r="BG161" s="153">
        <f>IF($B161=1,$I$24,IF(N(Vintage_Input!S110)&gt;0,IFERROR((Vintage_Input!K110+Vintage_Input!AY110)/$C161+Products!$D$14-(Products!$D$43+Products!$D$19+Products!$D$43*Products!$D$22+Products!$D$44),""),""))</f>
        <v/>
      </c>
      <c r="BH161" s="81">
        <f>IF($B161=1,0,IF(Vintage_Input!$BH$110="","",Vintage_Input!$BH$110))</f>
        <v/>
      </c>
    </row>
    <row r="162">
      <c r="A162" s="23" t="n">
        <v>38</v>
      </c>
      <c r="B162" s="48">
        <f>Vintage_Input!$B$111</f>
        <v/>
      </c>
      <c r="C162" s="41">
        <f>IF(Vintage_Input!$C$111="",0,Vintage_Input!$C$111)</f>
        <v/>
      </c>
      <c r="D162" s="152">
        <f>IF($B162=1,$B$18,IF(N(Vintage_Input!L111)&gt;0,Vintage_Input!D111/Vintage_Input!L111,""))</f>
        <v/>
      </c>
      <c r="E162" s="152">
        <f>IF($B162=1,$C$18,IF(N(Vintage_Input!M111)&gt;0,Vintage_Input!E111/Vintage_Input!M111,""))</f>
        <v/>
      </c>
      <c r="F162" s="152">
        <f>IF($B162=1,$D$18,IF(N(Vintage_Input!N111)&gt;0,Vintage_Input!F111/Vintage_Input!N111,""))</f>
        <v/>
      </c>
      <c r="G162" s="152">
        <f>IF($B162=1,$E$18,IF(N(Vintage_Input!O111)&gt;0,Vintage_Input!G111/Vintage_Input!O111,""))</f>
        <v/>
      </c>
      <c r="H162" s="152">
        <f>IF($B162=1,$F$18,IF(N(Vintage_Input!P111)&gt;0,Vintage_Input!H111/Vintage_Input!P111,""))</f>
        <v/>
      </c>
      <c r="I162" s="152">
        <f>IF($B162=1,$G$18,IF(N(Vintage_Input!Q111)&gt;0,Vintage_Input!I111/Vintage_Input!Q111,""))</f>
        <v/>
      </c>
      <c r="J162" s="152">
        <f>IF($B162=1,$H$18,IF(N(Vintage_Input!R111)&gt;0,Vintage_Input!J111/Vintage_Input!R111,""))</f>
        <v/>
      </c>
      <c r="K162" s="152">
        <f>IF($B162=1,$I$18,IF(N(Vintage_Input!S111)&gt;0,Vintage_Input!K111/Vintage_Input!S111,""))</f>
        <v/>
      </c>
      <c r="L162" s="152">
        <f>IF($B162=1,$B$19,IF(N(Vintage_Input!L111)&gt;0,Vintage_Input!T111/Vintage_Input!L111,""))</f>
        <v/>
      </c>
      <c r="M162" s="152">
        <f>IF($B162=1,$C$19,IF(N(Vintage_Input!M111)&gt;0,Vintage_Input!U111/Vintage_Input!M111,""))</f>
        <v/>
      </c>
      <c r="N162" s="152">
        <f>IF($B162=1,$D$19,IF(N(Vintage_Input!N111)&gt;0,Vintage_Input!V111/Vintage_Input!N111,""))</f>
        <v/>
      </c>
      <c r="O162" s="152">
        <f>IF($B162=1,$E$19,IF(N(Vintage_Input!O111)&gt;0,Vintage_Input!W111/Vintage_Input!O111,""))</f>
        <v/>
      </c>
      <c r="P162" s="152">
        <f>IF($B162=1,$F$19,IF(N(Vintage_Input!P111)&gt;0,Vintage_Input!X111/Vintage_Input!P111,""))</f>
        <v/>
      </c>
      <c r="Q162" s="152">
        <f>IF($B162=1,$G$19,IF(N(Vintage_Input!Q111)&gt;0,Vintage_Input!Y111/Vintage_Input!Q111,""))</f>
        <v/>
      </c>
      <c r="R162" s="152">
        <f>IF($B162=1,$H$19,IF(N(Vintage_Input!R111)&gt;0,Vintage_Input!Z111/Vintage_Input!R111,""))</f>
        <v/>
      </c>
      <c r="S162" s="152">
        <f>IF($B162=1,$I$19,IF(N(Vintage_Input!S111)&gt;0,Vintage_Input!AA111/Vintage_Input!S111,""))</f>
        <v/>
      </c>
      <c r="T162" s="152">
        <f>IF($B162=1,$B$20,IF(N(Vintage_Input!L111)&gt;0,Vintage_Input!AB111/Vintage_Input!L111,""))</f>
        <v/>
      </c>
      <c r="U162" s="152">
        <f>IF($B162=1,$C$20,IF(N(Vintage_Input!M111)&gt;0,Vintage_Input!AC111/Vintage_Input!M111,""))</f>
        <v/>
      </c>
      <c r="V162" s="152">
        <f>IF($B162=1,$D$20,IF(N(Vintage_Input!N111)&gt;0,Vintage_Input!AD111/Vintage_Input!N111,""))</f>
        <v/>
      </c>
      <c r="W162" s="152">
        <f>IF($B162=1,$E$20,IF(N(Vintage_Input!O111)&gt;0,Vintage_Input!AE111/Vintage_Input!O111,""))</f>
        <v/>
      </c>
      <c r="X162" s="152">
        <f>IF($B162=1,$F$20,IF(N(Vintage_Input!P111)&gt;0,Vintage_Input!AF111/Vintage_Input!P111,""))</f>
        <v/>
      </c>
      <c r="Y162" s="152">
        <f>IF($B162=1,$G$20,IF(N(Vintage_Input!Q111)&gt;0,Vintage_Input!AG111/Vintage_Input!Q111,""))</f>
        <v/>
      </c>
      <c r="Z162" s="152">
        <f>IF($B162=1,$H$20,IF(N(Vintage_Input!R111)&gt;0,Vintage_Input!AH111/Vintage_Input!R111,""))</f>
        <v/>
      </c>
      <c r="AA162" s="152">
        <f>IF($B162=1,$I$20,IF(N(Vintage_Input!S111)&gt;0,Vintage_Input!AI111/Vintage_Input!S111,""))</f>
        <v/>
      </c>
      <c r="AB162" s="152">
        <f>IF($B162=1,$B$21,IF(N(Vintage_Input!L111)&gt;0,Vintage_Input!AJ111/Vintage_Input!L111,""))</f>
        <v/>
      </c>
      <c r="AC162" s="152">
        <f>IF($B162=1,$C$21,IF(N(Vintage_Input!M111)&gt;0,Vintage_Input!AK111/Vintage_Input!M111,""))</f>
        <v/>
      </c>
      <c r="AD162" s="152">
        <f>IF($B162=1,$D$21,IF(N(Vintage_Input!N111)&gt;0,Vintage_Input!AL111/Vintage_Input!N111,""))</f>
        <v/>
      </c>
      <c r="AE162" s="152">
        <f>IF($B162=1,$E$21,IF(N(Vintage_Input!O111)&gt;0,Vintage_Input!AM111/Vintage_Input!O111,""))</f>
        <v/>
      </c>
      <c r="AF162" s="152">
        <f>IF($B162=1,$F$21,IF(N(Vintage_Input!P111)&gt;0,Vintage_Input!AN111/Vintage_Input!P111,""))</f>
        <v/>
      </c>
      <c r="AG162" s="152">
        <f>IF($B162=1,$G$21,IF(N(Vintage_Input!Q111)&gt;0,Vintage_Input!AO111/Vintage_Input!Q111,""))</f>
        <v/>
      </c>
      <c r="AH162" s="152">
        <f>IF($B162=1,$H$21,IF(N(Vintage_Input!R111)&gt;0,Vintage_Input!AP111/Vintage_Input!R111,""))</f>
        <v/>
      </c>
      <c r="AI162" s="152">
        <f>IF($B162=1,$I$21,IF(N(Vintage_Input!S111)&gt;0,Vintage_Input!AQ111/Vintage_Input!S111,""))</f>
        <v/>
      </c>
      <c r="AJ162" s="152">
        <f>IF($B162=1,$B$22,IF(N(Vintage_Input!L111)&gt;0,IFERROR(Vintage_Input!AR111/Vintage_Input!AJ111,""),""))</f>
        <v/>
      </c>
      <c r="AK162" s="152">
        <f>IF($B162=1,$C$22,IF(N(Vintage_Input!M111)&gt;0,IFERROR(Vintage_Input!AS111/Vintage_Input!AK111,""),""))</f>
        <v/>
      </c>
      <c r="AL162" s="152">
        <f>IF($B162=1,$D$22,IF(N(Vintage_Input!N111)&gt;0,IFERROR(Vintage_Input!AT111/Vintage_Input!AL111,""),""))</f>
        <v/>
      </c>
      <c r="AM162" s="152">
        <f>IF($B162=1,$E$22,IF(N(Vintage_Input!O111)&gt;0,IFERROR(Vintage_Input!AU111/Vintage_Input!AM111,""),""))</f>
        <v/>
      </c>
      <c r="AN162" s="152">
        <f>IF($B162=1,$F$22,IF(N(Vintage_Input!P111)&gt;0,IFERROR(Vintage_Input!AV111/Vintage_Input!AN111,""),""))</f>
        <v/>
      </c>
      <c r="AO162" s="152">
        <f>IF($B162=1,$G$22,IF(N(Vintage_Input!Q111)&gt;0,IFERROR(Vintage_Input!AW111/Vintage_Input!AO111,""),""))</f>
        <v/>
      </c>
      <c r="AP162" s="152">
        <f>IF($B162=1,$H$22,IF(N(Vintage_Input!R111)&gt;0,IFERROR(Vintage_Input!AX111/Vintage_Input!AP111,""),""))</f>
        <v/>
      </c>
      <c r="AQ162" s="152">
        <f>IF($B162=1,$I$22,IF(N(Vintage_Input!S111)&gt;0,IFERROR(Vintage_Input!AY111/Vintage_Input!AQ111,""),""))</f>
        <v/>
      </c>
      <c r="AR162" s="152">
        <f>IF($B162=1,$B$23,IF(N(Vintage_Input!L111)&gt;0,IFERROR(Vintage_Input!AZ111/$C162,""),""))</f>
        <v/>
      </c>
      <c r="AS162" s="152">
        <f>IF($B162=1,$C$23,IF(N(Vintage_Input!M111)&gt;0,IFERROR(Vintage_Input!BA111/$C162,""),""))</f>
        <v/>
      </c>
      <c r="AT162" s="152">
        <f>IF($B162=1,$D$23,IF(N(Vintage_Input!N111)&gt;0,IFERROR(Vintage_Input!BB111/$C162,""),""))</f>
        <v/>
      </c>
      <c r="AU162" s="152">
        <f>IF($B162=1,$E$23,IF(N(Vintage_Input!O111)&gt;0,IFERROR(Vintage_Input!BC111/$C162,""),""))</f>
        <v/>
      </c>
      <c r="AV162" s="152">
        <f>IF($B162=1,$F$23,IF(N(Vintage_Input!P111)&gt;0,IFERROR(Vintage_Input!BD111/$C162,""),""))</f>
        <v/>
      </c>
      <c r="AW162" s="152">
        <f>IF($B162=1,$G$23,IF(N(Vintage_Input!Q111)&gt;0,IFERROR(Vintage_Input!BE111/$C162,""),""))</f>
        <v/>
      </c>
      <c r="AX162" s="152">
        <f>IF($B162=1,$H$23,IF(N(Vintage_Input!R111)&gt;0,IFERROR(Vintage_Input!BF111/$C162,""),""))</f>
        <v/>
      </c>
      <c r="AY162" s="152">
        <f>IF($B162=1,$I$23,IF(N(Vintage_Input!S111)&gt;0,IFERROR(Vintage_Input!BG111/$C162,""),""))</f>
        <v/>
      </c>
      <c r="AZ162" s="153">
        <f>IF($B162=1,$B$24,IF(N(Vintage_Input!L111)&gt;0,IFERROR((Vintage_Input!D111+Vintage_Input!AR111)/$C162+Products!$D$14-(Products!$D$43+Products!$D$19+Products!$D$43*Products!$D$22+Products!$D$44),""),""))</f>
        <v/>
      </c>
      <c r="BA162" s="153">
        <f>IF($B162=1,$C$24,IF(N(Vintage_Input!M111)&gt;0,IFERROR((Vintage_Input!E111+Vintage_Input!AS111)/$C162+Products!$D$14-(Products!$D$43+Products!$D$19+Products!$D$43*Products!$D$22+Products!$D$44),""),""))</f>
        <v/>
      </c>
      <c r="BB162" s="153">
        <f>IF($B162=1,$D$24,IF(N(Vintage_Input!N111)&gt;0,IFERROR((Vintage_Input!F111+Vintage_Input!AT111)/$C162+Products!$D$14-(Products!$D$43+Products!$D$19+Products!$D$43*Products!$D$22+Products!$D$44),""),""))</f>
        <v/>
      </c>
      <c r="BC162" s="153">
        <f>IF($B162=1,$E$24,IF(N(Vintage_Input!O111)&gt;0,IFERROR((Vintage_Input!G111+Vintage_Input!AU111)/$C162+Products!$D$14-(Products!$D$43+Products!$D$19+Products!$D$43*Products!$D$22+Products!$D$44),""),""))</f>
        <v/>
      </c>
      <c r="BD162" s="153">
        <f>IF($B162=1,$F$24,IF(N(Vintage_Input!P111)&gt;0,IFERROR((Vintage_Input!H111+Vintage_Input!AV111)/$C162+Products!$D$14-(Products!$D$43+Products!$D$19+Products!$D$43*Products!$D$22+Products!$D$44),""),""))</f>
        <v/>
      </c>
      <c r="BE162" s="153">
        <f>IF($B162=1,$G$24,IF(N(Vintage_Input!Q111)&gt;0,IFERROR((Vintage_Input!I111+Vintage_Input!AW111)/$C162+Products!$D$14-(Products!$D$43+Products!$D$19+Products!$D$43*Products!$D$22+Products!$D$44),""),""))</f>
        <v/>
      </c>
      <c r="BF162" s="153">
        <f>IF($B162=1,$H$24,IF(N(Vintage_Input!R111)&gt;0,IFERROR((Vintage_Input!J111+Vintage_Input!AX111)/$C162+Products!$D$14-(Products!$D$43+Products!$D$19+Products!$D$43*Products!$D$22+Products!$D$44),""),""))</f>
        <v/>
      </c>
      <c r="BG162" s="153">
        <f>IF($B162=1,$I$24,IF(N(Vintage_Input!S111)&gt;0,IFERROR((Vintage_Input!K111+Vintage_Input!AY111)/$C162+Products!$D$14-(Products!$D$43+Products!$D$19+Products!$D$43*Products!$D$22+Products!$D$44),""),""))</f>
        <v/>
      </c>
      <c r="BH162" s="81">
        <f>IF($B162=1,0,IF(Vintage_Input!$BH$111="","",Vintage_Input!$BH$111))</f>
        <v/>
      </c>
    </row>
    <row r="163">
      <c r="A163" s="23" t="n">
        <v>39</v>
      </c>
      <c r="B163" s="48">
        <f>Vintage_Input!$B$112</f>
        <v/>
      </c>
      <c r="C163" s="41">
        <f>IF(Vintage_Input!$C$112="",0,Vintage_Input!$C$112)</f>
        <v/>
      </c>
      <c r="D163" s="152">
        <f>IF($B163=1,$B$18,IF(N(Vintage_Input!L112)&gt;0,Vintage_Input!D112/Vintage_Input!L112,""))</f>
        <v/>
      </c>
      <c r="E163" s="152">
        <f>IF($B163=1,$C$18,IF(N(Vintage_Input!M112)&gt;0,Vintage_Input!E112/Vintage_Input!M112,""))</f>
        <v/>
      </c>
      <c r="F163" s="152">
        <f>IF($B163=1,$D$18,IF(N(Vintage_Input!N112)&gt;0,Vintage_Input!F112/Vintage_Input!N112,""))</f>
        <v/>
      </c>
      <c r="G163" s="152">
        <f>IF($B163=1,$E$18,IF(N(Vintage_Input!O112)&gt;0,Vintage_Input!G112/Vintage_Input!O112,""))</f>
        <v/>
      </c>
      <c r="H163" s="152">
        <f>IF($B163=1,$F$18,IF(N(Vintage_Input!P112)&gt;0,Vintage_Input!H112/Vintage_Input!P112,""))</f>
        <v/>
      </c>
      <c r="I163" s="152">
        <f>IF($B163=1,$G$18,IF(N(Vintage_Input!Q112)&gt;0,Vintage_Input!I112/Vintage_Input!Q112,""))</f>
        <v/>
      </c>
      <c r="J163" s="152">
        <f>IF($B163=1,$H$18,IF(N(Vintage_Input!R112)&gt;0,Vintage_Input!J112/Vintage_Input!R112,""))</f>
        <v/>
      </c>
      <c r="K163" s="152">
        <f>IF($B163=1,$I$18,IF(N(Vintage_Input!S112)&gt;0,Vintage_Input!K112/Vintage_Input!S112,""))</f>
        <v/>
      </c>
      <c r="L163" s="152">
        <f>IF($B163=1,$B$19,IF(N(Vintage_Input!L112)&gt;0,Vintage_Input!T112/Vintage_Input!L112,""))</f>
        <v/>
      </c>
      <c r="M163" s="152">
        <f>IF($B163=1,$C$19,IF(N(Vintage_Input!M112)&gt;0,Vintage_Input!U112/Vintage_Input!M112,""))</f>
        <v/>
      </c>
      <c r="N163" s="152">
        <f>IF($B163=1,$D$19,IF(N(Vintage_Input!N112)&gt;0,Vintage_Input!V112/Vintage_Input!N112,""))</f>
        <v/>
      </c>
      <c r="O163" s="152">
        <f>IF($B163=1,$E$19,IF(N(Vintage_Input!O112)&gt;0,Vintage_Input!W112/Vintage_Input!O112,""))</f>
        <v/>
      </c>
      <c r="P163" s="152">
        <f>IF($B163=1,$F$19,IF(N(Vintage_Input!P112)&gt;0,Vintage_Input!X112/Vintage_Input!P112,""))</f>
        <v/>
      </c>
      <c r="Q163" s="152">
        <f>IF($B163=1,$G$19,IF(N(Vintage_Input!Q112)&gt;0,Vintage_Input!Y112/Vintage_Input!Q112,""))</f>
        <v/>
      </c>
      <c r="R163" s="152">
        <f>IF($B163=1,$H$19,IF(N(Vintage_Input!R112)&gt;0,Vintage_Input!Z112/Vintage_Input!R112,""))</f>
        <v/>
      </c>
      <c r="S163" s="152">
        <f>IF($B163=1,$I$19,IF(N(Vintage_Input!S112)&gt;0,Vintage_Input!AA112/Vintage_Input!S112,""))</f>
        <v/>
      </c>
      <c r="T163" s="152">
        <f>IF($B163=1,$B$20,IF(N(Vintage_Input!L112)&gt;0,Vintage_Input!AB112/Vintage_Input!L112,""))</f>
        <v/>
      </c>
      <c r="U163" s="152">
        <f>IF($B163=1,$C$20,IF(N(Vintage_Input!M112)&gt;0,Vintage_Input!AC112/Vintage_Input!M112,""))</f>
        <v/>
      </c>
      <c r="V163" s="152">
        <f>IF($B163=1,$D$20,IF(N(Vintage_Input!N112)&gt;0,Vintage_Input!AD112/Vintage_Input!N112,""))</f>
        <v/>
      </c>
      <c r="W163" s="152">
        <f>IF($B163=1,$E$20,IF(N(Vintage_Input!O112)&gt;0,Vintage_Input!AE112/Vintage_Input!O112,""))</f>
        <v/>
      </c>
      <c r="X163" s="152">
        <f>IF($B163=1,$F$20,IF(N(Vintage_Input!P112)&gt;0,Vintage_Input!AF112/Vintage_Input!P112,""))</f>
        <v/>
      </c>
      <c r="Y163" s="152">
        <f>IF($B163=1,$G$20,IF(N(Vintage_Input!Q112)&gt;0,Vintage_Input!AG112/Vintage_Input!Q112,""))</f>
        <v/>
      </c>
      <c r="Z163" s="152">
        <f>IF($B163=1,$H$20,IF(N(Vintage_Input!R112)&gt;0,Vintage_Input!AH112/Vintage_Input!R112,""))</f>
        <v/>
      </c>
      <c r="AA163" s="152">
        <f>IF($B163=1,$I$20,IF(N(Vintage_Input!S112)&gt;0,Vintage_Input!AI112/Vintage_Input!S112,""))</f>
        <v/>
      </c>
      <c r="AB163" s="152">
        <f>IF($B163=1,$B$21,IF(N(Vintage_Input!L112)&gt;0,Vintage_Input!AJ112/Vintage_Input!L112,""))</f>
        <v/>
      </c>
      <c r="AC163" s="152">
        <f>IF($B163=1,$C$21,IF(N(Vintage_Input!M112)&gt;0,Vintage_Input!AK112/Vintage_Input!M112,""))</f>
        <v/>
      </c>
      <c r="AD163" s="152">
        <f>IF($B163=1,$D$21,IF(N(Vintage_Input!N112)&gt;0,Vintage_Input!AL112/Vintage_Input!N112,""))</f>
        <v/>
      </c>
      <c r="AE163" s="152">
        <f>IF($B163=1,$E$21,IF(N(Vintage_Input!O112)&gt;0,Vintage_Input!AM112/Vintage_Input!O112,""))</f>
        <v/>
      </c>
      <c r="AF163" s="152">
        <f>IF($B163=1,$F$21,IF(N(Vintage_Input!P112)&gt;0,Vintage_Input!AN112/Vintage_Input!P112,""))</f>
        <v/>
      </c>
      <c r="AG163" s="152">
        <f>IF($B163=1,$G$21,IF(N(Vintage_Input!Q112)&gt;0,Vintage_Input!AO112/Vintage_Input!Q112,""))</f>
        <v/>
      </c>
      <c r="AH163" s="152">
        <f>IF($B163=1,$H$21,IF(N(Vintage_Input!R112)&gt;0,Vintage_Input!AP112/Vintage_Input!R112,""))</f>
        <v/>
      </c>
      <c r="AI163" s="152">
        <f>IF($B163=1,$I$21,IF(N(Vintage_Input!S112)&gt;0,Vintage_Input!AQ112/Vintage_Input!S112,""))</f>
        <v/>
      </c>
      <c r="AJ163" s="152">
        <f>IF($B163=1,$B$22,IF(N(Vintage_Input!L112)&gt;0,IFERROR(Vintage_Input!AR112/Vintage_Input!AJ112,""),""))</f>
        <v/>
      </c>
      <c r="AK163" s="152">
        <f>IF($B163=1,$C$22,IF(N(Vintage_Input!M112)&gt;0,IFERROR(Vintage_Input!AS112/Vintage_Input!AK112,""),""))</f>
        <v/>
      </c>
      <c r="AL163" s="152">
        <f>IF($B163=1,$D$22,IF(N(Vintage_Input!N112)&gt;0,IFERROR(Vintage_Input!AT112/Vintage_Input!AL112,""),""))</f>
        <v/>
      </c>
      <c r="AM163" s="152">
        <f>IF($B163=1,$E$22,IF(N(Vintage_Input!O112)&gt;0,IFERROR(Vintage_Input!AU112/Vintage_Input!AM112,""),""))</f>
        <v/>
      </c>
      <c r="AN163" s="152">
        <f>IF($B163=1,$F$22,IF(N(Vintage_Input!P112)&gt;0,IFERROR(Vintage_Input!AV112/Vintage_Input!AN112,""),""))</f>
        <v/>
      </c>
      <c r="AO163" s="152">
        <f>IF($B163=1,$G$22,IF(N(Vintage_Input!Q112)&gt;0,IFERROR(Vintage_Input!AW112/Vintage_Input!AO112,""),""))</f>
        <v/>
      </c>
      <c r="AP163" s="152">
        <f>IF($B163=1,$H$22,IF(N(Vintage_Input!R112)&gt;0,IFERROR(Vintage_Input!AX112/Vintage_Input!AP112,""),""))</f>
        <v/>
      </c>
      <c r="AQ163" s="152">
        <f>IF($B163=1,$I$22,IF(N(Vintage_Input!S112)&gt;0,IFERROR(Vintage_Input!AY112/Vintage_Input!AQ112,""),""))</f>
        <v/>
      </c>
      <c r="AR163" s="152">
        <f>IF($B163=1,$B$23,IF(N(Vintage_Input!L112)&gt;0,IFERROR(Vintage_Input!AZ112/$C163,""),""))</f>
        <v/>
      </c>
      <c r="AS163" s="152">
        <f>IF($B163=1,$C$23,IF(N(Vintage_Input!M112)&gt;0,IFERROR(Vintage_Input!BA112/$C163,""),""))</f>
        <v/>
      </c>
      <c r="AT163" s="152">
        <f>IF($B163=1,$D$23,IF(N(Vintage_Input!N112)&gt;0,IFERROR(Vintage_Input!BB112/$C163,""),""))</f>
        <v/>
      </c>
      <c r="AU163" s="152">
        <f>IF($B163=1,$E$23,IF(N(Vintage_Input!O112)&gt;0,IFERROR(Vintage_Input!BC112/$C163,""),""))</f>
        <v/>
      </c>
      <c r="AV163" s="152">
        <f>IF($B163=1,$F$23,IF(N(Vintage_Input!P112)&gt;0,IFERROR(Vintage_Input!BD112/$C163,""),""))</f>
        <v/>
      </c>
      <c r="AW163" s="152">
        <f>IF($B163=1,$G$23,IF(N(Vintage_Input!Q112)&gt;0,IFERROR(Vintage_Input!BE112/$C163,""),""))</f>
        <v/>
      </c>
      <c r="AX163" s="152">
        <f>IF($B163=1,$H$23,IF(N(Vintage_Input!R112)&gt;0,IFERROR(Vintage_Input!BF112/$C163,""),""))</f>
        <v/>
      </c>
      <c r="AY163" s="152">
        <f>IF($B163=1,$I$23,IF(N(Vintage_Input!S112)&gt;0,IFERROR(Vintage_Input!BG112/$C163,""),""))</f>
        <v/>
      </c>
      <c r="AZ163" s="153">
        <f>IF($B163=1,$B$24,IF(N(Vintage_Input!L112)&gt;0,IFERROR((Vintage_Input!D112+Vintage_Input!AR112)/$C163+Products!$D$14-(Products!$D$43+Products!$D$19+Products!$D$43*Products!$D$22+Products!$D$44),""),""))</f>
        <v/>
      </c>
      <c r="BA163" s="153">
        <f>IF($B163=1,$C$24,IF(N(Vintage_Input!M112)&gt;0,IFERROR((Vintage_Input!E112+Vintage_Input!AS112)/$C163+Products!$D$14-(Products!$D$43+Products!$D$19+Products!$D$43*Products!$D$22+Products!$D$44),""),""))</f>
        <v/>
      </c>
      <c r="BB163" s="153">
        <f>IF($B163=1,$D$24,IF(N(Vintage_Input!N112)&gt;0,IFERROR((Vintage_Input!F112+Vintage_Input!AT112)/$C163+Products!$D$14-(Products!$D$43+Products!$D$19+Products!$D$43*Products!$D$22+Products!$D$44),""),""))</f>
        <v/>
      </c>
      <c r="BC163" s="153">
        <f>IF($B163=1,$E$24,IF(N(Vintage_Input!O112)&gt;0,IFERROR((Vintage_Input!G112+Vintage_Input!AU112)/$C163+Products!$D$14-(Products!$D$43+Products!$D$19+Products!$D$43*Products!$D$22+Products!$D$44),""),""))</f>
        <v/>
      </c>
      <c r="BD163" s="153">
        <f>IF($B163=1,$F$24,IF(N(Vintage_Input!P112)&gt;0,IFERROR((Vintage_Input!H112+Vintage_Input!AV112)/$C163+Products!$D$14-(Products!$D$43+Products!$D$19+Products!$D$43*Products!$D$22+Products!$D$44),""),""))</f>
        <v/>
      </c>
      <c r="BE163" s="153">
        <f>IF($B163=1,$G$24,IF(N(Vintage_Input!Q112)&gt;0,IFERROR((Vintage_Input!I112+Vintage_Input!AW112)/$C163+Products!$D$14-(Products!$D$43+Products!$D$19+Products!$D$43*Products!$D$22+Products!$D$44),""),""))</f>
        <v/>
      </c>
      <c r="BF163" s="153">
        <f>IF($B163=1,$H$24,IF(N(Vintage_Input!R112)&gt;0,IFERROR((Vintage_Input!J112+Vintage_Input!AX112)/$C163+Products!$D$14-(Products!$D$43+Products!$D$19+Products!$D$43*Products!$D$22+Products!$D$44),""),""))</f>
        <v/>
      </c>
      <c r="BG163" s="153">
        <f>IF($B163=1,$I$24,IF(N(Vintage_Input!S112)&gt;0,IFERROR((Vintage_Input!K112+Vintage_Input!AY112)/$C163+Products!$D$14-(Products!$D$43+Products!$D$19+Products!$D$43*Products!$D$22+Products!$D$44),""),""))</f>
        <v/>
      </c>
      <c r="BH163" s="81">
        <f>IF($B163=1,0,IF(Vintage_Input!$BH$112="","",Vintage_Input!$BH$112))</f>
        <v/>
      </c>
    </row>
    <row r="164">
      <c r="A164" s="23" t="n">
        <v>40</v>
      </c>
      <c r="B164" s="48">
        <f>Vintage_Input!$B$113</f>
        <v/>
      </c>
      <c r="C164" s="41">
        <f>IF(Vintage_Input!$C$113="",0,Vintage_Input!$C$113)</f>
        <v/>
      </c>
      <c r="D164" s="152">
        <f>IF($B164=1,$B$18,IF(N(Vintage_Input!L113)&gt;0,Vintage_Input!D113/Vintage_Input!L113,""))</f>
        <v/>
      </c>
      <c r="E164" s="152">
        <f>IF($B164=1,$C$18,IF(N(Vintage_Input!M113)&gt;0,Vintage_Input!E113/Vintage_Input!M113,""))</f>
        <v/>
      </c>
      <c r="F164" s="152">
        <f>IF($B164=1,$D$18,IF(N(Vintage_Input!N113)&gt;0,Vintage_Input!F113/Vintage_Input!N113,""))</f>
        <v/>
      </c>
      <c r="G164" s="152">
        <f>IF($B164=1,$E$18,IF(N(Vintage_Input!O113)&gt;0,Vintage_Input!G113/Vintage_Input!O113,""))</f>
        <v/>
      </c>
      <c r="H164" s="152">
        <f>IF($B164=1,$F$18,IF(N(Vintage_Input!P113)&gt;0,Vintage_Input!H113/Vintage_Input!P113,""))</f>
        <v/>
      </c>
      <c r="I164" s="152">
        <f>IF($B164=1,$G$18,IF(N(Vintage_Input!Q113)&gt;0,Vintage_Input!I113/Vintage_Input!Q113,""))</f>
        <v/>
      </c>
      <c r="J164" s="152">
        <f>IF($B164=1,$H$18,IF(N(Vintage_Input!R113)&gt;0,Vintage_Input!J113/Vintage_Input!R113,""))</f>
        <v/>
      </c>
      <c r="K164" s="152">
        <f>IF($B164=1,$I$18,IF(N(Vintage_Input!S113)&gt;0,Vintage_Input!K113/Vintage_Input!S113,""))</f>
        <v/>
      </c>
      <c r="L164" s="152">
        <f>IF($B164=1,$B$19,IF(N(Vintage_Input!L113)&gt;0,Vintage_Input!T113/Vintage_Input!L113,""))</f>
        <v/>
      </c>
      <c r="M164" s="152">
        <f>IF($B164=1,$C$19,IF(N(Vintage_Input!M113)&gt;0,Vintage_Input!U113/Vintage_Input!M113,""))</f>
        <v/>
      </c>
      <c r="N164" s="152">
        <f>IF($B164=1,$D$19,IF(N(Vintage_Input!N113)&gt;0,Vintage_Input!V113/Vintage_Input!N113,""))</f>
        <v/>
      </c>
      <c r="O164" s="152">
        <f>IF($B164=1,$E$19,IF(N(Vintage_Input!O113)&gt;0,Vintage_Input!W113/Vintage_Input!O113,""))</f>
        <v/>
      </c>
      <c r="P164" s="152">
        <f>IF($B164=1,$F$19,IF(N(Vintage_Input!P113)&gt;0,Vintage_Input!X113/Vintage_Input!P113,""))</f>
        <v/>
      </c>
      <c r="Q164" s="152">
        <f>IF($B164=1,$G$19,IF(N(Vintage_Input!Q113)&gt;0,Vintage_Input!Y113/Vintage_Input!Q113,""))</f>
        <v/>
      </c>
      <c r="R164" s="152">
        <f>IF($B164=1,$H$19,IF(N(Vintage_Input!R113)&gt;0,Vintage_Input!Z113/Vintage_Input!R113,""))</f>
        <v/>
      </c>
      <c r="S164" s="152">
        <f>IF($B164=1,$I$19,IF(N(Vintage_Input!S113)&gt;0,Vintage_Input!AA113/Vintage_Input!S113,""))</f>
        <v/>
      </c>
      <c r="T164" s="152">
        <f>IF($B164=1,$B$20,IF(N(Vintage_Input!L113)&gt;0,Vintage_Input!AB113/Vintage_Input!L113,""))</f>
        <v/>
      </c>
      <c r="U164" s="152">
        <f>IF($B164=1,$C$20,IF(N(Vintage_Input!M113)&gt;0,Vintage_Input!AC113/Vintage_Input!M113,""))</f>
        <v/>
      </c>
      <c r="V164" s="152">
        <f>IF($B164=1,$D$20,IF(N(Vintage_Input!N113)&gt;0,Vintage_Input!AD113/Vintage_Input!N113,""))</f>
        <v/>
      </c>
      <c r="W164" s="152">
        <f>IF($B164=1,$E$20,IF(N(Vintage_Input!O113)&gt;0,Vintage_Input!AE113/Vintage_Input!O113,""))</f>
        <v/>
      </c>
      <c r="X164" s="152">
        <f>IF($B164=1,$F$20,IF(N(Vintage_Input!P113)&gt;0,Vintage_Input!AF113/Vintage_Input!P113,""))</f>
        <v/>
      </c>
      <c r="Y164" s="152">
        <f>IF($B164=1,$G$20,IF(N(Vintage_Input!Q113)&gt;0,Vintage_Input!AG113/Vintage_Input!Q113,""))</f>
        <v/>
      </c>
      <c r="Z164" s="152">
        <f>IF($B164=1,$H$20,IF(N(Vintage_Input!R113)&gt;0,Vintage_Input!AH113/Vintage_Input!R113,""))</f>
        <v/>
      </c>
      <c r="AA164" s="152">
        <f>IF($B164=1,$I$20,IF(N(Vintage_Input!S113)&gt;0,Vintage_Input!AI113/Vintage_Input!S113,""))</f>
        <v/>
      </c>
      <c r="AB164" s="152">
        <f>IF($B164=1,$B$21,IF(N(Vintage_Input!L113)&gt;0,Vintage_Input!AJ113/Vintage_Input!L113,""))</f>
        <v/>
      </c>
      <c r="AC164" s="152">
        <f>IF($B164=1,$C$21,IF(N(Vintage_Input!M113)&gt;0,Vintage_Input!AK113/Vintage_Input!M113,""))</f>
        <v/>
      </c>
      <c r="AD164" s="152">
        <f>IF($B164=1,$D$21,IF(N(Vintage_Input!N113)&gt;0,Vintage_Input!AL113/Vintage_Input!N113,""))</f>
        <v/>
      </c>
      <c r="AE164" s="152">
        <f>IF($B164=1,$E$21,IF(N(Vintage_Input!O113)&gt;0,Vintage_Input!AM113/Vintage_Input!O113,""))</f>
        <v/>
      </c>
      <c r="AF164" s="152">
        <f>IF($B164=1,$F$21,IF(N(Vintage_Input!P113)&gt;0,Vintage_Input!AN113/Vintage_Input!P113,""))</f>
        <v/>
      </c>
      <c r="AG164" s="152">
        <f>IF($B164=1,$G$21,IF(N(Vintage_Input!Q113)&gt;0,Vintage_Input!AO113/Vintage_Input!Q113,""))</f>
        <v/>
      </c>
      <c r="AH164" s="152">
        <f>IF($B164=1,$H$21,IF(N(Vintage_Input!R113)&gt;0,Vintage_Input!AP113/Vintage_Input!R113,""))</f>
        <v/>
      </c>
      <c r="AI164" s="152">
        <f>IF($B164=1,$I$21,IF(N(Vintage_Input!S113)&gt;0,Vintage_Input!AQ113/Vintage_Input!S113,""))</f>
        <v/>
      </c>
      <c r="AJ164" s="152">
        <f>IF($B164=1,$B$22,IF(N(Vintage_Input!L113)&gt;0,IFERROR(Vintage_Input!AR113/Vintage_Input!AJ113,""),""))</f>
        <v/>
      </c>
      <c r="AK164" s="152">
        <f>IF($B164=1,$C$22,IF(N(Vintage_Input!M113)&gt;0,IFERROR(Vintage_Input!AS113/Vintage_Input!AK113,""),""))</f>
        <v/>
      </c>
      <c r="AL164" s="152">
        <f>IF($B164=1,$D$22,IF(N(Vintage_Input!N113)&gt;0,IFERROR(Vintage_Input!AT113/Vintage_Input!AL113,""),""))</f>
        <v/>
      </c>
      <c r="AM164" s="152">
        <f>IF($B164=1,$E$22,IF(N(Vintage_Input!O113)&gt;0,IFERROR(Vintage_Input!AU113/Vintage_Input!AM113,""),""))</f>
        <v/>
      </c>
      <c r="AN164" s="152">
        <f>IF($B164=1,$F$22,IF(N(Vintage_Input!P113)&gt;0,IFERROR(Vintage_Input!AV113/Vintage_Input!AN113,""),""))</f>
        <v/>
      </c>
      <c r="AO164" s="152">
        <f>IF($B164=1,$G$22,IF(N(Vintage_Input!Q113)&gt;0,IFERROR(Vintage_Input!AW113/Vintage_Input!AO113,""),""))</f>
        <v/>
      </c>
      <c r="AP164" s="152">
        <f>IF($B164=1,$H$22,IF(N(Vintage_Input!R113)&gt;0,IFERROR(Vintage_Input!AX113/Vintage_Input!AP113,""),""))</f>
        <v/>
      </c>
      <c r="AQ164" s="152">
        <f>IF($B164=1,$I$22,IF(N(Vintage_Input!S113)&gt;0,IFERROR(Vintage_Input!AY113/Vintage_Input!AQ113,""),""))</f>
        <v/>
      </c>
      <c r="AR164" s="152">
        <f>IF($B164=1,$B$23,IF(N(Vintage_Input!L113)&gt;0,IFERROR(Vintage_Input!AZ113/$C164,""),""))</f>
        <v/>
      </c>
      <c r="AS164" s="152">
        <f>IF($B164=1,$C$23,IF(N(Vintage_Input!M113)&gt;0,IFERROR(Vintage_Input!BA113/$C164,""),""))</f>
        <v/>
      </c>
      <c r="AT164" s="152">
        <f>IF($B164=1,$D$23,IF(N(Vintage_Input!N113)&gt;0,IFERROR(Vintage_Input!BB113/$C164,""),""))</f>
        <v/>
      </c>
      <c r="AU164" s="152">
        <f>IF($B164=1,$E$23,IF(N(Vintage_Input!O113)&gt;0,IFERROR(Vintage_Input!BC113/$C164,""),""))</f>
        <v/>
      </c>
      <c r="AV164" s="152">
        <f>IF($B164=1,$F$23,IF(N(Vintage_Input!P113)&gt;0,IFERROR(Vintage_Input!BD113/$C164,""),""))</f>
        <v/>
      </c>
      <c r="AW164" s="152">
        <f>IF($B164=1,$G$23,IF(N(Vintage_Input!Q113)&gt;0,IFERROR(Vintage_Input!BE113/$C164,""),""))</f>
        <v/>
      </c>
      <c r="AX164" s="152">
        <f>IF($B164=1,$H$23,IF(N(Vintage_Input!R113)&gt;0,IFERROR(Vintage_Input!BF113/$C164,""),""))</f>
        <v/>
      </c>
      <c r="AY164" s="152">
        <f>IF($B164=1,$I$23,IF(N(Vintage_Input!S113)&gt;0,IFERROR(Vintage_Input!BG113/$C164,""),""))</f>
        <v/>
      </c>
      <c r="AZ164" s="153">
        <f>IF($B164=1,$B$24,IF(N(Vintage_Input!L113)&gt;0,IFERROR((Vintage_Input!D113+Vintage_Input!AR113)/$C164+Products!$D$14-(Products!$D$43+Products!$D$19+Products!$D$43*Products!$D$22+Products!$D$44),""),""))</f>
        <v/>
      </c>
      <c r="BA164" s="153">
        <f>IF($B164=1,$C$24,IF(N(Vintage_Input!M113)&gt;0,IFERROR((Vintage_Input!E113+Vintage_Input!AS113)/$C164+Products!$D$14-(Products!$D$43+Products!$D$19+Products!$D$43*Products!$D$22+Products!$D$44),""),""))</f>
        <v/>
      </c>
      <c r="BB164" s="153">
        <f>IF($B164=1,$D$24,IF(N(Vintage_Input!N113)&gt;0,IFERROR((Vintage_Input!F113+Vintage_Input!AT113)/$C164+Products!$D$14-(Products!$D$43+Products!$D$19+Products!$D$43*Products!$D$22+Products!$D$44),""),""))</f>
        <v/>
      </c>
      <c r="BC164" s="153">
        <f>IF($B164=1,$E$24,IF(N(Vintage_Input!O113)&gt;0,IFERROR((Vintage_Input!G113+Vintage_Input!AU113)/$C164+Products!$D$14-(Products!$D$43+Products!$D$19+Products!$D$43*Products!$D$22+Products!$D$44),""),""))</f>
        <v/>
      </c>
      <c r="BD164" s="153">
        <f>IF($B164=1,$F$24,IF(N(Vintage_Input!P113)&gt;0,IFERROR((Vintage_Input!H113+Vintage_Input!AV113)/$C164+Products!$D$14-(Products!$D$43+Products!$D$19+Products!$D$43*Products!$D$22+Products!$D$44),""),""))</f>
        <v/>
      </c>
      <c r="BE164" s="153">
        <f>IF($B164=1,$G$24,IF(N(Vintage_Input!Q113)&gt;0,IFERROR((Vintage_Input!I113+Vintage_Input!AW113)/$C164+Products!$D$14-(Products!$D$43+Products!$D$19+Products!$D$43*Products!$D$22+Products!$D$44),""),""))</f>
        <v/>
      </c>
      <c r="BF164" s="153">
        <f>IF($B164=1,$H$24,IF(N(Vintage_Input!R113)&gt;0,IFERROR((Vintage_Input!J113+Vintage_Input!AX113)/$C164+Products!$D$14-(Products!$D$43+Products!$D$19+Products!$D$43*Products!$D$22+Products!$D$44),""),""))</f>
        <v/>
      </c>
      <c r="BG164" s="153">
        <f>IF($B164=1,$I$24,IF(N(Vintage_Input!S113)&gt;0,IFERROR((Vintage_Input!K113+Vintage_Input!AY113)/$C164+Products!$D$14-(Products!$D$43+Products!$D$19+Products!$D$43*Products!$D$22+Products!$D$44),""),""))</f>
        <v/>
      </c>
      <c r="BH164" s="81">
        <f>IF($B164=1,0,IF(Vintage_Input!$BH$113="","",Vintage_Input!$BH$113))</f>
        <v/>
      </c>
    </row>
    <row r="165">
      <c r="A165" s="23" t="n">
        <v>41</v>
      </c>
      <c r="B165" s="48">
        <f>Vintage_Input!$B$114</f>
        <v/>
      </c>
      <c r="C165" s="41">
        <f>IF(Vintage_Input!$C$114="",0,Vintage_Input!$C$114)</f>
        <v/>
      </c>
      <c r="D165" s="152">
        <f>IF($B165=1,$B$18,IF(N(Vintage_Input!L114)&gt;0,Vintage_Input!D114/Vintage_Input!L114,""))</f>
        <v/>
      </c>
      <c r="E165" s="152">
        <f>IF($B165=1,$C$18,IF(N(Vintage_Input!M114)&gt;0,Vintage_Input!E114/Vintage_Input!M114,""))</f>
        <v/>
      </c>
      <c r="F165" s="152">
        <f>IF($B165=1,$D$18,IF(N(Vintage_Input!N114)&gt;0,Vintage_Input!F114/Vintage_Input!N114,""))</f>
        <v/>
      </c>
      <c r="G165" s="152">
        <f>IF($B165=1,$E$18,IF(N(Vintage_Input!O114)&gt;0,Vintage_Input!G114/Vintage_Input!O114,""))</f>
        <v/>
      </c>
      <c r="H165" s="152">
        <f>IF($B165=1,$F$18,IF(N(Vintage_Input!P114)&gt;0,Vintage_Input!H114/Vintage_Input!P114,""))</f>
        <v/>
      </c>
      <c r="I165" s="152">
        <f>IF($B165=1,$G$18,IF(N(Vintage_Input!Q114)&gt;0,Vintage_Input!I114/Vintage_Input!Q114,""))</f>
        <v/>
      </c>
      <c r="J165" s="152">
        <f>IF($B165=1,$H$18,IF(N(Vintage_Input!R114)&gt;0,Vintage_Input!J114/Vintage_Input!R114,""))</f>
        <v/>
      </c>
      <c r="K165" s="152">
        <f>IF($B165=1,$I$18,IF(N(Vintage_Input!S114)&gt;0,Vintage_Input!K114/Vintage_Input!S114,""))</f>
        <v/>
      </c>
      <c r="L165" s="152">
        <f>IF($B165=1,$B$19,IF(N(Vintage_Input!L114)&gt;0,Vintage_Input!T114/Vintage_Input!L114,""))</f>
        <v/>
      </c>
      <c r="M165" s="152">
        <f>IF($B165=1,$C$19,IF(N(Vintage_Input!M114)&gt;0,Vintage_Input!U114/Vintage_Input!M114,""))</f>
        <v/>
      </c>
      <c r="N165" s="152">
        <f>IF($B165=1,$D$19,IF(N(Vintage_Input!N114)&gt;0,Vintage_Input!V114/Vintage_Input!N114,""))</f>
        <v/>
      </c>
      <c r="O165" s="152">
        <f>IF($B165=1,$E$19,IF(N(Vintage_Input!O114)&gt;0,Vintage_Input!W114/Vintage_Input!O114,""))</f>
        <v/>
      </c>
      <c r="P165" s="152">
        <f>IF($B165=1,$F$19,IF(N(Vintage_Input!P114)&gt;0,Vintage_Input!X114/Vintage_Input!P114,""))</f>
        <v/>
      </c>
      <c r="Q165" s="152">
        <f>IF($B165=1,$G$19,IF(N(Vintage_Input!Q114)&gt;0,Vintage_Input!Y114/Vintage_Input!Q114,""))</f>
        <v/>
      </c>
      <c r="R165" s="152">
        <f>IF($B165=1,$H$19,IF(N(Vintage_Input!R114)&gt;0,Vintage_Input!Z114/Vintage_Input!R114,""))</f>
        <v/>
      </c>
      <c r="S165" s="152">
        <f>IF($B165=1,$I$19,IF(N(Vintage_Input!S114)&gt;0,Vintage_Input!AA114/Vintage_Input!S114,""))</f>
        <v/>
      </c>
      <c r="T165" s="152">
        <f>IF($B165=1,$B$20,IF(N(Vintage_Input!L114)&gt;0,Vintage_Input!AB114/Vintage_Input!L114,""))</f>
        <v/>
      </c>
      <c r="U165" s="152">
        <f>IF($B165=1,$C$20,IF(N(Vintage_Input!M114)&gt;0,Vintage_Input!AC114/Vintage_Input!M114,""))</f>
        <v/>
      </c>
      <c r="V165" s="152">
        <f>IF($B165=1,$D$20,IF(N(Vintage_Input!N114)&gt;0,Vintage_Input!AD114/Vintage_Input!N114,""))</f>
        <v/>
      </c>
      <c r="W165" s="152">
        <f>IF($B165=1,$E$20,IF(N(Vintage_Input!O114)&gt;0,Vintage_Input!AE114/Vintage_Input!O114,""))</f>
        <v/>
      </c>
      <c r="X165" s="152">
        <f>IF($B165=1,$F$20,IF(N(Vintage_Input!P114)&gt;0,Vintage_Input!AF114/Vintage_Input!P114,""))</f>
        <v/>
      </c>
      <c r="Y165" s="152">
        <f>IF($B165=1,$G$20,IF(N(Vintage_Input!Q114)&gt;0,Vintage_Input!AG114/Vintage_Input!Q114,""))</f>
        <v/>
      </c>
      <c r="Z165" s="152">
        <f>IF($B165=1,$H$20,IF(N(Vintage_Input!R114)&gt;0,Vintage_Input!AH114/Vintage_Input!R114,""))</f>
        <v/>
      </c>
      <c r="AA165" s="152">
        <f>IF($B165=1,$I$20,IF(N(Vintage_Input!S114)&gt;0,Vintage_Input!AI114/Vintage_Input!S114,""))</f>
        <v/>
      </c>
      <c r="AB165" s="152">
        <f>IF($B165=1,$B$21,IF(N(Vintage_Input!L114)&gt;0,Vintage_Input!AJ114/Vintage_Input!L114,""))</f>
        <v/>
      </c>
      <c r="AC165" s="152">
        <f>IF($B165=1,$C$21,IF(N(Vintage_Input!M114)&gt;0,Vintage_Input!AK114/Vintage_Input!M114,""))</f>
        <v/>
      </c>
      <c r="AD165" s="152">
        <f>IF($B165=1,$D$21,IF(N(Vintage_Input!N114)&gt;0,Vintage_Input!AL114/Vintage_Input!N114,""))</f>
        <v/>
      </c>
      <c r="AE165" s="152">
        <f>IF($B165=1,$E$21,IF(N(Vintage_Input!O114)&gt;0,Vintage_Input!AM114/Vintage_Input!O114,""))</f>
        <v/>
      </c>
      <c r="AF165" s="152">
        <f>IF($B165=1,$F$21,IF(N(Vintage_Input!P114)&gt;0,Vintage_Input!AN114/Vintage_Input!P114,""))</f>
        <v/>
      </c>
      <c r="AG165" s="152">
        <f>IF($B165=1,$G$21,IF(N(Vintage_Input!Q114)&gt;0,Vintage_Input!AO114/Vintage_Input!Q114,""))</f>
        <v/>
      </c>
      <c r="AH165" s="152">
        <f>IF($B165=1,$H$21,IF(N(Vintage_Input!R114)&gt;0,Vintage_Input!AP114/Vintage_Input!R114,""))</f>
        <v/>
      </c>
      <c r="AI165" s="152">
        <f>IF($B165=1,$I$21,IF(N(Vintage_Input!S114)&gt;0,Vintage_Input!AQ114/Vintage_Input!S114,""))</f>
        <v/>
      </c>
      <c r="AJ165" s="152">
        <f>IF($B165=1,$B$22,IF(N(Vintage_Input!L114)&gt;0,IFERROR(Vintage_Input!AR114/Vintage_Input!AJ114,""),""))</f>
        <v/>
      </c>
      <c r="AK165" s="152">
        <f>IF($B165=1,$C$22,IF(N(Vintage_Input!M114)&gt;0,IFERROR(Vintage_Input!AS114/Vintage_Input!AK114,""),""))</f>
        <v/>
      </c>
      <c r="AL165" s="152">
        <f>IF($B165=1,$D$22,IF(N(Vintage_Input!N114)&gt;0,IFERROR(Vintage_Input!AT114/Vintage_Input!AL114,""),""))</f>
        <v/>
      </c>
      <c r="AM165" s="152">
        <f>IF($B165=1,$E$22,IF(N(Vintage_Input!O114)&gt;0,IFERROR(Vintage_Input!AU114/Vintage_Input!AM114,""),""))</f>
        <v/>
      </c>
      <c r="AN165" s="152">
        <f>IF($B165=1,$F$22,IF(N(Vintage_Input!P114)&gt;0,IFERROR(Vintage_Input!AV114/Vintage_Input!AN114,""),""))</f>
        <v/>
      </c>
      <c r="AO165" s="152">
        <f>IF($B165=1,$G$22,IF(N(Vintage_Input!Q114)&gt;0,IFERROR(Vintage_Input!AW114/Vintage_Input!AO114,""),""))</f>
        <v/>
      </c>
      <c r="AP165" s="152">
        <f>IF($B165=1,$H$22,IF(N(Vintage_Input!R114)&gt;0,IFERROR(Vintage_Input!AX114/Vintage_Input!AP114,""),""))</f>
        <v/>
      </c>
      <c r="AQ165" s="152">
        <f>IF($B165=1,$I$22,IF(N(Vintage_Input!S114)&gt;0,IFERROR(Vintage_Input!AY114/Vintage_Input!AQ114,""),""))</f>
        <v/>
      </c>
      <c r="AR165" s="152">
        <f>IF($B165=1,$B$23,IF(N(Vintage_Input!L114)&gt;0,IFERROR(Vintage_Input!AZ114/$C165,""),""))</f>
        <v/>
      </c>
      <c r="AS165" s="152">
        <f>IF($B165=1,$C$23,IF(N(Vintage_Input!M114)&gt;0,IFERROR(Vintage_Input!BA114/$C165,""),""))</f>
        <v/>
      </c>
      <c r="AT165" s="152">
        <f>IF($B165=1,$D$23,IF(N(Vintage_Input!N114)&gt;0,IFERROR(Vintage_Input!BB114/$C165,""),""))</f>
        <v/>
      </c>
      <c r="AU165" s="152">
        <f>IF($B165=1,$E$23,IF(N(Vintage_Input!O114)&gt;0,IFERROR(Vintage_Input!BC114/$C165,""),""))</f>
        <v/>
      </c>
      <c r="AV165" s="152">
        <f>IF($B165=1,$F$23,IF(N(Vintage_Input!P114)&gt;0,IFERROR(Vintage_Input!BD114/$C165,""),""))</f>
        <v/>
      </c>
      <c r="AW165" s="152">
        <f>IF($B165=1,$G$23,IF(N(Vintage_Input!Q114)&gt;0,IFERROR(Vintage_Input!BE114/$C165,""),""))</f>
        <v/>
      </c>
      <c r="AX165" s="152">
        <f>IF($B165=1,$H$23,IF(N(Vintage_Input!R114)&gt;0,IFERROR(Vintage_Input!BF114/$C165,""),""))</f>
        <v/>
      </c>
      <c r="AY165" s="152">
        <f>IF($B165=1,$I$23,IF(N(Vintage_Input!S114)&gt;0,IFERROR(Vintage_Input!BG114/$C165,""),""))</f>
        <v/>
      </c>
      <c r="AZ165" s="153">
        <f>IF($B165=1,$B$24,IF(N(Vintage_Input!L114)&gt;0,IFERROR((Vintage_Input!D114+Vintage_Input!AR114)/$C165+Products!$D$14-(Products!$D$43+Products!$D$19+Products!$D$43*Products!$D$22+Products!$D$44),""),""))</f>
        <v/>
      </c>
      <c r="BA165" s="153">
        <f>IF($B165=1,$C$24,IF(N(Vintage_Input!M114)&gt;0,IFERROR((Vintage_Input!E114+Vintage_Input!AS114)/$C165+Products!$D$14-(Products!$D$43+Products!$D$19+Products!$D$43*Products!$D$22+Products!$D$44),""),""))</f>
        <v/>
      </c>
      <c r="BB165" s="153">
        <f>IF($B165=1,$D$24,IF(N(Vintage_Input!N114)&gt;0,IFERROR((Vintage_Input!F114+Vintage_Input!AT114)/$C165+Products!$D$14-(Products!$D$43+Products!$D$19+Products!$D$43*Products!$D$22+Products!$D$44),""),""))</f>
        <v/>
      </c>
      <c r="BC165" s="153">
        <f>IF($B165=1,$E$24,IF(N(Vintage_Input!O114)&gt;0,IFERROR((Vintage_Input!G114+Vintage_Input!AU114)/$C165+Products!$D$14-(Products!$D$43+Products!$D$19+Products!$D$43*Products!$D$22+Products!$D$44),""),""))</f>
        <v/>
      </c>
      <c r="BD165" s="153">
        <f>IF($B165=1,$F$24,IF(N(Vintage_Input!P114)&gt;0,IFERROR((Vintage_Input!H114+Vintage_Input!AV114)/$C165+Products!$D$14-(Products!$D$43+Products!$D$19+Products!$D$43*Products!$D$22+Products!$D$44),""),""))</f>
        <v/>
      </c>
      <c r="BE165" s="153">
        <f>IF($B165=1,$G$24,IF(N(Vintage_Input!Q114)&gt;0,IFERROR((Vintage_Input!I114+Vintage_Input!AW114)/$C165+Products!$D$14-(Products!$D$43+Products!$D$19+Products!$D$43*Products!$D$22+Products!$D$44),""),""))</f>
        <v/>
      </c>
      <c r="BF165" s="153">
        <f>IF($B165=1,$H$24,IF(N(Vintage_Input!R114)&gt;0,IFERROR((Vintage_Input!J114+Vintage_Input!AX114)/$C165+Products!$D$14-(Products!$D$43+Products!$D$19+Products!$D$43*Products!$D$22+Products!$D$44),""),""))</f>
        <v/>
      </c>
      <c r="BG165" s="153">
        <f>IF($B165=1,$I$24,IF(N(Vintage_Input!S114)&gt;0,IFERROR((Vintage_Input!K114+Vintage_Input!AY114)/$C165+Products!$D$14-(Products!$D$43+Products!$D$19+Products!$D$43*Products!$D$22+Products!$D$44),""),""))</f>
        <v/>
      </c>
      <c r="BH165" s="81">
        <f>IF($B165=1,0,IF(Vintage_Input!$BH$114="","",Vintage_Input!$BH$114))</f>
        <v/>
      </c>
    </row>
    <row r="166">
      <c r="A166" s="23" t="n">
        <v>42</v>
      </c>
      <c r="B166" s="48">
        <f>Vintage_Input!$B$115</f>
        <v/>
      </c>
      <c r="C166" s="41">
        <f>IF(Vintage_Input!$C$115="",0,Vintage_Input!$C$115)</f>
        <v/>
      </c>
      <c r="D166" s="152">
        <f>IF($B166=1,$B$18,IF(N(Vintage_Input!L115)&gt;0,Vintage_Input!D115/Vintage_Input!L115,""))</f>
        <v/>
      </c>
      <c r="E166" s="152">
        <f>IF($B166=1,$C$18,IF(N(Vintage_Input!M115)&gt;0,Vintage_Input!E115/Vintage_Input!M115,""))</f>
        <v/>
      </c>
      <c r="F166" s="152">
        <f>IF($B166=1,$D$18,IF(N(Vintage_Input!N115)&gt;0,Vintage_Input!F115/Vintage_Input!N115,""))</f>
        <v/>
      </c>
      <c r="G166" s="152">
        <f>IF($B166=1,$E$18,IF(N(Vintage_Input!O115)&gt;0,Vintage_Input!G115/Vintage_Input!O115,""))</f>
        <v/>
      </c>
      <c r="H166" s="152">
        <f>IF($B166=1,$F$18,IF(N(Vintage_Input!P115)&gt;0,Vintage_Input!H115/Vintage_Input!P115,""))</f>
        <v/>
      </c>
      <c r="I166" s="152">
        <f>IF($B166=1,$G$18,IF(N(Vintage_Input!Q115)&gt;0,Vintage_Input!I115/Vintage_Input!Q115,""))</f>
        <v/>
      </c>
      <c r="J166" s="152">
        <f>IF($B166=1,$H$18,IF(N(Vintage_Input!R115)&gt;0,Vintage_Input!J115/Vintage_Input!R115,""))</f>
        <v/>
      </c>
      <c r="K166" s="152">
        <f>IF($B166=1,$I$18,IF(N(Vintage_Input!S115)&gt;0,Vintage_Input!K115/Vintage_Input!S115,""))</f>
        <v/>
      </c>
      <c r="L166" s="152">
        <f>IF($B166=1,$B$19,IF(N(Vintage_Input!L115)&gt;0,Vintage_Input!T115/Vintage_Input!L115,""))</f>
        <v/>
      </c>
      <c r="M166" s="152">
        <f>IF($B166=1,$C$19,IF(N(Vintage_Input!M115)&gt;0,Vintage_Input!U115/Vintage_Input!M115,""))</f>
        <v/>
      </c>
      <c r="N166" s="152">
        <f>IF($B166=1,$D$19,IF(N(Vintage_Input!N115)&gt;0,Vintage_Input!V115/Vintage_Input!N115,""))</f>
        <v/>
      </c>
      <c r="O166" s="152">
        <f>IF($B166=1,$E$19,IF(N(Vintage_Input!O115)&gt;0,Vintage_Input!W115/Vintage_Input!O115,""))</f>
        <v/>
      </c>
      <c r="P166" s="152">
        <f>IF($B166=1,$F$19,IF(N(Vintage_Input!P115)&gt;0,Vintage_Input!X115/Vintage_Input!P115,""))</f>
        <v/>
      </c>
      <c r="Q166" s="152">
        <f>IF($B166=1,$G$19,IF(N(Vintage_Input!Q115)&gt;0,Vintage_Input!Y115/Vintage_Input!Q115,""))</f>
        <v/>
      </c>
      <c r="R166" s="152">
        <f>IF($B166=1,$H$19,IF(N(Vintage_Input!R115)&gt;0,Vintage_Input!Z115/Vintage_Input!R115,""))</f>
        <v/>
      </c>
      <c r="S166" s="152">
        <f>IF($B166=1,$I$19,IF(N(Vintage_Input!S115)&gt;0,Vintage_Input!AA115/Vintage_Input!S115,""))</f>
        <v/>
      </c>
      <c r="T166" s="152">
        <f>IF($B166=1,$B$20,IF(N(Vintage_Input!L115)&gt;0,Vintage_Input!AB115/Vintage_Input!L115,""))</f>
        <v/>
      </c>
      <c r="U166" s="152">
        <f>IF($B166=1,$C$20,IF(N(Vintage_Input!M115)&gt;0,Vintage_Input!AC115/Vintage_Input!M115,""))</f>
        <v/>
      </c>
      <c r="V166" s="152">
        <f>IF($B166=1,$D$20,IF(N(Vintage_Input!N115)&gt;0,Vintage_Input!AD115/Vintage_Input!N115,""))</f>
        <v/>
      </c>
      <c r="W166" s="152">
        <f>IF($B166=1,$E$20,IF(N(Vintage_Input!O115)&gt;0,Vintage_Input!AE115/Vintage_Input!O115,""))</f>
        <v/>
      </c>
      <c r="X166" s="152">
        <f>IF($B166=1,$F$20,IF(N(Vintage_Input!P115)&gt;0,Vintage_Input!AF115/Vintage_Input!P115,""))</f>
        <v/>
      </c>
      <c r="Y166" s="152">
        <f>IF($B166=1,$G$20,IF(N(Vintage_Input!Q115)&gt;0,Vintage_Input!AG115/Vintage_Input!Q115,""))</f>
        <v/>
      </c>
      <c r="Z166" s="152">
        <f>IF($B166=1,$H$20,IF(N(Vintage_Input!R115)&gt;0,Vintage_Input!AH115/Vintage_Input!R115,""))</f>
        <v/>
      </c>
      <c r="AA166" s="152">
        <f>IF($B166=1,$I$20,IF(N(Vintage_Input!S115)&gt;0,Vintage_Input!AI115/Vintage_Input!S115,""))</f>
        <v/>
      </c>
      <c r="AB166" s="152">
        <f>IF($B166=1,$B$21,IF(N(Vintage_Input!L115)&gt;0,Vintage_Input!AJ115/Vintage_Input!L115,""))</f>
        <v/>
      </c>
      <c r="AC166" s="152">
        <f>IF($B166=1,$C$21,IF(N(Vintage_Input!M115)&gt;0,Vintage_Input!AK115/Vintage_Input!M115,""))</f>
        <v/>
      </c>
      <c r="AD166" s="152">
        <f>IF($B166=1,$D$21,IF(N(Vintage_Input!N115)&gt;0,Vintage_Input!AL115/Vintage_Input!N115,""))</f>
        <v/>
      </c>
      <c r="AE166" s="152">
        <f>IF($B166=1,$E$21,IF(N(Vintage_Input!O115)&gt;0,Vintage_Input!AM115/Vintage_Input!O115,""))</f>
        <v/>
      </c>
      <c r="AF166" s="152">
        <f>IF($B166=1,$F$21,IF(N(Vintage_Input!P115)&gt;0,Vintage_Input!AN115/Vintage_Input!P115,""))</f>
        <v/>
      </c>
      <c r="AG166" s="152">
        <f>IF($B166=1,$G$21,IF(N(Vintage_Input!Q115)&gt;0,Vintage_Input!AO115/Vintage_Input!Q115,""))</f>
        <v/>
      </c>
      <c r="AH166" s="152">
        <f>IF($B166=1,$H$21,IF(N(Vintage_Input!R115)&gt;0,Vintage_Input!AP115/Vintage_Input!R115,""))</f>
        <v/>
      </c>
      <c r="AI166" s="152">
        <f>IF($B166=1,$I$21,IF(N(Vintage_Input!S115)&gt;0,Vintage_Input!AQ115/Vintage_Input!S115,""))</f>
        <v/>
      </c>
      <c r="AJ166" s="152">
        <f>IF($B166=1,$B$22,IF(N(Vintage_Input!L115)&gt;0,IFERROR(Vintage_Input!AR115/Vintage_Input!AJ115,""),""))</f>
        <v/>
      </c>
      <c r="AK166" s="152">
        <f>IF($B166=1,$C$22,IF(N(Vintage_Input!M115)&gt;0,IFERROR(Vintage_Input!AS115/Vintage_Input!AK115,""),""))</f>
        <v/>
      </c>
      <c r="AL166" s="152">
        <f>IF($B166=1,$D$22,IF(N(Vintage_Input!N115)&gt;0,IFERROR(Vintage_Input!AT115/Vintage_Input!AL115,""),""))</f>
        <v/>
      </c>
      <c r="AM166" s="152">
        <f>IF($B166=1,$E$22,IF(N(Vintage_Input!O115)&gt;0,IFERROR(Vintage_Input!AU115/Vintage_Input!AM115,""),""))</f>
        <v/>
      </c>
      <c r="AN166" s="152">
        <f>IF($B166=1,$F$22,IF(N(Vintage_Input!P115)&gt;0,IFERROR(Vintage_Input!AV115/Vintage_Input!AN115,""),""))</f>
        <v/>
      </c>
      <c r="AO166" s="152">
        <f>IF($B166=1,$G$22,IF(N(Vintage_Input!Q115)&gt;0,IFERROR(Vintage_Input!AW115/Vintage_Input!AO115,""),""))</f>
        <v/>
      </c>
      <c r="AP166" s="152">
        <f>IF($B166=1,$H$22,IF(N(Vintage_Input!R115)&gt;0,IFERROR(Vintage_Input!AX115/Vintage_Input!AP115,""),""))</f>
        <v/>
      </c>
      <c r="AQ166" s="152">
        <f>IF($B166=1,$I$22,IF(N(Vintage_Input!S115)&gt;0,IFERROR(Vintage_Input!AY115/Vintage_Input!AQ115,""),""))</f>
        <v/>
      </c>
      <c r="AR166" s="152">
        <f>IF($B166=1,$B$23,IF(N(Vintage_Input!L115)&gt;0,IFERROR(Vintage_Input!AZ115/$C166,""),""))</f>
        <v/>
      </c>
      <c r="AS166" s="152">
        <f>IF($B166=1,$C$23,IF(N(Vintage_Input!M115)&gt;0,IFERROR(Vintage_Input!BA115/$C166,""),""))</f>
        <v/>
      </c>
      <c r="AT166" s="152">
        <f>IF($B166=1,$D$23,IF(N(Vintage_Input!N115)&gt;0,IFERROR(Vintage_Input!BB115/$C166,""),""))</f>
        <v/>
      </c>
      <c r="AU166" s="152">
        <f>IF($B166=1,$E$23,IF(N(Vintage_Input!O115)&gt;0,IFERROR(Vintage_Input!BC115/$C166,""),""))</f>
        <v/>
      </c>
      <c r="AV166" s="152">
        <f>IF($B166=1,$F$23,IF(N(Vintage_Input!P115)&gt;0,IFERROR(Vintage_Input!BD115/$C166,""),""))</f>
        <v/>
      </c>
      <c r="AW166" s="152">
        <f>IF($B166=1,$G$23,IF(N(Vintage_Input!Q115)&gt;0,IFERROR(Vintage_Input!BE115/$C166,""),""))</f>
        <v/>
      </c>
      <c r="AX166" s="152">
        <f>IF($B166=1,$H$23,IF(N(Vintage_Input!R115)&gt;0,IFERROR(Vintage_Input!BF115/$C166,""),""))</f>
        <v/>
      </c>
      <c r="AY166" s="152">
        <f>IF($B166=1,$I$23,IF(N(Vintage_Input!S115)&gt;0,IFERROR(Vintage_Input!BG115/$C166,""),""))</f>
        <v/>
      </c>
      <c r="AZ166" s="153">
        <f>IF($B166=1,$B$24,IF(N(Vintage_Input!L115)&gt;0,IFERROR((Vintage_Input!D115+Vintage_Input!AR115)/$C166+Products!$D$14-(Products!$D$43+Products!$D$19+Products!$D$43*Products!$D$22+Products!$D$44),""),""))</f>
        <v/>
      </c>
      <c r="BA166" s="153">
        <f>IF($B166=1,$C$24,IF(N(Vintage_Input!M115)&gt;0,IFERROR((Vintage_Input!E115+Vintage_Input!AS115)/$C166+Products!$D$14-(Products!$D$43+Products!$D$19+Products!$D$43*Products!$D$22+Products!$D$44),""),""))</f>
        <v/>
      </c>
      <c r="BB166" s="153">
        <f>IF($B166=1,$D$24,IF(N(Vintage_Input!N115)&gt;0,IFERROR((Vintage_Input!F115+Vintage_Input!AT115)/$C166+Products!$D$14-(Products!$D$43+Products!$D$19+Products!$D$43*Products!$D$22+Products!$D$44),""),""))</f>
        <v/>
      </c>
      <c r="BC166" s="153">
        <f>IF($B166=1,$E$24,IF(N(Vintage_Input!O115)&gt;0,IFERROR((Vintage_Input!G115+Vintage_Input!AU115)/$C166+Products!$D$14-(Products!$D$43+Products!$D$19+Products!$D$43*Products!$D$22+Products!$D$44),""),""))</f>
        <v/>
      </c>
      <c r="BD166" s="153">
        <f>IF($B166=1,$F$24,IF(N(Vintage_Input!P115)&gt;0,IFERROR((Vintage_Input!H115+Vintage_Input!AV115)/$C166+Products!$D$14-(Products!$D$43+Products!$D$19+Products!$D$43*Products!$D$22+Products!$D$44),""),""))</f>
        <v/>
      </c>
      <c r="BE166" s="153">
        <f>IF($B166=1,$G$24,IF(N(Vintage_Input!Q115)&gt;0,IFERROR((Vintage_Input!I115+Vintage_Input!AW115)/$C166+Products!$D$14-(Products!$D$43+Products!$D$19+Products!$D$43*Products!$D$22+Products!$D$44),""),""))</f>
        <v/>
      </c>
      <c r="BF166" s="153">
        <f>IF($B166=1,$H$24,IF(N(Vintage_Input!R115)&gt;0,IFERROR((Vintage_Input!J115+Vintage_Input!AX115)/$C166+Products!$D$14-(Products!$D$43+Products!$D$19+Products!$D$43*Products!$D$22+Products!$D$44),""),""))</f>
        <v/>
      </c>
      <c r="BG166" s="153">
        <f>IF($B166=1,$I$24,IF(N(Vintage_Input!S115)&gt;0,IFERROR((Vintage_Input!K115+Vintage_Input!AY115)/$C166+Products!$D$14-(Products!$D$43+Products!$D$19+Products!$D$43*Products!$D$22+Products!$D$44),""),""))</f>
        <v/>
      </c>
      <c r="BH166" s="81">
        <f>IF($B166=1,0,IF(Vintage_Input!$BH$115="","",Vintage_Input!$BH$115))</f>
        <v/>
      </c>
    </row>
    <row r="167">
      <c r="A167" s="23" t="n">
        <v>43</v>
      </c>
      <c r="B167" s="48">
        <f>Vintage_Input!$B$116</f>
        <v/>
      </c>
      <c r="C167" s="41">
        <f>IF(Vintage_Input!$C$116="",0,Vintage_Input!$C$116)</f>
        <v/>
      </c>
      <c r="D167" s="152">
        <f>IF($B167=1,$B$18,IF(N(Vintage_Input!L116)&gt;0,Vintage_Input!D116/Vintage_Input!L116,""))</f>
        <v/>
      </c>
      <c r="E167" s="152">
        <f>IF($B167=1,$C$18,IF(N(Vintage_Input!M116)&gt;0,Vintage_Input!E116/Vintage_Input!M116,""))</f>
        <v/>
      </c>
      <c r="F167" s="152">
        <f>IF($B167=1,$D$18,IF(N(Vintage_Input!N116)&gt;0,Vintage_Input!F116/Vintage_Input!N116,""))</f>
        <v/>
      </c>
      <c r="G167" s="152">
        <f>IF($B167=1,$E$18,IF(N(Vintage_Input!O116)&gt;0,Vintage_Input!G116/Vintage_Input!O116,""))</f>
        <v/>
      </c>
      <c r="H167" s="152">
        <f>IF($B167=1,$F$18,IF(N(Vintage_Input!P116)&gt;0,Vintage_Input!H116/Vintage_Input!P116,""))</f>
        <v/>
      </c>
      <c r="I167" s="152">
        <f>IF($B167=1,$G$18,IF(N(Vintage_Input!Q116)&gt;0,Vintage_Input!I116/Vintage_Input!Q116,""))</f>
        <v/>
      </c>
      <c r="J167" s="152">
        <f>IF($B167=1,$H$18,IF(N(Vintage_Input!R116)&gt;0,Vintage_Input!J116/Vintage_Input!R116,""))</f>
        <v/>
      </c>
      <c r="K167" s="152">
        <f>IF($B167=1,$I$18,IF(N(Vintage_Input!S116)&gt;0,Vintage_Input!K116/Vintage_Input!S116,""))</f>
        <v/>
      </c>
      <c r="L167" s="152">
        <f>IF($B167=1,$B$19,IF(N(Vintage_Input!L116)&gt;0,Vintage_Input!T116/Vintage_Input!L116,""))</f>
        <v/>
      </c>
      <c r="M167" s="152">
        <f>IF($B167=1,$C$19,IF(N(Vintage_Input!M116)&gt;0,Vintage_Input!U116/Vintage_Input!M116,""))</f>
        <v/>
      </c>
      <c r="N167" s="152">
        <f>IF($B167=1,$D$19,IF(N(Vintage_Input!N116)&gt;0,Vintage_Input!V116/Vintage_Input!N116,""))</f>
        <v/>
      </c>
      <c r="O167" s="152">
        <f>IF($B167=1,$E$19,IF(N(Vintage_Input!O116)&gt;0,Vintage_Input!W116/Vintage_Input!O116,""))</f>
        <v/>
      </c>
      <c r="P167" s="152">
        <f>IF($B167=1,$F$19,IF(N(Vintage_Input!P116)&gt;0,Vintage_Input!X116/Vintage_Input!P116,""))</f>
        <v/>
      </c>
      <c r="Q167" s="152">
        <f>IF($B167=1,$G$19,IF(N(Vintage_Input!Q116)&gt;0,Vintage_Input!Y116/Vintage_Input!Q116,""))</f>
        <v/>
      </c>
      <c r="R167" s="152">
        <f>IF($B167=1,$H$19,IF(N(Vintage_Input!R116)&gt;0,Vintage_Input!Z116/Vintage_Input!R116,""))</f>
        <v/>
      </c>
      <c r="S167" s="152">
        <f>IF($B167=1,$I$19,IF(N(Vintage_Input!S116)&gt;0,Vintage_Input!AA116/Vintage_Input!S116,""))</f>
        <v/>
      </c>
      <c r="T167" s="152">
        <f>IF($B167=1,$B$20,IF(N(Vintage_Input!L116)&gt;0,Vintage_Input!AB116/Vintage_Input!L116,""))</f>
        <v/>
      </c>
      <c r="U167" s="152">
        <f>IF($B167=1,$C$20,IF(N(Vintage_Input!M116)&gt;0,Vintage_Input!AC116/Vintage_Input!M116,""))</f>
        <v/>
      </c>
      <c r="V167" s="152">
        <f>IF($B167=1,$D$20,IF(N(Vintage_Input!N116)&gt;0,Vintage_Input!AD116/Vintage_Input!N116,""))</f>
        <v/>
      </c>
      <c r="W167" s="152">
        <f>IF($B167=1,$E$20,IF(N(Vintage_Input!O116)&gt;0,Vintage_Input!AE116/Vintage_Input!O116,""))</f>
        <v/>
      </c>
      <c r="X167" s="152">
        <f>IF($B167=1,$F$20,IF(N(Vintage_Input!P116)&gt;0,Vintage_Input!AF116/Vintage_Input!P116,""))</f>
        <v/>
      </c>
      <c r="Y167" s="152">
        <f>IF($B167=1,$G$20,IF(N(Vintage_Input!Q116)&gt;0,Vintage_Input!AG116/Vintage_Input!Q116,""))</f>
        <v/>
      </c>
      <c r="Z167" s="152">
        <f>IF($B167=1,$H$20,IF(N(Vintage_Input!R116)&gt;0,Vintage_Input!AH116/Vintage_Input!R116,""))</f>
        <v/>
      </c>
      <c r="AA167" s="152">
        <f>IF($B167=1,$I$20,IF(N(Vintage_Input!S116)&gt;0,Vintage_Input!AI116/Vintage_Input!S116,""))</f>
        <v/>
      </c>
      <c r="AB167" s="152">
        <f>IF($B167=1,$B$21,IF(N(Vintage_Input!L116)&gt;0,Vintage_Input!AJ116/Vintage_Input!L116,""))</f>
        <v/>
      </c>
      <c r="AC167" s="152">
        <f>IF($B167=1,$C$21,IF(N(Vintage_Input!M116)&gt;0,Vintage_Input!AK116/Vintage_Input!M116,""))</f>
        <v/>
      </c>
      <c r="AD167" s="152">
        <f>IF($B167=1,$D$21,IF(N(Vintage_Input!N116)&gt;0,Vintage_Input!AL116/Vintage_Input!N116,""))</f>
        <v/>
      </c>
      <c r="AE167" s="152">
        <f>IF($B167=1,$E$21,IF(N(Vintage_Input!O116)&gt;0,Vintage_Input!AM116/Vintage_Input!O116,""))</f>
        <v/>
      </c>
      <c r="AF167" s="152">
        <f>IF($B167=1,$F$21,IF(N(Vintage_Input!P116)&gt;0,Vintage_Input!AN116/Vintage_Input!P116,""))</f>
        <v/>
      </c>
      <c r="AG167" s="152">
        <f>IF($B167=1,$G$21,IF(N(Vintage_Input!Q116)&gt;0,Vintage_Input!AO116/Vintage_Input!Q116,""))</f>
        <v/>
      </c>
      <c r="AH167" s="152">
        <f>IF($B167=1,$H$21,IF(N(Vintage_Input!R116)&gt;0,Vintage_Input!AP116/Vintage_Input!R116,""))</f>
        <v/>
      </c>
      <c r="AI167" s="152">
        <f>IF($B167=1,$I$21,IF(N(Vintage_Input!S116)&gt;0,Vintage_Input!AQ116/Vintage_Input!S116,""))</f>
        <v/>
      </c>
      <c r="AJ167" s="152">
        <f>IF($B167=1,$B$22,IF(N(Vintage_Input!L116)&gt;0,IFERROR(Vintage_Input!AR116/Vintage_Input!AJ116,""),""))</f>
        <v/>
      </c>
      <c r="AK167" s="152">
        <f>IF($B167=1,$C$22,IF(N(Vintage_Input!M116)&gt;0,IFERROR(Vintage_Input!AS116/Vintage_Input!AK116,""),""))</f>
        <v/>
      </c>
      <c r="AL167" s="152">
        <f>IF($B167=1,$D$22,IF(N(Vintage_Input!N116)&gt;0,IFERROR(Vintage_Input!AT116/Vintage_Input!AL116,""),""))</f>
        <v/>
      </c>
      <c r="AM167" s="152">
        <f>IF($B167=1,$E$22,IF(N(Vintage_Input!O116)&gt;0,IFERROR(Vintage_Input!AU116/Vintage_Input!AM116,""),""))</f>
        <v/>
      </c>
      <c r="AN167" s="152">
        <f>IF($B167=1,$F$22,IF(N(Vintage_Input!P116)&gt;0,IFERROR(Vintage_Input!AV116/Vintage_Input!AN116,""),""))</f>
        <v/>
      </c>
      <c r="AO167" s="152">
        <f>IF($B167=1,$G$22,IF(N(Vintage_Input!Q116)&gt;0,IFERROR(Vintage_Input!AW116/Vintage_Input!AO116,""),""))</f>
        <v/>
      </c>
      <c r="AP167" s="152">
        <f>IF($B167=1,$H$22,IF(N(Vintage_Input!R116)&gt;0,IFERROR(Vintage_Input!AX116/Vintage_Input!AP116,""),""))</f>
        <v/>
      </c>
      <c r="AQ167" s="152">
        <f>IF($B167=1,$I$22,IF(N(Vintage_Input!S116)&gt;0,IFERROR(Vintage_Input!AY116/Vintage_Input!AQ116,""),""))</f>
        <v/>
      </c>
      <c r="AR167" s="152">
        <f>IF($B167=1,$B$23,IF(N(Vintage_Input!L116)&gt;0,IFERROR(Vintage_Input!AZ116/$C167,""),""))</f>
        <v/>
      </c>
      <c r="AS167" s="152">
        <f>IF($B167=1,$C$23,IF(N(Vintage_Input!M116)&gt;0,IFERROR(Vintage_Input!BA116/$C167,""),""))</f>
        <v/>
      </c>
      <c r="AT167" s="152">
        <f>IF($B167=1,$D$23,IF(N(Vintage_Input!N116)&gt;0,IFERROR(Vintage_Input!BB116/$C167,""),""))</f>
        <v/>
      </c>
      <c r="AU167" s="152">
        <f>IF($B167=1,$E$23,IF(N(Vintage_Input!O116)&gt;0,IFERROR(Vintage_Input!BC116/$C167,""),""))</f>
        <v/>
      </c>
      <c r="AV167" s="152">
        <f>IF($B167=1,$F$23,IF(N(Vintage_Input!P116)&gt;0,IFERROR(Vintage_Input!BD116/$C167,""),""))</f>
        <v/>
      </c>
      <c r="AW167" s="152">
        <f>IF($B167=1,$G$23,IF(N(Vintage_Input!Q116)&gt;0,IFERROR(Vintage_Input!BE116/$C167,""),""))</f>
        <v/>
      </c>
      <c r="AX167" s="152">
        <f>IF($B167=1,$H$23,IF(N(Vintage_Input!R116)&gt;0,IFERROR(Vintage_Input!BF116/$C167,""),""))</f>
        <v/>
      </c>
      <c r="AY167" s="152">
        <f>IF($B167=1,$I$23,IF(N(Vintage_Input!S116)&gt;0,IFERROR(Vintage_Input!BG116/$C167,""),""))</f>
        <v/>
      </c>
      <c r="AZ167" s="153">
        <f>IF($B167=1,$B$24,IF(N(Vintage_Input!L116)&gt;0,IFERROR((Vintage_Input!D116+Vintage_Input!AR116)/$C167+Products!$D$14-(Products!$D$43+Products!$D$19+Products!$D$43*Products!$D$22+Products!$D$44),""),""))</f>
        <v/>
      </c>
      <c r="BA167" s="153">
        <f>IF($B167=1,$C$24,IF(N(Vintage_Input!M116)&gt;0,IFERROR((Vintage_Input!E116+Vintage_Input!AS116)/$C167+Products!$D$14-(Products!$D$43+Products!$D$19+Products!$D$43*Products!$D$22+Products!$D$44),""),""))</f>
        <v/>
      </c>
      <c r="BB167" s="153">
        <f>IF($B167=1,$D$24,IF(N(Vintage_Input!N116)&gt;0,IFERROR((Vintage_Input!F116+Vintage_Input!AT116)/$C167+Products!$D$14-(Products!$D$43+Products!$D$19+Products!$D$43*Products!$D$22+Products!$D$44),""),""))</f>
        <v/>
      </c>
      <c r="BC167" s="153">
        <f>IF($B167=1,$E$24,IF(N(Vintage_Input!O116)&gt;0,IFERROR((Vintage_Input!G116+Vintage_Input!AU116)/$C167+Products!$D$14-(Products!$D$43+Products!$D$19+Products!$D$43*Products!$D$22+Products!$D$44),""),""))</f>
        <v/>
      </c>
      <c r="BD167" s="153">
        <f>IF($B167=1,$F$24,IF(N(Vintage_Input!P116)&gt;0,IFERROR((Vintage_Input!H116+Vintage_Input!AV116)/$C167+Products!$D$14-(Products!$D$43+Products!$D$19+Products!$D$43*Products!$D$22+Products!$D$44),""),""))</f>
        <v/>
      </c>
      <c r="BE167" s="153">
        <f>IF($B167=1,$G$24,IF(N(Vintage_Input!Q116)&gt;0,IFERROR((Vintage_Input!I116+Vintage_Input!AW116)/$C167+Products!$D$14-(Products!$D$43+Products!$D$19+Products!$D$43*Products!$D$22+Products!$D$44),""),""))</f>
        <v/>
      </c>
      <c r="BF167" s="153">
        <f>IF($B167=1,$H$24,IF(N(Vintage_Input!R116)&gt;0,IFERROR((Vintage_Input!J116+Vintage_Input!AX116)/$C167+Products!$D$14-(Products!$D$43+Products!$D$19+Products!$D$43*Products!$D$22+Products!$D$44),""),""))</f>
        <v/>
      </c>
      <c r="BG167" s="153">
        <f>IF($B167=1,$I$24,IF(N(Vintage_Input!S116)&gt;0,IFERROR((Vintage_Input!K116+Vintage_Input!AY116)/$C167+Products!$D$14-(Products!$D$43+Products!$D$19+Products!$D$43*Products!$D$22+Products!$D$44),""),""))</f>
        <v/>
      </c>
      <c r="BH167" s="81">
        <f>IF($B167=1,0,IF(Vintage_Input!$BH$116="","",Vintage_Input!$BH$116))</f>
        <v/>
      </c>
    </row>
    <row r="168">
      <c r="A168" s="23" t="n">
        <v>44</v>
      </c>
      <c r="B168" s="48">
        <f>Vintage_Input!$B$117</f>
        <v/>
      </c>
      <c r="C168" s="41">
        <f>IF(Vintage_Input!$C$117="",0,Vintage_Input!$C$117)</f>
        <v/>
      </c>
      <c r="D168" s="152">
        <f>IF($B168=1,$B$18,IF(N(Vintage_Input!L117)&gt;0,Vintage_Input!D117/Vintage_Input!L117,""))</f>
        <v/>
      </c>
      <c r="E168" s="152">
        <f>IF($B168=1,$C$18,IF(N(Vintage_Input!M117)&gt;0,Vintage_Input!E117/Vintage_Input!M117,""))</f>
        <v/>
      </c>
      <c r="F168" s="152">
        <f>IF($B168=1,$D$18,IF(N(Vintage_Input!N117)&gt;0,Vintage_Input!F117/Vintage_Input!N117,""))</f>
        <v/>
      </c>
      <c r="G168" s="152">
        <f>IF($B168=1,$E$18,IF(N(Vintage_Input!O117)&gt;0,Vintage_Input!G117/Vintage_Input!O117,""))</f>
        <v/>
      </c>
      <c r="H168" s="152">
        <f>IF($B168=1,$F$18,IF(N(Vintage_Input!P117)&gt;0,Vintage_Input!H117/Vintage_Input!P117,""))</f>
        <v/>
      </c>
      <c r="I168" s="152">
        <f>IF($B168=1,$G$18,IF(N(Vintage_Input!Q117)&gt;0,Vintage_Input!I117/Vintage_Input!Q117,""))</f>
        <v/>
      </c>
      <c r="J168" s="152">
        <f>IF($B168=1,$H$18,IF(N(Vintage_Input!R117)&gt;0,Vintage_Input!J117/Vintage_Input!R117,""))</f>
        <v/>
      </c>
      <c r="K168" s="152">
        <f>IF($B168=1,$I$18,IF(N(Vintage_Input!S117)&gt;0,Vintage_Input!K117/Vintage_Input!S117,""))</f>
        <v/>
      </c>
      <c r="L168" s="152">
        <f>IF($B168=1,$B$19,IF(N(Vintage_Input!L117)&gt;0,Vintage_Input!T117/Vintage_Input!L117,""))</f>
        <v/>
      </c>
      <c r="M168" s="152">
        <f>IF($B168=1,$C$19,IF(N(Vintage_Input!M117)&gt;0,Vintage_Input!U117/Vintage_Input!M117,""))</f>
        <v/>
      </c>
      <c r="N168" s="152">
        <f>IF($B168=1,$D$19,IF(N(Vintage_Input!N117)&gt;0,Vintage_Input!V117/Vintage_Input!N117,""))</f>
        <v/>
      </c>
      <c r="O168" s="152">
        <f>IF($B168=1,$E$19,IF(N(Vintage_Input!O117)&gt;0,Vintage_Input!W117/Vintage_Input!O117,""))</f>
        <v/>
      </c>
      <c r="P168" s="152">
        <f>IF($B168=1,$F$19,IF(N(Vintage_Input!P117)&gt;0,Vintage_Input!X117/Vintage_Input!P117,""))</f>
        <v/>
      </c>
      <c r="Q168" s="152">
        <f>IF($B168=1,$G$19,IF(N(Vintage_Input!Q117)&gt;0,Vintage_Input!Y117/Vintage_Input!Q117,""))</f>
        <v/>
      </c>
      <c r="R168" s="152">
        <f>IF($B168=1,$H$19,IF(N(Vintage_Input!R117)&gt;0,Vintage_Input!Z117/Vintage_Input!R117,""))</f>
        <v/>
      </c>
      <c r="S168" s="152">
        <f>IF($B168=1,$I$19,IF(N(Vintage_Input!S117)&gt;0,Vintage_Input!AA117/Vintage_Input!S117,""))</f>
        <v/>
      </c>
      <c r="T168" s="152">
        <f>IF($B168=1,$B$20,IF(N(Vintage_Input!L117)&gt;0,Vintage_Input!AB117/Vintage_Input!L117,""))</f>
        <v/>
      </c>
      <c r="U168" s="152">
        <f>IF($B168=1,$C$20,IF(N(Vintage_Input!M117)&gt;0,Vintage_Input!AC117/Vintage_Input!M117,""))</f>
        <v/>
      </c>
      <c r="V168" s="152">
        <f>IF($B168=1,$D$20,IF(N(Vintage_Input!N117)&gt;0,Vintage_Input!AD117/Vintage_Input!N117,""))</f>
        <v/>
      </c>
      <c r="W168" s="152">
        <f>IF($B168=1,$E$20,IF(N(Vintage_Input!O117)&gt;0,Vintage_Input!AE117/Vintage_Input!O117,""))</f>
        <v/>
      </c>
      <c r="X168" s="152">
        <f>IF($B168=1,$F$20,IF(N(Vintage_Input!P117)&gt;0,Vintage_Input!AF117/Vintage_Input!P117,""))</f>
        <v/>
      </c>
      <c r="Y168" s="152">
        <f>IF($B168=1,$G$20,IF(N(Vintage_Input!Q117)&gt;0,Vintage_Input!AG117/Vintage_Input!Q117,""))</f>
        <v/>
      </c>
      <c r="Z168" s="152">
        <f>IF($B168=1,$H$20,IF(N(Vintage_Input!R117)&gt;0,Vintage_Input!AH117/Vintage_Input!R117,""))</f>
        <v/>
      </c>
      <c r="AA168" s="152">
        <f>IF($B168=1,$I$20,IF(N(Vintage_Input!S117)&gt;0,Vintage_Input!AI117/Vintage_Input!S117,""))</f>
        <v/>
      </c>
      <c r="AB168" s="152">
        <f>IF($B168=1,$B$21,IF(N(Vintage_Input!L117)&gt;0,Vintage_Input!AJ117/Vintage_Input!L117,""))</f>
        <v/>
      </c>
      <c r="AC168" s="152">
        <f>IF($B168=1,$C$21,IF(N(Vintage_Input!M117)&gt;0,Vintage_Input!AK117/Vintage_Input!M117,""))</f>
        <v/>
      </c>
      <c r="AD168" s="152">
        <f>IF($B168=1,$D$21,IF(N(Vintage_Input!N117)&gt;0,Vintage_Input!AL117/Vintage_Input!N117,""))</f>
        <v/>
      </c>
      <c r="AE168" s="152">
        <f>IF($B168=1,$E$21,IF(N(Vintage_Input!O117)&gt;0,Vintage_Input!AM117/Vintage_Input!O117,""))</f>
        <v/>
      </c>
      <c r="AF168" s="152">
        <f>IF($B168=1,$F$21,IF(N(Vintage_Input!P117)&gt;0,Vintage_Input!AN117/Vintage_Input!P117,""))</f>
        <v/>
      </c>
      <c r="AG168" s="152">
        <f>IF($B168=1,$G$21,IF(N(Vintage_Input!Q117)&gt;0,Vintage_Input!AO117/Vintage_Input!Q117,""))</f>
        <v/>
      </c>
      <c r="AH168" s="152">
        <f>IF($B168=1,$H$21,IF(N(Vintage_Input!R117)&gt;0,Vintage_Input!AP117/Vintage_Input!R117,""))</f>
        <v/>
      </c>
      <c r="AI168" s="152">
        <f>IF($B168=1,$I$21,IF(N(Vintage_Input!S117)&gt;0,Vintage_Input!AQ117/Vintage_Input!S117,""))</f>
        <v/>
      </c>
      <c r="AJ168" s="152">
        <f>IF($B168=1,$B$22,IF(N(Vintage_Input!L117)&gt;0,IFERROR(Vintage_Input!AR117/Vintage_Input!AJ117,""),""))</f>
        <v/>
      </c>
      <c r="AK168" s="152">
        <f>IF($B168=1,$C$22,IF(N(Vintage_Input!M117)&gt;0,IFERROR(Vintage_Input!AS117/Vintage_Input!AK117,""),""))</f>
        <v/>
      </c>
      <c r="AL168" s="152">
        <f>IF($B168=1,$D$22,IF(N(Vintage_Input!N117)&gt;0,IFERROR(Vintage_Input!AT117/Vintage_Input!AL117,""),""))</f>
        <v/>
      </c>
      <c r="AM168" s="152">
        <f>IF($B168=1,$E$22,IF(N(Vintage_Input!O117)&gt;0,IFERROR(Vintage_Input!AU117/Vintage_Input!AM117,""),""))</f>
        <v/>
      </c>
      <c r="AN168" s="152">
        <f>IF($B168=1,$F$22,IF(N(Vintage_Input!P117)&gt;0,IFERROR(Vintage_Input!AV117/Vintage_Input!AN117,""),""))</f>
        <v/>
      </c>
      <c r="AO168" s="152">
        <f>IF($B168=1,$G$22,IF(N(Vintage_Input!Q117)&gt;0,IFERROR(Vintage_Input!AW117/Vintage_Input!AO117,""),""))</f>
        <v/>
      </c>
      <c r="AP168" s="152">
        <f>IF($B168=1,$H$22,IF(N(Vintage_Input!R117)&gt;0,IFERROR(Vintage_Input!AX117/Vintage_Input!AP117,""),""))</f>
        <v/>
      </c>
      <c r="AQ168" s="152">
        <f>IF($B168=1,$I$22,IF(N(Vintage_Input!S117)&gt;0,IFERROR(Vintage_Input!AY117/Vintage_Input!AQ117,""),""))</f>
        <v/>
      </c>
      <c r="AR168" s="152">
        <f>IF($B168=1,$B$23,IF(N(Vintage_Input!L117)&gt;0,IFERROR(Vintage_Input!AZ117/$C168,""),""))</f>
        <v/>
      </c>
      <c r="AS168" s="152">
        <f>IF($B168=1,$C$23,IF(N(Vintage_Input!M117)&gt;0,IFERROR(Vintage_Input!BA117/$C168,""),""))</f>
        <v/>
      </c>
      <c r="AT168" s="152">
        <f>IF($B168=1,$D$23,IF(N(Vintage_Input!N117)&gt;0,IFERROR(Vintage_Input!BB117/$C168,""),""))</f>
        <v/>
      </c>
      <c r="AU168" s="152">
        <f>IF($B168=1,$E$23,IF(N(Vintage_Input!O117)&gt;0,IFERROR(Vintage_Input!BC117/$C168,""),""))</f>
        <v/>
      </c>
      <c r="AV168" s="152">
        <f>IF($B168=1,$F$23,IF(N(Vintage_Input!P117)&gt;0,IFERROR(Vintage_Input!BD117/$C168,""),""))</f>
        <v/>
      </c>
      <c r="AW168" s="152">
        <f>IF($B168=1,$G$23,IF(N(Vintage_Input!Q117)&gt;0,IFERROR(Vintage_Input!BE117/$C168,""),""))</f>
        <v/>
      </c>
      <c r="AX168" s="152">
        <f>IF($B168=1,$H$23,IF(N(Vintage_Input!R117)&gt;0,IFERROR(Vintage_Input!BF117/$C168,""),""))</f>
        <v/>
      </c>
      <c r="AY168" s="152">
        <f>IF($B168=1,$I$23,IF(N(Vintage_Input!S117)&gt;0,IFERROR(Vintage_Input!BG117/$C168,""),""))</f>
        <v/>
      </c>
      <c r="AZ168" s="153">
        <f>IF($B168=1,$B$24,IF(N(Vintage_Input!L117)&gt;0,IFERROR((Vintage_Input!D117+Vintage_Input!AR117)/$C168+Products!$D$14-(Products!$D$43+Products!$D$19+Products!$D$43*Products!$D$22+Products!$D$44),""),""))</f>
        <v/>
      </c>
      <c r="BA168" s="153">
        <f>IF($B168=1,$C$24,IF(N(Vintage_Input!M117)&gt;0,IFERROR((Vintage_Input!E117+Vintage_Input!AS117)/$C168+Products!$D$14-(Products!$D$43+Products!$D$19+Products!$D$43*Products!$D$22+Products!$D$44),""),""))</f>
        <v/>
      </c>
      <c r="BB168" s="153">
        <f>IF($B168=1,$D$24,IF(N(Vintage_Input!N117)&gt;0,IFERROR((Vintage_Input!F117+Vintage_Input!AT117)/$C168+Products!$D$14-(Products!$D$43+Products!$D$19+Products!$D$43*Products!$D$22+Products!$D$44),""),""))</f>
        <v/>
      </c>
      <c r="BC168" s="153">
        <f>IF($B168=1,$E$24,IF(N(Vintage_Input!O117)&gt;0,IFERROR((Vintage_Input!G117+Vintage_Input!AU117)/$C168+Products!$D$14-(Products!$D$43+Products!$D$19+Products!$D$43*Products!$D$22+Products!$D$44),""),""))</f>
        <v/>
      </c>
      <c r="BD168" s="153">
        <f>IF($B168=1,$F$24,IF(N(Vintage_Input!P117)&gt;0,IFERROR((Vintage_Input!H117+Vintage_Input!AV117)/$C168+Products!$D$14-(Products!$D$43+Products!$D$19+Products!$D$43*Products!$D$22+Products!$D$44),""),""))</f>
        <v/>
      </c>
      <c r="BE168" s="153">
        <f>IF($B168=1,$G$24,IF(N(Vintage_Input!Q117)&gt;0,IFERROR((Vintage_Input!I117+Vintage_Input!AW117)/$C168+Products!$D$14-(Products!$D$43+Products!$D$19+Products!$D$43*Products!$D$22+Products!$D$44),""),""))</f>
        <v/>
      </c>
      <c r="BF168" s="153">
        <f>IF($B168=1,$H$24,IF(N(Vintage_Input!R117)&gt;0,IFERROR((Vintage_Input!J117+Vintage_Input!AX117)/$C168+Products!$D$14-(Products!$D$43+Products!$D$19+Products!$D$43*Products!$D$22+Products!$D$44),""),""))</f>
        <v/>
      </c>
      <c r="BG168" s="153">
        <f>IF($B168=1,$I$24,IF(N(Vintage_Input!S117)&gt;0,IFERROR((Vintage_Input!K117+Vintage_Input!AY117)/$C168+Products!$D$14-(Products!$D$43+Products!$D$19+Products!$D$43*Products!$D$22+Products!$D$44),""),""))</f>
        <v/>
      </c>
      <c r="BH168" s="81">
        <f>IF($B168=1,0,IF(Vintage_Input!$BH$117="","",Vintage_Input!$BH$117))</f>
        <v/>
      </c>
    </row>
    <row r="169">
      <c r="A169" s="23" t="n">
        <v>45</v>
      </c>
      <c r="B169" s="48">
        <f>Vintage_Input!$B$118</f>
        <v/>
      </c>
      <c r="C169" s="41">
        <f>IF(Vintage_Input!$C$118="",0,Vintage_Input!$C$118)</f>
        <v/>
      </c>
      <c r="D169" s="152">
        <f>IF($B169=1,$B$18,IF(N(Vintage_Input!L118)&gt;0,Vintage_Input!D118/Vintage_Input!L118,""))</f>
        <v/>
      </c>
      <c r="E169" s="152">
        <f>IF($B169=1,$C$18,IF(N(Vintage_Input!M118)&gt;0,Vintage_Input!E118/Vintage_Input!M118,""))</f>
        <v/>
      </c>
      <c r="F169" s="152">
        <f>IF($B169=1,$D$18,IF(N(Vintage_Input!N118)&gt;0,Vintage_Input!F118/Vintage_Input!N118,""))</f>
        <v/>
      </c>
      <c r="G169" s="152">
        <f>IF($B169=1,$E$18,IF(N(Vintage_Input!O118)&gt;0,Vintage_Input!G118/Vintage_Input!O118,""))</f>
        <v/>
      </c>
      <c r="H169" s="152">
        <f>IF($B169=1,$F$18,IF(N(Vintage_Input!P118)&gt;0,Vintage_Input!H118/Vintage_Input!P118,""))</f>
        <v/>
      </c>
      <c r="I169" s="152">
        <f>IF($B169=1,$G$18,IF(N(Vintage_Input!Q118)&gt;0,Vintage_Input!I118/Vintage_Input!Q118,""))</f>
        <v/>
      </c>
      <c r="J169" s="152">
        <f>IF($B169=1,$H$18,IF(N(Vintage_Input!R118)&gt;0,Vintage_Input!J118/Vintage_Input!R118,""))</f>
        <v/>
      </c>
      <c r="K169" s="152">
        <f>IF($B169=1,$I$18,IF(N(Vintage_Input!S118)&gt;0,Vintage_Input!K118/Vintage_Input!S118,""))</f>
        <v/>
      </c>
      <c r="L169" s="152">
        <f>IF($B169=1,$B$19,IF(N(Vintage_Input!L118)&gt;0,Vintage_Input!T118/Vintage_Input!L118,""))</f>
        <v/>
      </c>
      <c r="M169" s="152">
        <f>IF($B169=1,$C$19,IF(N(Vintage_Input!M118)&gt;0,Vintage_Input!U118/Vintage_Input!M118,""))</f>
        <v/>
      </c>
      <c r="N169" s="152">
        <f>IF($B169=1,$D$19,IF(N(Vintage_Input!N118)&gt;0,Vintage_Input!V118/Vintage_Input!N118,""))</f>
        <v/>
      </c>
      <c r="O169" s="152">
        <f>IF($B169=1,$E$19,IF(N(Vintage_Input!O118)&gt;0,Vintage_Input!W118/Vintage_Input!O118,""))</f>
        <v/>
      </c>
      <c r="P169" s="152">
        <f>IF($B169=1,$F$19,IF(N(Vintage_Input!P118)&gt;0,Vintage_Input!X118/Vintage_Input!P118,""))</f>
        <v/>
      </c>
      <c r="Q169" s="152">
        <f>IF($B169=1,$G$19,IF(N(Vintage_Input!Q118)&gt;0,Vintage_Input!Y118/Vintage_Input!Q118,""))</f>
        <v/>
      </c>
      <c r="R169" s="152">
        <f>IF($B169=1,$H$19,IF(N(Vintage_Input!R118)&gt;0,Vintage_Input!Z118/Vintage_Input!R118,""))</f>
        <v/>
      </c>
      <c r="S169" s="152">
        <f>IF($B169=1,$I$19,IF(N(Vintage_Input!S118)&gt;0,Vintage_Input!AA118/Vintage_Input!S118,""))</f>
        <v/>
      </c>
      <c r="T169" s="152">
        <f>IF($B169=1,$B$20,IF(N(Vintage_Input!L118)&gt;0,Vintage_Input!AB118/Vintage_Input!L118,""))</f>
        <v/>
      </c>
      <c r="U169" s="152">
        <f>IF($B169=1,$C$20,IF(N(Vintage_Input!M118)&gt;0,Vintage_Input!AC118/Vintage_Input!M118,""))</f>
        <v/>
      </c>
      <c r="V169" s="152">
        <f>IF($B169=1,$D$20,IF(N(Vintage_Input!N118)&gt;0,Vintage_Input!AD118/Vintage_Input!N118,""))</f>
        <v/>
      </c>
      <c r="W169" s="152">
        <f>IF($B169=1,$E$20,IF(N(Vintage_Input!O118)&gt;0,Vintage_Input!AE118/Vintage_Input!O118,""))</f>
        <v/>
      </c>
      <c r="X169" s="152">
        <f>IF($B169=1,$F$20,IF(N(Vintage_Input!P118)&gt;0,Vintage_Input!AF118/Vintage_Input!P118,""))</f>
        <v/>
      </c>
      <c r="Y169" s="152">
        <f>IF($B169=1,$G$20,IF(N(Vintage_Input!Q118)&gt;0,Vintage_Input!AG118/Vintage_Input!Q118,""))</f>
        <v/>
      </c>
      <c r="Z169" s="152">
        <f>IF($B169=1,$H$20,IF(N(Vintage_Input!R118)&gt;0,Vintage_Input!AH118/Vintage_Input!R118,""))</f>
        <v/>
      </c>
      <c r="AA169" s="152">
        <f>IF($B169=1,$I$20,IF(N(Vintage_Input!S118)&gt;0,Vintage_Input!AI118/Vintage_Input!S118,""))</f>
        <v/>
      </c>
      <c r="AB169" s="152">
        <f>IF($B169=1,$B$21,IF(N(Vintage_Input!L118)&gt;0,Vintage_Input!AJ118/Vintage_Input!L118,""))</f>
        <v/>
      </c>
      <c r="AC169" s="152">
        <f>IF($B169=1,$C$21,IF(N(Vintage_Input!M118)&gt;0,Vintage_Input!AK118/Vintage_Input!M118,""))</f>
        <v/>
      </c>
      <c r="AD169" s="152">
        <f>IF($B169=1,$D$21,IF(N(Vintage_Input!N118)&gt;0,Vintage_Input!AL118/Vintage_Input!N118,""))</f>
        <v/>
      </c>
      <c r="AE169" s="152">
        <f>IF($B169=1,$E$21,IF(N(Vintage_Input!O118)&gt;0,Vintage_Input!AM118/Vintage_Input!O118,""))</f>
        <v/>
      </c>
      <c r="AF169" s="152">
        <f>IF($B169=1,$F$21,IF(N(Vintage_Input!P118)&gt;0,Vintage_Input!AN118/Vintage_Input!P118,""))</f>
        <v/>
      </c>
      <c r="AG169" s="152">
        <f>IF($B169=1,$G$21,IF(N(Vintage_Input!Q118)&gt;0,Vintage_Input!AO118/Vintage_Input!Q118,""))</f>
        <v/>
      </c>
      <c r="AH169" s="152">
        <f>IF($B169=1,$H$21,IF(N(Vintage_Input!R118)&gt;0,Vintage_Input!AP118/Vintage_Input!R118,""))</f>
        <v/>
      </c>
      <c r="AI169" s="152">
        <f>IF($B169=1,$I$21,IF(N(Vintage_Input!S118)&gt;0,Vintage_Input!AQ118/Vintage_Input!S118,""))</f>
        <v/>
      </c>
      <c r="AJ169" s="152">
        <f>IF($B169=1,$B$22,IF(N(Vintage_Input!L118)&gt;0,IFERROR(Vintage_Input!AR118/Vintage_Input!AJ118,""),""))</f>
        <v/>
      </c>
      <c r="AK169" s="152">
        <f>IF($B169=1,$C$22,IF(N(Vintage_Input!M118)&gt;0,IFERROR(Vintage_Input!AS118/Vintage_Input!AK118,""),""))</f>
        <v/>
      </c>
      <c r="AL169" s="152">
        <f>IF($B169=1,$D$22,IF(N(Vintage_Input!N118)&gt;0,IFERROR(Vintage_Input!AT118/Vintage_Input!AL118,""),""))</f>
        <v/>
      </c>
      <c r="AM169" s="152">
        <f>IF($B169=1,$E$22,IF(N(Vintage_Input!O118)&gt;0,IFERROR(Vintage_Input!AU118/Vintage_Input!AM118,""),""))</f>
        <v/>
      </c>
      <c r="AN169" s="152">
        <f>IF($B169=1,$F$22,IF(N(Vintage_Input!P118)&gt;0,IFERROR(Vintage_Input!AV118/Vintage_Input!AN118,""),""))</f>
        <v/>
      </c>
      <c r="AO169" s="152">
        <f>IF($B169=1,$G$22,IF(N(Vintage_Input!Q118)&gt;0,IFERROR(Vintage_Input!AW118/Vintage_Input!AO118,""),""))</f>
        <v/>
      </c>
      <c r="AP169" s="152">
        <f>IF($B169=1,$H$22,IF(N(Vintage_Input!R118)&gt;0,IFERROR(Vintage_Input!AX118/Vintage_Input!AP118,""),""))</f>
        <v/>
      </c>
      <c r="AQ169" s="152">
        <f>IF($B169=1,$I$22,IF(N(Vintage_Input!S118)&gt;0,IFERROR(Vintage_Input!AY118/Vintage_Input!AQ118,""),""))</f>
        <v/>
      </c>
      <c r="AR169" s="152">
        <f>IF($B169=1,$B$23,IF(N(Vintage_Input!L118)&gt;0,IFERROR(Vintage_Input!AZ118/$C169,""),""))</f>
        <v/>
      </c>
      <c r="AS169" s="152">
        <f>IF($B169=1,$C$23,IF(N(Vintage_Input!M118)&gt;0,IFERROR(Vintage_Input!BA118/$C169,""),""))</f>
        <v/>
      </c>
      <c r="AT169" s="152">
        <f>IF($B169=1,$D$23,IF(N(Vintage_Input!N118)&gt;0,IFERROR(Vintage_Input!BB118/$C169,""),""))</f>
        <v/>
      </c>
      <c r="AU169" s="152">
        <f>IF($B169=1,$E$23,IF(N(Vintage_Input!O118)&gt;0,IFERROR(Vintage_Input!BC118/$C169,""),""))</f>
        <v/>
      </c>
      <c r="AV169" s="152">
        <f>IF($B169=1,$F$23,IF(N(Vintage_Input!P118)&gt;0,IFERROR(Vintage_Input!BD118/$C169,""),""))</f>
        <v/>
      </c>
      <c r="AW169" s="152">
        <f>IF($B169=1,$G$23,IF(N(Vintage_Input!Q118)&gt;0,IFERROR(Vintage_Input!BE118/$C169,""),""))</f>
        <v/>
      </c>
      <c r="AX169" s="152">
        <f>IF($B169=1,$H$23,IF(N(Vintage_Input!R118)&gt;0,IFERROR(Vintage_Input!BF118/$C169,""),""))</f>
        <v/>
      </c>
      <c r="AY169" s="152">
        <f>IF($B169=1,$I$23,IF(N(Vintage_Input!S118)&gt;0,IFERROR(Vintage_Input!BG118/$C169,""),""))</f>
        <v/>
      </c>
      <c r="AZ169" s="153">
        <f>IF($B169=1,$B$24,IF(N(Vintage_Input!L118)&gt;0,IFERROR((Vintage_Input!D118+Vintage_Input!AR118)/$C169+Products!$D$14-(Products!$D$43+Products!$D$19+Products!$D$43*Products!$D$22+Products!$D$44),""),""))</f>
        <v/>
      </c>
      <c r="BA169" s="153">
        <f>IF($B169=1,$C$24,IF(N(Vintage_Input!M118)&gt;0,IFERROR((Vintage_Input!E118+Vintage_Input!AS118)/$C169+Products!$D$14-(Products!$D$43+Products!$D$19+Products!$D$43*Products!$D$22+Products!$D$44),""),""))</f>
        <v/>
      </c>
      <c r="BB169" s="153">
        <f>IF($B169=1,$D$24,IF(N(Vintage_Input!N118)&gt;0,IFERROR((Vintage_Input!F118+Vintage_Input!AT118)/$C169+Products!$D$14-(Products!$D$43+Products!$D$19+Products!$D$43*Products!$D$22+Products!$D$44),""),""))</f>
        <v/>
      </c>
      <c r="BC169" s="153">
        <f>IF($B169=1,$E$24,IF(N(Vintage_Input!O118)&gt;0,IFERROR((Vintage_Input!G118+Vintage_Input!AU118)/$C169+Products!$D$14-(Products!$D$43+Products!$D$19+Products!$D$43*Products!$D$22+Products!$D$44),""),""))</f>
        <v/>
      </c>
      <c r="BD169" s="153">
        <f>IF($B169=1,$F$24,IF(N(Vintage_Input!P118)&gt;0,IFERROR((Vintage_Input!H118+Vintage_Input!AV118)/$C169+Products!$D$14-(Products!$D$43+Products!$D$19+Products!$D$43*Products!$D$22+Products!$D$44),""),""))</f>
        <v/>
      </c>
      <c r="BE169" s="153">
        <f>IF($B169=1,$G$24,IF(N(Vintage_Input!Q118)&gt;0,IFERROR((Vintage_Input!I118+Vintage_Input!AW118)/$C169+Products!$D$14-(Products!$D$43+Products!$D$19+Products!$D$43*Products!$D$22+Products!$D$44),""),""))</f>
        <v/>
      </c>
      <c r="BF169" s="153">
        <f>IF($B169=1,$H$24,IF(N(Vintage_Input!R118)&gt;0,IFERROR((Vintage_Input!J118+Vintage_Input!AX118)/$C169+Products!$D$14-(Products!$D$43+Products!$D$19+Products!$D$43*Products!$D$22+Products!$D$44),""),""))</f>
        <v/>
      </c>
      <c r="BG169" s="153">
        <f>IF($B169=1,$I$24,IF(N(Vintage_Input!S118)&gt;0,IFERROR((Vintage_Input!K118+Vintage_Input!AY118)/$C169+Products!$D$14-(Products!$D$43+Products!$D$19+Products!$D$43*Products!$D$22+Products!$D$44),""),""))</f>
        <v/>
      </c>
      <c r="BH169" s="81">
        <f>IF($B169=1,0,IF(Vintage_Input!$BH$118="","",Vintage_Input!$BH$118))</f>
        <v/>
      </c>
    </row>
    <row r="170">
      <c r="A170" s="23" t="n">
        <v>46</v>
      </c>
      <c r="B170" s="48">
        <f>Vintage_Input!$B$119</f>
        <v/>
      </c>
      <c r="C170" s="41">
        <f>IF(Vintage_Input!$C$119="",0,Vintage_Input!$C$119)</f>
        <v/>
      </c>
      <c r="D170" s="152">
        <f>IF($B170=1,$B$18,IF(N(Vintage_Input!L119)&gt;0,Vintage_Input!D119/Vintage_Input!L119,""))</f>
        <v/>
      </c>
      <c r="E170" s="152">
        <f>IF($B170=1,$C$18,IF(N(Vintage_Input!M119)&gt;0,Vintage_Input!E119/Vintage_Input!M119,""))</f>
        <v/>
      </c>
      <c r="F170" s="152">
        <f>IF($B170=1,$D$18,IF(N(Vintage_Input!N119)&gt;0,Vintage_Input!F119/Vintage_Input!N119,""))</f>
        <v/>
      </c>
      <c r="G170" s="152">
        <f>IF($B170=1,$E$18,IF(N(Vintage_Input!O119)&gt;0,Vintage_Input!G119/Vintage_Input!O119,""))</f>
        <v/>
      </c>
      <c r="H170" s="152">
        <f>IF($B170=1,$F$18,IF(N(Vintage_Input!P119)&gt;0,Vintage_Input!H119/Vintage_Input!P119,""))</f>
        <v/>
      </c>
      <c r="I170" s="152">
        <f>IF($B170=1,$G$18,IF(N(Vintage_Input!Q119)&gt;0,Vintage_Input!I119/Vintage_Input!Q119,""))</f>
        <v/>
      </c>
      <c r="J170" s="152">
        <f>IF($B170=1,$H$18,IF(N(Vintage_Input!R119)&gt;0,Vintage_Input!J119/Vintage_Input!R119,""))</f>
        <v/>
      </c>
      <c r="K170" s="152">
        <f>IF($B170=1,$I$18,IF(N(Vintage_Input!S119)&gt;0,Vintage_Input!K119/Vintage_Input!S119,""))</f>
        <v/>
      </c>
      <c r="L170" s="152">
        <f>IF($B170=1,$B$19,IF(N(Vintage_Input!L119)&gt;0,Vintage_Input!T119/Vintage_Input!L119,""))</f>
        <v/>
      </c>
      <c r="M170" s="152">
        <f>IF($B170=1,$C$19,IF(N(Vintage_Input!M119)&gt;0,Vintage_Input!U119/Vintage_Input!M119,""))</f>
        <v/>
      </c>
      <c r="N170" s="152">
        <f>IF($B170=1,$D$19,IF(N(Vintage_Input!N119)&gt;0,Vintage_Input!V119/Vintage_Input!N119,""))</f>
        <v/>
      </c>
      <c r="O170" s="152">
        <f>IF($B170=1,$E$19,IF(N(Vintage_Input!O119)&gt;0,Vintage_Input!W119/Vintage_Input!O119,""))</f>
        <v/>
      </c>
      <c r="P170" s="152">
        <f>IF($B170=1,$F$19,IF(N(Vintage_Input!P119)&gt;0,Vintage_Input!X119/Vintage_Input!P119,""))</f>
        <v/>
      </c>
      <c r="Q170" s="152">
        <f>IF($B170=1,$G$19,IF(N(Vintage_Input!Q119)&gt;0,Vintage_Input!Y119/Vintage_Input!Q119,""))</f>
        <v/>
      </c>
      <c r="R170" s="152">
        <f>IF($B170=1,$H$19,IF(N(Vintage_Input!R119)&gt;0,Vintage_Input!Z119/Vintage_Input!R119,""))</f>
        <v/>
      </c>
      <c r="S170" s="152">
        <f>IF($B170=1,$I$19,IF(N(Vintage_Input!S119)&gt;0,Vintage_Input!AA119/Vintage_Input!S119,""))</f>
        <v/>
      </c>
      <c r="T170" s="152">
        <f>IF($B170=1,$B$20,IF(N(Vintage_Input!L119)&gt;0,Vintage_Input!AB119/Vintage_Input!L119,""))</f>
        <v/>
      </c>
      <c r="U170" s="152">
        <f>IF($B170=1,$C$20,IF(N(Vintage_Input!M119)&gt;0,Vintage_Input!AC119/Vintage_Input!M119,""))</f>
        <v/>
      </c>
      <c r="V170" s="152">
        <f>IF($B170=1,$D$20,IF(N(Vintage_Input!N119)&gt;0,Vintage_Input!AD119/Vintage_Input!N119,""))</f>
        <v/>
      </c>
      <c r="W170" s="152">
        <f>IF($B170=1,$E$20,IF(N(Vintage_Input!O119)&gt;0,Vintage_Input!AE119/Vintage_Input!O119,""))</f>
        <v/>
      </c>
      <c r="X170" s="152">
        <f>IF($B170=1,$F$20,IF(N(Vintage_Input!P119)&gt;0,Vintage_Input!AF119/Vintage_Input!P119,""))</f>
        <v/>
      </c>
      <c r="Y170" s="152">
        <f>IF($B170=1,$G$20,IF(N(Vintage_Input!Q119)&gt;0,Vintage_Input!AG119/Vintage_Input!Q119,""))</f>
        <v/>
      </c>
      <c r="Z170" s="152">
        <f>IF($B170=1,$H$20,IF(N(Vintage_Input!R119)&gt;0,Vintage_Input!AH119/Vintage_Input!R119,""))</f>
        <v/>
      </c>
      <c r="AA170" s="152">
        <f>IF($B170=1,$I$20,IF(N(Vintage_Input!S119)&gt;0,Vintage_Input!AI119/Vintage_Input!S119,""))</f>
        <v/>
      </c>
      <c r="AB170" s="152">
        <f>IF($B170=1,$B$21,IF(N(Vintage_Input!L119)&gt;0,Vintage_Input!AJ119/Vintage_Input!L119,""))</f>
        <v/>
      </c>
      <c r="AC170" s="152">
        <f>IF($B170=1,$C$21,IF(N(Vintage_Input!M119)&gt;0,Vintage_Input!AK119/Vintage_Input!M119,""))</f>
        <v/>
      </c>
      <c r="AD170" s="152">
        <f>IF($B170=1,$D$21,IF(N(Vintage_Input!N119)&gt;0,Vintage_Input!AL119/Vintage_Input!N119,""))</f>
        <v/>
      </c>
      <c r="AE170" s="152">
        <f>IF($B170=1,$E$21,IF(N(Vintage_Input!O119)&gt;0,Vintage_Input!AM119/Vintage_Input!O119,""))</f>
        <v/>
      </c>
      <c r="AF170" s="152">
        <f>IF($B170=1,$F$21,IF(N(Vintage_Input!P119)&gt;0,Vintage_Input!AN119/Vintage_Input!P119,""))</f>
        <v/>
      </c>
      <c r="AG170" s="152">
        <f>IF($B170=1,$G$21,IF(N(Vintage_Input!Q119)&gt;0,Vintage_Input!AO119/Vintage_Input!Q119,""))</f>
        <v/>
      </c>
      <c r="AH170" s="152">
        <f>IF($B170=1,$H$21,IF(N(Vintage_Input!R119)&gt;0,Vintage_Input!AP119/Vintage_Input!R119,""))</f>
        <v/>
      </c>
      <c r="AI170" s="152">
        <f>IF($B170=1,$I$21,IF(N(Vintage_Input!S119)&gt;0,Vintage_Input!AQ119/Vintage_Input!S119,""))</f>
        <v/>
      </c>
      <c r="AJ170" s="152">
        <f>IF($B170=1,$B$22,IF(N(Vintage_Input!L119)&gt;0,IFERROR(Vintage_Input!AR119/Vintage_Input!AJ119,""),""))</f>
        <v/>
      </c>
      <c r="AK170" s="152">
        <f>IF($B170=1,$C$22,IF(N(Vintage_Input!M119)&gt;0,IFERROR(Vintage_Input!AS119/Vintage_Input!AK119,""),""))</f>
        <v/>
      </c>
      <c r="AL170" s="152">
        <f>IF($B170=1,$D$22,IF(N(Vintage_Input!N119)&gt;0,IFERROR(Vintage_Input!AT119/Vintage_Input!AL119,""),""))</f>
        <v/>
      </c>
      <c r="AM170" s="152">
        <f>IF($B170=1,$E$22,IF(N(Vintage_Input!O119)&gt;0,IFERROR(Vintage_Input!AU119/Vintage_Input!AM119,""),""))</f>
        <v/>
      </c>
      <c r="AN170" s="152">
        <f>IF($B170=1,$F$22,IF(N(Vintage_Input!P119)&gt;0,IFERROR(Vintage_Input!AV119/Vintage_Input!AN119,""),""))</f>
        <v/>
      </c>
      <c r="AO170" s="152">
        <f>IF($B170=1,$G$22,IF(N(Vintage_Input!Q119)&gt;0,IFERROR(Vintage_Input!AW119/Vintage_Input!AO119,""),""))</f>
        <v/>
      </c>
      <c r="AP170" s="152">
        <f>IF($B170=1,$H$22,IF(N(Vintage_Input!R119)&gt;0,IFERROR(Vintage_Input!AX119/Vintage_Input!AP119,""),""))</f>
        <v/>
      </c>
      <c r="AQ170" s="152">
        <f>IF($B170=1,$I$22,IF(N(Vintage_Input!S119)&gt;0,IFERROR(Vintage_Input!AY119/Vintage_Input!AQ119,""),""))</f>
        <v/>
      </c>
      <c r="AR170" s="152">
        <f>IF($B170=1,$B$23,IF(N(Vintage_Input!L119)&gt;0,IFERROR(Vintage_Input!AZ119/$C170,""),""))</f>
        <v/>
      </c>
      <c r="AS170" s="152">
        <f>IF($B170=1,$C$23,IF(N(Vintage_Input!M119)&gt;0,IFERROR(Vintage_Input!BA119/$C170,""),""))</f>
        <v/>
      </c>
      <c r="AT170" s="152">
        <f>IF($B170=1,$D$23,IF(N(Vintage_Input!N119)&gt;0,IFERROR(Vintage_Input!BB119/$C170,""),""))</f>
        <v/>
      </c>
      <c r="AU170" s="152">
        <f>IF($B170=1,$E$23,IF(N(Vintage_Input!O119)&gt;0,IFERROR(Vintage_Input!BC119/$C170,""),""))</f>
        <v/>
      </c>
      <c r="AV170" s="152">
        <f>IF($B170=1,$F$23,IF(N(Vintage_Input!P119)&gt;0,IFERROR(Vintage_Input!BD119/$C170,""),""))</f>
        <v/>
      </c>
      <c r="AW170" s="152">
        <f>IF($B170=1,$G$23,IF(N(Vintage_Input!Q119)&gt;0,IFERROR(Vintage_Input!BE119/$C170,""),""))</f>
        <v/>
      </c>
      <c r="AX170" s="152">
        <f>IF($B170=1,$H$23,IF(N(Vintage_Input!R119)&gt;0,IFERROR(Vintage_Input!BF119/$C170,""),""))</f>
        <v/>
      </c>
      <c r="AY170" s="152">
        <f>IF($B170=1,$I$23,IF(N(Vintage_Input!S119)&gt;0,IFERROR(Vintage_Input!BG119/$C170,""),""))</f>
        <v/>
      </c>
      <c r="AZ170" s="153">
        <f>IF($B170=1,$B$24,IF(N(Vintage_Input!L119)&gt;0,IFERROR((Vintage_Input!D119+Vintage_Input!AR119)/$C170+Products!$D$14-(Products!$D$43+Products!$D$19+Products!$D$43*Products!$D$22+Products!$D$44),""),""))</f>
        <v/>
      </c>
      <c r="BA170" s="153">
        <f>IF($B170=1,$C$24,IF(N(Vintage_Input!M119)&gt;0,IFERROR((Vintage_Input!E119+Vintage_Input!AS119)/$C170+Products!$D$14-(Products!$D$43+Products!$D$19+Products!$D$43*Products!$D$22+Products!$D$44),""),""))</f>
        <v/>
      </c>
      <c r="BB170" s="153">
        <f>IF($B170=1,$D$24,IF(N(Vintage_Input!N119)&gt;0,IFERROR((Vintage_Input!F119+Vintage_Input!AT119)/$C170+Products!$D$14-(Products!$D$43+Products!$D$19+Products!$D$43*Products!$D$22+Products!$D$44),""),""))</f>
        <v/>
      </c>
      <c r="BC170" s="153">
        <f>IF($B170=1,$E$24,IF(N(Vintage_Input!O119)&gt;0,IFERROR((Vintage_Input!G119+Vintage_Input!AU119)/$C170+Products!$D$14-(Products!$D$43+Products!$D$19+Products!$D$43*Products!$D$22+Products!$D$44),""),""))</f>
        <v/>
      </c>
      <c r="BD170" s="153">
        <f>IF($B170=1,$F$24,IF(N(Vintage_Input!P119)&gt;0,IFERROR((Vintage_Input!H119+Vintage_Input!AV119)/$C170+Products!$D$14-(Products!$D$43+Products!$D$19+Products!$D$43*Products!$D$22+Products!$D$44),""),""))</f>
        <v/>
      </c>
      <c r="BE170" s="153">
        <f>IF($B170=1,$G$24,IF(N(Vintage_Input!Q119)&gt;0,IFERROR((Vintage_Input!I119+Vintage_Input!AW119)/$C170+Products!$D$14-(Products!$D$43+Products!$D$19+Products!$D$43*Products!$D$22+Products!$D$44),""),""))</f>
        <v/>
      </c>
      <c r="BF170" s="153">
        <f>IF($B170=1,$H$24,IF(N(Vintage_Input!R119)&gt;0,IFERROR((Vintage_Input!J119+Vintage_Input!AX119)/$C170+Products!$D$14-(Products!$D$43+Products!$D$19+Products!$D$43*Products!$D$22+Products!$D$44),""),""))</f>
        <v/>
      </c>
      <c r="BG170" s="153">
        <f>IF($B170=1,$I$24,IF(N(Vintage_Input!S119)&gt;0,IFERROR((Vintage_Input!K119+Vintage_Input!AY119)/$C170+Products!$D$14-(Products!$D$43+Products!$D$19+Products!$D$43*Products!$D$22+Products!$D$44),""),""))</f>
        <v/>
      </c>
      <c r="BH170" s="81">
        <f>IF($B170=1,0,IF(Vintage_Input!$BH$119="","",Vintage_Input!$BH$119))</f>
        <v/>
      </c>
    </row>
    <row r="171">
      <c r="A171" s="23" t="n">
        <v>47</v>
      </c>
      <c r="B171" s="48">
        <f>Vintage_Input!$B$120</f>
        <v/>
      </c>
      <c r="C171" s="41">
        <f>IF(Vintage_Input!$C$120="",0,Vintage_Input!$C$120)</f>
        <v/>
      </c>
      <c r="D171" s="152">
        <f>IF($B171=1,$B$18,IF(N(Vintage_Input!L120)&gt;0,Vintage_Input!D120/Vintage_Input!L120,""))</f>
        <v/>
      </c>
      <c r="E171" s="152">
        <f>IF($B171=1,$C$18,IF(N(Vintage_Input!M120)&gt;0,Vintage_Input!E120/Vintage_Input!M120,""))</f>
        <v/>
      </c>
      <c r="F171" s="152">
        <f>IF($B171=1,$D$18,IF(N(Vintage_Input!N120)&gt;0,Vintage_Input!F120/Vintage_Input!N120,""))</f>
        <v/>
      </c>
      <c r="G171" s="152">
        <f>IF($B171=1,$E$18,IF(N(Vintage_Input!O120)&gt;0,Vintage_Input!G120/Vintage_Input!O120,""))</f>
        <v/>
      </c>
      <c r="H171" s="152">
        <f>IF($B171=1,$F$18,IF(N(Vintage_Input!P120)&gt;0,Vintage_Input!H120/Vintage_Input!P120,""))</f>
        <v/>
      </c>
      <c r="I171" s="152">
        <f>IF($B171=1,$G$18,IF(N(Vintage_Input!Q120)&gt;0,Vintage_Input!I120/Vintage_Input!Q120,""))</f>
        <v/>
      </c>
      <c r="J171" s="152">
        <f>IF($B171=1,$H$18,IF(N(Vintage_Input!R120)&gt;0,Vintage_Input!J120/Vintage_Input!R120,""))</f>
        <v/>
      </c>
      <c r="K171" s="152">
        <f>IF($B171=1,$I$18,IF(N(Vintage_Input!S120)&gt;0,Vintage_Input!K120/Vintage_Input!S120,""))</f>
        <v/>
      </c>
      <c r="L171" s="152">
        <f>IF($B171=1,$B$19,IF(N(Vintage_Input!L120)&gt;0,Vintage_Input!T120/Vintage_Input!L120,""))</f>
        <v/>
      </c>
      <c r="M171" s="152">
        <f>IF($B171=1,$C$19,IF(N(Vintage_Input!M120)&gt;0,Vintage_Input!U120/Vintage_Input!M120,""))</f>
        <v/>
      </c>
      <c r="N171" s="152">
        <f>IF($B171=1,$D$19,IF(N(Vintage_Input!N120)&gt;0,Vintage_Input!V120/Vintage_Input!N120,""))</f>
        <v/>
      </c>
      <c r="O171" s="152">
        <f>IF($B171=1,$E$19,IF(N(Vintage_Input!O120)&gt;0,Vintage_Input!W120/Vintage_Input!O120,""))</f>
        <v/>
      </c>
      <c r="P171" s="152">
        <f>IF($B171=1,$F$19,IF(N(Vintage_Input!P120)&gt;0,Vintage_Input!X120/Vintage_Input!P120,""))</f>
        <v/>
      </c>
      <c r="Q171" s="152">
        <f>IF($B171=1,$G$19,IF(N(Vintage_Input!Q120)&gt;0,Vintage_Input!Y120/Vintage_Input!Q120,""))</f>
        <v/>
      </c>
      <c r="R171" s="152">
        <f>IF($B171=1,$H$19,IF(N(Vintage_Input!R120)&gt;0,Vintage_Input!Z120/Vintage_Input!R120,""))</f>
        <v/>
      </c>
      <c r="S171" s="152">
        <f>IF($B171=1,$I$19,IF(N(Vintage_Input!S120)&gt;0,Vintage_Input!AA120/Vintage_Input!S120,""))</f>
        <v/>
      </c>
      <c r="T171" s="152">
        <f>IF($B171=1,$B$20,IF(N(Vintage_Input!L120)&gt;0,Vintage_Input!AB120/Vintage_Input!L120,""))</f>
        <v/>
      </c>
      <c r="U171" s="152">
        <f>IF($B171=1,$C$20,IF(N(Vintage_Input!M120)&gt;0,Vintage_Input!AC120/Vintage_Input!M120,""))</f>
        <v/>
      </c>
      <c r="V171" s="152">
        <f>IF($B171=1,$D$20,IF(N(Vintage_Input!N120)&gt;0,Vintage_Input!AD120/Vintage_Input!N120,""))</f>
        <v/>
      </c>
      <c r="W171" s="152">
        <f>IF($B171=1,$E$20,IF(N(Vintage_Input!O120)&gt;0,Vintage_Input!AE120/Vintage_Input!O120,""))</f>
        <v/>
      </c>
      <c r="X171" s="152">
        <f>IF($B171=1,$F$20,IF(N(Vintage_Input!P120)&gt;0,Vintage_Input!AF120/Vintage_Input!P120,""))</f>
        <v/>
      </c>
      <c r="Y171" s="152">
        <f>IF($B171=1,$G$20,IF(N(Vintage_Input!Q120)&gt;0,Vintage_Input!AG120/Vintage_Input!Q120,""))</f>
        <v/>
      </c>
      <c r="Z171" s="152">
        <f>IF($B171=1,$H$20,IF(N(Vintage_Input!R120)&gt;0,Vintage_Input!AH120/Vintage_Input!R120,""))</f>
        <v/>
      </c>
      <c r="AA171" s="152">
        <f>IF($B171=1,$I$20,IF(N(Vintage_Input!S120)&gt;0,Vintage_Input!AI120/Vintage_Input!S120,""))</f>
        <v/>
      </c>
      <c r="AB171" s="152">
        <f>IF($B171=1,$B$21,IF(N(Vintage_Input!L120)&gt;0,Vintage_Input!AJ120/Vintage_Input!L120,""))</f>
        <v/>
      </c>
      <c r="AC171" s="152">
        <f>IF($B171=1,$C$21,IF(N(Vintage_Input!M120)&gt;0,Vintage_Input!AK120/Vintage_Input!M120,""))</f>
        <v/>
      </c>
      <c r="AD171" s="152">
        <f>IF($B171=1,$D$21,IF(N(Vintage_Input!N120)&gt;0,Vintage_Input!AL120/Vintage_Input!N120,""))</f>
        <v/>
      </c>
      <c r="AE171" s="152">
        <f>IF($B171=1,$E$21,IF(N(Vintage_Input!O120)&gt;0,Vintage_Input!AM120/Vintage_Input!O120,""))</f>
        <v/>
      </c>
      <c r="AF171" s="152">
        <f>IF($B171=1,$F$21,IF(N(Vintage_Input!P120)&gt;0,Vintage_Input!AN120/Vintage_Input!P120,""))</f>
        <v/>
      </c>
      <c r="AG171" s="152">
        <f>IF($B171=1,$G$21,IF(N(Vintage_Input!Q120)&gt;0,Vintage_Input!AO120/Vintage_Input!Q120,""))</f>
        <v/>
      </c>
      <c r="AH171" s="152">
        <f>IF($B171=1,$H$21,IF(N(Vintage_Input!R120)&gt;0,Vintage_Input!AP120/Vintage_Input!R120,""))</f>
        <v/>
      </c>
      <c r="AI171" s="152">
        <f>IF($B171=1,$I$21,IF(N(Vintage_Input!S120)&gt;0,Vintage_Input!AQ120/Vintage_Input!S120,""))</f>
        <v/>
      </c>
      <c r="AJ171" s="152">
        <f>IF($B171=1,$B$22,IF(N(Vintage_Input!L120)&gt;0,IFERROR(Vintage_Input!AR120/Vintage_Input!AJ120,""),""))</f>
        <v/>
      </c>
      <c r="AK171" s="152">
        <f>IF($B171=1,$C$22,IF(N(Vintage_Input!M120)&gt;0,IFERROR(Vintage_Input!AS120/Vintage_Input!AK120,""),""))</f>
        <v/>
      </c>
      <c r="AL171" s="152">
        <f>IF($B171=1,$D$22,IF(N(Vintage_Input!N120)&gt;0,IFERROR(Vintage_Input!AT120/Vintage_Input!AL120,""),""))</f>
        <v/>
      </c>
      <c r="AM171" s="152">
        <f>IF($B171=1,$E$22,IF(N(Vintage_Input!O120)&gt;0,IFERROR(Vintage_Input!AU120/Vintage_Input!AM120,""),""))</f>
        <v/>
      </c>
      <c r="AN171" s="152">
        <f>IF($B171=1,$F$22,IF(N(Vintage_Input!P120)&gt;0,IFERROR(Vintage_Input!AV120/Vintage_Input!AN120,""),""))</f>
        <v/>
      </c>
      <c r="AO171" s="152">
        <f>IF($B171=1,$G$22,IF(N(Vintage_Input!Q120)&gt;0,IFERROR(Vintage_Input!AW120/Vintage_Input!AO120,""),""))</f>
        <v/>
      </c>
      <c r="AP171" s="152">
        <f>IF($B171=1,$H$22,IF(N(Vintage_Input!R120)&gt;0,IFERROR(Vintage_Input!AX120/Vintage_Input!AP120,""),""))</f>
        <v/>
      </c>
      <c r="AQ171" s="152">
        <f>IF($B171=1,$I$22,IF(N(Vintage_Input!S120)&gt;0,IFERROR(Vintage_Input!AY120/Vintage_Input!AQ120,""),""))</f>
        <v/>
      </c>
      <c r="AR171" s="152">
        <f>IF($B171=1,$B$23,IF(N(Vintage_Input!L120)&gt;0,IFERROR(Vintage_Input!AZ120/$C171,""),""))</f>
        <v/>
      </c>
      <c r="AS171" s="152">
        <f>IF($B171=1,$C$23,IF(N(Vintage_Input!M120)&gt;0,IFERROR(Vintage_Input!BA120/$C171,""),""))</f>
        <v/>
      </c>
      <c r="AT171" s="152">
        <f>IF($B171=1,$D$23,IF(N(Vintage_Input!N120)&gt;0,IFERROR(Vintage_Input!BB120/$C171,""),""))</f>
        <v/>
      </c>
      <c r="AU171" s="152">
        <f>IF($B171=1,$E$23,IF(N(Vintage_Input!O120)&gt;0,IFERROR(Vintage_Input!BC120/$C171,""),""))</f>
        <v/>
      </c>
      <c r="AV171" s="152">
        <f>IF($B171=1,$F$23,IF(N(Vintage_Input!P120)&gt;0,IFERROR(Vintage_Input!BD120/$C171,""),""))</f>
        <v/>
      </c>
      <c r="AW171" s="152">
        <f>IF($B171=1,$G$23,IF(N(Vintage_Input!Q120)&gt;0,IFERROR(Vintage_Input!BE120/$C171,""),""))</f>
        <v/>
      </c>
      <c r="AX171" s="152">
        <f>IF($B171=1,$H$23,IF(N(Vintage_Input!R120)&gt;0,IFERROR(Vintage_Input!BF120/$C171,""),""))</f>
        <v/>
      </c>
      <c r="AY171" s="152">
        <f>IF($B171=1,$I$23,IF(N(Vintage_Input!S120)&gt;0,IFERROR(Vintage_Input!BG120/$C171,""),""))</f>
        <v/>
      </c>
      <c r="AZ171" s="153">
        <f>IF($B171=1,$B$24,IF(N(Vintage_Input!L120)&gt;0,IFERROR((Vintage_Input!D120+Vintage_Input!AR120)/$C171+Products!$D$14-(Products!$D$43+Products!$D$19+Products!$D$43*Products!$D$22+Products!$D$44),""),""))</f>
        <v/>
      </c>
      <c r="BA171" s="153">
        <f>IF($B171=1,$C$24,IF(N(Vintage_Input!M120)&gt;0,IFERROR((Vintage_Input!E120+Vintage_Input!AS120)/$C171+Products!$D$14-(Products!$D$43+Products!$D$19+Products!$D$43*Products!$D$22+Products!$D$44),""),""))</f>
        <v/>
      </c>
      <c r="BB171" s="153">
        <f>IF($B171=1,$D$24,IF(N(Vintage_Input!N120)&gt;0,IFERROR((Vintage_Input!F120+Vintage_Input!AT120)/$C171+Products!$D$14-(Products!$D$43+Products!$D$19+Products!$D$43*Products!$D$22+Products!$D$44),""),""))</f>
        <v/>
      </c>
      <c r="BC171" s="153">
        <f>IF($B171=1,$E$24,IF(N(Vintage_Input!O120)&gt;0,IFERROR((Vintage_Input!G120+Vintage_Input!AU120)/$C171+Products!$D$14-(Products!$D$43+Products!$D$19+Products!$D$43*Products!$D$22+Products!$D$44),""),""))</f>
        <v/>
      </c>
      <c r="BD171" s="153">
        <f>IF($B171=1,$F$24,IF(N(Vintage_Input!P120)&gt;0,IFERROR((Vintage_Input!H120+Vintage_Input!AV120)/$C171+Products!$D$14-(Products!$D$43+Products!$D$19+Products!$D$43*Products!$D$22+Products!$D$44),""),""))</f>
        <v/>
      </c>
      <c r="BE171" s="153">
        <f>IF($B171=1,$G$24,IF(N(Vintage_Input!Q120)&gt;0,IFERROR((Vintage_Input!I120+Vintage_Input!AW120)/$C171+Products!$D$14-(Products!$D$43+Products!$D$19+Products!$D$43*Products!$D$22+Products!$D$44),""),""))</f>
        <v/>
      </c>
      <c r="BF171" s="153">
        <f>IF($B171=1,$H$24,IF(N(Vintage_Input!R120)&gt;0,IFERROR((Vintage_Input!J120+Vintage_Input!AX120)/$C171+Products!$D$14-(Products!$D$43+Products!$D$19+Products!$D$43*Products!$D$22+Products!$D$44),""),""))</f>
        <v/>
      </c>
      <c r="BG171" s="153">
        <f>IF($B171=1,$I$24,IF(N(Vintage_Input!S120)&gt;0,IFERROR((Vintage_Input!K120+Vintage_Input!AY120)/$C171+Products!$D$14-(Products!$D$43+Products!$D$19+Products!$D$43*Products!$D$22+Products!$D$44),""),""))</f>
        <v/>
      </c>
      <c r="BH171" s="81">
        <f>IF($B171=1,0,IF(Vintage_Input!$BH$120="","",Vintage_Input!$BH$120))</f>
        <v/>
      </c>
    </row>
    <row r="172">
      <c r="A172" s="23" t="n">
        <v>48</v>
      </c>
      <c r="B172" s="48">
        <f>Vintage_Input!$B$121</f>
        <v/>
      </c>
      <c r="C172" s="41">
        <f>IF(Vintage_Input!$C$121="",0,Vintage_Input!$C$121)</f>
        <v/>
      </c>
      <c r="D172" s="152">
        <f>IF($B172=1,$B$18,IF(N(Vintage_Input!L121)&gt;0,Vintage_Input!D121/Vintage_Input!L121,""))</f>
        <v/>
      </c>
      <c r="E172" s="152">
        <f>IF($B172=1,$C$18,IF(N(Vintage_Input!M121)&gt;0,Vintage_Input!E121/Vintage_Input!M121,""))</f>
        <v/>
      </c>
      <c r="F172" s="152">
        <f>IF($B172=1,$D$18,IF(N(Vintage_Input!N121)&gt;0,Vintage_Input!F121/Vintage_Input!N121,""))</f>
        <v/>
      </c>
      <c r="G172" s="152">
        <f>IF($B172=1,$E$18,IF(N(Vintage_Input!O121)&gt;0,Vintage_Input!G121/Vintage_Input!O121,""))</f>
        <v/>
      </c>
      <c r="H172" s="152">
        <f>IF($B172=1,$F$18,IF(N(Vintage_Input!P121)&gt;0,Vintage_Input!H121/Vintage_Input!P121,""))</f>
        <v/>
      </c>
      <c r="I172" s="152">
        <f>IF($B172=1,$G$18,IF(N(Vintage_Input!Q121)&gt;0,Vintage_Input!I121/Vintage_Input!Q121,""))</f>
        <v/>
      </c>
      <c r="J172" s="152">
        <f>IF($B172=1,$H$18,IF(N(Vintage_Input!R121)&gt;0,Vintage_Input!J121/Vintage_Input!R121,""))</f>
        <v/>
      </c>
      <c r="K172" s="152">
        <f>IF($B172=1,$I$18,IF(N(Vintage_Input!S121)&gt;0,Vintage_Input!K121/Vintage_Input!S121,""))</f>
        <v/>
      </c>
      <c r="L172" s="152">
        <f>IF($B172=1,$B$19,IF(N(Vintage_Input!L121)&gt;0,Vintage_Input!T121/Vintage_Input!L121,""))</f>
        <v/>
      </c>
      <c r="M172" s="152">
        <f>IF($B172=1,$C$19,IF(N(Vintage_Input!M121)&gt;0,Vintage_Input!U121/Vintage_Input!M121,""))</f>
        <v/>
      </c>
      <c r="N172" s="152">
        <f>IF($B172=1,$D$19,IF(N(Vintage_Input!N121)&gt;0,Vintage_Input!V121/Vintage_Input!N121,""))</f>
        <v/>
      </c>
      <c r="O172" s="152">
        <f>IF($B172=1,$E$19,IF(N(Vintage_Input!O121)&gt;0,Vintage_Input!W121/Vintage_Input!O121,""))</f>
        <v/>
      </c>
      <c r="P172" s="152">
        <f>IF($B172=1,$F$19,IF(N(Vintage_Input!P121)&gt;0,Vintage_Input!X121/Vintage_Input!P121,""))</f>
        <v/>
      </c>
      <c r="Q172" s="152">
        <f>IF($B172=1,$G$19,IF(N(Vintage_Input!Q121)&gt;0,Vintage_Input!Y121/Vintage_Input!Q121,""))</f>
        <v/>
      </c>
      <c r="R172" s="152">
        <f>IF($B172=1,$H$19,IF(N(Vintage_Input!R121)&gt;0,Vintage_Input!Z121/Vintage_Input!R121,""))</f>
        <v/>
      </c>
      <c r="S172" s="152">
        <f>IF($B172=1,$I$19,IF(N(Vintage_Input!S121)&gt;0,Vintage_Input!AA121/Vintage_Input!S121,""))</f>
        <v/>
      </c>
      <c r="T172" s="152">
        <f>IF($B172=1,$B$20,IF(N(Vintage_Input!L121)&gt;0,Vintage_Input!AB121/Vintage_Input!L121,""))</f>
        <v/>
      </c>
      <c r="U172" s="152">
        <f>IF($B172=1,$C$20,IF(N(Vintage_Input!M121)&gt;0,Vintage_Input!AC121/Vintage_Input!M121,""))</f>
        <v/>
      </c>
      <c r="V172" s="152">
        <f>IF($B172=1,$D$20,IF(N(Vintage_Input!N121)&gt;0,Vintage_Input!AD121/Vintage_Input!N121,""))</f>
        <v/>
      </c>
      <c r="W172" s="152">
        <f>IF($B172=1,$E$20,IF(N(Vintage_Input!O121)&gt;0,Vintage_Input!AE121/Vintage_Input!O121,""))</f>
        <v/>
      </c>
      <c r="X172" s="152">
        <f>IF($B172=1,$F$20,IF(N(Vintage_Input!P121)&gt;0,Vintage_Input!AF121/Vintage_Input!P121,""))</f>
        <v/>
      </c>
      <c r="Y172" s="152">
        <f>IF($B172=1,$G$20,IF(N(Vintage_Input!Q121)&gt;0,Vintage_Input!AG121/Vintage_Input!Q121,""))</f>
        <v/>
      </c>
      <c r="Z172" s="152">
        <f>IF($B172=1,$H$20,IF(N(Vintage_Input!R121)&gt;0,Vintage_Input!AH121/Vintage_Input!R121,""))</f>
        <v/>
      </c>
      <c r="AA172" s="152">
        <f>IF($B172=1,$I$20,IF(N(Vintage_Input!S121)&gt;0,Vintage_Input!AI121/Vintage_Input!S121,""))</f>
        <v/>
      </c>
      <c r="AB172" s="152">
        <f>IF($B172=1,$B$21,IF(N(Vintage_Input!L121)&gt;0,Vintage_Input!AJ121/Vintage_Input!L121,""))</f>
        <v/>
      </c>
      <c r="AC172" s="152">
        <f>IF($B172=1,$C$21,IF(N(Vintage_Input!M121)&gt;0,Vintage_Input!AK121/Vintage_Input!M121,""))</f>
        <v/>
      </c>
      <c r="AD172" s="152">
        <f>IF($B172=1,$D$21,IF(N(Vintage_Input!N121)&gt;0,Vintage_Input!AL121/Vintage_Input!N121,""))</f>
        <v/>
      </c>
      <c r="AE172" s="152">
        <f>IF($B172=1,$E$21,IF(N(Vintage_Input!O121)&gt;0,Vintage_Input!AM121/Vintage_Input!O121,""))</f>
        <v/>
      </c>
      <c r="AF172" s="152">
        <f>IF($B172=1,$F$21,IF(N(Vintage_Input!P121)&gt;0,Vintage_Input!AN121/Vintage_Input!P121,""))</f>
        <v/>
      </c>
      <c r="AG172" s="152">
        <f>IF($B172=1,$G$21,IF(N(Vintage_Input!Q121)&gt;0,Vintage_Input!AO121/Vintage_Input!Q121,""))</f>
        <v/>
      </c>
      <c r="AH172" s="152">
        <f>IF($B172=1,$H$21,IF(N(Vintage_Input!R121)&gt;0,Vintage_Input!AP121/Vintage_Input!R121,""))</f>
        <v/>
      </c>
      <c r="AI172" s="152">
        <f>IF($B172=1,$I$21,IF(N(Vintage_Input!S121)&gt;0,Vintage_Input!AQ121/Vintage_Input!S121,""))</f>
        <v/>
      </c>
      <c r="AJ172" s="152">
        <f>IF($B172=1,$B$22,IF(N(Vintage_Input!L121)&gt;0,IFERROR(Vintage_Input!AR121/Vintage_Input!AJ121,""),""))</f>
        <v/>
      </c>
      <c r="AK172" s="152">
        <f>IF($B172=1,$C$22,IF(N(Vintage_Input!M121)&gt;0,IFERROR(Vintage_Input!AS121/Vintage_Input!AK121,""),""))</f>
        <v/>
      </c>
      <c r="AL172" s="152">
        <f>IF($B172=1,$D$22,IF(N(Vintage_Input!N121)&gt;0,IFERROR(Vintage_Input!AT121/Vintage_Input!AL121,""),""))</f>
        <v/>
      </c>
      <c r="AM172" s="152">
        <f>IF($B172=1,$E$22,IF(N(Vintage_Input!O121)&gt;0,IFERROR(Vintage_Input!AU121/Vintage_Input!AM121,""),""))</f>
        <v/>
      </c>
      <c r="AN172" s="152">
        <f>IF($B172=1,$F$22,IF(N(Vintage_Input!P121)&gt;0,IFERROR(Vintage_Input!AV121/Vintage_Input!AN121,""),""))</f>
        <v/>
      </c>
      <c r="AO172" s="152">
        <f>IF($B172=1,$G$22,IF(N(Vintage_Input!Q121)&gt;0,IFERROR(Vintage_Input!AW121/Vintage_Input!AO121,""),""))</f>
        <v/>
      </c>
      <c r="AP172" s="152">
        <f>IF($B172=1,$H$22,IF(N(Vintage_Input!R121)&gt;0,IFERROR(Vintage_Input!AX121/Vintage_Input!AP121,""),""))</f>
        <v/>
      </c>
      <c r="AQ172" s="152">
        <f>IF($B172=1,$I$22,IF(N(Vintage_Input!S121)&gt;0,IFERROR(Vintage_Input!AY121/Vintage_Input!AQ121,""),""))</f>
        <v/>
      </c>
      <c r="AR172" s="152">
        <f>IF($B172=1,$B$23,IF(N(Vintage_Input!L121)&gt;0,IFERROR(Vintage_Input!AZ121/$C172,""),""))</f>
        <v/>
      </c>
      <c r="AS172" s="152">
        <f>IF($B172=1,$C$23,IF(N(Vintage_Input!M121)&gt;0,IFERROR(Vintage_Input!BA121/$C172,""),""))</f>
        <v/>
      </c>
      <c r="AT172" s="152">
        <f>IF($B172=1,$D$23,IF(N(Vintage_Input!N121)&gt;0,IFERROR(Vintage_Input!BB121/$C172,""),""))</f>
        <v/>
      </c>
      <c r="AU172" s="152">
        <f>IF($B172=1,$E$23,IF(N(Vintage_Input!O121)&gt;0,IFERROR(Vintage_Input!BC121/$C172,""),""))</f>
        <v/>
      </c>
      <c r="AV172" s="152">
        <f>IF($B172=1,$F$23,IF(N(Vintage_Input!P121)&gt;0,IFERROR(Vintage_Input!BD121/$C172,""),""))</f>
        <v/>
      </c>
      <c r="AW172" s="152">
        <f>IF($B172=1,$G$23,IF(N(Vintage_Input!Q121)&gt;0,IFERROR(Vintage_Input!BE121/$C172,""),""))</f>
        <v/>
      </c>
      <c r="AX172" s="152">
        <f>IF($B172=1,$H$23,IF(N(Vintage_Input!R121)&gt;0,IFERROR(Vintage_Input!BF121/$C172,""),""))</f>
        <v/>
      </c>
      <c r="AY172" s="152">
        <f>IF($B172=1,$I$23,IF(N(Vintage_Input!S121)&gt;0,IFERROR(Vintage_Input!BG121/$C172,""),""))</f>
        <v/>
      </c>
      <c r="AZ172" s="153">
        <f>IF($B172=1,$B$24,IF(N(Vintage_Input!L121)&gt;0,IFERROR((Vintage_Input!D121+Vintage_Input!AR121)/$C172+Products!$D$14-(Products!$D$43+Products!$D$19+Products!$D$43*Products!$D$22+Products!$D$44),""),""))</f>
        <v/>
      </c>
      <c r="BA172" s="153">
        <f>IF($B172=1,$C$24,IF(N(Vintage_Input!M121)&gt;0,IFERROR((Vintage_Input!E121+Vintage_Input!AS121)/$C172+Products!$D$14-(Products!$D$43+Products!$D$19+Products!$D$43*Products!$D$22+Products!$D$44),""),""))</f>
        <v/>
      </c>
      <c r="BB172" s="153">
        <f>IF($B172=1,$D$24,IF(N(Vintage_Input!N121)&gt;0,IFERROR((Vintage_Input!F121+Vintage_Input!AT121)/$C172+Products!$D$14-(Products!$D$43+Products!$D$19+Products!$D$43*Products!$D$22+Products!$D$44),""),""))</f>
        <v/>
      </c>
      <c r="BC172" s="153">
        <f>IF($B172=1,$E$24,IF(N(Vintage_Input!O121)&gt;0,IFERROR((Vintage_Input!G121+Vintage_Input!AU121)/$C172+Products!$D$14-(Products!$D$43+Products!$D$19+Products!$D$43*Products!$D$22+Products!$D$44),""),""))</f>
        <v/>
      </c>
      <c r="BD172" s="153">
        <f>IF($B172=1,$F$24,IF(N(Vintage_Input!P121)&gt;0,IFERROR((Vintage_Input!H121+Vintage_Input!AV121)/$C172+Products!$D$14-(Products!$D$43+Products!$D$19+Products!$D$43*Products!$D$22+Products!$D$44),""),""))</f>
        <v/>
      </c>
      <c r="BE172" s="153">
        <f>IF($B172=1,$G$24,IF(N(Vintage_Input!Q121)&gt;0,IFERROR((Vintage_Input!I121+Vintage_Input!AW121)/$C172+Products!$D$14-(Products!$D$43+Products!$D$19+Products!$D$43*Products!$D$22+Products!$D$44),""),""))</f>
        <v/>
      </c>
      <c r="BF172" s="153">
        <f>IF($B172=1,$H$24,IF(N(Vintage_Input!R121)&gt;0,IFERROR((Vintage_Input!J121+Vintage_Input!AX121)/$C172+Products!$D$14-(Products!$D$43+Products!$D$19+Products!$D$43*Products!$D$22+Products!$D$44),""),""))</f>
        <v/>
      </c>
      <c r="BG172" s="153">
        <f>IF($B172=1,$I$24,IF(N(Vintage_Input!S121)&gt;0,IFERROR((Vintage_Input!K121+Vintage_Input!AY121)/$C172+Products!$D$14-(Products!$D$43+Products!$D$19+Products!$D$43*Products!$D$22+Products!$D$44),""),""))</f>
        <v/>
      </c>
      <c r="BH172" s="81">
        <f>IF($B172=1,0,IF(Vintage_Input!$BH$121="","",Vintage_Input!$BH$121))</f>
        <v/>
      </c>
    </row>
    <row r="173">
      <c r="A173" s="23" t="n">
        <v>49</v>
      </c>
      <c r="B173" s="48">
        <f>Vintage_Input!$B$122</f>
        <v/>
      </c>
      <c r="C173" s="41">
        <f>IF(Vintage_Input!$C$122="",0,Vintage_Input!$C$122)</f>
        <v/>
      </c>
      <c r="D173" s="152">
        <f>IF($B173=1,$B$18,IF(N(Vintage_Input!L122)&gt;0,Vintage_Input!D122/Vintage_Input!L122,""))</f>
        <v/>
      </c>
      <c r="E173" s="152">
        <f>IF($B173=1,$C$18,IF(N(Vintage_Input!M122)&gt;0,Vintage_Input!E122/Vintage_Input!M122,""))</f>
        <v/>
      </c>
      <c r="F173" s="152">
        <f>IF($B173=1,$D$18,IF(N(Vintage_Input!N122)&gt;0,Vintage_Input!F122/Vintage_Input!N122,""))</f>
        <v/>
      </c>
      <c r="G173" s="152">
        <f>IF($B173=1,$E$18,IF(N(Vintage_Input!O122)&gt;0,Vintage_Input!G122/Vintage_Input!O122,""))</f>
        <v/>
      </c>
      <c r="H173" s="152">
        <f>IF($B173=1,$F$18,IF(N(Vintage_Input!P122)&gt;0,Vintage_Input!H122/Vintage_Input!P122,""))</f>
        <v/>
      </c>
      <c r="I173" s="152">
        <f>IF($B173=1,$G$18,IF(N(Vintage_Input!Q122)&gt;0,Vintage_Input!I122/Vintage_Input!Q122,""))</f>
        <v/>
      </c>
      <c r="J173" s="152">
        <f>IF($B173=1,$H$18,IF(N(Vintage_Input!R122)&gt;0,Vintage_Input!J122/Vintage_Input!R122,""))</f>
        <v/>
      </c>
      <c r="K173" s="152">
        <f>IF($B173=1,$I$18,IF(N(Vintage_Input!S122)&gt;0,Vintage_Input!K122/Vintage_Input!S122,""))</f>
        <v/>
      </c>
      <c r="L173" s="152">
        <f>IF($B173=1,$B$19,IF(N(Vintage_Input!L122)&gt;0,Vintage_Input!T122/Vintage_Input!L122,""))</f>
        <v/>
      </c>
      <c r="M173" s="152">
        <f>IF($B173=1,$C$19,IF(N(Vintage_Input!M122)&gt;0,Vintage_Input!U122/Vintage_Input!M122,""))</f>
        <v/>
      </c>
      <c r="N173" s="152">
        <f>IF($B173=1,$D$19,IF(N(Vintage_Input!N122)&gt;0,Vintage_Input!V122/Vintage_Input!N122,""))</f>
        <v/>
      </c>
      <c r="O173" s="152">
        <f>IF($B173=1,$E$19,IF(N(Vintage_Input!O122)&gt;0,Vintage_Input!W122/Vintage_Input!O122,""))</f>
        <v/>
      </c>
      <c r="P173" s="152">
        <f>IF($B173=1,$F$19,IF(N(Vintage_Input!P122)&gt;0,Vintage_Input!X122/Vintage_Input!P122,""))</f>
        <v/>
      </c>
      <c r="Q173" s="152">
        <f>IF($B173=1,$G$19,IF(N(Vintage_Input!Q122)&gt;0,Vintage_Input!Y122/Vintage_Input!Q122,""))</f>
        <v/>
      </c>
      <c r="R173" s="152">
        <f>IF($B173=1,$H$19,IF(N(Vintage_Input!R122)&gt;0,Vintage_Input!Z122/Vintage_Input!R122,""))</f>
        <v/>
      </c>
      <c r="S173" s="152">
        <f>IF($B173=1,$I$19,IF(N(Vintage_Input!S122)&gt;0,Vintage_Input!AA122/Vintage_Input!S122,""))</f>
        <v/>
      </c>
      <c r="T173" s="152">
        <f>IF($B173=1,$B$20,IF(N(Vintage_Input!L122)&gt;0,Vintage_Input!AB122/Vintage_Input!L122,""))</f>
        <v/>
      </c>
      <c r="U173" s="152">
        <f>IF($B173=1,$C$20,IF(N(Vintage_Input!M122)&gt;0,Vintage_Input!AC122/Vintage_Input!M122,""))</f>
        <v/>
      </c>
      <c r="V173" s="152">
        <f>IF($B173=1,$D$20,IF(N(Vintage_Input!N122)&gt;0,Vintage_Input!AD122/Vintage_Input!N122,""))</f>
        <v/>
      </c>
      <c r="W173" s="152">
        <f>IF($B173=1,$E$20,IF(N(Vintage_Input!O122)&gt;0,Vintage_Input!AE122/Vintage_Input!O122,""))</f>
        <v/>
      </c>
      <c r="X173" s="152">
        <f>IF($B173=1,$F$20,IF(N(Vintage_Input!P122)&gt;0,Vintage_Input!AF122/Vintage_Input!P122,""))</f>
        <v/>
      </c>
      <c r="Y173" s="152">
        <f>IF($B173=1,$G$20,IF(N(Vintage_Input!Q122)&gt;0,Vintage_Input!AG122/Vintage_Input!Q122,""))</f>
        <v/>
      </c>
      <c r="Z173" s="152">
        <f>IF($B173=1,$H$20,IF(N(Vintage_Input!R122)&gt;0,Vintage_Input!AH122/Vintage_Input!R122,""))</f>
        <v/>
      </c>
      <c r="AA173" s="152">
        <f>IF($B173=1,$I$20,IF(N(Vintage_Input!S122)&gt;0,Vintage_Input!AI122/Vintage_Input!S122,""))</f>
        <v/>
      </c>
      <c r="AB173" s="152">
        <f>IF($B173=1,$B$21,IF(N(Vintage_Input!L122)&gt;0,Vintage_Input!AJ122/Vintage_Input!L122,""))</f>
        <v/>
      </c>
      <c r="AC173" s="152">
        <f>IF($B173=1,$C$21,IF(N(Vintage_Input!M122)&gt;0,Vintage_Input!AK122/Vintage_Input!M122,""))</f>
        <v/>
      </c>
      <c r="AD173" s="152">
        <f>IF($B173=1,$D$21,IF(N(Vintage_Input!N122)&gt;0,Vintage_Input!AL122/Vintage_Input!N122,""))</f>
        <v/>
      </c>
      <c r="AE173" s="152">
        <f>IF($B173=1,$E$21,IF(N(Vintage_Input!O122)&gt;0,Vintage_Input!AM122/Vintage_Input!O122,""))</f>
        <v/>
      </c>
      <c r="AF173" s="152">
        <f>IF($B173=1,$F$21,IF(N(Vintage_Input!P122)&gt;0,Vintage_Input!AN122/Vintage_Input!P122,""))</f>
        <v/>
      </c>
      <c r="AG173" s="152">
        <f>IF($B173=1,$G$21,IF(N(Vintage_Input!Q122)&gt;0,Vintage_Input!AO122/Vintage_Input!Q122,""))</f>
        <v/>
      </c>
      <c r="AH173" s="152">
        <f>IF($B173=1,$H$21,IF(N(Vintage_Input!R122)&gt;0,Vintage_Input!AP122/Vintage_Input!R122,""))</f>
        <v/>
      </c>
      <c r="AI173" s="152">
        <f>IF($B173=1,$I$21,IF(N(Vintage_Input!S122)&gt;0,Vintage_Input!AQ122/Vintage_Input!S122,""))</f>
        <v/>
      </c>
      <c r="AJ173" s="152">
        <f>IF($B173=1,$B$22,IF(N(Vintage_Input!L122)&gt;0,IFERROR(Vintage_Input!AR122/Vintage_Input!AJ122,""),""))</f>
        <v/>
      </c>
      <c r="AK173" s="152">
        <f>IF($B173=1,$C$22,IF(N(Vintage_Input!M122)&gt;0,IFERROR(Vintage_Input!AS122/Vintage_Input!AK122,""),""))</f>
        <v/>
      </c>
      <c r="AL173" s="152">
        <f>IF($B173=1,$D$22,IF(N(Vintage_Input!N122)&gt;0,IFERROR(Vintage_Input!AT122/Vintage_Input!AL122,""),""))</f>
        <v/>
      </c>
      <c r="AM173" s="152">
        <f>IF($B173=1,$E$22,IF(N(Vintage_Input!O122)&gt;0,IFERROR(Vintage_Input!AU122/Vintage_Input!AM122,""),""))</f>
        <v/>
      </c>
      <c r="AN173" s="152">
        <f>IF($B173=1,$F$22,IF(N(Vintage_Input!P122)&gt;0,IFERROR(Vintage_Input!AV122/Vintage_Input!AN122,""),""))</f>
        <v/>
      </c>
      <c r="AO173" s="152">
        <f>IF($B173=1,$G$22,IF(N(Vintage_Input!Q122)&gt;0,IFERROR(Vintage_Input!AW122/Vintage_Input!AO122,""),""))</f>
        <v/>
      </c>
      <c r="AP173" s="152">
        <f>IF($B173=1,$H$22,IF(N(Vintage_Input!R122)&gt;0,IFERROR(Vintage_Input!AX122/Vintage_Input!AP122,""),""))</f>
        <v/>
      </c>
      <c r="AQ173" s="152">
        <f>IF($B173=1,$I$22,IF(N(Vintage_Input!S122)&gt;0,IFERROR(Vintage_Input!AY122/Vintage_Input!AQ122,""),""))</f>
        <v/>
      </c>
      <c r="AR173" s="152">
        <f>IF($B173=1,$B$23,IF(N(Vintage_Input!L122)&gt;0,IFERROR(Vintage_Input!AZ122/$C173,""),""))</f>
        <v/>
      </c>
      <c r="AS173" s="152">
        <f>IF($B173=1,$C$23,IF(N(Vintage_Input!M122)&gt;0,IFERROR(Vintage_Input!BA122/$C173,""),""))</f>
        <v/>
      </c>
      <c r="AT173" s="152">
        <f>IF($B173=1,$D$23,IF(N(Vintage_Input!N122)&gt;0,IFERROR(Vintage_Input!BB122/$C173,""),""))</f>
        <v/>
      </c>
      <c r="AU173" s="152">
        <f>IF($B173=1,$E$23,IF(N(Vintage_Input!O122)&gt;0,IFERROR(Vintage_Input!BC122/$C173,""),""))</f>
        <v/>
      </c>
      <c r="AV173" s="152">
        <f>IF($B173=1,$F$23,IF(N(Vintage_Input!P122)&gt;0,IFERROR(Vintage_Input!BD122/$C173,""),""))</f>
        <v/>
      </c>
      <c r="AW173" s="152">
        <f>IF($B173=1,$G$23,IF(N(Vintage_Input!Q122)&gt;0,IFERROR(Vintage_Input!BE122/$C173,""),""))</f>
        <v/>
      </c>
      <c r="AX173" s="152">
        <f>IF($B173=1,$H$23,IF(N(Vintage_Input!R122)&gt;0,IFERROR(Vintage_Input!BF122/$C173,""),""))</f>
        <v/>
      </c>
      <c r="AY173" s="152">
        <f>IF($B173=1,$I$23,IF(N(Vintage_Input!S122)&gt;0,IFERROR(Vintage_Input!BG122/$C173,""),""))</f>
        <v/>
      </c>
      <c r="AZ173" s="153">
        <f>IF($B173=1,$B$24,IF(N(Vintage_Input!L122)&gt;0,IFERROR((Vintage_Input!D122+Vintage_Input!AR122)/$C173+Products!$D$14-(Products!$D$43+Products!$D$19+Products!$D$43*Products!$D$22+Products!$D$44),""),""))</f>
        <v/>
      </c>
      <c r="BA173" s="153">
        <f>IF($B173=1,$C$24,IF(N(Vintage_Input!M122)&gt;0,IFERROR((Vintage_Input!E122+Vintage_Input!AS122)/$C173+Products!$D$14-(Products!$D$43+Products!$D$19+Products!$D$43*Products!$D$22+Products!$D$44),""),""))</f>
        <v/>
      </c>
      <c r="BB173" s="153">
        <f>IF($B173=1,$D$24,IF(N(Vintage_Input!N122)&gt;0,IFERROR((Vintage_Input!F122+Vintage_Input!AT122)/$C173+Products!$D$14-(Products!$D$43+Products!$D$19+Products!$D$43*Products!$D$22+Products!$D$44),""),""))</f>
        <v/>
      </c>
      <c r="BC173" s="153">
        <f>IF($B173=1,$E$24,IF(N(Vintage_Input!O122)&gt;0,IFERROR((Vintage_Input!G122+Vintage_Input!AU122)/$C173+Products!$D$14-(Products!$D$43+Products!$D$19+Products!$D$43*Products!$D$22+Products!$D$44),""),""))</f>
        <v/>
      </c>
      <c r="BD173" s="153">
        <f>IF($B173=1,$F$24,IF(N(Vintage_Input!P122)&gt;0,IFERROR((Vintage_Input!H122+Vintage_Input!AV122)/$C173+Products!$D$14-(Products!$D$43+Products!$D$19+Products!$D$43*Products!$D$22+Products!$D$44),""),""))</f>
        <v/>
      </c>
      <c r="BE173" s="153">
        <f>IF($B173=1,$G$24,IF(N(Vintage_Input!Q122)&gt;0,IFERROR((Vintage_Input!I122+Vintage_Input!AW122)/$C173+Products!$D$14-(Products!$D$43+Products!$D$19+Products!$D$43*Products!$D$22+Products!$D$44),""),""))</f>
        <v/>
      </c>
      <c r="BF173" s="153">
        <f>IF($B173=1,$H$24,IF(N(Vintage_Input!R122)&gt;0,IFERROR((Vintage_Input!J122+Vintage_Input!AX122)/$C173+Products!$D$14-(Products!$D$43+Products!$D$19+Products!$D$43*Products!$D$22+Products!$D$44),""),""))</f>
        <v/>
      </c>
      <c r="BG173" s="153">
        <f>IF($B173=1,$I$24,IF(N(Vintage_Input!S122)&gt;0,IFERROR((Vintage_Input!K122+Vintage_Input!AY122)/$C173+Products!$D$14-(Products!$D$43+Products!$D$19+Products!$D$43*Products!$D$22+Products!$D$44),""),""))</f>
        <v/>
      </c>
      <c r="BH173" s="81">
        <f>IF($B173=1,0,IF(Vintage_Input!$BH$122="","",Vintage_Input!$BH$122))</f>
        <v/>
      </c>
    </row>
    <row r="174">
      <c r="A174" s="23" t="n">
        <v>50</v>
      </c>
      <c r="B174" s="48">
        <f>Vintage_Input!$B$123</f>
        <v/>
      </c>
      <c r="C174" s="41">
        <f>IF(Vintage_Input!$C$123="",0,Vintage_Input!$C$123)</f>
        <v/>
      </c>
      <c r="D174" s="152">
        <f>IF($B174=1,$B$18,IF(N(Vintage_Input!L123)&gt;0,Vintage_Input!D123/Vintage_Input!L123,""))</f>
        <v/>
      </c>
      <c r="E174" s="152">
        <f>IF($B174=1,$C$18,IF(N(Vintage_Input!M123)&gt;0,Vintage_Input!E123/Vintage_Input!M123,""))</f>
        <v/>
      </c>
      <c r="F174" s="152">
        <f>IF($B174=1,$D$18,IF(N(Vintage_Input!N123)&gt;0,Vintage_Input!F123/Vintage_Input!N123,""))</f>
        <v/>
      </c>
      <c r="G174" s="152">
        <f>IF($B174=1,$E$18,IF(N(Vintage_Input!O123)&gt;0,Vintage_Input!G123/Vintage_Input!O123,""))</f>
        <v/>
      </c>
      <c r="H174" s="152">
        <f>IF($B174=1,$F$18,IF(N(Vintage_Input!P123)&gt;0,Vintage_Input!H123/Vintage_Input!P123,""))</f>
        <v/>
      </c>
      <c r="I174" s="152">
        <f>IF($B174=1,$G$18,IF(N(Vintage_Input!Q123)&gt;0,Vintage_Input!I123/Vintage_Input!Q123,""))</f>
        <v/>
      </c>
      <c r="J174" s="152">
        <f>IF($B174=1,$H$18,IF(N(Vintage_Input!R123)&gt;0,Vintage_Input!J123/Vintage_Input!R123,""))</f>
        <v/>
      </c>
      <c r="K174" s="152">
        <f>IF($B174=1,$I$18,IF(N(Vintage_Input!S123)&gt;0,Vintage_Input!K123/Vintage_Input!S123,""))</f>
        <v/>
      </c>
      <c r="L174" s="152">
        <f>IF($B174=1,$B$19,IF(N(Vintage_Input!L123)&gt;0,Vintage_Input!T123/Vintage_Input!L123,""))</f>
        <v/>
      </c>
      <c r="M174" s="152">
        <f>IF($B174=1,$C$19,IF(N(Vintage_Input!M123)&gt;0,Vintage_Input!U123/Vintage_Input!M123,""))</f>
        <v/>
      </c>
      <c r="N174" s="152">
        <f>IF($B174=1,$D$19,IF(N(Vintage_Input!N123)&gt;0,Vintage_Input!V123/Vintage_Input!N123,""))</f>
        <v/>
      </c>
      <c r="O174" s="152">
        <f>IF($B174=1,$E$19,IF(N(Vintage_Input!O123)&gt;0,Vintage_Input!W123/Vintage_Input!O123,""))</f>
        <v/>
      </c>
      <c r="P174" s="152">
        <f>IF($B174=1,$F$19,IF(N(Vintage_Input!P123)&gt;0,Vintage_Input!X123/Vintage_Input!P123,""))</f>
        <v/>
      </c>
      <c r="Q174" s="152">
        <f>IF($B174=1,$G$19,IF(N(Vintage_Input!Q123)&gt;0,Vintage_Input!Y123/Vintage_Input!Q123,""))</f>
        <v/>
      </c>
      <c r="R174" s="152">
        <f>IF($B174=1,$H$19,IF(N(Vintage_Input!R123)&gt;0,Vintage_Input!Z123/Vintage_Input!R123,""))</f>
        <v/>
      </c>
      <c r="S174" s="152">
        <f>IF($B174=1,$I$19,IF(N(Vintage_Input!S123)&gt;0,Vintage_Input!AA123/Vintage_Input!S123,""))</f>
        <v/>
      </c>
      <c r="T174" s="152">
        <f>IF($B174=1,$B$20,IF(N(Vintage_Input!L123)&gt;0,Vintage_Input!AB123/Vintage_Input!L123,""))</f>
        <v/>
      </c>
      <c r="U174" s="152">
        <f>IF($B174=1,$C$20,IF(N(Vintage_Input!M123)&gt;0,Vintage_Input!AC123/Vintage_Input!M123,""))</f>
        <v/>
      </c>
      <c r="V174" s="152">
        <f>IF($B174=1,$D$20,IF(N(Vintage_Input!N123)&gt;0,Vintage_Input!AD123/Vintage_Input!N123,""))</f>
        <v/>
      </c>
      <c r="W174" s="152">
        <f>IF($B174=1,$E$20,IF(N(Vintage_Input!O123)&gt;0,Vintage_Input!AE123/Vintage_Input!O123,""))</f>
        <v/>
      </c>
      <c r="X174" s="152">
        <f>IF($B174=1,$F$20,IF(N(Vintage_Input!P123)&gt;0,Vintage_Input!AF123/Vintage_Input!P123,""))</f>
        <v/>
      </c>
      <c r="Y174" s="152">
        <f>IF($B174=1,$G$20,IF(N(Vintage_Input!Q123)&gt;0,Vintage_Input!AG123/Vintage_Input!Q123,""))</f>
        <v/>
      </c>
      <c r="Z174" s="152">
        <f>IF($B174=1,$H$20,IF(N(Vintage_Input!R123)&gt;0,Vintage_Input!AH123/Vintage_Input!R123,""))</f>
        <v/>
      </c>
      <c r="AA174" s="152">
        <f>IF($B174=1,$I$20,IF(N(Vintage_Input!S123)&gt;0,Vintage_Input!AI123/Vintage_Input!S123,""))</f>
        <v/>
      </c>
      <c r="AB174" s="152">
        <f>IF($B174=1,$B$21,IF(N(Vintage_Input!L123)&gt;0,Vintage_Input!AJ123/Vintage_Input!L123,""))</f>
        <v/>
      </c>
      <c r="AC174" s="152">
        <f>IF($B174=1,$C$21,IF(N(Vintage_Input!M123)&gt;0,Vintage_Input!AK123/Vintage_Input!M123,""))</f>
        <v/>
      </c>
      <c r="AD174" s="152">
        <f>IF($B174=1,$D$21,IF(N(Vintage_Input!N123)&gt;0,Vintage_Input!AL123/Vintage_Input!N123,""))</f>
        <v/>
      </c>
      <c r="AE174" s="152">
        <f>IF($B174=1,$E$21,IF(N(Vintage_Input!O123)&gt;0,Vintage_Input!AM123/Vintage_Input!O123,""))</f>
        <v/>
      </c>
      <c r="AF174" s="152">
        <f>IF($B174=1,$F$21,IF(N(Vintage_Input!P123)&gt;0,Vintage_Input!AN123/Vintage_Input!P123,""))</f>
        <v/>
      </c>
      <c r="AG174" s="152">
        <f>IF($B174=1,$G$21,IF(N(Vintage_Input!Q123)&gt;0,Vintage_Input!AO123/Vintage_Input!Q123,""))</f>
        <v/>
      </c>
      <c r="AH174" s="152">
        <f>IF($B174=1,$H$21,IF(N(Vintage_Input!R123)&gt;0,Vintage_Input!AP123/Vintage_Input!R123,""))</f>
        <v/>
      </c>
      <c r="AI174" s="152">
        <f>IF($B174=1,$I$21,IF(N(Vintage_Input!S123)&gt;0,Vintage_Input!AQ123/Vintage_Input!S123,""))</f>
        <v/>
      </c>
      <c r="AJ174" s="152">
        <f>IF($B174=1,$B$22,IF(N(Vintage_Input!L123)&gt;0,IFERROR(Vintage_Input!AR123/Vintage_Input!AJ123,""),""))</f>
        <v/>
      </c>
      <c r="AK174" s="152">
        <f>IF($B174=1,$C$22,IF(N(Vintage_Input!M123)&gt;0,IFERROR(Vintage_Input!AS123/Vintage_Input!AK123,""),""))</f>
        <v/>
      </c>
      <c r="AL174" s="152">
        <f>IF($B174=1,$D$22,IF(N(Vintage_Input!N123)&gt;0,IFERROR(Vintage_Input!AT123/Vintage_Input!AL123,""),""))</f>
        <v/>
      </c>
      <c r="AM174" s="152">
        <f>IF($B174=1,$E$22,IF(N(Vintage_Input!O123)&gt;0,IFERROR(Vintage_Input!AU123/Vintage_Input!AM123,""),""))</f>
        <v/>
      </c>
      <c r="AN174" s="152">
        <f>IF($B174=1,$F$22,IF(N(Vintage_Input!P123)&gt;0,IFERROR(Vintage_Input!AV123/Vintage_Input!AN123,""),""))</f>
        <v/>
      </c>
      <c r="AO174" s="152">
        <f>IF($B174=1,$G$22,IF(N(Vintage_Input!Q123)&gt;0,IFERROR(Vintage_Input!AW123/Vintage_Input!AO123,""),""))</f>
        <v/>
      </c>
      <c r="AP174" s="152">
        <f>IF($B174=1,$H$22,IF(N(Vintage_Input!R123)&gt;0,IFERROR(Vintage_Input!AX123/Vintage_Input!AP123,""),""))</f>
        <v/>
      </c>
      <c r="AQ174" s="152">
        <f>IF($B174=1,$I$22,IF(N(Vintage_Input!S123)&gt;0,IFERROR(Vintage_Input!AY123/Vintage_Input!AQ123,""),""))</f>
        <v/>
      </c>
      <c r="AR174" s="152">
        <f>IF($B174=1,$B$23,IF(N(Vintage_Input!L123)&gt;0,IFERROR(Vintage_Input!AZ123/$C174,""),""))</f>
        <v/>
      </c>
      <c r="AS174" s="152">
        <f>IF($B174=1,$C$23,IF(N(Vintage_Input!M123)&gt;0,IFERROR(Vintage_Input!BA123/$C174,""),""))</f>
        <v/>
      </c>
      <c r="AT174" s="152">
        <f>IF($B174=1,$D$23,IF(N(Vintage_Input!N123)&gt;0,IFERROR(Vintage_Input!BB123/$C174,""),""))</f>
        <v/>
      </c>
      <c r="AU174" s="152">
        <f>IF($B174=1,$E$23,IF(N(Vintage_Input!O123)&gt;0,IFERROR(Vintage_Input!BC123/$C174,""),""))</f>
        <v/>
      </c>
      <c r="AV174" s="152">
        <f>IF($B174=1,$F$23,IF(N(Vintage_Input!P123)&gt;0,IFERROR(Vintage_Input!BD123/$C174,""),""))</f>
        <v/>
      </c>
      <c r="AW174" s="152">
        <f>IF($B174=1,$G$23,IF(N(Vintage_Input!Q123)&gt;0,IFERROR(Vintage_Input!BE123/$C174,""),""))</f>
        <v/>
      </c>
      <c r="AX174" s="152">
        <f>IF($B174=1,$H$23,IF(N(Vintage_Input!R123)&gt;0,IFERROR(Vintage_Input!BF123/$C174,""),""))</f>
        <v/>
      </c>
      <c r="AY174" s="152">
        <f>IF($B174=1,$I$23,IF(N(Vintage_Input!S123)&gt;0,IFERROR(Vintage_Input!BG123/$C174,""),""))</f>
        <v/>
      </c>
      <c r="AZ174" s="153">
        <f>IF($B174=1,$B$24,IF(N(Vintage_Input!L123)&gt;0,IFERROR((Vintage_Input!D123+Vintage_Input!AR123)/$C174+Products!$D$14-(Products!$D$43+Products!$D$19+Products!$D$43*Products!$D$22+Products!$D$44),""),""))</f>
        <v/>
      </c>
      <c r="BA174" s="153">
        <f>IF($B174=1,$C$24,IF(N(Vintage_Input!M123)&gt;0,IFERROR((Vintage_Input!E123+Vintage_Input!AS123)/$C174+Products!$D$14-(Products!$D$43+Products!$D$19+Products!$D$43*Products!$D$22+Products!$D$44),""),""))</f>
        <v/>
      </c>
      <c r="BB174" s="153">
        <f>IF($B174=1,$D$24,IF(N(Vintage_Input!N123)&gt;0,IFERROR((Vintage_Input!F123+Vintage_Input!AT123)/$C174+Products!$D$14-(Products!$D$43+Products!$D$19+Products!$D$43*Products!$D$22+Products!$D$44),""),""))</f>
        <v/>
      </c>
      <c r="BC174" s="153">
        <f>IF($B174=1,$E$24,IF(N(Vintage_Input!O123)&gt;0,IFERROR((Vintage_Input!G123+Vintage_Input!AU123)/$C174+Products!$D$14-(Products!$D$43+Products!$D$19+Products!$D$43*Products!$D$22+Products!$D$44),""),""))</f>
        <v/>
      </c>
      <c r="BD174" s="153">
        <f>IF($B174=1,$F$24,IF(N(Vintage_Input!P123)&gt;0,IFERROR((Vintage_Input!H123+Vintage_Input!AV123)/$C174+Products!$D$14-(Products!$D$43+Products!$D$19+Products!$D$43*Products!$D$22+Products!$D$44),""),""))</f>
        <v/>
      </c>
      <c r="BE174" s="153">
        <f>IF($B174=1,$G$24,IF(N(Vintage_Input!Q123)&gt;0,IFERROR((Vintage_Input!I123+Vintage_Input!AW123)/$C174+Products!$D$14-(Products!$D$43+Products!$D$19+Products!$D$43*Products!$D$22+Products!$D$44),""),""))</f>
        <v/>
      </c>
      <c r="BF174" s="153">
        <f>IF($B174=1,$H$24,IF(N(Vintage_Input!R123)&gt;0,IFERROR((Vintage_Input!J123+Vintage_Input!AX123)/$C174+Products!$D$14-(Products!$D$43+Products!$D$19+Products!$D$43*Products!$D$22+Products!$D$44),""),""))</f>
        <v/>
      </c>
      <c r="BG174" s="153">
        <f>IF($B174=1,$I$24,IF(N(Vintage_Input!S123)&gt;0,IFERROR((Vintage_Input!K123+Vintage_Input!AY123)/$C174+Products!$D$14-(Products!$D$43+Products!$D$19+Products!$D$43*Products!$D$22+Products!$D$44),""),""))</f>
        <v/>
      </c>
      <c r="BH174" s="81">
        <f>IF($B174=1,0,IF(Vintage_Input!$BH$123="","",Vintage_Input!$BH$123))</f>
        <v/>
      </c>
    </row>
    <row r="175">
      <c r="A175" s="23" t="n">
        <v>51</v>
      </c>
      <c r="B175" s="48">
        <f>Vintage_Input!$B$124</f>
        <v/>
      </c>
      <c r="C175" s="41">
        <f>IF(Vintage_Input!$C$124="",0,Vintage_Input!$C$124)</f>
        <v/>
      </c>
      <c r="D175" s="152">
        <f>IF($B175=1,$B$18,IF(N(Vintage_Input!L124)&gt;0,Vintage_Input!D124/Vintage_Input!L124,""))</f>
        <v/>
      </c>
      <c r="E175" s="152">
        <f>IF($B175=1,$C$18,IF(N(Vintage_Input!M124)&gt;0,Vintage_Input!E124/Vintage_Input!M124,""))</f>
        <v/>
      </c>
      <c r="F175" s="152">
        <f>IF($B175=1,$D$18,IF(N(Vintage_Input!N124)&gt;0,Vintage_Input!F124/Vintage_Input!N124,""))</f>
        <v/>
      </c>
      <c r="G175" s="152">
        <f>IF($B175=1,$E$18,IF(N(Vintage_Input!O124)&gt;0,Vintage_Input!G124/Vintage_Input!O124,""))</f>
        <v/>
      </c>
      <c r="H175" s="152">
        <f>IF($B175=1,$F$18,IF(N(Vintage_Input!P124)&gt;0,Vintage_Input!H124/Vintage_Input!P124,""))</f>
        <v/>
      </c>
      <c r="I175" s="152">
        <f>IF($B175=1,$G$18,IF(N(Vintage_Input!Q124)&gt;0,Vintage_Input!I124/Vintage_Input!Q124,""))</f>
        <v/>
      </c>
      <c r="J175" s="152">
        <f>IF($B175=1,$H$18,IF(N(Vintage_Input!R124)&gt;0,Vintage_Input!J124/Vintage_Input!R124,""))</f>
        <v/>
      </c>
      <c r="K175" s="152">
        <f>IF($B175=1,$I$18,IF(N(Vintage_Input!S124)&gt;0,Vintage_Input!K124/Vintage_Input!S124,""))</f>
        <v/>
      </c>
      <c r="L175" s="152">
        <f>IF($B175=1,$B$19,IF(N(Vintage_Input!L124)&gt;0,Vintage_Input!T124/Vintage_Input!L124,""))</f>
        <v/>
      </c>
      <c r="M175" s="152">
        <f>IF($B175=1,$C$19,IF(N(Vintage_Input!M124)&gt;0,Vintage_Input!U124/Vintage_Input!M124,""))</f>
        <v/>
      </c>
      <c r="N175" s="152">
        <f>IF($B175=1,$D$19,IF(N(Vintage_Input!N124)&gt;0,Vintage_Input!V124/Vintage_Input!N124,""))</f>
        <v/>
      </c>
      <c r="O175" s="152">
        <f>IF($B175=1,$E$19,IF(N(Vintage_Input!O124)&gt;0,Vintage_Input!W124/Vintage_Input!O124,""))</f>
        <v/>
      </c>
      <c r="P175" s="152">
        <f>IF($B175=1,$F$19,IF(N(Vintage_Input!P124)&gt;0,Vintage_Input!X124/Vintage_Input!P124,""))</f>
        <v/>
      </c>
      <c r="Q175" s="152">
        <f>IF($B175=1,$G$19,IF(N(Vintage_Input!Q124)&gt;0,Vintage_Input!Y124/Vintage_Input!Q124,""))</f>
        <v/>
      </c>
      <c r="R175" s="152">
        <f>IF($B175=1,$H$19,IF(N(Vintage_Input!R124)&gt;0,Vintage_Input!Z124/Vintage_Input!R124,""))</f>
        <v/>
      </c>
      <c r="S175" s="152">
        <f>IF($B175=1,$I$19,IF(N(Vintage_Input!S124)&gt;0,Vintage_Input!AA124/Vintage_Input!S124,""))</f>
        <v/>
      </c>
      <c r="T175" s="152">
        <f>IF($B175=1,$B$20,IF(N(Vintage_Input!L124)&gt;0,Vintage_Input!AB124/Vintage_Input!L124,""))</f>
        <v/>
      </c>
      <c r="U175" s="152">
        <f>IF($B175=1,$C$20,IF(N(Vintage_Input!M124)&gt;0,Vintage_Input!AC124/Vintage_Input!M124,""))</f>
        <v/>
      </c>
      <c r="V175" s="152">
        <f>IF($B175=1,$D$20,IF(N(Vintage_Input!N124)&gt;0,Vintage_Input!AD124/Vintage_Input!N124,""))</f>
        <v/>
      </c>
      <c r="W175" s="152">
        <f>IF($B175=1,$E$20,IF(N(Vintage_Input!O124)&gt;0,Vintage_Input!AE124/Vintage_Input!O124,""))</f>
        <v/>
      </c>
      <c r="X175" s="152">
        <f>IF($B175=1,$F$20,IF(N(Vintage_Input!P124)&gt;0,Vintage_Input!AF124/Vintage_Input!P124,""))</f>
        <v/>
      </c>
      <c r="Y175" s="152">
        <f>IF($B175=1,$G$20,IF(N(Vintage_Input!Q124)&gt;0,Vintage_Input!AG124/Vintage_Input!Q124,""))</f>
        <v/>
      </c>
      <c r="Z175" s="152">
        <f>IF($B175=1,$H$20,IF(N(Vintage_Input!R124)&gt;0,Vintage_Input!AH124/Vintage_Input!R124,""))</f>
        <v/>
      </c>
      <c r="AA175" s="152">
        <f>IF($B175=1,$I$20,IF(N(Vintage_Input!S124)&gt;0,Vintage_Input!AI124/Vintage_Input!S124,""))</f>
        <v/>
      </c>
      <c r="AB175" s="152">
        <f>IF($B175=1,$B$21,IF(N(Vintage_Input!L124)&gt;0,Vintage_Input!AJ124/Vintage_Input!L124,""))</f>
        <v/>
      </c>
      <c r="AC175" s="152">
        <f>IF($B175=1,$C$21,IF(N(Vintage_Input!M124)&gt;0,Vintage_Input!AK124/Vintage_Input!M124,""))</f>
        <v/>
      </c>
      <c r="AD175" s="152">
        <f>IF($B175=1,$D$21,IF(N(Vintage_Input!N124)&gt;0,Vintage_Input!AL124/Vintage_Input!N124,""))</f>
        <v/>
      </c>
      <c r="AE175" s="152">
        <f>IF($B175=1,$E$21,IF(N(Vintage_Input!O124)&gt;0,Vintage_Input!AM124/Vintage_Input!O124,""))</f>
        <v/>
      </c>
      <c r="AF175" s="152">
        <f>IF($B175=1,$F$21,IF(N(Vintage_Input!P124)&gt;0,Vintage_Input!AN124/Vintage_Input!P124,""))</f>
        <v/>
      </c>
      <c r="AG175" s="152">
        <f>IF($B175=1,$G$21,IF(N(Vintage_Input!Q124)&gt;0,Vintage_Input!AO124/Vintage_Input!Q124,""))</f>
        <v/>
      </c>
      <c r="AH175" s="152">
        <f>IF($B175=1,$H$21,IF(N(Vintage_Input!R124)&gt;0,Vintage_Input!AP124/Vintage_Input!R124,""))</f>
        <v/>
      </c>
      <c r="AI175" s="152">
        <f>IF($B175=1,$I$21,IF(N(Vintage_Input!S124)&gt;0,Vintage_Input!AQ124/Vintage_Input!S124,""))</f>
        <v/>
      </c>
      <c r="AJ175" s="152">
        <f>IF($B175=1,$B$22,IF(N(Vintage_Input!L124)&gt;0,IFERROR(Vintage_Input!AR124/Vintage_Input!AJ124,""),""))</f>
        <v/>
      </c>
      <c r="AK175" s="152">
        <f>IF($B175=1,$C$22,IF(N(Vintage_Input!M124)&gt;0,IFERROR(Vintage_Input!AS124/Vintage_Input!AK124,""),""))</f>
        <v/>
      </c>
      <c r="AL175" s="152">
        <f>IF($B175=1,$D$22,IF(N(Vintage_Input!N124)&gt;0,IFERROR(Vintage_Input!AT124/Vintage_Input!AL124,""),""))</f>
        <v/>
      </c>
      <c r="AM175" s="152">
        <f>IF($B175=1,$E$22,IF(N(Vintage_Input!O124)&gt;0,IFERROR(Vintage_Input!AU124/Vintage_Input!AM124,""),""))</f>
        <v/>
      </c>
      <c r="AN175" s="152">
        <f>IF($B175=1,$F$22,IF(N(Vintage_Input!P124)&gt;0,IFERROR(Vintage_Input!AV124/Vintage_Input!AN124,""),""))</f>
        <v/>
      </c>
      <c r="AO175" s="152">
        <f>IF($B175=1,$G$22,IF(N(Vintage_Input!Q124)&gt;0,IFERROR(Vintage_Input!AW124/Vintage_Input!AO124,""),""))</f>
        <v/>
      </c>
      <c r="AP175" s="152">
        <f>IF($B175=1,$H$22,IF(N(Vintage_Input!R124)&gt;0,IFERROR(Vintage_Input!AX124/Vintage_Input!AP124,""),""))</f>
        <v/>
      </c>
      <c r="AQ175" s="152">
        <f>IF($B175=1,$I$22,IF(N(Vintage_Input!S124)&gt;0,IFERROR(Vintage_Input!AY124/Vintage_Input!AQ124,""),""))</f>
        <v/>
      </c>
      <c r="AR175" s="152">
        <f>IF($B175=1,$B$23,IF(N(Vintage_Input!L124)&gt;0,IFERROR(Vintage_Input!AZ124/$C175,""),""))</f>
        <v/>
      </c>
      <c r="AS175" s="152">
        <f>IF($B175=1,$C$23,IF(N(Vintage_Input!M124)&gt;0,IFERROR(Vintage_Input!BA124/$C175,""),""))</f>
        <v/>
      </c>
      <c r="AT175" s="152">
        <f>IF($B175=1,$D$23,IF(N(Vintage_Input!N124)&gt;0,IFERROR(Vintage_Input!BB124/$C175,""),""))</f>
        <v/>
      </c>
      <c r="AU175" s="152">
        <f>IF($B175=1,$E$23,IF(N(Vintage_Input!O124)&gt;0,IFERROR(Vintage_Input!BC124/$C175,""),""))</f>
        <v/>
      </c>
      <c r="AV175" s="152">
        <f>IF($B175=1,$F$23,IF(N(Vintage_Input!P124)&gt;0,IFERROR(Vintage_Input!BD124/$C175,""),""))</f>
        <v/>
      </c>
      <c r="AW175" s="152">
        <f>IF($B175=1,$G$23,IF(N(Vintage_Input!Q124)&gt;0,IFERROR(Vintage_Input!BE124/$C175,""),""))</f>
        <v/>
      </c>
      <c r="AX175" s="152">
        <f>IF($B175=1,$H$23,IF(N(Vintage_Input!R124)&gt;0,IFERROR(Vintage_Input!BF124/$C175,""),""))</f>
        <v/>
      </c>
      <c r="AY175" s="152">
        <f>IF($B175=1,$I$23,IF(N(Vintage_Input!S124)&gt;0,IFERROR(Vintage_Input!BG124/$C175,""),""))</f>
        <v/>
      </c>
      <c r="AZ175" s="153">
        <f>IF($B175=1,$B$24,IF(N(Vintage_Input!L124)&gt;0,IFERROR((Vintage_Input!D124+Vintage_Input!AR124)/$C175+Products!$D$14-(Products!$D$43+Products!$D$19+Products!$D$43*Products!$D$22+Products!$D$44),""),""))</f>
        <v/>
      </c>
      <c r="BA175" s="153">
        <f>IF($B175=1,$C$24,IF(N(Vintage_Input!M124)&gt;0,IFERROR((Vintage_Input!E124+Vintage_Input!AS124)/$C175+Products!$D$14-(Products!$D$43+Products!$D$19+Products!$D$43*Products!$D$22+Products!$D$44),""),""))</f>
        <v/>
      </c>
      <c r="BB175" s="153">
        <f>IF($B175=1,$D$24,IF(N(Vintage_Input!N124)&gt;0,IFERROR((Vintage_Input!F124+Vintage_Input!AT124)/$C175+Products!$D$14-(Products!$D$43+Products!$D$19+Products!$D$43*Products!$D$22+Products!$D$44),""),""))</f>
        <v/>
      </c>
      <c r="BC175" s="153">
        <f>IF($B175=1,$E$24,IF(N(Vintage_Input!O124)&gt;0,IFERROR((Vintage_Input!G124+Vintage_Input!AU124)/$C175+Products!$D$14-(Products!$D$43+Products!$D$19+Products!$D$43*Products!$D$22+Products!$D$44),""),""))</f>
        <v/>
      </c>
      <c r="BD175" s="153">
        <f>IF($B175=1,$F$24,IF(N(Vintage_Input!P124)&gt;0,IFERROR((Vintage_Input!H124+Vintage_Input!AV124)/$C175+Products!$D$14-(Products!$D$43+Products!$D$19+Products!$D$43*Products!$D$22+Products!$D$44),""),""))</f>
        <v/>
      </c>
      <c r="BE175" s="153">
        <f>IF($B175=1,$G$24,IF(N(Vintage_Input!Q124)&gt;0,IFERROR((Vintage_Input!I124+Vintage_Input!AW124)/$C175+Products!$D$14-(Products!$D$43+Products!$D$19+Products!$D$43*Products!$D$22+Products!$D$44),""),""))</f>
        <v/>
      </c>
      <c r="BF175" s="153">
        <f>IF($B175=1,$H$24,IF(N(Vintage_Input!R124)&gt;0,IFERROR((Vintage_Input!J124+Vintage_Input!AX124)/$C175+Products!$D$14-(Products!$D$43+Products!$D$19+Products!$D$43*Products!$D$22+Products!$D$44),""),""))</f>
        <v/>
      </c>
      <c r="BG175" s="153">
        <f>IF($B175=1,$I$24,IF(N(Vintage_Input!S124)&gt;0,IFERROR((Vintage_Input!K124+Vintage_Input!AY124)/$C175+Products!$D$14-(Products!$D$43+Products!$D$19+Products!$D$43*Products!$D$22+Products!$D$44),""),""))</f>
        <v/>
      </c>
      <c r="BH175" s="81">
        <f>IF($B175=1,0,IF(Vintage_Input!$BH$124="","",Vintage_Input!$BH$124))</f>
        <v/>
      </c>
    </row>
    <row r="176">
      <c r="A176" s="23" t="n">
        <v>52</v>
      </c>
      <c r="B176" s="48">
        <f>Vintage_Input!$B$125</f>
        <v/>
      </c>
      <c r="C176" s="41">
        <f>IF(Vintage_Input!$C$125="",0,Vintage_Input!$C$125)</f>
        <v/>
      </c>
      <c r="D176" s="152">
        <f>IF($B176=1,$B$18,IF(N(Vintage_Input!L125)&gt;0,Vintage_Input!D125/Vintage_Input!L125,""))</f>
        <v/>
      </c>
      <c r="E176" s="152">
        <f>IF($B176=1,$C$18,IF(N(Vintage_Input!M125)&gt;0,Vintage_Input!E125/Vintage_Input!M125,""))</f>
        <v/>
      </c>
      <c r="F176" s="152">
        <f>IF($B176=1,$D$18,IF(N(Vintage_Input!N125)&gt;0,Vintage_Input!F125/Vintage_Input!N125,""))</f>
        <v/>
      </c>
      <c r="G176" s="152">
        <f>IF($B176=1,$E$18,IF(N(Vintage_Input!O125)&gt;0,Vintage_Input!G125/Vintage_Input!O125,""))</f>
        <v/>
      </c>
      <c r="H176" s="152">
        <f>IF($B176=1,$F$18,IF(N(Vintage_Input!P125)&gt;0,Vintage_Input!H125/Vintage_Input!P125,""))</f>
        <v/>
      </c>
      <c r="I176" s="152">
        <f>IF($B176=1,$G$18,IF(N(Vintage_Input!Q125)&gt;0,Vintage_Input!I125/Vintage_Input!Q125,""))</f>
        <v/>
      </c>
      <c r="J176" s="152">
        <f>IF($B176=1,$H$18,IF(N(Vintage_Input!R125)&gt;0,Vintage_Input!J125/Vintage_Input!R125,""))</f>
        <v/>
      </c>
      <c r="K176" s="152">
        <f>IF($B176=1,$I$18,IF(N(Vintage_Input!S125)&gt;0,Vintage_Input!K125/Vintage_Input!S125,""))</f>
        <v/>
      </c>
      <c r="L176" s="152">
        <f>IF($B176=1,$B$19,IF(N(Vintage_Input!L125)&gt;0,Vintage_Input!T125/Vintage_Input!L125,""))</f>
        <v/>
      </c>
      <c r="M176" s="152">
        <f>IF($B176=1,$C$19,IF(N(Vintage_Input!M125)&gt;0,Vintage_Input!U125/Vintage_Input!M125,""))</f>
        <v/>
      </c>
      <c r="N176" s="152">
        <f>IF($B176=1,$D$19,IF(N(Vintage_Input!N125)&gt;0,Vintage_Input!V125/Vintage_Input!N125,""))</f>
        <v/>
      </c>
      <c r="O176" s="152">
        <f>IF($B176=1,$E$19,IF(N(Vintage_Input!O125)&gt;0,Vintage_Input!W125/Vintage_Input!O125,""))</f>
        <v/>
      </c>
      <c r="P176" s="152">
        <f>IF($B176=1,$F$19,IF(N(Vintage_Input!P125)&gt;0,Vintage_Input!X125/Vintage_Input!P125,""))</f>
        <v/>
      </c>
      <c r="Q176" s="152">
        <f>IF($B176=1,$G$19,IF(N(Vintage_Input!Q125)&gt;0,Vintage_Input!Y125/Vintage_Input!Q125,""))</f>
        <v/>
      </c>
      <c r="R176" s="152">
        <f>IF($B176=1,$H$19,IF(N(Vintage_Input!R125)&gt;0,Vintage_Input!Z125/Vintage_Input!R125,""))</f>
        <v/>
      </c>
      <c r="S176" s="152">
        <f>IF($B176=1,$I$19,IF(N(Vintage_Input!S125)&gt;0,Vintage_Input!AA125/Vintage_Input!S125,""))</f>
        <v/>
      </c>
      <c r="T176" s="152">
        <f>IF($B176=1,$B$20,IF(N(Vintage_Input!L125)&gt;0,Vintage_Input!AB125/Vintage_Input!L125,""))</f>
        <v/>
      </c>
      <c r="U176" s="152">
        <f>IF($B176=1,$C$20,IF(N(Vintage_Input!M125)&gt;0,Vintage_Input!AC125/Vintage_Input!M125,""))</f>
        <v/>
      </c>
      <c r="V176" s="152">
        <f>IF($B176=1,$D$20,IF(N(Vintage_Input!N125)&gt;0,Vintage_Input!AD125/Vintage_Input!N125,""))</f>
        <v/>
      </c>
      <c r="W176" s="152">
        <f>IF($B176=1,$E$20,IF(N(Vintage_Input!O125)&gt;0,Vintage_Input!AE125/Vintage_Input!O125,""))</f>
        <v/>
      </c>
      <c r="X176" s="152">
        <f>IF($B176=1,$F$20,IF(N(Vintage_Input!P125)&gt;0,Vintage_Input!AF125/Vintage_Input!P125,""))</f>
        <v/>
      </c>
      <c r="Y176" s="152">
        <f>IF($B176=1,$G$20,IF(N(Vintage_Input!Q125)&gt;0,Vintage_Input!AG125/Vintage_Input!Q125,""))</f>
        <v/>
      </c>
      <c r="Z176" s="152">
        <f>IF($B176=1,$H$20,IF(N(Vintage_Input!R125)&gt;0,Vintage_Input!AH125/Vintage_Input!R125,""))</f>
        <v/>
      </c>
      <c r="AA176" s="152">
        <f>IF($B176=1,$I$20,IF(N(Vintage_Input!S125)&gt;0,Vintage_Input!AI125/Vintage_Input!S125,""))</f>
        <v/>
      </c>
      <c r="AB176" s="152">
        <f>IF($B176=1,$B$21,IF(N(Vintage_Input!L125)&gt;0,Vintage_Input!AJ125/Vintage_Input!L125,""))</f>
        <v/>
      </c>
      <c r="AC176" s="152">
        <f>IF($B176=1,$C$21,IF(N(Vintage_Input!M125)&gt;0,Vintage_Input!AK125/Vintage_Input!M125,""))</f>
        <v/>
      </c>
      <c r="AD176" s="152">
        <f>IF($B176=1,$D$21,IF(N(Vintage_Input!N125)&gt;0,Vintage_Input!AL125/Vintage_Input!N125,""))</f>
        <v/>
      </c>
      <c r="AE176" s="152">
        <f>IF($B176=1,$E$21,IF(N(Vintage_Input!O125)&gt;0,Vintage_Input!AM125/Vintage_Input!O125,""))</f>
        <v/>
      </c>
      <c r="AF176" s="152">
        <f>IF($B176=1,$F$21,IF(N(Vintage_Input!P125)&gt;0,Vintage_Input!AN125/Vintage_Input!P125,""))</f>
        <v/>
      </c>
      <c r="AG176" s="152">
        <f>IF($B176=1,$G$21,IF(N(Vintage_Input!Q125)&gt;0,Vintage_Input!AO125/Vintage_Input!Q125,""))</f>
        <v/>
      </c>
      <c r="AH176" s="152">
        <f>IF($B176=1,$H$21,IF(N(Vintage_Input!R125)&gt;0,Vintage_Input!AP125/Vintage_Input!R125,""))</f>
        <v/>
      </c>
      <c r="AI176" s="152">
        <f>IF($B176=1,$I$21,IF(N(Vintage_Input!S125)&gt;0,Vintage_Input!AQ125/Vintage_Input!S125,""))</f>
        <v/>
      </c>
      <c r="AJ176" s="152">
        <f>IF($B176=1,$B$22,IF(N(Vintage_Input!L125)&gt;0,IFERROR(Vintage_Input!AR125/Vintage_Input!AJ125,""),""))</f>
        <v/>
      </c>
      <c r="AK176" s="152">
        <f>IF($B176=1,$C$22,IF(N(Vintage_Input!M125)&gt;0,IFERROR(Vintage_Input!AS125/Vintage_Input!AK125,""),""))</f>
        <v/>
      </c>
      <c r="AL176" s="152">
        <f>IF($B176=1,$D$22,IF(N(Vintage_Input!N125)&gt;0,IFERROR(Vintage_Input!AT125/Vintage_Input!AL125,""),""))</f>
        <v/>
      </c>
      <c r="AM176" s="152">
        <f>IF($B176=1,$E$22,IF(N(Vintage_Input!O125)&gt;0,IFERROR(Vintage_Input!AU125/Vintage_Input!AM125,""),""))</f>
        <v/>
      </c>
      <c r="AN176" s="152">
        <f>IF($B176=1,$F$22,IF(N(Vintage_Input!P125)&gt;0,IFERROR(Vintage_Input!AV125/Vintage_Input!AN125,""),""))</f>
        <v/>
      </c>
      <c r="AO176" s="152">
        <f>IF($B176=1,$G$22,IF(N(Vintage_Input!Q125)&gt;0,IFERROR(Vintage_Input!AW125/Vintage_Input!AO125,""),""))</f>
        <v/>
      </c>
      <c r="AP176" s="152">
        <f>IF($B176=1,$H$22,IF(N(Vintage_Input!R125)&gt;0,IFERROR(Vintage_Input!AX125/Vintage_Input!AP125,""),""))</f>
        <v/>
      </c>
      <c r="AQ176" s="152">
        <f>IF($B176=1,$I$22,IF(N(Vintage_Input!S125)&gt;0,IFERROR(Vintage_Input!AY125/Vintage_Input!AQ125,""),""))</f>
        <v/>
      </c>
      <c r="AR176" s="152">
        <f>IF($B176=1,$B$23,IF(N(Vintage_Input!L125)&gt;0,IFERROR(Vintage_Input!AZ125/$C176,""),""))</f>
        <v/>
      </c>
      <c r="AS176" s="152">
        <f>IF($B176=1,$C$23,IF(N(Vintage_Input!M125)&gt;0,IFERROR(Vintage_Input!BA125/$C176,""),""))</f>
        <v/>
      </c>
      <c r="AT176" s="152">
        <f>IF($B176=1,$D$23,IF(N(Vintage_Input!N125)&gt;0,IFERROR(Vintage_Input!BB125/$C176,""),""))</f>
        <v/>
      </c>
      <c r="AU176" s="152">
        <f>IF($B176=1,$E$23,IF(N(Vintage_Input!O125)&gt;0,IFERROR(Vintage_Input!BC125/$C176,""),""))</f>
        <v/>
      </c>
      <c r="AV176" s="152">
        <f>IF($B176=1,$F$23,IF(N(Vintage_Input!P125)&gt;0,IFERROR(Vintage_Input!BD125/$C176,""),""))</f>
        <v/>
      </c>
      <c r="AW176" s="152">
        <f>IF($B176=1,$G$23,IF(N(Vintage_Input!Q125)&gt;0,IFERROR(Vintage_Input!BE125/$C176,""),""))</f>
        <v/>
      </c>
      <c r="AX176" s="152">
        <f>IF($B176=1,$H$23,IF(N(Vintage_Input!R125)&gt;0,IFERROR(Vintage_Input!BF125/$C176,""),""))</f>
        <v/>
      </c>
      <c r="AY176" s="152">
        <f>IF($B176=1,$I$23,IF(N(Vintage_Input!S125)&gt;0,IFERROR(Vintage_Input!BG125/$C176,""),""))</f>
        <v/>
      </c>
      <c r="AZ176" s="153">
        <f>IF($B176=1,$B$24,IF(N(Vintage_Input!L125)&gt;0,IFERROR((Vintage_Input!D125+Vintage_Input!AR125)/$C176+Products!$D$14-(Products!$D$43+Products!$D$19+Products!$D$43*Products!$D$22+Products!$D$44),""),""))</f>
        <v/>
      </c>
      <c r="BA176" s="153">
        <f>IF($B176=1,$C$24,IF(N(Vintage_Input!M125)&gt;0,IFERROR((Vintage_Input!E125+Vintage_Input!AS125)/$C176+Products!$D$14-(Products!$D$43+Products!$D$19+Products!$D$43*Products!$D$22+Products!$D$44),""),""))</f>
        <v/>
      </c>
      <c r="BB176" s="153">
        <f>IF($B176=1,$D$24,IF(N(Vintage_Input!N125)&gt;0,IFERROR((Vintage_Input!F125+Vintage_Input!AT125)/$C176+Products!$D$14-(Products!$D$43+Products!$D$19+Products!$D$43*Products!$D$22+Products!$D$44),""),""))</f>
        <v/>
      </c>
      <c r="BC176" s="153">
        <f>IF($B176=1,$E$24,IF(N(Vintage_Input!O125)&gt;0,IFERROR((Vintage_Input!G125+Vintage_Input!AU125)/$C176+Products!$D$14-(Products!$D$43+Products!$D$19+Products!$D$43*Products!$D$22+Products!$D$44),""),""))</f>
        <v/>
      </c>
      <c r="BD176" s="153">
        <f>IF($B176=1,$F$24,IF(N(Vintage_Input!P125)&gt;0,IFERROR((Vintage_Input!H125+Vintage_Input!AV125)/$C176+Products!$D$14-(Products!$D$43+Products!$D$19+Products!$D$43*Products!$D$22+Products!$D$44),""),""))</f>
        <v/>
      </c>
      <c r="BE176" s="153">
        <f>IF($B176=1,$G$24,IF(N(Vintage_Input!Q125)&gt;0,IFERROR((Vintage_Input!I125+Vintage_Input!AW125)/$C176+Products!$D$14-(Products!$D$43+Products!$D$19+Products!$D$43*Products!$D$22+Products!$D$44),""),""))</f>
        <v/>
      </c>
      <c r="BF176" s="153">
        <f>IF($B176=1,$H$24,IF(N(Vintage_Input!R125)&gt;0,IFERROR((Vintage_Input!J125+Vintage_Input!AX125)/$C176+Products!$D$14-(Products!$D$43+Products!$D$19+Products!$D$43*Products!$D$22+Products!$D$44),""),""))</f>
        <v/>
      </c>
      <c r="BG176" s="153">
        <f>IF($B176=1,$I$24,IF(N(Vintage_Input!S125)&gt;0,IFERROR((Vintage_Input!K125+Vintage_Input!AY125)/$C176+Products!$D$14-(Products!$D$43+Products!$D$19+Products!$D$43*Products!$D$22+Products!$D$44),""),""))</f>
        <v/>
      </c>
      <c r="BH176" s="81">
        <f>IF($B176=1,0,IF(Vintage_Input!$BH$125="","",Vintage_Input!$BH$125))</f>
        <v/>
      </c>
    </row>
    <row r="177">
      <c r="A177" s="23" t="n">
        <v>53</v>
      </c>
      <c r="B177" s="48">
        <f>Vintage_Input!$B$126</f>
        <v/>
      </c>
      <c r="C177" s="41">
        <f>IF(Vintage_Input!$C$126="",0,Vintage_Input!$C$126)</f>
        <v/>
      </c>
      <c r="D177" s="152">
        <f>IF($B177=1,$B$18,IF(N(Vintage_Input!L126)&gt;0,Vintage_Input!D126/Vintage_Input!L126,""))</f>
        <v/>
      </c>
      <c r="E177" s="152">
        <f>IF($B177=1,$C$18,IF(N(Vintage_Input!M126)&gt;0,Vintage_Input!E126/Vintage_Input!M126,""))</f>
        <v/>
      </c>
      <c r="F177" s="152">
        <f>IF($B177=1,$D$18,IF(N(Vintage_Input!N126)&gt;0,Vintage_Input!F126/Vintage_Input!N126,""))</f>
        <v/>
      </c>
      <c r="G177" s="152">
        <f>IF($B177=1,$E$18,IF(N(Vintage_Input!O126)&gt;0,Vintage_Input!G126/Vintage_Input!O126,""))</f>
        <v/>
      </c>
      <c r="H177" s="152">
        <f>IF($B177=1,$F$18,IF(N(Vintage_Input!P126)&gt;0,Vintage_Input!H126/Vintage_Input!P126,""))</f>
        <v/>
      </c>
      <c r="I177" s="152">
        <f>IF($B177=1,$G$18,IF(N(Vintage_Input!Q126)&gt;0,Vintage_Input!I126/Vintage_Input!Q126,""))</f>
        <v/>
      </c>
      <c r="J177" s="152">
        <f>IF($B177=1,$H$18,IF(N(Vintage_Input!R126)&gt;0,Vintage_Input!J126/Vintage_Input!R126,""))</f>
        <v/>
      </c>
      <c r="K177" s="152">
        <f>IF($B177=1,$I$18,IF(N(Vintage_Input!S126)&gt;0,Vintage_Input!K126/Vintage_Input!S126,""))</f>
        <v/>
      </c>
      <c r="L177" s="152">
        <f>IF($B177=1,$B$19,IF(N(Vintage_Input!L126)&gt;0,Vintage_Input!T126/Vintage_Input!L126,""))</f>
        <v/>
      </c>
      <c r="M177" s="152">
        <f>IF($B177=1,$C$19,IF(N(Vintage_Input!M126)&gt;0,Vintage_Input!U126/Vintage_Input!M126,""))</f>
        <v/>
      </c>
      <c r="N177" s="152">
        <f>IF($B177=1,$D$19,IF(N(Vintage_Input!N126)&gt;0,Vintage_Input!V126/Vintage_Input!N126,""))</f>
        <v/>
      </c>
      <c r="O177" s="152">
        <f>IF($B177=1,$E$19,IF(N(Vintage_Input!O126)&gt;0,Vintage_Input!W126/Vintage_Input!O126,""))</f>
        <v/>
      </c>
      <c r="P177" s="152">
        <f>IF($B177=1,$F$19,IF(N(Vintage_Input!P126)&gt;0,Vintage_Input!X126/Vintage_Input!P126,""))</f>
        <v/>
      </c>
      <c r="Q177" s="152">
        <f>IF($B177=1,$G$19,IF(N(Vintage_Input!Q126)&gt;0,Vintage_Input!Y126/Vintage_Input!Q126,""))</f>
        <v/>
      </c>
      <c r="R177" s="152">
        <f>IF($B177=1,$H$19,IF(N(Vintage_Input!R126)&gt;0,Vintage_Input!Z126/Vintage_Input!R126,""))</f>
        <v/>
      </c>
      <c r="S177" s="152">
        <f>IF($B177=1,$I$19,IF(N(Vintage_Input!S126)&gt;0,Vintage_Input!AA126/Vintage_Input!S126,""))</f>
        <v/>
      </c>
      <c r="T177" s="152">
        <f>IF($B177=1,$B$20,IF(N(Vintage_Input!L126)&gt;0,Vintage_Input!AB126/Vintage_Input!L126,""))</f>
        <v/>
      </c>
      <c r="U177" s="152">
        <f>IF($B177=1,$C$20,IF(N(Vintage_Input!M126)&gt;0,Vintage_Input!AC126/Vintage_Input!M126,""))</f>
        <v/>
      </c>
      <c r="V177" s="152">
        <f>IF($B177=1,$D$20,IF(N(Vintage_Input!N126)&gt;0,Vintage_Input!AD126/Vintage_Input!N126,""))</f>
        <v/>
      </c>
      <c r="W177" s="152">
        <f>IF($B177=1,$E$20,IF(N(Vintage_Input!O126)&gt;0,Vintage_Input!AE126/Vintage_Input!O126,""))</f>
        <v/>
      </c>
      <c r="X177" s="152">
        <f>IF($B177=1,$F$20,IF(N(Vintage_Input!P126)&gt;0,Vintage_Input!AF126/Vintage_Input!P126,""))</f>
        <v/>
      </c>
      <c r="Y177" s="152">
        <f>IF($B177=1,$G$20,IF(N(Vintage_Input!Q126)&gt;0,Vintage_Input!AG126/Vintage_Input!Q126,""))</f>
        <v/>
      </c>
      <c r="Z177" s="152">
        <f>IF($B177=1,$H$20,IF(N(Vintage_Input!R126)&gt;0,Vintage_Input!AH126/Vintage_Input!R126,""))</f>
        <v/>
      </c>
      <c r="AA177" s="152">
        <f>IF($B177=1,$I$20,IF(N(Vintage_Input!S126)&gt;0,Vintage_Input!AI126/Vintage_Input!S126,""))</f>
        <v/>
      </c>
      <c r="AB177" s="152">
        <f>IF($B177=1,$B$21,IF(N(Vintage_Input!L126)&gt;0,Vintage_Input!AJ126/Vintage_Input!L126,""))</f>
        <v/>
      </c>
      <c r="AC177" s="152">
        <f>IF($B177=1,$C$21,IF(N(Vintage_Input!M126)&gt;0,Vintage_Input!AK126/Vintage_Input!M126,""))</f>
        <v/>
      </c>
      <c r="AD177" s="152">
        <f>IF($B177=1,$D$21,IF(N(Vintage_Input!N126)&gt;0,Vintage_Input!AL126/Vintage_Input!N126,""))</f>
        <v/>
      </c>
      <c r="AE177" s="152">
        <f>IF($B177=1,$E$21,IF(N(Vintage_Input!O126)&gt;0,Vintage_Input!AM126/Vintage_Input!O126,""))</f>
        <v/>
      </c>
      <c r="AF177" s="152">
        <f>IF($B177=1,$F$21,IF(N(Vintage_Input!P126)&gt;0,Vintage_Input!AN126/Vintage_Input!P126,""))</f>
        <v/>
      </c>
      <c r="AG177" s="152">
        <f>IF($B177=1,$G$21,IF(N(Vintage_Input!Q126)&gt;0,Vintage_Input!AO126/Vintage_Input!Q126,""))</f>
        <v/>
      </c>
      <c r="AH177" s="152">
        <f>IF($B177=1,$H$21,IF(N(Vintage_Input!R126)&gt;0,Vintage_Input!AP126/Vintage_Input!R126,""))</f>
        <v/>
      </c>
      <c r="AI177" s="152">
        <f>IF($B177=1,$I$21,IF(N(Vintage_Input!S126)&gt;0,Vintage_Input!AQ126/Vintage_Input!S126,""))</f>
        <v/>
      </c>
      <c r="AJ177" s="152">
        <f>IF($B177=1,$B$22,IF(N(Vintage_Input!L126)&gt;0,IFERROR(Vintage_Input!AR126/Vintage_Input!AJ126,""),""))</f>
        <v/>
      </c>
      <c r="AK177" s="152">
        <f>IF($B177=1,$C$22,IF(N(Vintage_Input!M126)&gt;0,IFERROR(Vintage_Input!AS126/Vintage_Input!AK126,""),""))</f>
        <v/>
      </c>
      <c r="AL177" s="152">
        <f>IF($B177=1,$D$22,IF(N(Vintage_Input!N126)&gt;0,IFERROR(Vintage_Input!AT126/Vintage_Input!AL126,""),""))</f>
        <v/>
      </c>
      <c r="AM177" s="152">
        <f>IF($B177=1,$E$22,IF(N(Vintage_Input!O126)&gt;0,IFERROR(Vintage_Input!AU126/Vintage_Input!AM126,""),""))</f>
        <v/>
      </c>
      <c r="AN177" s="152">
        <f>IF($B177=1,$F$22,IF(N(Vintage_Input!P126)&gt;0,IFERROR(Vintage_Input!AV126/Vintage_Input!AN126,""),""))</f>
        <v/>
      </c>
      <c r="AO177" s="152">
        <f>IF($B177=1,$G$22,IF(N(Vintage_Input!Q126)&gt;0,IFERROR(Vintage_Input!AW126/Vintage_Input!AO126,""),""))</f>
        <v/>
      </c>
      <c r="AP177" s="152">
        <f>IF($B177=1,$H$22,IF(N(Vintage_Input!R126)&gt;0,IFERROR(Vintage_Input!AX126/Vintage_Input!AP126,""),""))</f>
        <v/>
      </c>
      <c r="AQ177" s="152">
        <f>IF($B177=1,$I$22,IF(N(Vintage_Input!S126)&gt;0,IFERROR(Vintage_Input!AY126/Vintage_Input!AQ126,""),""))</f>
        <v/>
      </c>
      <c r="AR177" s="152">
        <f>IF($B177=1,$B$23,IF(N(Vintage_Input!L126)&gt;0,IFERROR(Vintage_Input!AZ126/$C177,""),""))</f>
        <v/>
      </c>
      <c r="AS177" s="152">
        <f>IF($B177=1,$C$23,IF(N(Vintage_Input!M126)&gt;0,IFERROR(Vintage_Input!BA126/$C177,""),""))</f>
        <v/>
      </c>
      <c r="AT177" s="152">
        <f>IF($B177=1,$D$23,IF(N(Vintage_Input!N126)&gt;0,IFERROR(Vintage_Input!BB126/$C177,""),""))</f>
        <v/>
      </c>
      <c r="AU177" s="152">
        <f>IF($B177=1,$E$23,IF(N(Vintage_Input!O126)&gt;0,IFERROR(Vintage_Input!BC126/$C177,""),""))</f>
        <v/>
      </c>
      <c r="AV177" s="152">
        <f>IF($B177=1,$F$23,IF(N(Vintage_Input!P126)&gt;0,IFERROR(Vintage_Input!BD126/$C177,""),""))</f>
        <v/>
      </c>
      <c r="AW177" s="152">
        <f>IF($B177=1,$G$23,IF(N(Vintage_Input!Q126)&gt;0,IFERROR(Vintage_Input!BE126/$C177,""),""))</f>
        <v/>
      </c>
      <c r="AX177" s="152">
        <f>IF($B177=1,$H$23,IF(N(Vintage_Input!R126)&gt;0,IFERROR(Vintage_Input!BF126/$C177,""),""))</f>
        <v/>
      </c>
      <c r="AY177" s="152">
        <f>IF($B177=1,$I$23,IF(N(Vintage_Input!S126)&gt;0,IFERROR(Vintage_Input!BG126/$C177,""),""))</f>
        <v/>
      </c>
      <c r="AZ177" s="153">
        <f>IF($B177=1,$B$24,IF(N(Vintage_Input!L126)&gt;0,IFERROR((Vintage_Input!D126+Vintage_Input!AR126)/$C177+Products!$D$14-(Products!$D$43+Products!$D$19+Products!$D$43*Products!$D$22+Products!$D$44),""),""))</f>
        <v/>
      </c>
      <c r="BA177" s="153">
        <f>IF($B177=1,$C$24,IF(N(Vintage_Input!M126)&gt;0,IFERROR((Vintage_Input!E126+Vintage_Input!AS126)/$C177+Products!$D$14-(Products!$D$43+Products!$D$19+Products!$D$43*Products!$D$22+Products!$D$44),""),""))</f>
        <v/>
      </c>
      <c r="BB177" s="153">
        <f>IF($B177=1,$D$24,IF(N(Vintage_Input!N126)&gt;0,IFERROR((Vintage_Input!F126+Vintage_Input!AT126)/$C177+Products!$D$14-(Products!$D$43+Products!$D$19+Products!$D$43*Products!$D$22+Products!$D$44),""),""))</f>
        <v/>
      </c>
      <c r="BC177" s="153">
        <f>IF($B177=1,$E$24,IF(N(Vintage_Input!O126)&gt;0,IFERROR((Vintage_Input!G126+Vintage_Input!AU126)/$C177+Products!$D$14-(Products!$D$43+Products!$D$19+Products!$D$43*Products!$D$22+Products!$D$44),""),""))</f>
        <v/>
      </c>
      <c r="BD177" s="153">
        <f>IF($B177=1,$F$24,IF(N(Vintage_Input!P126)&gt;0,IFERROR((Vintage_Input!H126+Vintage_Input!AV126)/$C177+Products!$D$14-(Products!$D$43+Products!$D$19+Products!$D$43*Products!$D$22+Products!$D$44),""),""))</f>
        <v/>
      </c>
      <c r="BE177" s="153">
        <f>IF($B177=1,$G$24,IF(N(Vintage_Input!Q126)&gt;0,IFERROR((Vintage_Input!I126+Vintage_Input!AW126)/$C177+Products!$D$14-(Products!$D$43+Products!$D$19+Products!$D$43*Products!$D$22+Products!$D$44),""),""))</f>
        <v/>
      </c>
      <c r="BF177" s="153">
        <f>IF($B177=1,$H$24,IF(N(Vintage_Input!R126)&gt;0,IFERROR((Vintage_Input!J126+Vintage_Input!AX126)/$C177+Products!$D$14-(Products!$D$43+Products!$D$19+Products!$D$43*Products!$D$22+Products!$D$44),""),""))</f>
        <v/>
      </c>
      <c r="BG177" s="153">
        <f>IF($B177=1,$I$24,IF(N(Vintage_Input!S126)&gt;0,IFERROR((Vintage_Input!K126+Vintage_Input!AY126)/$C177+Products!$D$14-(Products!$D$43+Products!$D$19+Products!$D$43*Products!$D$22+Products!$D$44),""),""))</f>
        <v/>
      </c>
      <c r="BH177" s="81">
        <f>IF($B177=1,0,IF(Vintage_Input!$BH$126="","",Vintage_Input!$BH$126))</f>
        <v/>
      </c>
    </row>
    <row r="178">
      <c r="A178" s="23" t="n">
        <v>54</v>
      </c>
      <c r="B178" s="48">
        <f>Vintage_Input!$B$127</f>
        <v/>
      </c>
      <c r="C178" s="41">
        <f>IF(Vintage_Input!$C$127="",0,Vintage_Input!$C$127)</f>
        <v/>
      </c>
      <c r="D178" s="152">
        <f>IF($B178=1,$B$18,IF(N(Vintage_Input!L127)&gt;0,Vintage_Input!D127/Vintage_Input!L127,""))</f>
        <v/>
      </c>
      <c r="E178" s="152">
        <f>IF($B178=1,$C$18,IF(N(Vintage_Input!M127)&gt;0,Vintage_Input!E127/Vintage_Input!M127,""))</f>
        <v/>
      </c>
      <c r="F178" s="152">
        <f>IF($B178=1,$D$18,IF(N(Vintage_Input!N127)&gt;0,Vintage_Input!F127/Vintage_Input!N127,""))</f>
        <v/>
      </c>
      <c r="G178" s="152">
        <f>IF($B178=1,$E$18,IF(N(Vintage_Input!O127)&gt;0,Vintage_Input!G127/Vintage_Input!O127,""))</f>
        <v/>
      </c>
      <c r="H178" s="152">
        <f>IF($B178=1,$F$18,IF(N(Vintage_Input!P127)&gt;0,Vintage_Input!H127/Vintage_Input!P127,""))</f>
        <v/>
      </c>
      <c r="I178" s="152">
        <f>IF($B178=1,$G$18,IF(N(Vintage_Input!Q127)&gt;0,Vintage_Input!I127/Vintage_Input!Q127,""))</f>
        <v/>
      </c>
      <c r="J178" s="152">
        <f>IF($B178=1,$H$18,IF(N(Vintage_Input!R127)&gt;0,Vintage_Input!J127/Vintage_Input!R127,""))</f>
        <v/>
      </c>
      <c r="K178" s="152">
        <f>IF($B178=1,$I$18,IF(N(Vintage_Input!S127)&gt;0,Vintage_Input!K127/Vintage_Input!S127,""))</f>
        <v/>
      </c>
      <c r="L178" s="152">
        <f>IF($B178=1,$B$19,IF(N(Vintage_Input!L127)&gt;0,Vintage_Input!T127/Vintage_Input!L127,""))</f>
        <v/>
      </c>
      <c r="M178" s="152">
        <f>IF($B178=1,$C$19,IF(N(Vintage_Input!M127)&gt;0,Vintage_Input!U127/Vintage_Input!M127,""))</f>
        <v/>
      </c>
      <c r="N178" s="152">
        <f>IF($B178=1,$D$19,IF(N(Vintage_Input!N127)&gt;0,Vintage_Input!V127/Vintage_Input!N127,""))</f>
        <v/>
      </c>
      <c r="O178" s="152">
        <f>IF($B178=1,$E$19,IF(N(Vintage_Input!O127)&gt;0,Vintage_Input!W127/Vintage_Input!O127,""))</f>
        <v/>
      </c>
      <c r="P178" s="152">
        <f>IF($B178=1,$F$19,IF(N(Vintage_Input!P127)&gt;0,Vintage_Input!X127/Vintage_Input!P127,""))</f>
        <v/>
      </c>
      <c r="Q178" s="152">
        <f>IF($B178=1,$G$19,IF(N(Vintage_Input!Q127)&gt;0,Vintage_Input!Y127/Vintage_Input!Q127,""))</f>
        <v/>
      </c>
      <c r="R178" s="152">
        <f>IF($B178=1,$H$19,IF(N(Vintage_Input!R127)&gt;0,Vintage_Input!Z127/Vintage_Input!R127,""))</f>
        <v/>
      </c>
      <c r="S178" s="152">
        <f>IF($B178=1,$I$19,IF(N(Vintage_Input!S127)&gt;0,Vintage_Input!AA127/Vintage_Input!S127,""))</f>
        <v/>
      </c>
      <c r="T178" s="152">
        <f>IF($B178=1,$B$20,IF(N(Vintage_Input!L127)&gt;0,Vintage_Input!AB127/Vintage_Input!L127,""))</f>
        <v/>
      </c>
      <c r="U178" s="152">
        <f>IF($B178=1,$C$20,IF(N(Vintage_Input!M127)&gt;0,Vintage_Input!AC127/Vintage_Input!M127,""))</f>
        <v/>
      </c>
      <c r="V178" s="152">
        <f>IF($B178=1,$D$20,IF(N(Vintage_Input!N127)&gt;0,Vintage_Input!AD127/Vintage_Input!N127,""))</f>
        <v/>
      </c>
      <c r="W178" s="152">
        <f>IF($B178=1,$E$20,IF(N(Vintage_Input!O127)&gt;0,Vintage_Input!AE127/Vintage_Input!O127,""))</f>
        <v/>
      </c>
      <c r="X178" s="152">
        <f>IF($B178=1,$F$20,IF(N(Vintage_Input!P127)&gt;0,Vintage_Input!AF127/Vintage_Input!P127,""))</f>
        <v/>
      </c>
      <c r="Y178" s="152">
        <f>IF($B178=1,$G$20,IF(N(Vintage_Input!Q127)&gt;0,Vintage_Input!AG127/Vintage_Input!Q127,""))</f>
        <v/>
      </c>
      <c r="Z178" s="152">
        <f>IF($B178=1,$H$20,IF(N(Vintage_Input!R127)&gt;0,Vintage_Input!AH127/Vintage_Input!R127,""))</f>
        <v/>
      </c>
      <c r="AA178" s="152">
        <f>IF($B178=1,$I$20,IF(N(Vintage_Input!S127)&gt;0,Vintage_Input!AI127/Vintage_Input!S127,""))</f>
        <v/>
      </c>
      <c r="AB178" s="152">
        <f>IF($B178=1,$B$21,IF(N(Vintage_Input!L127)&gt;0,Vintage_Input!AJ127/Vintage_Input!L127,""))</f>
        <v/>
      </c>
      <c r="AC178" s="152">
        <f>IF($B178=1,$C$21,IF(N(Vintage_Input!M127)&gt;0,Vintage_Input!AK127/Vintage_Input!M127,""))</f>
        <v/>
      </c>
      <c r="AD178" s="152">
        <f>IF($B178=1,$D$21,IF(N(Vintage_Input!N127)&gt;0,Vintage_Input!AL127/Vintage_Input!N127,""))</f>
        <v/>
      </c>
      <c r="AE178" s="152">
        <f>IF($B178=1,$E$21,IF(N(Vintage_Input!O127)&gt;0,Vintage_Input!AM127/Vintage_Input!O127,""))</f>
        <v/>
      </c>
      <c r="AF178" s="152">
        <f>IF($B178=1,$F$21,IF(N(Vintage_Input!P127)&gt;0,Vintage_Input!AN127/Vintage_Input!P127,""))</f>
        <v/>
      </c>
      <c r="AG178" s="152">
        <f>IF($B178=1,$G$21,IF(N(Vintage_Input!Q127)&gt;0,Vintage_Input!AO127/Vintage_Input!Q127,""))</f>
        <v/>
      </c>
      <c r="AH178" s="152">
        <f>IF($B178=1,$H$21,IF(N(Vintage_Input!R127)&gt;0,Vintage_Input!AP127/Vintage_Input!R127,""))</f>
        <v/>
      </c>
      <c r="AI178" s="152">
        <f>IF($B178=1,$I$21,IF(N(Vintage_Input!S127)&gt;0,Vintage_Input!AQ127/Vintage_Input!S127,""))</f>
        <v/>
      </c>
      <c r="AJ178" s="152">
        <f>IF($B178=1,$B$22,IF(N(Vintage_Input!L127)&gt;0,IFERROR(Vintage_Input!AR127/Vintage_Input!AJ127,""),""))</f>
        <v/>
      </c>
      <c r="AK178" s="152">
        <f>IF($B178=1,$C$22,IF(N(Vintage_Input!M127)&gt;0,IFERROR(Vintage_Input!AS127/Vintage_Input!AK127,""),""))</f>
        <v/>
      </c>
      <c r="AL178" s="152">
        <f>IF($B178=1,$D$22,IF(N(Vintage_Input!N127)&gt;0,IFERROR(Vintage_Input!AT127/Vintage_Input!AL127,""),""))</f>
        <v/>
      </c>
      <c r="AM178" s="152">
        <f>IF($B178=1,$E$22,IF(N(Vintage_Input!O127)&gt;0,IFERROR(Vintage_Input!AU127/Vintage_Input!AM127,""),""))</f>
        <v/>
      </c>
      <c r="AN178" s="152">
        <f>IF($B178=1,$F$22,IF(N(Vintage_Input!P127)&gt;0,IFERROR(Vintage_Input!AV127/Vintage_Input!AN127,""),""))</f>
        <v/>
      </c>
      <c r="AO178" s="152">
        <f>IF($B178=1,$G$22,IF(N(Vintage_Input!Q127)&gt;0,IFERROR(Vintage_Input!AW127/Vintage_Input!AO127,""),""))</f>
        <v/>
      </c>
      <c r="AP178" s="152">
        <f>IF($B178=1,$H$22,IF(N(Vintage_Input!R127)&gt;0,IFERROR(Vintage_Input!AX127/Vintage_Input!AP127,""),""))</f>
        <v/>
      </c>
      <c r="AQ178" s="152">
        <f>IF($B178=1,$I$22,IF(N(Vintage_Input!S127)&gt;0,IFERROR(Vintage_Input!AY127/Vintage_Input!AQ127,""),""))</f>
        <v/>
      </c>
      <c r="AR178" s="152">
        <f>IF($B178=1,$B$23,IF(N(Vintage_Input!L127)&gt;0,IFERROR(Vintage_Input!AZ127/$C178,""),""))</f>
        <v/>
      </c>
      <c r="AS178" s="152">
        <f>IF($B178=1,$C$23,IF(N(Vintage_Input!M127)&gt;0,IFERROR(Vintage_Input!BA127/$C178,""),""))</f>
        <v/>
      </c>
      <c r="AT178" s="152">
        <f>IF($B178=1,$D$23,IF(N(Vintage_Input!N127)&gt;0,IFERROR(Vintage_Input!BB127/$C178,""),""))</f>
        <v/>
      </c>
      <c r="AU178" s="152">
        <f>IF($B178=1,$E$23,IF(N(Vintage_Input!O127)&gt;0,IFERROR(Vintage_Input!BC127/$C178,""),""))</f>
        <v/>
      </c>
      <c r="AV178" s="152">
        <f>IF($B178=1,$F$23,IF(N(Vintage_Input!P127)&gt;0,IFERROR(Vintage_Input!BD127/$C178,""),""))</f>
        <v/>
      </c>
      <c r="AW178" s="152">
        <f>IF($B178=1,$G$23,IF(N(Vintage_Input!Q127)&gt;0,IFERROR(Vintage_Input!BE127/$C178,""),""))</f>
        <v/>
      </c>
      <c r="AX178" s="152">
        <f>IF($B178=1,$H$23,IF(N(Vintage_Input!R127)&gt;0,IFERROR(Vintage_Input!BF127/$C178,""),""))</f>
        <v/>
      </c>
      <c r="AY178" s="152">
        <f>IF($B178=1,$I$23,IF(N(Vintage_Input!S127)&gt;0,IFERROR(Vintage_Input!BG127/$C178,""),""))</f>
        <v/>
      </c>
      <c r="AZ178" s="153">
        <f>IF($B178=1,$B$24,IF(N(Vintage_Input!L127)&gt;0,IFERROR((Vintage_Input!D127+Vintage_Input!AR127)/$C178+Products!$D$14-(Products!$D$43+Products!$D$19+Products!$D$43*Products!$D$22+Products!$D$44),""),""))</f>
        <v/>
      </c>
      <c r="BA178" s="153">
        <f>IF($B178=1,$C$24,IF(N(Vintage_Input!M127)&gt;0,IFERROR((Vintage_Input!E127+Vintage_Input!AS127)/$C178+Products!$D$14-(Products!$D$43+Products!$D$19+Products!$D$43*Products!$D$22+Products!$D$44),""),""))</f>
        <v/>
      </c>
      <c r="BB178" s="153">
        <f>IF($B178=1,$D$24,IF(N(Vintage_Input!N127)&gt;0,IFERROR((Vintage_Input!F127+Vintage_Input!AT127)/$C178+Products!$D$14-(Products!$D$43+Products!$D$19+Products!$D$43*Products!$D$22+Products!$D$44),""),""))</f>
        <v/>
      </c>
      <c r="BC178" s="153">
        <f>IF($B178=1,$E$24,IF(N(Vintage_Input!O127)&gt;0,IFERROR((Vintage_Input!G127+Vintage_Input!AU127)/$C178+Products!$D$14-(Products!$D$43+Products!$D$19+Products!$D$43*Products!$D$22+Products!$D$44),""),""))</f>
        <v/>
      </c>
      <c r="BD178" s="153">
        <f>IF($B178=1,$F$24,IF(N(Vintage_Input!P127)&gt;0,IFERROR((Vintage_Input!H127+Vintage_Input!AV127)/$C178+Products!$D$14-(Products!$D$43+Products!$D$19+Products!$D$43*Products!$D$22+Products!$D$44),""),""))</f>
        <v/>
      </c>
      <c r="BE178" s="153">
        <f>IF($B178=1,$G$24,IF(N(Vintage_Input!Q127)&gt;0,IFERROR((Vintage_Input!I127+Vintage_Input!AW127)/$C178+Products!$D$14-(Products!$D$43+Products!$D$19+Products!$D$43*Products!$D$22+Products!$D$44),""),""))</f>
        <v/>
      </c>
      <c r="BF178" s="153">
        <f>IF($B178=1,$H$24,IF(N(Vintage_Input!R127)&gt;0,IFERROR((Vintage_Input!J127+Vintage_Input!AX127)/$C178+Products!$D$14-(Products!$D$43+Products!$D$19+Products!$D$43*Products!$D$22+Products!$D$44),""),""))</f>
        <v/>
      </c>
      <c r="BG178" s="153">
        <f>IF($B178=1,$I$24,IF(N(Vintage_Input!S127)&gt;0,IFERROR((Vintage_Input!K127+Vintage_Input!AY127)/$C178+Products!$D$14-(Products!$D$43+Products!$D$19+Products!$D$43*Products!$D$22+Products!$D$44),""),""))</f>
        <v/>
      </c>
      <c r="BH178" s="81">
        <f>IF($B178=1,0,IF(Vintage_Input!$BH$127="","",Vintage_Input!$BH$127))</f>
        <v/>
      </c>
    </row>
    <row r="179">
      <c r="A179" s="23" t="n">
        <v>55</v>
      </c>
      <c r="B179" s="48">
        <f>Vintage_Input!$B$128</f>
        <v/>
      </c>
      <c r="C179" s="41">
        <f>IF(Vintage_Input!$C$128="",0,Vintage_Input!$C$128)</f>
        <v/>
      </c>
      <c r="D179" s="152">
        <f>IF($B179=1,$B$18,IF(N(Vintage_Input!L128)&gt;0,Vintage_Input!D128/Vintage_Input!L128,""))</f>
        <v/>
      </c>
      <c r="E179" s="152">
        <f>IF($B179=1,$C$18,IF(N(Vintage_Input!M128)&gt;0,Vintage_Input!E128/Vintage_Input!M128,""))</f>
        <v/>
      </c>
      <c r="F179" s="152">
        <f>IF($B179=1,$D$18,IF(N(Vintage_Input!N128)&gt;0,Vintage_Input!F128/Vintage_Input!N128,""))</f>
        <v/>
      </c>
      <c r="G179" s="152">
        <f>IF($B179=1,$E$18,IF(N(Vintage_Input!O128)&gt;0,Vintage_Input!G128/Vintage_Input!O128,""))</f>
        <v/>
      </c>
      <c r="H179" s="152">
        <f>IF($B179=1,$F$18,IF(N(Vintage_Input!P128)&gt;0,Vintage_Input!H128/Vintage_Input!P128,""))</f>
        <v/>
      </c>
      <c r="I179" s="152">
        <f>IF($B179=1,$G$18,IF(N(Vintage_Input!Q128)&gt;0,Vintage_Input!I128/Vintage_Input!Q128,""))</f>
        <v/>
      </c>
      <c r="J179" s="152">
        <f>IF($B179=1,$H$18,IF(N(Vintage_Input!R128)&gt;0,Vintage_Input!J128/Vintage_Input!R128,""))</f>
        <v/>
      </c>
      <c r="K179" s="152">
        <f>IF($B179=1,$I$18,IF(N(Vintage_Input!S128)&gt;0,Vintage_Input!K128/Vintage_Input!S128,""))</f>
        <v/>
      </c>
      <c r="L179" s="152">
        <f>IF($B179=1,$B$19,IF(N(Vintage_Input!L128)&gt;0,Vintage_Input!T128/Vintage_Input!L128,""))</f>
        <v/>
      </c>
      <c r="M179" s="152">
        <f>IF($B179=1,$C$19,IF(N(Vintage_Input!M128)&gt;0,Vintage_Input!U128/Vintage_Input!M128,""))</f>
        <v/>
      </c>
      <c r="N179" s="152">
        <f>IF($B179=1,$D$19,IF(N(Vintage_Input!N128)&gt;0,Vintage_Input!V128/Vintage_Input!N128,""))</f>
        <v/>
      </c>
      <c r="O179" s="152">
        <f>IF($B179=1,$E$19,IF(N(Vintage_Input!O128)&gt;0,Vintage_Input!W128/Vintage_Input!O128,""))</f>
        <v/>
      </c>
      <c r="P179" s="152">
        <f>IF($B179=1,$F$19,IF(N(Vintage_Input!P128)&gt;0,Vintage_Input!X128/Vintage_Input!P128,""))</f>
        <v/>
      </c>
      <c r="Q179" s="152">
        <f>IF($B179=1,$G$19,IF(N(Vintage_Input!Q128)&gt;0,Vintage_Input!Y128/Vintage_Input!Q128,""))</f>
        <v/>
      </c>
      <c r="R179" s="152">
        <f>IF($B179=1,$H$19,IF(N(Vintage_Input!R128)&gt;0,Vintage_Input!Z128/Vintage_Input!R128,""))</f>
        <v/>
      </c>
      <c r="S179" s="152">
        <f>IF($B179=1,$I$19,IF(N(Vintage_Input!S128)&gt;0,Vintage_Input!AA128/Vintage_Input!S128,""))</f>
        <v/>
      </c>
      <c r="T179" s="152">
        <f>IF($B179=1,$B$20,IF(N(Vintage_Input!L128)&gt;0,Vintage_Input!AB128/Vintage_Input!L128,""))</f>
        <v/>
      </c>
      <c r="U179" s="152">
        <f>IF($B179=1,$C$20,IF(N(Vintage_Input!M128)&gt;0,Vintage_Input!AC128/Vintage_Input!M128,""))</f>
        <v/>
      </c>
      <c r="V179" s="152">
        <f>IF($B179=1,$D$20,IF(N(Vintage_Input!N128)&gt;0,Vintage_Input!AD128/Vintage_Input!N128,""))</f>
        <v/>
      </c>
      <c r="W179" s="152">
        <f>IF($B179=1,$E$20,IF(N(Vintage_Input!O128)&gt;0,Vintage_Input!AE128/Vintage_Input!O128,""))</f>
        <v/>
      </c>
      <c r="X179" s="152">
        <f>IF($B179=1,$F$20,IF(N(Vintage_Input!P128)&gt;0,Vintage_Input!AF128/Vintage_Input!P128,""))</f>
        <v/>
      </c>
      <c r="Y179" s="152">
        <f>IF($B179=1,$G$20,IF(N(Vintage_Input!Q128)&gt;0,Vintage_Input!AG128/Vintage_Input!Q128,""))</f>
        <v/>
      </c>
      <c r="Z179" s="152">
        <f>IF($B179=1,$H$20,IF(N(Vintage_Input!R128)&gt;0,Vintage_Input!AH128/Vintage_Input!R128,""))</f>
        <v/>
      </c>
      <c r="AA179" s="152">
        <f>IF($B179=1,$I$20,IF(N(Vintage_Input!S128)&gt;0,Vintage_Input!AI128/Vintage_Input!S128,""))</f>
        <v/>
      </c>
      <c r="AB179" s="152">
        <f>IF($B179=1,$B$21,IF(N(Vintage_Input!L128)&gt;0,Vintage_Input!AJ128/Vintage_Input!L128,""))</f>
        <v/>
      </c>
      <c r="AC179" s="152">
        <f>IF($B179=1,$C$21,IF(N(Vintage_Input!M128)&gt;0,Vintage_Input!AK128/Vintage_Input!M128,""))</f>
        <v/>
      </c>
      <c r="AD179" s="152">
        <f>IF($B179=1,$D$21,IF(N(Vintage_Input!N128)&gt;0,Vintage_Input!AL128/Vintage_Input!N128,""))</f>
        <v/>
      </c>
      <c r="AE179" s="152">
        <f>IF($B179=1,$E$21,IF(N(Vintage_Input!O128)&gt;0,Vintage_Input!AM128/Vintage_Input!O128,""))</f>
        <v/>
      </c>
      <c r="AF179" s="152">
        <f>IF($B179=1,$F$21,IF(N(Vintage_Input!P128)&gt;0,Vintage_Input!AN128/Vintage_Input!P128,""))</f>
        <v/>
      </c>
      <c r="AG179" s="152">
        <f>IF($B179=1,$G$21,IF(N(Vintage_Input!Q128)&gt;0,Vintage_Input!AO128/Vintage_Input!Q128,""))</f>
        <v/>
      </c>
      <c r="AH179" s="152">
        <f>IF($B179=1,$H$21,IF(N(Vintage_Input!R128)&gt;0,Vintage_Input!AP128/Vintage_Input!R128,""))</f>
        <v/>
      </c>
      <c r="AI179" s="152">
        <f>IF($B179=1,$I$21,IF(N(Vintage_Input!S128)&gt;0,Vintage_Input!AQ128/Vintage_Input!S128,""))</f>
        <v/>
      </c>
      <c r="AJ179" s="152">
        <f>IF($B179=1,$B$22,IF(N(Vintage_Input!L128)&gt;0,IFERROR(Vintage_Input!AR128/Vintage_Input!AJ128,""),""))</f>
        <v/>
      </c>
      <c r="AK179" s="152">
        <f>IF($B179=1,$C$22,IF(N(Vintage_Input!M128)&gt;0,IFERROR(Vintage_Input!AS128/Vintage_Input!AK128,""),""))</f>
        <v/>
      </c>
      <c r="AL179" s="152">
        <f>IF($B179=1,$D$22,IF(N(Vintage_Input!N128)&gt;0,IFERROR(Vintage_Input!AT128/Vintage_Input!AL128,""),""))</f>
        <v/>
      </c>
      <c r="AM179" s="152">
        <f>IF($B179=1,$E$22,IF(N(Vintage_Input!O128)&gt;0,IFERROR(Vintage_Input!AU128/Vintage_Input!AM128,""),""))</f>
        <v/>
      </c>
      <c r="AN179" s="152">
        <f>IF($B179=1,$F$22,IF(N(Vintage_Input!P128)&gt;0,IFERROR(Vintage_Input!AV128/Vintage_Input!AN128,""),""))</f>
        <v/>
      </c>
      <c r="AO179" s="152">
        <f>IF($B179=1,$G$22,IF(N(Vintage_Input!Q128)&gt;0,IFERROR(Vintage_Input!AW128/Vintage_Input!AO128,""),""))</f>
        <v/>
      </c>
      <c r="AP179" s="152">
        <f>IF($B179=1,$H$22,IF(N(Vintage_Input!R128)&gt;0,IFERROR(Vintage_Input!AX128/Vintage_Input!AP128,""),""))</f>
        <v/>
      </c>
      <c r="AQ179" s="152">
        <f>IF($B179=1,$I$22,IF(N(Vintage_Input!S128)&gt;0,IFERROR(Vintage_Input!AY128/Vintage_Input!AQ128,""),""))</f>
        <v/>
      </c>
      <c r="AR179" s="152">
        <f>IF($B179=1,$B$23,IF(N(Vintage_Input!L128)&gt;0,IFERROR(Vintage_Input!AZ128/$C179,""),""))</f>
        <v/>
      </c>
      <c r="AS179" s="152">
        <f>IF($B179=1,$C$23,IF(N(Vintage_Input!M128)&gt;0,IFERROR(Vintage_Input!BA128/$C179,""),""))</f>
        <v/>
      </c>
      <c r="AT179" s="152">
        <f>IF($B179=1,$D$23,IF(N(Vintage_Input!N128)&gt;0,IFERROR(Vintage_Input!BB128/$C179,""),""))</f>
        <v/>
      </c>
      <c r="AU179" s="152">
        <f>IF($B179=1,$E$23,IF(N(Vintage_Input!O128)&gt;0,IFERROR(Vintage_Input!BC128/$C179,""),""))</f>
        <v/>
      </c>
      <c r="AV179" s="152">
        <f>IF($B179=1,$F$23,IF(N(Vintage_Input!P128)&gt;0,IFERROR(Vintage_Input!BD128/$C179,""),""))</f>
        <v/>
      </c>
      <c r="AW179" s="152">
        <f>IF($B179=1,$G$23,IF(N(Vintage_Input!Q128)&gt;0,IFERROR(Vintage_Input!BE128/$C179,""),""))</f>
        <v/>
      </c>
      <c r="AX179" s="152">
        <f>IF($B179=1,$H$23,IF(N(Vintage_Input!R128)&gt;0,IFERROR(Vintage_Input!BF128/$C179,""),""))</f>
        <v/>
      </c>
      <c r="AY179" s="152">
        <f>IF($B179=1,$I$23,IF(N(Vintage_Input!S128)&gt;0,IFERROR(Vintage_Input!BG128/$C179,""),""))</f>
        <v/>
      </c>
      <c r="AZ179" s="153">
        <f>IF($B179=1,$B$24,IF(N(Vintage_Input!L128)&gt;0,IFERROR((Vintage_Input!D128+Vintage_Input!AR128)/$C179+Products!$D$14-(Products!$D$43+Products!$D$19+Products!$D$43*Products!$D$22+Products!$D$44),""),""))</f>
        <v/>
      </c>
      <c r="BA179" s="153">
        <f>IF($B179=1,$C$24,IF(N(Vintage_Input!M128)&gt;0,IFERROR((Vintage_Input!E128+Vintage_Input!AS128)/$C179+Products!$D$14-(Products!$D$43+Products!$D$19+Products!$D$43*Products!$D$22+Products!$D$44),""),""))</f>
        <v/>
      </c>
      <c r="BB179" s="153">
        <f>IF($B179=1,$D$24,IF(N(Vintage_Input!N128)&gt;0,IFERROR((Vintage_Input!F128+Vintage_Input!AT128)/$C179+Products!$D$14-(Products!$D$43+Products!$D$19+Products!$D$43*Products!$D$22+Products!$D$44),""),""))</f>
        <v/>
      </c>
      <c r="BC179" s="153">
        <f>IF($B179=1,$E$24,IF(N(Vintage_Input!O128)&gt;0,IFERROR((Vintage_Input!G128+Vintage_Input!AU128)/$C179+Products!$D$14-(Products!$D$43+Products!$D$19+Products!$D$43*Products!$D$22+Products!$D$44),""),""))</f>
        <v/>
      </c>
      <c r="BD179" s="153">
        <f>IF($B179=1,$F$24,IF(N(Vintage_Input!P128)&gt;0,IFERROR((Vintage_Input!H128+Vintage_Input!AV128)/$C179+Products!$D$14-(Products!$D$43+Products!$D$19+Products!$D$43*Products!$D$22+Products!$D$44),""),""))</f>
        <v/>
      </c>
      <c r="BE179" s="153">
        <f>IF($B179=1,$G$24,IF(N(Vintage_Input!Q128)&gt;0,IFERROR((Vintage_Input!I128+Vintage_Input!AW128)/$C179+Products!$D$14-(Products!$D$43+Products!$D$19+Products!$D$43*Products!$D$22+Products!$D$44),""),""))</f>
        <v/>
      </c>
      <c r="BF179" s="153">
        <f>IF($B179=1,$H$24,IF(N(Vintage_Input!R128)&gt;0,IFERROR((Vintage_Input!J128+Vintage_Input!AX128)/$C179+Products!$D$14-(Products!$D$43+Products!$D$19+Products!$D$43*Products!$D$22+Products!$D$44),""),""))</f>
        <v/>
      </c>
      <c r="BG179" s="153">
        <f>IF($B179=1,$I$24,IF(N(Vintage_Input!S128)&gt;0,IFERROR((Vintage_Input!K128+Vintage_Input!AY128)/$C179+Products!$D$14-(Products!$D$43+Products!$D$19+Products!$D$43*Products!$D$22+Products!$D$44),""),""))</f>
        <v/>
      </c>
      <c r="BH179" s="81">
        <f>IF($B179=1,0,IF(Vintage_Input!$BH$128="","",Vintage_Input!$BH$128))</f>
        <v/>
      </c>
    </row>
    <row r="180">
      <c r="A180" s="23" t="n">
        <v>56</v>
      </c>
      <c r="B180" s="48">
        <f>Vintage_Input!$B$129</f>
        <v/>
      </c>
      <c r="C180" s="41">
        <f>IF(Vintage_Input!$C$129="",0,Vintage_Input!$C$129)</f>
        <v/>
      </c>
      <c r="D180" s="152">
        <f>IF($B180=1,$B$18,IF(N(Vintage_Input!L129)&gt;0,Vintage_Input!D129/Vintage_Input!L129,""))</f>
        <v/>
      </c>
      <c r="E180" s="152">
        <f>IF($B180=1,$C$18,IF(N(Vintage_Input!M129)&gt;0,Vintage_Input!E129/Vintage_Input!M129,""))</f>
        <v/>
      </c>
      <c r="F180" s="152">
        <f>IF($B180=1,$D$18,IF(N(Vintage_Input!N129)&gt;0,Vintage_Input!F129/Vintage_Input!N129,""))</f>
        <v/>
      </c>
      <c r="G180" s="152">
        <f>IF($B180=1,$E$18,IF(N(Vintage_Input!O129)&gt;0,Vintage_Input!G129/Vintage_Input!O129,""))</f>
        <v/>
      </c>
      <c r="H180" s="152">
        <f>IF($B180=1,$F$18,IF(N(Vintage_Input!P129)&gt;0,Vintage_Input!H129/Vintage_Input!P129,""))</f>
        <v/>
      </c>
      <c r="I180" s="152">
        <f>IF($B180=1,$G$18,IF(N(Vintage_Input!Q129)&gt;0,Vintage_Input!I129/Vintage_Input!Q129,""))</f>
        <v/>
      </c>
      <c r="J180" s="152">
        <f>IF($B180=1,$H$18,IF(N(Vintage_Input!R129)&gt;0,Vintage_Input!J129/Vintage_Input!R129,""))</f>
        <v/>
      </c>
      <c r="K180" s="152">
        <f>IF($B180=1,$I$18,IF(N(Vintage_Input!S129)&gt;0,Vintage_Input!K129/Vintage_Input!S129,""))</f>
        <v/>
      </c>
      <c r="L180" s="152">
        <f>IF($B180=1,$B$19,IF(N(Vintage_Input!L129)&gt;0,Vintage_Input!T129/Vintage_Input!L129,""))</f>
        <v/>
      </c>
      <c r="M180" s="152">
        <f>IF($B180=1,$C$19,IF(N(Vintage_Input!M129)&gt;0,Vintage_Input!U129/Vintage_Input!M129,""))</f>
        <v/>
      </c>
      <c r="N180" s="152">
        <f>IF($B180=1,$D$19,IF(N(Vintage_Input!N129)&gt;0,Vintage_Input!V129/Vintage_Input!N129,""))</f>
        <v/>
      </c>
      <c r="O180" s="152">
        <f>IF($B180=1,$E$19,IF(N(Vintage_Input!O129)&gt;0,Vintage_Input!W129/Vintage_Input!O129,""))</f>
        <v/>
      </c>
      <c r="P180" s="152">
        <f>IF($B180=1,$F$19,IF(N(Vintage_Input!P129)&gt;0,Vintage_Input!X129/Vintage_Input!P129,""))</f>
        <v/>
      </c>
      <c r="Q180" s="152">
        <f>IF($B180=1,$G$19,IF(N(Vintage_Input!Q129)&gt;0,Vintage_Input!Y129/Vintage_Input!Q129,""))</f>
        <v/>
      </c>
      <c r="R180" s="152">
        <f>IF($B180=1,$H$19,IF(N(Vintage_Input!R129)&gt;0,Vintage_Input!Z129/Vintage_Input!R129,""))</f>
        <v/>
      </c>
      <c r="S180" s="152">
        <f>IF($B180=1,$I$19,IF(N(Vintage_Input!S129)&gt;0,Vintage_Input!AA129/Vintage_Input!S129,""))</f>
        <v/>
      </c>
      <c r="T180" s="152">
        <f>IF($B180=1,$B$20,IF(N(Vintage_Input!L129)&gt;0,Vintage_Input!AB129/Vintage_Input!L129,""))</f>
        <v/>
      </c>
      <c r="U180" s="152">
        <f>IF($B180=1,$C$20,IF(N(Vintage_Input!M129)&gt;0,Vintage_Input!AC129/Vintage_Input!M129,""))</f>
        <v/>
      </c>
      <c r="V180" s="152">
        <f>IF($B180=1,$D$20,IF(N(Vintage_Input!N129)&gt;0,Vintage_Input!AD129/Vintage_Input!N129,""))</f>
        <v/>
      </c>
      <c r="W180" s="152">
        <f>IF($B180=1,$E$20,IF(N(Vintage_Input!O129)&gt;0,Vintage_Input!AE129/Vintage_Input!O129,""))</f>
        <v/>
      </c>
      <c r="X180" s="152">
        <f>IF($B180=1,$F$20,IF(N(Vintage_Input!P129)&gt;0,Vintage_Input!AF129/Vintage_Input!P129,""))</f>
        <v/>
      </c>
      <c r="Y180" s="152">
        <f>IF($B180=1,$G$20,IF(N(Vintage_Input!Q129)&gt;0,Vintage_Input!AG129/Vintage_Input!Q129,""))</f>
        <v/>
      </c>
      <c r="Z180" s="152">
        <f>IF($B180=1,$H$20,IF(N(Vintage_Input!R129)&gt;0,Vintage_Input!AH129/Vintage_Input!R129,""))</f>
        <v/>
      </c>
      <c r="AA180" s="152">
        <f>IF($B180=1,$I$20,IF(N(Vintage_Input!S129)&gt;0,Vintage_Input!AI129/Vintage_Input!S129,""))</f>
        <v/>
      </c>
      <c r="AB180" s="152">
        <f>IF($B180=1,$B$21,IF(N(Vintage_Input!L129)&gt;0,Vintage_Input!AJ129/Vintage_Input!L129,""))</f>
        <v/>
      </c>
      <c r="AC180" s="152">
        <f>IF($B180=1,$C$21,IF(N(Vintage_Input!M129)&gt;0,Vintage_Input!AK129/Vintage_Input!M129,""))</f>
        <v/>
      </c>
      <c r="AD180" s="152">
        <f>IF($B180=1,$D$21,IF(N(Vintage_Input!N129)&gt;0,Vintage_Input!AL129/Vintage_Input!N129,""))</f>
        <v/>
      </c>
      <c r="AE180" s="152">
        <f>IF($B180=1,$E$21,IF(N(Vintage_Input!O129)&gt;0,Vintage_Input!AM129/Vintage_Input!O129,""))</f>
        <v/>
      </c>
      <c r="AF180" s="152">
        <f>IF($B180=1,$F$21,IF(N(Vintage_Input!P129)&gt;0,Vintage_Input!AN129/Vintage_Input!P129,""))</f>
        <v/>
      </c>
      <c r="AG180" s="152">
        <f>IF($B180=1,$G$21,IF(N(Vintage_Input!Q129)&gt;0,Vintage_Input!AO129/Vintage_Input!Q129,""))</f>
        <v/>
      </c>
      <c r="AH180" s="152">
        <f>IF($B180=1,$H$21,IF(N(Vintage_Input!R129)&gt;0,Vintage_Input!AP129/Vintage_Input!R129,""))</f>
        <v/>
      </c>
      <c r="AI180" s="152">
        <f>IF($B180=1,$I$21,IF(N(Vintage_Input!S129)&gt;0,Vintage_Input!AQ129/Vintage_Input!S129,""))</f>
        <v/>
      </c>
      <c r="AJ180" s="152">
        <f>IF($B180=1,$B$22,IF(N(Vintage_Input!L129)&gt;0,IFERROR(Vintage_Input!AR129/Vintage_Input!AJ129,""),""))</f>
        <v/>
      </c>
      <c r="AK180" s="152">
        <f>IF($B180=1,$C$22,IF(N(Vintage_Input!M129)&gt;0,IFERROR(Vintage_Input!AS129/Vintage_Input!AK129,""),""))</f>
        <v/>
      </c>
      <c r="AL180" s="152">
        <f>IF($B180=1,$D$22,IF(N(Vintage_Input!N129)&gt;0,IFERROR(Vintage_Input!AT129/Vintage_Input!AL129,""),""))</f>
        <v/>
      </c>
      <c r="AM180" s="152">
        <f>IF($B180=1,$E$22,IF(N(Vintage_Input!O129)&gt;0,IFERROR(Vintage_Input!AU129/Vintage_Input!AM129,""),""))</f>
        <v/>
      </c>
      <c r="AN180" s="152">
        <f>IF($B180=1,$F$22,IF(N(Vintage_Input!P129)&gt;0,IFERROR(Vintage_Input!AV129/Vintage_Input!AN129,""),""))</f>
        <v/>
      </c>
      <c r="AO180" s="152">
        <f>IF($B180=1,$G$22,IF(N(Vintage_Input!Q129)&gt;0,IFERROR(Vintage_Input!AW129/Vintage_Input!AO129,""),""))</f>
        <v/>
      </c>
      <c r="AP180" s="152">
        <f>IF($B180=1,$H$22,IF(N(Vintage_Input!R129)&gt;0,IFERROR(Vintage_Input!AX129/Vintage_Input!AP129,""),""))</f>
        <v/>
      </c>
      <c r="AQ180" s="152">
        <f>IF($B180=1,$I$22,IF(N(Vintage_Input!S129)&gt;0,IFERROR(Vintage_Input!AY129/Vintage_Input!AQ129,""),""))</f>
        <v/>
      </c>
      <c r="AR180" s="152">
        <f>IF($B180=1,$B$23,IF(N(Vintage_Input!L129)&gt;0,IFERROR(Vintage_Input!AZ129/$C180,""),""))</f>
        <v/>
      </c>
      <c r="AS180" s="152">
        <f>IF($B180=1,$C$23,IF(N(Vintage_Input!M129)&gt;0,IFERROR(Vintage_Input!BA129/$C180,""),""))</f>
        <v/>
      </c>
      <c r="AT180" s="152">
        <f>IF($B180=1,$D$23,IF(N(Vintage_Input!N129)&gt;0,IFERROR(Vintage_Input!BB129/$C180,""),""))</f>
        <v/>
      </c>
      <c r="AU180" s="152">
        <f>IF($B180=1,$E$23,IF(N(Vintage_Input!O129)&gt;0,IFERROR(Vintage_Input!BC129/$C180,""),""))</f>
        <v/>
      </c>
      <c r="AV180" s="152">
        <f>IF($B180=1,$F$23,IF(N(Vintage_Input!P129)&gt;0,IFERROR(Vintage_Input!BD129/$C180,""),""))</f>
        <v/>
      </c>
      <c r="AW180" s="152">
        <f>IF($B180=1,$G$23,IF(N(Vintage_Input!Q129)&gt;0,IFERROR(Vintage_Input!BE129/$C180,""),""))</f>
        <v/>
      </c>
      <c r="AX180" s="152">
        <f>IF($B180=1,$H$23,IF(N(Vintage_Input!R129)&gt;0,IFERROR(Vintage_Input!BF129/$C180,""),""))</f>
        <v/>
      </c>
      <c r="AY180" s="152">
        <f>IF($B180=1,$I$23,IF(N(Vintage_Input!S129)&gt;0,IFERROR(Vintage_Input!BG129/$C180,""),""))</f>
        <v/>
      </c>
      <c r="AZ180" s="153">
        <f>IF($B180=1,$B$24,IF(N(Vintage_Input!L129)&gt;0,IFERROR((Vintage_Input!D129+Vintage_Input!AR129)/$C180+Products!$D$14-(Products!$D$43+Products!$D$19+Products!$D$43*Products!$D$22+Products!$D$44),""),""))</f>
        <v/>
      </c>
      <c r="BA180" s="153">
        <f>IF($B180=1,$C$24,IF(N(Vintage_Input!M129)&gt;0,IFERROR((Vintage_Input!E129+Vintage_Input!AS129)/$C180+Products!$D$14-(Products!$D$43+Products!$D$19+Products!$D$43*Products!$D$22+Products!$D$44),""),""))</f>
        <v/>
      </c>
      <c r="BB180" s="153">
        <f>IF($B180=1,$D$24,IF(N(Vintage_Input!N129)&gt;0,IFERROR((Vintage_Input!F129+Vintage_Input!AT129)/$C180+Products!$D$14-(Products!$D$43+Products!$D$19+Products!$D$43*Products!$D$22+Products!$D$44),""),""))</f>
        <v/>
      </c>
      <c r="BC180" s="153">
        <f>IF($B180=1,$E$24,IF(N(Vintage_Input!O129)&gt;0,IFERROR((Vintage_Input!G129+Vintage_Input!AU129)/$C180+Products!$D$14-(Products!$D$43+Products!$D$19+Products!$D$43*Products!$D$22+Products!$D$44),""),""))</f>
        <v/>
      </c>
      <c r="BD180" s="153">
        <f>IF($B180=1,$F$24,IF(N(Vintage_Input!P129)&gt;0,IFERROR((Vintage_Input!H129+Vintage_Input!AV129)/$C180+Products!$D$14-(Products!$D$43+Products!$D$19+Products!$D$43*Products!$D$22+Products!$D$44),""),""))</f>
        <v/>
      </c>
      <c r="BE180" s="153">
        <f>IF($B180=1,$G$24,IF(N(Vintage_Input!Q129)&gt;0,IFERROR((Vintage_Input!I129+Vintage_Input!AW129)/$C180+Products!$D$14-(Products!$D$43+Products!$D$19+Products!$D$43*Products!$D$22+Products!$D$44),""),""))</f>
        <v/>
      </c>
      <c r="BF180" s="153">
        <f>IF($B180=1,$H$24,IF(N(Vintage_Input!R129)&gt;0,IFERROR((Vintage_Input!J129+Vintage_Input!AX129)/$C180+Products!$D$14-(Products!$D$43+Products!$D$19+Products!$D$43*Products!$D$22+Products!$D$44),""),""))</f>
        <v/>
      </c>
      <c r="BG180" s="153">
        <f>IF($B180=1,$I$24,IF(N(Vintage_Input!S129)&gt;0,IFERROR((Vintage_Input!K129+Vintage_Input!AY129)/$C180+Products!$D$14-(Products!$D$43+Products!$D$19+Products!$D$43*Products!$D$22+Products!$D$44),""),""))</f>
        <v/>
      </c>
      <c r="BH180" s="81">
        <f>IF($B180=1,0,IF(Vintage_Input!$BH$129="","",Vintage_Input!$BH$129))</f>
        <v/>
      </c>
    </row>
    <row r="181">
      <c r="A181" s="23" t="n">
        <v>57</v>
      </c>
      <c r="B181" s="48">
        <f>Vintage_Input!$B$130</f>
        <v/>
      </c>
      <c r="C181" s="41">
        <f>IF(Vintage_Input!$C$130="",0,Vintage_Input!$C$130)</f>
        <v/>
      </c>
      <c r="D181" s="152">
        <f>IF($B181=1,$B$18,IF(N(Vintage_Input!L130)&gt;0,Vintage_Input!D130/Vintage_Input!L130,""))</f>
        <v/>
      </c>
      <c r="E181" s="152">
        <f>IF($B181=1,$C$18,IF(N(Vintage_Input!M130)&gt;0,Vintage_Input!E130/Vintage_Input!M130,""))</f>
        <v/>
      </c>
      <c r="F181" s="152">
        <f>IF($B181=1,$D$18,IF(N(Vintage_Input!N130)&gt;0,Vintage_Input!F130/Vintage_Input!N130,""))</f>
        <v/>
      </c>
      <c r="G181" s="152">
        <f>IF($B181=1,$E$18,IF(N(Vintage_Input!O130)&gt;0,Vintage_Input!G130/Vintage_Input!O130,""))</f>
        <v/>
      </c>
      <c r="H181" s="152">
        <f>IF($B181=1,$F$18,IF(N(Vintage_Input!P130)&gt;0,Vintage_Input!H130/Vintage_Input!P130,""))</f>
        <v/>
      </c>
      <c r="I181" s="152">
        <f>IF($B181=1,$G$18,IF(N(Vintage_Input!Q130)&gt;0,Vintage_Input!I130/Vintage_Input!Q130,""))</f>
        <v/>
      </c>
      <c r="J181" s="152">
        <f>IF($B181=1,$H$18,IF(N(Vintage_Input!R130)&gt;0,Vintage_Input!J130/Vintage_Input!R130,""))</f>
        <v/>
      </c>
      <c r="K181" s="152">
        <f>IF($B181=1,$I$18,IF(N(Vintage_Input!S130)&gt;0,Vintage_Input!K130/Vintage_Input!S130,""))</f>
        <v/>
      </c>
      <c r="L181" s="152">
        <f>IF($B181=1,$B$19,IF(N(Vintage_Input!L130)&gt;0,Vintage_Input!T130/Vintage_Input!L130,""))</f>
        <v/>
      </c>
      <c r="M181" s="152">
        <f>IF($B181=1,$C$19,IF(N(Vintage_Input!M130)&gt;0,Vintage_Input!U130/Vintage_Input!M130,""))</f>
        <v/>
      </c>
      <c r="N181" s="152">
        <f>IF($B181=1,$D$19,IF(N(Vintage_Input!N130)&gt;0,Vintage_Input!V130/Vintage_Input!N130,""))</f>
        <v/>
      </c>
      <c r="O181" s="152">
        <f>IF($B181=1,$E$19,IF(N(Vintage_Input!O130)&gt;0,Vintage_Input!W130/Vintage_Input!O130,""))</f>
        <v/>
      </c>
      <c r="P181" s="152">
        <f>IF($B181=1,$F$19,IF(N(Vintage_Input!P130)&gt;0,Vintage_Input!X130/Vintage_Input!P130,""))</f>
        <v/>
      </c>
      <c r="Q181" s="152">
        <f>IF($B181=1,$G$19,IF(N(Vintage_Input!Q130)&gt;0,Vintage_Input!Y130/Vintage_Input!Q130,""))</f>
        <v/>
      </c>
      <c r="R181" s="152">
        <f>IF($B181=1,$H$19,IF(N(Vintage_Input!R130)&gt;0,Vintage_Input!Z130/Vintage_Input!R130,""))</f>
        <v/>
      </c>
      <c r="S181" s="152">
        <f>IF($B181=1,$I$19,IF(N(Vintage_Input!S130)&gt;0,Vintage_Input!AA130/Vintage_Input!S130,""))</f>
        <v/>
      </c>
      <c r="T181" s="152">
        <f>IF($B181=1,$B$20,IF(N(Vintage_Input!L130)&gt;0,Vintage_Input!AB130/Vintage_Input!L130,""))</f>
        <v/>
      </c>
      <c r="U181" s="152">
        <f>IF($B181=1,$C$20,IF(N(Vintage_Input!M130)&gt;0,Vintage_Input!AC130/Vintage_Input!M130,""))</f>
        <v/>
      </c>
      <c r="V181" s="152">
        <f>IF($B181=1,$D$20,IF(N(Vintage_Input!N130)&gt;0,Vintage_Input!AD130/Vintage_Input!N130,""))</f>
        <v/>
      </c>
      <c r="W181" s="152">
        <f>IF($B181=1,$E$20,IF(N(Vintage_Input!O130)&gt;0,Vintage_Input!AE130/Vintage_Input!O130,""))</f>
        <v/>
      </c>
      <c r="X181" s="152">
        <f>IF($B181=1,$F$20,IF(N(Vintage_Input!P130)&gt;0,Vintage_Input!AF130/Vintage_Input!P130,""))</f>
        <v/>
      </c>
      <c r="Y181" s="152">
        <f>IF($B181=1,$G$20,IF(N(Vintage_Input!Q130)&gt;0,Vintage_Input!AG130/Vintage_Input!Q130,""))</f>
        <v/>
      </c>
      <c r="Z181" s="152">
        <f>IF($B181=1,$H$20,IF(N(Vintage_Input!R130)&gt;0,Vintage_Input!AH130/Vintage_Input!R130,""))</f>
        <v/>
      </c>
      <c r="AA181" s="152">
        <f>IF($B181=1,$I$20,IF(N(Vintage_Input!S130)&gt;0,Vintage_Input!AI130/Vintage_Input!S130,""))</f>
        <v/>
      </c>
      <c r="AB181" s="152">
        <f>IF($B181=1,$B$21,IF(N(Vintage_Input!L130)&gt;0,Vintage_Input!AJ130/Vintage_Input!L130,""))</f>
        <v/>
      </c>
      <c r="AC181" s="152">
        <f>IF($B181=1,$C$21,IF(N(Vintage_Input!M130)&gt;0,Vintage_Input!AK130/Vintage_Input!M130,""))</f>
        <v/>
      </c>
      <c r="AD181" s="152">
        <f>IF($B181=1,$D$21,IF(N(Vintage_Input!N130)&gt;0,Vintage_Input!AL130/Vintage_Input!N130,""))</f>
        <v/>
      </c>
      <c r="AE181" s="152">
        <f>IF($B181=1,$E$21,IF(N(Vintage_Input!O130)&gt;0,Vintage_Input!AM130/Vintage_Input!O130,""))</f>
        <v/>
      </c>
      <c r="AF181" s="152">
        <f>IF($B181=1,$F$21,IF(N(Vintage_Input!P130)&gt;0,Vintage_Input!AN130/Vintage_Input!P130,""))</f>
        <v/>
      </c>
      <c r="AG181" s="152">
        <f>IF($B181=1,$G$21,IF(N(Vintage_Input!Q130)&gt;0,Vintage_Input!AO130/Vintage_Input!Q130,""))</f>
        <v/>
      </c>
      <c r="AH181" s="152">
        <f>IF($B181=1,$H$21,IF(N(Vintage_Input!R130)&gt;0,Vintage_Input!AP130/Vintage_Input!R130,""))</f>
        <v/>
      </c>
      <c r="AI181" s="152">
        <f>IF($B181=1,$I$21,IF(N(Vintage_Input!S130)&gt;0,Vintage_Input!AQ130/Vintage_Input!S130,""))</f>
        <v/>
      </c>
      <c r="AJ181" s="152">
        <f>IF($B181=1,$B$22,IF(N(Vintage_Input!L130)&gt;0,IFERROR(Vintage_Input!AR130/Vintage_Input!AJ130,""),""))</f>
        <v/>
      </c>
      <c r="AK181" s="152">
        <f>IF($B181=1,$C$22,IF(N(Vintage_Input!M130)&gt;0,IFERROR(Vintage_Input!AS130/Vintage_Input!AK130,""),""))</f>
        <v/>
      </c>
      <c r="AL181" s="152">
        <f>IF($B181=1,$D$22,IF(N(Vintage_Input!N130)&gt;0,IFERROR(Vintage_Input!AT130/Vintage_Input!AL130,""),""))</f>
        <v/>
      </c>
      <c r="AM181" s="152">
        <f>IF($B181=1,$E$22,IF(N(Vintage_Input!O130)&gt;0,IFERROR(Vintage_Input!AU130/Vintage_Input!AM130,""),""))</f>
        <v/>
      </c>
      <c r="AN181" s="152">
        <f>IF($B181=1,$F$22,IF(N(Vintage_Input!P130)&gt;0,IFERROR(Vintage_Input!AV130/Vintage_Input!AN130,""),""))</f>
        <v/>
      </c>
      <c r="AO181" s="152">
        <f>IF($B181=1,$G$22,IF(N(Vintage_Input!Q130)&gt;0,IFERROR(Vintage_Input!AW130/Vintage_Input!AO130,""),""))</f>
        <v/>
      </c>
      <c r="AP181" s="152">
        <f>IF($B181=1,$H$22,IF(N(Vintage_Input!R130)&gt;0,IFERROR(Vintage_Input!AX130/Vintage_Input!AP130,""),""))</f>
        <v/>
      </c>
      <c r="AQ181" s="152">
        <f>IF($B181=1,$I$22,IF(N(Vintage_Input!S130)&gt;0,IFERROR(Vintage_Input!AY130/Vintage_Input!AQ130,""),""))</f>
        <v/>
      </c>
      <c r="AR181" s="152">
        <f>IF($B181=1,$B$23,IF(N(Vintage_Input!L130)&gt;0,IFERROR(Vintage_Input!AZ130/$C181,""),""))</f>
        <v/>
      </c>
      <c r="AS181" s="152">
        <f>IF($B181=1,$C$23,IF(N(Vintage_Input!M130)&gt;0,IFERROR(Vintage_Input!BA130/$C181,""),""))</f>
        <v/>
      </c>
      <c r="AT181" s="152">
        <f>IF($B181=1,$D$23,IF(N(Vintage_Input!N130)&gt;0,IFERROR(Vintage_Input!BB130/$C181,""),""))</f>
        <v/>
      </c>
      <c r="AU181" s="152">
        <f>IF($B181=1,$E$23,IF(N(Vintage_Input!O130)&gt;0,IFERROR(Vintage_Input!BC130/$C181,""),""))</f>
        <v/>
      </c>
      <c r="AV181" s="152">
        <f>IF($B181=1,$F$23,IF(N(Vintage_Input!P130)&gt;0,IFERROR(Vintage_Input!BD130/$C181,""),""))</f>
        <v/>
      </c>
      <c r="AW181" s="152">
        <f>IF($B181=1,$G$23,IF(N(Vintage_Input!Q130)&gt;0,IFERROR(Vintage_Input!BE130/$C181,""),""))</f>
        <v/>
      </c>
      <c r="AX181" s="152">
        <f>IF($B181=1,$H$23,IF(N(Vintage_Input!R130)&gt;0,IFERROR(Vintage_Input!BF130/$C181,""),""))</f>
        <v/>
      </c>
      <c r="AY181" s="152">
        <f>IF($B181=1,$I$23,IF(N(Vintage_Input!S130)&gt;0,IFERROR(Vintage_Input!BG130/$C181,""),""))</f>
        <v/>
      </c>
      <c r="AZ181" s="153">
        <f>IF($B181=1,$B$24,IF(N(Vintage_Input!L130)&gt;0,IFERROR((Vintage_Input!D130+Vintage_Input!AR130)/$C181+Products!$D$14-(Products!$D$43+Products!$D$19+Products!$D$43*Products!$D$22+Products!$D$44),""),""))</f>
        <v/>
      </c>
      <c r="BA181" s="153">
        <f>IF($B181=1,$C$24,IF(N(Vintage_Input!M130)&gt;0,IFERROR((Vintage_Input!E130+Vintage_Input!AS130)/$C181+Products!$D$14-(Products!$D$43+Products!$D$19+Products!$D$43*Products!$D$22+Products!$D$44),""),""))</f>
        <v/>
      </c>
      <c r="BB181" s="153">
        <f>IF($B181=1,$D$24,IF(N(Vintage_Input!N130)&gt;0,IFERROR((Vintage_Input!F130+Vintage_Input!AT130)/$C181+Products!$D$14-(Products!$D$43+Products!$D$19+Products!$D$43*Products!$D$22+Products!$D$44),""),""))</f>
        <v/>
      </c>
      <c r="BC181" s="153">
        <f>IF($B181=1,$E$24,IF(N(Vintage_Input!O130)&gt;0,IFERROR((Vintage_Input!G130+Vintage_Input!AU130)/$C181+Products!$D$14-(Products!$D$43+Products!$D$19+Products!$D$43*Products!$D$22+Products!$D$44),""),""))</f>
        <v/>
      </c>
      <c r="BD181" s="153">
        <f>IF($B181=1,$F$24,IF(N(Vintage_Input!P130)&gt;0,IFERROR((Vintage_Input!H130+Vintage_Input!AV130)/$C181+Products!$D$14-(Products!$D$43+Products!$D$19+Products!$D$43*Products!$D$22+Products!$D$44),""),""))</f>
        <v/>
      </c>
      <c r="BE181" s="153">
        <f>IF($B181=1,$G$24,IF(N(Vintage_Input!Q130)&gt;0,IFERROR((Vintage_Input!I130+Vintage_Input!AW130)/$C181+Products!$D$14-(Products!$D$43+Products!$D$19+Products!$D$43*Products!$D$22+Products!$D$44),""),""))</f>
        <v/>
      </c>
      <c r="BF181" s="153">
        <f>IF($B181=1,$H$24,IF(N(Vintage_Input!R130)&gt;0,IFERROR((Vintage_Input!J130+Vintage_Input!AX130)/$C181+Products!$D$14-(Products!$D$43+Products!$D$19+Products!$D$43*Products!$D$22+Products!$D$44),""),""))</f>
        <v/>
      </c>
      <c r="BG181" s="153">
        <f>IF($B181=1,$I$24,IF(N(Vintage_Input!S130)&gt;0,IFERROR((Vintage_Input!K130+Vintage_Input!AY130)/$C181+Products!$D$14-(Products!$D$43+Products!$D$19+Products!$D$43*Products!$D$22+Products!$D$44),""),""))</f>
        <v/>
      </c>
      <c r="BH181" s="81">
        <f>IF($B181=1,0,IF(Vintage_Input!$BH$130="","",Vintage_Input!$BH$130))</f>
        <v/>
      </c>
    </row>
    <row r="182">
      <c r="A182" s="23" t="n">
        <v>58</v>
      </c>
      <c r="B182" s="48">
        <f>Vintage_Input!$B$131</f>
        <v/>
      </c>
      <c r="C182" s="41">
        <f>IF(Vintage_Input!$C$131="",0,Vintage_Input!$C$131)</f>
        <v/>
      </c>
      <c r="D182" s="152">
        <f>IF($B182=1,$B$18,IF(N(Vintage_Input!L131)&gt;0,Vintage_Input!D131/Vintage_Input!L131,""))</f>
        <v/>
      </c>
      <c r="E182" s="152">
        <f>IF($B182=1,$C$18,IF(N(Vintage_Input!M131)&gt;0,Vintage_Input!E131/Vintage_Input!M131,""))</f>
        <v/>
      </c>
      <c r="F182" s="152">
        <f>IF($B182=1,$D$18,IF(N(Vintage_Input!N131)&gt;0,Vintage_Input!F131/Vintage_Input!N131,""))</f>
        <v/>
      </c>
      <c r="G182" s="152">
        <f>IF($B182=1,$E$18,IF(N(Vintage_Input!O131)&gt;0,Vintage_Input!G131/Vintage_Input!O131,""))</f>
        <v/>
      </c>
      <c r="H182" s="152">
        <f>IF($B182=1,$F$18,IF(N(Vintage_Input!P131)&gt;0,Vintage_Input!H131/Vintage_Input!P131,""))</f>
        <v/>
      </c>
      <c r="I182" s="152">
        <f>IF($B182=1,$G$18,IF(N(Vintage_Input!Q131)&gt;0,Vintage_Input!I131/Vintage_Input!Q131,""))</f>
        <v/>
      </c>
      <c r="J182" s="152">
        <f>IF($B182=1,$H$18,IF(N(Vintage_Input!R131)&gt;0,Vintage_Input!J131/Vintage_Input!R131,""))</f>
        <v/>
      </c>
      <c r="K182" s="152">
        <f>IF($B182=1,$I$18,IF(N(Vintage_Input!S131)&gt;0,Vintage_Input!K131/Vintage_Input!S131,""))</f>
        <v/>
      </c>
      <c r="L182" s="152">
        <f>IF($B182=1,$B$19,IF(N(Vintage_Input!L131)&gt;0,Vintage_Input!T131/Vintage_Input!L131,""))</f>
        <v/>
      </c>
      <c r="M182" s="152">
        <f>IF($B182=1,$C$19,IF(N(Vintage_Input!M131)&gt;0,Vintage_Input!U131/Vintage_Input!M131,""))</f>
        <v/>
      </c>
      <c r="N182" s="152">
        <f>IF($B182=1,$D$19,IF(N(Vintage_Input!N131)&gt;0,Vintage_Input!V131/Vintage_Input!N131,""))</f>
        <v/>
      </c>
      <c r="O182" s="152">
        <f>IF($B182=1,$E$19,IF(N(Vintage_Input!O131)&gt;0,Vintage_Input!W131/Vintage_Input!O131,""))</f>
        <v/>
      </c>
      <c r="P182" s="152">
        <f>IF($B182=1,$F$19,IF(N(Vintage_Input!P131)&gt;0,Vintage_Input!X131/Vintage_Input!P131,""))</f>
        <v/>
      </c>
      <c r="Q182" s="152">
        <f>IF($B182=1,$G$19,IF(N(Vintage_Input!Q131)&gt;0,Vintage_Input!Y131/Vintage_Input!Q131,""))</f>
        <v/>
      </c>
      <c r="R182" s="152">
        <f>IF($B182=1,$H$19,IF(N(Vintage_Input!R131)&gt;0,Vintage_Input!Z131/Vintage_Input!R131,""))</f>
        <v/>
      </c>
      <c r="S182" s="152">
        <f>IF($B182=1,$I$19,IF(N(Vintage_Input!S131)&gt;0,Vintage_Input!AA131/Vintage_Input!S131,""))</f>
        <v/>
      </c>
      <c r="T182" s="152">
        <f>IF($B182=1,$B$20,IF(N(Vintage_Input!L131)&gt;0,Vintage_Input!AB131/Vintage_Input!L131,""))</f>
        <v/>
      </c>
      <c r="U182" s="152">
        <f>IF($B182=1,$C$20,IF(N(Vintage_Input!M131)&gt;0,Vintage_Input!AC131/Vintage_Input!M131,""))</f>
        <v/>
      </c>
      <c r="V182" s="152">
        <f>IF($B182=1,$D$20,IF(N(Vintage_Input!N131)&gt;0,Vintage_Input!AD131/Vintage_Input!N131,""))</f>
        <v/>
      </c>
      <c r="W182" s="152">
        <f>IF($B182=1,$E$20,IF(N(Vintage_Input!O131)&gt;0,Vintage_Input!AE131/Vintage_Input!O131,""))</f>
        <v/>
      </c>
      <c r="X182" s="152">
        <f>IF($B182=1,$F$20,IF(N(Vintage_Input!P131)&gt;0,Vintage_Input!AF131/Vintage_Input!P131,""))</f>
        <v/>
      </c>
      <c r="Y182" s="152">
        <f>IF($B182=1,$G$20,IF(N(Vintage_Input!Q131)&gt;0,Vintage_Input!AG131/Vintage_Input!Q131,""))</f>
        <v/>
      </c>
      <c r="Z182" s="152">
        <f>IF($B182=1,$H$20,IF(N(Vintage_Input!R131)&gt;0,Vintage_Input!AH131/Vintage_Input!R131,""))</f>
        <v/>
      </c>
      <c r="AA182" s="152">
        <f>IF($B182=1,$I$20,IF(N(Vintage_Input!S131)&gt;0,Vintage_Input!AI131/Vintage_Input!S131,""))</f>
        <v/>
      </c>
      <c r="AB182" s="152">
        <f>IF($B182=1,$B$21,IF(N(Vintage_Input!L131)&gt;0,Vintage_Input!AJ131/Vintage_Input!L131,""))</f>
        <v/>
      </c>
      <c r="AC182" s="152">
        <f>IF($B182=1,$C$21,IF(N(Vintage_Input!M131)&gt;0,Vintage_Input!AK131/Vintage_Input!M131,""))</f>
        <v/>
      </c>
      <c r="AD182" s="152">
        <f>IF($B182=1,$D$21,IF(N(Vintage_Input!N131)&gt;0,Vintage_Input!AL131/Vintage_Input!N131,""))</f>
        <v/>
      </c>
      <c r="AE182" s="152">
        <f>IF($B182=1,$E$21,IF(N(Vintage_Input!O131)&gt;0,Vintage_Input!AM131/Vintage_Input!O131,""))</f>
        <v/>
      </c>
      <c r="AF182" s="152">
        <f>IF($B182=1,$F$21,IF(N(Vintage_Input!P131)&gt;0,Vintage_Input!AN131/Vintage_Input!P131,""))</f>
        <v/>
      </c>
      <c r="AG182" s="152">
        <f>IF($B182=1,$G$21,IF(N(Vintage_Input!Q131)&gt;0,Vintage_Input!AO131/Vintage_Input!Q131,""))</f>
        <v/>
      </c>
      <c r="AH182" s="152">
        <f>IF($B182=1,$H$21,IF(N(Vintage_Input!R131)&gt;0,Vintage_Input!AP131/Vintage_Input!R131,""))</f>
        <v/>
      </c>
      <c r="AI182" s="152">
        <f>IF($B182=1,$I$21,IF(N(Vintage_Input!S131)&gt;0,Vintage_Input!AQ131/Vintage_Input!S131,""))</f>
        <v/>
      </c>
      <c r="AJ182" s="152">
        <f>IF($B182=1,$B$22,IF(N(Vintage_Input!L131)&gt;0,IFERROR(Vintage_Input!AR131/Vintage_Input!AJ131,""),""))</f>
        <v/>
      </c>
      <c r="AK182" s="152">
        <f>IF($B182=1,$C$22,IF(N(Vintage_Input!M131)&gt;0,IFERROR(Vintage_Input!AS131/Vintage_Input!AK131,""),""))</f>
        <v/>
      </c>
      <c r="AL182" s="152">
        <f>IF($B182=1,$D$22,IF(N(Vintage_Input!N131)&gt;0,IFERROR(Vintage_Input!AT131/Vintage_Input!AL131,""),""))</f>
        <v/>
      </c>
      <c r="AM182" s="152">
        <f>IF($B182=1,$E$22,IF(N(Vintage_Input!O131)&gt;0,IFERROR(Vintage_Input!AU131/Vintage_Input!AM131,""),""))</f>
        <v/>
      </c>
      <c r="AN182" s="152">
        <f>IF($B182=1,$F$22,IF(N(Vintage_Input!P131)&gt;0,IFERROR(Vintage_Input!AV131/Vintage_Input!AN131,""),""))</f>
        <v/>
      </c>
      <c r="AO182" s="152">
        <f>IF($B182=1,$G$22,IF(N(Vintage_Input!Q131)&gt;0,IFERROR(Vintage_Input!AW131/Vintage_Input!AO131,""),""))</f>
        <v/>
      </c>
      <c r="AP182" s="152">
        <f>IF($B182=1,$H$22,IF(N(Vintage_Input!R131)&gt;0,IFERROR(Vintage_Input!AX131/Vintage_Input!AP131,""),""))</f>
        <v/>
      </c>
      <c r="AQ182" s="152">
        <f>IF($B182=1,$I$22,IF(N(Vintage_Input!S131)&gt;0,IFERROR(Vintage_Input!AY131/Vintage_Input!AQ131,""),""))</f>
        <v/>
      </c>
      <c r="AR182" s="152">
        <f>IF($B182=1,$B$23,IF(N(Vintage_Input!L131)&gt;0,IFERROR(Vintage_Input!AZ131/$C182,""),""))</f>
        <v/>
      </c>
      <c r="AS182" s="152">
        <f>IF($B182=1,$C$23,IF(N(Vintage_Input!M131)&gt;0,IFERROR(Vintage_Input!BA131/$C182,""),""))</f>
        <v/>
      </c>
      <c r="AT182" s="152">
        <f>IF($B182=1,$D$23,IF(N(Vintage_Input!N131)&gt;0,IFERROR(Vintage_Input!BB131/$C182,""),""))</f>
        <v/>
      </c>
      <c r="AU182" s="152">
        <f>IF($B182=1,$E$23,IF(N(Vintage_Input!O131)&gt;0,IFERROR(Vintage_Input!BC131/$C182,""),""))</f>
        <v/>
      </c>
      <c r="AV182" s="152">
        <f>IF($B182=1,$F$23,IF(N(Vintage_Input!P131)&gt;0,IFERROR(Vintage_Input!BD131/$C182,""),""))</f>
        <v/>
      </c>
      <c r="AW182" s="152">
        <f>IF($B182=1,$G$23,IF(N(Vintage_Input!Q131)&gt;0,IFERROR(Vintage_Input!BE131/$C182,""),""))</f>
        <v/>
      </c>
      <c r="AX182" s="152">
        <f>IF($B182=1,$H$23,IF(N(Vintage_Input!R131)&gt;0,IFERROR(Vintage_Input!BF131/$C182,""),""))</f>
        <v/>
      </c>
      <c r="AY182" s="152">
        <f>IF($B182=1,$I$23,IF(N(Vintage_Input!S131)&gt;0,IFERROR(Vintage_Input!BG131/$C182,""),""))</f>
        <v/>
      </c>
      <c r="AZ182" s="153">
        <f>IF($B182=1,$B$24,IF(N(Vintage_Input!L131)&gt;0,IFERROR((Vintage_Input!D131+Vintage_Input!AR131)/$C182+Products!$D$14-(Products!$D$43+Products!$D$19+Products!$D$43*Products!$D$22+Products!$D$44),""),""))</f>
        <v/>
      </c>
      <c r="BA182" s="153">
        <f>IF($B182=1,$C$24,IF(N(Vintage_Input!M131)&gt;0,IFERROR((Vintage_Input!E131+Vintage_Input!AS131)/$C182+Products!$D$14-(Products!$D$43+Products!$D$19+Products!$D$43*Products!$D$22+Products!$D$44),""),""))</f>
        <v/>
      </c>
      <c r="BB182" s="153">
        <f>IF($B182=1,$D$24,IF(N(Vintage_Input!N131)&gt;0,IFERROR((Vintage_Input!F131+Vintage_Input!AT131)/$C182+Products!$D$14-(Products!$D$43+Products!$D$19+Products!$D$43*Products!$D$22+Products!$D$44),""),""))</f>
        <v/>
      </c>
      <c r="BC182" s="153">
        <f>IF($B182=1,$E$24,IF(N(Vintage_Input!O131)&gt;0,IFERROR((Vintage_Input!G131+Vintage_Input!AU131)/$C182+Products!$D$14-(Products!$D$43+Products!$D$19+Products!$D$43*Products!$D$22+Products!$D$44),""),""))</f>
        <v/>
      </c>
      <c r="BD182" s="153">
        <f>IF($B182=1,$F$24,IF(N(Vintage_Input!P131)&gt;0,IFERROR((Vintage_Input!H131+Vintage_Input!AV131)/$C182+Products!$D$14-(Products!$D$43+Products!$D$19+Products!$D$43*Products!$D$22+Products!$D$44),""),""))</f>
        <v/>
      </c>
      <c r="BE182" s="153">
        <f>IF($B182=1,$G$24,IF(N(Vintage_Input!Q131)&gt;0,IFERROR((Vintage_Input!I131+Vintage_Input!AW131)/$C182+Products!$D$14-(Products!$D$43+Products!$D$19+Products!$D$43*Products!$D$22+Products!$D$44),""),""))</f>
        <v/>
      </c>
      <c r="BF182" s="153">
        <f>IF($B182=1,$H$24,IF(N(Vintage_Input!R131)&gt;0,IFERROR((Vintage_Input!J131+Vintage_Input!AX131)/$C182+Products!$D$14-(Products!$D$43+Products!$D$19+Products!$D$43*Products!$D$22+Products!$D$44),""),""))</f>
        <v/>
      </c>
      <c r="BG182" s="153">
        <f>IF($B182=1,$I$24,IF(N(Vintage_Input!S131)&gt;0,IFERROR((Vintage_Input!K131+Vintage_Input!AY131)/$C182+Products!$D$14-(Products!$D$43+Products!$D$19+Products!$D$43*Products!$D$22+Products!$D$44),""),""))</f>
        <v/>
      </c>
      <c r="BH182" s="81">
        <f>IF($B182=1,0,IF(Vintage_Input!$BH$131="","",Vintage_Input!$BH$131))</f>
        <v/>
      </c>
    </row>
    <row r="183">
      <c r="A183" s="23" t="n">
        <v>59</v>
      </c>
      <c r="B183" s="48">
        <f>Vintage_Input!$B$132</f>
        <v/>
      </c>
      <c r="C183" s="41">
        <f>IF(Vintage_Input!$C$132="",0,Vintage_Input!$C$132)</f>
        <v/>
      </c>
      <c r="D183" s="152">
        <f>IF($B183=1,$B$18,IF(N(Vintage_Input!L132)&gt;0,Vintage_Input!D132/Vintage_Input!L132,""))</f>
        <v/>
      </c>
      <c r="E183" s="152">
        <f>IF($B183=1,$C$18,IF(N(Vintage_Input!M132)&gt;0,Vintage_Input!E132/Vintage_Input!M132,""))</f>
        <v/>
      </c>
      <c r="F183" s="152">
        <f>IF($B183=1,$D$18,IF(N(Vintage_Input!N132)&gt;0,Vintage_Input!F132/Vintage_Input!N132,""))</f>
        <v/>
      </c>
      <c r="G183" s="152">
        <f>IF($B183=1,$E$18,IF(N(Vintage_Input!O132)&gt;0,Vintage_Input!G132/Vintage_Input!O132,""))</f>
        <v/>
      </c>
      <c r="H183" s="152">
        <f>IF($B183=1,$F$18,IF(N(Vintage_Input!P132)&gt;0,Vintage_Input!H132/Vintage_Input!P132,""))</f>
        <v/>
      </c>
      <c r="I183" s="152">
        <f>IF($B183=1,$G$18,IF(N(Vintage_Input!Q132)&gt;0,Vintage_Input!I132/Vintage_Input!Q132,""))</f>
        <v/>
      </c>
      <c r="J183" s="152">
        <f>IF($B183=1,$H$18,IF(N(Vintage_Input!R132)&gt;0,Vintage_Input!J132/Vintage_Input!R132,""))</f>
        <v/>
      </c>
      <c r="K183" s="152">
        <f>IF($B183=1,$I$18,IF(N(Vintage_Input!S132)&gt;0,Vintage_Input!K132/Vintage_Input!S132,""))</f>
        <v/>
      </c>
      <c r="L183" s="152">
        <f>IF($B183=1,$B$19,IF(N(Vintage_Input!L132)&gt;0,Vintage_Input!T132/Vintage_Input!L132,""))</f>
        <v/>
      </c>
      <c r="M183" s="152">
        <f>IF($B183=1,$C$19,IF(N(Vintage_Input!M132)&gt;0,Vintage_Input!U132/Vintage_Input!M132,""))</f>
        <v/>
      </c>
      <c r="N183" s="152">
        <f>IF($B183=1,$D$19,IF(N(Vintage_Input!N132)&gt;0,Vintage_Input!V132/Vintage_Input!N132,""))</f>
        <v/>
      </c>
      <c r="O183" s="152">
        <f>IF($B183=1,$E$19,IF(N(Vintage_Input!O132)&gt;0,Vintage_Input!W132/Vintage_Input!O132,""))</f>
        <v/>
      </c>
      <c r="P183" s="152">
        <f>IF($B183=1,$F$19,IF(N(Vintage_Input!P132)&gt;0,Vintage_Input!X132/Vintage_Input!P132,""))</f>
        <v/>
      </c>
      <c r="Q183" s="152">
        <f>IF($B183=1,$G$19,IF(N(Vintage_Input!Q132)&gt;0,Vintage_Input!Y132/Vintage_Input!Q132,""))</f>
        <v/>
      </c>
      <c r="R183" s="152">
        <f>IF($B183=1,$H$19,IF(N(Vintage_Input!R132)&gt;0,Vintage_Input!Z132/Vintage_Input!R132,""))</f>
        <v/>
      </c>
      <c r="S183" s="152">
        <f>IF($B183=1,$I$19,IF(N(Vintage_Input!S132)&gt;0,Vintage_Input!AA132/Vintage_Input!S132,""))</f>
        <v/>
      </c>
      <c r="T183" s="152">
        <f>IF($B183=1,$B$20,IF(N(Vintage_Input!L132)&gt;0,Vintage_Input!AB132/Vintage_Input!L132,""))</f>
        <v/>
      </c>
      <c r="U183" s="152">
        <f>IF($B183=1,$C$20,IF(N(Vintage_Input!M132)&gt;0,Vintage_Input!AC132/Vintage_Input!M132,""))</f>
        <v/>
      </c>
      <c r="V183" s="152">
        <f>IF($B183=1,$D$20,IF(N(Vintage_Input!N132)&gt;0,Vintage_Input!AD132/Vintage_Input!N132,""))</f>
        <v/>
      </c>
      <c r="W183" s="152">
        <f>IF($B183=1,$E$20,IF(N(Vintage_Input!O132)&gt;0,Vintage_Input!AE132/Vintage_Input!O132,""))</f>
        <v/>
      </c>
      <c r="X183" s="152">
        <f>IF($B183=1,$F$20,IF(N(Vintage_Input!P132)&gt;0,Vintage_Input!AF132/Vintage_Input!P132,""))</f>
        <v/>
      </c>
      <c r="Y183" s="152">
        <f>IF($B183=1,$G$20,IF(N(Vintage_Input!Q132)&gt;0,Vintage_Input!AG132/Vintage_Input!Q132,""))</f>
        <v/>
      </c>
      <c r="Z183" s="152">
        <f>IF($B183=1,$H$20,IF(N(Vintage_Input!R132)&gt;0,Vintage_Input!AH132/Vintage_Input!R132,""))</f>
        <v/>
      </c>
      <c r="AA183" s="152">
        <f>IF($B183=1,$I$20,IF(N(Vintage_Input!S132)&gt;0,Vintage_Input!AI132/Vintage_Input!S132,""))</f>
        <v/>
      </c>
      <c r="AB183" s="152">
        <f>IF($B183=1,$B$21,IF(N(Vintage_Input!L132)&gt;0,Vintage_Input!AJ132/Vintage_Input!L132,""))</f>
        <v/>
      </c>
      <c r="AC183" s="152">
        <f>IF($B183=1,$C$21,IF(N(Vintage_Input!M132)&gt;0,Vintage_Input!AK132/Vintage_Input!M132,""))</f>
        <v/>
      </c>
      <c r="AD183" s="152">
        <f>IF($B183=1,$D$21,IF(N(Vintage_Input!N132)&gt;0,Vintage_Input!AL132/Vintage_Input!N132,""))</f>
        <v/>
      </c>
      <c r="AE183" s="152">
        <f>IF($B183=1,$E$21,IF(N(Vintage_Input!O132)&gt;0,Vintage_Input!AM132/Vintage_Input!O132,""))</f>
        <v/>
      </c>
      <c r="AF183" s="152">
        <f>IF($B183=1,$F$21,IF(N(Vintage_Input!P132)&gt;0,Vintage_Input!AN132/Vintage_Input!P132,""))</f>
        <v/>
      </c>
      <c r="AG183" s="152">
        <f>IF($B183=1,$G$21,IF(N(Vintage_Input!Q132)&gt;0,Vintage_Input!AO132/Vintage_Input!Q132,""))</f>
        <v/>
      </c>
      <c r="AH183" s="152">
        <f>IF($B183=1,$H$21,IF(N(Vintage_Input!R132)&gt;0,Vintage_Input!AP132/Vintage_Input!R132,""))</f>
        <v/>
      </c>
      <c r="AI183" s="152">
        <f>IF($B183=1,$I$21,IF(N(Vintage_Input!S132)&gt;0,Vintage_Input!AQ132/Vintage_Input!S132,""))</f>
        <v/>
      </c>
      <c r="AJ183" s="152">
        <f>IF($B183=1,$B$22,IF(N(Vintage_Input!L132)&gt;0,IFERROR(Vintage_Input!AR132/Vintage_Input!AJ132,""),""))</f>
        <v/>
      </c>
      <c r="AK183" s="152">
        <f>IF($B183=1,$C$22,IF(N(Vintage_Input!M132)&gt;0,IFERROR(Vintage_Input!AS132/Vintage_Input!AK132,""),""))</f>
        <v/>
      </c>
      <c r="AL183" s="152">
        <f>IF($B183=1,$D$22,IF(N(Vintage_Input!N132)&gt;0,IFERROR(Vintage_Input!AT132/Vintage_Input!AL132,""),""))</f>
        <v/>
      </c>
      <c r="AM183" s="152">
        <f>IF($B183=1,$E$22,IF(N(Vintage_Input!O132)&gt;0,IFERROR(Vintage_Input!AU132/Vintage_Input!AM132,""),""))</f>
        <v/>
      </c>
      <c r="AN183" s="152">
        <f>IF($B183=1,$F$22,IF(N(Vintage_Input!P132)&gt;0,IFERROR(Vintage_Input!AV132/Vintage_Input!AN132,""),""))</f>
        <v/>
      </c>
      <c r="AO183" s="152">
        <f>IF($B183=1,$G$22,IF(N(Vintage_Input!Q132)&gt;0,IFERROR(Vintage_Input!AW132/Vintage_Input!AO132,""),""))</f>
        <v/>
      </c>
      <c r="AP183" s="152">
        <f>IF($B183=1,$H$22,IF(N(Vintage_Input!R132)&gt;0,IFERROR(Vintage_Input!AX132/Vintage_Input!AP132,""),""))</f>
        <v/>
      </c>
      <c r="AQ183" s="152">
        <f>IF($B183=1,$I$22,IF(N(Vintage_Input!S132)&gt;0,IFERROR(Vintage_Input!AY132/Vintage_Input!AQ132,""),""))</f>
        <v/>
      </c>
      <c r="AR183" s="152">
        <f>IF($B183=1,$B$23,IF(N(Vintage_Input!L132)&gt;0,IFERROR(Vintage_Input!AZ132/$C183,""),""))</f>
        <v/>
      </c>
      <c r="AS183" s="152">
        <f>IF($B183=1,$C$23,IF(N(Vintage_Input!M132)&gt;0,IFERROR(Vintage_Input!BA132/$C183,""),""))</f>
        <v/>
      </c>
      <c r="AT183" s="152">
        <f>IF($B183=1,$D$23,IF(N(Vintage_Input!N132)&gt;0,IFERROR(Vintage_Input!BB132/$C183,""),""))</f>
        <v/>
      </c>
      <c r="AU183" s="152">
        <f>IF($B183=1,$E$23,IF(N(Vintage_Input!O132)&gt;0,IFERROR(Vintage_Input!BC132/$C183,""),""))</f>
        <v/>
      </c>
      <c r="AV183" s="152">
        <f>IF($B183=1,$F$23,IF(N(Vintage_Input!P132)&gt;0,IFERROR(Vintage_Input!BD132/$C183,""),""))</f>
        <v/>
      </c>
      <c r="AW183" s="152">
        <f>IF($B183=1,$G$23,IF(N(Vintage_Input!Q132)&gt;0,IFERROR(Vintage_Input!BE132/$C183,""),""))</f>
        <v/>
      </c>
      <c r="AX183" s="152">
        <f>IF($B183=1,$H$23,IF(N(Vintage_Input!R132)&gt;0,IFERROR(Vintage_Input!BF132/$C183,""),""))</f>
        <v/>
      </c>
      <c r="AY183" s="152">
        <f>IF($B183=1,$I$23,IF(N(Vintage_Input!S132)&gt;0,IFERROR(Vintage_Input!BG132/$C183,""),""))</f>
        <v/>
      </c>
      <c r="AZ183" s="153">
        <f>IF($B183=1,$B$24,IF(N(Vintage_Input!L132)&gt;0,IFERROR((Vintage_Input!D132+Vintage_Input!AR132)/$C183+Products!$D$14-(Products!$D$43+Products!$D$19+Products!$D$43*Products!$D$22+Products!$D$44),""),""))</f>
        <v/>
      </c>
      <c r="BA183" s="153">
        <f>IF($B183=1,$C$24,IF(N(Vintage_Input!M132)&gt;0,IFERROR((Vintage_Input!E132+Vintage_Input!AS132)/$C183+Products!$D$14-(Products!$D$43+Products!$D$19+Products!$D$43*Products!$D$22+Products!$D$44),""),""))</f>
        <v/>
      </c>
      <c r="BB183" s="153">
        <f>IF($B183=1,$D$24,IF(N(Vintage_Input!N132)&gt;0,IFERROR((Vintage_Input!F132+Vintage_Input!AT132)/$C183+Products!$D$14-(Products!$D$43+Products!$D$19+Products!$D$43*Products!$D$22+Products!$D$44),""),""))</f>
        <v/>
      </c>
      <c r="BC183" s="153">
        <f>IF($B183=1,$E$24,IF(N(Vintage_Input!O132)&gt;0,IFERROR((Vintage_Input!G132+Vintage_Input!AU132)/$C183+Products!$D$14-(Products!$D$43+Products!$D$19+Products!$D$43*Products!$D$22+Products!$D$44),""),""))</f>
        <v/>
      </c>
      <c r="BD183" s="153">
        <f>IF($B183=1,$F$24,IF(N(Vintage_Input!P132)&gt;0,IFERROR((Vintage_Input!H132+Vintage_Input!AV132)/$C183+Products!$D$14-(Products!$D$43+Products!$D$19+Products!$D$43*Products!$D$22+Products!$D$44),""),""))</f>
        <v/>
      </c>
      <c r="BE183" s="153">
        <f>IF($B183=1,$G$24,IF(N(Vintage_Input!Q132)&gt;0,IFERROR((Vintage_Input!I132+Vintage_Input!AW132)/$C183+Products!$D$14-(Products!$D$43+Products!$D$19+Products!$D$43*Products!$D$22+Products!$D$44),""),""))</f>
        <v/>
      </c>
      <c r="BF183" s="153">
        <f>IF($B183=1,$H$24,IF(N(Vintage_Input!R132)&gt;0,IFERROR((Vintage_Input!J132+Vintage_Input!AX132)/$C183+Products!$D$14-(Products!$D$43+Products!$D$19+Products!$D$43*Products!$D$22+Products!$D$44),""),""))</f>
        <v/>
      </c>
      <c r="BG183" s="153">
        <f>IF($B183=1,$I$24,IF(N(Vintage_Input!S132)&gt;0,IFERROR((Vintage_Input!K132+Vintage_Input!AY132)/$C183+Products!$D$14-(Products!$D$43+Products!$D$19+Products!$D$43*Products!$D$22+Products!$D$44),""),""))</f>
        <v/>
      </c>
      <c r="BH183" s="81">
        <f>IF($B183=1,0,IF(Vintage_Input!$BH$132="","",Vintage_Input!$BH$132))</f>
        <v/>
      </c>
    </row>
    <row r="184">
      <c r="A184" s="23" t="n">
        <v>60</v>
      </c>
      <c r="B184" s="48">
        <f>Vintage_Input!$B$133</f>
        <v/>
      </c>
      <c r="C184" s="41">
        <f>IF(Vintage_Input!$C$133="",0,Vintage_Input!$C$133)</f>
        <v/>
      </c>
      <c r="D184" s="152">
        <f>IF($B184=1,$B$18,IF(N(Vintage_Input!L133)&gt;0,Vintage_Input!D133/Vintage_Input!L133,""))</f>
        <v/>
      </c>
      <c r="E184" s="152">
        <f>IF($B184=1,$C$18,IF(N(Vintage_Input!M133)&gt;0,Vintage_Input!E133/Vintage_Input!M133,""))</f>
        <v/>
      </c>
      <c r="F184" s="152">
        <f>IF($B184=1,$D$18,IF(N(Vintage_Input!N133)&gt;0,Vintage_Input!F133/Vintage_Input!N133,""))</f>
        <v/>
      </c>
      <c r="G184" s="152">
        <f>IF($B184=1,$E$18,IF(N(Vintage_Input!O133)&gt;0,Vintage_Input!G133/Vintage_Input!O133,""))</f>
        <v/>
      </c>
      <c r="H184" s="152">
        <f>IF($B184=1,$F$18,IF(N(Vintage_Input!P133)&gt;0,Vintage_Input!H133/Vintage_Input!P133,""))</f>
        <v/>
      </c>
      <c r="I184" s="152">
        <f>IF($B184=1,$G$18,IF(N(Vintage_Input!Q133)&gt;0,Vintage_Input!I133/Vintage_Input!Q133,""))</f>
        <v/>
      </c>
      <c r="J184" s="152">
        <f>IF($B184=1,$H$18,IF(N(Vintage_Input!R133)&gt;0,Vintage_Input!J133/Vintage_Input!R133,""))</f>
        <v/>
      </c>
      <c r="K184" s="152">
        <f>IF($B184=1,$I$18,IF(N(Vintage_Input!S133)&gt;0,Vintage_Input!K133/Vintage_Input!S133,""))</f>
        <v/>
      </c>
      <c r="L184" s="152">
        <f>IF($B184=1,$B$19,IF(N(Vintage_Input!L133)&gt;0,Vintage_Input!T133/Vintage_Input!L133,""))</f>
        <v/>
      </c>
      <c r="M184" s="152">
        <f>IF($B184=1,$C$19,IF(N(Vintage_Input!M133)&gt;0,Vintage_Input!U133/Vintage_Input!M133,""))</f>
        <v/>
      </c>
      <c r="N184" s="152">
        <f>IF($B184=1,$D$19,IF(N(Vintage_Input!N133)&gt;0,Vintage_Input!V133/Vintage_Input!N133,""))</f>
        <v/>
      </c>
      <c r="O184" s="152">
        <f>IF($B184=1,$E$19,IF(N(Vintage_Input!O133)&gt;0,Vintage_Input!W133/Vintage_Input!O133,""))</f>
        <v/>
      </c>
      <c r="P184" s="152">
        <f>IF($B184=1,$F$19,IF(N(Vintage_Input!P133)&gt;0,Vintage_Input!X133/Vintage_Input!P133,""))</f>
        <v/>
      </c>
      <c r="Q184" s="152">
        <f>IF($B184=1,$G$19,IF(N(Vintage_Input!Q133)&gt;0,Vintage_Input!Y133/Vintage_Input!Q133,""))</f>
        <v/>
      </c>
      <c r="R184" s="152">
        <f>IF($B184=1,$H$19,IF(N(Vintage_Input!R133)&gt;0,Vintage_Input!Z133/Vintage_Input!R133,""))</f>
        <v/>
      </c>
      <c r="S184" s="152">
        <f>IF($B184=1,$I$19,IF(N(Vintage_Input!S133)&gt;0,Vintage_Input!AA133/Vintage_Input!S133,""))</f>
        <v/>
      </c>
      <c r="T184" s="152">
        <f>IF($B184=1,$B$20,IF(N(Vintage_Input!L133)&gt;0,Vintage_Input!AB133/Vintage_Input!L133,""))</f>
        <v/>
      </c>
      <c r="U184" s="152">
        <f>IF($B184=1,$C$20,IF(N(Vintage_Input!M133)&gt;0,Vintage_Input!AC133/Vintage_Input!M133,""))</f>
        <v/>
      </c>
      <c r="V184" s="152">
        <f>IF($B184=1,$D$20,IF(N(Vintage_Input!N133)&gt;0,Vintage_Input!AD133/Vintage_Input!N133,""))</f>
        <v/>
      </c>
      <c r="W184" s="152">
        <f>IF($B184=1,$E$20,IF(N(Vintage_Input!O133)&gt;0,Vintage_Input!AE133/Vintage_Input!O133,""))</f>
        <v/>
      </c>
      <c r="X184" s="152">
        <f>IF($B184=1,$F$20,IF(N(Vintage_Input!P133)&gt;0,Vintage_Input!AF133/Vintage_Input!P133,""))</f>
        <v/>
      </c>
      <c r="Y184" s="152">
        <f>IF($B184=1,$G$20,IF(N(Vintage_Input!Q133)&gt;0,Vintage_Input!AG133/Vintage_Input!Q133,""))</f>
        <v/>
      </c>
      <c r="Z184" s="152">
        <f>IF($B184=1,$H$20,IF(N(Vintage_Input!R133)&gt;0,Vintage_Input!AH133/Vintage_Input!R133,""))</f>
        <v/>
      </c>
      <c r="AA184" s="152">
        <f>IF($B184=1,$I$20,IF(N(Vintage_Input!S133)&gt;0,Vintage_Input!AI133/Vintage_Input!S133,""))</f>
        <v/>
      </c>
      <c r="AB184" s="152">
        <f>IF($B184=1,$B$21,IF(N(Vintage_Input!L133)&gt;0,Vintage_Input!AJ133/Vintage_Input!L133,""))</f>
        <v/>
      </c>
      <c r="AC184" s="152">
        <f>IF($B184=1,$C$21,IF(N(Vintage_Input!M133)&gt;0,Vintage_Input!AK133/Vintage_Input!M133,""))</f>
        <v/>
      </c>
      <c r="AD184" s="152">
        <f>IF($B184=1,$D$21,IF(N(Vintage_Input!N133)&gt;0,Vintage_Input!AL133/Vintage_Input!N133,""))</f>
        <v/>
      </c>
      <c r="AE184" s="152">
        <f>IF($B184=1,$E$21,IF(N(Vintage_Input!O133)&gt;0,Vintage_Input!AM133/Vintage_Input!O133,""))</f>
        <v/>
      </c>
      <c r="AF184" s="152">
        <f>IF($B184=1,$F$21,IF(N(Vintage_Input!P133)&gt;0,Vintage_Input!AN133/Vintage_Input!P133,""))</f>
        <v/>
      </c>
      <c r="AG184" s="152">
        <f>IF($B184=1,$G$21,IF(N(Vintage_Input!Q133)&gt;0,Vintage_Input!AO133/Vintage_Input!Q133,""))</f>
        <v/>
      </c>
      <c r="AH184" s="152">
        <f>IF($B184=1,$H$21,IF(N(Vintage_Input!R133)&gt;0,Vintage_Input!AP133/Vintage_Input!R133,""))</f>
        <v/>
      </c>
      <c r="AI184" s="152">
        <f>IF($B184=1,$I$21,IF(N(Vintage_Input!S133)&gt;0,Vintage_Input!AQ133/Vintage_Input!S133,""))</f>
        <v/>
      </c>
      <c r="AJ184" s="152">
        <f>IF($B184=1,$B$22,IF(N(Vintage_Input!L133)&gt;0,IFERROR(Vintage_Input!AR133/Vintage_Input!AJ133,""),""))</f>
        <v/>
      </c>
      <c r="AK184" s="152">
        <f>IF($B184=1,$C$22,IF(N(Vintage_Input!M133)&gt;0,IFERROR(Vintage_Input!AS133/Vintage_Input!AK133,""),""))</f>
        <v/>
      </c>
      <c r="AL184" s="152">
        <f>IF($B184=1,$D$22,IF(N(Vintage_Input!N133)&gt;0,IFERROR(Vintage_Input!AT133/Vintage_Input!AL133,""),""))</f>
        <v/>
      </c>
      <c r="AM184" s="152">
        <f>IF($B184=1,$E$22,IF(N(Vintage_Input!O133)&gt;0,IFERROR(Vintage_Input!AU133/Vintage_Input!AM133,""),""))</f>
        <v/>
      </c>
      <c r="AN184" s="152">
        <f>IF($B184=1,$F$22,IF(N(Vintage_Input!P133)&gt;0,IFERROR(Vintage_Input!AV133/Vintage_Input!AN133,""),""))</f>
        <v/>
      </c>
      <c r="AO184" s="152">
        <f>IF($B184=1,$G$22,IF(N(Vintage_Input!Q133)&gt;0,IFERROR(Vintage_Input!AW133/Vintage_Input!AO133,""),""))</f>
        <v/>
      </c>
      <c r="AP184" s="152">
        <f>IF($B184=1,$H$22,IF(N(Vintage_Input!R133)&gt;0,IFERROR(Vintage_Input!AX133/Vintage_Input!AP133,""),""))</f>
        <v/>
      </c>
      <c r="AQ184" s="152">
        <f>IF($B184=1,$I$22,IF(N(Vintage_Input!S133)&gt;0,IFERROR(Vintage_Input!AY133/Vintage_Input!AQ133,""),""))</f>
        <v/>
      </c>
      <c r="AR184" s="152">
        <f>IF($B184=1,$B$23,IF(N(Vintage_Input!L133)&gt;0,IFERROR(Vintage_Input!AZ133/$C184,""),""))</f>
        <v/>
      </c>
      <c r="AS184" s="152">
        <f>IF($B184=1,$C$23,IF(N(Vintage_Input!M133)&gt;0,IFERROR(Vintage_Input!BA133/$C184,""),""))</f>
        <v/>
      </c>
      <c r="AT184" s="152">
        <f>IF($B184=1,$D$23,IF(N(Vintage_Input!N133)&gt;0,IFERROR(Vintage_Input!BB133/$C184,""),""))</f>
        <v/>
      </c>
      <c r="AU184" s="152">
        <f>IF($B184=1,$E$23,IF(N(Vintage_Input!O133)&gt;0,IFERROR(Vintage_Input!BC133/$C184,""),""))</f>
        <v/>
      </c>
      <c r="AV184" s="152">
        <f>IF($B184=1,$F$23,IF(N(Vintage_Input!P133)&gt;0,IFERROR(Vintage_Input!BD133/$C184,""),""))</f>
        <v/>
      </c>
      <c r="AW184" s="152">
        <f>IF($B184=1,$G$23,IF(N(Vintage_Input!Q133)&gt;0,IFERROR(Vintage_Input!BE133/$C184,""),""))</f>
        <v/>
      </c>
      <c r="AX184" s="152">
        <f>IF($B184=1,$H$23,IF(N(Vintage_Input!R133)&gt;0,IFERROR(Vintage_Input!BF133/$C184,""),""))</f>
        <v/>
      </c>
      <c r="AY184" s="152">
        <f>IF($B184=1,$I$23,IF(N(Vintage_Input!S133)&gt;0,IFERROR(Vintage_Input!BG133/$C184,""),""))</f>
        <v/>
      </c>
      <c r="AZ184" s="153">
        <f>IF($B184=1,$B$24,IF(N(Vintage_Input!L133)&gt;0,IFERROR((Vintage_Input!D133+Vintage_Input!AR133)/$C184+Products!$D$14-(Products!$D$43+Products!$D$19+Products!$D$43*Products!$D$22+Products!$D$44),""),""))</f>
        <v/>
      </c>
      <c r="BA184" s="153">
        <f>IF($B184=1,$C$24,IF(N(Vintage_Input!M133)&gt;0,IFERROR((Vintage_Input!E133+Vintage_Input!AS133)/$C184+Products!$D$14-(Products!$D$43+Products!$D$19+Products!$D$43*Products!$D$22+Products!$D$44),""),""))</f>
        <v/>
      </c>
      <c r="BB184" s="153">
        <f>IF($B184=1,$D$24,IF(N(Vintage_Input!N133)&gt;0,IFERROR((Vintage_Input!F133+Vintage_Input!AT133)/$C184+Products!$D$14-(Products!$D$43+Products!$D$19+Products!$D$43*Products!$D$22+Products!$D$44),""),""))</f>
        <v/>
      </c>
      <c r="BC184" s="153">
        <f>IF($B184=1,$E$24,IF(N(Vintage_Input!O133)&gt;0,IFERROR((Vintage_Input!G133+Vintage_Input!AU133)/$C184+Products!$D$14-(Products!$D$43+Products!$D$19+Products!$D$43*Products!$D$22+Products!$D$44),""),""))</f>
        <v/>
      </c>
      <c r="BD184" s="153">
        <f>IF($B184=1,$F$24,IF(N(Vintage_Input!P133)&gt;0,IFERROR((Vintage_Input!H133+Vintage_Input!AV133)/$C184+Products!$D$14-(Products!$D$43+Products!$D$19+Products!$D$43*Products!$D$22+Products!$D$44),""),""))</f>
        <v/>
      </c>
      <c r="BE184" s="153">
        <f>IF($B184=1,$G$24,IF(N(Vintage_Input!Q133)&gt;0,IFERROR((Vintage_Input!I133+Vintage_Input!AW133)/$C184+Products!$D$14-(Products!$D$43+Products!$D$19+Products!$D$43*Products!$D$22+Products!$D$44),""),""))</f>
        <v/>
      </c>
      <c r="BF184" s="153">
        <f>IF($B184=1,$H$24,IF(N(Vintage_Input!R133)&gt;0,IFERROR((Vintage_Input!J133+Vintage_Input!AX133)/$C184+Products!$D$14-(Products!$D$43+Products!$D$19+Products!$D$43*Products!$D$22+Products!$D$44),""),""))</f>
        <v/>
      </c>
      <c r="BG184" s="153">
        <f>IF($B184=1,$I$24,IF(N(Vintage_Input!S133)&gt;0,IFERROR((Vintage_Input!K133+Vintage_Input!AY133)/$C184+Products!$D$14-(Products!$D$43+Products!$D$19+Products!$D$43*Products!$D$22+Products!$D$44),""),""))</f>
        <v/>
      </c>
      <c r="BH184" s="81">
        <f>IF($B184=1,0,IF(Vintage_Input!$BH$133="","",Vintage_Input!$BH$133))</f>
        <v/>
      </c>
    </row>
    <row r="185"/>
    <row r="186">
      <c r="A186" s="111" t="inlineStr">
        <is>
          <t>Tier 3: Large SHS + DC fridge</t>
        </is>
      </c>
    </row>
    <row r="187">
      <c r="D187" s="151" t="inlineStr">
        <is>
          <t>Cohort repayment ratio (not PERFORM)</t>
        </is>
      </c>
      <c r="L187" s="151" t="inlineStr">
        <is>
          <t>30+ DPD exposure / due</t>
        </is>
      </c>
      <c r="T187" s="151" t="inlineStr">
        <is>
          <t>90+ DPD exposure / due</t>
        </is>
      </c>
      <c r="AB187" s="151" t="inlineStr">
        <is>
          <t>180+ default exposure / due</t>
        </is>
      </c>
      <c r="AJ187" s="151" t="inlineStr">
        <is>
          <t>Recovery / default</t>
        </is>
      </c>
      <c r="AR187" s="151" t="inlineStr">
        <is>
          <t>Active account share</t>
        </is>
      </c>
      <c r="AZ187" s="151" t="inlineStr">
        <is>
          <t>Cumulative contribution per unit (LCY)</t>
        </is>
      </c>
    </row>
    <row r="188">
      <c r="A188" s="40" t="inlineStr">
        <is>
          <t>Cohort #</t>
        </is>
      </c>
      <c r="B188" s="40" t="inlineStr">
        <is>
          <t>Mode</t>
        </is>
      </c>
      <c r="C188" s="40" t="inlineStr">
        <is>
          <t>Units</t>
        </is>
      </c>
      <c r="D188" s="40" t="inlineStr">
        <is>
          <t>M3</t>
        </is>
      </c>
      <c r="E188" s="40" t="inlineStr">
        <is>
          <t>M6</t>
        </is>
      </c>
      <c r="F188" s="40" t="inlineStr">
        <is>
          <t>M12</t>
        </is>
      </c>
      <c r="G188" s="40" t="inlineStr">
        <is>
          <t>M18</t>
        </is>
      </c>
      <c r="H188" s="40" t="inlineStr">
        <is>
          <t>M24</t>
        </is>
      </c>
      <c r="I188" s="40" t="inlineStr">
        <is>
          <t>M36</t>
        </is>
      </c>
      <c r="J188" s="40" t="inlineStr">
        <is>
          <t>M48</t>
        </is>
      </c>
      <c r="K188" s="40" t="inlineStr">
        <is>
          <t>M60</t>
        </is>
      </c>
      <c r="L188" s="40" t="inlineStr">
        <is>
          <t>M3</t>
        </is>
      </c>
      <c r="M188" s="40" t="inlineStr">
        <is>
          <t>M6</t>
        </is>
      </c>
      <c r="N188" s="40" t="inlineStr">
        <is>
          <t>M12</t>
        </is>
      </c>
      <c r="O188" s="40" t="inlineStr">
        <is>
          <t>M18</t>
        </is>
      </c>
      <c r="P188" s="40" t="inlineStr">
        <is>
          <t>M24</t>
        </is>
      </c>
      <c r="Q188" s="40" t="inlineStr">
        <is>
          <t>M36</t>
        </is>
      </c>
      <c r="R188" s="40" t="inlineStr">
        <is>
          <t>M48</t>
        </is>
      </c>
      <c r="S188" s="40" t="inlineStr">
        <is>
          <t>M60</t>
        </is>
      </c>
      <c r="T188" s="40" t="inlineStr">
        <is>
          <t>M3</t>
        </is>
      </c>
      <c r="U188" s="40" t="inlineStr">
        <is>
          <t>M6</t>
        </is>
      </c>
      <c r="V188" s="40" t="inlineStr">
        <is>
          <t>M12</t>
        </is>
      </c>
      <c r="W188" s="40" t="inlineStr">
        <is>
          <t>M18</t>
        </is>
      </c>
      <c r="X188" s="40" t="inlineStr">
        <is>
          <t>M24</t>
        </is>
      </c>
      <c r="Y188" s="40" t="inlineStr">
        <is>
          <t>M36</t>
        </is>
      </c>
      <c r="Z188" s="40" t="inlineStr">
        <is>
          <t>M48</t>
        </is>
      </c>
      <c r="AA188" s="40" t="inlineStr">
        <is>
          <t>M60</t>
        </is>
      </c>
      <c r="AB188" s="40" t="inlineStr">
        <is>
          <t>M3</t>
        </is>
      </c>
      <c r="AC188" s="40" t="inlineStr">
        <is>
          <t>M6</t>
        </is>
      </c>
      <c r="AD188" s="40" t="inlineStr">
        <is>
          <t>M12</t>
        </is>
      </c>
      <c r="AE188" s="40" t="inlineStr">
        <is>
          <t>M18</t>
        </is>
      </c>
      <c r="AF188" s="40" t="inlineStr">
        <is>
          <t>M24</t>
        </is>
      </c>
      <c r="AG188" s="40" t="inlineStr">
        <is>
          <t>M36</t>
        </is>
      </c>
      <c r="AH188" s="40" t="inlineStr">
        <is>
          <t>M48</t>
        </is>
      </c>
      <c r="AI188" s="40" t="inlineStr">
        <is>
          <t>M60</t>
        </is>
      </c>
      <c r="AJ188" s="40" t="inlineStr">
        <is>
          <t>M3</t>
        </is>
      </c>
      <c r="AK188" s="40" t="inlineStr">
        <is>
          <t>M6</t>
        </is>
      </c>
      <c r="AL188" s="40" t="inlineStr">
        <is>
          <t>M12</t>
        </is>
      </c>
      <c r="AM188" s="40" t="inlineStr">
        <is>
          <t>M18</t>
        </is>
      </c>
      <c r="AN188" s="40" t="inlineStr">
        <is>
          <t>M24</t>
        </is>
      </c>
      <c r="AO188" s="40" t="inlineStr">
        <is>
          <t>M36</t>
        </is>
      </c>
      <c r="AP188" s="40" t="inlineStr">
        <is>
          <t>M48</t>
        </is>
      </c>
      <c r="AQ188" s="40" t="inlineStr">
        <is>
          <t>M60</t>
        </is>
      </c>
      <c r="AR188" s="40" t="inlineStr">
        <is>
          <t>M3</t>
        </is>
      </c>
      <c r="AS188" s="40" t="inlineStr">
        <is>
          <t>M6</t>
        </is>
      </c>
      <c r="AT188" s="40" t="inlineStr">
        <is>
          <t>M12</t>
        </is>
      </c>
      <c r="AU188" s="40" t="inlineStr">
        <is>
          <t>M18</t>
        </is>
      </c>
      <c r="AV188" s="40" t="inlineStr">
        <is>
          <t>M24</t>
        </is>
      </c>
      <c r="AW188" s="40" t="inlineStr">
        <is>
          <t>M36</t>
        </is>
      </c>
      <c r="AX188" s="40" t="inlineStr">
        <is>
          <t>M48</t>
        </is>
      </c>
      <c r="AY188" s="40" t="inlineStr">
        <is>
          <t>M60</t>
        </is>
      </c>
      <c r="AZ188" s="40" t="inlineStr">
        <is>
          <t>M3</t>
        </is>
      </c>
      <c r="BA188" s="40" t="inlineStr">
        <is>
          <t>M6</t>
        </is>
      </c>
      <c r="BB188" s="40" t="inlineStr">
        <is>
          <t>M12</t>
        </is>
      </c>
      <c r="BC188" s="40" t="inlineStr">
        <is>
          <t>M18</t>
        </is>
      </c>
      <c r="BD188" s="40" t="inlineStr">
        <is>
          <t>M24</t>
        </is>
      </c>
      <c r="BE188" s="40" t="inlineStr">
        <is>
          <t>M36</t>
        </is>
      </c>
      <c r="BF188" s="40" t="inlineStr">
        <is>
          <t>M48</t>
        </is>
      </c>
      <c r="BG188" s="40" t="inlineStr">
        <is>
          <t>M60</t>
        </is>
      </c>
      <c r="BH188" s="40" t="inlineStr">
        <is>
          <t>Ownership at 2x</t>
        </is>
      </c>
    </row>
    <row r="189">
      <c r="A189" s="23" t="n">
        <v>1</v>
      </c>
      <c r="B189" s="48">
        <f>Vintage_Input!$B$139</f>
        <v/>
      </c>
      <c r="C189" s="41">
        <f>IF(Vintage_Input!$C$139="",0,Vintage_Input!$C$139)</f>
        <v/>
      </c>
      <c r="D189" s="152">
        <f>IF($B189=1,$B$28,IF(N(Vintage_Input!L139)&gt;0,Vintage_Input!D139/Vintage_Input!L139,""))</f>
        <v/>
      </c>
      <c r="E189" s="152">
        <f>IF($B189=1,$C$28,IF(N(Vintage_Input!M139)&gt;0,Vintage_Input!E139/Vintage_Input!M139,""))</f>
        <v/>
      </c>
      <c r="F189" s="152">
        <f>IF($B189=1,$D$28,IF(N(Vintage_Input!N139)&gt;0,Vintage_Input!F139/Vintage_Input!N139,""))</f>
        <v/>
      </c>
      <c r="G189" s="152">
        <f>IF($B189=1,$E$28,IF(N(Vintage_Input!O139)&gt;0,Vintage_Input!G139/Vintage_Input!O139,""))</f>
        <v/>
      </c>
      <c r="H189" s="152">
        <f>IF($B189=1,$F$28,IF(N(Vintage_Input!P139)&gt;0,Vintage_Input!H139/Vintage_Input!P139,""))</f>
        <v/>
      </c>
      <c r="I189" s="152">
        <f>IF($B189=1,$G$28,IF(N(Vintage_Input!Q139)&gt;0,Vintage_Input!I139/Vintage_Input!Q139,""))</f>
        <v/>
      </c>
      <c r="J189" s="152">
        <f>IF($B189=1,$H$28,IF(N(Vintage_Input!R139)&gt;0,Vintage_Input!J139/Vintage_Input!R139,""))</f>
        <v/>
      </c>
      <c r="K189" s="152">
        <f>IF($B189=1,$I$28,IF(N(Vintage_Input!S139)&gt;0,Vintage_Input!K139/Vintage_Input!S139,""))</f>
        <v/>
      </c>
      <c r="L189" s="152">
        <f>IF($B189=1,$B$29,IF(N(Vintage_Input!L139)&gt;0,Vintage_Input!T139/Vintage_Input!L139,""))</f>
        <v/>
      </c>
      <c r="M189" s="152">
        <f>IF($B189=1,$C$29,IF(N(Vintage_Input!M139)&gt;0,Vintage_Input!U139/Vintage_Input!M139,""))</f>
        <v/>
      </c>
      <c r="N189" s="152">
        <f>IF($B189=1,$D$29,IF(N(Vintage_Input!N139)&gt;0,Vintage_Input!V139/Vintage_Input!N139,""))</f>
        <v/>
      </c>
      <c r="O189" s="152">
        <f>IF($B189=1,$E$29,IF(N(Vintage_Input!O139)&gt;0,Vintage_Input!W139/Vintage_Input!O139,""))</f>
        <v/>
      </c>
      <c r="P189" s="152">
        <f>IF($B189=1,$F$29,IF(N(Vintage_Input!P139)&gt;0,Vintage_Input!X139/Vintage_Input!P139,""))</f>
        <v/>
      </c>
      <c r="Q189" s="152">
        <f>IF($B189=1,$G$29,IF(N(Vintage_Input!Q139)&gt;0,Vintage_Input!Y139/Vintage_Input!Q139,""))</f>
        <v/>
      </c>
      <c r="R189" s="152">
        <f>IF($B189=1,$H$29,IF(N(Vintage_Input!R139)&gt;0,Vintage_Input!Z139/Vintage_Input!R139,""))</f>
        <v/>
      </c>
      <c r="S189" s="152">
        <f>IF($B189=1,$I$29,IF(N(Vintage_Input!S139)&gt;0,Vintage_Input!AA139/Vintage_Input!S139,""))</f>
        <v/>
      </c>
      <c r="T189" s="152">
        <f>IF($B189=1,$B$30,IF(N(Vintage_Input!L139)&gt;0,Vintage_Input!AB139/Vintage_Input!L139,""))</f>
        <v/>
      </c>
      <c r="U189" s="152">
        <f>IF($B189=1,$C$30,IF(N(Vintage_Input!M139)&gt;0,Vintage_Input!AC139/Vintage_Input!M139,""))</f>
        <v/>
      </c>
      <c r="V189" s="152">
        <f>IF($B189=1,$D$30,IF(N(Vintage_Input!N139)&gt;0,Vintage_Input!AD139/Vintage_Input!N139,""))</f>
        <v/>
      </c>
      <c r="W189" s="152">
        <f>IF($B189=1,$E$30,IF(N(Vintage_Input!O139)&gt;0,Vintage_Input!AE139/Vintage_Input!O139,""))</f>
        <v/>
      </c>
      <c r="X189" s="152">
        <f>IF($B189=1,$F$30,IF(N(Vintage_Input!P139)&gt;0,Vintage_Input!AF139/Vintage_Input!P139,""))</f>
        <v/>
      </c>
      <c r="Y189" s="152">
        <f>IF($B189=1,$G$30,IF(N(Vintage_Input!Q139)&gt;0,Vintage_Input!AG139/Vintage_Input!Q139,""))</f>
        <v/>
      </c>
      <c r="Z189" s="152">
        <f>IF($B189=1,$H$30,IF(N(Vintage_Input!R139)&gt;0,Vintage_Input!AH139/Vintage_Input!R139,""))</f>
        <v/>
      </c>
      <c r="AA189" s="152">
        <f>IF($B189=1,$I$30,IF(N(Vintage_Input!S139)&gt;0,Vintage_Input!AI139/Vintage_Input!S139,""))</f>
        <v/>
      </c>
      <c r="AB189" s="152">
        <f>IF($B189=1,$B$31,IF(N(Vintage_Input!L139)&gt;0,Vintage_Input!AJ139/Vintage_Input!L139,""))</f>
        <v/>
      </c>
      <c r="AC189" s="152">
        <f>IF($B189=1,$C$31,IF(N(Vintage_Input!M139)&gt;0,Vintage_Input!AK139/Vintage_Input!M139,""))</f>
        <v/>
      </c>
      <c r="AD189" s="152">
        <f>IF($B189=1,$D$31,IF(N(Vintage_Input!N139)&gt;0,Vintage_Input!AL139/Vintage_Input!N139,""))</f>
        <v/>
      </c>
      <c r="AE189" s="152">
        <f>IF($B189=1,$E$31,IF(N(Vintage_Input!O139)&gt;0,Vintage_Input!AM139/Vintage_Input!O139,""))</f>
        <v/>
      </c>
      <c r="AF189" s="152">
        <f>IF($B189=1,$F$31,IF(N(Vintage_Input!P139)&gt;0,Vintage_Input!AN139/Vintage_Input!P139,""))</f>
        <v/>
      </c>
      <c r="AG189" s="152">
        <f>IF($B189=1,$G$31,IF(N(Vintage_Input!Q139)&gt;0,Vintage_Input!AO139/Vintage_Input!Q139,""))</f>
        <v/>
      </c>
      <c r="AH189" s="152">
        <f>IF($B189=1,$H$31,IF(N(Vintage_Input!R139)&gt;0,Vintage_Input!AP139/Vintage_Input!R139,""))</f>
        <v/>
      </c>
      <c r="AI189" s="152">
        <f>IF($B189=1,$I$31,IF(N(Vintage_Input!S139)&gt;0,Vintage_Input!AQ139/Vintage_Input!S139,""))</f>
        <v/>
      </c>
      <c r="AJ189" s="152">
        <f>IF($B189=1,$B$32,IF(N(Vintage_Input!L139)&gt;0,IFERROR(Vintage_Input!AR139/Vintage_Input!AJ139,""),""))</f>
        <v/>
      </c>
      <c r="AK189" s="152">
        <f>IF($B189=1,$C$32,IF(N(Vintage_Input!M139)&gt;0,IFERROR(Vintage_Input!AS139/Vintage_Input!AK139,""),""))</f>
        <v/>
      </c>
      <c r="AL189" s="152">
        <f>IF($B189=1,$D$32,IF(N(Vintage_Input!N139)&gt;0,IFERROR(Vintage_Input!AT139/Vintage_Input!AL139,""),""))</f>
        <v/>
      </c>
      <c r="AM189" s="152">
        <f>IF($B189=1,$E$32,IF(N(Vintage_Input!O139)&gt;0,IFERROR(Vintage_Input!AU139/Vintage_Input!AM139,""),""))</f>
        <v/>
      </c>
      <c r="AN189" s="152">
        <f>IF($B189=1,$F$32,IF(N(Vintage_Input!P139)&gt;0,IFERROR(Vintage_Input!AV139/Vintage_Input!AN139,""),""))</f>
        <v/>
      </c>
      <c r="AO189" s="152">
        <f>IF($B189=1,$G$32,IF(N(Vintage_Input!Q139)&gt;0,IFERROR(Vintage_Input!AW139/Vintage_Input!AO139,""),""))</f>
        <v/>
      </c>
      <c r="AP189" s="152">
        <f>IF($B189=1,$H$32,IF(N(Vintage_Input!R139)&gt;0,IFERROR(Vintage_Input!AX139/Vintage_Input!AP139,""),""))</f>
        <v/>
      </c>
      <c r="AQ189" s="152">
        <f>IF($B189=1,$I$32,IF(N(Vintage_Input!S139)&gt;0,IFERROR(Vintage_Input!AY139/Vintage_Input!AQ139,""),""))</f>
        <v/>
      </c>
      <c r="AR189" s="152">
        <f>IF($B189=1,$B$33,IF(N(Vintage_Input!L139)&gt;0,IFERROR(Vintage_Input!AZ139/$C189,""),""))</f>
        <v/>
      </c>
      <c r="AS189" s="152">
        <f>IF($B189=1,$C$33,IF(N(Vintage_Input!M139)&gt;0,IFERROR(Vintage_Input!BA139/$C189,""),""))</f>
        <v/>
      </c>
      <c r="AT189" s="152">
        <f>IF($B189=1,$D$33,IF(N(Vintage_Input!N139)&gt;0,IFERROR(Vintage_Input!BB139/$C189,""),""))</f>
        <v/>
      </c>
      <c r="AU189" s="152">
        <f>IF($B189=1,$E$33,IF(N(Vintage_Input!O139)&gt;0,IFERROR(Vintage_Input!BC139/$C189,""),""))</f>
        <v/>
      </c>
      <c r="AV189" s="152">
        <f>IF($B189=1,$F$33,IF(N(Vintage_Input!P139)&gt;0,IFERROR(Vintage_Input!BD139/$C189,""),""))</f>
        <v/>
      </c>
      <c r="AW189" s="152">
        <f>IF($B189=1,$G$33,IF(N(Vintage_Input!Q139)&gt;0,IFERROR(Vintage_Input!BE139/$C189,""),""))</f>
        <v/>
      </c>
      <c r="AX189" s="152">
        <f>IF($B189=1,$H$33,IF(N(Vintage_Input!R139)&gt;0,IFERROR(Vintage_Input!BF139/$C189,""),""))</f>
        <v/>
      </c>
      <c r="AY189" s="152">
        <f>IF($B189=1,$I$33,IF(N(Vintage_Input!S139)&gt;0,IFERROR(Vintage_Input!BG139/$C189,""),""))</f>
        <v/>
      </c>
      <c r="AZ189" s="153">
        <f>IF($B189=1,$B$34,IF(N(Vintage_Input!L139)&gt;0,IFERROR((Vintage_Input!D139+Vintage_Input!AR139)/$C189+Products!$E$14-(Products!$E$43+Products!$E$19+Products!$E$43*Products!$E$22+Products!$E$44),""),""))</f>
        <v/>
      </c>
      <c r="BA189" s="153">
        <f>IF($B189=1,$C$34,IF(N(Vintage_Input!M139)&gt;0,IFERROR((Vintage_Input!E139+Vintage_Input!AS139)/$C189+Products!$E$14-(Products!$E$43+Products!$E$19+Products!$E$43*Products!$E$22+Products!$E$44),""),""))</f>
        <v/>
      </c>
      <c r="BB189" s="153">
        <f>IF($B189=1,$D$34,IF(N(Vintage_Input!N139)&gt;0,IFERROR((Vintage_Input!F139+Vintage_Input!AT139)/$C189+Products!$E$14-(Products!$E$43+Products!$E$19+Products!$E$43*Products!$E$22+Products!$E$44),""),""))</f>
        <v/>
      </c>
      <c r="BC189" s="153">
        <f>IF($B189=1,$E$34,IF(N(Vintage_Input!O139)&gt;0,IFERROR((Vintage_Input!G139+Vintage_Input!AU139)/$C189+Products!$E$14-(Products!$E$43+Products!$E$19+Products!$E$43*Products!$E$22+Products!$E$44),""),""))</f>
        <v/>
      </c>
      <c r="BD189" s="153">
        <f>IF($B189=1,$F$34,IF(N(Vintage_Input!P139)&gt;0,IFERROR((Vintage_Input!H139+Vintage_Input!AV139)/$C189+Products!$E$14-(Products!$E$43+Products!$E$19+Products!$E$43*Products!$E$22+Products!$E$44),""),""))</f>
        <v/>
      </c>
      <c r="BE189" s="153">
        <f>IF($B189=1,$G$34,IF(N(Vintage_Input!Q139)&gt;0,IFERROR((Vintage_Input!I139+Vintage_Input!AW139)/$C189+Products!$E$14-(Products!$E$43+Products!$E$19+Products!$E$43*Products!$E$22+Products!$E$44),""),""))</f>
        <v/>
      </c>
      <c r="BF189" s="153">
        <f>IF($B189=1,$H$34,IF(N(Vintage_Input!R139)&gt;0,IFERROR((Vintage_Input!J139+Vintage_Input!AX139)/$C189+Products!$E$14-(Products!$E$43+Products!$E$19+Products!$E$43*Products!$E$22+Products!$E$44),""),""))</f>
        <v/>
      </c>
      <c r="BG189" s="153">
        <f>IF($B189=1,$I$34,IF(N(Vintage_Input!S139)&gt;0,IFERROR((Vintage_Input!K139+Vintage_Input!AY139)/$C189+Products!$E$14-(Products!$E$43+Products!$E$19+Products!$E$43*Products!$E$22+Products!$E$44),""),""))</f>
        <v/>
      </c>
      <c r="BH189" s="81">
        <f>IF($B189=1,0,IF(Vintage_Input!$BH$139="","",Vintage_Input!$BH$139))</f>
        <v/>
      </c>
    </row>
    <row r="190">
      <c r="A190" s="23" t="n">
        <v>2</v>
      </c>
      <c r="B190" s="48">
        <f>Vintage_Input!$B$140</f>
        <v/>
      </c>
      <c r="C190" s="41">
        <f>IF(Vintage_Input!$C$140="",0,Vintage_Input!$C$140)</f>
        <v/>
      </c>
      <c r="D190" s="152">
        <f>IF($B190=1,$B$28,IF(N(Vintage_Input!L140)&gt;0,Vintage_Input!D140/Vintage_Input!L140,""))</f>
        <v/>
      </c>
      <c r="E190" s="152">
        <f>IF($B190=1,$C$28,IF(N(Vintage_Input!M140)&gt;0,Vintage_Input!E140/Vintage_Input!M140,""))</f>
        <v/>
      </c>
      <c r="F190" s="152">
        <f>IF($B190=1,$D$28,IF(N(Vintage_Input!N140)&gt;0,Vintage_Input!F140/Vintage_Input!N140,""))</f>
        <v/>
      </c>
      <c r="G190" s="152">
        <f>IF($B190=1,$E$28,IF(N(Vintage_Input!O140)&gt;0,Vintage_Input!G140/Vintage_Input!O140,""))</f>
        <v/>
      </c>
      <c r="H190" s="152">
        <f>IF($B190=1,$F$28,IF(N(Vintage_Input!P140)&gt;0,Vintage_Input!H140/Vintage_Input!P140,""))</f>
        <v/>
      </c>
      <c r="I190" s="152">
        <f>IF($B190=1,$G$28,IF(N(Vintage_Input!Q140)&gt;0,Vintage_Input!I140/Vintage_Input!Q140,""))</f>
        <v/>
      </c>
      <c r="J190" s="152">
        <f>IF($B190=1,$H$28,IF(N(Vintage_Input!R140)&gt;0,Vintage_Input!J140/Vintage_Input!R140,""))</f>
        <v/>
      </c>
      <c r="K190" s="152">
        <f>IF($B190=1,$I$28,IF(N(Vintage_Input!S140)&gt;0,Vintage_Input!K140/Vintage_Input!S140,""))</f>
        <v/>
      </c>
      <c r="L190" s="152">
        <f>IF($B190=1,$B$29,IF(N(Vintage_Input!L140)&gt;0,Vintage_Input!T140/Vintage_Input!L140,""))</f>
        <v/>
      </c>
      <c r="M190" s="152">
        <f>IF($B190=1,$C$29,IF(N(Vintage_Input!M140)&gt;0,Vintage_Input!U140/Vintage_Input!M140,""))</f>
        <v/>
      </c>
      <c r="N190" s="152">
        <f>IF($B190=1,$D$29,IF(N(Vintage_Input!N140)&gt;0,Vintage_Input!V140/Vintage_Input!N140,""))</f>
        <v/>
      </c>
      <c r="O190" s="152">
        <f>IF($B190=1,$E$29,IF(N(Vintage_Input!O140)&gt;0,Vintage_Input!W140/Vintage_Input!O140,""))</f>
        <v/>
      </c>
      <c r="P190" s="152">
        <f>IF($B190=1,$F$29,IF(N(Vintage_Input!P140)&gt;0,Vintage_Input!X140/Vintage_Input!P140,""))</f>
        <v/>
      </c>
      <c r="Q190" s="152">
        <f>IF($B190=1,$G$29,IF(N(Vintage_Input!Q140)&gt;0,Vintage_Input!Y140/Vintage_Input!Q140,""))</f>
        <v/>
      </c>
      <c r="R190" s="152">
        <f>IF($B190=1,$H$29,IF(N(Vintage_Input!R140)&gt;0,Vintage_Input!Z140/Vintage_Input!R140,""))</f>
        <v/>
      </c>
      <c r="S190" s="152">
        <f>IF($B190=1,$I$29,IF(N(Vintage_Input!S140)&gt;0,Vintage_Input!AA140/Vintage_Input!S140,""))</f>
        <v/>
      </c>
      <c r="T190" s="152">
        <f>IF($B190=1,$B$30,IF(N(Vintage_Input!L140)&gt;0,Vintage_Input!AB140/Vintage_Input!L140,""))</f>
        <v/>
      </c>
      <c r="U190" s="152">
        <f>IF($B190=1,$C$30,IF(N(Vintage_Input!M140)&gt;0,Vintage_Input!AC140/Vintage_Input!M140,""))</f>
        <v/>
      </c>
      <c r="V190" s="152">
        <f>IF($B190=1,$D$30,IF(N(Vintage_Input!N140)&gt;0,Vintage_Input!AD140/Vintage_Input!N140,""))</f>
        <v/>
      </c>
      <c r="W190" s="152">
        <f>IF($B190=1,$E$30,IF(N(Vintage_Input!O140)&gt;0,Vintage_Input!AE140/Vintage_Input!O140,""))</f>
        <v/>
      </c>
      <c r="X190" s="152">
        <f>IF($B190=1,$F$30,IF(N(Vintage_Input!P140)&gt;0,Vintage_Input!AF140/Vintage_Input!P140,""))</f>
        <v/>
      </c>
      <c r="Y190" s="152">
        <f>IF($B190=1,$G$30,IF(N(Vintage_Input!Q140)&gt;0,Vintage_Input!AG140/Vintage_Input!Q140,""))</f>
        <v/>
      </c>
      <c r="Z190" s="152">
        <f>IF($B190=1,$H$30,IF(N(Vintage_Input!R140)&gt;0,Vintage_Input!AH140/Vintage_Input!R140,""))</f>
        <v/>
      </c>
      <c r="AA190" s="152">
        <f>IF($B190=1,$I$30,IF(N(Vintage_Input!S140)&gt;0,Vintage_Input!AI140/Vintage_Input!S140,""))</f>
        <v/>
      </c>
      <c r="AB190" s="152">
        <f>IF($B190=1,$B$31,IF(N(Vintage_Input!L140)&gt;0,Vintage_Input!AJ140/Vintage_Input!L140,""))</f>
        <v/>
      </c>
      <c r="AC190" s="152">
        <f>IF($B190=1,$C$31,IF(N(Vintage_Input!M140)&gt;0,Vintage_Input!AK140/Vintage_Input!M140,""))</f>
        <v/>
      </c>
      <c r="AD190" s="152">
        <f>IF($B190=1,$D$31,IF(N(Vintage_Input!N140)&gt;0,Vintage_Input!AL140/Vintage_Input!N140,""))</f>
        <v/>
      </c>
      <c r="AE190" s="152">
        <f>IF($B190=1,$E$31,IF(N(Vintage_Input!O140)&gt;0,Vintage_Input!AM140/Vintage_Input!O140,""))</f>
        <v/>
      </c>
      <c r="AF190" s="152">
        <f>IF($B190=1,$F$31,IF(N(Vintage_Input!P140)&gt;0,Vintage_Input!AN140/Vintage_Input!P140,""))</f>
        <v/>
      </c>
      <c r="AG190" s="152">
        <f>IF($B190=1,$G$31,IF(N(Vintage_Input!Q140)&gt;0,Vintage_Input!AO140/Vintage_Input!Q140,""))</f>
        <v/>
      </c>
      <c r="AH190" s="152">
        <f>IF($B190=1,$H$31,IF(N(Vintage_Input!R140)&gt;0,Vintage_Input!AP140/Vintage_Input!R140,""))</f>
        <v/>
      </c>
      <c r="AI190" s="152">
        <f>IF($B190=1,$I$31,IF(N(Vintage_Input!S140)&gt;0,Vintage_Input!AQ140/Vintage_Input!S140,""))</f>
        <v/>
      </c>
      <c r="AJ190" s="152">
        <f>IF($B190=1,$B$32,IF(N(Vintage_Input!L140)&gt;0,IFERROR(Vintage_Input!AR140/Vintage_Input!AJ140,""),""))</f>
        <v/>
      </c>
      <c r="AK190" s="152">
        <f>IF($B190=1,$C$32,IF(N(Vintage_Input!M140)&gt;0,IFERROR(Vintage_Input!AS140/Vintage_Input!AK140,""),""))</f>
        <v/>
      </c>
      <c r="AL190" s="152">
        <f>IF($B190=1,$D$32,IF(N(Vintage_Input!N140)&gt;0,IFERROR(Vintage_Input!AT140/Vintage_Input!AL140,""),""))</f>
        <v/>
      </c>
      <c r="AM190" s="152">
        <f>IF($B190=1,$E$32,IF(N(Vintage_Input!O140)&gt;0,IFERROR(Vintage_Input!AU140/Vintage_Input!AM140,""),""))</f>
        <v/>
      </c>
      <c r="AN190" s="152">
        <f>IF($B190=1,$F$32,IF(N(Vintage_Input!P140)&gt;0,IFERROR(Vintage_Input!AV140/Vintage_Input!AN140,""),""))</f>
        <v/>
      </c>
      <c r="AO190" s="152">
        <f>IF($B190=1,$G$32,IF(N(Vintage_Input!Q140)&gt;0,IFERROR(Vintage_Input!AW140/Vintage_Input!AO140,""),""))</f>
        <v/>
      </c>
      <c r="AP190" s="152">
        <f>IF($B190=1,$H$32,IF(N(Vintage_Input!R140)&gt;0,IFERROR(Vintage_Input!AX140/Vintage_Input!AP140,""),""))</f>
        <v/>
      </c>
      <c r="AQ190" s="152">
        <f>IF($B190=1,$I$32,IF(N(Vintage_Input!S140)&gt;0,IFERROR(Vintage_Input!AY140/Vintage_Input!AQ140,""),""))</f>
        <v/>
      </c>
      <c r="AR190" s="152">
        <f>IF($B190=1,$B$33,IF(N(Vintage_Input!L140)&gt;0,IFERROR(Vintage_Input!AZ140/$C190,""),""))</f>
        <v/>
      </c>
      <c r="AS190" s="152">
        <f>IF($B190=1,$C$33,IF(N(Vintage_Input!M140)&gt;0,IFERROR(Vintage_Input!BA140/$C190,""),""))</f>
        <v/>
      </c>
      <c r="AT190" s="152">
        <f>IF($B190=1,$D$33,IF(N(Vintage_Input!N140)&gt;0,IFERROR(Vintage_Input!BB140/$C190,""),""))</f>
        <v/>
      </c>
      <c r="AU190" s="152">
        <f>IF($B190=1,$E$33,IF(N(Vintage_Input!O140)&gt;0,IFERROR(Vintage_Input!BC140/$C190,""),""))</f>
        <v/>
      </c>
      <c r="AV190" s="152">
        <f>IF($B190=1,$F$33,IF(N(Vintage_Input!P140)&gt;0,IFERROR(Vintage_Input!BD140/$C190,""),""))</f>
        <v/>
      </c>
      <c r="AW190" s="152">
        <f>IF($B190=1,$G$33,IF(N(Vintage_Input!Q140)&gt;0,IFERROR(Vintage_Input!BE140/$C190,""),""))</f>
        <v/>
      </c>
      <c r="AX190" s="152">
        <f>IF($B190=1,$H$33,IF(N(Vintage_Input!R140)&gt;0,IFERROR(Vintage_Input!BF140/$C190,""),""))</f>
        <v/>
      </c>
      <c r="AY190" s="152">
        <f>IF($B190=1,$I$33,IF(N(Vintage_Input!S140)&gt;0,IFERROR(Vintage_Input!BG140/$C190,""),""))</f>
        <v/>
      </c>
      <c r="AZ190" s="153">
        <f>IF($B190=1,$B$34,IF(N(Vintage_Input!L140)&gt;0,IFERROR((Vintage_Input!D140+Vintage_Input!AR140)/$C190+Products!$E$14-(Products!$E$43+Products!$E$19+Products!$E$43*Products!$E$22+Products!$E$44),""),""))</f>
        <v/>
      </c>
      <c r="BA190" s="153">
        <f>IF($B190=1,$C$34,IF(N(Vintage_Input!M140)&gt;0,IFERROR((Vintage_Input!E140+Vintage_Input!AS140)/$C190+Products!$E$14-(Products!$E$43+Products!$E$19+Products!$E$43*Products!$E$22+Products!$E$44),""),""))</f>
        <v/>
      </c>
      <c r="BB190" s="153">
        <f>IF($B190=1,$D$34,IF(N(Vintage_Input!N140)&gt;0,IFERROR((Vintage_Input!F140+Vintage_Input!AT140)/$C190+Products!$E$14-(Products!$E$43+Products!$E$19+Products!$E$43*Products!$E$22+Products!$E$44),""),""))</f>
        <v/>
      </c>
      <c r="BC190" s="153">
        <f>IF($B190=1,$E$34,IF(N(Vintage_Input!O140)&gt;0,IFERROR((Vintage_Input!G140+Vintage_Input!AU140)/$C190+Products!$E$14-(Products!$E$43+Products!$E$19+Products!$E$43*Products!$E$22+Products!$E$44),""),""))</f>
        <v/>
      </c>
      <c r="BD190" s="153">
        <f>IF($B190=1,$F$34,IF(N(Vintage_Input!P140)&gt;0,IFERROR((Vintage_Input!H140+Vintage_Input!AV140)/$C190+Products!$E$14-(Products!$E$43+Products!$E$19+Products!$E$43*Products!$E$22+Products!$E$44),""),""))</f>
        <v/>
      </c>
      <c r="BE190" s="153">
        <f>IF($B190=1,$G$34,IF(N(Vintage_Input!Q140)&gt;0,IFERROR((Vintage_Input!I140+Vintage_Input!AW140)/$C190+Products!$E$14-(Products!$E$43+Products!$E$19+Products!$E$43*Products!$E$22+Products!$E$44),""),""))</f>
        <v/>
      </c>
      <c r="BF190" s="153">
        <f>IF($B190=1,$H$34,IF(N(Vintage_Input!R140)&gt;0,IFERROR((Vintage_Input!J140+Vintage_Input!AX140)/$C190+Products!$E$14-(Products!$E$43+Products!$E$19+Products!$E$43*Products!$E$22+Products!$E$44),""),""))</f>
        <v/>
      </c>
      <c r="BG190" s="153">
        <f>IF($B190=1,$I$34,IF(N(Vintage_Input!S140)&gt;0,IFERROR((Vintage_Input!K140+Vintage_Input!AY140)/$C190+Products!$E$14-(Products!$E$43+Products!$E$19+Products!$E$43*Products!$E$22+Products!$E$44),""),""))</f>
        <v/>
      </c>
      <c r="BH190" s="81">
        <f>IF($B190=1,0,IF(Vintage_Input!$BH$140="","",Vintage_Input!$BH$140))</f>
        <v/>
      </c>
    </row>
    <row r="191">
      <c r="A191" s="23" t="n">
        <v>3</v>
      </c>
      <c r="B191" s="48">
        <f>Vintage_Input!$B$141</f>
        <v/>
      </c>
      <c r="C191" s="41">
        <f>IF(Vintage_Input!$C$141="",0,Vintage_Input!$C$141)</f>
        <v/>
      </c>
      <c r="D191" s="152">
        <f>IF($B191=1,$B$28,IF(N(Vintage_Input!L141)&gt;0,Vintage_Input!D141/Vintage_Input!L141,""))</f>
        <v/>
      </c>
      <c r="E191" s="152">
        <f>IF($B191=1,$C$28,IF(N(Vintage_Input!M141)&gt;0,Vintage_Input!E141/Vintage_Input!M141,""))</f>
        <v/>
      </c>
      <c r="F191" s="152">
        <f>IF($B191=1,$D$28,IF(N(Vintage_Input!N141)&gt;0,Vintage_Input!F141/Vintage_Input!N141,""))</f>
        <v/>
      </c>
      <c r="G191" s="152">
        <f>IF($B191=1,$E$28,IF(N(Vintage_Input!O141)&gt;0,Vintage_Input!G141/Vintage_Input!O141,""))</f>
        <v/>
      </c>
      <c r="H191" s="152">
        <f>IF($B191=1,$F$28,IF(N(Vintage_Input!P141)&gt;0,Vintage_Input!H141/Vintage_Input!P141,""))</f>
        <v/>
      </c>
      <c r="I191" s="152">
        <f>IF($B191=1,$G$28,IF(N(Vintage_Input!Q141)&gt;0,Vintage_Input!I141/Vintage_Input!Q141,""))</f>
        <v/>
      </c>
      <c r="J191" s="152">
        <f>IF($B191=1,$H$28,IF(N(Vintage_Input!R141)&gt;0,Vintage_Input!J141/Vintage_Input!R141,""))</f>
        <v/>
      </c>
      <c r="K191" s="152">
        <f>IF($B191=1,$I$28,IF(N(Vintage_Input!S141)&gt;0,Vintage_Input!K141/Vintage_Input!S141,""))</f>
        <v/>
      </c>
      <c r="L191" s="152">
        <f>IF($B191=1,$B$29,IF(N(Vintage_Input!L141)&gt;0,Vintage_Input!T141/Vintage_Input!L141,""))</f>
        <v/>
      </c>
      <c r="M191" s="152">
        <f>IF($B191=1,$C$29,IF(N(Vintage_Input!M141)&gt;0,Vintage_Input!U141/Vintage_Input!M141,""))</f>
        <v/>
      </c>
      <c r="N191" s="152">
        <f>IF($B191=1,$D$29,IF(N(Vintage_Input!N141)&gt;0,Vintage_Input!V141/Vintage_Input!N141,""))</f>
        <v/>
      </c>
      <c r="O191" s="152">
        <f>IF($B191=1,$E$29,IF(N(Vintage_Input!O141)&gt;0,Vintage_Input!W141/Vintage_Input!O141,""))</f>
        <v/>
      </c>
      <c r="P191" s="152">
        <f>IF($B191=1,$F$29,IF(N(Vintage_Input!P141)&gt;0,Vintage_Input!X141/Vintage_Input!P141,""))</f>
        <v/>
      </c>
      <c r="Q191" s="152">
        <f>IF($B191=1,$G$29,IF(N(Vintage_Input!Q141)&gt;0,Vintage_Input!Y141/Vintage_Input!Q141,""))</f>
        <v/>
      </c>
      <c r="R191" s="152">
        <f>IF($B191=1,$H$29,IF(N(Vintage_Input!R141)&gt;0,Vintage_Input!Z141/Vintage_Input!R141,""))</f>
        <v/>
      </c>
      <c r="S191" s="152">
        <f>IF($B191=1,$I$29,IF(N(Vintage_Input!S141)&gt;0,Vintage_Input!AA141/Vintage_Input!S141,""))</f>
        <v/>
      </c>
      <c r="T191" s="152">
        <f>IF($B191=1,$B$30,IF(N(Vintage_Input!L141)&gt;0,Vintage_Input!AB141/Vintage_Input!L141,""))</f>
        <v/>
      </c>
      <c r="U191" s="152">
        <f>IF($B191=1,$C$30,IF(N(Vintage_Input!M141)&gt;0,Vintage_Input!AC141/Vintage_Input!M141,""))</f>
        <v/>
      </c>
      <c r="V191" s="152">
        <f>IF($B191=1,$D$30,IF(N(Vintage_Input!N141)&gt;0,Vintage_Input!AD141/Vintage_Input!N141,""))</f>
        <v/>
      </c>
      <c r="W191" s="152">
        <f>IF($B191=1,$E$30,IF(N(Vintage_Input!O141)&gt;0,Vintage_Input!AE141/Vintage_Input!O141,""))</f>
        <v/>
      </c>
      <c r="X191" s="152">
        <f>IF($B191=1,$F$30,IF(N(Vintage_Input!P141)&gt;0,Vintage_Input!AF141/Vintage_Input!P141,""))</f>
        <v/>
      </c>
      <c r="Y191" s="152">
        <f>IF($B191=1,$G$30,IF(N(Vintage_Input!Q141)&gt;0,Vintage_Input!AG141/Vintage_Input!Q141,""))</f>
        <v/>
      </c>
      <c r="Z191" s="152">
        <f>IF($B191=1,$H$30,IF(N(Vintage_Input!R141)&gt;0,Vintage_Input!AH141/Vintage_Input!R141,""))</f>
        <v/>
      </c>
      <c r="AA191" s="152">
        <f>IF($B191=1,$I$30,IF(N(Vintage_Input!S141)&gt;0,Vintage_Input!AI141/Vintage_Input!S141,""))</f>
        <v/>
      </c>
      <c r="AB191" s="152">
        <f>IF($B191=1,$B$31,IF(N(Vintage_Input!L141)&gt;0,Vintage_Input!AJ141/Vintage_Input!L141,""))</f>
        <v/>
      </c>
      <c r="AC191" s="152">
        <f>IF($B191=1,$C$31,IF(N(Vintage_Input!M141)&gt;0,Vintage_Input!AK141/Vintage_Input!M141,""))</f>
        <v/>
      </c>
      <c r="AD191" s="152">
        <f>IF($B191=1,$D$31,IF(N(Vintage_Input!N141)&gt;0,Vintage_Input!AL141/Vintage_Input!N141,""))</f>
        <v/>
      </c>
      <c r="AE191" s="152">
        <f>IF($B191=1,$E$31,IF(N(Vintage_Input!O141)&gt;0,Vintage_Input!AM141/Vintage_Input!O141,""))</f>
        <v/>
      </c>
      <c r="AF191" s="152">
        <f>IF($B191=1,$F$31,IF(N(Vintage_Input!P141)&gt;0,Vintage_Input!AN141/Vintage_Input!P141,""))</f>
        <v/>
      </c>
      <c r="AG191" s="152">
        <f>IF($B191=1,$G$31,IF(N(Vintage_Input!Q141)&gt;0,Vintage_Input!AO141/Vintage_Input!Q141,""))</f>
        <v/>
      </c>
      <c r="AH191" s="152">
        <f>IF($B191=1,$H$31,IF(N(Vintage_Input!R141)&gt;0,Vintage_Input!AP141/Vintage_Input!R141,""))</f>
        <v/>
      </c>
      <c r="AI191" s="152">
        <f>IF($B191=1,$I$31,IF(N(Vintage_Input!S141)&gt;0,Vintage_Input!AQ141/Vintage_Input!S141,""))</f>
        <v/>
      </c>
      <c r="AJ191" s="152">
        <f>IF($B191=1,$B$32,IF(N(Vintage_Input!L141)&gt;0,IFERROR(Vintage_Input!AR141/Vintage_Input!AJ141,""),""))</f>
        <v/>
      </c>
      <c r="AK191" s="152">
        <f>IF($B191=1,$C$32,IF(N(Vintage_Input!M141)&gt;0,IFERROR(Vintage_Input!AS141/Vintage_Input!AK141,""),""))</f>
        <v/>
      </c>
      <c r="AL191" s="152">
        <f>IF($B191=1,$D$32,IF(N(Vintage_Input!N141)&gt;0,IFERROR(Vintage_Input!AT141/Vintage_Input!AL141,""),""))</f>
        <v/>
      </c>
      <c r="AM191" s="152">
        <f>IF($B191=1,$E$32,IF(N(Vintage_Input!O141)&gt;0,IFERROR(Vintage_Input!AU141/Vintage_Input!AM141,""),""))</f>
        <v/>
      </c>
      <c r="AN191" s="152">
        <f>IF($B191=1,$F$32,IF(N(Vintage_Input!P141)&gt;0,IFERROR(Vintage_Input!AV141/Vintage_Input!AN141,""),""))</f>
        <v/>
      </c>
      <c r="AO191" s="152">
        <f>IF($B191=1,$G$32,IF(N(Vintage_Input!Q141)&gt;0,IFERROR(Vintage_Input!AW141/Vintage_Input!AO141,""),""))</f>
        <v/>
      </c>
      <c r="AP191" s="152">
        <f>IF($B191=1,$H$32,IF(N(Vintage_Input!R141)&gt;0,IFERROR(Vintage_Input!AX141/Vintage_Input!AP141,""),""))</f>
        <v/>
      </c>
      <c r="AQ191" s="152">
        <f>IF($B191=1,$I$32,IF(N(Vintage_Input!S141)&gt;0,IFERROR(Vintage_Input!AY141/Vintage_Input!AQ141,""),""))</f>
        <v/>
      </c>
      <c r="AR191" s="152">
        <f>IF($B191=1,$B$33,IF(N(Vintage_Input!L141)&gt;0,IFERROR(Vintage_Input!AZ141/$C191,""),""))</f>
        <v/>
      </c>
      <c r="AS191" s="152">
        <f>IF($B191=1,$C$33,IF(N(Vintage_Input!M141)&gt;0,IFERROR(Vintage_Input!BA141/$C191,""),""))</f>
        <v/>
      </c>
      <c r="AT191" s="152">
        <f>IF($B191=1,$D$33,IF(N(Vintage_Input!N141)&gt;0,IFERROR(Vintage_Input!BB141/$C191,""),""))</f>
        <v/>
      </c>
      <c r="AU191" s="152">
        <f>IF($B191=1,$E$33,IF(N(Vintage_Input!O141)&gt;0,IFERROR(Vintage_Input!BC141/$C191,""),""))</f>
        <v/>
      </c>
      <c r="AV191" s="152">
        <f>IF($B191=1,$F$33,IF(N(Vintage_Input!P141)&gt;0,IFERROR(Vintage_Input!BD141/$C191,""),""))</f>
        <v/>
      </c>
      <c r="AW191" s="152">
        <f>IF($B191=1,$G$33,IF(N(Vintage_Input!Q141)&gt;0,IFERROR(Vintage_Input!BE141/$C191,""),""))</f>
        <v/>
      </c>
      <c r="AX191" s="152">
        <f>IF($B191=1,$H$33,IF(N(Vintage_Input!R141)&gt;0,IFERROR(Vintage_Input!BF141/$C191,""),""))</f>
        <v/>
      </c>
      <c r="AY191" s="152">
        <f>IF($B191=1,$I$33,IF(N(Vintage_Input!S141)&gt;0,IFERROR(Vintage_Input!BG141/$C191,""),""))</f>
        <v/>
      </c>
      <c r="AZ191" s="153">
        <f>IF($B191=1,$B$34,IF(N(Vintage_Input!L141)&gt;0,IFERROR((Vintage_Input!D141+Vintage_Input!AR141)/$C191+Products!$E$14-(Products!$E$43+Products!$E$19+Products!$E$43*Products!$E$22+Products!$E$44),""),""))</f>
        <v/>
      </c>
      <c r="BA191" s="153">
        <f>IF($B191=1,$C$34,IF(N(Vintage_Input!M141)&gt;0,IFERROR((Vintage_Input!E141+Vintage_Input!AS141)/$C191+Products!$E$14-(Products!$E$43+Products!$E$19+Products!$E$43*Products!$E$22+Products!$E$44),""),""))</f>
        <v/>
      </c>
      <c r="BB191" s="153">
        <f>IF($B191=1,$D$34,IF(N(Vintage_Input!N141)&gt;0,IFERROR((Vintage_Input!F141+Vintage_Input!AT141)/$C191+Products!$E$14-(Products!$E$43+Products!$E$19+Products!$E$43*Products!$E$22+Products!$E$44),""),""))</f>
        <v/>
      </c>
      <c r="BC191" s="153">
        <f>IF($B191=1,$E$34,IF(N(Vintage_Input!O141)&gt;0,IFERROR((Vintage_Input!G141+Vintage_Input!AU141)/$C191+Products!$E$14-(Products!$E$43+Products!$E$19+Products!$E$43*Products!$E$22+Products!$E$44),""),""))</f>
        <v/>
      </c>
      <c r="BD191" s="153">
        <f>IF($B191=1,$F$34,IF(N(Vintage_Input!P141)&gt;0,IFERROR((Vintage_Input!H141+Vintage_Input!AV141)/$C191+Products!$E$14-(Products!$E$43+Products!$E$19+Products!$E$43*Products!$E$22+Products!$E$44),""),""))</f>
        <v/>
      </c>
      <c r="BE191" s="153">
        <f>IF($B191=1,$G$34,IF(N(Vintage_Input!Q141)&gt;0,IFERROR((Vintage_Input!I141+Vintage_Input!AW141)/$C191+Products!$E$14-(Products!$E$43+Products!$E$19+Products!$E$43*Products!$E$22+Products!$E$44),""),""))</f>
        <v/>
      </c>
      <c r="BF191" s="153">
        <f>IF($B191=1,$H$34,IF(N(Vintage_Input!R141)&gt;0,IFERROR((Vintage_Input!J141+Vintage_Input!AX141)/$C191+Products!$E$14-(Products!$E$43+Products!$E$19+Products!$E$43*Products!$E$22+Products!$E$44),""),""))</f>
        <v/>
      </c>
      <c r="BG191" s="153">
        <f>IF($B191=1,$I$34,IF(N(Vintage_Input!S141)&gt;0,IFERROR((Vintage_Input!K141+Vintage_Input!AY141)/$C191+Products!$E$14-(Products!$E$43+Products!$E$19+Products!$E$43*Products!$E$22+Products!$E$44),""),""))</f>
        <v/>
      </c>
      <c r="BH191" s="81">
        <f>IF($B191=1,0,IF(Vintage_Input!$BH$141="","",Vintage_Input!$BH$141))</f>
        <v/>
      </c>
    </row>
    <row r="192">
      <c r="A192" s="23" t="n">
        <v>4</v>
      </c>
      <c r="B192" s="48">
        <f>Vintage_Input!$B$142</f>
        <v/>
      </c>
      <c r="C192" s="41">
        <f>IF(Vintage_Input!$C$142="",0,Vintage_Input!$C$142)</f>
        <v/>
      </c>
      <c r="D192" s="152">
        <f>IF($B192=1,$B$28,IF(N(Vintage_Input!L142)&gt;0,Vintage_Input!D142/Vintage_Input!L142,""))</f>
        <v/>
      </c>
      <c r="E192" s="152">
        <f>IF($B192=1,$C$28,IF(N(Vintage_Input!M142)&gt;0,Vintage_Input!E142/Vintage_Input!M142,""))</f>
        <v/>
      </c>
      <c r="F192" s="152">
        <f>IF($B192=1,$D$28,IF(N(Vintage_Input!N142)&gt;0,Vintage_Input!F142/Vintage_Input!N142,""))</f>
        <v/>
      </c>
      <c r="G192" s="152">
        <f>IF($B192=1,$E$28,IF(N(Vintage_Input!O142)&gt;0,Vintage_Input!G142/Vintage_Input!O142,""))</f>
        <v/>
      </c>
      <c r="H192" s="152">
        <f>IF($B192=1,$F$28,IF(N(Vintage_Input!P142)&gt;0,Vintage_Input!H142/Vintage_Input!P142,""))</f>
        <v/>
      </c>
      <c r="I192" s="152">
        <f>IF($B192=1,$G$28,IF(N(Vintage_Input!Q142)&gt;0,Vintage_Input!I142/Vintage_Input!Q142,""))</f>
        <v/>
      </c>
      <c r="J192" s="152">
        <f>IF($B192=1,$H$28,IF(N(Vintage_Input!R142)&gt;0,Vintage_Input!J142/Vintage_Input!R142,""))</f>
        <v/>
      </c>
      <c r="K192" s="152">
        <f>IF($B192=1,$I$28,IF(N(Vintage_Input!S142)&gt;0,Vintage_Input!K142/Vintage_Input!S142,""))</f>
        <v/>
      </c>
      <c r="L192" s="152">
        <f>IF($B192=1,$B$29,IF(N(Vintage_Input!L142)&gt;0,Vintage_Input!T142/Vintage_Input!L142,""))</f>
        <v/>
      </c>
      <c r="M192" s="152">
        <f>IF($B192=1,$C$29,IF(N(Vintage_Input!M142)&gt;0,Vintage_Input!U142/Vintage_Input!M142,""))</f>
        <v/>
      </c>
      <c r="N192" s="152">
        <f>IF($B192=1,$D$29,IF(N(Vintage_Input!N142)&gt;0,Vintage_Input!V142/Vintage_Input!N142,""))</f>
        <v/>
      </c>
      <c r="O192" s="152">
        <f>IF($B192=1,$E$29,IF(N(Vintage_Input!O142)&gt;0,Vintage_Input!W142/Vintage_Input!O142,""))</f>
        <v/>
      </c>
      <c r="P192" s="152">
        <f>IF($B192=1,$F$29,IF(N(Vintage_Input!P142)&gt;0,Vintage_Input!X142/Vintage_Input!P142,""))</f>
        <v/>
      </c>
      <c r="Q192" s="152">
        <f>IF($B192=1,$G$29,IF(N(Vintage_Input!Q142)&gt;0,Vintage_Input!Y142/Vintage_Input!Q142,""))</f>
        <v/>
      </c>
      <c r="R192" s="152">
        <f>IF($B192=1,$H$29,IF(N(Vintage_Input!R142)&gt;0,Vintage_Input!Z142/Vintage_Input!R142,""))</f>
        <v/>
      </c>
      <c r="S192" s="152">
        <f>IF($B192=1,$I$29,IF(N(Vintage_Input!S142)&gt;0,Vintage_Input!AA142/Vintage_Input!S142,""))</f>
        <v/>
      </c>
      <c r="T192" s="152">
        <f>IF($B192=1,$B$30,IF(N(Vintage_Input!L142)&gt;0,Vintage_Input!AB142/Vintage_Input!L142,""))</f>
        <v/>
      </c>
      <c r="U192" s="152">
        <f>IF($B192=1,$C$30,IF(N(Vintage_Input!M142)&gt;0,Vintage_Input!AC142/Vintage_Input!M142,""))</f>
        <v/>
      </c>
      <c r="V192" s="152">
        <f>IF($B192=1,$D$30,IF(N(Vintage_Input!N142)&gt;0,Vintage_Input!AD142/Vintage_Input!N142,""))</f>
        <v/>
      </c>
      <c r="W192" s="152">
        <f>IF($B192=1,$E$30,IF(N(Vintage_Input!O142)&gt;0,Vintage_Input!AE142/Vintage_Input!O142,""))</f>
        <v/>
      </c>
      <c r="X192" s="152">
        <f>IF($B192=1,$F$30,IF(N(Vintage_Input!P142)&gt;0,Vintage_Input!AF142/Vintage_Input!P142,""))</f>
        <v/>
      </c>
      <c r="Y192" s="152">
        <f>IF($B192=1,$G$30,IF(N(Vintage_Input!Q142)&gt;0,Vintage_Input!AG142/Vintage_Input!Q142,""))</f>
        <v/>
      </c>
      <c r="Z192" s="152">
        <f>IF($B192=1,$H$30,IF(N(Vintage_Input!R142)&gt;0,Vintage_Input!AH142/Vintage_Input!R142,""))</f>
        <v/>
      </c>
      <c r="AA192" s="152">
        <f>IF($B192=1,$I$30,IF(N(Vintage_Input!S142)&gt;0,Vintage_Input!AI142/Vintage_Input!S142,""))</f>
        <v/>
      </c>
      <c r="AB192" s="152">
        <f>IF($B192=1,$B$31,IF(N(Vintage_Input!L142)&gt;0,Vintage_Input!AJ142/Vintage_Input!L142,""))</f>
        <v/>
      </c>
      <c r="AC192" s="152">
        <f>IF($B192=1,$C$31,IF(N(Vintage_Input!M142)&gt;0,Vintage_Input!AK142/Vintage_Input!M142,""))</f>
        <v/>
      </c>
      <c r="AD192" s="152">
        <f>IF($B192=1,$D$31,IF(N(Vintage_Input!N142)&gt;0,Vintage_Input!AL142/Vintage_Input!N142,""))</f>
        <v/>
      </c>
      <c r="AE192" s="152">
        <f>IF($B192=1,$E$31,IF(N(Vintage_Input!O142)&gt;0,Vintage_Input!AM142/Vintage_Input!O142,""))</f>
        <v/>
      </c>
      <c r="AF192" s="152">
        <f>IF($B192=1,$F$31,IF(N(Vintage_Input!P142)&gt;0,Vintage_Input!AN142/Vintage_Input!P142,""))</f>
        <v/>
      </c>
      <c r="AG192" s="152">
        <f>IF($B192=1,$G$31,IF(N(Vintage_Input!Q142)&gt;0,Vintage_Input!AO142/Vintage_Input!Q142,""))</f>
        <v/>
      </c>
      <c r="AH192" s="152">
        <f>IF($B192=1,$H$31,IF(N(Vintage_Input!R142)&gt;0,Vintage_Input!AP142/Vintage_Input!R142,""))</f>
        <v/>
      </c>
      <c r="AI192" s="152">
        <f>IF($B192=1,$I$31,IF(N(Vintage_Input!S142)&gt;0,Vintage_Input!AQ142/Vintage_Input!S142,""))</f>
        <v/>
      </c>
      <c r="AJ192" s="152">
        <f>IF($B192=1,$B$32,IF(N(Vintage_Input!L142)&gt;0,IFERROR(Vintage_Input!AR142/Vintage_Input!AJ142,""),""))</f>
        <v/>
      </c>
      <c r="AK192" s="152">
        <f>IF($B192=1,$C$32,IF(N(Vintage_Input!M142)&gt;0,IFERROR(Vintage_Input!AS142/Vintage_Input!AK142,""),""))</f>
        <v/>
      </c>
      <c r="AL192" s="152">
        <f>IF($B192=1,$D$32,IF(N(Vintage_Input!N142)&gt;0,IFERROR(Vintage_Input!AT142/Vintage_Input!AL142,""),""))</f>
        <v/>
      </c>
      <c r="AM192" s="152">
        <f>IF($B192=1,$E$32,IF(N(Vintage_Input!O142)&gt;0,IFERROR(Vintage_Input!AU142/Vintage_Input!AM142,""),""))</f>
        <v/>
      </c>
      <c r="AN192" s="152">
        <f>IF($B192=1,$F$32,IF(N(Vintage_Input!P142)&gt;0,IFERROR(Vintage_Input!AV142/Vintage_Input!AN142,""),""))</f>
        <v/>
      </c>
      <c r="AO192" s="152">
        <f>IF($B192=1,$G$32,IF(N(Vintage_Input!Q142)&gt;0,IFERROR(Vintage_Input!AW142/Vintage_Input!AO142,""),""))</f>
        <v/>
      </c>
      <c r="AP192" s="152">
        <f>IF($B192=1,$H$32,IF(N(Vintage_Input!R142)&gt;0,IFERROR(Vintage_Input!AX142/Vintage_Input!AP142,""),""))</f>
        <v/>
      </c>
      <c r="AQ192" s="152">
        <f>IF($B192=1,$I$32,IF(N(Vintage_Input!S142)&gt;0,IFERROR(Vintage_Input!AY142/Vintage_Input!AQ142,""),""))</f>
        <v/>
      </c>
      <c r="AR192" s="152">
        <f>IF($B192=1,$B$33,IF(N(Vintage_Input!L142)&gt;0,IFERROR(Vintage_Input!AZ142/$C192,""),""))</f>
        <v/>
      </c>
      <c r="AS192" s="152">
        <f>IF($B192=1,$C$33,IF(N(Vintage_Input!M142)&gt;0,IFERROR(Vintage_Input!BA142/$C192,""),""))</f>
        <v/>
      </c>
      <c r="AT192" s="152">
        <f>IF($B192=1,$D$33,IF(N(Vintage_Input!N142)&gt;0,IFERROR(Vintage_Input!BB142/$C192,""),""))</f>
        <v/>
      </c>
      <c r="AU192" s="152">
        <f>IF($B192=1,$E$33,IF(N(Vintage_Input!O142)&gt;0,IFERROR(Vintage_Input!BC142/$C192,""),""))</f>
        <v/>
      </c>
      <c r="AV192" s="152">
        <f>IF($B192=1,$F$33,IF(N(Vintage_Input!P142)&gt;0,IFERROR(Vintage_Input!BD142/$C192,""),""))</f>
        <v/>
      </c>
      <c r="AW192" s="152">
        <f>IF($B192=1,$G$33,IF(N(Vintage_Input!Q142)&gt;0,IFERROR(Vintage_Input!BE142/$C192,""),""))</f>
        <v/>
      </c>
      <c r="AX192" s="152">
        <f>IF($B192=1,$H$33,IF(N(Vintage_Input!R142)&gt;0,IFERROR(Vintage_Input!BF142/$C192,""),""))</f>
        <v/>
      </c>
      <c r="AY192" s="152">
        <f>IF($B192=1,$I$33,IF(N(Vintage_Input!S142)&gt;0,IFERROR(Vintage_Input!BG142/$C192,""),""))</f>
        <v/>
      </c>
      <c r="AZ192" s="153">
        <f>IF($B192=1,$B$34,IF(N(Vintage_Input!L142)&gt;0,IFERROR((Vintage_Input!D142+Vintage_Input!AR142)/$C192+Products!$E$14-(Products!$E$43+Products!$E$19+Products!$E$43*Products!$E$22+Products!$E$44),""),""))</f>
        <v/>
      </c>
      <c r="BA192" s="153">
        <f>IF($B192=1,$C$34,IF(N(Vintage_Input!M142)&gt;0,IFERROR((Vintage_Input!E142+Vintage_Input!AS142)/$C192+Products!$E$14-(Products!$E$43+Products!$E$19+Products!$E$43*Products!$E$22+Products!$E$44),""),""))</f>
        <v/>
      </c>
      <c r="BB192" s="153">
        <f>IF($B192=1,$D$34,IF(N(Vintage_Input!N142)&gt;0,IFERROR((Vintage_Input!F142+Vintage_Input!AT142)/$C192+Products!$E$14-(Products!$E$43+Products!$E$19+Products!$E$43*Products!$E$22+Products!$E$44),""),""))</f>
        <v/>
      </c>
      <c r="BC192" s="153">
        <f>IF($B192=1,$E$34,IF(N(Vintage_Input!O142)&gt;0,IFERROR((Vintage_Input!G142+Vintage_Input!AU142)/$C192+Products!$E$14-(Products!$E$43+Products!$E$19+Products!$E$43*Products!$E$22+Products!$E$44),""),""))</f>
        <v/>
      </c>
      <c r="BD192" s="153">
        <f>IF($B192=1,$F$34,IF(N(Vintage_Input!P142)&gt;0,IFERROR((Vintage_Input!H142+Vintage_Input!AV142)/$C192+Products!$E$14-(Products!$E$43+Products!$E$19+Products!$E$43*Products!$E$22+Products!$E$44),""),""))</f>
        <v/>
      </c>
      <c r="BE192" s="153">
        <f>IF($B192=1,$G$34,IF(N(Vintage_Input!Q142)&gt;0,IFERROR((Vintage_Input!I142+Vintage_Input!AW142)/$C192+Products!$E$14-(Products!$E$43+Products!$E$19+Products!$E$43*Products!$E$22+Products!$E$44),""),""))</f>
        <v/>
      </c>
      <c r="BF192" s="153">
        <f>IF($B192=1,$H$34,IF(N(Vintage_Input!R142)&gt;0,IFERROR((Vintage_Input!J142+Vintage_Input!AX142)/$C192+Products!$E$14-(Products!$E$43+Products!$E$19+Products!$E$43*Products!$E$22+Products!$E$44),""),""))</f>
        <v/>
      </c>
      <c r="BG192" s="153">
        <f>IF($B192=1,$I$34,IF(N(Vintage_Input!S142)&gt;0,IFERROR((Vintage_Input!K142+Vintage_Input!AY142)/$C192+Products!$E$14-(Products!$E$43+Products!$E$19+Products!$E$43*Products!$E$22+Products!$E$44),""),""))</f>
        <v/>
      </c>
      <c r="BH192" s="81">
        <f>IF($B192=1,0,IF(Vintage_Input!$BH$142="","",Vintage_Input!$BH$142))</f>
        <v/>
      </c>
    </row>
    <row r="193">
      <c r="A193" s="23" t="n">
        <v>5</v>
      </c>
      <c r="B193" s="48">
        <f>Vintage_Input!$B$143</f>
        <v/>
      </c>
      <c r="C193" s="41">
        <f>IF(Vintage_Input!$C$143="",0,Vintage_Input!$C$143)</f>
        <v/>
      </c>
      <c r="D193" s="152">
        <f>IF($B193=1,$B$28,IF(N(Vintage_Input!L143)&gt;0,Vintage_Input!D143/Vintage_Input!L143,""))</f>
        <v/>
      </c>
      <c r="E193" s="152">
        <f>IF($B193=1,$C$28,IF(N(Vintage_Input!M143)&gt;0,Vintage_Input!E143/Vintage_Input!M143,""))</f>
        <v/>
      </c>
      <c r="F193" s="152">
        <f>IF($B193=1,$D$28,IF(N(Vintage_Input!N143)&gt;0,Vintage_Input!F143/Vintage_Input!N143,""))</f>
        <v/>
      </c>
      <c r="G193" s="152">
        <f>IF($B193=1,$E$28,IF(N(Vintage_Input!O143)&gt;0,Vintage_Input!G143/Vintage_Input!O143,""))</f>
        <v/>
      </c>
      <c r="H193" s="152">
        <f>IF($B193=1,$F$28,IF(N(Vintage_Input!P143)&gt;0,Vintage_Input!H143/Vintage_Input!P143,""))</f>
        <v/>
      </c>
      <c r="I193" s="152">
        <f>IF($B193=1,$G$28,IF(N(Vintage_Input!Q143)&gt;0,Vintage_Input!I143/Vintage_Input!Q143,""))</f>
        <v/>
      </c>
      <c r="J193" s="152">
        <f>IF($B193=1,$H$28,IF(N(Vintage_Input!R143)&gt;0,Vintage_Input!J143/Vintage_Input!R143,""))</f>
        <v/>
      </c>
      <c r="K193" s="152">
        <f>IF($B193=1,$I$28,IF(N(Vintage_Input!S143)&gt;0,Vintage_Input!K143/Vintage_Input!S143,""))</f>
        <v/>
      </c>
      <c r="L193" s="152">
        <f>IF($B193=1,$B$29,IF(N(Vintage_Input!L143)&gt;0,Vintage_Input!T143/Vintage_Input!L143,""))</f>
        <v/>
      </c>
      <c r="M193" s="152">
        <f>IF($B193=1,$C$29,IF(N(Vintage_Input!M143)&gt;0,Vintage_Input!U143/Vintage_Input!M143,""))</f>
        <v/>
      </c>
      <c r="N193" s="152">
        <f>IF($B193=1,$D$29,IF(N(Vintage_Input!N143)&gt;0,Vintage_Input!V143/Vintage_Input!N143,""))</f>
        <v/>
      </c>
      <c r="O193" s="152">
        <f>IF($B193=1,$E$29,IF(N(Vintage_Input!O143)&gt;0,Vintage_Input!W143/Vintage_Input!O143,""))</f>
        <v/>
      </c>
      <c r="P193" s="152">
        <f>IF($B193=1,$F$29,IF(N(Vintage_Input!P143)&gt;0,Vintage_Input!X143/Vintage_Input!P143,""))</f>
        <v/>
      </c>
      <c r="Q193" s="152">
        <f>IF($B193=1,$G$29,IF(N(Vintage_Input!Q143)&gt;0,Vintage_Input!Y143/Vintage_Input!Q143,""))</f>
        <v/>
      </c>
      <c r="R193" s="152">
        <f>IF($B193=1,$H$29,IF(N(Vintage_Input!R143)&gt;0,Vintage_Input!Z143/Vintage_Input!R143,""))</f>
        <v/>
      </c>
      <c r="S193" s="152">
        <f>IF($B193=1,$I$29,IF(N(Vintage_Input!S143)&gt;0,Vintage_Input!AA143/Vintage_Input!S143,""))</f>
        <v/>
      </c>
      <c r="T193" s="152">
        <f>IF($B193=1,$B$30,IF(N(Vintage_Input!L143)&gt;0,Vintage_Input!AB143/Vintage_Input!L143,""))</f>
        <v/>
      </c>
      <c r="U193" s="152">
        <f>IF($B193=1,$C$30,IF(N(Vintage_Input!M143)&gt;0,Vintage_Input!AC143/Vintage_Input!M143,""))</f>
        <v/>
      </c>
      <c r="V193" s="152">
        <f>IF($B193=1,$D$30,IF(N(Vintage_Input!N143)&gt;0,Vintage_Input!AD143/Vintage_Input!N143,""))</f>
        <v/>
      </c>
      <c r="W193" s="152">
        <f>IF($B193=1,$E$30,IF(N(Vintage_Input!O143)&gt;0,Vintage_Input!AE143/Vintage_Input!O143,""))</f>
        <v/>
      </c>
      <c r="X193" s="152">
        <f>IF($B193=1,$F$30,IF(N(Vintage_Input!P143)&gt;0,Vintage_Input!AF143/Vintage_Input!P143,""))</f>
        <v/>
      </c>
      <c r="Y193" s="152">
        <f>IF($B193=1,$G$30,IF(N(Vintage_Input!Q143)&gt;0,Vintage_Input!AG143/Vintage_Input!Q143,""))</f>
        <v/>
      </c>
      <c r="Z193" s="152">
        <f>IF($B193=1,$H$30,IF(N(Vintage_Input!R143)&gt;0,Vintage_Input!AH143/Vintage_Input!R143,""))</f>
        <v/>
      </c>
      <c r="AA193" s="152">
        <f>IF($B193=1,$I$30,IF(N(Vintage_Input!S143)&gt;0,Vintage_Input!AI143/Vintage_Input!S143,""))</f>
        <v/>
      </c>
      <c r="AB193" s="152">
        <f>IF($B193=1,$B$31,IF(N(Vintage_Input!L143)&gt;0,Vintage_Input!AJ143/Vintage_Input!L143,""))</f>
        <v/>
      </c>
      <c r="AC193" s="152">
        <f>IF($B193=1,$C$31,IF(N(Vintage_Input!M143)&gt;0,Vintage_Input!AK143/Vintage_Input!M143,""))</f>
        <v/>
      </c>
      <c r="AD193" s="152">
        <f>IF($B193=1,$D$31,IF(N(Vintage_Input!N143)&gt;0,Vintage_Input!AL143/Vintage_Input!N143,""))</f>
        <v/>
      </c>
      <c r="AE193" s="152">
        <f>IF($B193=1,$E$31,IF(N(Vintage_Input!O143)&gt;0,Vintage_Input!AM143/Vintage_Input!O143,""))</f>
        <v/>
      </c>
      <c r="AF193" s="152">
        <f>IF($B193=1,$F$31,IF(N(Vintage_Input!P143)&gt;0,Vintage_Input!AN143/Vintage_Input!P143,""))</f>
        <v/>
      </c>
      <c r="AG193" s="152">
        <f>IF($B193=1,$G$31,IF(N(Vintage_Input!Q143)&gt;0,Vintage_Input!AO143/Vintage_Input!Q143,""))</f>
        <v/>
      </c>
      <c r="AH193" s="152">
        <f>IF($B193=1,$H$31,IF(N(Vintage_Input!R143)&gt;0,Vintage_Input!AP143/Vintage_Input!R143,""))</f>
        <v/>
      </c>
      <c r="AI193" s="152">
        <f>IF($B193=1,$I$31,IF(N(Vintage_Input!S143)&gt;0,Vintage_Input!AQ143/Vintage_Input!S143,""))</f>
        <v/>
      </c>
      <c r="AJ193" s="152">
        <f>IF($B193=1,$B$32,IF(N(Vintage_Input!L143)&gt;0,IFERROR(Vintage_Input!AR143/Vintage_Input!AJ143,""),""))</f>
        <v/>
      </c>
      <c r="AK193" s="152">
        <f>IF($B193=1,$C$32,IF(N(Vintage_Input!M143)&gt;0,IFERROR(Vintage_Input!AS143/Vintage_Input!AK143,""),""))</f>
        <v/>
      </c>
      <c r="AL193" s="152">
        <f>IF($B193=1,$D$32,IF(N(Vintage_Input!N143)&gt;0,IFERROR(Vintage_Input!AT143/Vintage_Input!AL143,""),""))</f>
        <v/>
      </c>
      <c r="AM193" s="152">
        <f>IF($B193=1,$E$32,IF(N(Vintage_Input!O143)&gt;0,IFERROR(Vintage_Input!AU143/Vintage_Input!AM143,""),""))</f>
        <v/>
      </c>
      <c r="AN193" s="152">
        <f>IF($B193=1,$F$32,IF(N(Vintage_Input!P143)&gt;0,IFERROR(Vintage_Input!AV143/Vintage_Input!AN143,""),""))</f>
        <v/>
      </c>
      <c r="AO193" s="152">
        <f>IF($B193=1,$G$32,IF(N(Vintage_Input!Q143)&gt;0,IFERROR(Vintage_Input!AW143/Vintage_Input!AO143,""),""))</f>
        <v/>
      </c>
      <c r="AP193" s="152">
        <f>IF($B193=1,$H$32,IF(N(Vintage_Input!R143)&gt;0,IFERROR(Vintage_Input!AX143/Vintage_Input!AP143,""),""))</f>
        <v/>
      </c>
      <c r="AQ193" s="152">
        <f>IF($B193=1,$I$32,IF(N(Vintage_Input!S143)&gt;0,IFERROR(Vintage_Input!AY143/Vintage_Input!AQ143,""),""))</f>
        <v/>
      </c>
      <c r="AR193" s="152">
        <f>IF($B193=1,$B$33,IF(N(Vintage_Input!L143)&gt;0,IFERROR(Vintage_Input!AZ143/$C193,""),""))</f>
        <v/>
      </c>
      <c r="AS193" s="152">
        <f>IF($B193=1,$C$33,IF(N(Vintage_Input!M143)&gt;0,IFERROR(Vintage_Input!BA143/$C193,""),""))</f>
        <v/>
      </c>
      <c r="AT193" s="152">
        <f>IF($B193=1,$D$33,IF(N(Vintage_Input!N143)&gt;0,IFERROR(Vintage_Input!BB143/$C193,""),""))</f>
        <v/>
      </c>
      <c r="AU193" s="152">
        <f>IF($B193=1,$E$33,IF(N(Vintage_Input!O143)&gt;0,IFERROR(Vintage_Input!BC143/$C193,""),""))</f>
        <v/>
      </c>
      <c r="AV193" s="152">
        <f>IF($B193=1,$F$33,IF(N(Vintage_Input!P143)&gt;0,IFERROR(Vintage_Input!BD143/$C193,""),""))</f>
        <v/>
      </c>
      <c r="AW193" s="152">
        <f>IF($B193=1,$G$33,IF(N(Vintage_Input!Q143)&gt;0,IFERROR(Vintage_Input!BE143/$C193,""),""))</f>
        <v/>
      </c>
      <c r="AX193" s="152">
        <f>IF($B193=1,$H$33,IF(N(Vintage_Input!R143)&gt;0,IFERROR(Vintage_Input!BF143/$C193,""),""))</f>
        <v/>
      </c>
      <c r="AY193" s="152">
        <f>IF($B193=1,$I$33,IF(N(Vintage_Input!S143)&gt;0,IFERROR(Vintage_Input!BG143/$C193,""),""))</f>
        <v/>
      </c>
      <c r="AZ193" s="153">
        <f>IF($B193=1,$B$34,IF(N(Vintage_Input!L143)&gt;0,IFERROR((Vintage_Input!D143+Vintage_Input!AR143)/$C193+Products!$E$14-(Products!$E$43+Products!$E$19+Products!$E$43*Products!$E$22+Products!$E$44),""),""))</f>
        <v/>
      </c>
      <c r="BA193" s="153">
        <f>IF($B193=1,$C$34,IF(N(Vintage_Input!M143)&gt;0,IFERROR((Vintage_Input!E143+Vintage_Input!AS143)/$C193+Products!$E$14-(Products!$E$43+Products!$E$19+Products!$E$43*Products!$E$22+Products!$E$44),""),""))</f>
        <v/>
      </c>
      <c r="BB193" s="153">
        <f>IF($B193=1,$D$34,IF(N(Vintage_Input!N143)&gt;0,IFERROR((Vintage_Input!F143+Vintage_Input!AT143)/$C193+Products!$E$14-(Products!$E$43+Products!$E$19+Products!$E$43*Products!$E$22+Products!$E$44),""),""))</f>
        <v/>
      </c>
      <c r="BC193" s="153">
        <f>IF($B193=1,$E$34,IF(N(Vintage_Input!O143)&gt;0,IFERROR((Vintage_Input!G143+Vintage_Input!AU143)/$C193+Products!$E$14-(Products!$E$43+Products!$E$19+Products!$E$43*Products!$E$22+Products!$E$44),""),""))</f>
        <v/>
      </c>
      <c r="BD193" s="153">
        <f>IF($B193=1,$F$34,IF(N(Vintage_Input!P143)&gt;0,IFERROR((Vintage_Input!H143+Vintage_Input!AV143)/$C193+Products!$E$14-(Products!$E$43+Products!$E$19+Products!$E$43*Products!$E$22+Products!$E$44),""),""))</f>
        <v/>
      </c>
      <c r="BE193" s="153">
        <f>IF($B193=1,$G$34,IF(N(Vintage_Input!Q143)&gt;0,IFERROR((Vintage_Input!I143+Vintage_Input!AW143)/$C193+Products!$E$14-(Products!$E$43+Products!$E$19+Products!$E$43*Products!$E$22+Products!$E$44),""),""))</f>
        <v/>
      </c>
      <c r="BF193" s="153">
        <f>IF($B193=1,$H$34,IF(N(Vintage_Input!R143)&gt;0,IFERROR((Vintage_Input!J143+Vintage_Input!AX143)/$C193+Products!$E$14-(Products!$E$43+Products!$E$19+Products!$E$43*Products!$E$22+Products!$E$44),""),""))</f>
        <v/>
      </c>
      <c r="BG193" s="153">
        <f>IF($B193=1,$I$34,IF(N(Vintage_Input!S143)&gt;0,IFERROR((Vintage_Input!K143+Vintage_Input!AY143)/$C193+Products!$E$14-(Products!$E$43+Products!$E$19+Products!$E$43*Products!$E$22+Products!$E$44),""),""))</f>
        <v/>
      </c>
      <c r="BH193" s="81">
        <f>IF($B193=1,0,IF(Vintage_Input!$BH$143="","",Vintage_Input!$BH$143))</f>
        <v/>
      </c>
    </row>
    <row r="194">
      <c r="A194" s="23" t="n">
        <v>6</v>
      </c>
      <c r="B194" s="48">
        <f>Vintage_Input!$B$144</f>
        <v/>
      </c>
      <c r="C194" s="41">
        <f>IF(Vintage_Input!$C$144="",0,Vintage_Input!$C$144)</f>
        <v/>
      </c>
      <c r="D194" s="152">
        <f>IF($B194=1,$B$28,IF(N(Vintage_Input!L144)&gt;0,Vintage_Input!D144/Vintage_Input!L144,""))</f>
        <v/>
      </c>
      <c r="E194" s="152">
        <f>IF($B194=1,$C$28,IF(N(Vintage_Input!M144)&gt;0,Vintage_Input!E144/Vintage_Input!M144,""))</f>
        <v/>
      </c>
      <c r="F194" s="152">
        <f>IF($B194=1,$D$28,IF(N(Vintage_Input!N144)&gt;0,Vintage_Input!F144/Vintage_Input!N144,""))</f>
        <v/>
      </c>
      <c r="G194" s="152">
        <f>IF($B194=1,$E$28,IF(N(Vintage_Input!O144)&gt;0,Vintage_Input!G144/Vintage_Input!O144,""))</f>
        <v/>
      </c>
      <c r="H194" s="152">
        <f>IF($B194=1,$F$28,IF(N(Vintage_Input!P144)&gt;0,Vintage_Input!H144/Vintage_Input!P144,""))</f>
        <v/>
      </c>
      <c r="I194" s="152">
        <f>IF($B194=1,$G$28,IF(N(Vintage_Input!Q144)&gt;0,Vintage_Input!I144/Vintage_Input!Q144,""))</f>
        <v/>
      </c>
      <c r="J194" s="152">
        <f>IF($B194=1,$H$28,IF(N(Vintage_Input!R144)&gt;0,Vintage_Input!J144/Vintage_Input!R144,""))</f>
        <v/>
      </c>
      <c r="K194" s="152">
        <f>IF($B194=1,$I$28,IF(N(Vintage_Input!S144)&gt;0,Vintage_Input!K144/Vintage_Input!S144,""))</f>
        <v/>
      </c>
      <c r="L194" s="152">
        <f>IF($B194=1,$B$29,IF(N(Vintage_Input!L144)&gt;0,Vintage_Input!T144/Vintage_Input!L144,""))</f>
        <v/>
      </c>
      <c r="M194" s="152">
        <f>IF($B194=1,$C$29,IF(N(Vintage_Input!M144)&gt;0,Vintage_Input!U144/Vintage_Input!M144,""))</f>
        <v/>
      </c>
      <c r="N194" s="152">
        <f>IF($B194=1,$D$29,IF(N(Vintage_Input!N144)&gt;0,Vintage_Input!V144/Vintage_Input!N144,""))</f>
        <v/>
      </c>
      <c r="O194" s="152">
        <f>IF($B194=1,$E$29,IF(N(Vintage_Input!O144)&gt;0,Vintage_Input!W144/Vintage_Input!O144,""))</f>
        <v/>
      </c>
      <c r="P194" s="152">
        <f>IF($B194=1,$F$29,IF(N(Vintage_Input!P144)&gt;0,Vintage_Input!X144/Vintage_Input!P144,""))</f>
        <v/>
      </c>
      <c r="Q194" s="152">
        <f>IF($B194=1,$G$29,IF(N(Vintage_Input!Q144)&gt;0,Vintage_Input!Y144/Vintage_Input!Q144,""))</f>
        <v/>
      </c>
      <c r="R194" s="152">
        <f>IF($B194=1,$H$29,IF(N(Vintage_Input!R144)&gt;0,Vintage_Input!Z144/Vintage_Input!R144,""))</f>
        <v/>
      </c>
      <c r="S194" s="152">
        <f>IF($B194=1,$I$29,IF(N(Vintage_Input!S144)&gt;0,Vintage_Input!AA144/Vintage_Input!S144,""))</f>
        <v/>
      </c>
      <c r="T194" s="152">
        <f>IF($B194=1,$B$30,IF(N(Vintage_Input!L144)&gt;0,Vintage_Input!AB144/Vintage_Input!L144,""))</f>
        <v/>
      </c>
      <c r="U194" s="152">
        <f>IF($B194=1,$C$30,IF(N(Vintage_Input!M144)&gt;0,Vintage_Input!AC144/Vintage_Input!M144,""))</f>
        <v/>
      </c>
      <c r="V194" s="152">
        <f>IF($B194=1,$D$30,IF(N(Vintage_Input!N144)&gt;0,Vintage_Input!AD144/Vintage_Input!N144,""))</f>
        <v/>
      </c>
      <c r="W194" s="152">
        <f>IF($B194=1,$E$30,IF(N(Vintage_Input!O144)&gt;0,Vintage_Input!AE144/Vintage_Input!O144,""))</f>
        <v/>
      </c>
      <c r="X194" s="152">
        <f>IF($B194=1,$F$30,IF(N(Vintage_Input!P144)&gt;0,Vintage_Input!AF144/Vintage_Input!P144,""))</f>
        <v/>
      </c>
      <c r="Y194" s="152">
        <f>IF($B194=1,$G$30,IF(N(Vintage_Input!Q144)&gt;0,Vintage_Input!AG144/Vintage_Input!Q144,""))</f>
        <v/>
      </c>
      <c r="Z194" s="152">
        <f>IF($B194=1,$H$30,IF(N(Vintage_Input!R144)&gt;0,Vintage_Input!AH144/Vintage_Input!R144,""))</f>
        <v/>
      </c>
      <c r="AA194" s="152">
        <f>IF($B194=1,$I$30,IF(N(Vintage_Input!S144)&gt;0,Vintage_Input!AI144/Vintage_Input!S144,""))</f>
        <v/>
      </c>
      <c r="AB194" s="152">
        <f>IF($B194=1,$B$31,IF(N(Vintage_Input!L144)&gt;0,Vintage_Input!AJ144/Vintage_Input!L144,""))</f>
        <v/>
      </c>
      <c r="AC194" s="152">
        <f>IF($B194=1,$C$31,IF(N(Vintage_Input!M144)&gt;0,Vintage_Input!AK144/Vintage_Input!M144,""))</f>
        <v/>
      </c>
      <c r="AD194" s="152">
        <f>IF($B194=1,$D$31,IF(N(Vintage_Input!N144)&gt;0,Vintage_Input!AL144/Vintage_Input!N144,""))</f>
        <v/>
      </c>
      <c r="AE194" s="152">
        <f>IF($B194=1,$E$31,IF(N(Vintage_Input!O144)&gt;0,Vintage_Input!AM144/Vintage_Input!O144,""))</f>
        <v/>
      </c>
      <c r="AF194" s="152">
        <f>IF($B194=1,$F$31,IF(N(Vintage_Input!P144)&gt;0,Vintage_Input!AN144/Vintage_Input!P144,""))</f>
        <v/>
      </c>
      <c r="AG194" s="152">
        <f>IF($B194=1,$G$31,IF(N(Vintage_Input!Q144)&gt;0,Vintage_Input!AO144/Vintage_Input!Q144,""))</f>
        <v/>
      </c>
      <c r="AH194" s="152">
        <f>IF($B194=1,$H$31,IF(N(Vintage_Input!R144)&gt;0,Vintage_Input!AP144/Vintage_Input!R144,""))</f>
        <v/>
      </c>
      <c r="AI194" s="152">
        <f>IF($B194=1,$I$31,IF(N(Vintage_Input!S144)&gt;0,Vintage_Input!AQ144/Vintage_Input!S144,""))</f>
        <v/>
      </c>
      <c r="AJ194" s="152">
        <f>IF($B194=1,$B$32,IF(N(Vintage_Input!L144)&gt;0,IFERROR(Vintage_Input!AR144/Vintage_Input!AJ144,""),""))</f>
        <v/>
      </c>
      <c r="AK194" s="152">
        <f>IF($B194=1,$C$32,IF(N(Vintage_Input!M144)&gt;0,IFERROR(Vintage_Input!AS144/Vintage_Input!AK144,""),""))</f>
        <v/>
      </c>
      <c r="AL194" s="152">
        <f>IF($B194=1,$D$32,IF(N(Vintage_Input!N144)&gt;0,IFERROR(Vintage_Input!AT144/Vintage_Input!AL144,""),""))</f>
        <v/>
      </c>
      <c r="AM194" s="152">
        <f>IF($B194=1,$E$32,IF(N(Vintage_Input!O144)&gt;0,IFERROR(Vintage_Input!AU144/Vintage_Input!AM144,""),""))</f>
        <v/>
      </c>
      <c r="AN194" s="152">
        <f>IF($B194=1,$F$32,IF(N(Vintage_Input!P144)&gt;0,IFERROR(Vintage_Input!AV144/Vintage_Input!AN144,""),""))</f>
        <v/>
      </c>
      <c r="AO194" s="152">
        <f>IF($B194=1,$G$32,IF(N(Vintage_Input!Q144)&gt;0,IFERROR(Vintage_Input!AW144/Vintage_Input!AO144,""),""))</f>
        <v/>
      </c>
      <c r="AP194" s="152">
        <f>IF($B194=1,$H$32,IF(N(Vintage_Input!R144)&gt;0,IFERROR(Vintage_Input!AX144/Vintage_Input!AP144,""),""))</f>
        <v/>
      </c>
      <c r="AQ194" s="152">
        <f>IF($B194=1,$I$32,IF(N(Vintage_Input!S144)&gt;0,IFERROR(Vintage_Input!AY144/Vintage_Input!AQ144,""),""))</f>
        <v/>
      </c>
      <c r="AR194" s="152">
        <f>IF($B194=1,$B$33,IF(N(Vintage_Input!L144)&gt;0,IFERROR(Vintage_Input!AZ144/$C194,""),""))</f>
        <v/>
      </c>
      <c r="AS194" s="152">
        <f>IF($B194=1,$C$33,IF(N(Vintage_Input!M144)&gt;0,IFERROR(Vintage_Input!BA144/$C194,""),""))</f>
        <v/>
      </c>
      <c r="AT194" s="152">
        <f>IF($B194=1,$D$33,IF(N(Vintage_Input!N144)&gt;0,IFERROR(Vintage_Input!BB144/$C194,""),""))</f>
        <v/>
      </c>
      <c r="AU194" s="152">
        <f>IF($B194=1,$E$33,IF(N(Vintage_Input!O144)&gt;0,IFERROR(Vintage_Input!BC144/$C194,""),""))</f>
        <v/>
      </c>
      <c r="AV194" s="152">
        <f>IF($B194=1,$F$33,IF(N(Vintage_Input!P144)&gt;0,IFERROR(Vintage_Input!BD144/$C194,""),""))</f>
        <v/>
      </c>
      <c r="AW194" s="152">
        <f>IF($B194=1,$G$33,IF(N(Vintage_Input!Q144)&gt;0,IFERROR(Vintage_Input!BE144/$C194,""),""))</f>
        <v/>
      </c>
      <c r="AX194" s="152">
        <f>IF($B194=1,$H$33,IF(N(Vintage_Input!R144)&gt;0,IFERROR(Vintage_Input!BF144/$C194,""),""))</f>
        <v/>
      </c>
      <c r="AY194" s="152">
        <f>IF($B194=1,$I$33,IF(N(Vintage_Input!S144)&gt;0,IFERROR(Vintage_Input!BG144/$C194,""),""))</f>
        <v/>
      </c>
      <c r="AZ194" s="153">
        <f>IF($B194=1,$B$34,IF(N(Vintage_Input!L144)&gt;0,IFERROR((Vintage_Input!D144+Vintage_Input!AR144)/$C194+Products!$E$14-(Products!$E$43+Products!$E$19+Products!$E$43*Products!$E$22+Products!$E$44),""),""))</f>
        <v/>
      </c>
      <c r="BA194" s="153">
        <f>IF($B194=1,$C$34,IF(N(Vintage_Input!M144)&gt;0,IFERROR((Vintage_Input!E144+Vintage_Input!AS144)/$C194+Products!$E$14-(Products!$E$43+Products!$E$19+Products!$E$43*Products!$E$22+Products!$E$44),""),""))</f>
        <v/>
      </c>
      <c r="BB194" s="153">
        <f>IF($B194=1,$D$34,IF(N(Vintage_Input!N144)&gt;0,IFERROR((Vintage_Input!F144+Vintage_Input!AT144)/$C194+Products!$E$14-(Products!$E$43+Products!$E$19+Products!$E$43*Products!$E$22+Products!$E$44),""),""))</f>
        <v/>
      </c>
      <c r="BC194" s="153">
        <f>IF($B194=1,$E$34,IF(N(Vintage_Input!O144)&gt;0,IFERROR((Vintage_Input!G144+Vintage_Input!AU144)/$C194+Products!$E$14-(Products!$E$43+Products!$E$19+Products!$E$43*Products!$E$22+Products!$E$44),""),""))</f>
        <v/>
      </c>
      <c r="BD194" s="153">
        <f>IF($B194=1,$F$34,IF(N(Vintage_Input!P144)&gt;0,IFERROR((Vintage_Input!H144+Vintage_Input!AV144)/$C194+Products!$E$14-(Products!$E$43+Products!$E$19+Products!$E$43*Products!$E$22+Products!$E$44),""),""))</f>
        <v/>
      </c>
      <c r="BE194" s="153">
        <f>IF($B194=1,$G$34,IF(N(Vintage_Input!Q144)&gt;0,IFERROR((Vintage_Input!I144+Vintage_Input!AW144)/$C194+Products!$E$14-(Products!$E$43+Products!$E$19+Products!$E$43*Products!$E$22+Products!$E$44),""),""))</f>
        <v/>
      </c>
      <c r="BF194" s="153">
        <f>IF($B194=1,$H$34,IF(N(Vintage_Input!R144)&gt;0,IFERROR((Vintage_Input!J144+Vintage_Input!AX144)/$C194+Products!$E$14-(Products!$E$43+Products!$E$19+Products!$E$43*Products!$E$22+Products!$E$44),""),""))</f>
        <v/>
      </c>
      <c r="BG194" s="153">
        <f>IF($B194=1,$I$34,IF(N(Vintage_Input!S144)&gt;0,IFERROR((Vintage_Input!K144+Vintage_Input!AY144)/$C194+Products!$E$14-(Products!$E$43+Products!$E$19+Products!$E$43*Products!$E$22+Products!$E$44),""),""))</f>
        <v/>
      </c>
      <c r="BH194" s="81">
        <f>IF($B194=1,0,IF(Vintage_Input!$BH$144="","",Vintage_Input!$BH$144))</f>
        <v/>
      </c>
    </row>
    <row r="195">
      <c r="A195" s="23" t="n">
        <v>7</v>
      </c>
      <c r="B195" s="48">
        <f>Vintage_Input!$B$145</f>
        <v/>
      </c>
      <c r="C195" s="41">
        <f>IF(Vintage_Input!$C$145="",0,Vintage_Input!$C$145)</f>
        <v/>
      </c>
      <c r="D195" s="152">
        <f>IF($B195=1,$B$28,IF(N(Vintage_Input!L145)&gt;0,Vintage_Input!D145/Vintage_Input!L145,""))</f>
        <v/>
      </c>
      <c r="E195" s="152">
        <f>IF($B195=1,$C$28,IF(N(Vintage_Input!M145)&gt;0,Vintage_Input!E145/Vintage_Input!M145,""))</f>
        <v/>
      </c>
      <c r="F195" s="152">
        <f>IF($B195=1,$D$28,IF(N(Vintage_Input!N145)&gt;0,Vintage_Input!F145/Vintage_Input!N145,""))</f>
        <v/>
      </c>
      <c r="G195" s="152">
        <f>IF($B195=1,$E$28,IF(N(Vintage_Input!O145)&gt;0,Vintage_Input!G145/Vintage_Input!O145,""))</f>
        <v/>
      </c>
      <c r="H195" s="152">
        <f>IF($B195=1,$F$28,IF(N(Vintage_Input!P145)&gt;0,Vintage_Input!H145/Vintage_Input!P145,""))</f>
        <v/>
      </c>
      <c r="I195" s="152">
        <f>IF($B195=1,$G$28,IF(N(Vintage_Input!Q145)&gt;0,Vintage_Input!I145/Vintage_Input!Q145,""))</f>
        <v/>
      </c>
      <c r="J195" s="152">
        <f>IF($B195=1,$H$28,IF(N(Vintage_Input!R145)&gt;0,Vintage_Input!J145/Vintage_Input!R145,""))</f>
        <v/>
      </c>
      <c r="K195" s="152">
        <f>IF($B195=1,$I$28,IF(N(Vintage_Input!S145)&gt;0,Vintage_Input!K145/Vintage_Input!S145,""))</f>
        <v/>
      </c>
      <c r="L195" s="152">
        <f>IF($B195=1,$B$29,IF(N(Vintage_Input!L145)&gt;0,Vintage_Input!T145/Vintage_Input!L145,""))</f>
        <v/>
      </c>
      <c r="M195" s="152">
        <f>IF($B195=1,$C$29,IF(N(Vintage_Input!M145)&gt;0,Vintage_Input!U145/Vintage_Input!M145,""))</f>
        <v/>
      </c>
      <c r="N195" s="152">
        <f>IF($B195=1,$D$29,IF(N(Vintage_Input!N145)&gt;0,Vintage_Input!V145/Vintage_Input!N145,""))</f>
        <v/>
      </c>
      <c r="O195" s="152">
        <f>IF($B195=1,$E$29,IF(N(Vintage_Input!O145)&gt;0,Vintage_Input!W145/Vintage_Input!O145,""))</f>
        <v/>
      </c>
      <c r="P195" s="152">
        <f>IF($B195=1,$F$29,IF(N(Vintage_Input!P145)&gt;0,Vintage_Input!X145/Vintage_Input!P145,""))</f>
        <v/>
      </c>
      <c r="Q195" s="152">
        <f>IF($B195=1,$G$29,IF(N(Vintage_Input!Q145)&gt;0,Vintage_Input!Y145/Vintage_Input!Q145,""))</f>
        <v/>
      </c>
      <c r="R195" s="152">
        <f>IF($B195=1,$H$29,IF(N(Vintage_Input!R145)&gt;0,Vintage_Input!Z145/Vintage_Input!R145,""))</f>
        <v/>
      </c>
      <c r="S195" s="152">
        <f>IF($B195=1,$I$29,IF(N(Vintage_Input!S145)&gt;0,Vintage_Input!AA145/Vintage_Input!S145,""))</f>
        <v/>
      </c>
      <c r="T195" s="152">
        <f>IF($B195=1,$B$30,IF(N(Vintage_Input!L145)&gt;0,Vintage_Input!AB145/Vintage_Input!L145,""))</f>
        <v/>
      </c>
      <c r="U195" s="152">
        <f>IF($B195=1,$C$30,IF(N(Vintage_Input!M145)&gt;0,Vintage_Input!AC145/Vintage_Input!M145,""))</f>
        <v/>
      </c>
      <c r="V195" s="152">
        <f>IF($B195=1,$D$30,IF(N(Vintage_Input!N145)&gt;0,Vintage_Input!AD145/Vintage_Input!N145,""))</f>
        <v/>
      </c>
      <c r="W195" s="152">
        <f>IF($B195=1,$E$30,IF(N(Vintage_Input!O145)&gt;0,Vintage_Input!AE145/Vintage_Input!O145,""))</f>
        <v/>
      </c>
      <c r="X195" s="152">
        <f>IF($B195=1,$F$30,IF(N(Vintage_Input!P145)&gt;0,Vintage_Input!AF145/Vintage_Input!P145,""))</f>
        <v/>
      </c>
      <c r="Y195" s="152">
        <f>IF($B195=1,$G$30,IF(N(Vintage_Input!Q145)&gt;0,Vintage_Input!AG145/Vintage_Input!Q145,""))</f>
        <v/>
      </c>
      <c r="Z195" s="152">
        <f>IF($B195=1,$H$30,IF(N(Vintage_Input!R145)&gt;0,Vintage_Input!AH145/Vintage_Input!R145,""))</f>
        <v/>
      </c>
      <c r="AA195" s="152">
        <f>IF($B195=1,$I$30,IF(N(Vintage_Input!S145)&gt;0,Vintage_Input!AI145/Vintage_Input!S145,""))</f>
        <v/>
      </c>
      <c r="AB195" s="152">
        <f>IF($B195=1,$B$31,IF(N(Vintage_Input!L145)&gt;0,Vintage_Input!AJ145/Vintage_Input!L145,""))</f>
        <v/>
      </c>
      <c r="AC195" s="152">
        <f>IF($B195=1,$C$31,IF(N(Vintage_Input!M145)&gt;0,Vintage_Input!AK145/Vintage_Input!M145,""))</f>
        <v/>
      </c>
      <c r="AD195" s="152">
        <f>IF($B195=1,$D$31,IF(N(Vintage_Input!N145)&gt;0,Vintage_Input!AL145/Vintage_Input!N145,""))</f>
        <v/>
      </c>
      <c r="AE195" s="152">
        <f>IF($B195=1,$E$31,IF(N(Vintage_Input!O145)&gt;0,Vintage_Input!AM145/Vintage_Input!O145,""))</f>
        <v/>
      </c>
      <c r="AF195" s="152">
        <f>IF($B195=1,$F$31,IF(N(Vintage_Input!P145)&gt;0,Vintage_Input!AN145/Vintage_Input!P145,""))</f>
        <v/>
      </c>
      <c r="AG195" s="152">
        <f>IF($B195=1,$G$31,IF(N(Vintage_Input!Q145)&gt;0,Vintage_Input!AO145/Vintage_Input!Q145,""))</f>
        <v/>
      </c>
      <c r="AH195" s="152">
        <f>IF($B195=1,$H$31,IF(N(Vintage_Input!R145)&gt;0,Vintage_Input!AP145/Vintage_Input!R145,""))</f>
        <v/>
      </c>
      <c r="AI195" s="152">
        <f>IF($B195=1,$I$31,IF(N(Vintage_Input!S145)&gt;0,Vintage_Input!AQ145/Vintage_Input!S145,""))</f>
        <v/>
      </c>
      <c r="AJ195" s="152">
        <f>IF($B195=1,$B$32,IF(N(Vintage_Input!L145)&gt;0,IFERROR(Vintage_Input!AR145/Vintage_Input!AJ145,""),""))</f>
        <v/>
      </c>
      <c r="AK195" s="152">
        <f>IF($B195=1,$C$32,IF(N(Vintage_Input!M145)&gt;0,IFERROR(Vintage_Input!AS145/Vintage_Input!AK145,""),""))</f>
        <v/>
      </c>
      <c r="AL195" s="152">
        <f>IF($B195=1,$D$32,IF(N(Vintage_Input!N145)&gt;0,IFERROR(Vintage_Input!AT145/Vintage_Input!AL145,""),""))</f>
        <v/>
      </c>
      <c r="AM195" s="152">
        <f>IF($B195=1,$E$32,IF(N(Vintage_Input!O145)&gt;0,IFERROR(Vintage_Input!AU145/Vintage_Input!AM145,""),""))</f>
        <v/>
      </c>
      <c r="AN195" s="152">
        <f>IF($B195=1,$F$32,IF(N(Vintage_Input!P145)&gt;0,IFERROR(Vintage_Input!AV145/Vintage_Input!AN145,""),""))</f>
        <v/>
      </c>
      <c r="AO195" s="152">
        <f>IF($B195=1,$G$32,IF(N(Vintage_Input!Q145)&gt;0,IFERROR(Vintage_Input!AW145/Vintage_Input!AO145,""),""))</f>
        <v/>
      </c>
      <c r="AP195" s="152">
        <f>IF($B195=1,$H$32,IF(N(Vintage_Input!R145)&gt;0,IFERROR(Vintage_Input!AX145/Vintage_Input!AP145,""),""))</f>
        <v/>
      </c>
      <c r="AQ195" s="152">
        <f>IF($B195=1,$I$32,IF(N(Vintage_Input!S145)&gt;0,IFERROR(Vintage_Input!AY145/Vintage_Input!AQ145,""),""))</f>
        <v/>
      </c>
      <c r="AR195" s="152">
        <f>IF($B195=1,$B$33,IF(N(Vintage_Input!L145)&gt;0,IFERROR(Vintage_Input!AZ145/$C195,""),""))</f>
        <v/>
      </c>
      <c r="AS195" s="152">
        <f>IF($B195=1,$C$33,IF(N(Vintage_Input!M145)&gt;0,IFERROR(Vintage_Input!BA145/$C195,""),""))</f>
        <v/>
      </c>
      <c r="AT195" s="152">
        <f>IF($B195=1,$D$33,IF(N(Vintage_Input!N145)&gt;0,IFERROR(Vintage_Input!BB145/$C195,""),""))</f>
        <v/>
      </c>
      <c r="AU195" s="152">
        <f>IF($B195=1,$E$33,IF(N(Vintage_Input!O145)&gt;0,IFERROR(Vintage_Input!BC145/$C195,""),""))</f>
        <v/>
      </c>
      <c r="AV195" s="152">
        <f>IF($B195=1,$F$33,IF(N(Vintage_Input!P145)&gt;0,IFERROR(Vintage_Input!BD145/$C195,""),""))</f>
        <v/>
      </c>
      <c r="AW195" s="152">
        <f>IF($B195=1,$G$33,IF(N(Vintage_Input!Q145)&gt;0,IFERROR(Vintage_Input!BE145/$C195,""),""))</f>
        <v/>
      </c>
      <c r="AX195" s="152">
        <f>IF($B195=1,$H$33,IF(N(Vintage_Input!R145)&gt;0,IFERROR(Vintage_Input!BF145/$C195,""),""))</f>
        <v/>
      </c>
      <c r="AY195" s="152">
        <f>IF($B195=1,$I$33,IF(N(Vintage_Input!S145)&gt;0,IFERROR(Vintage_Input!BG145/$C195,""),""))</f>
        <v/>
      </c>
      <c r="AZ195" s="153">
        <f>IF($B195=1,$B$34,IF(N(Vintage_Input!L145)&gt;0,IFERROR((Vintage_Input!D145+Vintage_Input!AR145)/$C195+Products!$E$14-(Products!$E$43+Products!$E$19+Products!$E$43*Products!$E$22+Products!$E$44),""),""))</f>
        <v/>
      </c>
      <c r="BA195" s="153">
        <f>IF($B195=1,$C$34,IF(N(Vintage_Input!M145)&gt;0,IFERROR((Vintage_Input!E145+Vintage_Input!AS145)/$C195+Products!$E$14-(Products!$E$43+Products!$E$19+Products!$E$43*Products!$E$22+Products!$E$44),""),""))</f>
        <v/>
      </c>
      <c r="BB195" s="153">
        <f>IF($B195=1,$D$34,IF(N(Vintage_Input!N145)&gt;0,IFERROR((Vintage_Input!F145+Vintage_Input!AT145)/$C195+Products!$E$14-(Products!$E$43+Products!$E$19+Products!$E$43*Products!$E$22+Products!$E$44),""),""))</f>
        <v/>
      </c>
      <c r="BC195" s="153">
        <f>IF($B195=1,$E$34,IF(N(Vintage_Input!O145)&gt;0,IFERROR((Vintage_Input!G145+Vintage_Input!AU145)/$C195+Products!$E$14-(Products!$E$43+Products!$E$19+Products!$E$43*Products!$E$22+Products!$E$44),""),""))</f>
        <v/>
      </c>
      <c r="BD195" s="153">
        <f>IF($B195=1,$F$34,IF(N(Vintage_Input!P145)&gt;0,IFERROR((Vintage_Input!H145+Vintage_Input!AV145)/$C195+Products!$E$14-(Products!$E$43+Products!$E$19+Products!$E$43*Products!$E$22+Products!$E$44),""),""))</f>
        <v/>
      </c>
      <c r="BE195" s="153">
        <f>IF($B195=1,$G$34,IF(N(Vintage_Input!Q145)&gt;0,IFERROR((Vintage_Input!I145+Vintage_Input!AW145)/$C195+Products!$E$14-(Products!$E$43+Products!$E$19+Products!$E$43*Products!$E$22+Products!$E$44),""),""))</f>
        <v/>
      </c>
      <c r="BF195" s="153">
        <f>IF($B195=1,$H$34,IF(N(Vintage_Input!R145)&gt;0,IFERROR((Vintage_Input!J145+Vintage_Input!AX145)/$C195+Products!$E$14-(Products!$E$43+Products!$E$19+Products!$E$43*Products!$E$22+Products!$E$44),""),""))</f>
        <v/>
      </c>
      <c r="BG195" s="153">
        <f>IF($B195=1,$I$34,IF(N(Vintage_Input!S145)&gt;0,IFERROR((Vintage_Input!K145+Vintage_Input!AY145)/$C195+Products!$E$14-(Products!$E$43+Products!$E$19+Products!$E$43*Products!$E$22+Products!$E$44),""),""))</f>
        <v/>
      </c>
      <c r="BH195" s="81">
        <f>IF($B195=1,0,IF(Vintage_Input!$BH$145="","",Vintage_Input!$BH$145))</f>
        <v/>
      </c>
    </row>
    <row r="196">
      <c r="A196" s="23" t="n">
        <v>8</v>
      </c>
      <c r="B196" s="48">
        <f>Vintage_Input!$B$146</f>
        <v/>
      </c>
      <c r="C196" s="41">
        <f>IF(Vintage_Input!$C$146="",0,Vintage_Input!$C$146)</f>
        <v/>
      </c>
      <c r="D196" s="152">
        <f>IF($B196=1,$B$28,IF(N(Vintage_Input!L146)&gt;0,Vintage_Input!D146/Vintage_Input!L146,""))</f>
        <v/>
      </c>
      <c r="E196" s="152">
        <f>IF($B196=1,$C$28,IF(N(Vintage_Input!M146)&gt;0,Vintage_Input!E146/Vintage_Input!M146,""))</f>
        <v/>
      </c>
      <c r="F196" s="152">
        <f>IF($B196=1,$D$28,IF(N(Vintage_Input!N146)&gt;0,Vintage_Input!F146/Vintage_Input!N146,""))</f>
        <v/>
      </c>
      <c r="G196" s="152">
        <f>IF($B196=1,$E$28,IF(N(Vintage_Input!O146)&gt;0,Vintage_Input!G146/Vintage_Input!O146,""))</f>
        <v/>
      </c>
      <c r="H196" s="152">
        <f>IF($B196=1,$F$28,IF(N(Vintage_Input!P146)&gt;0,Vintage_Input!H146/Vintage_Input!P146,""))</f>
        <v/>
      </c>
      <c r="I196" s="152">
        <f>IF($B196=1,$G$28,IF(N(Vintage_Input!Q146)&gt;0,Vintage_Input!I146/Vintage_Input!Q146,""))</f>
        <v/>
      </c>
      <c r="J196" s="152">
        <f>IF($B196=1,$H$28,IF(N(Vintage_Input!R146)&gt;0,Vintage_Input!J146/Vintage_Input!R146,""))</f>
        <v/>
      </c>
      <c r="K196" s="152">
        <f>IF($B196=1,$I$28,IF(N(Vintage_Input!S146)&gt;0,Vintage_Input!K146/Vintage_Input!S146,""))</f>
        <v/>
      </c>
      <c r="L196" s="152">
        <f>IF($B196=1,$B$29,IF(N(Vintage_Input!L146)&gt;0,Vintage_Input!T146/Vintage_Input!L146,""))</f>
        <v/>
      </c>
      <c r="M196" s="152">
        <f>IF($B196=1,$C$29,IF(N(Vintage_Input!M146)&gt;0,Vintage_Input!U146/Vintage_Input!M146,""))</f>
        <v/>
      </c>
      <c r="N196" s="152">
        <f>IF($B196=1,$D$29,IF(N(Vintage_Input!N146)&gt;0,Vintage_Input!V146/Vintage_Input!N146,""))</f>
        <v/>
      </c>
      <c r="O196" s="152">
        <f>IF($B196=1,$E$29,IF(N(Vintage_Input!O146)&gt;0,Vintage_Input!W146/Vintage_Input!O146,""))</f>
        <v/>
      </c>
      <c r="P196" s="152">
        <f>IF($B196=1,$F$29,IF(N(Vintage_Input!P146)&gt;0,Vintage_Input!X146/Vintage_Input!P146,""))</f>
        <v/>
      </c>
      <c r="Q196" s="152">
        <f>IF($B196=1,$G$29,IF(N(Vintage_Input!Q146)&gt;0,Vintage_Input!Y146/Vintage_Input!Q146,""))</f>
        <v/>
      </c>
      <c r="R196" s="152">
        <f>IF($B196=1,$H$29,IF(N(Vintage_Input!R146)&gt;0,Vintage_Input!Z146/Vintage_Input!R146,""))</f>
        <v/>
      </c>
      <c r="S196" s="152">
        <f>IF($B196=1,$I$29,IF(N(Vintage_Input!S146)&gt;0,Vintage_Input!AA146/Vintage_Input!S146,""))</f>
        <v/>
      </c>
      <c r="T196" s="152">
        <f>IF($B196=1,$B$30,IF(N(Vintage_Input!L146)&gt;0,Vintage_Input!AB146/Vintage_Input!L146,""))</f>
        <v/>
      </c>
      <c r="U196" s="152">
        <f>IF($B196=1,$C$30,IF(N(Vintage_Input!M146)&gt;0,Vintage_Input!AC146/Vintage_Input!M146,""))</f>
        <v/>
      </c>
      <c r="V196" s="152">
        <f>IF($B196=1,$D$30,IF(N(Vintage_Input!N146)&gt;0,Vintage_Input!AD146/Vintage_Input!N146,""))</f>
        <v/>
      </c>
      <c r="W196" s="152">
        <f>IF($B196=1,$E$30,IF(N(Vintage_Input!O146)&gt;0,Vintage_Input!AE146/Vintage_Input!O146,""))</f>
        <v/>
      </c>
      <c r="X196" s="152">
        <f>IF($B196=1,$F$30,IF(N(Vintage_Input!P146)&gt;0,Vintage_Input!AF146/Vintage_Input!P146,""))</f>
        <v/>
      </c>
      <c r="Y196" s="152">
        <f>IF($B196=1,$G$30,IF(N(Vintage_Input!Q146)&gt;0,Vintage_Input!AG146/Vintage_Input!Q146,""))</f>
        <v/>
      </c>
      <c r="Z196" s="152">
        <f>IF($B196=1,$H$30,IF(N(Vintage_Input!R146)&gt;0,Vintage_Input!AH146/Vintage_Input!R146,""))</f>
        <v/>
      </c>
      <c r="AA196" s="152">
        <f>IF($B196=1,$I$30,IF(N(Vintage_Input!S146)&gt;0,Vintage_Input!AI146/Vintage_Input!S146,""))</f>
        <v/>
      </c>
      <c r="AB196" s="152">
        <f>IF($B196=1,$B$31,IF(N(Vintage_Input!L146)&gt;0,Vintage_Input!AJ146/Vintage_Input!L146,""))</f>
        <v/>
      </c>
      <c r="AC196" s="152">
        <f>IF($B196=1,$C$31,IF(N(Vintage_Input!M146)&gt;0,Vintage_Input!AK146/Vintage_Input!M146,""))</f>
        <v/>
      </c>
      <c r="AD196" s="152">
        <f>IF($B196=1,$D$31,IF(N(Vintage_Input!N146)&gt;0,Vintage_Input!AL146/Vintage_Input!N146,""))</f>
        <v/>
      </c>
      <c r="AE196" s="152">
        <f>IF($B196=1,$E$31,IF(N(Vintage_Input!O146)&gt;0,Vintage_Input!AM146/Vintage_Input!O146,""))</f>
        <v/>
      </c>
      <c r="AF196" s="152">
        <f>IF($B196=1,$F$31,IF(N(Vintage_Input!P146)&gt;0,Vintage_Input!AN146/Vintage_Input!P146,""))</f>
        <v/>
      </c>
      <c r="AG196" s="152">
        <f>IF($B196=1,$G$31,IF(N(Vintage_Input!Q146)&gt;0,Vintage_Input!AO146/Vintage_Input!Q146,""))</f>
        <v/>
      </c>
      <c r="AH196" s="152">
        <f>IF($B196=1,$H$31,IF(N(Vintage_Input!R146)&gt;0,Vintage_Input!AP146/Vintage_Input!R146,""))</f>
        <v/>
      </c>
      <c r="AI196" s="152">
        <f>IF($B196=1,$I$31,IF(N(Vintage_Input!S146)&gt;0,Vintage_Input!AQ146/Vintage_Input!S146,""))</f>
        <v/>
      </c>
      <c r="AJ196" s="152">
        <f>IF($B196=1,$B$32,IF(N(Vintage_Input!L146)&gt;0,IFERROR(Vintage_Input!AR146/Vintage_Input!AJ146,""),""))</f>
        <v/>
      </c>
      <c r="AK196" s="152">
        <f>IF($B196=1,$C$32,IF(N(Vintage_Input!M146)&gt;0,IFERROR(Vintage_Input!AS146/Vintage_Input!AK146,""),""))</f>
        <v/>
      </c>
      <c r="AL196" s="152">
        <f>IF($B196=1,$D$32,IF(N(Vintage_Input!N146)&gt;0,IFERROR(Vintage_Input!AT146/Vintage_Input!AL146,""),""))</f>
        <v/>
      </c>
      <c r="AM196" s="152">
        <f>IF($B196=1,$E$32,IF(N(Vintage_Input!O146)&gt;0,IFERROR(Vintage_Input!AU146/Vintage_Input!AM146,""),""))</f>
        <v/>
      </c>
      <c r="AN196" s="152">
        <f>IF($B196=1,$F$32,IF(N(Vintage_Input!P146)&gt;0,IFERROR(Vintage_Input!AV146/Vintage_Input!AN146,""),""))</f>
        <v/>
      </c>
      <c r="AO196" s="152">
        <f>IF($B196=1,$G$32,IF(N(Vintage_Input!Q146)&gt;0,IFERROR(Vintage_Input!AW146/Vintage_Input!AO146,""),""))</f>
        <v/>
      </c>
      <c r="AP196" s="152">
        <f>IF($B196=1,$H$32,IF(N(Vintage_Input!R146)&gt;0,IFERROR(Vintage_Input!AX146/Vintage_Input!AP146,""),""))</f>
        <v/>
      </c>
      <c r="AQ196" s="152">
        <f>IF($B196=1,$I$32,IF(N(Vintage_Input!S146)&gt;0,IFERROR(Vintage_Input!AY146/Vintage_Input!AQ146,""),""))</f>
        <v/>
      </c>
      <c r="AR196" s="152">
        <f>IF($B196=1,$B$33,IF(N(Vintage_Input!L146)&gt;0,IFERROR(Vintage_Input!AZ146/$C196,""),""))</f>
        <v/>
      </c>
      <c r="AS196" s="152">
        <f>IF($B196=1,$C$33,IF(N(Vintage_Input!M146)&gt;0,IFERROR(Vintage_Input!BA146/$C196,""),""))</f>
        <v/>
      </c>
      <c r="AT196" s="152">
        <f>IF($B196=1,$D$33,IF(N(Vintage_Input!N146)&gt;0,IFERROR(Vintage_Input!BB146/$C196,""),""))</f>
        <v/>
      </c>
      <c r="AU196" s="152">
        <f>IF($B196=1,$E$33,IF(N(Vintage_Input!O146)&gt;0,IFERROR(Vintage_Input!BC146/$C196,""),""))</f>
        <v/>
      </c>
      <c r="AV196" s="152">
        <f>IF($B196=1,$F$33,IF(N(Vintage_Input!P146)&gt;0,IFERROR(Vintage_Input!BD146/$C196,""),""))</f>
        <v/>
      </c>
      <c r="AW196" s="152">
        <f>IF($B196=1,$G$33,IF(N(Vintage_Input!Q146)&gt;0,IFERROR(Vintage_Input!BE146/$C196,""),""))</f>
        <v/>
      </c>
      <c r="AX196" s="152">
        <f>IF($B196=1,$H$33,IF(N(Vintage_Input!R146)&gt;0,IFERROR(Vintage_Input!BF146/$C196,""),""))</f>
        <v/>
      </c>
      <c r="AY196" s="152">
        <f>IF($B196=1,$I$33,IF(N(Vintage_Input!S146)&gt;0,IFERROR(Vintage_Input!BG146/$C196,""),""))</f>
        <v/>
      </c>
      <c r="AZ196" s="153">
        <f>IF($B196=1,$B$34,IF(N(Vintage_Input!L146)&gt;0,IFERROR((Vintage_Input!D146+Vintage_Input!AR146)/$C196+Products!$E$14-(Products!$E$43+Products!$E$19+Products!$E$43*Products!$E$22+Products!$E$44),""),""))</f>
        <v/>
      </c>
      <c r="BA196" s="153">
        <f>IF($B196=1,$C$34,IF(N(Vintage_Input!M146)&gt;0,IFERROR((Vintage_Input!E146+Vintage_Input!AS146)/$C196+Products!$E$14-(Products!$E$43+Products!$E$19+Products!$E$43*Products!$E$22+Products!$E$44),""),""))</f>
        <v/>
      </c>
      <c r="BB196" s="153">
        <f>IF($B196=1,$D$34,IF(N(Vintage_Input!N146)&gt;0,IFERROR((Vintage_Input!F146+Vintage_Input!AT146)/$C196+Products!$E$14-(Products!$E$43+Products!$E$19+Products!$E$43*Products!$E$22+Products!$E$44),""),""))</f>
        <v/>
      </c>
      <c r="BC196" s="153">
        <f>IF($B196=1,$E$34,IF(N(Vintage_Input!O146)&gt;0,IFERROR((Vintage_Input!G146+Vintage_Input!AU146)/$C196+Products!$E$14-(Products!$E$43+Products!$E$19+Products!$E$43*Products!$E$22+Products!$E$44),""),""))</f>
        <v/>
      </c>
      <c r="BD196" s="153">
        <f>IF($B196=1,$F$34,IF(N(Vintage_Input!P146)&gt;0,IFERROR((Vintage_Input!H146+Vintage_Input!AV146)/$C196+Products!$E$14-(Products!$E$43+Products!$E$19+Products!$E$43*Products!$E$22+Products!$E$44),""),""))</f>
        <v/>
      </c>
      <c r="BE196" s="153">
        <f>IF($B196=1,$G$34,IF(N(Vintage_Input!Q146)&gt;0,IFERROR((Vintage_Input!I146+Vintage_Input!AW146)/$C196+Products!$E$14-(Products!$E$43+Products!$E$19+Products!$E$43*Products!$E$22+Products!$E$44),""),""))</f>
        <v/>
      </c>
      <c r="BF196" s="153">
        <f>IF($B196=1,$H$34,IF(N(Vintage_Input!R146)&gt;0,IFERROR((Vintage_Input!J146+Vintage_Input!AX146)/$C196+Products!$E$14-(Products!$E$43+Products!$E$19+Products!$E$43*Products!$E$22+Products!$E$44),""),""))</f>
        <v/>
      </c>
      <c r="BG196" s="153">
        <f>IF($B196=1,$I$34,IF(N(Vintage_Input!S146)&gt;0,IFERROR((Vintage_Input!K146+Vintage_Input!AY146)/$C196+Products!$E$14-(Products!$E$43+Products!$E$19+Products!$E$43*Products!$E$22+Products!$E$44),""),""))</f>
        <v/>
      </c>
      <c r="BH196" s="81">
        <f>IF($B196=1,0,IF(Vintage_Input!$BH$146="","",Vintage_Input!$BH$146))</f>
        <v/>
      </c>
    </row>
    <row r="197">
      <c r="A197" s="23" t="n">
        <v>9</v>
      </c>
      <c r="B197" s="48">
        <f>Vintage_Input!$B$147</f>
        <v/>
      </c>
      <c r="C197" s="41">
        <f>IF(Vintage_Input!$C$147="",0,Vintage_Input!$C$147)</f>
        <v/>
      </c>
      <c r="D197" s="152">
        <f>IF($B197=1,$B$28,IF(N(Vintage_Input!L147)&gt;0,Vintage_Input!D147/Vintage_Input!L147,""))</f>
        <v/>
      </c>
      <c r="E197" s="152">
        <f>IF($B197=1,$C$28,IF(N(Vintage_Input!M147)&gt;0,Vintage_Input!E147/Vintage_Input!M147,""))</f>
        <v/>
      </c>
      <c r="F197" s="152">
        <f>IF($B197=1,$D$28,IF(N(Vintage_Input!N147)&gt;0,Vintage_Input!F147/Vintage_Input!N147,""))</f>
        <v/>
      </c>
      <c r="G197" s="152">
        <f>IF($B197=1,$E$28,IF(N(Vintage_Input!O147)&gt;0,Vintage_Input!G147/Vintage_Input!O147,""))</f>
        <v/>
      </c>
      <c r="H197" s="152">
        <f>IF($B197=1,$F$28,IF(N(Vintage_Input!P147)&gt;0,Vintage_Input!H147/Vintage_Input!P147,""))</f>
        <v/>
      </c>
      <c r="I197" s="152">
        <f>IF($B197=1,$G$28,IF(N(Vintage_Input!Q147)&gt;0,Vintage_Input!I147/Vintage_Input!Q147,""))</f>
        <v/>
      </c>
      <c r="J197" s="152">
        <f>IF($B197=1,$H$28,IF(N(Vintage_Input!R147)&gt;0,Vintage_Input!J147/Vintage_Input!R147,""))</f>
        <v/>
      </c>
      <c r="K197" s="152">
        <f>IF($B197=1,$I$28,IF(N(Vintage_Input!S147)&gt;0,Vintage_Input!K147/Vintage_Input!S147,""))</f>
        <v/>
      </c>
      <c r="L197" s="152">
        <f>IF($B197=1,$B$29,IF(N(Vintage_Input!L147)&gt;0,Vintage_Input!T147/Vintage_Input!L147,""))</f>
        <v/>
      </c>
      <c r="M197" s="152">
        <f>IF($B197=1,$C$29,IF(N(Vintage_Input!M147)&gt;0,Vintage_Input!U147/Vintage_Input!M147,""))</f>
        <v/>
      </c>
      <c r="N197" s="152">
        <f>IF($B197=1,$D$29,IF(N(Vintage_Input!N147)&gt;0,Vintage_Input!V147/Vintage_Input!N147,""))</f>
        <v/>
      </c>
      <c r="O197" s="152">
        <f>IF($B197=1,$E$29,IF(N(Vintage_Input!O147)&gt;0,Vintage_Input!W147/Vintage_Input!O147,""))</f>
        <v/>
      </c>
      <c r="P197" s="152">
        <f>IF($B197=1,$F$29,IF(N(Vintage_Input!P147)&gt;0,Vintage_Input!X147/Vintage_Input!P147,""))</f>
        <v/>
      </c>
      <c r="Q197" s="152">
        <f>IF($B197=1,$G$29,IF(N(Vintage_Input!Q147)&gt;0,Vintage_Input!Y147/Vintage_Input!Q147,""))</f>
        <v/>
      </c>
      <c r="R197" s="152">
        <f>IF($B197=1,$H$29,IF(N(Vintage_Input!R147)&gt;0,Vintage_Input!Z147/Vintage_Input!R147,""))</f>
        <v/>
      </c>
      <c r="S197" s="152">
        <f>IF($B197=1,$I$29,IF(N(Vintage_Input!S147)&gt;0,Vintage_Input!AA147/Vintage_Input!S147,""))</f>
        <v/>
      </c>
      <c r="T197" s="152">
        <f>IF($B197=1,$B$30,IF(N(Vintage_Input!L147)&gt;0,Vintage_Input!AB147/Vintage_Input!L147,""))</f>
        <v/>
      </c>
      <c r="U197" s="152">
        <f>IF($B197=1,$C$30,IF(N(Vintage_Input!M147)&gt;0,Vintage_Input!AC147/Vintage_Input!M147,""))</f>
        <v/>
      </c>
      <c r="V197" s="152">
        <f>IF($B197=1,$D$30,IF(N(Vintage_Input!N147)&gt;0,Vintage_Input!AD147/Vintage_Input!N147,""))</f>
        <v/>
      </c>
      <c r="W197" s="152">
        <f>IF($B197=1,$E$30,IF(N(Vintage_Input!O147)&gt;0,Vintage_Input!AE147/Vintage_Input!O147,""))</f>
        <v/>
      </c>
      <c r="X197" s="152">
        <f>IF($B197=1,$F$30,IF(N(Vintage_Input!P147)&gt;0,Vintage_Input!AF147/Vintage_Input!P147,""))</f>
        <v/>
      </c>
      <c r="Y197" s="152">
        <f>IF($B197=1,$G$30,IF(N(Vintage_Input!Q147)&gt;0,Vintage_Input!AG147/Vintage_Input!Q147,""))</f>
        <v/>
      </c>
      <c r="Z197" s="152">
        <f>IF($B197=1,$H$30,IF(N(Vintage_Input!R147)&gt;0,Vintage_Input!AH147/Vintage_Input!R147,""))</f>
        <v/>
      </c>
      <c r="AA197" s="152">
        <f>IF($B197=1,$I$30,IF(N(Vintage_Input!S147)&gt;0,Vintage_Input!AI147/Vintage_Input!S147,""))</f>
        <v/>
      </c>
      <c r="AB197" s="152">
        <f>IF($B197=1,$B$31,IF(N(Vintage_Input!L147)&gt;0,Vintage_Input!AJ147/Vintage_Input!L147,""))</f>
        <v/>
      </c>
      <c r="AC197" s="152">
        <f>IF($B197=1,$C$31,IF(N(Vintage_Input!M147)&gt;0,Vintage_Input!AK147/Vintage_Input!M147,""))</f>
        <v/>
      </c>
      <c r="AD197" s="152">
        <f>IF($B197=1,$D$31,IF(N(Vintage_Input!N147)&gt;0,Vintage_Input!AL147/Vintage_Input!N147,""))</f>
        <v/>
      </c>
      <c r="AE197" s="152">
        <f>IF($B197=1,$E$31,IF(N(Vintage_Input!O147)&gt;0,Vintage_Input!AM147/Vintage_Input!O147,""))</f>
        <v/>
      </c>
      <c r="AF197" s="152">
        <f>IF($B197=1,$F$31,IF(N(Vintage_Input!P147)&gt;0,Vintage_Input!AN147/Vintage_Input!P147,""))</f>
        <v/>
      </c>
      <c r="AG197" s="152">
        <f>IF($B197=1,$G$31,IF(N(Vintage_Input!Q147)&gt;0,Vintage_Input!AO147/Vintage_Input!Q147,""))</f>
        <v/>
      </c>
      <c r="AH197" s="152">
        <f>IF($B197=1,$H$31,IF(N(Vintage_Input!R147)&gt;0,Vintage_Input!AP147/Vintage_Input!R147,""))</f>
        <v/>
      </c>
      <c r="AI197" s="152">
        <f>IF($B197=1,$I$31,IF(N(Vintage_Input!S147)&gt;0,Vintage_Input!AQ147/Vintage_Input!S147,""))</f>
        <v/>
      </c>
      <c r="AJ197" s="152">
        <f>IF($B197=1,$B$32,IF(N(Vintage_Input!L147)&gt;0,IFERROR(Vintage_Input!AR147/Vintage_Input!AJ147,""),""))</f>
        <v/>
      </c>
      <c r="AK197" s="152">
        <f>IF($B197=1,$C$32,IF(N(Vintage_Input!M147)&gt;0,IFERROR(Vintage_Input!AS147/Vintage_Input!AK147,""),""))</f>
        <v/>
      </c>
      <c r="AL197" s="152">
        <f>IF($B197=1,$D$32,IF(N(Vintage_Input!N147)&gt;0,IFERROR(Vintage_Input!AT147/Vintage_Input!AL147,""),""))</f>
        <v/>
      </c>
      <c r="AM197" s="152">
        <f>IF($B197=1,$E$32,IF(N(Vintage_Input!O147)&gt;0,IFERROR(Vintage_Input!AU147/Vintage_Input!AM147,""),""))</f>
        <v/>
      </c>
      <c r="AN197" s="152">
        <f>IF($B197=1,$F$32,IF(N(Vintage_Input!P147)&gt;0,IFERROR(Vintage_Input!AV147/Vintage_Input!AN147,""),""))</f>
        <v/>
      </c>
      <c r="AO197" s="152">
        <f>IF($B197=1,$G$32,IF(N(Vintage_Input!Q147)&gt;0,IFERROR(Vintage_Input!AW147/Vintage_Input!AO147,""),""))</f>
        <v/>
      </c>
      <c r="AP197" s="152">
        <f>IF($B197=1,$H$32,IF(N(Vintage_Input!R147)&gt;0,IFERROR(Vintage_Input!AX147/Vintage_Input!AP147,""),""))</f>
        <v/>
      </c>
      <c r="AQ197" s="152">
        <f>IF($B197=1,$I$32,IF(N(Vintage_Input!S147)&gt;0,IFERROR(Vintage_Input!AY147/Vintage_Input!AQ147,""),""))</f>
        <v/>
      </c>
      <c r="AR197" s="152">
        <f>IF($B197=1,$B$33,IF(N(Vintage_Input!L147)&gt;0,IFERROR(Vintage_Input!AZ147/$C197,""),""))</f>
        <v/>
      </c>
      <c r="AS197" s="152">
        <f>IF($B197=1,$C$33,IF(N(Vintage_Input!M147)&gt;0,IFERROR(Vintage_Input!BA147/$C197,""),""))</f>
        <v/>
      </c>
      <c r="AT197" s="152">
        <f>IF($B197=1,$D$33,IF(N(Vintage_Input!N147)&gt;0,IFERROR(Vintage_Input!BB147/$C197,""),""))</f>
        <v/>
      </c>
      <c r="AU197" s="152">
        <f>IF($B197=1,$E$33,IF(N(Vintage_Input!O147)&gt;0,IFERROR(Vintage_Input!BC147/$C197,""),""))</f>
        <v/>
      </c>
      <c r="AV197" s="152">
        <f>IF($B197=1,$F$33,IF(N(Vintage_Input!P147)&gt;0,IFERROR(Vintage_Input!BD147/$C197,""),""))</f>
        <v/>
      </c>
      <c r="AW197" s="152">
        <f>IF($B197=1,$G$33,IF(N(Vintage_Input!Q147)&gt;0,IFERROR(Vintage_Input!BE147/$C197,""),""))</f>
        <v/>
      </c>
      <c r="AX197" s="152">
        <f>IF($B197=1,$H$33,IF(N(Vintage_Input!R147)&gt;0,IFERROR(Vintage_Input!BF147/$C197,""),""))</f>
        <v/>
      </c>
      <c r="AY197" s="152">
        <f>IF($B197=1,$I$33,IF(N(Vintage_Input!S147)&gt;0,IFERROR(Vintage_Input!BG147/$C197,""),""))</f>
        <v/>
      </c>
      <c r="AZ197" s="153">
        <f>IF($B197=1,$B$34,IF(N(Vintage_Input!L147)&gt;0,IFERROR((Vintage_Input!D147+Vintage_Input!AR147)/$C197+Products!$E$14-(Products!$E$43+Products!$E$19+Products!$E$43*Products!$E$22+Products!$E$44),""),""))</f>
        <v/>
      </c>
      <c r="BA197" s="153">
        <f>IF($B197=1,$C$34,IF(N(Vintage_Input!M147)&gt;0,IFERROR((Vintage_Input!E147+Vintage_Input!AS147)/$C197+Products!$E$14-(Products!$E$43+Products!$E$19+Products!$E$43*Products!$E$22+Products!$E$44),""),""))</f>
        <v/>
      </c>
      <c r="BB197" s="153">
        <f>IF($B197=1,$D$34,IF(N(Vintage_Input!N147)&gt;0,IFERROR((Vintage_Input!F147+Vintage_Input!AT147)/$C197+Products!$E$14-(Products!$E$43+Products!$E$19+Products!$E$43*Products!$E$22+Products!$E$44),""),""))</f>
        <v/>
      </c>
      <c r="BC197" s="153">
        <f>IF($B197=1,$E$34,IF(N(Vintage_Input!O147)&gt;0,IFERROR((Vintage_Input!G147+Vintage_Input!AU147)/$C197+Products!$E$14-(Products!$E$43+Products!$E$19+Products!$E$43*Products!$E$22+Products!$E$44),""),""))</f>
        <v/>
      </c>
      <c r="BD197" s="153">
        <f>IF($B197=1,$F$34,IF(N(Vintage_Input!P147)&gt;0,IFERROR((Vintage_Input!H147+Vintage_Input!AV147)/$C197+Products!$E$14-(Products!$E$43+Products!$E$19+Products!$E$43*Products!$E$22+Products!$E$44),""),""))</f>
        <v/>
      </c>
      <c r="BE197" s="153">
        <f>IF($B197=1,$G$34,IF(N(Vintage_Input!Q147)&gt;0,IFERROR((Vintage_Input!I147+Vintage_Input!AW147)/$C197+Products!$E$14-(Products!$E$43+Products!$E$19+Products!$E$43*Products!$E$22+Products!$E$44),""),""))</f>
        <v/>
      </c>
      <c r="BF197" s="153">
        <f>IF($B197=1,$H$34,IF(N(Vintage_Input!R147)&gt;0,IFERROR((Vintage_Input!J147+Vintage_Input!AX147)/$C197+Products!$E$14-(Products!$E$43+Products!$E$19+Products!$E$43*Products!$E$22+Products!$E$44),""),""))</f>
        <v/>
      </c>
      <c r="BG197" s="153">
        <f>IF($B197=1,$I$34,IF(N(Vintage_Input!S147)&gt;0,IFERROR((Vintage_Input!K147+Vintage_Input!AY147)/$C197+Products!$E$14-(Products!$E$43+Products!$E$19+Products!$E$43*Products!$E$22+Products!$E$44),""),""))</f>
        <v/>
      </c>
      <c r="BH197" s="81">
        <f>IF($B197=1,0,IF(Vintage_Input!$BH$147="","",Vintage_Input!$BH$147))</f>
        <v/>
      </c>
    </row>
    <row r="198">
      <c r="A198" s="23" t="n">
        <v>10</v>
      </c>
      <c r="B198" s="48">
        <f>Vintage_Input!$B$148</f>
        <v/>
      </c>
      <c r="C198" s="41">
        <f>IF(Vintage_Input!$C$148="",0,Vintage_Input!$C$148)</f>
        <v/>
      </c>
      <c r="D198" s="152">
        <f>IF($B198=1,$B$28,IF(N(Vintage_Input!L148)&gt;0,Vintage_Input!D148/Vintage_Input!L148,""))</f>
        <v/>
      </c>
      <c r="E198" s="152">
        <f>IF($B198=1,$C$28,IF(N(Vintage_Input!M148)&gt;0,Vintage_Input!E148/Vintage_Input!M148,""))</f>
        <v/>
      </c>
      <c r="F198" s="152">
        <f>IF($B198=1,$D$28,IF(N(Vintage_Input!N148)&gt;0,Vintage_Input!F148/Vintage_Input!N148,""))</f>
        <v/>
      </c>
      <c r="G198" s="152">
        <f>IF($B198=1,$E$28,IF(N(Vintage_Input!O148)&gt;0,Vintage_Input!G148/Vintage_Input!O148,""))</f>
        <v/>
      </c>
      <c r="H198" s="152">
        <f>IF($B198=1,$F$28,IF(N(Vintage_Input!P148)&gt;0,Vintage_Input!H148/Vintage_Input!P148,""))</f>
        <v/>
      </c>
      <c r="I198" s="152">
        <f>IF($B198=1,$G$28,IF(N(Vintage_Input!Q148)&gt;0,Vintage_Input!I148/Vintage_Input!Q148,""))</f>
        <v/>
      </c>
      <c r="J198" s="152">
        <f>IF($B198=1,$H$28,IF(N(Vintage_Input!R148)&gt;0,Vintage_Input!J148/Vintage_Input!R148,""))</f>
        <v/>
      </c>
      <c r="K198" s="152">
        <f>IF($B198=1,$I$28,IF(N(Vintage_Input!S148)&gt;0,Vintage_Input!K148/Vintage_Input!S148,""))</f>
        <v/>
      </c>
      <c r="L198" s="152">
        <f>IF($B198=1,$B$29,IF(N(Vintage_Input!L148)&gt;0,Vintage_Input!T148/Vintage_Input!L148,""))</f>
        <v/>
      </c>
      <c r="M198" s="152">
        <f>IF($B198=1,$C$29,IF(N(Vintage_Input!M148)&gt;0,Vintage_Input!U148/Vintage_Input!M148,""))</f>
        <v/>
      </c>
      <c r="N198" s="152">
        <f>IF($B198=1,$D$29,IF(N(Vintage_Input!N148)&gt;0,Vintage_Input!V148/Vintage_Input!N148,""))</f>
        <v/>
      </c>
      <c r="O198" s="152">
        <f>IF($B198=1,$E$29,IF(N(Vintage_Input!O148)&gt;0,Vintage_Input!W148/Vintage_Input!O148,""))</f>
        <v/>
      </c>
      <c r="P198" s="152">
        <f>IF($B198=1,$F$29,IF(N(Vintage_Input!P148)&gt;0,Vintage_Input!X148/Vintage_Input!P148,""))</f>
        <v/>
      </c>
      <c r="Q198" s="152">
        <f>IF($B198=1,$G$29,IF(N(Vintage_Input!Q148)&gt;0,Vintage_Input!Y148/Vintage_Input!Q148,""))</f>
        <v/>
      </c>
      <c r="R198" s="152">
        <f>IF($B198=1,$H$29,IF(N(Vintage_Input!R148)&gt;0,Vintage_Input!Z148/Vintage_Input!R148,""))</f>
        <v/>
      </c>
      <c r="S198" s="152">
        <f>IF($B198=1,$I$29,IF(N(Vintage_Input!S148)&gt;0,Vintage_Input!AA148/Vintage_Input!S148,""))</f>
        <v/>
      </c>
      <c r="T198" s="152">
        <f>IF($B198=1,$B$30,IF(N(Vintage_Input!L148)&gt;0,Vintage_Input!AB148/Vintage_Input!L148,""))</f>
        <v/>
      </c>
      <c r="U198" s="152">
        <f>IF($B198=1,$C$30,IF(N(Vintage_Input!M148)&gt;0,Vintage_Input!AC148/Vintage_Input!M148,""))</f>
        <v/>
      </c>
      <c r="V198" s="152">
        <f>IF($B198=1,$D$30,IF(N(Vintage_Input!N148)&gt;0,Vintage_Input!AD148/Vintage_Input!N148,""))</f>
        <v/>
      </c>
      <c r="W198" s="152">
        <f>IF($B198=1,$E$30,IF(N(Vintage_Input!O148)&gt;0,Vintage_Input!AE148/Vintage_Input!O148,""))</f>
        <v/>
      </c>
      <c r="X198" s="152">
        <f>IF($B198=1,$F$30,IF(N(Vintage_Input!P148)&gt;0,Vintage_Input!AF148/Vintage_Input!P148,""))</f>
        <v/>
      </c>
      <c r="Y198" s="152">
        <f>IF($B198=1,$G$30,IF(N(Vintage_Input!Q148)&gt;0,Vintage_Input!AG148/Vintage_Input!Q148,""))</f>
        <v/>
      </c>
      <c r="Z198" s="152">
        <f>IF($B198=1,$H$30,IF(N(Vintage_Input!R148)&gt;0,Vintage_Input!AH148/Vintage_Input!R148,""))</f>
        <v/>
      </c>
      <c r="AA198" s="152">
        <f>IF($B198=1,$I$30,IF(N(Vintage_Input!S148)&gt;0,Vintage_Input!AI148/Vintage_Input!S148,""))</f>
        <v/>
      </c>
      <c r="AB198" s="152">
        <f>IF($B198=1,$B$31,IF(N(Vintage_Input!L148)&gt;0,Vintage_Input!AJ148/Vintage_Input!L148,""))</f>
        <v/>
      </c>
      <c r="AC198" s="152">
        <f>IF($B198=1,$C$31,IF(N(Vintage_Input!M148)&gt;0,Vintage_Input!AK148/Vintage_Input!M148,""))</f>
        <v/>
      </c>
      <c r="AD198" s="152">
        <f>IF($B198=1,$D$31,IF(N(Vintage_Input!N148)&gt;0,Vintage_Input!AL148/Vintage_Input!N148,""))</f>
        <v/>
      </c>
      <c r="AE198" s="152">
        <f>IF($B198=1,$E$31,IF(N(Vintage_Input!O148)&gt;0,Vintage_Input!AM148/Vintage_Input!O148,""))</f>
        <v/>
      </c>
      <c r="AF198" s="152">
        <f>IF($B198=1,$F$31,IF(N(Vintage_Input!P148)&gt;0,Vintage_Input!AN148/Vintage_Input!P148,""))</f>
        <v/>
      </c>
      <c r="AG198" s="152">
        <f>IF($B198=1,$G$31,IF(N(Vintage_Input!Q148)&gt;0,Vintage_Input!AO148/Vintage_Input!Q148,""))</f>
        <v/>
      </c>
      <c r="AH198" s="152">
        <f>IF($B198=1,$H$31,IF(N(Vintage_Input!R148)&gt;0,Vintage_Input!AP148/Vintage_Input!R148,""))</f>
        <v/>
      </c>
      <c r="AI198" s="152">
        <f>IF($B198=1,$I$31,IF(N(Vintage_Input!S148)&gt;0,Vintage_Input!AQ148/Vintage_Input!S148,""))</f>
        <v/>
      </c>
      <c r="AJ198" s="152">
        <f>IF($B198=1,$B$32,IF(N(Vintage_Input!L148)&gt;0,IFERROR(Vintage_Input!AR148/Vintage_Input!AJ148,""),""))</f>
        <v/>
      </c>
      <c r="AK198" s="152">
        <f>IF($B198=1,$C$32,IF(N(Vintage_Input!M148)&gt;0,IFERROR(Vintage_Input!AS148/Vintage_Input!AK148,""),""))</f>
        <v/>
      </c>
      <c r="AL198" s="152">
        <f>IF($B198=1,$D$32,IF(N(Vintage_Input!N148)&gt;0,IFERROR(Vintage_Input!AT148/Vintage_Input!AL148,""),""))</f>
        <v/>
      </c>
      <c r="AM198" s="152">
        <f>IF($B198=1,$E$32,IF(N(Vintage_Input!O148)&gt;0,IFERROR(Vintage_Input!AU148/Vintage_Input!AM148,""),""))</f>
        <v/>
      </c>
      <c r="AN198" s="152">
        <f>IF($B198=1,$F$32,IF(N(Vintage_Input!P148)&gt;0,IFERROR(Vintage_Input!AV148/Vintage_Input!AN148,""),""))</f>
        <v/>
      </c>
      <c r="AO198" s="152">
        <f>IF($B198=1,$G$32,IF(N(Vintage_Input!Q148)&gt;0,IFERROR(Vintage_Input!AW148/Vintage_Input!AO148,""),""))</f>
        <v/>
      </c>
      <c r="AP198" s="152">
        <f>IF($B198=1,$H$32,IF(N(Vintage_Input!R148)&gt;0,IFERROR(Vintage_Input!AX148/Vintage_Input!AP148,""),""))</f>
        <v/>
      </c>
      <c r="AQ198" s="152">
        <f>IF($B198=1,$I$32,IF(N(Vintage_Input!S148)&gt;0,IFERROR(Vintage_Input!AY148/Vintage_Input!AQ148,""),""))</f>
        <v/>
      </c>
      <c r="AR198" s="152">
        <f>IF($B198=1,$B$33,IF(N(Vintage_Input!L148)&gt;0,IFERROR(Vintage_Input!AZ148/$C198,""),""))</f>
        <v/>
      </c>
      <c r="AS198" s="152">
        <f>IF($B198=1,$C$33,IF(N(Vintage_Input!M148)&gt;0,IFERROR(Vintage_Input!BA148/$C198,""),""))</f>
        <v/>
      </c>
      <c r="AT198" s="152">
        <f>IF($B198=1,$D$33,IF(N(Vintage_Input!N148)&gt;0,IFERROR(Vintage_Input!BB148/$C198,""),""))</f>
        <v/>
      </c>
      <c r="AU198" s="152">
        <f>IF($B198=1,$E$33,IF(N(Vintage_Input!O148)&gt;0,IFERROR(Vintage_Input!BC148/$C198,""),""))</f>
        <v/>
      </c>
      <c r="AV198" s="152">
        <f>IF($B198=1,$F$33,IF(N(Vintage_Input!P148)&gt;0,IFERROR(Vintage_Input!BD148/$C198,""),""))</f>
        <v/>
      </c>
      <c r="AW198" s="152">
        <f>IF($B198=1,$G$33,IF(N(Vintage_Input!Q148)&gt;0,IFERROR(Vintage_Input!BE148/$C198,""),""))</f>
        <v/>
      </c>
      <c r="AX198" s="152">
        <f>IF($B198=1,$H$33,IF(N(Vintage_Input!R148)&gt;0,IFERROR(Vintage_Input!BF148/$C198,""),""))</f>
        <v/>
      </c>
      <c r="AY198" s="152">
        <f>IF($B198=1,$I$33,IF(N(Vintage_Input!S148)&gt;0,IFERROR(Vintage_Input!BG148/$C198,""),""))</f>
        <v/>
      </c>
      <c r="AZ198" s="153">
        <f>IF($B198=1,$B$34,IF(N(Vintage_Input!L148)&gt;0,IFERROR((Vintage_Input!D148+Vintage_Input!AR148)/$C198+Products!$E$14-(Products!$E$43+Products!$E$19+Products!$E$43*Products!$E$22+Products!$E$44),""),""))</f>
        <v/>
      </c>
      <c r="BA198" s="153">
        <f>IF($B198=1,$C$34,IF(N(Vintage_Input!M148)&gt;0,IFERROR((Vintage_Input!E148+Vintage_Input!AS148)/$C198+Products!$E$14-(Products!$E$43+Products!$E$19+Products!$E$43*Products!$E$22+Products!$E$44),""),""))</f>
        <v/>
      </c>
      <c r="BB198" s="153">
        <f>IF($B198=1,$D$34,IF(N(Vintage_Input!N148)&gt;0,IFERROR((Vintage_Input!F148+Vintage_Input!AT148)/$C198+Products!$E$14-(Products!$E$43+Products!$E$19+Products!$E$43*Products!$E$22+Products!$E$44),""),""))</f>
        <v/>
      </c>
      <c r="BC198" s="153">
        <f>IF($B198=1,$E$34,IF(N(Vintage_Input!O148)&gt;0,IFERROR((Vintage_Input!G148+Vintage_Input!AU148)/$C198+Products!$E$14-(Products!$E$43+Products!$E$19+Products!$E$43*Products!$E$22+Products!$E$44),""),""))</f>
        <v/>
      </c>
      <c r="BD198" s="153">
        <f>IF($B198=1,$F$34,IF(N(Vintage_Input!P148)&gt;0,IFERROR((Vintage_Input!H148+Vintage_Input!AV148)/$C198+Products!$E$14-(Products!$E$43+Products!$E$19+Products!$E$43*Products!$E$22+Products!$E$44),""),""))</f>
        <v/>
      </c>
      <c r="BE198" s="153">
        <f>IF($B198=1,$G$34,IF(N(Vintage_Input!Q148)&gt;0,IFERROR((Vintage_Input!I148+Vintage_Input!AW148)/$C198+Products!$E$14-(Products!$E$43+Products!$E$19+Products!$E$43*Products!$E$22+Products!$E$44),""),""))</f>
        <v/>
      </c>
      <c r="BF198" s="153">
        <f>IF($B198=1,$H$34,IF(N(Vintage_Input!R148)&gt;0,IFERROR((Vintage_Input!J148+Vintage_Input!AX148)/$C198+Products!$E$14-(Products!$E$43+Products!$E$19+Products!$E$43*Products!$E$22+Products!$E$44),""),""))</f>
        <v/>
      </c>
      <c r="BG198" s="153">
        <f>IF($B198=1,$I$34,IF(N(Vintage_Input!S148)&gt;0,IFERROR((Vintage_Input!K148+Vintage_Input!AY148)/$C198+Products!$E$14-(Products!$E$43+Products!$E$19+Products!$E$43*Products!$E$22+Products!$E$44),""),""))</f>
        <v/>
      </c>
      <c r="BH198" s="81">
        <f>IF($B198=1,0,IF(Vintage_Input!$BH$148="","",Vintage_Input!$BH$148))</f>
        <v/>
      </c>
    </row>
    <row r="199">
      <c r="A199" s="23" t="n">
        <v>11</v>
      </c>
      <c r="B199" s="48">
        <f>Vintage_Input!$B$149</f>
        <v/>
      </c>
      <c r="C199" s="41">
        <f>IF(Vintage_Input!$C$149="",0,Vintage_Input!$C$149)</f>
        <v/>
      </c>
      <c r="D199" s="152">
        <f>IF($B199=1,$B$28,IF(N(Vintage_Input!L149)&gt;0,Vintage_Input!D149/Vintage_Input!L149,""))</f>
        <v/>
      </c>
      <c r="E199" s="152">
        <f>IF($B199=1,$C$28,IF(N(Vintage_Input!M149)&gt;0,Vintage_Input!E149/Vintage_Input!M149,""))</f>
        <v/>
      </c>
      <c r="F199" s="152">
        <f>IF($B199=1,$D$28,IF(N(Vintage_Input!N149)&gt;0,Vintage_Input!F149/Vintage_Input!N149,""))</f>
        <v/>
      </c>
      <c r="G199" s="152">
        <f>IF($B199=1,$E$28,IF(N(Vintage_Input!O149)&gt;0,Vintage_Input!G149/Vintage_Input!O149,""))</f>
        <v/>
      </c>
      <c r="H199" s="152">
        <f>IF($B199=1,$F$28,IF(N(Vintage_Input!P149)&gt;0,Vintage_Input!H149/Vintage_Input!P149,""))</f>
        <v/>
      </c>
      <c r="I199" s="152">
        <f>IF($B199=1,$G$28,IF(N(Vintage_Input!Q149)&gt;0,Vintage_Input!I149/Vintage_Input!Q149,""))</f>
        <v/>
      </c>
      <c r="J199" s="152">
        <f>IF($B199=1,$H$28,IF(N(Vintage_Input!R149)&gt;0,Vintage_Input!J149/Vintage_Input!R149,""))</f>
        <v/>
      </c>
      <c r="K199" s="152">
        <f>IF($B199=1,$I$28,IF(N(Vintage_Input!S149)&gt;0,Vintage_Input!K149/Vintage_Input!S149,""))</f>
        <v/>
      </c>
      <c r="L199" s="152">
        <f>IF($B199=1,$B$29,IF(N(Vintage_Input!L149)&gt;0,Vintage_Input!T149/Vintage_Input!L149,""))</f>
        <v/>
      </c>
      <c r="M199" s="152">
        <f>IF($B199=1,$C$29,IF(N(Vintage_Input!M149)&gt;0,Vintage_Input!U149/Vintage_Input!M149,""))</f>
        <v/>
      </c>
      <c r="N199" s="152">
        <f>IF($B199=1,$D$29,IF(N(Vintage_Input!N149)&gt;0,Vintage_Input!V149/Vintage_Input!N149,""))</f>
        <v/>
      </c>
      <c r="O199" s="152">
        <f>IF($B199=1,$E$29,IF(N(Vintage_Input!O149)&gt;0,Vintage_Input!W149/Vintage_Input!O149,""))</f>
        <v/>
      </c>
      <c r="P199" s="152">
        <f>IF($B199=1,$F$29,IF(N(Vintage_Input!P149)&gt;0,Vintage_Input!X149/Vintage_Input!P149,""))</f>
        <v/>
      </c>
      <c r="Q199" s="152">
        <f>IF($B199=1,$G$29,IF(N(Vintage_Input!Q149)&gt;0,Vintage_Input!Y149/Vintage_Input!Q149,""))</f>
        <v/>
      </c>
      <c r="R199" s="152">
        <f>IF($B199=1,$H$29,IF(N(Vintage_Input!R149)&gt;0,Vintage_Input!Z149/Vintage_Input!R149,""))</f>
        <v/>
      </c>
      <c r="S199" s="152">
        <f>IF($B199=1,$I$29,IF(N(Vintage_Input!S149)&gt;0,Vintage_Input!AA149/Vintage_Input!S149,""))</f>
        <v/>
      </c>
      <c r="T199" s="152">
        <f>IF($B199=1,$B$30,IF(N(Vintage_Input!L149)&gt;0,Vintage_Input!AB149/Vintage_Input!L149,""))</f>
        <v/>
      </c>
      <c r="U199" s="152">
        <f>IF($B199=1,$C$30,IF(N(Vintage_Input!M149)&gt;0,Vintage_Input!AC149/Vintage_Input!M149,""))</f>
        <v/>
      </c>
      <c r="V199" s="152">
        <f>IF($B199=1,$D$30,IF(N(Vintage_Input!N149)&gt;0,Vintage_Input!AD149/Vintage_Input!N149,""))</f>
        <v/>
      </c>
      <c r="W199" s="152">
        <f>IF($B199=1,$E$30,IF(N(Vintage_Input!O149)&gt;0,Vintage_Input!AE149/Vintage_Input!O149,""))</f>
        <v/>
      </c>
      <c r="X199" s="152">
        <f>IF($B199=1,$F$30,IF(N(Vintage_Input!P149)&gt;0,Vintage_Input!AF149/Vintage_Input!P149,""))</f>
        <v/>
      </c>
      <c r="Y199" s="152">
        <f>IF($B199=1,$G$30,IF(N(Vintage_Input!Q149)&gt;0,Vintage_Input!AG149/Vintage_Input!Q149,""))</f>
        <v/>
      </c>
      <c r="Z199" s="152">
        <f>IF($B199=1,$H$30,IF(N(Vintage_Input!R149)&gt;0,Vintage_Input!AH149/Vintage_Input!R149,""))</f>
        <v/>
      </c>
      <c r="AA199" s="152">
        <f>IF($B199=1,$I$30,IF(N(Vintage_Input!S149)&gt;0,Vintage_Input!AI149/Vintage_Input!S149,""))</f>
        <v/>
      </c>
      <c r="AB199" s="152">
        <f>IF($B199=1,$B$31,IF(N(Vintage_Input!L149)&gt;0,Vintage_Input!AJ149/Vintage_Input!L149,""))</f>
        <v/>
      </c>
      <c r="AC199" s="152">
        <f>IF($B199=1,$C$31,IF(N(Vintage_Input!M149)&gt;0,Vintage_Input!AK149/Vintage_Input!M149,""))</f>
        <v/>
      </c>
      <c r="AD199" s="152">
        <f>IF($B199=1,$D$31,IF(N(Vintage_Input!N149)&gt;0,Vintage_Input!AL149/Vintage_Input!N149,""))</f>
        <v/>
      </c>
      <c r="AE199" s="152">
        <f>IF($B199=1,$E$31,IF(N(Vintage_Input!O149)&gt;0,Vintage_Input!AM149/Vintage_Input!O149,""))</f>
        <v/>
      </c>
      <c r="AF199" s="152">
        <f>IF($B199=1,$F$31,IF(N(Vintage_Input!P149)&gt;0,Vintage_Input!AN149/Vintage_Input!P149,""))</f>
        <v/>
      </c>
      <c r="AG199" s="152">
        <f>IF($B199=1,$G$31,IF(N(Vintage_Input!Q149)&gt;0,Vintage_Input!AO149/Vintage_Input!Q149,""))</f>
        <v/>
      </c>
      <c r="AH199" s="152">
        <f>IF($B199=1,$H$31,IF(N(Vintage_Input!R149)&gt;0,Vintage_Input!AP149/Vintage_Input!R149,""))</f>
        <v/>
      </c>
      <c r="AI199" s="152">
        <f>IF($B199=1,$I$31,IF(N(Vintage_Input!S149)&gt;0,Vintage_Input!AQ149/Vintage_Input!S149,""))</f>
        <v/>
      </c>
      <c r="AJ199" s="152">
        <f>IF($B199=1,$B$32,IF(N(Vintage_Input!L149)&gt;0,IFERROR(Vintage_Input!AR149/Vintage_Input!AJ149,""),""))</f>
        <v/>
      </c>
      <c r="AK199" s="152">
        <f>IF($B199=1,$C$32,IF(N(Vintage_Input!M149)&gt;0,IFERROR(Vintage_Input!AS149/Vintage_Input!AK149,""),""))</f>
        <v/>
      </c>
      <c r="AL199" s="152">
        <f>IF($B199=1,$D$32,IF(N(Vintage_Input!N149)&gt;0,IFERROR(Vintage_Input!AT149/Vintage_Input!AL149,""),""))</f>
        <v/>
      </c>
      <c r="AM199" s="152">
        <f>IF($B199=1,$E$32,IF(N(Vintage_Input!O149)&gt;0,IFERROR(Vintage_Input!AU149/Vintage_Input!AM149,""),""))</f>
        <v/>
      </c>
      <c r="AN199" s="152">
        <f>IF($B199=1,$F$32,IF(N(Vintage_Input!P149)&gt;0,IFERROR(Vintage_Input!AV149/Vintage_Input!AN149,""),""))</f>
        <v/>
      </c>
      <c r="AO199" s="152">
        <f>IF($B199=1,$G$32,IF(N(Vintage_Input!Q149)&gt;0,IFERROR(Vintage_Input!AW149/Vintage_Input!AO149,""),""))</f>
        <v/>
      </c>
      <c r="AP199" s="152">
        <f>IF($B199=1,$H$32,IF(N(Vintage_Input!R149)&gt;0,IFERROR(Vintage_Input!AX149/Vintage_Input!AP149,""),""))</f>
        <v/>
      </c>
      <c r="AQ199" s="152">
        <f>IF($B199=1,$I$32,IF(N(Vintage_Input!S149)&gt;0,IFERROR(Vintage_Input!AY149/Vintage_Input!AQ149,""),""))</f>
        <v/>
      </c>
      <c r="AR199" s="152">
        <f>IF($B199=1,$B$33,IF(N(Vintage_Input!L149)&gt;0,IFERROR(Vintage_Input!AZ149/$C199,""),""))</f>
        <v/>
      </c>
      <c r="AS199" s="152">
        <f>IF($B199=1,$C$33,IF(N(Vintage_Input!M149)&gt;0,IFERROR(Vintage_Input!BA149/$C199,""),""))</f>
        <v/>
      </c>
      <c r="AT199" s="152">
        <f>IF($B199=1,$D$33,IF(N(Vintage_Input!N149)&gt;0,IFERROR(Vintage_Input!BB149/$C199,""),""))</f>
        <v/>
      </c>
      <c r="AU199" s="152">
        <f>IF($B199=1,$E$33,IF(N(Vintage_Input!O149)&gt;0,IFERROR(Vintage_Input!BC149/$C199,""),""))</f>
        <v/>
      </c>
      <c r="AV199" s="152">
        <f>IF($B199=1,$F$33,IF(N(Vintage_Input!P149)&gt;0,IFERROR(Vintage_Input!BD149/$C199,""),""))</f>
        <v/>
      </c>
      <c r="AW199" s="152">
        <f>IF($B199=1,$G$33,IF(N(Vintage_Input!Q149)&gt;0,IFERROR(Vintage_Input!BE149/$C199,""),""))</f>
        <v/>
      </c>
      <c r="AX199" s="152">
        <f>IF($B199=1,$H$33,IF(N(Vintage_Input!R149)&gt;0,IFERROR(Vintage_Input!BF149/$C199,""),""))</f>
        <v/>
      </c>
      <c r="AY199" s="152">
        <f>IF($B199=1,$I$33,IF(N(Vintage_Input!S149)&gt;0,IFERROR(Vintage_Input!BG149/$C199,""),""))</f>
        <v/>
      </c>
      <c r="AZ199" s="153">
        <f>IF($B199=1,$B$34,IF(N(Vintage_Input!L149)&gt;0,IFERROR((Vintage_Input!D149+Vintage_Input!AR149)/$C199+Products!$E$14-(Products!$E$43+Products!$E$19+Products!$E$43*Products!$E$22+Products!$E$44),""),""))</f>
        <v/>
      </c>
      <c r="BA199" s="153">
        <f>IF($B199=1,$C$34,IF(N(Vintage_Input!M149)&gt;0,IFERROR((Vintage_Input!E149+Vintage_Input!AS149)/$C199+Products!$E$14-(Products!$E$43+Products!$E$19+Products!$E$43*Products!$E$22+Products!$E$44),""),""))</f>
        <v/>
      </c>
      <c r="BB199" s="153">
        <f>IF($B199=1,$D$34,IF(N(Vintage_Input!N149)&gt;0,IFERROR((Vintage_Input!F149+Vintage_Input!AT149)/$C199+Products!$E$14-(Products!$E$43+Products!$E$19+Products!$E$43*Products!$E$22+Products!$E$44),""),""))</f>
        <v/>
      </c>
      <c r="BC199" s="153">
        <f>IF($B199=1,$E$34,IF(N(Vintage_Input!O149)&gt;0,IFERROR((Vintage_Input!G149+Vintage_Input!AU149)/$C199+Products!$E$14-(Products!$E$43+Products!$E$19+Products!$E$43*Products!$E$22+Products!$E$44),""),""))</f>
        <v/>
      </c>
      <c r="BD199" s="153">
        <f>IF($B199=1,$F$34,IF(N(Vintage_Input!P149)&gt;0,IFERROR((Vintage_Input!H149+Vintage_Input!AV149)/$C199+Products!$E$14-(Products!$E$43+Products!$E$19+Products!$E$43*Products!$E$22+Products!$E$44),""),""))</f>
        <v/>
      </c>
      <c r="BE199" s="153">
        <f>IF($B199=1,$G$34,IF(N(Vintage_Input!Q149)&gt;0,IFERROR((Vintage_Input!I149+Vintage_Input!AW149)/$C199+Products!$E$14-(Products!$E$43+Products!$E$19+Products!$E$43*Products!$E$22+Products!$E$44),""),""))</f>
        <v/>
      </c>
      <c r="BF199" s="153">
        <f>IF($B199=1,$H$34,IF(N(Vintage_Input!R149)&gt;0,IFERROR((Vintage_Input!J149+Vintage_Input!AX149)/$C199+Products!$E$14-(Products!$E$43+Products!$E$19+Products!$E$43*Products!$E$22+Products!$E$44),""),""))</f>
        <v/>
      </c>
      <c r="BG199" s="153">
        <f>IF($B199=1,$I$34,IF(N(Vintage_Input!S149)&gt;0,IFERROR((Vintage_Input!K149+Vintage_Input!AY149)/$C199+Products!$E$14-(Products!$E$43+Products!$E$19+Products!$E$43*Products!$E$22+Products!$E$44),""),""))</f>
        <v/>
      </c>
      <c r="BH199" s="81">
        <f>IF($B199=1,0,IF(Vintage_Input!$BH$149="","",Vintage_Input!$BH$149))</f>
        <v/>
      </c>
    </row>
    <row r="200">
      <c r="A200" s="23" t="n">
        <v>12</v>
      </c>
      <c r="B200" s="48">
        <f>Vintage_Input!$B$150</f>
        <v/>
      </c>
      <c r="C200" s="41">
        <f>IF(Vintage_Input!$C$150="",0,Vintage_Input!$C$150)</f>
        <v/>
      </c>
      <c r="D200" s="152">
        <f>IF($B200=1,$B$28,IF(N(Vintage_Input!L150)&gt;0,Vintage_Input!D150/Vintage_Input!L150,""))</f>
        <v/>
      </c>
      <c r="E200" s="152">
        <f>IF($B200=1,$C$28,IF(N(Vintage_Input!M150)&gt;0,Vintage_Input!E150/Vintage_Input!M150,""))</f>
        <v/>
      </c>
      <c r="F200" s="152">
        <f>IF($B200=1,$D$28,IF(N(Vintage_Input!N150)&gt;0,Vintage_Input!F150/Vintage_Input!N150,""))</f>
        <v/>
      </c>
      <c r="G200" s="152">
        <f>IF($B200=1,$E$28,IF(N(Vintage_Input!O150)&gt;0,Vintage_Input!G150/Vintage_Input!O150,""))</f>
        <v/>
      </c>
      <c r="H200" s="152">
        <f>IF($B200=1,$F$28,IF(N(Vintage_Input!P150)&gt;0,Vintage_Input!H150/Vintage_Input!P150,""))</f>
        <v/>
      </c>
      <c r="I200" s="152">
        <f>IF($B200=1,$G$28,IF(N(Vintage_Input!Q150)&gt;0,Vintage_Input!I150/Vintage_Input!Q150,""))</f>
        <v/>
      </c>
      <c r="J200" s="152">
        <f>IF($B200=1,$H$28,IF(N(Vintage_Input!R150)&gt;0,Vintage_Input!J150/Vintage_Input!R150,""))</f>
        <v/>
      </c>
      <c r="K200" s="152">
        <f>IF($B200=1,$I$28,IF(N(Vintage_Input!S150)&gt;0,Vintage_Input!K150/Vintage_Input!S150,""))</f>
        <v/>
      </c>
      <c r="L200" s="152">
        <f>IF($B200=1,$B$29,IF(N(Vintage_Input!L150)&gt;0,Vintage_Input!T150/Vintage_Input!L150,""))</f>
        <v/>
      </c>
      <c r="M200" s="152">
        <f>IF($B200=1,$C$29,IF(N(Vintage_Input!M150)&gt;0,Vintage_Input!U150/Vintage_Input!M150,""))</f>
        <v/>
      </c>
      <c r="N200" s="152">
        <f>IF($B200=1,$D$29,IF(N(Vintage_Input!N150)&gt;0,Vintage_Input!V150/Vintage_Input!N150,""))</f>
        <v/>
      </c>
      <c r="O200" s="152">
        <f>IF($B200=1,$E$29,IF(N(Vintage_Input!O150)&gt;0,Vintage_Input!W150/Vintage_Input!O150,""))</f>
        <v/>
      </c>
      <c r="P200" s="152">
        <f>IF($B200=1,$F$29,IF(N(Vintage_Input!P150)&gt;0,Vintage_Input!X150/Vintage_Input!P150,""))</f>
        <v/>
      </c>
      <c r="Q200" s="152">
        <f>IF($B200=1,$G$29,IF(N(Vintage_Input!Q150)&gt;0,Vintage_Input!Y150/Vintage_Input!Q150,""))</f>
        <v/>
      </c>
      <c r="R200" s="152">
        <f>IF($B200=1,$H$29,IF(N(Vintage_Input!R150)&gt;0,Vintage_Input!Z150/Vintage_Input!R150,""))</f>
        <v/>
      </c>
      <c r="S200" s="152">
        <f>IF($B200=1,$I$29,IF(N(Vintage_Input!S150)&gt;0,Vintage_Input!AA150/Vintage_Input!S150,""))</f>
        <v/>
      </c>
      <c r="T200" s="152">
        <f>IF($B200=1,$B$30,IF(N(Vintage_Input!L150)&gt;0,Vintage_Input!AB150/Vintage_Input!L150,""))</f>
        <v/>
      </c>
      <c r="U200" s="152">
        <f>IF($B200=1,$C$30,IF(N(Vintage_Input!M150)&gt;0,Vintage_Input!AC150/Vintage_Input!M150,""))</f>
        <v/>
      </c>
      <c r="V200" s="152">
        <f>IF($B200=1,$D$30,IF(N(Vintage_Input!N150)&gt;0,Vintage_Input!AD150/Vintage_Input!N150,""))</f>
        <v/>
      </c>
      <c r="W200" s="152">
        <f>IF($B200=1,$E$30,IF(N(Vintage_Input!O150)&gt;0,Vintage_Input!AE150/Vintage_Input!O150,""))</f>
        <v/>
      </c>
      <c r="X200" s="152">
        <f>IF($B200=1,$F$30,IF(N(Vintage_Input!P150)&gt;0,Vintage_Input!AF150/Vintage_Input!P150,""))</f>
        <v/>
      </c>
      <c r="Y200" s="152">
        <f>IF($B200=1,$G$30,IF(N(Vintage_Input!Q150)&gt;0,Vintage_Input!AG150/Vintage_Input!Q150,""))</f>
        <v/>
      </c>
      <c r="Z200" s="152">
        <f>IF($B200=1,$H$30,IF(N(Vintage_Input!R150)&gt;0,Vintage_Input!AH150/Vintage_Input!R150,""))</f>
        <v/>
      </c>
      <c r="AA200" s="152">
        <f>IF($B200=1,$I$30,IF(N(Vintage_Input!S150)&gt;0,Vintage_Input!AI150/Vintage_Input!S150,""))</f>
        <v/>
      </c>
      <c r="AB200" s="152">
        <f>IF($B200=1,$B$31,IF(N(Vintage_Input!L150)&gt;0,Vintage_Input!AJ150/Vintage_Input!L150,""))</f>
        <v/>
      </c>
      <c r="AC200" s="152">
        <f>IF($B200=1,$C$31,IF(N(Vintage_Input!M150)&gt;0,Vintage_Input!AK150/Vintage_Input!M150,""))</f>
        <v/>
      </c>
      <c r="AD200" s="152">
        <f>IF($B200=1,$D$31,IF(N(Vintage_Input!N150)&gt;0,Vintage_Input!AL150/Vintage_Input!N150,""))</f>
        <v/>
      </c>
      <c r="AE200" s="152">
        <f>IF($B200=1,$E$31,IF(N(Vintage_Input!O150)&gt;0,Vintage_Input!AM150/Vintage_Input!O150,""))</f>
        <v/>
      </c>
      <c r="AF200" s="152">
        <f>IF($B200=1,$F$31,IF(N(Vintage_Input!P150)&gt;0,Vintage_Input!AN150/Vintage_Input!P150,""))</f>
        <v/>
      </c>
      <c r="AG200" s="152">
        <f>IF($B200=1,$G$31,IF(N(Vintage_Input!Q150)&gt;0,Vintage_Input!AO150/Vintage_Input!Q150,""))</f>
        <v/>
      </c>
      <c r="AH200" s="152">
        <f>IF($B200=1,$H$31,IF(N(Vintage_Input!R150)&gt;0,Vintage_Input!AP150/Vintage_Input!R150,""))</f>
        <v/>
      </c>
      <c r="AI200" s="152">
        <f>IF($B200=1,$I$31,IF(N(Vintage_Input!S150)&gt;0,Vintage_Input!AQ150/Vintage_Input!S150,""))</f>
        <v/>
      </c>
      <c r="AJ200" s="152">
        <f>IF($B200=1,$B$32,IF(N(Vintage_Input!L150)&gt;0,IFERROR(Vintage_Input!AR150/Vintage_Input!AJ150,""),""))</f>
        <v/>
      </c>
      <c r="AK200" s="152">
        <f>IF($B200=1,$C$32,IF(N(Vintage_Input!M150)&gt;0,IFERROR(Vintage_Input!AS150/Vintage_Input!AK150,""),""))</f>
        <v/>
      </c>
      <c r="AL200" s="152">
        <f>IF($B200=1,$D$32,IF(N(Vintage_Input!N150)&gt;0,IFERROR(Vintage_Input!AT150/Vintage_Input!AL150,""),""))</f>
        <v/>
      </c>
      <c r="AM200" s="152">
        <f>IF($B200=1,$E$32,IF(N(Vintage_Input!O150)&gt;0,IFERROR(Vintage_Input!AU150/Vintage_Input!AM150,""),""))</f>
        <v/>
      </c>
      <c r="AN200" s="152">
        <f>IF($B200=1,$F$32,IF(N(Vintage_Input!P150)&gt;0,IFERROR(Vintage_Input!AV150/Vintage_Input!AN150,""),""))</f>
        <v/>
      </c>
      <c r="AO200" s="152">
        <f>IF($B200=1,$G$32,IF(N(Vintage_Input!Q150)&gt;0,IFERROR(Vintage_Input!AW150/Vintage_Input!AO150,""),""))</f>
        <v/>
      </c>
      <c r="AP200" s="152">
        <f>IF($B200=1,$H$32,IF(N(Vintage_Input!R150)&gt;0,IFERROR(Vintage_Input!AX150/Vintage_Input!AP150,""),""))</f>
        <v/>
      </c>
      <c r="AQ200" s="152">
        <f>IF($B200=1,$I$32,IF(N(Vintage_Input!S150)&gt;0,IFERROR(Vintage_Input!AY150/Vintage_Input!AQ150,""),""))</f>
        <v/>
      </c>
      <c r="AR200" s="152">
        <f>IF($B200=1,$B$33,IF(N(Vintage_Input!L150)&gt;0,IFERROR(Vintage_Input!AZ150/$C200,""),""))</f>
        <v/>
      </c>
      <c r="AS200" s="152">
        <f>IF($B200=1,$C$33,IF(N(Vintage_Input!M150)&gt;0,IFERROR(Vintage_Input!BA150/$C200,""),""))</f>
        <v/>
      </c>
      <c r="AT200" s="152">
        <f>IF($B200=1,$D$33,IF(N(Vintage_Input!N150)&gt;0,IFERROR(Vintage_Input!BB150/$C200,""),""))</f>
        <v/>
      </c>
      <c r="AU200" s="152">
        <f>IF($B200=1,$E$33,IF(N(Vintage_Input!O150)&gt;0,IFERROR(Vintage_Input!BC150/$C200,""),""))</f>
        <v/>
      </c>
      <c r="AV200" s="152">
        <f>IF($B200=1,$F$33,IF(N(Vintage_Input!P150)&gt;0,IFERROR(Vintage_Input!BD150/$C200,""),""))</f>
        <v/>
      </c>
      <c r="AW200" s="152">
        <f>IF($B200=1,$G$33,IF(N(Vintage_Input!Q150)&gt;0,IFERROR(Vintage_Input!BE150/$C200,""),""))</f>
        <v/>
      </c>
      <c r="AX200" s="152">
        <f>IF($B200=1,$H$33,IF(N(Vintage_Input!R150)&gt;0,IFERROR(Vintage_Input!BF150/$C200,""),""))</f>
        <v/>
      </c>
      <c r="AY200" s="152">
        <f>IF($B200=1,$I$33,IF(N(Vintage_Input!S150)&gt;0,IFERROR(Vintage_Input!BG150/$C200,""),""))</f>
        <v/>
      </c>
      <c r="AZ200" s="153">
        <f>IF($B200=1,$B$34,IF(N(Vintage_Input!L150)&gt;0,IFERROR((Vintage_Input!D150+Vintage_Input!AR150)/$C200+Products!$E$14-(Products!$E$43+Products!$E$19+Products!$E$43*Products!$E$22+Products!$E$44),""),""))</f>
        <v/>
      </c>
      <c r="BA200" s="153">
        <f>IF($B200=1,$C$34,IF(N(Vintage_Input!M150)&gt;0,IFERROR((Vintage_Input!E150+Vintage_Input!AS150)/$C200+Products!$E$14-(Products!$E$43+Products!$E$19+Products!$E$43*Products!$E$22+Products!$E$44),""),""))</f>
        <v/>
      </c>
      <c r="BB200" s="153">
        <f>IF($B200=1,$D$34,IF(N(Vintage_Input!N150)&gt;0,IFERROR((Vintage_Input!F150+Vintage_Input!AT150)/$C200+Products!$E$14-(Products!$E$43+Products!$E$19+Products!$E$43*Products!$E$22+Products!$E$44),""),""))</f>
        <v/>
      </c>
      <c r="BC200" s="153">
        <f>IF($B200=1,$E$34,IF(N(Vintage_Input!O150)&gt;0,IFERROR((Vintage_Input!G150+Vintage_Input!AU150)/$C200+Products!$E$14-(Products!$E$43+Products!$E$19+Products!$E$43*Products!$E$22+Products!$E$44),""),""))</f>
        <v/>
      </c>
      <c r="BD200" s="153">
        <f>IF($B200=1,$F$34,IF(N(Vintage_Input!P150)&gt;0,IFERROR((Vintage_Input!H150+Vintage_Input!AV150)/$C200+Products!$E$14-(Products!$E$43+Products!$E$19+Products!$E$43*Products!$E$22+Products!$E$44),""),""))</f>
        <v/>
      </c>
      <c r="BE200" s="153">
        <f>IF($B200=1,$G$34,IF(N(Vintage_Input!Q150)&gt;0,IFERROR((Vintage_Input!I150+Vintage_Input!AW150)/$C200+Products!$E$14-(Products!$E$43+Products!$E$19+Products!$E$43*Products!$E$22+Products!$E$44),""),""))</f>
        <v/>
      </c>
      <c r="BF200" s="153">
        <f>IF($B200=1,$H$34,IF(N(Vintage_Input!R150)&gt;0,IFERROR((Vintage_Input!J150+Vintage_Input!AX150)/$C200+Products!$E$14-(Products!$E$43+Products!$E$19+Products!$E$43*Products!$E$22+Products!$E$44),""),""))</f>
        <v/>
      </c>
      <c r="BG200" s="153">
        <f>IF($B200=1,$I$34,IF(N(Vintage_Input!S150)&gt;0,IFERROR((Vintage_Input!K150+Vintage_Input!AY150)/$C200+Products!$E$14-(Products!$E$43+Products!$E$19+Products!$E$43*Products!$E$22+Products!$E$44),""),""))</f>
        <v/>
      </c>
      <c r="BH200" s="81">
        <f>IF($B200=1,0,IF(Vintage_Input!$BH$150="","",Vintage_Input!$BH$150))</f>
        <v/>
      </c>
    </row>
    <row r="201">
      <c r="A201" s="23" t="n">
        <v>13</v>
      </c>
      <c r="B201" s="48">
        <f>Vintage_Input!$B$151</f>
        <v/>
      </c>
      <c r="C201" s="41">
        <f>IF(Vintage_Input!$C$151="",0,Vintage_Input!$C$151)</f>
        <v/>
      </c>
      <c r="D201" s="152">
        <f>IF($B201=1,$B$28,IF(N(Vintage_Input!L151)&gt;0,Vintage_Input!D151/Vintage_Input!L151,""))</f>
        <v/>
      </c>
      <c r="E201" s="152">
        <f>IF($B201=1,$C$28,IF(N(Vintage_Input!M151)&gt;0,Vintage_Input!E151/Vintage_Input!M151,""))</f>
        <v/>
      </c>
      <c r="F201" s="152">
        <f>IF($B201=1,$D$28,IF(N(Vintage_Input!N151)&gt;0,Vintage_Input!F151/Vintage_Input!N151,""))</f>
        <v/>
      </c>
      <c r="G201" s="152">
        <f>IF($B201=1,$E$28,IF(N(Vintage_Input!O151)&gt;0,Vintage_Input!G151/Vintage_Input!O151,""))</f>
        <v/>
      </c>
      <c r="H201" s="152">
        <f>IF($B201=1,$F$28,IF(N(Vintage_Input!P151)&gt;0,Vintage_Input!H151/Vintage_Input!P151,""))</f>
        <v/>
      </c>
      <c r="I201" s="152">
        <f>IF($B201=1,$G$28,IF(N(Vintage_Input!Q151)&gt;0,Vintage_Input!I151/Vintage_Input!Q151,""))</f>
        <v/>
      </c>
      <c r="J201" s="152">
        <f>IF($B201=1,$H$28,IF(N(Vintage_Input!R151)&gt;0,Vintage_Input!J151/Vintage_Input!R151,""))</f>
        <v/>
      </c>
      <c r="K201" s="152">
        <f>IF($B201=1,$I$28,IF(N(Vintage_Input!S151)&gt;0,Vintage_Input!K151/Vintage_Input!S151,""))</f>
        <v/>
      </c>
      <c r="L201" s="152">
        <f>IF($B201=1,$B$29,IF(N(Vintage_Input!L151)&gt;0,Vintage_Input!T151/Vintage_Input!L151,""))</f>
        <v/>
      </c>
      <c r="M201" s="152">
        <f>IF($B201=1,$C$29,IF(N(Vintage_Input!M151)&gt;0,Vintage_Input!U151/Vintage_Input!M151,""))</f>
        <v/>
      </c>
      <c r="N201" s="152">
        <f>IF($B201=1,$D$29,IF(N(Vintage_Input!N151)&gt;0,Vintage_Input!V151/Vintage_Input!N151,""))</f>
        <v/>
      </c>
      <c r="O201" s="152">
        <f>IF($B201=1,$E$29,IF(N(Vintage_Input!O151)&gt;0,Vintage_Input!W151/Vintage_Input!O151,""))</f>
        <v/>
      </c>
      <c r="P201" s="152">
        <f>IF($B201=1,$F$29,IF(N(Vintage_Input!P151)&gt;0,Vintage_Input!X151/Vintage_Input!P151,""))</f>
        <v/>
      </c>
      <c r="Q201" s="152">
        <f>IF($B201=1,$G$29,IF(N(Vintage_Input!Q151)&gt;0,Vintage_Input!Y151/Vintage_Input!Q151,""))</f>
        <v/>
      </c>
      <c r="R201" s="152">
        <f>IF($B201=1,$H$29,IF(N(Vintage_Input!R151)&gt;0,Vintage_Input!Z151/Vintage_Input!R151,""))</f>
        <v/>
      </c>
      <c r="S201" s="152">
        <f>IF($B201=1,$I$29,IF(N(Vintage_Input!S151)&gt;0,Vintage_Input!AA151/Vintage_Input!S151,""))</f>
        <v/>
      </c>
      <c r="T201" s="152">
        <f>IF($B201=1,$B$30,IF(N(Vintage_Input!L151)&gt;0,Vintage_Input!AB151/Vintage_Input!L151,""))</f>
        <v/>
      </c>
      <c r="U201" s="152">
        <f>IF($B201=1,$C$30,IF(N(Vintage_Input!M151)&gt;0,Vintage_Input!AC151/Vintage_Input!M151,""))</f>
        <v/>
      </c>
      <c r="V201" s="152">
        <f>IF($B201=1,$D$30,IF(N(Vintage_Input!N151)&gt;0,Vintage_Input!AD151/Vintage_Input!N151,""))</f>
        <v/>
      </c>
      <c r="W201" s="152">
        <f>IF($B201=1,$E$30,IF(N(Vintage_Input!O151)&gt;0,Vintage_Input!AE151/Vintage_Input!O151,""))</f>
        <v/>
      </c>
      <c r="X201" s="152">
        <f>IF($B201=1,$F$30,IF(N(Vintage_Input!P151)&gt;0,Vintage_Input!AF151/Vintage_Input!P151,""))</f>
        <v/>
      </c>
      <c r="Y201" s="152">
        <f>IF($B201=1,$G$30,IF(N(Vintage_Input!Q151)&gt;0,Vintage_Input!AG151/Vintage_Input!Q151,""))</f>
        <v/>
      </c>
      <c r="Z201" s="152">
        <f>IF($B201=1,$H$30,IF(N(Vintage_Input!R151)&gt;0,Vintage_Input!AH151/Vintage_Input!R151,""))</f>
        <v/>
      </c>
      <c r="AA201" s="152">
        <f>IF($B201=1,$I$30,IF(N(Vintage_Input!S151)&gt;0,Vintage_Input!AI151/Vintage_Input!S151,""))</f>
        <v/>
      </c>
      <c r="AB201" s="152">
        <f>IF($B201=1,$B$31,IF(N(Vintage_Input!L151)&gt;0,Vintage_Input!AJ151/Vintage_Input!L151,""))</f>
        <v/>
      </c>
      <c r="AC201" s="152">
        <f>IF($B201=1,$C$31,IF(N(Vintage_Input!M151)&gt;0,Vintage_Input!AK151/Vintage_Input!M151,""))</f>
        <v/>
      </c>
      <c r="AD201" s="152">
        <f>IF($B201=1,$D$31,IF(N(Vintage_Input!N151)&gt;0,Vintage_Input!AL151/Vintage_Input!N151,""))</f>
        <v/>
      </c>
      <c r="AE201" s="152">
        <f>IF($B201=1,$E$31,IF(N(Vintage_Input!O151)&gt;0,Vintage_Input!AM151/Vintage_Input!O151,""))</f>
        <v/>
      </c>
      <c r="AF201" s="152">
        <f>IF($B201=1,$F$31,IF(N(Vintage_Input!P151)&gt;0,Vintage_Input!AN151/Vintage_Input!P151,""))</f>
        <v/>
      </c>
      <c r="AG201" s="152">
        <f>IF($B201=1,$G$31,IF(N(Vintage_Input!Q151)&gt;0,Vintage_Input!AO151/Vintage_Input!Q151,""))</f>
        <v/>
      </c>
      <c r="AH201" s="152">
        <f>IF($B201=1,$H$31,IF(N(Vintage_Input!R151)&gt;0,Vintage_Input!AP151/Vintage_Input!R151,""))</f>
        <v/>
      </c>
      <c r="AI201" s="152">
        <f>IF($B201=1,$I$31,IF(N(Vintage_Input!S151)&gt;0,Vintage_Input!AQ151/Vintage_Input!S151,""))</f>
        <v/>
      </c>
      <c r="AJ201" s="152">
        <f>IF($B201=1,$B$32,IF(N(Vintage_Input!L151)&gt;0,IFERROR(Vintage_Input!AR151/Vintage_Input!AJ151,""),""))</f>
        <v/>
      </c>
      <c r="AK201" s="152">
        <f>IF($B201=1,$C$32,IF(N(Vintage_Input!M151)&gt;0,IFERROR(Vintage_Input!AS151/Vintage_Input!AK151,""),""))</f>
        <v/>
      </c>
      <c r="AL201" s="152">
        <f>IF($B201=1,$D$32,IF(N(Vintage_Input!N151)&gt;0,IFERROR(Vintage_Input!AT151/Vintage_Input!AL151,""),""))</f>
        <v/>
      </c>
      <c r="AM201" s="152">
        <f>IF($B201=1,$E$32,IF(N(Vintage_Input!O151)&gt;0,IFERROR(Vintage_Input!AU151/Vintage_Input!AM151,""),""))</f>
        <v/>
      </c>
      <c r="AN201" s="152">
        <f>IF($B201=1,$F$32,IF(N(Vintage_Input!P151)&gt;0,IFERROR(Vintage_Input!AV151/Vintage_Input!AN151,""),""))</f>
        <v/>
      </c>
      <c r="AO201" s="152">
        <f>IF($B201=1,$G$32,IF(N(Vintage_Input!Q151)&gt;0,IFERROR(Vintage_Input!AW151/Vintage_Input!AO151,""),""))</f>
        <v/>
      </c>
      <c r="AP201" s="152">
        <f>IF($B201=1,$H$32,IF(N(Vintage_Input!R151)&gt;0,IFERROR(Vintage_Input!AX151/Vintage_Input!AP151,""),""))</f>
        <v/>
      </c>
      <c r="AQ201" s="152">
        <f>IF($B201=1,$I$32,IF(N(Vintage_Input!S151)&gt;0,IFERROR(Vintage_Input!AY151/Vintage_Input!AQ151,""),""))</f>
        <v/>
      </c>
      <c r="AR201" s="152">
        <f>IF($B201=1,$B$33,IF(N(Vintage_Input!L151)&gt;0,IFERROR(Vintage_Input!AZ151/$C201,""),""))</f>
        <v/>
      </c>
      <c r="AS201" s="152">
        <f>IF($B201=1,$C$33,IF(N(Vintage_Input!M151)&gt;0,IFERROR(Vintage_Input!BA151/$C201,""),""))</f>
        <v/>
      </c>
      <c r="AT201" s="152">
        <f>IF($B201=1,$D$33,IF(N(Vintage_Input!N151)&gt;0,IFERROR(Vintage_Input!BB151/$C201,""),""))</f>
        <v/>
      </c>
      <c r="AU201" s="152">
        <f>IF($B201=1,$E$33,IF(N(Vintage_Input!O151)&gt;0,IFERROR(Vintage_Input!BC151/$C201,""),""))</f>
        <v/>
      </c>
      <c r="AV201" s="152">
        <f>IF($B201=1,$F$33,IF(N(Vintage_Input!P151)&gt;0,IFERROR(Vintage_Input!BD151/$C201,""),""))</f>
        <v/>
      </c>
      <c r="AW201" s="152">
        <f>IF($B201=1,$G$33,IF(N(Vintage_Input!Q151)&gt;0,IFERROR(Vintage_Input!BE151/$C201,""),""))</f>
        <v/>
      </c>
      <c r="AX201" s="152">
        <f>IF($B201=1,$H$33,IF(N(Vintage_Input!R151)&gt;0,IFERROR(Vintage_Input!BF151/$C201,""),""))</f>
        <v/>
      </c>
      <c r="AY201" s="152">
        <f>IF($B201=1,$I$33,IF(N(Vintage_Input!S151)&gt;0,IFERROR(Vintage_Input!BG151/$C201,""),""))</f>
        <v/>
      </c>
      <c r="AZ201" s="153">
        <f>IF($B201=1,$B$34,IF(N(Vintage_Input!L151)&gt;0,IFERROR((Vintage_Input!D151+Vintage_Input!AR151)/$C201+Products!$E$14-(Products!$E$43+Products!$E$19+Products!$E$43*Products!$E$22+Products!$E$44),""),""))</f>
        <v/>
      </c>
      <c r="BA201" s="153">
        <f>IF($B201=1,$C$34,IF(N(Vintage_Input!M151)&gt;0,IFERROR((Vintage_Input!E151+Vintage_Input!AS151)/$C201+Products!$E$14-(Products!$E$43+Products!$E$19+Products!$E$43*Products!$E$22+Products!$E$44),""),""))</f>
        <v/>
      </c>
      <c r="BB201" s="153">
        <f>IF($B201=1,$D$34,IF(N(Vintage_Input!N151)&gt;0,IFERROR((Vintage_Input!F151+Vintage_Input!AT151)/$C201+Products!$E$14-(Products!$E$43+Products!$E$19+Products!$E$43*Products!$E$22+Products!$E$44),""),""))</f>
        <v/>
      </c>
      <c r="BC201" s="153">
        <f>IF($B201=1,$E$34,IF(N(Vintage_Input!O151)&gt;0,IFERROR((Vintage_Input!G151+Vintage_Input!AU151)/$C201+Products!$E$14-(Products!$E$43+Products!$E$19+Products!$E$43*Products!$E$22+Products!$E$44),""),""))</f>
        <v/>
      </c>
      <c r="BD201" s="153">
        <f>IF($B201=1,$F$34,IF(N(Vintage_Input!P151)&gt;0,IFERROR((Vintage_Input!H151+Vintage_Input!AV151)/$C201+Products!$E$14-(Products!$E$43+Products!$E$19+Products!$E$43*Products!$E$22+Products!$E$44),""),""))</f>
        <v/>
      </c>
      <c r="BE201" s="153">
        <f>IF($B201=1,$G$34,IF(N(Vintage_Input!Q151)&gt;0,IFERROR((Vintage_Input!I151+Vintage_Input!AW151)/$C201+Products!$E$14-(Products!$E$43+Products!$E$19+Products!$E$43*Products!$E$22+Products!$E$44),""),""))</f>
        <v/>
      </c>
      <c r="BF201" s="153">
        <f>IF($B201=1,$H$34,IF(N(Vintage_Input!R151)&gt;0,IFERROR((Vintage_Input!J151+Vintage_Input!AX151)/$C201+Products!$E$14-(Products!$E$43+Products!$E$19+Products!$E$43*Products!$E$22+Products!$E$44),""),""))</f>
        <v/>
      </c>
      <c r="BG201" s="153">
        <f>IF($B201=1,$I$34,IF(N(Vintage_Input!S151)&gt;0,IFERROR((Vintage_Input!K151+Vintage_Input!AY151)/$C201+Products!$E$14-(Products!$E$43+Products!$E$19+Products!$E$43*Products!$E$22+Products!$E$44),""),""))</f>
        <v/>
      </c>
      <c r="BH201" s="81">
        <f>IF($B201=1,0,IF(Vintage_Input!$BH$151="","",Vintage_Input!$BH$151))</f>
        <v/>
      </c>
    </row>
    <row r="202">
      <c r="A202" s="23" t="n">
        <v>14</v>
      </c>
      <c r="B202" s="48">
        <f>Vintage_Input!$B$152</f>
        <v/>
      </c>
      <c r="C202" s="41">
        <f>IF(Vintage_Input!$C$152="",0,Vintage_Input!$C$152)</f>
        <v/>
      </c>
      <c r="D202" s="152">
        <f>IF($B202=1,$B$28,IF(N(Vintage_Input!L152)&gt;0,Vintage_Input!D152/Vintage_Input!L152,""))</f>
        <v/>
      </c>
      <c r="E202" s="152">
        <f>IF($B202=1,$C$28,IF(N(Vintage_Input!M152)&gt;0,Vintage_Input!E152/Vintage_Input!M152,""))</f>
        <v/>
      </c>
      <c r="F202" s="152">
        <f>IF($B202=1,$D$28,IF(N(Vintage_Input!N152)&gt;0,Vintage_Input!F152/Vintage_Input!N152,""))</f>
        <v/>
      </c>
      <c r="G202" s="152">
        <f>IF($B202=1,$E$28,IF(N(Vintage_Input!O152)&gt;0,Vintage_Input!G152/Vintage_Input!O152,""))</f>
        <v/>
      </c>
      <c r="H202" s="152">
        <f>IF($B202=1,$F$28,IF(N(Vintage_Input!P152)&gt;0,Vintage_Input!H152/Vintage_Input!P152,""))</f>
        <v/>
      </c>
      <c r="I202" s="152">
        <f>IF($B202=1,$G$28,IF(N(Vintage_Input!Q152)&gt;0,Vintage_Input!I152/Vintage_Input!Q152,""))</f>
        <v/>
      </c>
      <c r="J202" s="152">
        <f>IF($B202=1,$H$28,IF(N(Vintage_Input!R152)&gt;0,Vintage_Input!J152/Vintage_Input!R152,""))</f>
        <v/>
      </c>
      <c r="K202" s="152">
        <f>IF($B202=1,$I$28,IF(N(Vintage_Input!S152)&gt;0,Vintage_Input!K152/Vintage_Input!S152,""))</f>
        <v/>
      </c>
      <c r="L202" s="152">
        <f>IF($B202=1,$B$29,IF(N(Vintage_Input!L152)&gt;0,Vintage_Input!T152/Vintage_Input!L152,""))</f>
        <v/>
      </c>
      <c r="M202" s="152">
        <f>IF($B202=1,$C$29,IF(N(Vintage_Input!M152)&gt;0,Vintage_Input!U152/Vintage_Input!M152,""))</f>
        <v/>
      </c>
      <c r="N202" s="152">
        <f>IF($B202=1,$D$29,IF(N(Vintage_Input!N152)&gt;0,Vintage_Input!V152/Vintage_Input!N152,""))</f>
        <v/>
      </c>
      <c r="O202" s="152">
        <f>IF($B202=1,$E$29,IF(N(Vintage_Input!O152)&gt;0,Vintage_Input!W152/Vintage_Input!O152,""))</f>
        <v/>
      </c>
      <c r="P202" s="152">
        <f>IF($B202=1,$F$29,IF(N(Vintage_Input!P152)&gt;0,Vintage_Input!X152/Vintage_Input!P152,""))</f>
        <v/>
      </c>
      <c r="Q202" s="152">
        <f>IF($B202=1,$G$29,IF(N(Vintage_Input!Q152)&gt;0,Vintage_Input!Y152/Vintage_Input!Q152,""))</f>
        <v/>
      </c>
      <c r="R202" s="152">
        <f>IF($B202=1,$H$29,IF(N(Vintage_Input!R152)&gt;0,Vintage_Input!Z152/Vintage_Input!R152,""))</f>
        <v/>
      </c>
      <c r="S202" s="152">
        <f>IF($B202=1,$I$29,IF(N(Vintage_Input!S152)&gt;0,Vintage_Input!AA152/Vintage_Input!S152,""))</f>
        <v/>
      </c>
      <c r="T202" s="152">
        <f>IF($B202=1,$B$30,IF(N(Vintage_Input!L152)&gt;0,Vintage_Input!AB152/Vintage_Input!L152,""))</f>
        <v/>
      </c>
      <c r="U202" s="152">
        <f>IF($B202=1,$C$30,IF(N(Vintage_Input!M152)&gt;0,Vintage_Input!AC152/Vintage_Input!M152,""))</f>
        <v/>
      </c>
      <c r="V202" s="152">
        <f>IF($B202=1,$D$30,IF(N(Vintage_Input!N152)&gt;0,Vintage_Input!AD152/Vintage_Input!N152,""))</f>
        <v/>
      </c>
      <c r="W202" s="152">
        <f>IF($B202=1,$E$30,IF(N(Vintage_Input!O152)&gt;0,Vintage_Input!AE152/Vintage_Input!O152,""))</f>
        <v/>
      </c>
      <c r="X202" s="152">
        <f>IF($B202=1,$F$30,IF(N(Vintage_Input!P152)&gt;0,Vintage_Input!AF152/Vintage_Input!P152,""))</f>
        <v/>
      </c>
      <c r="Y202" s="152">
        <f>IF($B202=1,$G$30,IF(N(Vintage_Input!Q152)&gt;0,Vintage_Input!AG152/Vintage_Input!Q152,""))</f>
        <v/>
      </c>
      <c r="Z202" s="152">
        <f>IF($B202=1,$H$30,IF(N(Vintage_Input!R152)&gt;0,Vintage_Input!AH152/Vintage_Input!R152,""))</f>
        <v/>
      </c>
      <c r="AA202" s="152">
        <f>IF($B202=1,$I$30,IF(N(Vintage_Input!S152)&gt;0,Vintage_Input!AI152/Vintage_Input!S152,""))</f>
        <v/>
      </c>
      <c r="AB202" s="152">
        <f>IF($B202=1,$B$31,IF(N(Vintage_Input!L152)&gt;0,Vintage_Input!AJ152/Vintage_Input!L152,""))</f>
        <v/>
      </c>
      <c r="AC202" s="152">
        <f>IF($B202=1,$C$31,IF(N(Vintage_Input!M152)&gt;0,Vintage_Input!AK152/Vintage_Input!M152,""))</f>
        <v/>
      </c>
      <c r="AD202" s="152">
        <f>IF($B202=1,$D$31,IF(N(Vintage_Input!N152)&gt;0,Vintage_Input!AL152/Vintage_Input!N152,""))</f>
        <v/>
      </c>
      <c r="AE202" s="152">
        <f>IF($B202=1,$E$31,IF(N(Vintage_Input!O152)&gt;0,Vintage_Input!AM152/Vintage_Input!O152,""))</f>
        <v/>
      </c>
      <c r="AF202" s="152">
        <f>IF($B202=1,$F$31,IF(N(Vintage_Input!P152)&gt;0,Vintage_Input!AN152/Vintage_Input!P152,""))</f>
        <v/>
      </c>
      <c r="AG202" s="152">
        <f>IF($B202=1,$G$31,IF(N(Vintage_Input!Q152)&gt;0,Vintage_Input!AO152/Vintage_Input!Q152,""))</f>
        <v/>
      </c>
      <c r="AH202" s="152">
        <f>IF($B202=1,$H$31,IF(N(Vintage_Input!R152)&gt;0,Vintage_Input!AP152/Vintage_Input!R152,""))</f>
        <v/>
      </c>
      <c r="AI202" s="152">
        <f>IF($B202=1,$I$31,IF(N(Vintage_Input!S152)&gt;0,Vintage_Input!AQ152/Vintage_Input!S152,""))</f>
        <v/>
      </c>
      <c r="AJ202" s="152">
        <f>IF($B202=1,$B$32,IF(N(Vintage_Input!L152)&gt;0,IFERROR(Vintage_Input!AR152/Vintage_Input!AJ152,""),""))</f>
        <v/>
      </c>
      <c r="AK202" s="152">
        <f>IF($B202=1,$C$32,IF(N(Vintage_Input!M152)&gt;0,IFERROR(Vintage_Input!AS152/Vintage_Input!AK152,""),""))</f>
        <v/>
      </c>
      <c r="AL202" s="152">
        <f>IF($B202=1,$D$32,IF(N(Vintage_Input!N152)&gt;0,IFERROR(Vintage_Input!AT152/Vintage_Input!AL152,""),""))</f>
        <v/>
      </c>
      <c r="AM202" s="152">
        <f>IF($B202=1,$E$32,IF(N(Vintage_Input!O152)&gt;0,IFERROR(Vintage_Input!AU152/Vintage_Input!AM152,""),""))</f>
        <v/>
      </c>
      <c r="AN202" s="152">
        <f>IF($B202=1,$F$32,IF(N(Vintage_Input!P152)&gt;0,IFERROR(Vintage_Input!AV152/Vintage_Input!AN152,""),""))</f>
        <v/>
      </c>
      <c r="AO202" s="152">
        <f>IF($B202=1,$G$32,IF(N(Vintage_Input!Q152)&gt;0,IFERROR(Vintage_Input!AW152/Vintage_Input!AO152,""),""))</f>
        <v/>
      </c>
      <c r="AP202" s="152">
        <f>IF($B202=1,$H$32,IF(N(Vintage_Input!R152)&gt;0,IFERROR(Vintage_Input!AX152/Vintage_Input!AP152,""),""))</f>
        <v/>
      </c>
      <c r="AQ202" s="152">
        <f>IF($B202=1,$I$32,IF(N(Vintage_Input!S152)&gt;0,IFERROR(Vintage_Input!AY152/Vintage_Input!AQ152,""),""))</f>
        <v/>
      </c>
      <c r="AR202" s="152">
        <f>IF($B202=1,$B$33,IF(N(Vintage_Input!L152)&gt;0,IFERROR(Vintage_Input!AZ152/$C202,""),""))</f>
        <v/>
      </c>
      <c r="AS202" s="152">
        <f>IF($B202=1,$C$33,IF(N(Vintage_Input!M152)&gt;0,IFERROR(Vintage_Input!BA152/$C202,""),""))</f>
        <v/>
      </c>
      <c r="AT202" s="152">
        <f>IF($B202=1,$D$33,IF(N(Vintage_Input!N152)&gt;0,IFERROR(Vintage_Input!BB152/$C202,""),""))</f>
        <v/>
      </c>
      <c r="AU202" s="152">
        <f>IF($B202=1,$E$33,IF(N(Vintage_Input!O152)&gt;0,IFERROR(Vintage_Input!BC152/$C202,""),""))</f>
        <v/>
      </c>
      <c r="AV202" s="152">
        <f>IF($B202=1,$F$33,IF(N(Vintage_Input!P152)&gt;0,IFERROR(Vintage_Input!BD152/$C202,""),""))</f>
        <v/>
      </c>
      <c r="AW202" s="152">
        <f>IF($B202=1,$G$33,IF(N(Vintage_Input!Q152)&gt;0,IFERROR(Vintage_Input!BE152/$C202,""),""))</f>
        <v/>
      </c>
      <c r="AX202" s="152">
        <f>IF($B202=1,$H$33,IF(N(Vintage_Input!R152)&gt;0,IFERROR(Vintage_Input!BF152/$C202,""),""))</f>
        <v/>
      </c>
      <c r="AY202" s="152">
        <f>IF($B202=1,$I$33,IF(N(Vintage_Input!S152)&gt;0,IFERROR(Vintage_Input!BG152/$C202,""),""))</f>
        <v/>
      </c>
      <c r="AZ202" s="153">
        <f>IF($B202=1,$B$34,IF(N(Vintage_Input!L152)&gt;0,IFERROR((Vintage_Input!D152+Vintage_Input!AR152)/$C202+Products!$E$14-(Products!$E$43+Products!$E$19+Products!$E$43*Products!$E$22+Products!$E$44),""),""))</f>
        <v/>
      </c>
      <c r="BA202" s="153">
        <f>IF($B202=1,$C$34,IF(N(Vintage_Input!M152)&gt;0,IFERROR((Vintage_Input!E152+Vintage_Input!AS152)/$C202+Products!$E$14-(Products!$E$43+Products!$E$19+Products!$E$43*Products!$E$22+Products!$E$44),""),""))</f>
        <v/>
      </c>
      <c r="BB202" s="153">
        <f>IF($B202=1,$D$34,IF(N(Vintage_Input!N152)&gt;0,IFERROR((Vintage_Input!F152+Vintage_Input!AT152)/$C202+Products!$E$14-(Products!$E$43+Products!$E$19+Products!$E$43*Products!$E$22+Products!$E$44),""),""))</f>
        <v/>
      </c>
      <c r="BC202" s="153">
        <f>IF($B202=1,$E$34,IF(N(Vintage_Input!O152)&gt;0,IFERROR((Vintage_Input!G152+Vintage_Input!AU152)/$C202+Products!$E$14-(Products!$E$43+Products!$E$19+Products!$E$43*Products!$E$22+Products!$E$44),""),""))</f>
        <v/>
      </c>
      <c r="BD202" s="153">
        <f>IF($B202=1,$F$34,IF(N(Vintage_Input!P152)&gt;0,IFERROR((Vintage_Input!H152+Vintage_Input!AV152)/$C202+Products!$E$14-(Products!$E$43+Products!$E$19+Products!$E$43*Products!$E$22+Products!$E$44),""),""))</f>
        <v/>
      </c>
      <c r="BE202" s="153">
        <f>IF($B202=1,$G$34,IF(N(Vintage_Input!Q152)&gt;0,IFERROR((Vintage_Input!I152+Vintage_Input!AW152)/$C202+Products!$E$14-(Products!$E$43+Products!$E$19+Products!$E$43*Products!$E$22+Products!$E$44),""),""))</f>
        <v/>
      </c>
      <c r="BF202" s="153">
        <f>IF($B202=1,$H$34,IF(N(Vintage_Input!R152)&gt;0,IFERROR((Vintage_Input!J152+Vintage_Input!AX152)/$C202+Products!$E$14-(Products!$E$43+Products!$E$19+Products!$E$43*Products!$E$22+Products!$E$44),""),""))</f>
        <v/>
      </c>
      <c r="BG202" s="153">
        <f>IF($B202=1,$I$34,IF(N(Vintage_Input!S152)&gt;0,IFERROR((Vintage_Input!K152+Vintage_Input!AY152)/$C202+Products!$E$14-(Products!$E$43+Products!$E$19+Products!$E$43*Products!$E$22+Products!$E$44),""),""))</f>
        <v/>
      </c>
      <c r="BH202" s="81">
        <f>IF($B202=1,0,IF(Vintage_Input!$BH$152="","",Vintage_Input!$BH$152))</f>
        <v/>
      </c>
    </row>
    <row r="203">
      <c r="A203" s="23" t="n">
        <v>15</v>
      </c>
      <c r="B203" s="48">
        <f>Vintage_Input!$B$153</f>
        <v/>
      </c>
      <c r="C203" s="41">
        <f>IF(Vintage_Input!$C$153="",0,Vintage_Input!$C$153)</f>
        <v/>
      </c>
      <c r="D203" s="152">
        <f>IF($B203=1,$B$28,IF(N(Vintage_Input!L153)&gt;0,Vintage_Input!D153/Vintage_Input!L153,""))</f>
        <v/>
      </c>
      <c r="E203" s="152">
        <f>IF($B203=1,$C$28,IF(N(Vintage_Input!M153)&gt;0,Vintage_Input!E153/Vintage_Input!M153,""))</f>
        <v/>
      </c>
      <c r="F203" s="152">
        <f>IF($B203=1,$D$28,IF(N(Vintage_Input!N153)&gt;0,Vintage_Input!F153/Vintage_Input!N153,""))</f>
        <v/>
      </c>
      <c r="G203" s="152">
        <f>IF($B203=1,$E$28,IF(N(Vintage_Input!O153)&gt;0,Vintage_Input!G153/Vintage_Input!O153,""))</f>
        <v/>
      </c>
      <c r="H203" s="152">
        <f>IF($B203=1,$F$28,IF(N(Vintage_Input!P153)&gt;0,Vintage_Input!H153/Vintage_Input!P153,""))</f>
        <v/>
      </c>
      <c r="I203" s="152">
        <f>IF($B203=1,$G$28,IF(N(Vintage_Input!Q153)&gt;0,Vintage_Input!I153/Vintage_Input!Q153,""))</f>
        <v/>
      </c>
      <c r="J203" s="152">
        <f>IF($B203=1,$H$28,IF(N(Vintage_Input!R153)&gt;0,Vintage_Input!J153/Vintage_Input!R153,""))</f>
        <v/>
      </c>
      <c r="K203" s="152">
        <f>IF($B203=1,$I$28,IF(N(Vintage_Input!S153)&gt;0,Vintage_Input!K153/Vintage_Input!S153,""))</f>
        <v/>
      </c>
      <c r="L203" s="152">
        <f>IF($B203=1,$B$29,IF(N(Vintage_Input!L153)&gt;0,Vintage_Input!T153/Vintage_Input!L153,""))</f>
        <v/>
      </c>
      <c r="M203" s="152">
        <f>IF($B203=1,$C$29,IF(N(Vintage_Input!M153)&gt;0,Vintage_Input!U153/Vintage_Input!M153,""))</f>
        <v/>
      </c>
      <c r="N203" s="152">
        <f>IF($B203=1,$D$29,IF(N(Vintage_Input!N153)&gt;0,Vintage_Input!V153/Vintage_Input!N153,""))</f>
        <v/>
      </c>
      <c r="O203" s="152">
        <f>IF($B203=1,$E$29,IF(N(Vintage_Input!O153)&gt;0,Vintage_Input!W153/Vintage_Input!O153,""))</f>
        <v/>
      </c>
      <c r="P203" s="152">
        <f>IF($B203=1,$F$29,IF(N(Vintage_Input!P153)&gt;0,Vintage_Input!X153/Vintage_Input!P153,""))</f>
        <v/>
      </c>
      <c r="Q203" s="152">
        <f>IF($B203=1,$G$29,IF(N(Vintage_Input!Q153)&gt;0,Vintage_Input!Y153/Vintage_Input!Q153,""))</f>
        <v/>
      </c>
      <c r="R203" s="152">
        <f>IF($B203=1,$H$29,IF(N(Vintage_Input!R153)&gt;0,Vintage_Input!Z153/Vintage_Input!R153,""))</f>
        <v/>
      </c>
      <c r="S203" s="152">
        <f>IF($B203=1,$I$29,IF(N(Vintage_Input!S153)&gt;0,Vintage_Input!AA153/Vintage_Input!S153,""))</f>
        <v/>
      </c>
      <c r="T203" s="152">
        <f>IF($B203=1,$B$30,IF(N(Vintage_Input!L153)&gt;0,Vintage_Input!AB153/Vintage_Input!L153,""))</f>
        <v/>
      </c>
      <c r="U203" s="152">
        <f>IF($B203=1,$C$30,IF(N(Vintage_Input!M153)&gt;0,Vintage_Input!AC153/Vintage_Input!M153,""))</f>
        <v/>
      </c>
      <c r="V203" s="152">
        <f>IF($B203=1,$D$30,IF(N(Vintage_Input!N153)&gt;0,Vintage_Input!AD153/Vintage_Input!N153,""))</f>
        <v/>
      </c>
      <c r="W203" s="152">
        <f>IF($B203=1,$E$30,IF(N(Vintage_Input!O153)&gt;0,Vintage_Input!AE153/Vintage_Input!O153,""))</f>
        <v/>
      </c>
      <c r="X203" s="152">
        <f>IF($B203=1,$F$30,IF(N(Vintage_Input!P153)&gt;0,Vintage_Input!AF153/Vintage_Input!P153,""))</f>
        <v/>
      </c>
      <c r="Y203" s="152">
        <f>IF($B203=1,$G$30,IF(N(Vintage_Input!Q153)&gt;0,Vintage_Input!AG153/Vintage_Input!Q153,""))</f>
        <v/>
      </c>
      <c r="Z203" s="152">
        <f>IF($B203=1,$H$30,IF(N(Vintage_Input!R153)&gt;0,Vintage_Input!AH153/Vintage_Input!R153,""))</f>
        <v/>
      </c>
      <c r="AA203" s="152">
        <f>IF($B203=1,$I$30,IF(N(Vintage_Input!S153)&gt;0,Vintage_Input!AI153/Vintage_Input!S153,""))</f>
        <v/>
      </c>
      <c r="AB203" s="152">
        <f>IF($B203=1,$B$31,IF(N(Vintage_Input!L153)&gt;0,Vintage_Input!AJ153/Vintage_Input!L153,""))</f>
        <v/>
      </c>
      <c r="AC203" s="152">
        <f>IF($B203=1,$C$31,IF(N(Vintage_Input!M153)&gt;0,Vintage_Input!AK153/Vintage_Input!M153,""))</f>
        <v/>
      </c>
      <c r="AD203" s="152">
        <f>IF($B203=1,$D$31,IF(N(Vintage_Input!N153)&gt;0,Vintage_Input!AL153/Vintage_Input!N153,""))</f>
        <v/>
      </c>
      <c r="AE203" s="152">
        <f>IF($B203=1,$E$31,IF(N(Vintage_Input!O153)&gt;0,Vintage_Input!AM153/Vintage_Input!O153,""))</f>
        <v/>
      </c>
      <c r="AF203" s="152">
        <f>IF($B203=1,$F$31,IF(N(Vintage_Input!P153)&gt;0,Vintage_Input!AN153/Vintage_Input!P153,""))</f>
        <v/>
      </c>
      <c r="AG203" s="152">
        <f>IF($B203=1,$G$31,IF(N(Vintage_Input!Q153)&gt;0,Vintage_Input!AO153/Vintage_Input!Q153,""))</f>
        <v/>
      </c>
      <c r="AH203" s="152">
        <f>IF($B203=1,$H$31,IF(N(Vintage_Input!R153)&gt;0,Vintage_Input!AP153/Vintage_Input!R153,""))</f>
        <v/>
      </c>
      <c r="AI203" s="152">
        <f>IF($B203=1,$I$31,IF(N(Vintage_Input!S153)&gt;0,Vintage_Input!AQ153/Vintage_Input!S153,""))</f>
        <v/>
      </c>
      <c r="AJ203" s="152">
        <f>IF($B203=1,$B$32,IF(N(Vintage_Input!L153)&gt;0,IFERROR(Vintage_Input!AR153/Vintage_Input!AJ153,""),""))</f>
        <v/>
      </c>
      <c r="AK203" s="152">
        <f>IF($B203=1,$C$32,IF(N(Vintage_Input!M153)&gt;0,IFERROR(Vintage_Input!AS153/Vintage_Input!AK153,""),""))</f>
        <v/>
      </c>
      <c r="AL203" s="152">
        <f>IF($B203=1,$D$32,IF(N(Vintage_Input!N153)&gt;0,IFERROR(Vintage_Input!AT153/Vintage_Input!AL153,""),""))</f>
        <v/>
      </c>
      <c r="AM203" s="152">
        <f>IF($B203=1,$E$32,IF(N(Vintage_Input!O153)&gt;0,IFERROR(Vintage_Input!AU153/Vintage_Input!AM153,""),""))</f>
        <v/>
      </c>
      <c r="AN203" s="152">
        <f>IF($B203=1,$F$32,IF(N(Vintage_Input!P153)&gt;0,IFERROR(Vintage_Input!AV153/Vintage_Input!AN153,""),""))</f>
        <v/>
      </c>
      <c r="AO203" s="152">
        <f>IF($B203=1,$G$32,IF(N(Vintage_Input!Q153)&gt;0,IFERROR(Vintage_Input!AW153/Vintage_Input!AO153,""),""))</f>
        <v/>
      </c>
      <c r="AP203" s="152">
        <f>IF($B203=1,$H$32,IF(N(Vintage_Input!R153)&gt;0,IFERROR(Vintage_Input!AX153/Vintage_Input!AP153,""),""))</f>
        <v/>
      </c>
      <c r="AQ203" s="152">
        <f>IF($B203=1,$I$32,IF(N(Vintage_Input!S153)&gt;0,IFERROR(Vintage_Input!AY153/Vintage_Input!AQ153,""),""))</f>
        <v/>
      </c>
      <c r="AR203" s="152">
        <f>IF($B203=1,$B$33,IF(N(Vintage_Input!L153)&gt;0,IFERROR(Vintage_Input!AZ153/$C203,""),""))</f>
        <v/>
      </c>
      <c r="AS203" s="152">
        <f>IF($B203=1,$C$33,IF(N(Vintage_Input!M153)&gt;0,IFERROR(Vintage_Input!BA153/$C203,""),""))</f>
        <v/>
      </c>
      <c r="AT203" s="152">
        <f>IF($B203=1,$D$33,IF(N(Vintage_Input!N153)&gt;0,IFERROR(Vintage_Input!BB153/$C203,""),""))</f>
        <v/>
      </c>
      <c r="AU203" s="152">
        <f>IF($B203=1,$E$33,IF(N(Vintage_Input!O153)&gt;0,IFERROR(Vintage_Input!BC153/$C203,""),""))</f>
        <v/>
      </c>
      <c r="AV203" s="152">
        <f>IF($B203=1,$F$33,IF(N(Vintage_Input!P153)&gt;0,IFERROR(Vintage_Input!BD153/$C203,""),""))</f>
        <v/>
      </c>
      <c r="AW203" s="152">
        <f>IF($B203=1,$G$33,IF(N(Vintage_Input!Q153)&gt;0,IFERROR(Vintage_Input!BE153/$C203,""),""))</f>
        <v/>
      </c>
      <c r="AX203" s="152">
        <f>IF($B203=1,$H$33,IF(N(Vintage_Input!R153)&gt;0,IFERROR(Vintage_Input!BF153/$C203,""),""))</f>
        <v/>
      </c>
      <c r="AY203" s="152">
        <f>IF($B203=1,$I$33,IF(N(Vintage_Input!S153)&gt;0,IFERROR(Vintage_Input!BG153/$C203,""),""))</f>
        <v/>
      </c>
      <c r="AZ203" s="153">
        <f>IF($B203=1,$B$34,IF(N(Vintage_Input!L153)&gt;0,IFERROR((Vintage_Input!D153+Vintage_Input!AR153)/$C203+Products!$E$14-(Products!$E$43+Products!$E$19+Products!$E$43*Products!$E$22+Products!$E$44),""),""))</f>
        <v/>
      </c>
      <c r="BA203" s="153">
        <f>IF($B203=1,$C$34,IF(N(Vintage_Input!M153)&gt;0,IFERROR((Vintage_Input!E153+Vintage_Input!AS153)/$C203+Products!$E$14-(Products!$E$43+Products!$E$19+Products!$E$43*Products!$E$22+Products!$E$44),""),""))</f>
        <v/>
      </c>
      <c r="BB203" s="153">
        <f>IF($B203=1,$D$34,IF(N(Vintage_Input!N153)&gt;0,IFERROR((Vintage_Input!F153+Vintage_Input!AT153)/$C203+Products!$E$14-(Products!$E$43+Products!$E$19+Products!$E$43*Products!$E$22+Products!$E$44),""),""))</f>
        <v/>
      </c>
      <c r="BC203" s="153">
        <f>IF($B203=1,$E$34,IF(N(Vintage_Input!O153)&gt;0,IFERROR((Vintage_Input!G153+Vintage_Input!AU153)/$C203+Products!$E$14-(Products!$E$43+Products!$E$19+Products!$E$43*Products!$E$22+Products!$E$44),""),""))</f>
        <v/>
      </c>
      <c r="BD203" s="153">
        <f>IF($B203=1,$F$34,IF(N(Vintage_Input!P153)&gt;0,IFERROR((Vintage_Input!H153+Vintage_Input!AV153)/$C203+Products!$E$14-(Products!$E$43+Products!$E$19+Products!$E$43*Products!$E$22+Products!$E$44),""),""))</f>
        <v/>
      </c>
      <c r="BE203" s="153">
        <f>IF($B203=1,$G$34,IF(N(Vintage_Input!Q153)&gt;0,IFERROR((Vintage_Input!I153+Vintage_Input!AW153)/$C203+Products!$E$14-(Products!$E$43+Products!$E$19+Products!$E$43*Products!$E$22+Products!$E$44),""),""))</f>
        <v/>
      </c>
      <c r="BF203" s="153">
        <f>IF($B203=1,$H$34,IF(N(Vintage_Input!R153)&gt;0,IFERROR((Vintage_Input!J153+Vintage_Input!AX153)/$C203+Products!$E$14-(Products!$E$43+Products!$E$19+Products!$E$43*Products!$E$22+Products!$E$44),""),""))</f>
        <v/>
      </c>
      <c r="BG203" s="153">
        <f>IF($B203=1,$I$34,IF(N(Vintage_Input!S153)&gt;0,IFERROR((Vintage_Input!K153+Vintage_Input!AY153)/$C203+Products!$E$14-(Products!$E$43+Products!$E$19+Products!$E$43*Products!$E$22+Products!$E$44),""),""))</f>
        <v/>
      </c>
      <c r="BH203" s="81">
        <f>IF($B203=1,0,IF(Vintage_Input!$BH$153="","",Vintage_Input!$BH$153))</f>
        <v/>
      </c>
    </row>
    <row r="204">
      <c r="A204" s="23" t="n">
        <v>16</v>
      </c>
      <c r="B204" s="48">
        <f>Vintage_Input!$B$154</f>
        <v/>
      </c>
      <c r="C204" s="41">
        <f>IF(Vintage_Input!$C$154="",0,Vintage_Input!$C$154)</f>
        <v/>
      </c>
      <c r="D204" s="152">
        <f>IF($B204=1,$B$28,IF(N(Vintage_Input!L154)&gt;0,Vintage_Input!D154/Vintage_Input!L154,""))</f>
        <v/>
      </c>
      <c r="E204" s="152">
        <f>IF($B204=1,$C$28,IF(N(Vintage_Input!M154)&gt;0,Vintage_Input!E154/Vintage_Input!M154,""))</f>
        <v/>
      </c>
      <c r="F204" s="152">
        <f>IF($B204=1,$D$28,IF(N(Vintage_Input!N154)&gt;0,Vintage_Input!F154/Vintage_Input!N154,""))</f>
        <v/>
      </c>
      <c r="G204" s="152">
        <f>IF($B204=1,$E$28,IF(N(Vintage_Input!O154)&gt;0,Vintage_Input!G154/Vintage_Input!O154,""))</f>
        <v/>
      </c>
      <c r="H204" s="152">
        <f>IF($B204=1,$F$28,IF(N(Vintage_Input!P154)&gt;0,Vintage_Input!H154/Vintage_Input!P154,""))</f>
        <v/>
      </c>
      <c r="I204" s="152">
        <f>IF($B204=1,$G$28,IF(N(Vintage_Input!Q154)&gt;0,Vintage_Input!I154/Vintage_Input!Q154,""))</f>
        <v/>
      </c>
      <c r="J204" s="152">
        <f>IF($B204=1,$H$28,IF(N(Vintage_Input!R154)&gt;0,Vintage_Input!J154/Vintage_Input!R154,""))</f>
        <v/>
      </c>
      <c r="K204" s="152">
        <f>IF($B204=1,$I$28,IF(N(Vintage_Input!S154)&gt;0,Vintage_Input!K154/Vintage_Input!S154,""))</f>
        <v/>
      </c>
      <c r="L204" s="152">
        <f>IF($B204=1,$B$29,IF(N(Vintage_Input!L154)&gt;0,Vintage_Input!T154/Vintage_Input!L154,""))</f>
        <v/>
      </c>
      <c r="M204" s="152">
        <f>IF($B204=1,$C$29,IF(N(Vintage_Input!M154)&gt;0,Vintage_Input!U154/Vintage_Input!M154,""))</f>
        <v/>
      </c>
      <c r="N204" s="152">
        <f>IF($B204=1,$D$29,IF(N(Vintage_Input!N154)&gt;0,Vintage_Input!V154/Vintage_Input!N154,""))</f>
        <v/>
      </c>
      <c r="O204" s="152">
        <f>IF($B204=1,$E$29,IF(N(Vintage_Input!O154)&gt;0,Vintage_Input!W154/Vintage_Input!O154,""))</f>
        <v/>
      </c>
      <c r="P204" s="152">
        <f>IF($B204=1,$F$29,IF(N(Vintage_Input!P154)&gt;0,Vintage_Input!X154/Vintage_Input!P154,""))</f>
        <v/>
      </c>
      <c r="Q204" s="152">
        <f>IF($B204=1,$G$29,IF(N(Vintage_Input!Q154)&gt;0,Vintage_Input!Y154/Vintage_Input!Q154,""))</f>
        <v/>
      </c>
      <c r="R204" s="152">
        <f>IF($B204=1,$H$29,IF(N(Vintage_Input!R154)&gt;0,Vintage_Input!Z154/Vintage_Input!R154,""))</f>
        <v/>
      </c>
      <c r="S204" s="152">
        <f>IF($B204=1,$I$29,IF(N(Vintage_Input!S154)&gt;0,Vintage_Input!AA154/Vintage_Input!S154,""))</f>
        <v/>
      </c>
      <c r="T204" s="152">
        <f>IF($B204=1,$B$30,IF(N(Vintage_Input!L154)&gt;0,Vintage_Input!AB154/Vintage_Input!L154,""))</f>
        <v/>
      </c>
      <c r="U204" s="152">
        <f>IF($B204=1,$C$30,IF(N(Vintage_Input!M154)&gt;0,Vintage_Input!AC154/Vintage_Input!M154,""))</f>
        <v/>
      </c>
      <c r="V204" s="152">
        <f>IF($B204=1,$D$30,IF(N(Vintage_Input!N154)&gt;0,Vintage_Input!AD154/Vintage_Input!N154,""))</f>
        <v/>
      </c>
      <c r="W204" s="152">
        <f>IF($B204=1,$E$30,IF(N(Vintage_Input!O154)&gt;0,Vintage_Input!AE154/Vintage_Input!O154,""))</f>
        <v/>
      </c>
      <c r="X204" s="152">
        <f>IF($B204=1,$F$30,IF(N(Vintage_Input!P154)&gt;0,Vintage_Input!AF154/Vintage_Input!P154,""))</f>
        <v/>
      </c>
      <c r="Y204" s="152">
        <f>IF($B204=1,$G$30,IF(N(Vintage_Input!Q154)&gt;0,Vintage_Input!AG154/Vintage_Input!Q154,""))</f>
        <v/>
      </c>
      <c r="Z204" s="152">
        <f>IF($B204=1,$H$30,IF(N(Vintage_Input!R154)&gt;0,Vintage_Input!AH154/Vintage_Input!R154,""))</f>
        <v/>
      </c>
      <c r="AA204" s="152">
        <f>IF($B204=1,$I$30,IF(N(Vintage_Input!S154)&gt;0,Vintage_Input!AI154/Vintage_Input!S154,""))</f>
        <v/>
      </c>
      <c r="AB204" s="152">
        <f>IF($B204=1,$B$31,IF(N(Vintage_Input!L154)&gt;0,Vintage_Input!AJ154/Vintage_Input!L154,""))</f>
        <v/>
      </c>
      <c r="AC204" s="152">
        <f>IF($B204=1,$C$31,IF(N(Vintage_Input!M154)&gt;0,Vintage_Input!AK154/Vintage_Input!M154,""))</f>
        <v/>
      </c>
      <c r="AD204" s="152">
        <f>IF($B204=1,$D$31,IF(N(Vintage_Input!N154)&gt;0,Vintage_Input!AL154/Vintage_Input!N154,""))</f>
        <v/>
      </c>
      <c r="AE204" s="152">
        <f>IF($B204=1,$E$31,IF(N(Vintage_Input!O154)&gt;0,Vintage_Input!AM154/Vintage_Input!O154,""))</f>
        <v/>
      </c>
      <c r="AF204" s="152">
        <f>IF($B204=1,$F$31,IF(N(Vintage_Input!P154)&gt;0,Vintage_Input!AN154/Vintage_Input!P154,""))</f>
        <v/>
      </c>
      <c r="AG204" s="152">
        <f>IF($B204=1,$G$31,IF(N(Vintage_Input!Q154)&gt;0,Vintage_Input!AO154/Vintage_Input!Q154,""))</f>
        <v/>
      </c>
      <c r="AH204" s="152">
        <f>IF($B204=1,$H$31,IF(N(Vintage_Input!R154)&gt;0,Vintage_Input!AP154/Vintage_Input!R154,""))</f>
        <v/>
      </c>
      <c r="AI204" s="152">
        <f>IF($B204=1,$I$31,IF(N(Vintage_Input!S154)&gt;0,Vintage_Input!AQ154/Vintage_Input!S154,""))</f>
        <v/>
      </c>
      <c r="AJ204" s="152">
        <f>IF($B204=1,$B$32,IF(N(Vintage_Input!L154)&gt;0,IFERROR(Vintage_Input!AR154/Vintage_Input!AJ154,""),""))</f>
        <v/>
      </c>
      <c r="AK204" s="152">
        <f>IF($B204=1,$C$32,IF(N(Vintage_Input!M154)&gt;0,IFERROR(Vintage_Input!AS154/Vintage_Input!AK154,""),""))</f>
        <v/>
      </c>
      <c r="AL204" s="152">
        <f>IF($B204=1,$D$32,IF(N(Vintage_Input!N154)&gt;0,IFERROR(Vintage_Input!AT154/Vintage_Input!AL154,""),""))</f>
        <v/>
      </c>
      <c r="AM204" s="152">
        <f>IF($B204=1,$E$32,IF(N(Vintage_Input!O154)&gt;0,IFERROR(Vintage_Input!AU154/Vintage_Input!AM154,""),""))</f>
        <v/>
      </c>
      <c r="AN204" s="152">
        <f>IF($B204=1,$F$32,IF(N(Vintage_Input!P154)&gt;0,IFERROR(Vintage_Input!AV154/Vintage_Input!AN154,""),""))</f>
        <v/>
      </c>
      <c r="AO204" s="152">
        <f>IF($B204=1,$G$32,IF(N(Vintage_Input!Q154)&gt;0,IFERROR(Vintage_Input!AW154/Vintage_Input!AO154,""),""))</f>
        <v/>
      </c>
      <c r="AP204" s="152">
        <f>IF($B204=1,$H$32,IF(N(Vintage_Input!R154)&gt;0,IFERROR(Vintage_Input!AX154/Vintage_Input!AP154,""),""))</f>
        <v/>
      </c>
      <c r="AQ204" s="152">
        <f>IF($B204=1,$I$32,IF(N(Vintage_Input!S154)&gt;0,IFERROR(Vintage_Input!AY154/Vintage_Input!AQ154,""),""))</f>
        <v/>
      </c>
      <c r="AR204" s="152">
        <f>IF($B204=1,$B$33,IF(N(Vintage_Input!L154)&gt;0,IFERROR(Vintage_Input!AZ154/$C204,""),""))</f>
        <v/>
      </c>
      <c r="AS204" s="152">
        <f>IF($B204=1,$C$33,IF(N(Vintage_Input!M154)&gt;0,IFERROR(Vintage_Input!BA154/$C204,""),""))</f>
        <v/>
      </c>
      <c r="AT204" s="152">
        <f>IF($B204=1,$D$33,IF(N(Vintage_Input!N154)&gt;0,IFERROR(Vintage_Input!BB154/$C204,""),""))</f>
        <v/>
      </c>
      <c r="AU204" s="152">
        <f>IF($B204=1,$E$33,IF(N(Vintage_Input!O154)&gt;0,IFERROR(Vintage_Input!BC154/$C204,""),""))</f>
        <v/>
      </c>
      <c r="AV204" s="152">
        <f>IF($B204=1,$F$33,IF(N(Vintage_Input!P154)&gt;0,IFERROR(Vintage_Input!BD154/$C204,""),""))</f>
        <v/>
      </c>
      <c r="AW204" s="152">
        <f>IF($B204=1,$G$33,IF(N(Vintage_Input!Q154)&gt;0,IFERROR(Vintage_Input!BE154/$C204,""),""))</f>
        <v/>
      </c>
      <c r="AX204" s="152">
        <f>IF($B204=1,$H$33,IF(N(Vintage_Input!R154)&gt;0,IFERROR(Vintage_Input!BF154/$C204,""),""))</f>
        <v/>
      </c>
      <c r="AY204" s="152">
        <f>IF($B204=1,$I$33,IF(N(Vintage_Input!S154)&gt;0,IFERROR(Vintage_Input!BG154/$C204,""),""))</f>
        <v/>
      </c>
      <c r="AZ204" s="153">
        <f>IF($B204=1,$B$34,IF(N(Vintage_Input!L154)&gt;0,IFERROR((Vintage_Input!D154+Vintage_Input!AR154)/$C204+Products!$E$14-(Products!$E$43+Products!$E$19+Products!$E$43*Products!$E$22+Products!$E$44),""),""))</f>
        <v/>
      </c>
      <c r="BA204" s="153">
        <f>IF($B204=1,$C$34,IF(N(Vintage_Input!M154)&gt;0,IFERROR((Vintage_Input!E154+Vintage_Input!AS154)/$C204+Products!$E$14-(Products!$E$43+Products!$E$19+Products!$E$43*Products!$E$22+Products!$E$44),""),""))</f>
        <v/>
      </c>
      <c r="BB204" s="153">
        <f>IF($B204=1,$D$34,IF(N(Vintage_Input!N154)&gt;0,IFERROR((Vintage_Input!F154+Vintage_Input!AT154)/$C204+Products!$E$14-(Products!$E$43+Products!$E$19+Products!$E$43*Products!$E$22+Products!$E$44),""),""))</f>
        <v/>
      </c>
      <c r="BC204" s="153">
        <f>IF($B204=1,$E$34,IF(N(Vintage_Input!O154)&gt;0,IFERROR((Vintage_Input!G154+Vintage_Input!AU154)/$C204+Products!$E$14-(Products!$E$43+Products!$E$19+Products!$E$43*Products!$E$22+Products!$E$44),""),""))</f>
        <v/>
      </c>
      <c r="BD204" s="153">
        <f>IF($B204=1,$F$34,IF(N(Vintage_Input!P154)&gt;0,IFERROR((Vintage_Input!H154+Vintage_Input!AV154)/$C204+Products!$E$14-(Products!$E$43+Products!$E$19+Products!$E$43*Products!$E$22+Products!$E$44),""),""))</f>
        <v/>
      </c>
      <c r="BE204" s="153">
        <f>IF($B204=1,$G$34,IF(N(Vintage_Input!Q154)&gt;0,IFERROR((Vintage_Input!I154+Vintage_Input!AW154)/$C204+Products!$E$14-(Products!$E$43+Products!$E$19+Products!$E$43*Products!$E$22+Products!$E$44),""),""))</f>
        <v/>
      </c>
      <c r="BF204" s="153">
        <f>IF($B204=1,$H$34,IF(N(Vintage_Input!R154)&gt;0,IFERROR((Vintage_Input!J154+Vintage_Input!AX154)/$C204+Products!$E$14-(Products!$E$43+Products!$E$19+Products!$E$43*Products!$E$22+Products!$E$44),""),""))</f>
        <v/>
      </c>
      <c r="BG204" s="153">
        <f>IF($B204=1,$I$34,IF(N(Vintage_Input!S154)&gt;0,IFERROR((Vintage_Input!K154+Vintage_Input!AY154)/$C204+Products!$E$14-(Products!$E$43+Products!$E$19+Products!$E$43*Products!$E$22+Products!$E$44),""),""))</f>
        <v/>
      </c>
      <c r="BH204" s="81">
        <f>IF($B204=1,0,IF(Vintage_Input!$BH$154="","",Vintage_Input!$BH$154))</f>
        <v/>
      </c>
    </row>
    <row r="205">
      <c r="A205" s="23" t="n">
        <v>17</v>
      </c>
      <c r="B205" s="48">
        <f>Vintage_Input!$B$155</f>
        <v/>
      </c>
      <c r="C205" s="41">
        <f>IF(Vintage_Input!$C$155="",0,Vintage_Input!$C$155)</f>
        <v/>
      </c>
      <c r="D205" s="152">
        <f>IF($B205=1,$B$28,IF(N(Vintage_Input!L155)&gt;0,Vintage_Input!D155/Vintage_Input!L155,""))</f>
        <v/>
      </c>
      <c r="E205" s="152">
        <f>IF($B205=1,$C$28,IF(N(Vintage_Input!M155)&gt;0,Vintage_Input!E155/Vintage_Input!M155,""))</f>
        <v/>
      </c>
      <c r="F205" s="152">
        <f>IF($B205=1,$D$28,IF(N(Vintage_Input!N155)&gt;0,Vintage_Input!F155/Vintage_Input!N155,""))</f>
        <v/>
      </c>
      <c r="G205" s="152">
        <f>IF($B205=1,$E$28,IF(N(Vintage_Input!O155)&gt;0,Vintage_Input!G155/Vintage_Input!O155,""))</f>
        <v/>
      </c>
      <c r="H205" s="152">
        <f>IF($B205=1,$F$28,IF(N(Vintage_Input!P155)&gt;0,Vintage_Input!H155/Vintage_Input!P155,""))</f>
        <v/>
      </c>
      <c r="I205" s="152">
        <f>IF($B205=1,$G$28,IF(N(Vintage_Input!Q155)&gt;0,Vintage_Input!I155/Vintage_Input!Q155,""))</f>
        <v/>
      </c>
      <c r="J205" s="152">
        <f>IF($B205=1,$H$28,IF(N(Vintage_Input!R155)&gt;0,Vintage_Input!J155/Vintage_Input!R155,""))</f>
        <v/>
      </c>
      <c r="K205" s="152">
        <f>IF($B205=1,$I$28,IF(N(Vintage_Input!S155)&gt;0,Vintage_Input!K155/Vintage_Input!S155,""))</f>
        <v/>
      </c>
      <c r="L205" s="152">
        <f>IF($B205=1,$B$29,IF(N(Vintage_Input!L155)&gt;0,Vintage_Input!T155/Vintage_Input!L155,""))</f>
        <v/>
      </c>
      <c r="M205" s="152">
        <f>IF($B205=1,$C$29,IF(N(Vintage_Input!M155)&gt;0,Vintage_Input!U155/Vintage_Input!M155,""))</f>
        <v/>
      </c>
      <c r="N205" s="152">
        <f>IF($B205=1,$D$29,IF(N(Vintage_Input!N155)&gt;0,Vintage_Input!V155/Vintage_Input!N155,""))</f>
        <v/>
      </c>
      <c r="O205" s="152">
        <f>IF($B205=1,$E$29,IF(N(Vintage_Input!O155)&gt;0,Vintage_Input!W155/Vintage_Input!O155,""))</f>
        <v/>
      </c>
      <c r="P205" s="152">
        <f>IF($B205=1,$F$29,IF(N(Vintage_Input!P155)&gt;0,Vintage_Input!X155/Vintage_Input!P155,""))</f>
        <v/>
      </c>
      <c r="Q205" s="152">
        <f>IF($B205=1,$G$29,IF(N(Vintage_Input!Q155)&gt;0,Vintage_Input!Y155/Vintage_Input!Q155,""))</f>
        <v/>
      </c>
      <c r="R205" s="152">
        <f>IF($B205=1,$H$29,IF(N(Vintage_Input!R155)&gt;0,Vintage_Input!Z155/Vintage_Input!R155,""))</f>
        <v/>
      </c>
      <c r="S205" s="152">
        <f>IF($B205=1,$I$29,IF(N(Vintage_Input!S155)&gt;0,Vintage_Input!AA155/Vintage_Input!S155,""))</f>
        <v/>
      </c>
      <c r="T205" s="152">
        <f>IF($B205=1,$B$30,IF(N(Vintage_Input!L155)&gt;0,Vintage_Input!AB155/Vintage_Input!L155,""))</f>
        <v/>
      </c>
      <c r="U205" s="152">
        <f>IF($B205=1,$C$30,IF(N(Vintage_Input!M155)&gt;0,Vintage_Input!AC155/Vintage_Input!M155,""))</f>
        <v/>
      </c>
      <c r="V205" s="152">
        <f>IF($B205=1,$D$30,IF(N(Vintage_Input!N155)&gt;0,Vintage_Input!AD155/Vintage_Input!N155,""))</f>
        <v/>
      </c>
      <c r="W205" s="152">
        <f>IF($B205=1,$E$30,IF(N(Vintage_Input!O155)&gt;0,Vintage_Input!AE155/Vintage_Input!O155,""))</f>
        <v/>
      </c>
      <c r="X205" s="152">
        <f>IF($B205=1,$F$30,IF(N(Vintage_Input!P155)&gt;0,Vintage_Input!AF155/Vintage_Input!P155,""))</f>
        <v/>
      </c>
      <c r="Y205" s="152">
        <f>IF($B205=1,$G$30,IF(N(Vintage_Input!Q155)&gt;0,Vintage_Input!AG155/Vintage_Input!Q155,""))</f>
        <v/>
      </c>
      <c r="Z205" s="152">
        <f>IF($B205=1,$H$30,IF(N(Vintage_Input!R155)&gt;0,Vintage_Input!AH155/Vintage_Input!R155,""))</f>
        <v/>
      </c>
      <c r="AA205" s="152">
        <f>IF($B205=1,$I$30,IF(N(Vintage_Input!S155)&gt;0,Vintage_Input!AI155/Vintage_Input!S155,""))</f>
        <v/>
      </c>
      <c r="AB205" s="152">
        <f>IF($B205=1,$B$31,IF(N(Vintage_Input!L155)&gt;0,Vintage_Input!AJ155/Vintage_Input!L155,""))</f>
        <v/>
      </c>
      <c r="AC205" s="152">
        <f>IF($B205=1,$C$31,IF(N(Vintage_Input!M155)&gt;0,Vintage_Input!AK155/Vintage_Input!M155,""))</f>
        <v/>
      </c>
      <c r="AD205" s="152">
        <f>IF($B205=1,$D$31,IF(N(Vintage_Input!N155)&gt;0,Vintage_Input!AL155/Vintage_Input!N155,""))</f>
        <v/>
      </c>
      <c r="AE205" s="152">
        <f>IF($B205=1,$E$31,IF(N(Vintage_Input!O155)&gt;0,Vintage_Input!AM155/Vintage_Input!O155,""))</f>
        <v/>
      </c>
      <c r="AF205" s="152">
        <f>IF($B205=1,$F$31,IF(N(Vintage_Input!P155)&gt;0,Vintage_Input!AN155/Vintage_Input!P155,""))</f>
        <v/>
      </c>
      <c r="AG205" s="152">
        <f>IF($B205=1,$G$31,IF(N(Vintage_Input!Q155)&gt;0,Vintage_Input!AO155/Vintage_Input!Q155,""))</f>
        <v/>
      </c>
      <c r="AH205" s="152">
        <f>IF($B205=1,$H$31,IF(N(Vintage_Input!R155)&gt;0,Vintage_Input!AP155/Vintage_Input!R155,""))</f>
        <v/>
      </c>
      <c r="AI205" s="152">
        <f>IF($B205=1,$I$31,IF(N(Vintage_Input!S155)&gt;0,Vintage_Input!AQ155/Vintage_Input!S155,""))</f>
        <v/>
      </c>
      <c r="AJ205" s="152">
        <f>IF($B205=1,$B$32,IF(N(Vintage_Input!L155)&gt;0,IFERROR(Vintage_Input!AR155/Vintage_Input!AJ155,""),""))</f>
        <v/>
      </c>
      <c r="AK205" s="152">
        <f>IF($B205=1,$C$32,IF(N(Vintage_Input!M155)&gt;0,IFERROR(Vintage_Input!AS155/Vintage_Input!AK155,""),""))</f>
        <v/>
      </c>
      <c r="AL205" s="152">
        <f>IF($B205=1,$D$32,IF(N(Vintage_Input!N155)&gt;0,IFERROR(Vintage_Input!AT155/Vintage_Input!AL155,""),""))</f>
        <v/>
      </c>
      <c r="AM205" s="152">
        <f>IF($B205=1,$E$32,IF(N(Vintage_Input!O155)&gt;0,IFERROR(Vintage_Input!AU155/Vintage_Input!AM155,""),""))</f>
        <v/>
      </c>
      <c r="AN205" s="152">
        <f>IF($B205=1,$F$32,IF(N(Vintage_Input!P155)&gt;0,IFERROR(Vintage_Input!AV155/Vintage_Input!AN155,""),""))</f>
        <v/>
      </c>
      <c r="AO205" s="152">
        <f>IF($B205=1,$G$32,IF(N(Vintage_Input!Q155)&gt;0,IFERROR(Vintage_Input!AW155/Vintage_Input!AO155,""),""))</f>
        <v/>
      </c>
      <c r="AP205" s="152">
        <f>IF($B205=1,$H$32,IF(N(Vintage_Input!R155)&gt;0,IFERROR(Vintage_Input!AX155/Vintage_Input!AP155,""),""))</f>
        <v/>
      </c>
      <c r="AQ205" s="152">
        <f>IF($B205=1,$I$32,IF(N(Vintage_Input!S155)&gt;0,IFERROR(Vintage_Input!AY155/Vintage_Input!AQ155,""),""))</f>
        <v/>
      </c>
      <c r="AR205" s="152">
        <f>IF($B205=1,$B$33,IF(N(Vintage_Input!L155)&gt;0,IFERROR(Vintage_Input!AZ155/$C205,""),""))</f>
        <v/>
      </c>
      <c r="AS205" s="152">
        <f>IF($B205=1,$C$33,IF(N(Vintage_Input!M155)&gt;0,IFERROR(Vintage_Input!BA155/$C205,""),""))</f>
        <v/>
      </c>
      <c r="AT205" s="152">
        <f>IF($B205=1,$D$33,IF(N(Vintage_Input!N155)&gt;0,IFERROR(Vintage_Input!BB155/$C205,""),""))</f>
        <v/>
      </c>
      <c r="AU205" s="152">
        <f>IF($B205=1,$E$33,IF(N(Vintage_Input!O155)&gt;0,IFERROR(Vintage_Input!BC155/$C205,""),""))</f>
        <v/>
      </c>
      <c r="AV205" s="152">
        <f>IF($B205=1,$F$33,IF(N(Vintage_Input!P155)&gt;0,IFERROR(Vintage_Input!BD155/$C205,""),""))</f>
        <v/>
      </c>
      <c r="AW205" s="152">
        <f>IF($B205=1,$G$33,IF(N(Vintage_Input!Q155)&gt;0,IFERROR(Vintage_Input!BE155/$C205,""),""))</f>
        <v/>
      </c>
      <c r="AX205" s="152">
        <f>IF($B205=1,$H$33,IF(N(Vintage_Input!R155)&gt;0,IFERROR(Vintage_Input!BF155/$C205,""),""))</f>
        <v/>
      </c>
      <c r="AY205" s="152">
        <f>IF($B205=1,$I$33,IF(N(Vintage_Input!S155)&gt;0,IFERROR(Vintage_Input!BG155/$C205,""),""))</f>
        <v/>
      </c>
      <c r="AZ205" s="153">
        <f>IF($B205=1,$B$34,IF(N(Vintage_Input!L155)&gt;0,IFERROR((Vintage_Input!D155+Vintage_Input!AR155)/$C205+Products!$E$14-(Products!$E$43+Products!$E$19+Products!$E$43*Products!$E$22+Products!$E$44),""),""))</f>
        <v/>
      </c>
      <c r="BA205" s="153">
        <f>IF($B205=1,$C$34,IF(N(Vintage_Input!M155)&gt;0,IFERROR((Vintage_Input!E155+Vintage_Input!AS155)/$C205+Products!$E$14-(Products!$E$43+Products!$E$19+Products!$E$43*Products!$E$22+Products!$E$44),""),""))</f>
        <v/>
      </c>
      <c r="BB205" s="153">
        <f>IF($B205=1,$D$34,IF(N(Vintage_Input!N155)&gt;0,IFERROR((Vintage_Input!F155+Vintage_Input!AT155)/$C205+Products!$E$14-(Products!$E$43+Products!$E$19+Products!$E$43*Products!$E$22+Products!$E$44),""),""))</f>
        <v/>
      </c>
      <c r="BC205" s="153">
        <f>IF($B205=1,$E$34,IF(N(Vintage_Input!O155)&gt;0,IFERROR((Vintage_Input!G155+Vintage_Input!AU155)/$C205+Products!$E$14-(Products!$E$43+Products!$E$19+Products!$E$43*Products!$E$22+Products!$E$44),""),""))</f>
        <v/>
      </c>
      <c r="BD205" s="153">
        <f>IF($B205=1,$F$34,IF(N(Vintage_Input!P155)&gt;0,IFERROR((Vintage_Input!H155+Vintage_Input!AV155)/$C205+Products!$E$14-(Products!$E$43+Products!$E$19+Products!$E$43*Products!$E$22+Products!$E$44),""),""))</f>
        <v/>
      </c>
      <c r="BE205" s="153">
        <f>IF($B205=1,$G$34,IF(N(Vintage_Input!Q155)&gt;0,IFERROR((Vintage_Input!I155+Vintage_Input!AW155)/$C205+Products!$E$14-(Products!$E$43+Products!$E$19+Products!$E$43*Products!$E$22+Products!$E$44),""),""))</f>
        <v/>
      </c>
      <c r="BF205" s="153">
        <f>IF($B205=1,$H$34,IF(N(Vintage_Input!R155)&gt;0,IFERROR((Vintage_Input!J155+Vintage_Input!AX155)/$C205+Products!$E$14-(Products!$E$43+Products!$E$19+Products!$E$43*Products!$E$22+Products!$E$44),""),""))</f>
        <v/>
      </c>
      <c r="BG205" s="153">
        <f>IF($B205=1,$I$34,IF(N(Vintage_Input!S155)&gt;0,IFERROR((Vintage_Input!K155+Vintage_Input!AY155)/$C205+Products!$E$14-(Products!$E$43+Products!$E$19+Products!$E$43*Products!$E$22+Products!$E$44),""),""))</f>
        <v/>
      </c>
      <c r="BH205" s="81">
        <f>IF($B205=1,0,IF(Vintage_Input!$BH$155="","",Vintage_Input!$BH$155))</f>
        <v/>
      </c>
    </row>
    <row r="206">
      <c r="A206" s="23" t="n">
        <v>18</v>
      </c>
      <c r="B206" s="48">
        <f>Vintage_Input!$B$156</f>
        <v/>
      </c>
      <c r="C206" s="41">
        <f>IF(Vintage_Input!$C$156="",0,Vintage_Input!$C$156)</f>
        <v/>
      </c>
      <c r="D206" s="152">
        <f>IF($B206=1,$B$28,IF(N(Vintage_Input!L156)&gt;0,Vintage_Input!D156/Vintage_Input!L156,""))</f>
        <v/>
      </c>
      <c r="E206" s="152">
        <f>IF($B206=1,$C$28,IF(N(Vintage_Input!M156)&gt;0,Vintage_Input!E156/Vintage_Input!M156,""))</f>
        <v/>
      </c>
      <c r="F206" s="152">
        <f>IF($B206=1,$D$28,IF(N(Vintage_Input!N156)&gt;0,Vintage_Input!F156/Vintage_Input!N156,""))</f>
        <v/>
      </c>
      <c r="G206" s="152">
        <f>IF($B206=1,$E$28,IF(N(Vintage_Input!O156)&gt;0,Vintage_Input!G156/Vintage_Input!O156,""))</f>
        <v/>
      </c>
      <c r="H206" s="152">
        <f>IF($B206=1,$F$28,IF(N(Vintage_Input!P156)&gt;0,Vintage_Input!H156/Vintage_Input!P156,""))</f>
        <v/>
      </c>
      <c r="I206" s="152">
        <f>IF($B206=1,$G$28,IF(N(Vintage_Input!Q156)&gt;0,Vintage_Input!I156/Vintage_Input!Q156,""))</f>
        <v/>
      </c>
      <c r="J206" s="152">
        <f>IF($B206=1,$H$28,IF(N(Vintage_Input!R156)&gt;0,Vintage_Input!J156/Vintage_Input!R156,""))</f>
        <v/>
      </c>
      <c r="K206" s="152">
        <f>IF($B206=1,$I$28,IF(N(Vintage_Input!S156)&gt;0,Vintage_Input!K156/Vintage_Input!S156,""))</f>
        <v/>
      </c>
      <c r="L206" s="152">
        <f>IF($B206=1,$B$29,IF(N(Vintage_Input!L156)&gt;0,Vintage_Input!T156/Vintage_Input!L156,""))</f>
        <v/>
      </c>
      <c r="M206" s="152">
        <f>IF($B206=1,$C$29,IF(N(Vintage_Input!M156)&gt;0,Vintage_Input!U156/Vintage_Input!M156,""))</f>
        <v/>
      </c>
      <c r="N206" s="152">
        <f>IF($B206=1,$D$29,IF(N(Vintage_Input!N156)&gt;0,Vintage_Input!V156/Vintage_Input!N156,""))</f>
        <v/>
      </c>
      <c r="O206" s="152">
        <f>IF($B206=1,$E$29,IF(N(Vintage_Input!O156)&gt;0,Vintage_Input!W156/Vintage_Input!O156,""))</f>
        <v/>
      </c>
      <c r="P206" s="152">
        <f>IF($B206=1,$F$29,IF(N(Vintage_Input!P156)&gt;0,Vintage_Input!X156/Vintage_Input!P156,""))</f>
        <v/>
      </c>
      <c r="Q206" s="152">
        <f>IF($B206=1,$G$29,IF(N(Vintage_Input!Q156)&gt;0,Vintage_Input!Y156/Vintage_Input!Q156,""))</f>
        <v/>
      </c>
      <c r="R206" s="152">
        <f>IF($B206=1,$H$29,IF(N(Vintage_Input!R156)&gt;0,Vintage_Input!Z156/Vintage_Input!R156,""))</f>
        <v/>
      </c>
      <c r="S206" s="152">
        <f>IF($B206=1,$I$29,IF(N(Vintage_Input!S156)&gt;0,Vintage_Input!AA156/Vintage_Input!S156,""))</f>
        <v/>
      </c>
      <c r="T206" s="152">
        <f>IF($B206=1,$B$30,IF(N(Vintage_Input!L156)&gt;0,Vintage_Input!AB156/Vintage_Input!L156,""))</f>
        <v/>
      </c>
      <c r="U206" s="152">
        <f>IF($B206=1,$C$30,IF(N(Vintage_Input!M156)&gt;0,Vintage_Input!AC156/Vintage_Input!M156,""))</f>
        <v/>
      </c>
      <c r="V206" s="152">
        <f>IF($B206=1,$D$30,IF(N(Vintage_Input!N156)&gt;0,Vintage_Input!AD156/Vintage_Input!N156,""))</f>
        <v/>
      </c>
      <c r="W206" s="152">
        <f>IF($B206=1,$E$30,IF(N(Vintage_Input!O156)&gt;0,Vintage_Input!AE156/Vintage_Input!O156,""))</f>
        <v/>
      </c>
      <c r="X206" s="152">
        <f>IF($B206=1,$F$30,IF(N(Vintage_Input!P156)&gt;0,Vintage_Input!AF156/Vintage_Input!P156,""))</f>
        <v/>
      </c>
      <c r="Y206" s="152">
        <f>IF($B206=1,$G$30,IF(N(Vintage_Input!Q156)&gt;0,Vintage_Input!AG156/Vintage_Input!Q156,""))</f>
        <v/>
      </c>
      <c r="Z206" s="152">
        <f>IF($B206=1,$H$30,IF(N(Vintage_Input!R156)&gt;0,Vintage_Input!AH156/Vintage_Input!R156,""))</f>
        <v/>
      </c>
      <c r="AA206" s="152">
        <f>IF($B206=1,$I$30,IF(N(Vintage_Input!S156)&gt;0,Vintage_Input!AI156/Vintage_Input!S156,""))</f>
        <v/>
      </c>
      <c r="AB206" s="152">
        <f>IF($B206=1,$B$31,IF(N(Vintage_Input!L156)&gt;0,Vintage_Input!AJ156/Vintage_Input!L156,""))</f>
        <v/>
      </c>
      <c r="AC206" s="152">
        <f>IF($B206=1,$C$31,IF(N(Vintage_Input!M156)&gt;0,Vintage_Input!AK156/Vintage_Input!M156,""))</f>
        <v/>
      </c>
      <c r="AD206" s="152">
        <f>IF($B206=1,$D$31,IF(N(Vintage_Input!N156)&gt;0,Vintage_Input!AL156/Vintage_Input!N156,""))</f>
        <v/>
      </c>
      <c r="AE206" s="152">
        <f>IF($B206=1,$E$31,IF(N(Vintage_Input!O156)&gt;0,Vintage_Input!AM156/Vintage_Input!O156,""))</f>
        <v/>
      </c>
      <c r="AF206" s="152">
        <f>IF($B206=1,$F$31,IF(N(Vintage_Input!P156)&gt;0,Vintage_Input!AN156/Vintage_Input!P156,""))</f>
        <v/>
      </c>
      <c r="AG206" s="152">
        <f>IF($B206=1,$G$31,IF(N(Vintage_Input!Q156)&gt;0,Vintage_Input!AO156/Vintage_Input!Q156,""))</f>
        <v/>
      </c>
      <c r="AH206" s="152">
        <f>IF($B206=1,$H$31,IF(N(Vintage_Input!R156)&gt;0,Vintage_Input!AP156/Vintage_Input!R156,""))</f>
        <v/>
      </c>
      <c r="AI206" s="152">
        <f>IF($B206=1,$I$31,IF(N(Vintage_Input!S156)&gt;0,Vintage_Input!AQ156/Vintage_Input!S156,""))</f>
        <v/>
      </c>
      <c r="AJ206" s="152">
        <f>IF($B206=1,$B$32,IF(N(Vintage_Input!L156)&gt;0,IFERROR(Vintage_Input!AR156/Vintage_Input!AJ156,""),""))</f>
        <v/>
      </c>
      <c r="AK206" s="152">
        <f>IF($B206=1,$C$32,IF(N(Vintage_Input!M156)&gt;0,IFERROR(Vintage_Input!AS156/Vintage_Input!AK156,""),""))</f>
        <v/>
      </c>
      <c r="AL206" s="152">
        <f>IF($B206=1,$D$32,IF(N(Vintage_Input!N156)&gt;0,IFERROR(Vintage_Input!AT156/Vintage_Input!AL156,""),""))</f>
        <v/>
      </c>
      <c r="AM206" s="152">
        <f>IF($B206=1,$E$32,IF(N(Vintage_Input!O156)&gt;0,IFERROR(Vintage_Input!AU156/Vintage_Input!AM156,""),""))</f>
        <v/>
      </c>
      <c r="AN206" s="152">
        <f>IF($B206=1,$F$32,IF(N(Vintage_Input!P156)&gt;0,IFERROR(Vintage_Input!AV156/Vintage_Input!AN156,""),""))</f>
        <v/>
      </c>
      <c r="AO206" s="152">
        <f>IF($B206=1,$G$32,IF(N(Vintage_Input!Q156)&gt;0,IFERROR(Vintage_Input!AW156/Vintage_Input!AO156,""),""))</f>
        <v/>
      </c>
      <c r="AP206" s="152">
        <f>IF($B206=1,$H$32,IF(N(Vintage_Input!R156)&gt;0,IFERROR(Vintage_Input!AX156/Vintage_Input!AP156,""),""))</f>
        <v/>
      </c>
      <c r="AQ206" s="152">
        <f>IF($B206=1,$I$32,IF(N(Vintage_Input!S156)&gt;0,IFERROR(Vintage_Input!AY156/Vintage_Input!AQ156,""),""))</f>
        <v/>
      </c>
      <c r="AR206" s="152">
        <f>IF($B206=1,$B$33,IF(N(Vintage_Input!L156)&gt;0,IFERROR(Vintage_Input!AZ156/$C206,""),""))</f>
        <v/>
      </c>
      <c r="AS206" s="152">
        <f>IF($B206=1,$C$33,IF(N(Vintage_Input!M156)&gt;0,IFERROR(Vintage_Input!BA156/$C206,""),""))</f>
        <v/>
      </c>
      <c r="AT206" s="152">
        <f>IF($B206=1,$D$33,IF(N(Vintage_Input!N156)&gt;0,IFERROR(Vintage_Input!BB156/$C206,""),""))</f>
        <v/>
      </c>
      <c r="AU206" s="152">
        <f>IF($B206=1,$E$33,IF(N(Vintage_Input!O156)&gt;0,IFERROR(Vintage_Input!BC156/$C206,""),""))</f>
        <v/>
      </c>
      <c r="AV206" s="152">
        <f>IF($B206=1,$F$33,IF(N(Vintage_Input!P156)&gt;0,IFERROR(Vintage_Input!BD156/$C206,""),""))</f>
        <v/>
      </c>
      <c r="AW206" s="152">
        <f>IF($B206=1,$G$33,IF(N(Vintage_Input!Q156)&gt;0,IFERROR(Vintage_Input!BE156/$C206,""),""))</f>
        <v/>
      </c>
      <c r="AX206" s="152">
        <f>IF($B206=1,$H$33,IF(N(Vintage_Input!R156)&gt;0,IFERROR(Vintage_Input!BF156/$C206,""),""))</f>
        <v/>
      </c>
      <c r="AY206" s="152">
        <f>IF($B206=1,$I$33,IF(N(Vintage_Input!S156)&gt;0,IFERROR(Vintage_Input!BG156/$C206,""),""))</f>
        <v/>
      </c>
      <c r="AZ206" s="153">
        <f>IF($B206=1,$B$34,IF(N(Vintage_Input!L156)&gt;0,IFERROR((Vintage_Input!D156+Vintage_Input!AR156)/$C206+Products!$E$14-(Products!$E$43+Products!$E$19+Products!$E$43*Products!$E$22+Products!$E$44),""),""))</f>
        <v/>
      </c>
      <c r="BA206" s="153">
        <f>IF($B206=1,$C$34,IF(N(Vintage_Input!M156)&gt;0,IFERROR((Vintage_Input!E156+Vintage_Input!AS156)/$C206+Products!$E$14-(Products!$E$43+Products!$E$19+Products!$E$43*Products!$E$22+Products!$E$44),""),""))</f>
        <v/>
      </c>
      <c r="BB206" s="153">
        <f>IF($B206=1,$D$34,IF(N(Vintage_Input!N156)&gt;0,IFERROR((Vintage_Input!F156+Vintage_Input!AT156)/$C206+Products!$E$14-(Products!$E$43+Products!$E$19+Products!$E$43*Products!$E$22+Products!$E$44),""),""))</f>
        <v/>
      </c>
      <c r="BC206" s="153">
        <f>IF($B206=1,$E$34,IF(N(Vintage_Input!O156)&gt;0,IFERROR((Vintage_Input!G156+Vintage_Input!AU156)/$C206+Products!$E$14-(Products!$E$43+Products!$E$19+Products!$E$43*Products!$E$22+Products!$E$44),""),""))</f>
        <v/>
      </c>
      <c r="BD206" s="153">
        <f>IF($B206=1,$F$34,IF(N(Vintage_Input!P156)&gt;0,IFERROR((Vintage_Input!H156+Vintage_Input!AV156)/$C206+Products!$E$14-(Products!$E$43+Products!$E$19+Products!$E$43*Products!$E$22+Products!$E$44),""),""))</f>
        <v/>
      </c>
      <c r="BE206" s="153">
        <f>IF($B206=1,$G$34,IF(N(Vintage_Input!Q156)&gt;0,IFERROR((Vintage_Input!I156+Vintage_Input!AW156)/$C206+Products!$E$14-(Products!$E$43+Products!$E$19+Products!$E$43*Products!$E$22+Products!$E$44),""),""))</f>
        <v/>
      </c>
      <c r="BF206" s="153">
        <f>IF($B206=1,$H$34,IF(N(Vintage_Input!R156)&gt;0,IFERROR((Vintage_Input!J156+Vintage_Input!AX156)/$C206+Products!$E$14-(Products!$E$43+Products!$E$19+Products!$E$43*Products!$E$22+Products!$E$44),""),""))</f>
        <v/>
      </c>
      <c r="BG206" s="153">
        <f>IF($B206=1,$I$34,IF(N(Vintage_Input!S156)&gt;0,IFERROR((Vintage_Input!K156+Vintage_Input!AY156)/$C206+Products!$E$14-(Products!$E$43+Products!$E$19+Products!$E$43*Products!$E$22+Products!$E$44),""),""))</f>
        <v/>
      </c>
      <c r="BH206" s="81">
        <f>IF($B206=1,0,IF(Vintage_Input!$BH$156="","",Vintage_Input!$BH$156))</f>
        <v/>
      </c>
    </row>
    <row r="207">
      <c r="A207" s="23" t="n">
        <v>19</v>
      </c>
      <c r="B207" s="48">
        <f>Vintage_Input!$B$157</f>
        <v/>
      </c>
      <c r="C207" s="41">
        <f>IF(Vintage_Input!$C$157="",0,Vintage_Input!$C$157)</f>
        <v/>
      </c>
      <c r="D207" s="152">
        <f>IF($B207=1,$B$28,IF(N(Vintage_Input!L157)&gt;0,Vintage_Input!D157/Vintage_Input!L157,""))</f>
        <v/>
      </c>
      <c r="E207" s="152">
        <f>IF($B207=1,$C$28,IF(N(Vintage_Input!M157)&gt;0,Vintage_Input!E157/Vintage_Input!M157,""))</f>
        <v/>
      </c>
      <c r="F207" s="152">
        <f>IF($B207=1,$D$28,IF(N(Vintage_Input!N157)&gt;0,Vintage_Input!F157/Vintage_Input!N157,""))</f>
        <v/>
      </c>
      <c r="G207" s="152">
        <f>IF($B207=1,$E$28,IF(N(Vintage_Input!O157)&gt;0,Vintage_Input!G157/Vintage_Input!O157,""))</f>
        <v/>
      </c>
      <c r="H207" s="152">
        <f>IF($B207=1,$F$28,IF(N(Vintage_Input!P157)&gt;0,Vintage_Input!H157/Vintage_Input!P157,""))</f>
        <v/>
      </c>
      <c r="I207" s="152">
        <f>IF($B207=1,$G$28,IF(N(Vintage_Input!Q157)&gt;0,Vintage_Input!I157/Vintage_Input!Q157,""))</f>
        <v/>
      </c>
      <c r="J207" s="152">
        <f>IF($B207=1,$H$28,IF(N(Vintage_Input!R157)&gt;0,Vintage_Input!J157/Vintage_Input!R157,""))</f>
        <v/>
      </c>
      <c r="K207" s="152">
        <f>IF($B207=1,$I$28,IF(N(Vintage_Input!S157)&gt;0,Vintage_Input!K157/Vintage_Input!S157,""))</f>
        <v/>
      </c>
      <c r="L207" s="152">
        <f>IF($B207=1,$B$29,IF(N(Vintage_Input!L157)&gt;0,Vintage_Input!T157/Vintage_Input!L157,""))</f>
        <v/>
      </c>
      <c r="M207" s="152">
        <f>IF($B207=1,$C$29,IF(N(Vintage_Input!M157)&gt;0,Vintage_Input!U157/Vintage_Input!M157,""))</f>
        <v/>
      </c>
      <c r="N207" s="152">
        <f>IF($B207=1,$D$29,IF(N(Vintage_Input!N157)&gt;0,Vintage_Input!V157/Vintage_Input!N157,""))</f>
        <v/>
      </c>
      <c r="O207" s="152">
        <f>IF($B207=1,$E$29,IF(N(Vintage_Input!O157)&gt;0,Vintage_Input!W157/Vintage_Input!O157,""))</f>
        <v/>
      </c>
      <c r="P207" s="152">
        <f>IF($B207=1,$F$29,IF(N(Vintage_Input!P157)&gt;0,Vintage_Input!X157/Vintage_Input!P157,""))</f>
        <v/>
      </c>
      <c r="Q207" s="152">
        <f>IF($B207=1,$G$29,IF(N(Vintage_Input!Q157)&gt;0,Vintage_Input!Y157/Vintage_Input!Q157,""))</f>
        <v/>
      </c>
      <c r="R207" s="152">
        <f>IF($B207=1,$H$29,IF(N(Vintage_Input!R157)&gt;0,Vintage_Input!Z157/Vintage_Input!R157,""))</f>
        <v/>
      </c>
      <c r="S207" s="152">
        <f>IF($B207=1,$I$29,IF(N(Vintage_Input!S157)&gt;0,Vintage_Input!AA157/Vintage_Input!S157,""))</f>
        <v/>
      </c>
      <c r="T207" s="152">
        <f>IF($B207=1,$B$30,IF(N(Vintage_Input!L157)&gt;0,Vintage_Input!AB157/Vintage_Input!L157,""))</f>
        <v/>
      </c>
      <c r="U207" s="152">
        <f>IF($B207=1,$C$30,IF(N(Vintage_Input!M157)&gt;0,Vintage_Input!AC157/Vintage_Input!M157,""))</f>
        <v/>
      </c>
      <c r="V207" s="152">
        <f>IF($B207=1,$D$30,IF(N(Vintage_Input!N157)&gt;0,Vintage_Input!AD157/Vintage_Input!N157,""))</f>
        <v/>
      </c>
      <c r="W207" s="152">
        <f>IF($B207=1,$E$30,IF(N(Vintage_Input!O157)&gt;0,Vintage_Input!AE157/Vintage_Input!O157,""))</f>
        <v/>
      </c>
      <c r="X207" s="152">
        <f>IF($B207=1,$F$30,IF(N(Vintage_Input!P157)&gt;0,Vintage_Input!AF157/Vintage_Input!P157,""))</f>
        <v/>
      </c>
      <c r="Y207" s="152">
        <f>IF($B207=1,$G$30,IF(N(Vintage_Input!Q157)&gt;0,Vintage_Input!AG157/Vintage_Input!Q157,""))</f>
        <v/>
      </c>
      <c r="Z207" s="152">
        <f>IF($B207=1,$H$30,IF(N(Vintage_Input!R157)&gt;0,Vintage_Input!AH157/Vintage_Input!R157,""))</f>
        <v/>
      </c>
      <c r="AA207" s="152">
        <f>IF($B207=1,$I$30,IF(N(Vintage_Input!S157)&gt;0,Vintage_Input!AI157/Vintage_Input!S157,""))</f>
        <v/>
      </c>
      <c r="AB207" s="152">
        <f>IF($B207=1,$B$31,IF(N(Vintage_Input!L157)&gt;0,Vintage_Input!AJ157/Vintage_Input!L157,""))</f>
        <v/>
      </c>
      <c r="AC207" s="152">
        <f>IF($B207=1,$C$31,IF(N(Vintage_Input!M157)&gt;0,Vintage_Input!AK157/Vintage_Input!M157,""))</f>
        <v/>
      </c>
      <c r="AD207" s="152">
        <f>IF($B207=1,$D$31,IF(N(Vintage_Input!N157)&gt;0,Vintage_Input!AL157/Vintage_Input!N157,""))</f>
        <v/>
      </c>
      <c r="AE207" s="152">
        <f>IF($B207=1,$E$31,IF(N(Vintage_Input!O157)&gt;0,Vintage_Input!AM157/Vintage_Input!O157,""))</f>
        <v/>
      </c>
      <c r="AF207" s="152">
        <f>IF($B207=1,$F$31,IF(N(Vintage_Input!P157)&gt;0,Vintage_Input!AN157/Vintage_Input!P157,""))</f>
        <v/>
      </c>
      <c r="AG207" s="152">
        <f>IF($B207=1,$G$31,IF(N(Vintage_Input!Q157)&gt;0,Vintage_Input!AO157/Vintage_Input!Q157,""))</f>
        <v/>
      </c>
      <c r="AH207" s="152">
        <f>IF($B207=1,$H$31,IF(N(Vintage_Input!R157)&gt;0,Vintage_Input!AP157/Vintage_Input!R157,""))</f>
        <v/>
      </c>
      <c r="AI207" s="152">
        <f>IF($B207=1,$I$31,IF(N(Vintage_Input!S157)&gt;0,Vintage_Input!AQ157/Vintage_Input!S157,""))</f>
        <v/>
      </c>
      <c r="AJ207" s="152">
        <f>IF($B207=1,$B$32,IF(N(Vintage_Input!L157)&gt;0,IFERROR(Vintage_Input!AR157/Vintage_Input!AJ157,""),""))</f>
        <v/>
      </c>
      <c r="AK207" s="152">
        <f>IF($B207=1,$C$32,IF(N(Vintage_Input!M157)&gt;0,IFERROR(Vintage_Input!AS157/Vintage_Input!AK157,""),""))</f>
        <v/>
      </c>
      <c r="AL207" s="152">
        <f>IF($B207=1,$D$32,IF(N(Vintage_Input!N157)&gt;0,IFERROR(Vintage_Input!AT157/Vintage_Input!AL157,""),""))</f>
        <v/>
      </c>
      <c r="AM207" s="152">
        <f>IF($B207=1,$E$32,IF(N(Vintage_Input!O157)&gt;0,IFERROR(Vintage_Input!AU157/Vintage_Input!AM157,""),""))</f>
        <v/>
      </c>
      <c r="AN207" s="152">
        <f>IF($B207=1,$F$32,IF(N(Vintage_Input!P157)&gt;0,IFERROR(Vintage_Input!AV157/Vintage_Input!AN157,""),""))</f>
        <v/>
      </c>
      <c r="AO207" s="152">
        <f>IF($B207=1,$G$32,IF(N(Vintage_Input!Q157)&gt;0,IFERROR(Vintage_Input!AW157/Vintage_Input!AO157,""),""))</f>
        <v/>
      </c>
      <c r="AP207" s="152">
        <f>IF($B207=1,$H$32,IF(N(Vintage_Input!R157)&gt;0,IFERROR(Vintage_Input!AX157/Vintage_Input!AP157,""),""))</f>
        <v/>
      </c>
      <c r="AQ207" s="152">
        <f>IF($B207=1,$I$32,IF(N(Vintage_Input!S157)&gt;0,IFERROR(Vintage_Input!AY157/Vintage_Input!AQ157,""),""))</f>
        <v/>
      </c>
      <c r="AR207" s="152">
        <f>IF($B207=1,$B$33,IF(N(Vintage_Input!L157)&gt;0,IFERROR(Vintage_Input!AZ157/$C207,""),""))</f>
        <v/>
      </c>
      <c r="AS207" s="152">
        <f>IF($B207=1,$C$33,IF(N(Vintage_Input!M157)&gt;0,IFERROR(Vintage_Input!BA157/$C207,""),""))</f>
        <v/>
      </c>
      <c r="AT207" s="152">
        <f>IF($B207=1,$D$33,IF(N(Vintage_Input!N157)&gt;0,IFERROR(Vintage_Input!BB157/$C207,""),""))</f>
        <v/>
      </c>
      <c r="AU207" s="152">
        <f>IF($B207=1,$E$33,IF(N(Vintage_Input!O157)&gt;0,IFERROR(Vintage_Input!BC157/$C207,""),""))</f>
        <v/>
      </c>
      <c r="AV207" s="152">
        <f>IF($B207=1,$F$33,IF(N(Vintage_Input!P157)&gt;0,IFERROR(Vintage_Input!BD157/$C207,""),""))</f>
        <v/>
      </c>
      <c r="AW207" s="152">
        <f>IF($B207=1,$G$33,IF(N(Vintage_Input!Q157)&gt;0,IFERROR(Vintage_Input!BE157/$C207,""),""))</f>
        <v/>
      </c>
      <c r="AX207" s="152">
        <f>IF($B207=1,$H$33,IF(N(Vintage_Input!R157)&gt;0,IFERROR(Vintage_Input!BF157/$C207,""),""))</f>
        <v/>
      </c>
      <c r="AY207" s="152">
        <f>IF($B207=1,$I$33,IF(N(Vintage_Input!S157)&gt;0,IFERROR(Vintage_Input!BG157/$C207,""),""))</f>
        <v/>
      </c>
      <c r="AZ207" s="153">
        <f>IF($B207=1,$B$34,IF(N(Vintage_Input!L157)&gt;0,IFERROR((Vintage_Input!D157+Vintage_Input!AR157)/$C207+Products!$E$14-(Products!$E$43+Products!$E$19+Products!$E$43*Products!$E$22+Products!$E$44),""),""))</f>
        <v/>
      </c>
      <c r="BA207" s="153">
        <f>IF($B207=1,$C$34,IF(N(Vintage_Input!M157)&gt;0,IFERROR((Vintage_Input!E157+Vintage_Input!AS157)/$C207+Products!$E$14-(Products!$E$43+Products!$E$19+Products!$E$43*Products!$E$22+Products!$E$44),""),""))</f>
        <v/>
      </c>
      <c r="BB207" s="153">
        <f>IF($B207=1,$D$34,IF(N(Vintage_Input!N157)&gt;0,IFERROR((Vintage_Input!F157+Vintage_Input!AT157)/$C207+Products!$E$14-(Products!$E$43+Products!$E$19+Products!$E$43*Products!$E$22+Products!$E$44),""),""))</f>
        <v/>
      </c>
      <c r="BC207" s="153">
        <f>IF($B207=1,$E$34,IF(N(Vintage_Input!O157)&gt;0,IFERROR((Vintage_Input!G157+Vintage_Input!AU157)/$C207+Products!$E$14-(Products!$E$43+Products!$E$19+Products!$E$43*Products!$E$22+Products!$E$44),""),""))</f>
        <v/>
      </c>
      <c r="BD207" s="153">
        <f>IF($B207=1,$F$34,IF(N(Vintage_Input!P157)&gt;0,IFERROR((Vintage_Input!H157+Vintage_Input!AV157)/$C207+Products!$E$14-(Products!$E$43+Products!$E$19+Products!$E$43*Products!$E$22+Products!$E$44),""),""))</f>
        <v/>
      </c>
      <c r="BE207" s="153">
        <f>IF($B207=1,$G$34,IF(N(Vintage_Input!Q157)&gt;0,IFERROR((Vintage_Input!I157+Vintage_Input!AW157)/$C207+Products!$E$14-(Products!$E$43+Products!$E$19+Products!$E$43*Products!$E$22+Products!$E$44),""),""))</f>
        <v/>
      </c>
      <c r="BF207" s="153">
        <f>IF($B207=1,$H$34,IF(N(Vintage_Input!R157)&gt;0,IFERROR((Vintage_Input!J157+Vintage_Input!AX157)/$C207+Products!$E$14-(Products!$E$43+Products!$E$19+Products!$E$43*Products!$E$22+Products!$E$44),""),""))</f>
        <v/>
      </c>
      <c r="BG207" s="153">
        <f>IF($B207=1,$I$34,IF(N(Vintage_Input!S157)&gt;0,IFERROR((Vintage_Input!K157+Vintage_Input!AY157)/$C207+Products!$E$14-(Products!$E$43+Products!$E$19+Products!$E$43*Products!$E$22+Products!$E$44),""),""))</f>
        <v/>
      </c>
      <c r="BH207" s="81">
        <f>IF($B207=1,0,IF(Vintage_Input!$BH$157="","",Vintage_Input!$BH$157))</f>
        <v/>
      </c>
    </row>
    <row r="208">
      <c r="A208" s="23" t="n">
        <v>20</v>
      </c>
      <c r="B208" s="48">
        <f>Vintage_Input!$B$158</f>
        <v/>
      </c>
      <c r="C208" s="41">
        <f>IF(Vintage_Input!$C$158="",0,Vintage_Input!$C$158)</f>
        <v/>
      </c>
      <c r="D208" s="152">
        <f>IF($B208=1,$B$28,IF(N(Vintage_Input!L158)&gt;0,Vintage_Input!D158/Vintage_Input!L158,""))</f>
        <v/>
      </c>
      <c r="E208" s="152">
        <f>IF($B208=1,$C$28,IF(N(Vintage_Input!M158)&gt;0,Vintage_Input!E158/Vintage_Input!M158,""))</f>
        <v/>
      </c>
      <c r="F208" s="152">
        <f>IF($B208=1,$D$28,IF(N(Vintage_Input!N158)&gt;0,Vintage_Input!F158/Vintage_Input!N158,""))</f>
        <v/>
      </c>
      <c r="G208" s="152">
        <f>IF($B208=1,$E$28,IF(N(Vintage_Input!O158)&gt;0,Vintage_Input!G158/Vintage_Input!O158,""))</f>
        <v/>
      </c>
      <c r="H208" s="152">
        <f>IF($B208=1,$F$28,IF(N(Vintage_Input!P158)&gt;0,Vintage_Input!H158/Vintage_Input!P158,""))</f>
        <v/>
      </c>
      <c r="I208" s="152">
        <f>IF($B208=1,$G$28,IF(N(Vintage_Input!Q158)&gt;0,Vintage_Input!I158/Vintage_Input!Q158,""))</f>
        <v/>
      </c>
      <c r="J208" s="152">
        <f>IF($B208=1,$H$28,IF(N(Vintage_Input!R158)&gt;0,Vintage_Input!J158/Vintage_Input!R158,""))</f>
        <v/>
      </c>
      <c r="K208" s="152">
        <f>IF($B208=1,$I$28,IF(N(Vintage_Input!S158)&gt;0,Vintage_Input!K158/Vintage_Input!S158,""))</f>
        <v/>
      </c>
      <c r="L208" s="152">
        <f>IF($B208=1,$B$29,IF(N(Vintage_Input!L158)&gt;0,Vintage_Input!T158/Vintage_Input!L158,""))</f>
        <v/>
      </c>
      <c r="M208" s="152">
        <f>IF($B208=1,$C$29,IF(N(Vintage_Input!M158)&gt;0,Vintage_Input!U158/Vintage_Input!M158,""))</f>
        <v/>
      </c>
      <c r="N208" s="152">
        <f>IF($B208=1,$D$29,IF(N(Vintage_Input!N158)&gt;0,Vintage_Input!V158/Vintage_Input!N158,""))</f>
        <v/>
      </c>
      <c r="O208" s="152">
        <f>IF($B208=1,$E$29,IF(N(Vintage_Input!O158)&gt;0,Vintage_Input!W158/Vintage_Input!O158,""))</f>
        <v/>
      </c>
      <c r="P208" s="152">
        <f>IF($B208=1,$F$29,IF(N(Vintage_Input!P158)&gt;0,Vintage_Input!X158/Vintage_Input!P158,""))</f>
        <v/>
      </c>
      <c r="Q208" s="152">
        <f>IF($B208=1,$G$29,IF(N(Vintage_Input!Q158)&gt;0,Vintage_Input!Y158/Vintage_Input!Q158,""))</f>
        <v/>
      </c>
      <c r="R208" s="152">
        <f>IF($B208=1,$H$29,IF(N(Vintage_Input!R158)&gt;0,Vintage_Input!Z158/Vintage_Input!R158,""))</f>
        <v/>
      </c>
      <c r="S208" s="152">
        <f>IF($B208=1,$I$29,IF(N(Vintage_Input!S158)&gt;0,Vintage_Input!AA158/Vintage_Input!S158,""))</f>
        <v/>
      </c>
      <c r="T208" s="152">
        <f>IF($B208=1,$B$30,IF(N(Vintage_Input!L158)&gt;0,Vintage_Input!AB158/Vintage_Input!L158,""))</f>
        <v/>
      </c>
      <c r="U208" s="152">
        <f>IF($B208=1,$C$30,IF(N(Vintage_Input!M158)&gt;0,Vintage_Input!AC158/Vintage_Input!M158,""))</f>
        <v/>
      </c>
      <c r="V208" s="152">
        <f>IF($B208=1,$D$30,IF(N(Vintage_Input!N158)&gt;0,Vintage_Input!AD158/Vintage_Input!N158,""))</f>
        <v/>
      </c>
      <c r="W208" s="152">
        <f>IF($B208=1,$E$30,IF(N(Vintage_Input!O158)&gt;0,Vintage_Input!AE158/Vintage_Input!O158,""))</f>
        <v/>
      </c>
      <c r="X208" s="152">
        <f>IF($B208=1,$F$30,IF(N(Vintage_Input!P158)&gt;0,Vintage_Input!AF158/Vintage_Input!P158,""))</f>
        <v/>
      </c>
      <c r="Y208" s="152">
        <f>IF($B208=1,$G$30,IF(N(Vintage_Input!Q158)&gt;0,Vintage_Input!AG158/Vintage_Input!Q158,""))</f>
        <v/>
      </c>
      <c r="Z208" s="152">
        <f>IF($B208=1,$H$30,IF(N(Vintage_Input!R158)&gt;0,Vintage_Input!AH158/Vintage_Input!R158,""))</f>
        <v/>
      </c>
      <c r="AA208" s="152">
        <f>IF($B208=1,$I$30,IF(N(Vintage_Input!S158)&gt;0,Vintage_Input!AI158/Vintage_Input!S158,""))</f>
        <v/>
      </c>
      <c r="AB208" s="152">
        <f>IF($B208=1,$B$31,IF(N(Vintage_Input!L158)&gt;0,Vintage_Input!AJ158/Vintage_Input!L158,""))</f>
        <v/>
      </c>
      <c r="AC208" s="152">
        <f>IF($B208=1,$C$31,IF(N(Vintage_Input!M158)&gt;0,Vintage_Input!AK158/Vintage_Input!M158,""))</f>
        <v/>
      </c>
      <c r="AD208" s="152">
        <f>IF($B208=1,$D$31,IF(N(Vintage_Input!N158)&gt;0,Vintage_Input!AL158/Vintage_Input!N158,""))</f>
        <v/>
      </c>
      <c r="AE208" s="152">
        <f>IF($B208=1,$E$31,IF(N(Vintage_Input!O158)&gt;0,Vintage_Input!AM158/Vintage_Input!O158,""))</f>
        <v/>
      </c>
      <c r="AF208" s="152">
        <f>IF($B208=1,$F$31,IF(N(Vintage_Input!P158)&gt;0,Vintage_Input!AN158/Vintage_Input!P158,""))</f>
        <v/>
      </c>
      <c r="AG208" s="152">
        <f>IF($B208=1,$G$31,IF(N(Vintage_Input!Q158)&gt;0,Vintage_Input!AO158/Vintage_Input!Q158,""))</f>
        <v/>
      </c>
      <c r="AH208" s="152">
        <f>IF($B208=1,$H$31,IF(N(Vintage_Input!R158)&gt;0,Vintage_Input!AP158/Vintage_Input!R158,""))</f>
        <v/>
      </c>
      <c r="AI208" s="152">
        <f>IF($B208=1,$I$31,IF(N(Vintage_Input!S158)&gt;0,Vintage_Input!AQ158/Vintage_Input!S158,""))</f>
        <v/>
      </c>
      <c r="AJ208" s="152">
        <f>IF($B208=1,$B$32,IF(N(Vintage_Input!L158)&gt;0,IFERROR(Vintage_Input!AR158/Vintage_Input!AJ158,""),""))</f>
        <v/>
      </c>
      <c r="AK208" s="152">
        <f>IF($B208=1,$C$32,IF(N(Vintage_Input!M158)&gt;0,IFERROR(Vintage_Input!AS158/Vintage_Input!AK158,""),""))</f>
        <v/>
      </c>
      <c r="AL208" s="152">
        <f>IF($B208=1,$D$32,IF(N(Vintage_Input!N158)&gt;0,IFERROR(Vintage_Input!AT158/Vintage_Input!AL158,""),""))</f>
        <v/>
      </c>
      <c r="AM208" s="152">
        <f>IF($B208=1,$E$32,IF(N(Vintage_Input!O158)&gt;0,IFERROR(Vintage_Input!AU158/Vintage_Input!AM158,""),""))</f>
        <v/>
      </c>
      <c r="AN208" s="152">
        <f>IF($B208=1,$F$32,IF(N(Vintage_Input!P158)&gt;0,IFERROR(Vintage_Input!AV158/Vintage_Input!AN158,""),""))</f>
        <v/>
      </c>
      <c r="AO208" s="152">
        <f>IF($B208=1,$G$32,IF(N(Vintage_Input!Q158)&gt;0,IFERROR(Vintage_Input!AW158/Vintage_Input!AO158,""),""))</f>
        <v/>
      </c>
      <c r="AP208" s="152">
        <f>IF($B208=1,$H$32,IF(N(Vintage_Input!R158)&gt;0,IFERROR(Vintage_Input!AX158/Vintage_Input!AP158,""),""))</f>
        <v/>
      </c>
      <c r="AQ208" s="152">
        <f>IF($B208=1,$I$32,IF(N(Vintage_Input!S158)&gt;0,IFERROR(Vintage_Input!AY158/Vintage_Input!AQ158,""),""))</f>
        <v/>
      </c>
      <c r="AR208" s="152">
        <f>IF($B208=1,$B$33,IF(N(Vintage_Input!L158)&gt;0,IFERROR(Vintage_Input!AZ158/$C208,""),""))</f>
        <v/>
      </c>
      <c r="AS208" s="152">
        <f>IF($B208=1,$C$33,IF(N(Vintage_Input!M158)&gt;0,IFERROR(Vintage_Input!BA158/$C208,""),""))</f>
        <v/>
      </c>
      <c r="AT208" s="152">
        <f>IF($B208=1,$D$33,IF(N(Vintage_Input!N158)&gt;0,IFERROR(Vintage_Input!BB158/$C208,""),""))</f>
        <v/>
      </c>
      <c r="AU208" s="152">
        <f>IF($B208=1,$E$33,IF(N(Vintage_Input!O158)&gt;0,IFERROR(Vintage_Input!BC158/$C208,""),""))</f>
        <v/>
      </c>
      <c r="AV208" s="152">
        <f>IF($B208=1,$F$33,IF(N(Vintage_Input!P158)&gt;0,IFERROR(Vintage_Input!BD158/$C208,""),""))</f>
        <v/>
      </c>
      <c r="AW208" s="152">
        <f>IF($B208=1,$G$33,IF(N(Vintage_Input!Q158)&gt;0,IFERROR(Vintage_Input!BE158/$C208,""),""))</f>
        <v/>
      </c>
      <c r="AX208" s="152">
        <f>IF($B208=1,$H$33,IF(N(Vintage_Input!R158)&gt;0,IFERROR(Vintage_Input!BF158/$C208,""),""))</f>
        <v/>
      </c>
      <c r="AY208" s="152">
        <f>IF($B208=1,$I$33,IF(N(Vintage_Input!S158)&gt;0,IFERROR(Vintage_Input!BG158/$C208,""),""))</f>
        <v/>
      </c>
      <c r="AZ208" s="153">
        <f>IF($B208=1,$B$34,IF(N(Vintage_Input!L158)&gt;0,IFERROR((Vintage_Input!D158+Vintage_Input!AR158)/$C208+Products!$E$14-(Products!$E$43+Products!$E$19+Products!$E$43*Products!$E$22+Products!$E$44),""),""))</f>
        <v/>
      </c>
      <c r="BA208" s="153">
        <f>IF($B208=1,$C$34,IF(N(Vintage_Input!M158)&gt;0,IFERROR((Vintage_Input!E158+Vintage_Input!AS158)/$C208+Products!$E$14-(Products!$E$43+Products!$E$19+Products!$E$43*Products!$E$22+Products!$E$44),""),""))</f>
        <v/>
      </c>
      <c r="BB208" s="153">
        <f>IF($B208=1,$D$34,IF(N(Vintage_Input!N158)&gt;0,IFERROR((Vintage_Input!F158+Vintage_Input!AT158)/$C208+Products!$E$14-(Products!$E$43+Products!$E$19+Products!$E$43*Products!$E$22+Products!$E$44),""),""))</f>
        <v/>
      </c>
      <c r="BC208" s="153">
        <f>IF($B208=1,$E$34,IF(N(Vintage_Input!O158)&gt;0,IFERROR((Vintage_Input!G158+Vintage_Input!AU158)/$C208+Products!$E$14-(Products!$E$43+Products!$E$19+Products!$E$43*Products!$E$22+Products!$E$44),""),""))</f>
        <v/>
      </c>
      <c r="BD208" s="153">
        <f>IF($B208=1,$F$34,IF(N(Vintage_Input!P158)&gt;0,IFERROR((Vintage_Input!H158+Vintage_Input!AV158)/$C208+Products!$E$14-(Products!$E$43+Products!$E$19+Products!$E$43*Products!$E$22+Products!$E$44),""),""))</f>
        <v/>
      </c>
      <c r="BE208" s="153">
        <f>IF($B208=1,$G$34,IF(N(Vintage_Input!Q158)&gt;0,IFERROR((Vintage_Input!I158+Vintage_Input!AW158)/$C208+Products!$E$14-(Products!$E$43+Products!$E$19+Products!$E$43*Products!$E$22+Products!$E$44),""),""))</f>
        <v/>
      </c>
      <c r="BF208" s="153">
        <f>IF($B208=1,$H$34,IF(N(Vintage_Input!R158)&gt;0,IFERROR((Vintage_Input!J158+Vintage_Input!AX158)/$C208+Products!$E$14-(Products!$E$43+Products!$E$19+Products!$E$43*Products!$E$22+Products!$E$44),""),""))</f>
        <v/>
      </c>
      <c r="BG208" s="153">
        <f>IF($B208=1,$I$34,IF(N(Vintage_Input!S158)&gt;0,IFERROR((Vintage_Input!K158+Vintage_Input!AY158)/$C208+Products!$E$14-(Products!$E$43+Products!$E$19+Products!$E$43*Products!$E$22+Products!$E$44),""),""))</f>
        <v/>
      </c>
      <c r="BH208" s="81">
        <f>IF($B208=1,0,IF(Vintage_Input!$BH$158="","",Vintage_Input!$BH$158))</f>
        <v/>
      </c>
    </row>
    <row r="209">
      <c r="A209" s="23" t="n">
        <v>21</v>
      </c>
      <c r="B209" s="48">
        <f>Vintage_Input!$B$159</f>
        <v/>
      </c>
      <c r="C209" s="41">
        <f>IF(Vintage_Input!$C$159="",0,Vintage_Input!$C$159)</f>
        <v/>
      </c>
      <c r="D209" s="152">
        <f>IF($B209=1,$B$28,IF(N(Vintage_Input!L159)&gt;0,Vintage_Input!D159/Vintage_Input!L159,""))</f>
        <v/>
      </c>
      <c r="E209" s="152">
        <f>IF($B209=1,$C$28,IF(N(Vintage_Input!M159)&gt;0,Vintage_Input!E159/Vintage_Input!M159,""))</f>
        <v/>
      </c>
      <c r="F209" s="152">
        <f>IF($B209=1,$D$28,IF(N(Vintage_Input!N159)&gt;0,Vintage_Input!F159/Vintage_Input!N159,""))</f>
        <v/>
      </c>
      <c r="G209" s="152">
        <f>IF($B209=1,$E$28,IF(N(Vintage_Input!O159)&gt;0,Vintage_Input!G159/Vintage_Input!O159,""))</f>
        <v/>
      </c>
      <c r="H209" s="152">
        <f>IF($B209=1,$F$28,IF(N(Vintage_Input!P159)&gt;0,Vintage_Input!H159/Vintage_Input!P159,""))</f>
        <v/>
      </c>
      <c r="I209" s="152">
        <f>IF($B209=1,$G$28,IF(N(Vintage_Input!Q159)&gt;0,Vintage_Input!I159/Vintage_Input!Q159,""))</f>
        <v/>
      </c>
      <c r="J209" s="152">
        <f>IF($B209=1,$H$28,IF(N(Vintage_Input!R159)&gt;0,Vintage_Input!J159/Vintage_Input!R159,""))</f>
        <v/>
      </c>
      <c r="K209" s="152">
        <f>IF($B209=1,$I$28,IF(N(Vintage_Input!S159)&gt;0,Vintage_Input!K159/Vintage_Input!S159,""))</f>
        <v/>
      </c>
      <c r="L209" s="152">
        <f>IF($B209=1,$B$29,IF(N(Vintage_Input!L159)&gt;0,Vintage_Input!T159/Vintage_Input!L159,""))</f>
        <v/>
      </c>
      <c r="M209" s="152">
        <f>IF($B209=1,$C$29,IF(N(Vintage_Input!M159)&gt;0,Vintage_Input!U159/Vintage_Input!M159,""))</f>
        <v/>
      </c>
      <c r="N209" s="152">
        <f>IF($B209=1,$D$29,IF(N(Vintage_Input!N159)&gt;0,Vintage_Input!V159/Vintage_Input!N159,""))</f>
        <v/>
      </c>
      <c r="O209" s="152">
        <f>IF($B209=1,$E$29,IF(N(Vintage_Input!O159)&gt;0,Vintage_Input!W159/Vintage_Input!O159,""))</f>
        <v/>
      </c>
      <c r="P209" s="152">
        <f>IF($B209=1,$F$29,IF(N(Vintage_Input!P159)&gt;0,Vintage_Input!X159/Vintage_Input!P159,""))</f>
        <v/>
      </c>
      <c r="Q209" s="152">
        <f>IF($B209=1,$G$29,IF(N(Vintage_Input!Q159)&gt;0,Vintage_Input!Y159/Vintage_Input!Q159,""))</f>
        <v/>
      </c>
      <c r="R209" s="152">
        <f>IF($B209=1,$H$29,IF(N(Vintage_Input!R159)&gt;0,Vintage_Input!Z159/Vintage_Input!R159,""))</f>
        <v/>
      </c>
      <c r="S209" s="152">
        <f>IF($B209=1,$I$29,IF(N(Vintage_Input!S159)&gt;0,Vintage_Input!AA159/Vintage_Input!S159,""))</f>
        <v/>
      </c>
      <c r="T209" s="152">
        <f>IF($B209=1,$B$30,IF(N(Vintage_Input!L159)&gt;0,Vintage_Input!AB159/Vintage_Input!L159,""))</f>
        <v/>
      </c>
      <c r="U209" s="152">
        <f>IF($B209=1,$C$30,IF(N(Vintage_Input!M159)&gt;0,Vintage_Input!AC159/Vintage_Input!M159,""))</f>
        <v/>
      </c>
      <c r="V209" s="152">
        <f>IF($B209=1,$D$30,IF(N(Vintage_Input!N159)&gt;0,Vintage_Input!AD159/Vintage_Input!N159,""))</f>
        <v/>
      </c>
      <c r="W209" s="152">
        <f>IF($B209=1,$E$30,IF(N(Vintage_Input!O159)&gt;0,Vintage_Input!AE159/Vintage_Input!O159,""))</f>
        <v/>
      </c>
      <c r="X209" s="152">
        <f>IF($B209=1,$F$30,IF(N(Vintage_Input!P159)&gt;0,Vintage_Input!AF159/Vintage_Input!P159,""))</f>
        <v/>
      </c>
      <c r="Y209" s="152">
        <f>IF($B209=1,$G$30,IF(N(Vintage_Input!Q159)&gt;0,Vintage_Input!AG159/Vintage_Input!Q159,""))</f>
        <v/>
      </c>
      <c r="Z209" s="152">
        <f>IF($B209=1,$H$30,IF(N(Vintage_Input!R159)&gt;0,Vintage_Input!AH159/Vintage_Input!R159,""))</f>
        <v/>
      </c>
      <c r="AA209" s="152">
        <f>IF($B209=1,$I$30,IF(N(Vintage_Input!S159)&gt;0,Vintage_Input!AI159/Vintage_Input!S159,""))</f>
        <v/>
      </c>
      <c r="AB209" s="152">
        <f>IF($B209=1,$B$31,IF(N(Vintage_Input!L159)&gt;0,Vintage_Input!AJ159/Vintage_Input!L159,""))</f>
        <v/>
      </c>
      <c r="AC209" s="152">
        <f>IF($B209=1,$C$31,IF(N(Vintage_Input!M159)&gt;0,Vintage_Input!AK159/Vintage_Input!M159,""))</f>
        <v/>
      </c>
      <c r="AD209" s="152">
        <f>IF($B209=1,$D$31,IF(N(Vintage_Input!N159)&gt;0,Vintage_Input!AL159/Vintage_Input!N159,""))</f>
        <v/>
      </c>
      <c r="AE209" s="152">
        <f>IF($B209=1,$E$31,IF(N(Vintage_Input!O159)&gt;0,Vintage_Input!AM159/Vintage_Input!O159,""))</f>
        <v/>
      </c>
      <c r="AF209" s="152">
        <f>IF($B209=1,$F$31,IF(N(Vintage_Input!P159)&gt;0,Vintage_Input!AN159/Vintage_Input!P159,""))</f>
        <v/>
      </c>
      <c r="AG209" s="152">
        <f>IF($B209=1,$G$31,IF(N(Vintage_Input!Q159)&gt;0,Vintage_Input!AO159/Vintage_Input!Q159,""))</f>
        <v/>
      </c>
      <c r="AH209" s="152">
        <f>IF($B209=1,$H$31,IF(N(Vintage_Input!R159)&gt;0,Vintage_Input!AP159/Vintage_Input!R159,""))</f>
        <v/>
      </c>
      <c r="AI209" s="152">
        <f>IF($B209=1,$I$31,IF(N(Vintage_Input!S159)&gt;0,Vintage_Input!AQ159/Vintage_Input!S159,""))</f>
        <v/>
      </c>
      <c r="AJ209" s="152">
        <f>IF($B209=1,$B$32,IF(N(Vintage_Input!L159)&gt;0,IFERROR(Vintage_Input!AR159/Vintage_Input!AJ159,""),""))</f>
        <v/>
      </c>
      <c r="AK209" s="152">
        <f>IF($B209=1,$C$32,IF(N(Vintage_Input!M159)&gt;0,IFERROR(Vintage_Input!AS159/Vintage_Input!AK159,""),""))</f>
        <v/>
      </c>
      <c r="AL209" s="152">
        <f>IF($B209=1,$D$32,IF(N(Vintage_Input!N159)&gt;0,IFERROR(Vintage_Input!AT159/Vintage_Input!AL159,""),""))</f>
        <v/>
      </c>
      <c r="AM209" s="152">
        <f>IF($B209=1,$E$32,IF(N(Vintage_Input!O159)&gt;0,IFERROR(Vintage_Input!AU159/Vintage_Input!AM159,""),""))</f>
        <v/>
      </c>
      <c r="AN209" s="152">
        <f>IF($B209=1,$F$32,IF(N(Vintage_Input!P159)&gt;0,IFERROR(Vintage_Input!AV159/Vintage_Input!AN159,""),""))</f>
        <v/>
      </c>
      <c r="AO209" s="152">
        <f>IF($B209=1,$G$32,IF(N(Vintage_Input!Q159)&gt;0,IFERROR(Vintage_Input!AW159/Vintage_Input!AO159,""),""))</f>
        <v/>
      </c>
      <c r="AP209" s="152">
        <f>IF($B209=1,$H$32,IF(N(Vintage_Input!R159)&gt;0,IFERROR(Vintage_Input!AX159/Vintage_Input!AP159,""),""))</f>
        <v/>
      </c>
      <c r="AQ209" s="152">
        <f>IF($B209=1,$I$32,IF(N(Vintage_Input!S159)&gt;0,IFERROR(Vintage_Input!AY159/Vintage_Input!AQ159,""),""))</f>
        <v/>
      </c>
      <c r="AR209" s="152">
        <f>IF($B209=1,$B$33,IF(N(Vintage_Input!L159)&gt;0,IFERROR(Vintage_Input!AZ159/$C209,""),""))</f>
        <v/>
      </c>
      <c r="AS209" s="152">
        <f>IF($B209=1,$C$33,IF(N(Vintage_Input!M159)&gt;0,IFERROR(Vintage_Input!BA159/$C209,""),""))</f>
        <v/>
      </c>
      <c r="AT209" s="152">
        <f>IF($B209=1,$D$33,IF(N(Vintage_Input!N159)&gt;0,IFERROR(Vintage_Input!BB159/$C209,""),""))</f>
        <v/>
      </c>
      <c r="AU209" s="152">
        <f>IF($B209=1,$E$33,IF(N(Vintage_Input!O159)&gt;0,IFERROR(Vintage_Input!BC159/$C209,""),""))</f>
        <v/>
      </c>
      <c r="AV209" s="152">
        <f>IF($B209=1,$F$33,IF(N(Vintage_Input!P159)&gt;0,IFERROR(Vintage_Input!BD159/$C209,""),""))</f>
        <v/>
      </c>
      <c r="AW209" s="152">
        <f>IF($B209=1,$G$33,IF(N(Vintage_Input!Q159)&gt;0,IFERROR(Vintage_Input!BE159/$C209,""),""))</f>
        <v/>
      </c>
      <c r="AX209" s="152">
        <f>IF($B209=1,$H$33,IF(N(Vintage_Input!R159)&gt;0,IFERROR(Vintage_Input!BF159/$C209,""),""))</f>
        <v/>
      </c>
      <c r="AY209" s="152">
        <f>IF($B209=1,$I$33,IF(N(Vintage_Input!S159)&gt;0,IFERROR(Vintage_Input!BG159/$C209,""),""))</f>
        <v/>
      </c>
      <c r="AZ209" s="153">
        <f>IF($B209=1,$B$34,IF(N(Vintage_Input!L159)&gt;0,IFERROR((Vintage_Input!D159+Vintage_Input!AR159)/$C209+Products!$E$14-(Products!$E$43+Products!$E$19+Products!$E$43*Products!$E$22+Products!$E$44),""),""))</f>
        <v/>
      </c>
      <c r="BA209" s="153">
        <f>IF($B209=1,$C$34,IF(N(Vintage_Input!M159)&gt;0,IFERROR((Vintage_Input!E159+Vintage_Input!AS159)/$C209+Products!$E$14-(Products!$E$43+Products!$E$19+Products!$E$43*Products!$E$22+Products!$E$44),""),""))</f>
        <v/>
      </c>
      <c r="BB209" s="153">
        <f>IF($B209=1,$D$34,IF(N(Vintage_Input!N159)&gt;0,IFERROR((Vintage_Input!F159+Vintage_Input!AT159)/$C209+Products!$E$14-(Products!$E$43+Products!$E$19+Products!$E$43*Products!$E$22+Products!$E$44),""),""))</f>
        <v/>
      </c>
      <c r="BC209" s="153">
        <f>IF($B209=1,$E$34,IF(N(Vintage_Input!O159)&gt;0,IFERROR((Vintage_Input!G159+Vintage_Input!AU159)/$C209+Products!$E$14-(Products!$E$43+Products!$E$19+Products!$E$43*Products!$E$22+Products!$E$44),""),""))</f>
        <v/>
      </c>
      <c r="BD209" s="153">
        <f>IF($B209=1,$F$34,IF(N(Vintage_Input!P159)&gt;0,IFERROR((Vintage_Input!H159+Vintage_Input!AV159)/$C209+Products!$E$14-(Products!$E$43+Products!$E$19+Products!$E$43*Products!$E$22+Products!$E$44),""),""))</f>
        <v/>
      </c>
      <c r="BE209" s="153">
        <f>IF($B209=1,$G$34,IF(N(Vintage_Input!Q159)&gt;0,IFERROR((Vintage_Input!I159+Vintage_Input!AW159)/$C209+Products!$E$14-(Products!$E$43+Products!$E$19+Products!$E$43*Products!$E$22+Products!$E$44),""),""))</f>
        <v/>
      </c>
      <c r="BF209" s="153">
        <f>IF($B209=1,$H$34,IF(N(Vintage_Input!R159)&gt;0,IFERROR((Vintage_Input!J159+Vintage_Input!AX159)/$C209+Products!$E$14-(Products!$E$43+Products!$E$19+Products!$E$43*Products!$E$22+Products!$E$44),""),""))</f>
        <v/>
      </c>
      <c r="BG209" s="153">
        <f>IF($B209=1,$I$34,IF(N(Vintage_Input!S159)&gt;0,IFERROR((Vintage_Input!K159+Vintage_Input!AY159)/$C209+Products!$E$14-(Products!$E$43+Products!$E$19+Products!$E$43*Products!$E$22+Products!$E$44),""),""))</f>
        <v/>
      </c>
      <c r="BH209" s="81">
        <f>IF($B209=1,0,IF(Vintage_Input!$BH$159="","",Vintage_Input!$BH$159))</f>
        <v/>
      </c>
    </row>
    <row r="210">
      <c r="A210" s="23" t="n">
        <v>22</v>
      </c>
      <c r="B210" s="48">
        <f>Vintage_Input!$B$160</f>
        <v/>
      </c>
      <c r="C210" s="41">
        <f>IF(Vintage_Input!$C$160="",0,Vintage_Input!$C$160)</f>
        <v/>
      </c>
      <c r="D210" s="152">
        <f>IF($B210=1,$B$28,IF(N(Vintage_Input!L160)&gt;0,Vintage_Input!D160/Vintage_Input!L160,""))</f>
        <v/>
      </c>
      <c r="E210" s="152">
        <f>IF($B210=1,$C$28,IF(N(Vintage_Input!M160)&gt;0,Vintage_Input!E160/Vintage_Input!M160,""))</f>
        <v/>
      </c>
      <c r="F210" s="152">
        <f>IF($B210=1,$D$28,IF(N(Vintage_Input!N160)&gt;0,Vintage_Input!F160/Vintage_Input!N160,""))</f>
        <v/>
      </c>
      <c r="G210" s="152">
        <f>IF($B210=1,$E$28,IF(N(Vintage_Input!O160)&gt;0,Vintage_Input!G160/Vintage_Input!O160,""))</f>
        <v/>
      </c>
      <c r="H210" s="152">
        <f>IF($B210=1,$F$28,IF(N(Vintage_Input!P160)&gt;0,Vintage_Input!H160/Vintage_Input!P160,""))</f>
        <v/>
      </c>
      <c r="I210" s="152">
        <f>IF($B210=1,$G$28,IF(N(Vintage_Input!Q160)&gt;0,Vintage_Input!I160/Vintage_Input!Q160,""))</f>
        <v/>
      </c>
      <c r="J210" s="152">
        <f>IF($B210=1,$H$28,IF(N(Vintage_Input!R160)&gt;0,Vintage_Input!J160/Vintage_Input!R160,""))</f>
        <v/>
      </c>
      <c r="K210" s="152">
        <f>IF($B210=1,$I$28,IF(N(Vintage_Input!S160)&gt;0,Vintage_Input!K160/Vintage_Input!S160,""))</f>
        <v/>
      </c>
      <c r="L210" s="152">
        <f>IF($B210=1,$B$29,IF(N(Vintage_Input!L160)&gt;0,Vintage_Input!T160/Vintage_Input!L160,""))</f>
        <v/>
      </c>
      <c r="M210" s="152">
        <f>IF($B210=1,$C$29,IF(N(Vintage_Input!M160)&gt;0,Vintage_Input!U160/Vintage_Input!M160,""))</f>
        <v/>
      </c>
      <c r="N210" s="152">
        <f>IF($B210=1,$D$29,IF(N(Vintage_Input!N160)&gt;0,Vintage_Input!V160/Vintage_Input!N160,""))</f>
        <v/>
      </c>
      <c r="O210" s="152">
        <f>IF($B210=1,$E$29,IF(N(Vintage_Input!O160)&gt;0,Vintage_Input!W160/Vintage_Input!O160,""))</f>
        <v/>
      </c>
      <c r="P210" s="152">
        <f>IF($B210=1,$F$29,IF(N(Vintage_Input!P160)&gt;0,Vintage_Input!X160/Vintage_Input!P160,""))</f>
        <v/>
      </c>
      <c r="Q210" s="152">
        <f>IF($B210=1,$G$29,IF(N(Vintage_Input!Q160)&gt;0,Vintage_Input!Y160/Vintage_Input!Q160,""))</f>
        <v/>
      </c>
      <c r="R210" s="152">
        <f>IF($B210=1,$H$29,IF(N(Vintage_Input!R160)&gt;0,Vintage_Input!Z160/Vintage_Input!R160,""))</f>
        <v/>
      </c>
      <c r="S210" s="152">
        <f>IF($B210=1,$I$29,IF(N(Vintage_Input!S160)&gt;0,Vintage_Input!AA160/Vintage_Input!S160,""))</f>
        <v/>
      </c>
      <c r="T210" s="152">
        <f>IF($B210=1,$B$30,IF(N(Vintage_Input!L160)&gt;0,Vintage_Input!AB160/Vintage_Input!L160,""))</f>
        <v/>
      </c>
      <c r="U210" s="152">
        <f>IF($B210=1,$C$30,IF(N(Vintage_Input!M160)&gt;0,Vintage_Input!AC160/Vintage_Input!M160,""))</f>
        <v/>
      </c>
      <c r="V210" s="152">
        <f>IF($B210=1,$D$30,IF(N(Vintage_Input!N160)&gt;0,Vintage_Input!AD160/Vintage_Input!N160,""))</f>
        <v/>
      </c>
      <c r="W210" s="152">
        <f>IF($B210=1,$E$30,IF(N(Vintage_Input!O160)&gt;0,Vintage_Input!AE160/Vintage_Input!O160,""))</f>
        <v/>
      </c>
      <c r="X210" s="152">
        <f>IF($B210=1,$F$30,IF(N(Vintage_Input!P160)&gt;0,Vintage_Input!AF160/Vintage_Input!P160,""))</f>
        <v/>
      </c>
      <c r="Y210" s="152">
        <f>IF($B210=1,$G$30,IF(N(Vintage_Input!Q160)&gt;0,Vintage_Input!AG160/Vintage_Input!Q160,""))</f>
        <v/>
      </c>
      <c r="Z210" s="152">
        <f>IF($B210=1,$H$30,IF(N(Vintage_Input!R160)&gt;0,Vintage_Input!AH160/Vintage_Input!R160,""))</f>
        <v/>
      </c>
      <c r="AA210" s="152">
        <f>IF($B210=1,$I$30,IF(N(Vintage_Input!S160)&gt;0,Vintage_Input!AI160/Vintage_Input!S160,""))</f>
        <v/>
      </c>
      <c r="AB210" s="152">
        <f>IF($B210=1,$B$31,IF(N(Vintage_Input!L160)&gt;0,Vintage_Input!AJ160/Vintage_Input!L160,""))</f>
        <v/>
      </c>
      <c r="AC210" s="152">
        <f>IF($B210=1,$C$31,IF(N(Vintage_Input!M160)&gt;0,Vintage_Input!AK160/Vintage_Input!M160,""))</f>
        <v/>
      </c>
      <c r="AD210" s="152">
        <f>IF($B210=1,$D$31,IF(N(Vintage_Input!N160)&gt;0,Vintage_Input!AL160/Vintage_Input!N160,""))</f>
        <v/>
      </c>
      <c r="AE210" s="152">
        <f>IF($B210=1,$E$31,IF(N(Vintage_Input!O160)&gt;0,Vintage_Input!AM160/Vintage_Input!O160,""))</f>
        <v/>
      </c>
      <c r="AF210" s="152">
        <f>IF($B210=1,$F$31,IF(N(Vintage_Input!P160)&gt;0,Vintage_Input!AN160/Vintage_Input!P160,""))</f>
        <v/>
      </c>
      <c r="AG210" s="152">
        <f>IF($B210=1,$G$31,IF(N(Vintage_Input!Q160)&gt;0,Vintage_Input!AO160/Vintage_Input!Q160,""))</f>
        <v/>
      </c>
      <c r="AH210" s="152">
        <f>IF($B210=1,$H$31,IF(N(Vintage_Input!R160)&gt;0,Vintage_Input!AP160/Vintage_Input!R160,""))</f>
        <v/>
      </c>
      <c r="AI210" s="152">
        <f>IF($B210=1,$I$31,IF(N(Vintage_Input!S160)&gt;0,Vintage_Input!AQ160/Vintage_Input!S160,""))</f>
        <v/>
      </c>
      <c r="AJ210" s="152">
        <f>IF($B210=1,$B$32,IF(N(Vintage_Input!L160)&gt;0,IFERROR(Vintage_Input!AR160/Vintage_Input!AJ160,""),""))</f>
        <v/>
      </c>
      <c r="AK210" s="152">
        <f>IF($B210=1,$C$32,IF(N(Vintage_Input!M160)&gt;0,IFERROR(Vintage_Input!AS160/Vintage_Input!AK160,""),""))</f>
        <v/>
      </c>
      <c r="AL210" s="152">
        <f>IF($B210=1,$D$32,IF(N(Vintage_Input!N160)&gt;0,IFERROR(Vintage_Input!AT160/Vintage_Input!AL160,""),""))</f>
        <v/>
      </c>
      <c r="AM210" s="152">
        <f>IF($B210=1,$E$32,IF(N(Vintage_Input!O160)&gt;0,IFERROR(Vintage_Input!AU160/Vintage_Input!AM160,""),""))</f>
        <v/>
      </c>
      <c r="AN210" s="152">
        <f>IF($B210=1,$F$32,IF(N(Vintage_Input!P160)&gt;0,IFERROR(Vintage_Input!AV160/Vintage_Input!AN160,""),""))</f>
        <v/>
      </c>
      <c r="AO210" s="152">
        <f>IF($B210=1,$G$32,IF(N(Vintage_Input!Q160)&gt;0,IFERROR(Vintage_Input!AW160/Vintage_Input!AO160,""),""))</f>
        <v/>
      </c>
      <c r="AP210" s="152">
        <f>IF($B210=1,$H$32,IF(N(Vintage_Input!R160)&gt;0,IFERROR(Vintage_Input!AX160/Vintage_Input!AP160,""),""))</f>
        <v/>
      </c>
      <c r="AQ210" s="152">
        <f>IF($B210=1,$I$32,IF(N(Vintage_Input!S160)&gt;0,IFERROR(Vintage_Input!AY160/Vintage_Input!AQ160,""),""))</f>
        <v/>
      </c>
      <c r="AR210" s="152">
        <f>IF($B210=1,$B$33,IF(N(Vintage_Input!L160)&gt;0,IFERROR(Vintage_Input!AZ160/$C210,""),""))</f>
        <v/>
      </c>
      <c r="AS210" s="152">
        <f>IF($B210=1,$C$33,IF(N(Vintage_Input!M160)&gt;0,IFERROR(Vintage_Input!BA160/$C210,""),""))</f>
        <v/>
      </c>
      <c r="AT210" s="152">
        <f>IF($B210=1,$D$33,IF(N(Vintage_Input!N160)&gt;0,IFERROR(Vintage_Input!BB160/$C210,""),""))</f>
        <v/>
      </c>
      <c r="AU210" s="152">
        <f>IF($B210=1,$E$33,IF(N(Vintage_Input!O160)&gt;0,IFERROR(Vintage_Input!BC160/$C210,""),""))</f>
        <v/>
      </c>
      <c r="AV210" s="152">
        <f>IF($B210=1,$F$33,IF(N(Vintage_Input!P160)&gt;0,IFERROR(Vintage_Input!BD160/$C210,""),""))</f>
        <v/>
      </c>
      <c r="AW210" s="152">
        <f>IF($B210=1,$G$33,IF(N(Vintage_Input!Q160)&gt;0,IFERROR(Vintage_Input!BE160/$C210,""),""))</f>
        <v/>
      </c>
      <c r="AX210" s="152">
        <f>IF($B210=1,$H$33,IF(N(Vintage_Input!R160)&gt;0,IFERROR(Vintage_Input!BF160/$C210,""),""))</f>
        <v/>
      </c>
      <c r="AY210" s="152">
        <f>IF($B210=1,$I$33,IF(N(Vintage_Input!S160)&gt;0,IFERROR(Vintage_Input!BG160/$C210,""),""))</f>
        <v/>
      </c>
      <c r="AZ210" s="153">
        <f>IF($B210=1,$B$34,IF(N(Vintage_Input!L160)&gt;0,IFERROR((Vintage_Input!D160+Vintage_Input!AR160)/$C210+Products!$E$14-(Products!$E$43+Products!$E$19+Products!$E$43*Products!$E$22+Products!$E$44),""),""))</f>
        <v/>
      </c>
      <c r="BA210" s="153">
        <f>IF($B210=1,$C$34,IF(N(Vintage_Input!M160)&gt;0,IFERROR((Vintage_Input!E160+Vintage_Input!AS160)/$C210+Products!$E$14-(Products!$E$43+Products!$E$19+Products!$E$43*Products!$E$22+Products!$E$44),""),""))</f>
        <v/>
      </c>
      <c r="BB210" s="153">
        <f>IF($B210=1,$D$34,IF(N(Vintage_Input!N160)&gt;0,IFERROR((Vintage_Input!F160+Vintage_Input!AT160)/$C210+Products!$E$14-(Products!$E$43+Products!$E$19+Products!$E$43*Products!$E$22+Products!$E$44),""),""))</f>
        <v/>
      </c>
      <c r="BC210" s="153">
        <f>IF($B210=1,$E$34,IF(N(Vintage_Input!O160)&gt;0,IFERROR((Vintage_Input!G160+Vintage_Input!AU160)/$C210+Products!$E$14-(Products!$E$43+Products!$E$19+Products!$E$43*Products!$E$22+Products!$E$44),""),""))</f>
        <v/>
      </c>
      <c r="BD210" s="153">
        <f>IF($B210=1,$F$34,IF(N(Vintage_Input!P160)&gt;0,IFERROR((Vintage_Input!H160+Vintage_Input!AV160)/$C210+Products!$E$14-(Products!$E$43+Products!$E$19+Products!$E$43*Products!$E$22+Products!$E$44),""),""))</f>
        <v/>
      </c>
      <c r="BE210" s="153">
        <f>IF($B210=1,$G$34,IF(N(Vintage_Input!Q160)&gt;0,IFERROR((Vintage_Input!I160+Vintage_Input!AW160)/$C210+Products!$E$14-(Products!$E$43+Products!$E$19+Products!$E$43*Products!$E$22+Products!$E$44),""),""))</f>
        <v/>
      </c>
      <c r="BF210" s="153">
        <f>IF($B210=1,$H$34,IF(N(Vintage_Input!R160)&gt;0,IFERROR((Vintage_Input!J160+Vintage_Input!AX160)/$C210+Products!$E$14-(Products!$E$43+Products!$E$19+Products!$E$43*Products!$E$22+Products!$E$44),""),""))</f>
        <v/>
      </c>
      <c r="BG210" s="153">
        <f>IF($B210=1,$I$34,IF(N(Vintage_Input!S160)&gt;0,IFERROR((Vintage_Input!K160+Vintage_Input!AY160)/$C210+Products!$E$14-(Products!$E$43+Products!$E$19+Products!$E$43*Products!$E$22+Products!$E$44),""),""))</f>
        <v/>
      </c>
      <c r="BH210" s="81">
        <f>IF($B210=1,0,IF(Vintage_Input!$BH$160="","",Vintage_Input!$BH$160))</f>
        <v/>
      </c>
    </row>
    <row r="211">
      <c r="A211" s="23" t="n">
        <v>23</v>
      </c>
      <c r="B211" s="48">
        <f>Vintage_Input!$B$161</f>
        <v/>
      </c>
      <c r="C211" s="41">
        <f>IF(Vintage_Input!$C$161="",0,Vintage_Input!$C$161)</f>
        <v/>
      </c>
      <c r="D211" s="152">
        <f>IF($B211=1,$B$28,IF(N(Vintage_Input!L161)&gt;0,Vintage_Input!D161/Vintage_Input!L161,""))</f>
        <v/>
      </c>
      <c r="E211" s="152">
        <f>IF($B211=1,$C$28,IF(N(Vintage_Input!M161)&gt;0,Vintage_Input!E161/Vintage_Input!M161,""))</f>
        <v/>
      </c>
      <c r="F211" s="152">
        <f>IF($B211=1,$D$28,IF(N(Vintage_Input!N161)&gt;0,Vintage_Input!F161/Vintage_Input!N161,""))</f>
        <v/>
      </c>
      <c r="G211" s="152">
        <f>IF($B211=1,$E$28,IF(N(Vintage_Input!O161)&gt;0,Vintage_Input!G161/Vintage_Input!O161,""))</f>
        <v/>
      </c>
      <c r="H211" s="152">
        <f>IF($B211=1,$F$28,IF(N(Vintage_Input!P161)&gt;0,Vintage_Input!H161/Vintage_Input!P161,""))</f>
        <v/>
      </c>
      <c r="I211" s="152">
        <f>IF($B211=1,$G$28,IF(N(Vintage_Input!Q161)&gt;0,Vintage_Input!I161/Vintage_Input!Q161,""))</f>
        <v/>
      </c>
      <c r="J211" s="152">
        <f>IF($B211=1,$H$28,IF(N(Vintage_Input!R161)&gt;0,Vintage_Input!J161/Vintage_Input!R161,""))</f>
        <v/>
      </c>
      <c r="K211" s="152">
        <f>IF($B211=1,$I$28,IF(N(Vintage_Input!S161)&gt;0,Vintage_Input!K161/Vintage_Input!S161,""))</f>
        <v/>
      </c>
      <c r="L211" s="152">
        <f>IF($B211=1,$B$29,IF(N(Vintage_Input!L161)&gt;0,Vintage_Input!T161/Vintage_Input!L161,""))</f>
        <v/>
      </c>
      <c r="M211" s="152">
        <f>IF($B211=1,$C$29,IF(N(Vintage_Input!M161)&gt;0,Vintage_Input!U161/Vintage_Input!M161,""))</f>
        <v/>
      </c>
      <c r="N211" s="152">
        <f>IF($B211=1,$D$29,IF(N(Vintage_Input!N161)&gt;0,Vintage_Input!V161/Vintage_Input!N161,""))</f>
        <v/>
      </c>
      <c r="O211" s="152">
        <f>IF($B211=1,$E$29,IF(N(Vintage_Input!O161)&gt;0,Vintage_Input!W161/Vintage_Input!O161,""))</f>
        <v/>
      </c>
      <c r="P211" s="152">
        <f>IF($B211=1,$F$29,IF(N(Vintage_Input!P161)&gt;0,Vintage_Input!X161/Vintage_Input!P161,""))</f>
        <v/>
      </c>
      <c r="Q211" s="152">
        <f>IF($B211=1,$G$29,IF(N(Vintage_Input!Q161)&gt;0,Vintage_Input!Y161/Vintage_Input!Q161,""))</f>
        <v/>
      </c>
      <c r="R211" s="152">
        <f>IF($B211=1,$H$29,IF(N(Vintage_Input!R161)&gt;0,Vintage_Input!Z161/Vintage_Input!R161,""))</f>
        <v/>
      </c>
      <c r="S211" s="152">
        <f>IF($B211=1,$I$29,IF(N(Vintage_Input!S161)&gt;0,Vintage_Input!AA161/Vintage_Input!S161,""))</f>
        <v/>
      </c>
      <c r="T211" s="152">
        <f>IF($B211=1,$B$30,IF(N(Vintage_Input!L161)&gt;0,Vintage_Input!AB161/Vintage_Input!L161,""))</f>
        <v/>
      </c>
      <c r="U211" s="152">
        <f>IF($B211=1,$C$30,IF(N(Vintage_Input!M161)&gt;0,Vintage_Input!AC161/Vintage_Input!M161,""))</f>
        <v/>
      </c>
      <c r="V211" s="152">
        <f>IF($B211=1,$D$30,IF(N(Vintage_Input!N161)&gt;0,Vintage_Input!AD161/Vintage_Input!N161,""))</f>
        <v/>
      </c>
      <c r="W211" s="152">
        <f>IF($B211=1,$E$30,IF(N(Vintage_Input!O161)&gt;0,Vintage_Input!AE161/Vintage_Input!O161,""))</f>
        <v/>
      </c>
      <c r="X211" s="152">
        <f>IF($B211=1,$F$30,IF(N(Vintage_Input!P161)&gt;0,Vintage_Input!AF161/Vintage_Input!P161,""))</f>
        <v/>
      </c>
      <c r="Y211" s="152">
        <f>IF($B211=1,$G$30,IF(N(Vintage_Input!Q161)&gt;0,Vintage_Input!AG161/Vintage_Input!Q161,""))</f>
        <v/>
      </c>
      <c r="Z211" s="152">
        <f>IF($B211=1,$H$30,IF(N(Vintage_Input!R161)&gt;0,Vintage_Input!AH161/Vintage_Input!R161,""))</f>
        <v/>
      </c>
      <c r="AA211" s="152">
        <f>IF($B211=1,$I$30,IF(N(Vintage_Input!S161)&gt;0,Vintage_Input!AI161/Vintage_Input!S161,""))</f>
        <v/>
      </c>
      <c r="AB211" s="152">
        <f>IF($B211=1,$B$31,IF(N(Vintage_Input!L161)&gt;0,Vintage_Input!AJ161/Vintage_Input!L161,""))</f>
        <v/>
      </c>
      <c r="AC211" s="152">
        <f>IF($B211=1,$C$31,IF(N(Vintage_Input!M161)&gt;0,Vintage_Input!AK161/Vintage_Input!M161,""))</f>
        <v/>
      </c>
      <c r="AD211" s="152">
        <f>IF($B211=1,$D$31,IF(N(Vintage_Input!N161)&gt;0,Vintage_Input!AL161/Vintage_Input!N161,""))</f>
        <v/>
      </c>
      <c r="AE211" s="152">
        <f>IF($B211=1,$E$31,IF(N(Vintage_Input!O161)&gt;0,Vintage_Input!AM161/Vintage_Input!O161,""))</f>
        <v/>
      </c>
      <c r="AF211" s="152">
        <f>IF($B211=1,$F$31,IF(N(Vintage_Input!P161)&gt;0,Vintage_Input!AN161/Vintage_Input!P161,""))</f>
        <v/>
      </c>
      <c r="AG211" s="152">
        <f>IF($B211=1,$G$31,IF(N(Vintage_Input!Q161)&gt;0,Vintage_Input!AO161/Vintage_Input!Q161,""))</f>
        <v/>
      </c>
      <c r="AH211" s="152">
        <f>IF($B211=1,$H$31,IF(N(Vintage_Input!R161)&gt;0,Vintage_Input!AP161/Vintage_Input!R161,""))</f>
        <v/>
      </c>
      <c r="AI211" s="152">
        <f>IF($B211=1,$I$31,IF(N(Vintage_Input!S161)&gt;0,Vintage_Input!AQ161/Vintage_Input!S161,""))</f>
        <v/>
      </c>
      <c r="AJ211" s="152">
        <f>IF($B211=1,$B$32,IF(N(Vintage_Input!L161)&gt;0,IFERROR(Vintage_Input!AR161/Vintage_Input!AJ161,""),""))</f>
        <v/>
      </c>
      <c r="AK211" s="152">
        <f>IF($B211=1,$C$32,IF(N(Vintage_Input!M161)&gt;0,IFERROR(Vintage_Input!AS161/Vintage_Input!AK161,""),""))</f>
        <v/>
      </c>
      <c r="AL211" s="152">
        <f>IF($B211=1,$D$32,IF(N(Vintage_Input!N161)&gt;0,IFERROR(Vintage_Input!AT161/Vintage_Input!AL161,""),""))</f>
        <v/>
      </c>
      <c r="AM211" s="152">
        <f>IF($B211=1,$E$32,IF(N(Vintage_Input!O161)&gt;0,IFERROR(Vintage_Input!AU161/Vintage_Input!AM161,""),""))</f>
        <v/>
      </c>
      <c r="AN211" s="152">
        <f>IF($B211=1,$F$32,IF(N(Vintage_Input!P161)&gt;0,IFERROR(Vintage_Input!AV161/Vintage_Input!AN161,""),""))</f>
        <v/>
      </c>
      <c r="AO211" s="152">
        <f>IF($B211=1,$G$32,IF(N(Vintage_Input!Q161)&gt;0,IFERROR(Vintage_Input!AW161/Vintage_Input!AO161,""),""))</f>
        <v/>
      </c>
      <c r="AP211" s="152">
        <f>IF($B211=1,$H$32,IF(N(Vintage_Input!R161)&gt;0,IFERROR(Vintage_Input!AX161/Vintage_Input!AP161,""),""))</f>
        <v/>
      </c>
      <c r="AQ211" s="152">
        <f>IF($B211=1,$I$32,IF(N(Vintage_Input!S161)&gt;0,IFERROR(Vintage_Input!AY161/Vintage_Input!AQ161,""),""))</f>
        <v/>
      </c>
      <c r="AR211" s="152">
        <f>IF($B211=1,$B$33,IF(N(Vintage_Input!L161)&gt;0,IFERROR(Vintage_Input!AZ161/$C211,""),""))</f>
        <v/>
      </c>
      <c r="AS211" s="152">
        <f>IF($B211=1,$C$33,IF(N(Vintage_Input!M161)&gt;0,IFERROR(Vintage_Input!BA161/$C211,""),""))</f>
        <v/>
      </c>
      <c r="AT211" s="152">
        <f>IF($B211=1,$D$33,IF(N(Vintage_Input!N161)&gt;0,IFERROR(Vintage_Input!BB161/$C211,""),""))</f>
        <v/>
      </c>
      <c r="AU211" s="152">
        <f>IF($B211=1,$E$33,IF(N(Vintage_Input!O161)&gt;0,IFERROR(Vintage_Input!BC161/$C211,""),""))</f>
        <v/>
      </c>
      <c r="AV211" s="152">
        <f>IF($B211=1,$F$33,IF(N(Vintage_Input!P161)&gt;0,IFERROR(Vintage_Input!BD161/$C211,""),""))</f>
        <v/>
      </c>
      <c r="AW211" s="152">
        <f>IF($B211=1,$G$33,IF(N(Vintage_Input!Q161)&gt;0,IFERROR(Vintage_Input!BE161/$C211,""),""))</f>
        <v/>
      </c>
      <c r="AX211" s="152">
        <f>IF($B211=1,$H$33,IF(N(Vintage_Input!R161)&gt;0,IFERROR(Vintage_Input!BF161/$C211,""),""))</f>
        <v/>
      </c>
      <c r="AY211" s="152">
        <f>IF($B211=1,$I$33,IF(N(Vintage_Input!S161)&gt;0,IFERROR(Vintage_Input!BG161/$C211,""),""))</f>
        <v/>
      </c>
      <c r="AZ211" s="153">
        <f>IF($B211=1,$B$34,IF(N(Vintage_Input!L161)&gt;0,IFERROR((Vintage_Input!D161+Vintage_Input!AR161)/$C211+Products!$E$14-(Products!$E$43+Products!$E$19+Products!$E$43*Products!$E$22+Products!$E$44),""),""))</f>
        <v/>
      </c>
      <c r="BA211" s="153">
        <f>IF($B211=1,$C$34,IF(N(Vintage_Input!M161)&gt;0,IFERROR((Vintage_Input!E161+Vintage_Input!AS161)/$C211+Products!$E$14-(Products!$E$43+Products!$E$19+Products!$E$43*Products!$E$22+Products!$E$44),""),""))</f>
        <v/>
      </c>
      <c r="BB211" s="153">
        <f>IF($B211=1,$D$34,IF(N(Vintage_Input!N161)&gt;0,IFERROR((Vintage_Input!F161+Vintage_Input!AT161)/$C211+Products!$E$14-(Products!$E$43+Products!$E$19+Products!$E$43*Products!$E$22+Products!$E$44),""),""))</f>
        <v/>
      </c>
      <c r="BC211" s="153">
        <f>IF($B211=1,$E$34,IF(N(Vintage_Input!O161)&gt;0,IFERROR((Vintage_Input!G161+Vintage_Input!AU161)/$C211+Products!$E$14-(Products!$E$43+Products!$E$19+Products!$E$43*Products!$E$22+Products!$E$44),""),""))</f>
        <v/>
      </c>
      <c r="BD211" s="153">
        <f>IF($B211=1,$F$34,IF(N(Vintage_Input!P161)&gt;0,IFERROR((Vintage_Input!H161+Vintage_Input!AV161)/$C211+Products!$E$14-(Products!$E$43+Products!$E$19+Products!$E$43*Products!$E$22+Products!$E$44),""),""))</f>
        <v/>
      </c>
      <c r="BE211" s="153">
        <f>IF($B211=1,$G$34,IF(N(Vintage_Input!Q161)&gt;0,IFERROR((Vintage_Input!I161+Vintage_Input!AW161)/$C211+Products!$E$14-(Products!$E$43+Products!$E$19+Products!$E$43*Products!$E$22+Products!$E$44),""),""))</f>
        <v/>
      </c>
      <c r="BF211" s="153">
        <f>IF($B211=1,$H$34,IF(N(Vintage_Input!R161)&gt;0,IFERROR((Vintage_Input!J161+Vintage_Input!AX161)/$C211+Products!$E$14-(Products!$E$43+Products!$E$19+Products!$E$43*Products!$E$22+Products!$E$44),""),""))</f>
        <v/>
      </c>
      <c r="BG211" s="153">
        <f>IF($B211=1,$I$34,IF(N(Vintage_Input!S161)&gt;0,IFERROR((Vintage_Input!K161+Vintage_Input!AY161)/$C211+Products!$E$14-(Products!$E$43+Products!$E$19+Products!$E$43*Products!$E$22+Products!$E$44),""),""))</f>
        <v/>
      </c>
      <c r="BH211" s="81">
        <f>IF($B211=1,0,IF(Vintage_Input!$BH$161="","",Vintage_Input!$BH$161))</f>
        <v/>
      </c>
    </row>
    <row r="212">
      <c r="A212" s="23" t="n">
        <v>24</v>
      </c>
      <c r="B212" s="48">
        <f>Vintage_Input!$B$162</f>
        <v/>
      </c>
      <c r="C212" s="41">
        <f>IF(Vintage_Input!$C$162="",0,Vintage_Input!$C$162)</f>
        <v/>
      </c>
      <c r="D212" s="152">
        <f>IF($B212=1,$B$28,IF(N(Vintage_Input!L162)&gt;0,Vintage_Input!D162/Vintage_Input!L162,""))</f>
        <v/>
      </c>
      <c r="E212" s="152">
        <f>IF($B212=1,$C$28,IF(N(Vintage_Input!M162)&gt;0,Vintage_Input!E162/Vintage_Input!M162,""))</f>
        <v/>
      </c>
      <c r="F212" s="152">
        <f>IF($B212=1,$D$28,IF(N(Vintage_Input!N162)&gt;0,Vintage_Input!F162/Vintage_Input!N162,""))</f>
        <v/>
      </c>
      <c r="G212" s="152">
        <f>IF($B212=1,$E$28,IF(N(Vintage_Input!O162)&gt;0,Vintage_Input!G162/Vintage_Input!O162,""))</f>
        <v/>
      </c>
      <c r="H212" s="152">
        <f>IF($B212=1,$F$28,IF(N(Vintage_Input!P162)&gt;0,Vintage_Input!H162/Vintage_Input!P162,""))</f>
        <v/>
      </c>
      <c r="I212" s="152">
        <f>IF($B212=1,$G$28,IF(N(Vintage_Input!Q162)&gt;0,Vintage_Input!I162/Vintage_Input!Q162,""))</f>
        <v/>
      </c>
      <c r="J212" s="152">
        <f>IF($B212=1,$H$28,IF(N(Vintage_Input!R162)&gt;0,Vintage_Input!J162/Vintage_Input!R162,""))</f>
        <v/>
      </c>
      <c r="K212" s="152">
        <f>IF($B212=1,$I$28,IF(N(Vintage_Input!S162)&gt;0,Vintage_Input!K162/Vintage_Input!S162,""))</f>
        <v/>
      </c>
      <c r="L212" s="152">
        <f>IF($B212=1,$B$29,IF(N(Vintage_Input!L162)&gt;0,Vintage_Input!T162/Vintage_Input!L162,""))</f>
        <v/>
      </c>
      <c r="M212" s="152">
        <f>IF($B212=1,$C$29,IF(N(Vintage_Input!M162)&gt;0,Vintage_Input!U162/Vintage_Input!M162,""))</f>
        <v/>
      </c>
      <c r="N212" s="152">
        <f>IF($B212=1,$D$29,IF(N(Vintage_Input!N162)&gt;0,Vintage_Input!V162/Vintage_Input!N162,""))</f>
        <v/>
      </c>
      <c r="O212" s="152">
        <f>IF($B212=1,$E$29,IF(N(Vintage_Input!O162)&gt;0,Vintage_Input!W162/Vintage_Input!O162,""))</f>
        <v/>
      </c>
      <c r="P212" s="152">
        <f>IF($B212=1,$F$29,IF(N(Vintage_Input!P162)&gt;0,Vintage_Input!X162/Vintage_Input!P162,""))</f>
        <v/>
      </c>
      <c r="Q212" s="152">
        <f>IF($B212=1,$G$29,IF(N(Vintage_Input!Q162)&gt;0,Vintage_Input!Y162/Vintage_Input!Q162,""))</f>
        <v/>
      </c>
      <c r="R212" s="152">
        <f>IF($B212=1,$H$29,IF(N(Vintage_Input!R162)&gt;0,Vintage_Input!Z162/Vintage_Input!R162,""))</f>
        <v/>
      </c>
      <c r="S212" s="152">
        <f>IF($B212=1,$I$29,IF(N(Vintage_Input!S162)&gt;0,Vintage_Input!AA162/Vintage_Input!S162,""))</f>
        <v/>
      </c>
      <c r="T212" s="152">
        <f>IF($B212=1,$B$30,IF(N(Vintage_Input!L162)&gt;0,Vintage_Input!AB162/Vintage_Input!L162,""))</f>
        <v/>
      </c>
      <c r="U212" s="152">
        <f>IF($B212=1,$C$30,IF(N(Vintage_Input!M162)&gt;0,Vintage_Input!AC162/Vintage_Input!M162,""))</f>
        <v/>
      </c>
      <c r="V212" s="152">
        <f>IF($B212=1,$D$30,IF(N(Vintage_Input!N162)&gt;0,Vintage_Input!AD162/Vintage_Input!N162,""))</f>
        <v/>
      </c>
      <c r="W212" s="152">
        <f>IF($B212=1,$E$30,IF(N(Vintage_Input!O162)&gt;0,Vintage_Input!AE162/Vintage_Input!O162,""))</f>
        <v/>
      </c>
      <c r="X212" s="152">
        <f>IF($B212=1,$F$30,IF(N(Vintage_Input!P162)&gt;0,Vintage_Input!AF162/Vintage_Input!P162,""))</f>
        <v/>
      </c>
      <c r="Y212" s="152">
        <f>IF($B212=1,$G$30,IF(N(Vintage_Input!Q162)&gt;0,Vintage_Input!AG162/Vintage_Input!Q162,""))</f>
        <v/>
      </c>
      <c r="Z212" s="152">
        <f>IF($B212=1,$H$30,IF(N(Vintage_Input!R162)&gt;0,Vintage_Input!AH162/Vintage_Input!R162,""))</f>
        <v/>
      </c>
      <c r="AA212" s="152">
        <f>IF($B212=1,$I$30,IF(N(Vintage_Input!S162)&gt;0,Vintage_Input!AI162/Vintage_Input!S162,""))</f>
        <v/>
      </c>
      <c r="AB212" s="152">
        <f>IF($B212=1,$B$31,IF(N(Vintage_Input!L162)&gt;0,Vintage_Input!AJ162/Vintage_Input!L162,""))</f>
        <v/>
      </c>
      <c r="AC212" s="152">
        <f>IF($B212=1,$C$31,IF(N(Vintage_Input!M162)&gt;0,Vintage_Input!AK162/Vintage_Input!M162,""))</f>
        <v/>
      </c>
      <c r="AD212" s="152">
        <f>IF($B212=1,$D$31,IF(N(Vintage_Input!N162)&gt;0,Vintage_Input!AL162/Vintage_Input!N162,""))</f>
        <v/>
      </c>
      <c r="AE212" s="152">
        <f>IF($B212=1,$E$31,IF(N(Vintage_Input!O162)&gt;0,Vintage_Input!AM162/Vintage_Input!O162,""))</f>
        <v/>
      </c>
      <c r="AF212" s="152">
        <f>IF($B212=1,$F$31,IF(N(Vintage_Input!P162)&gt;0,Vintage_Input!AN162/Vintage_Input!P162,""))</f>
        <v/>
      </c>
      <c r="AG212" s="152">
        <f>IF($B212=1,$G$31,IF(N(Vintage_Input!Q162)&gt;0,Vintage_Input!AO162/Vintage_Input!Q162,""))</f>
        <v/>
      </c>
      <c r="AH212" s="152">
        <f>IF($B212=1,$H$31,IF(N(Vintage_Input!R162)&gt;0,Vintage_Input!AP162/Vintage_Input!R162,""))</f>
        <v/>
      </c>
      <c r="AI212" s="152">
        <f>IF($B212=1,$I$31,IF(N(Vintage_Input!S162)&gt;0,Vintage_Input!AQ162/Vintage_Input!S162,""))</f>
        <v/>
      </c>
      <c r="AJ212" s="152">
        <f>IF($B212=1,$B$32,IF(N(Vintage_Input!L162)&gt;0,IFERROR(Vintage_Input!AR162/Vintage_Input!AJ162,""),""))</f>
        <v/>
      </c>
      <c r="AK212" s="152">
        <f>IF($B212=1,$C$32,IF(N(Vintage_Input!M162)&gt;0,IFERROR(Vintage_Input!AS162/Vintage_Input!AK162,""),""))</f>
        <v/>
      </c>
      <c r="AL212" s="152">
        <f>IF($B212=1,$D$32,IF(N(Vintage_Input!N162)&gt;0,IFERROR(Vintage_Input!AT162/Vintage_Input!AL162,""),""))</f>
        <v/>
      </c>
      <c r="AM212" s="152">
        <f>IF($B212=1,$E$32,IF(N(Vintage_Input!O162)&gt;0,IFERROR(Vintage_Input!AU162/Vintage_Input!AM162,""),""))</f>
        <v/>
      </c>
      <c r="AN212" s="152">
        <f>IF($B212=1,$F$32,IF(N(Vintage_Input!P162)&gt;0,IFERROR(Vintage_Input!AV162/Vintage_Input!AN162,""),""))</f>
        <v/>
      </c>
      <c r="AO212" s="152">
        <f>IF($B212=1,$G$32,IF(N(Vintage_Input!Q162)&gt;0,IFERROR(Vintage_Input!AW162/Vintage_Input!AO162,""),""))</f>
        <v/>
      </c>
      <c r="AP212" s="152">
        <f>IF($B212=1,$H$32,IF(N(Vintage_Input!R162)&gt;0,IFERROR(Vintage_Input!AX162/Vintage_Input!AP162,""),""))</f>
        <v/>
      </c>
      <c r="AQ212" s="152">
        <f>IF($B212=1,$I$32,IF(N(Vintage_Input!S162)&gt;0,IFERROR(Vintage_Input!AY162/Vintage_Input!AQ162,""),""))</f>
        <v/>
      </c>
      <c r="AR212" s="152">
        <f>IF($B212=1,$B$33,IF(N(Vintage_Input!L162)&gt;0,IFERROR(Vintage_Input!AZ162/$C212,""),""))</f>
        <v/>
      </c>
      <c r="AS212" s="152">
        <f>IF($B212=1,$C$33,IF(N(Vintage_Input!M162)&gt;0,IFERROR(Vintage_Input!BA162/$C212,""),""))</f>
        <v/>
      </c>
      <c r="AT212" s="152">
        <f>IF($B212=1,$D$33,IF(N(Vintage_Input!N162)&gt;0,IFERROR(Vintage_Input!BB162/$C212,""),""))</f>
        <v/>
      </c>
      <c r="AU212" s="152">
        <f>IF($B212=1,$E$33,IF(N(Vintage_Input!O162)&gt;0,IFERROR(Vintage_Input!BC162/$C212,""),""))</f>
        <v/>
      </c>
      <c r="AV212" s="152">
        <f>IF($B212=1,$F$33,IF(N(Vintage_Input!P162)&gt;0,IFERROR(Vintage_Input!BD162/$C212,""),""))</f>
        <v/>
      </c>
      <c r="AW212" s="152">
        <f>IF($B212=1,$G$33,IF(N(Vintage_Input!Q162)&gt;0,IFERROR(Vintage_Input!BE162/$C212,""),""))</f>
        <v/>
      </c>
      <c r="AX212" s="152">
        <f>IF($B212=1,$H$33,IF(N(Vintage_Input!R162)&gt;0,IFERROR(Vintage_Input!BF162/$C212,""),""))</f>
        <v/>
      </c>
      <c r="AY212" s="152">
        <f>IF($B212=1,$I$33,IF(N(Vintage_Input!S162)&gt;0,IFERROR(Vintage_Input!BG162/$C212,""),""))</f>
        <v/>
      </c>
      <c r="AZ212" s="153">
        <f>IF($B212=1,$B$34,IF(N(Vintage_Input!L162)&gt;0,IFERROR((Vintage_Input!D162+Vintage_Input!AR162)/$C212+Products!$E$14-(Products!$E$43+Products!$E$19+Products!$E$43*Products!$E$22+Products!$E$44),""),""))</f>
        <v/>
      </c>
      <c r="BA212" s="153">
        <f>IF($B212=1,$C$34,IF(N(Vintage_Input!M162)&gt;0,IFERROR((Vintage_Input!E162+Vintage_Input!AS162)/$C212+Products!$E$14-(Products!$E$43+Products!$E$19+Products!$E$43*Products!$E$22+Products!$E$44),""),""))</f>
        <v/>
      </c>
      <c r="BB212" s="153">
        <f>IF($B212=1,$D$34,IF(N(Vintage_Input!N162)&gt;0,IFERROR((Vintage_Input!F162+Vintage_Input!AT162)/$C212+Products!$E$14-(Products!$E$43+Products!$E$19+Products!$E$43*Products!$E$22+Products!$E$44),""),""))</f>
        <v/>
      </c>
      <c r="BC212" s="153">
        <f>IF($B212=1,$E$34,IF(N(Vintage_Input!O162)&gt;0,IFERROR((Vintage_Input!G162+Vintage_Input!AU162)/$C212+Products!$E$14-(Products!$E$43+Products!$E$19+Products!$E$43*Products!$E$22+Products!$E$44),""),""))</f>
        <v/>
      </c>
      <c r="BD212" s="153">
        <f>IF($B212=1,$F$34,IF(N(Vintage_Input!P162)&gt;0,IFERROR((Vintage_Input!H162+Vintage_Input!AV162)/$C212+Products!$E$14-(Products!$E$43+Products!$E$19+Products!$E$43*Products!$E$22+Products!$E$44),""),""))</f>
        <v/>
      </c>
      <c r="BE212" s="153">
        <f>IF($B212=1,$G$34,IF(N(Vintage_Input!Q162)&gt;0,IFERROR((Vintage_Input!I162+Vintage_Input!AW162)/$C212+Products!$E$14-(Products!$E$43+Products!$E$19+Products!$E$43*Products!$E$22+Products!$E$44),""),""))</f>
        <v/>
      </c>
      <c r="BF212" s="153">
        <f>IF($B212=1,$H$34,IF(N(Vintage_Input!R162)&gt;0,IFERROR((Vintage_Input!J162+Vintage_Input!AX162)/$C212+Products!$E$14-(Products!$E$43+Products!$E$19+Products!$E$43*Products!$E$22+Products!$E$44),""),""))</f>
        <v/>
      </c>
      <c r="BG212" s="153">
        <f>IF($B212=1,$I$34,IF(N(Vintage_Input!S162)&gt;0,IFERROR((Vintage_Input!K162+Vintage_Input!AY162)/$C212+Products!$E$14-(Products!$E$43+Products!$E$19+Products!$E$43*Products!$E$22+Products!$E$44),""),""))</f>
        <v/>
      </c>
      <c r="BH212" s="81">
        <f>IF($B212=1,0,IF(Vintage_Input!$BH$162="","",Vintage_Input!$BH$162))</f>
        <v/>
      </c>
    </row>
    <row r="213">
      <c r="A213" s="23" t="n">
        <v>25</v>
      </c>
      <c r="B213" s="48">
        <f>Vintage_Input!$B$163</f>
        <v/>
      </c>
      <c r="C213" s="41">
        <f>IF(Vintage_Input!$C$163="",0,Vintage_Input!$C$163)</f>
        <v/>
      </c>
      <c r="D213" s="152">
        <f>IF($B213=1,$B$28,IF(N(Vintage_Input!L163)&gt;0,Vintage_Input!D163/Vintage_Input!L163,""))</f>
        <v/>
      </c>
      <c r="E213" s="152">
        <f>IF($B213=1,$C$28,IF(N(Vintage_Input!M163)&gt;0,Vintage_Input!E163/Vintage_Input!M163,""))</f>
        <v/>
      </c>
      <c r="F213" s="152">
        <f>IF($B213=1,$D$28,IF(N(Vintage_Input!N163)&gt;0,Vintage_Input!F163/Vintage_Input!N163,""))</f>
        <v/>
      </c>
      <c r="G213" s="152">
        <f>IF($B213=1,$E$28,IF(N(Vintage_Input!O163)&gt;0,Vintage_Input!G163/Vintage_Input!O163,""))</f>
        <v/>
      </c>
      <c r="H213" s="152">
        <f>IF($B213=1,$F$28,IF(N(Vintage_Input!P163)&gt;0,Vintage_Input!H163/Vintage_Input!P163,""))</f>
        <v/>
      </c>
      <c r="I213" s="152">
        <f>IF($B213=1,$G$28,IF(N(Vintage_Input!Q163)&gt;0,Vintage_Input!I163/Vintage_Input!Q163,""))</f>
        <v/>
      </c>
      <c r="J213" s="152">
        <f>IF($B213=1,$H$28,IF(N(Vintage_Input!R163)&gt;0,Vintage_Input!J163/Vintage_Input!R163,""))</f>
        <v/>
      </c>
      <c r="K213" s="152">
        <f>IF($B213=1,$I$28,IF(N(Vintage_Input!S163)&gt;0,Vintage_Input!K163/Vintage_Input!S163,""))</f>
        <v/>
      </c>
      <c r="L213" s="152">
        <f>IF($B213=1,$B$29,IF(N(Vintage_Input!L163)&gt;0,Vintage_Input!T163/Vintage_Input!L163,""))</f>
        <v/>
      </c>
      <c r="M213" s="152">
        <f>IF($B213=1,$C$29,IF(N(Vintage_Input!M163)&gt;0,Vintage_Input!U163/Vintage_Input!M163,""))</f>
        <v/>
      </c>
      <c r="N213" s="152">
        <f>IF($B213=1,$D$29,IF(N(Vintage_Input!N163)&gt;0,Vintage_Input!V163/Vintage_Input!N163,""))</f>
        <v/>
      </c>
      <c r="O213" s="152">
        <f>IF($B213=1,$E$29,IF(N(Vintage_Input!O163)&gt;0,Vintage_Input!W163/Vintage_Input!O163,""))</f>
        <v/>
      </c>
      <c r="P213" s="152">
        <f>IF($B213=1,$F$29,IF(N(Vintage_Input!P163)&gt;0,Vintage_Input!X163/Vintage_Input!P163,""))</f>
        <v/>
      </c>
      <c r="Q213" s="152">
        <f>IF($B213=1,$G$29,IF(N(Vintage_Input!Q163)&gt;0,Vintage_Input!Y163/Vintage_Input!Q163,""))</f>
        <v/>
      </c>
      <c r="R213" s="152">
        <f>IF($B213=1,$H$29,IF(N(Vintage_Input!R163)&gt;0,Vintage_Input!Z163/Vintage_Input!R163,""))</f>
        <v/>
      </c>
      <c r="S213" s="152">
        <f>IF($B213=1,$I$29,IF(N(Vintage_Input!S163)&gt;0,Vintage_Input!AA163/Vintage_Input!S163,""))</f>
        <v/>
      </c>
      <c r="T213" s="152">
        <f>IF($B213=1,$B$30,IF(N(Vintage_Input!L163)&gt;0,Vintage_Input!AB163/Vintage_Input!L163,""))</f>
        <v/>
      </c>
      <c r="U213" s="152">
        <f>IF($B213=1,$C$30,IF(N(Vintage_Input!M163)&gt;0,Vintage_Input!AC163/Vintage_Input!M163,""))</f>
        <v/>
      </c>
      <c r="V213" s="152">
        <f>IF($B213=1,$D$30,IF(N(Vintage_Input!N163)&gt;0,Vintage_Input!AD163/Vintage_Input!N163,""))</f>
        <v/>
      </c>
      <c r="W213" s="152">
        <f>IF($B213=1,$E$30,IF(N(Vintage_Input!O163)&gt;0,Vintage_Input!AE163/Vintage_Input!O163,""))</f>
        <v/>
      </c>
      <c r="X213" s="152">
        <f>IF($B213=1,$F$30,IF(N(Vintage_Input!P163)&gt;0,Vintage_Input!AF163/Vintage_Input!P163,""))</f>
        <v/>
      </c>
      <c r="Y213" s="152">
        <f>IF($B213=1,$G$30,IF(N(Vintage_Input!Q163)&gt;0,Vintage_Input!AG163/Vintage_Input!Q163,""))</f>
        <v/>
      </c>
      <c r="Z213" s="152">
        <f>IF($B213=1,$H$30,IF(N(Vintage_Input!R163)&gt;0,Vintage_Input!AH163/Vintage_Input!R163,""))</f>
        <v/>
      </c>
      <c r="AA213" s="152">
        <f>IF($B213=1,$I$30,IF(N(Vintage_Input!S163)&gt;0,Vintage_Input!AI163/Vintage_Input!S163,""))</f>
        <v/>
      </c>
      <c r="AB213" s="152">
        <f>IF($B213=1,$B$31,IF(N(Vintage_Input!L163)&gt;0,Vintage_Input!AJ163/Vintage_Input!L163,""))</f>
        <v/>
      </c>
      <c r="AC213" s="152">
        <f>IF($B213=1,$C$31,IF(N(Vintage_Input!M163)&gt;0,Vintage_Input!AK163/Vintage_Input!M163,""))</f>
        <v/>
      </c>
      <c r="AD213" s="152">
        <f>IF($B213=1,$D$31,IF(N(Vintage_Input!N163)&gt;0,Vintage_Input!AL163/Vintage_Input!N163,""))</f>
        <v/>
      </c>
      <c r="AE213" s="152">
        <f>IF($B213=1,$E$31,IF(N(Vintage_Input!O163)&gt;0,Vintage_Input!AM163/Vintage_Input!O163,""))</f>
        <v/>
      </c>
      <c r="AF213" s="152">
        <f>IF($B213=1,$F$31,IF(N(Vintage_Input!P163)&gt;0,Vintage_Input!AN163/Vintage_Input!P163,""))</f>
        <v/>
      </c>
      <c r="AG213" s="152">
        <f>IF($B213=1,$G$31,IF(N(Vintage_Input!Q163)&gt;0,Vintage_Input!AO163/Vintage_Input!Q163,""))</f>
        <v/>
      </c>
      <c r="AH213" s="152">
        <f>IF($B213=1,$H$31,IF(N(Vintage_Input!R163)&gt;0,Vintage_Input!AP163/Vintage_Input!R163,""))</f>
        <v/>
      </c>
      <c r="AI213" s="152">
        <f>IF($B213=1,$I$31,IF(N(Vintage_Input!S163)&gt;0,Vintage_Input!AQ163/Vintage_Input!S163,""))</f>
        <v/>
      </c>
      <c r="AJ213" s="152">
        <f>IF($B213=1,$B$32,IF(N(Vintage_Input!L163)&gt;0,IFERROR(Vintage_Input!AR163/Vintage_Input!AJ163,""),""))</f>
        <v/>
      </c>
      <c r="AK213" s="152">
        <f>IF($B213=1,$C$32,IF(N(Vintage_Input!M163)&gt;0,IFERROR(Vintage_Input!AS163/Vintage_Input!AK163,""),""))</f>
        <v/>
      </c>
      <c r="AL213" s="152">
        <f>IF($B213=1,$D$32,IF(N(Vintage_Input!N163)&gt;0,IFERROR(Vintage_Input!AT163/Vintage_Input!AL163,""),""))</f>
        <v/>
      </c>
      <c r="AM213" s="152">
        <f>IF($B213=1,$E$32,IF(N(Vintage_Input!O163)&gt;0,IFERROR(Vintage_Input!AU163/Vintage_Input!AM163,""),""))</f>
        <v/>
      </c>
      <c r="AN213" s="152">
        <f>IF($B213=1,$F$32,IF(N(Vintage_Input!P163)&gt;0,IFERROR(Vintage_Input!AV163/Vintage_Input!AN163,""),""))</f>
        <v/>
      </c>
      <c r="AO213" s="152">
        <f>IF($B213=1,$G$32,IF(N(Vintage_Input!Q163)&gt;0,IFERROR(Vintage_Input!AW163/Vintage_Input!AO163,""),""))</f>
        <v/>
      </c>
      <c r="AP213" s="152">
        <f>IF($B213=1,$H$32,IF(N(Vintage_Input!R163)&gt;0,IFERROR(Vintage_Input!AX163/Vintage_Input!AP163,""),""))</f>
        <v/>
      </c>
      <c r="AQ213" s="152">
        <f>IF($B213=1,$I$32,IF(N(Vintage_Input!S163)&gt;0,IFERROR(Vintage_Input!AY163/Vintage_Input!AQ163,""),""))</f>
        <v/>
      </c>
      <c r="AR213" s="152">
        <f>IF($B213=1,$B$33,IF(N(Vintage_Input!L163)&gt;0,IFERROR(Vintage_Input!AZ163/$C213,""),""))</f>
        <v/>
      </c>
      <c r="AS213" s="152">
        <f>IF($B213=1,$C$33,IF(N(Vintage_Input!M163)&gt;0,IFERROR(Vintage_Input!BA163/$C213,""),""))</f>
        <v/>
      </c>
      <c r="AT213" s="152">
        <f>IF($B213=1,$D$33,IF(N(Vintage_Input!N163)&gt;0,IFERROR(Vintage_Input!BB163/$C213,""),""))</f>
        <v/>
      </c>
      <c r="AU213" s="152">
        <f>IF($B213=1,$E$33,IF(N(Vintage_Input!O163)&gt;0,IFERROR(Vintage_Input!BC163/$C213,""),""))</f>
        <v/>
      </c>
      <c r="AV213" s="152">
        <f>IF($B213=1,$F$33,IF(N(Vintage_Input!P163)&gt;0,IFERROR(Vintage_Input!BD163/$C213,""),""))</f>
        <v/>
      </c>
      <c r="AW213" s="152">
        <f>IF($B213=1,$G$33,IF(N(Vintage_Input!Q163)&gt;0,IFERROR(Vintage_Input!BE163/$C213,""),""))</f>
        <v/>
      </c>
      <c r="AX213" s="152">
        <f>IF($B213=1,$H$33,IF(N(Vintage_Input!R163)&gt;0,IFERROR(Vintage_Input!BF163/$C213,""),""))</f>
        <v/>
      </c>
      <c r="AY213" s="152">
        <f>IF($B213=1,$I$33,IF(N(Vintage_Input!S163)&gt;0,IFERROR(Vintage_Input!BG163/$C213,""),""))</f>
        <v/>
      </c>
      <c r="AZ213" s="153">
        <f>IF($B213=1,$B$34,IF(N(Vintage_Input!L163)&gt;0,IFERROR((Vintage_Input!D163+Vintage_Input!AR163)/$C213+Products!$E$14-(Products!$E$43+Products!$E$19+Products!$E$43*Products!$E$22+Products!$E$44),""),""))</f>
        <v/>
      </c>
      <c r="BA213" s="153">
        <f>IF($B213=1,$C$34,IF(N(Vintage_Input!M163)&gt;0,IFERROR((Vintage_Input!E163+Vintage_Input!AS163)/$C213+Products!$E$14-(Products!$E$43+Products!$E$19+Products!$E$43*Products!$E$22+Products!$E$44),""),""))</f>
        <v/>
      </c>
      <c r="BB213" s="153">
        <f>IF($B213=1,$D$34,IF(N(Vintage_Input!N163)&gt;0,IFERROR((Vintage_Input!F163+Vintage_Input!AT163)/$C213+Products!$E$14-(Products!$E$43+Products!$E$19+Products!$E$43*Products!$E$22+Products!$E$44),""),""))</f>
        <v/>
      </c>
      <c r="BC213" s="153">
        <f>IF($B213=1,$E$34,IF(N(Vintage_Input!O163)&gt;0,IFERROR((Vintage_Input!G163+Vintage_Input!AU163)/$C213+Products!$E$14-(Products!$E$43+Products!$E$19+Products!$E$43*Products!$E$22+Products!$E$44),""),""))</f>
        <v/>
      </c>
      <c r="BD213" s="153">
        <f>IF($B213=1,$F$34,IF(N(Vintage_Input!P163)&gt;0,IFERROR((Vintage_Input!H163+Vintage_Input!AV163)/$C213+Products!$E$14-(Products!$E$43+Products!$E$19+Products!$E$43*Products!$E$22+Products!$E$44),""),""))</f>
        <v/>
      </c>
      <c r="BE213" s="153">
        <f>IF($B213=1,$G$34,IF(N(Vintage_Input!Q163)&gt;0,IFERROR((Vintage_Input!I163+Vintage_Input!AW163)/$C213+Products!$E$14-(Products!$E$43+Products!$E$19+Products!$E$43*Products!$E$22+Products!$E$44),""),""))</f>
        <v/>
      </c>
      <c r="BF213" s="153">
        <f>IF($B213=1,$H$34,IF(N(Vintage_Input!R163)&gt;0,IFERROR((Vintage_Input!J163+Vintage_Input!AX163)/$C213+Products!$E$14-(Products!$E$43+Products!$E$19+Products!$E$43*Products!$E$22+Products!$E$44),""),""))</f>
        <v/>
      </c>
      <c r="BG213" s="153">
        <f>IF($B213=1,$I$34,IF(N(Vintage_Input!S163)&gt;0,IFERROR((Vintage_Input!K163+Vintage_Input!AY163)/$C213+Products!$E$14-(Products!$E$43+Products!$E$19+Products!$E$43*Products!$E$22+Products!$E$44),""),""))</f>
        <v/>
      </c>
      <c r="BH213" s="81">
        <f>IF($B213=1,0,IF(Vintage_Input!$BH$163="","",Vintage_Input!$BH$163))</f>
        <v/>
      </c>
    </row>
    <row r="214">
      <c r="A214" s="23" t="n">
        <v>26</v>
      </c>
      <c r="B214" s="48">
        <f>Vintage_Input!$B$164</f>
        <v/>
      </c>
      <c r="C214" s="41">
        <f>IF(Vintage_Input!$C$164="",0,Vintage_Input!$C$164)</f>
        <v/>
      </c>
      <c r="D214" s="152">
        <f>IF($B214=1,$B$28,IF(N(Vintage_Input!L164)&gt;0,Vintage_Input!D164/Vintage_Input!L164,""))</f>
        <v/>
      </c>
      <c r="E214" s="152">
        <f>IF($B214=1,$C$28,IF(N(Vintage_Input!M164)&gt;0,Vintage_Input!E164/Vintage_Input!M164,""))</f>
        <v/>
      </c>
      <c r="F214" s="152">
        <f>IF($B214=1,$D$28,IF(N(Vintage_Input!N164)&gt;0,Vintage_Input!F164/Vintage_Input!N164,""))</f>
        <v/>
      </c>
      <c r="G214" s="152">
        <f>IF($B214=1,$E$28,IF(N(Vintage_Input!O164)&gt;0,Vintage_Input!G164/Vintage_Input!O164,""))</f>
        <v/>
      </c>
      <c r="H214" s="152">
        <f>IF($B214=1,$F$28,IF(N(Vintage_Input!P164)&gt;0,Vintage_Input!H164/Vintage_Input!P164,""))</f>
        <v/>
      </c>
      <c r="I214" s="152">
        <f>IF($B214=1,$G$28,IF(N(Vintage_Input!Q164)&gt;0,Vintage_Input!I164/Vintage_Input!Q164,""))</f>
        <v/>
      </c>
      <c r="J214" s="152">
        <f>IF($B214=1,$H$28,IF(N(Vintage_Input!R164)&gt;0,Vintage_Input!J164/Vintage_Input!R164,""))</f>
        <v/>
      </c>
      <c r="K214" s="152">
        <f>IF($B214=1,$I$28,IF(N(Vintage_Input!S164)&gt;0,Vintage_Input!K164/Vintage_Input!S164,""))</f>
        <v/>
      </c>
      <c r="L214" s="152">
        <f>IF($B214=1,$B$29,IF(N(Vintage_Input!L164)&gt;0,Vintage_Input!T164/Vintage_Input!L164,""))</f>
        <v/>
      </c>
      <c r="M214" s="152">
        <f>IF($B214=1,$C$29,IF(N(Vintage_Input!M164)&gt;0,Vintage_Input!U164/Vintage_Input!M164,""))</f>
        <v/>
      </c>
      <c r="N214" s="152">
        <f>IF($B214=1,$D$29,IF(N(Vintage_Input!N164)&gt;0,Vintage_Input!V164/Vintage_Input!N164,""))</f>
        <v/>
      </c>
      <c r="O214" s="152">
        <f>IF($B214=1,$E$29,IF(N(Vintage_Input!O164)&gt;0,Vintage_Input!W164/Vintage_Input!O164,""))</f>
        <v/>
      </c>
      <c r="P214" s="152">
        <f>IF($B214=1,$F$29,IF(N(Vintage_Input!P164)&gt;0,Vintage_Input!X164/Vintage_Input!P164,""))</f>
        <v/>
      </c>
      <c r="Q214" s="152">
        <f>IF($B214=1,$G$29,IF(N(Vintage_Input!Q164)&gt;0,Vintage_Input!Y164/Vintage_Input!Q164,""))</f>
        <v/>
      </c>
      <c r="R214" s="152">
        <f>IF($B214=1,$H$29,IF(N(Vintage_Input!R164)&gt;0,Vintage_Input!Z164/Vintage_Input!R164,""))</f>
        <v/>
      </c>
      <c r="S214" s="152">
        <f>IF($B214=1,$I$29,IF(N(Vintage_Input!S164)&gt;0,Vintage_Input!AA164/Vintage_Input!S164,""))</f>
        <v/>
      </c>
      <c r="T214" s="152">
        <f>IF($B214=1,$B$30,IF(N(Vintage_Input!L164)&gt;0,Vintage_Input!AB164/Vintage_Input!L164,""))</f>
        <v/>
      </c>
      <c r="U214" s="152">
        <f>IF($B214=1,$C$30,IF(N(Vintage_Input!M164)&gt;0,Vintage_Input!AC164/Vintage_Input!M164,""))</f>
        <v/>
      </c>
      <c r="V214" s="152">
        <f>IF($B214=1,$D$30,IF(N(Vintage_Input!N164)&gt;0,Vintage_Input!AD164/Vintage_Input!N164,""))</f>
        <v/>
      </c>
      <c r="W214" s="152">
        <f>IF($B214=1,$E$30,IF(N(Vintage_Input!O164)&gt;0,Vintage_Input!AE164/Vintage_Input!O164,""))</f>
        <v/>
      </c>
      <c r="X214" s="152">
        <f>IF($B214=1,$F$30,IF(N(Vintage_Input!P164)&gt;0,Vintage_Input!AF164/Vintage_Input!P164,""))</f>
        <v/>
      </c>
      <c r="Y214" s="152">
        <f>IF($B214=1,$G$30,IF(N(Vintage_Input!Q164)&gt;0,Vintage_Input!AG164/Vintage_Input!Q164,""))</f>
        <v/>
      </c>
      <c r="Z214" s="152">
        <f>IF($B214=1,$H$30,IF(N(Vintage_Input!R164)&gt;0,Vintage_Input!AH164/Vintage_Input!R164,""))</f>
        <v/>
      </c>
      <c r="AA214" s="152">
        <f>IF($B214=1,$I$30,IF(N(Vintage_Input!S164)&gt;0,Vintage_Input!AI164/Vintage_Input!S164,""))</f>
        <v/>
      </c>
      <c r="AB214" s="152">
        <f>IF($B214=1,$B$31,IF(N(Vintage_Input!L164)&gt;0,Vintage_Input!AJ164/Vintage_Input!L164,""))</f>
        <v/>
      </c>
      <c r="AC214" s="152">
        <f>IF($B214=1,$C$31,IF(N(Vintage_Input!M164)&gt;0,Vintage_Input!AK164/Vintage_Input!M164,""))</f>
        <v/>
      </c>
      <c r="AD214" s="152">
        <f>IF($B214=1,$D$31,IF(N(Vintage_Input!N164)&gt;0,Vintage_Input!AL164/Vintage_Input!N164,""))</f>
        <v/>
      </c>
      <c r="AE214" s="152">
        <f>IF($B214=1,$E$31,IF(N(Vintage_Input!O164)&gt;0,Vintage_Input!AM164/Vintage_Input!O164,""))</f>
        <v/>
      </c>
      <c r="AF214" s="152">
        <f>IF($B214=1,$F$31,IF(N(Vintage_Input!P164)&gt;0,Vintage_Input!AN164/Vintage_Input!P164,""))</f>
        <v/>
      </c>
      <c r="AG214" s="152">
        <f>IF($B214=1,$G$31,IF(N(Vintage_Input!Q164)&gt;0,Vintage_Input!AO164/Vintage_Input!Q164,""))</f>
        <v/>
      </c>
      <c r="AH214" s="152">
        <f>IF($B214=1,$H$31,IF(N(Vintage_Input!R164)&gt;0,Vintage_Input!AP164/Vintage_Input!R164,""))</f>
        <v/>
      </c>
      <c r="AI214" s="152">
        <f>IF($B214=1,$I$31,IF(N(Vintage_Input!S164)&gt;0,Vintage_Input!AQ164/Vintage_Input!S164,""))</f>
        <v/>
      </c>
      <c r="AJ214" s="152">
        <f>IF($B214=1,$B$32,IF(N(Vintage_Input!L164)&gt;0,IFERROR(Vintage_Input!AR164/Vintage_Input!AJ164,""),""))</f>
        <v/>
      </c>
      <c r="AK214" s="152">
        <f>IF($B214=1,$C$32,IF(N(Vintage_Input!M164)&gt;0,IFERROR(Vintage_Input!AS164/Vintage_Input!AK164,""),""))</f>
        <v/>
      </c>
      <c r="AL214" s="152">
        <f>IF($B214=1,$D$32,IF(N(Vintage_Input!N164)&gt;0,IFERROR(Vintage_Input!AT164/Vintage_Input!AL164,""),""))</f>
        <v/>
      </c>
      <c r="AM214" s="152">
        <f>IF($B214=1,$E$32,IF(N(Vintage_Input!O164)&gt;0,IFERROR(Vintage_Input!AU164/Vintage_Input!AM164,""),""))</f>
        <v/>
      </c>
      <c r="AN214" s="152">
        <f>IF($B214=1,$F$32,IF(N(Vintage_Input!P164)&gt;0,IFERROR(Vintage_Input!AV164/Vintage_Input!AN164,""),""))</f>
        <v/>
      </c>
      <c r="AO214" s="152">
        <f>IF($B214=1,$G$32,IF(N(Vintage_Input!Q164)&gt;0,IFERROR(Vintage_Input!AW164/Vintage_Input!AO164,""),""))</f>
        <v/>
      </c>
      <c r="AP214" s="152">
        <f>IF($B214=1,$H$32,IF(N(Vintage_Input!R164)&gt;0,IFERROR(Vintage_Input!AX164/Vintage_Input!AP164,""),""))</f>
        <v/>
      </c>
      <c r="AQ214" s="152">
        <f>IF($B214=1,$I$32,IF(N(Vintage_Input!S164)&gt;0,IFERROR(Vintage_Input!AY164/Vintage_Input!AQ164,""),""))</f>
        <v/>
      </c>
      <c r="AR214" s="152">
        <f>IF($B214=1,$B$33,IF(N(Vintage_Input!L164)&gt;0,IFERROR(Vintage_Input!AZ164/$C214,""),""))</f>
        <v/>
      </c>
      <c r="AS214" s="152">
        <f>IF($B214=1,$C$33,IF(N(Vintage_Input!M164)&gt;0,IFERROR(Vintage_Input!BA164/$C214,""),""))</f>
        <v/>
      </c>
      <c r="AT214" s="152">
        <f>IF($B214=1,$D$33,IF(N(Vintage_Input!N164)&gt;0,IFERROR(Vintage_Input!BB164/$C214,""),""))</f>
        <v/>
      </c>
      <c r="AU214" s="152">
        <f>IF($B214=1,$E$33,IF(N(Vintage_Input!O164)&gt;0,IFERROR(Vintage_Input!BC164/$C214,""),""))</f>
        <v/>
      </c>
      <c r="AV214" s="152">
        <f>IF($B214=1,$F$33,IF(N(Vintage_Input!P164)&gt;0,IFERROR(Vintage_Input!BD164/$C214,""),""))</f>
        <v/>
      </c>
      <c r="AW214" s="152">
        <f>IF($B214=1,$G$33,IF(N(Vintage_Input!Q164)&gt;0,IFERROR(Vintage_Input!BE164/$C214,""),""))</f>
        <v/>
      </c>
      <c r="AX214" s="152">
        <f>IF($B214=1,$H$33,IF(N(Vintage_Input!R164)&gt;0,IFERROR(Vintage_Input!BF164/$C214,""),""))</f>
        <v/>
      </c>
      <c r="AY214" s="152">
        <f>IF($B214=1,$I$33,IF(N(Vintage_Input!S164)&gt;0,IFERROR(Vintage_Input!BG164/$C214,""),""))</f>
        <v/>
      </c>
      <c r="AZ214" s="153">
        <f>IF($B214=1,$B$34,IF(N(Vintage_Input!L164)&gt;0,IFERROR((Vintage_Input!D164+Vintage_Input!AR164)/$C214+Products!$E$14-(Products!$E$43+Products!$E$19+Products!$E$43*Products!$E$22+Products!$E$44),""),""))</f>
        <v/>
      </c>
      <c r="BA214" s="153">
        <f>IF($B214=1,$C$34,IF(N(Vintage_Input!M164)&gt;0,IFERROR((Vintage_Input!E164+Vintage_Input!AS164)/$C214+Products!$E$14-(Products!$E$43+Products!$E$19+Products!$E$43*Products!$E$22+Products!$E$44),""),""))</f>
        <v/>
      </c>
      <c r="BB214" s="153">
        <f>IF($B214=1,$D$34,IF(N(Vintage_Input!N164)&gt;0,IFERROR((Vintage_Input!F164+Vintage_Input!AT164)/$C214+Products!$E$14-(Products!$E$43+Products!$E$19+Products!$E$43*Products!$E$22+Products!$E$44),""),""))</f>
        <v/>
      </c>
      <c r="BC214" s="153">
        <f>IF($B214=1,$E$34,IF(N(Vintage_Input!O164)&gt;0,IFERROR((Vintage_Input!G164+Vintage_Input!AU164)/$C214+Products!$E$14-(Products!$E$43+Products!$E$19+Products!$E$43*Products!$E$22+Products!$E$44),""),""))</f>
        <v/>
      </c>
      <c r="BD214" s="153">
        <f>IF($B214=1,$F$34,IF(N(Vintage_Input!P164)&gt;0,IFERROR((Vintage_Input!H164+Vintage_Input!AV164)/$C214+Products!$E$14-(Products!$E$43+Products!$E$19+Products!$E$43*Products!$E$22+Products!$E$44),""),""))</f>
        <v/>
      </c>
      <c r="BE214" s="153">
        <f>IF($B214=1,$G$34,IF(N(Vintage_Input!Q164)&gt;0,IFERROR((Vintage_Input!I164+Vintage_Input!AW164)/$C214+Products!$E$14-(Products!$E$43+Products!$E$19+Products!$E$43*Products!$E$22+Products!$E$44),""),""))</f>
        <v/>
      </c>
      <c r="BF214" s="153">
        <f>IF($B214=1,$H$34,IF(N(Vintage_Input!R164)&gt;0,IFERROR((Vintage_Input!J164+Vintage_Input!AX164)/$C214+Products!$E$14-(Products!$E$43+Products!$E$19+Products!$E$43*Products!$E$22+Products!$E$44),""),""))</f>
        <v/>
      </c>
      <c r="BG214" s="153">
        <f>IF($B214=1,$I$34,IF(N(Vintage_Input!S164)&gt;0,IFERROR((Vintage_Input!K164+Vintage_Input!AY164)/$C214+Products!$E$14-(Products!$E$43+Products!$E$19+Products!$E$43*Products!$E$22+Products!$E$44),""),""))</f>
        <v/>
      </c>
      <c r="BH214" s="81">
        <f>IF($B214=1,0,IF(Vintage_Input!$BH$164="","",Vintage_Input!$BH$164))</f>
        <v/>
      </c>
    </row>
    <row r="215">
      <c r="A215" s="23" t="n">
        <v>27</v>
      </c>
      <c r="B215" s="48">
        <f>Vintage_Input!$B$165</f>
        <v/>
      </c>
      <c r="C215" s="41">
        <f>IF(Vintage_Input!$C$165="",0,Vintage_Input!$C$165)</f>
        <v/>
      </c>
      <c r="D215" s="152">
        <f>IF($B215=1,$B$28,IF(N(Vintage_Input!L165)&gt;0,Vintage_Input!D165/Vintage_Input!L165,""))</f>
        <v/>
      </c>
      <c r="E215" s="152">
        <f>IF($B215=1,$C$28,IF(N(Vintage_Input!M165)&gt;0,Vintage_Input!E165/Vintage_Input!M165,""))</f>
        <v/>
      </c>
      <c r="F215" s="152">
        <f>IF($B215=1,$D$28,IF(N(Vintage_Input!N165)&gt;0,Vintage_Input!F165/Vintage_Input!N165,""))</f>
        <v/>
      </c>
      <c r="G215" s="152">
        <f>IF($B215=1,$E$28,IF(N(Vintage_Input!O165)&gt;0,Vintage_Input!G165/Vintage_Input!O165,""))</f>
        <v/>
      </c>
      <c r="H215" s="152">
        <f>IF($B215=1,$F$28,IF(N(Vintage_Input!P165)&gt;0,Vintage_Input!H165/Vintage_Input!P165,""))</f>
        <v/>
      </c>
      <c r="I215" s="152">
        <f>IF($B215=1,$G$28,IF(N(Vintage_Input!Q165)&gt;0,Vintage_Input!I165/Vintage_Input!Q165,""))</f>
        <v/>
      </c>
      <c r="J215" s="152">
        <f>IF($B215=1,$H$28,IF(N(Vintage_Input!R165)&gt;0,Vintage_Input!J165/Vintage_Input!R165,""))</f>
        <v/>
      </c>
      <c r="K215" s="152">
        <f>IF($B215=1,$I$28,IF(N(Vintage_Input!S165)&gt;0,Vintage_Input!K165/Vintage_Input!S165,""))</f>
        <v/>
      </c>
      <c r="L215" s="152">
        <f>IF($B215=1,$B$29,IF(N(Vintage_Input!L165)&gt;0,Vintage_Input!T165/Vintage_Input!L165,""))</f>
        <v/>
      </c>
      <c r="M215" s="152">
        <f>IF($B215=1,$C$29,IF(N(Vintage_Input!M165)&gt;0,Vintage_Input!U165/Vintage_Input!M165,""))</f>
        <v/>
      </c>
      <c r="N215" s="152">
        <f>IF($B215=1,$D$29,IF(N(Vintage_Input!N165)&gt;0,Vintage_Input!V165/Vintage_Input!N165,""))</f>
        <v/>
      </c>
      <c r="O215" s="152">
        <f>IF($B215=1,$E$29,IF(N(Vintage_Input!O165)&gt;0,Vintage_Input!W165/Vintage_Input!O165,""))</f>
        <v/>
      </c>
      <c r="P215" s="152">
        <f>IF($B215=1,$F$29,IF(N(Vintage_Input!P165)&gt;0,Vintage_Input!X165/Vintage_Input!P165,""))</f>
        <v/>
      </c>
      <c r="Q215" s="152">
        <f>IF($B215=1,$G$29,IF(N(Vintage_Input!Q165)&gt;0,Vintage_Input!Y165/Vintage_Input!Q165,""))</f>
        <v/>
      </c>
      <c r="R215" s="152">
        <f>IF($B215=1,$H$29,IF(N(Vintage_Input!R165)&gt;0,Vintage_Input!Z165/Vintage_Input!R165,""))</f>
        <v/>
      </c>
      <c r="S215" s="152">
        <f>IF($B215=1,$I$29,IF(N(Vintage_Input!S165)&gt;0,Vintage_Input!AA165/Vintage_Input!S165,""))</f>
        <v/>
      </c>
      <c r="T215" s="152">
        <f>IF($B215=1,$B$30,IF(N(Vintage_Input!L165)&gt;0,Vintage_Input!AB165/Vintage_Input!L165,""))</f>
        <v/>
      </c>
      <c r="U215" s="152">
        <f>IF($B215=1,$C$30,IF(N(Vintage_Input!M165)&gt;0,Vintage_Input!AC165/Vintage_Input!M165,""))</f>
        <v/>
      </c>
      <c r="V215" s="152">
        <f>IF($B215=1,$D$30,IF(N(Vintage_Input!N165)&gt;0,Vintage_Input!AD165/Vintage_Input!N165,""))</f>
        <v/>
      </c>
      <c r="W215" s="152">
        <f>IF($B215=1,$E$30,IF(N(Vintage_Input!O165)&gt;0,Vintage_Input!AE165/Vintage_Input!O165,""))</f>
        <v/>
      </c>
      <c r="X215" s="152">
        <f>IF($B215=1,$F$30,IF(N(Vintage_Input!P165)&gt;0,Vintage_Input!AF165/Vintage_Input!P165,""))</f>
        <v/>
      </c>
      <c r="Y215" s="152">
        <f>IF($B215=1,$G$30,IF(N(Vintage_Input!Q165)&gt;0,Vintage_Input!AG165/Vintage_Input!Q165,""))</f>
        <v/>
      </c>
      <c r="Z215" s="152">
        <f>IF($B215=1,$H$30,IF(N(Vintage_Input!R165)&gt;0,Vintage_Input!AH165/Vintage_Input!R165,""))</f>
        <v/>
      </c>
      <c r="AA215" s="152">
        <f>IF($B215=1,$I$30,IF(N(Vintage_Input!S165)&gt;0,Vintage_Input!AI165/Vintage_Input!S165,""))</f>
        <v/>
      </c>
      <c r="AB215" s="152">
        <f>IF($B215=1,$B$31,IF(N(Vintage_Input!L165)&gt;0,Vintage_Input!AJ165/Vintage_Input!L165,""))</f>
        <v/>
      </c>
      <c r="AC215" s="152">
        <f>IF($B215=1,$C$31,IF(N(Vintage_Input!M165)&gt;0,Vintage_Input!AK165/Vintage_Input!M165,""))</f>
        <v/>
      </c>
      <c r="AD215" s="152">
        <f>IF($B215=1,$D$31,IF(N(Vintage_Input!N165)&gt;0,Vintage_Input!AL165/Vintage_Input!N165,""))</f>
        <v/>
      </c>
      <c r="AE215" s="152">
        <f>IF($B215=1,$E$31,IF(N(Vintage_Input!O165)&gt;0,Vintage_Input!AM165/Vintage_Input!O165,""))</f>
        <v/>
      </c>
      <c r="AF215" s="152">
        <f>IF($B215=1,$F$31,IF(N(Vintage_Input!P165)&gt;0,Vintage_Input!AN165/Vintage_Input!P165,""))</f>
        <v/>
      </c>
      <c r="AG215" s="152">
        <f>IF($B215=1,$G$31,IF(N(Vintage_Input!Q165)&gt;0,Vintage_Input!AO165/Vintage_Input!Q165,""))</f>
        <v/>
      </c>
      <c r="AH215" s="152">
        <f>IF($B215=1,$H$31,IF(N(Vintage_Input!R165)&gt;0,Vintage_Input!AP165/Vintage_Input!R165,""))</f>
        <v/>
      </c>
      <c r="AI215" s="152">
        <f>IF($B215=1,$I$31,IF(N(Vintage_Input!S165)&gt;0,Vintage_Input!AQ165/Vintage_Input!S165,""))</f>
        <v/>
      </c>
      <c r="AJ215" s="152">
        <f>IF($B215=1,$B$32,IF(N(Vintage_Input!L165)&gt;0,IFERROR(Vintage_Input!AR165/Vintage_Input!AJ165,""),""))</f>
        <v/>
      </c>
      <c r="AK215" s="152">
        <f>IF($B215=1,$C$32,IF(N(Vintage_Input!M165)&gt;0,IFERROR(Vintage_Input!AS165/Vintage_Input!AK165,""),""))</f>
        <v/>
      </c>
      <c r="AL215" s="152">
        <f>IF($B215=1,$D$32,IF(N(Vintage_Input!N165)&gt;0,IFERROR(Vintage_Input!AT165/Vintage_Input!AL165,""),""))</f>
        <v/>
      </c>
      <c r="AM215" s="152">
        <f>IF($B215=1,$E$32,IF(N(Vintage_Input!O165)&gt;0,IFERROR(Vintage_Input!AU165/Vintage_Input!AM165,""),""))</f>
        <v/>
      </c>
      <c r="AN215" s="152">
        <f>IF($B215=1,$F$32,IF(N(Vintage_Input!P165)&gt;0,IFERROR(Vintage_Input!AV165/Vintage_Input!AN165,""),""))</f>
        <v/>
      </c>
      <c r="AO215" s="152">
        <f>IF($B215=1,$G$32,IF(N(Vintage_Input!Q165)&gt;0,IFERROR(Vintage_Input!AW165/Vintage_Input!AO165,""),""))</f>
        <v/>
      </c>
      <c r="AP215" s="152">
        <f>IF($B215=1,$H$32,IF(N(Vintage_Input!R165)&gt;0,IFERROR(Vintage_Input!AX165/Vintage_Input!AP165,""),""))</f>
        <v/>
      </c>
      <c r="AQ215" s="152">
        <f>IF($B215=1,$I$32,IF(N(Vintage_Input!S165)&gt;0,IFERROR(Vintage_Input!AY165/Vintage_Input!AQ165,""),""))</f>
        <v/>
      </c>
      <c r="AR215" s="152">
        <f>IF($B215=1,$B$33,IF(N(Vintage_Input!L165)&gt;0,IFERROR(Vintage_Input!AZ165/$C215,""),""))</f>
        <v/>
      </c>
      <c r="AS215" s="152">
        <f>IF($B215=1,$C$33,IF(N(Vintage_Input!M165)&gt;0,IFERROR(Vintage_Input!BA165/$C215,""),""))</f>
        <v/>
      </c>
      <c r="AT215" s="152">
        <f>IF($B215=1,$D$33,IF(N(Vintage_Input!N165)&gt;0,IFERROR(Vintage_Input!BB165/$C215,""),""))</f>
        <v/>
      </c>
      <c r="AU215" s="152">
        <f>IF($B215=1,$E$33,IF(N(Vintage_Input!O165)&gt;0,IFERROR(Vintage_Input!BC165/$C215,""),""))</f>
        <v/>
      </c>
      <c r="AV215" s="152">
        <f>IF($B215=1,$F$33,IF(N(Vintage_Input!P165)&gt;0,IFERROR(Vintage_Input!BD165/$C215,""),""))</f>
        <v/>
      </c>
      <c r="AW215" s="152">
        <f>IF($B215=1,$G$33,IF(N(Vintage_Input!Q165)&gt;0,IFERROR(Vintage_Input!BE165/$C215,""),""))</f>
        <v/>
      </c>
      <c r="AX215" s="152">
        <f>IF($B215=1,$H$33,IF(N(Vintage_Input!R165)&gt;0,IFERROR(Vintage_Input!BF165/$C215,""),""))</f>
        <v/>
      </c>
      <c r="AY215" s="152">
        <f>IF($B215=1,$I$33,IF(N(Vintage_Input!S165)&gt;0,IFERROR(Vintage_Input!BG165/$C215,""),""))</f>
        <v/>
      </c>
      <c r="AZ215" s="153">
        <f>IF($B215=1,$B$34,IF(N(Vintage_Input!L165)&gt;0,IFERROR((Vintage_Input!D165+Vintage_Input!AR165)/$C215+Products!$E$14-(Products!$E$43+Products!$E$19+Products!$E$43*Products!$E$22+Products!$E$44),""),""))</f>
        <v/>
      </c>
      <c r="BA215" s="153">
        <f>IF($B215=1,$C$34,IF(N(Vintage_Input!M165)&gt;0,IFERROR((Vintage_Input!E165+Vintage_Input!AS165)/$C215+Products!$E$14-(Products!$E$43+Products!$E$19+Products!$E$43*Products!$E$22+Products!$E$44),""),""))</f>
        <v/>
      </c>
      <c r="BB215" s="153">
        <f>IF($B215=1,$D$34,IF(N(Vintage_Input!N165)&gt;0,IFERROR((Vintage_Input!F165+Vintage_Input!AT165)/$C215+Products!$E$14-(Products!$E$43+Products!$E$19+Products!$E$43*Products!$E$22+Products!$E$44),""),""))</f>
        <v/>
      </c>
      <c r="BC215" s="153">
        <f>IF($B215=1,$E$34,IF(N(Vintage_Input!O165)&gt;0,IFERROR((Vintage_Input!G165+Vintage_Input!AU165)/$C215+Products!$E$14-(Products!$E$43+Products!$E$19+Products!$E$43*Products!$E$22+Products!$E$44),""),""))</f>
        <v/>
      </c>
      <c r="BD215" s="153">
        <f>IF($B215=1,$F$34,IF(N(Vintage_Input!P165)&gt;0,IFERROR((Vintage_Input!H165+Vintage_Input!AV165)/$C215+Products!$E$14-(Products!$E$43+Products!$E$19+Products!$E$43*Products!$E$22+Products!$E$44),""),""))</f>
        <v/>
      </c>
      <c r="BE215" s="153">
        <f>IF($B215=1,$G$34,IF(N(Vintage_Input!Q165)&gt;0,IFERROR((Vintage_Input!I165+Vintage_Input!AW165)/$C215+Products!$E$14-(Products!$E$43+Products!$E$19+Products!$E$43*Products!$E$22+Products!$E$44),""),""))</f>
        <v/>
      </c>
      <c r="BF215" s="153">
        <f>IF($B215=1,$H$34,IF(N(Vintage_Input!R165)&gt;0,IFERROR((Vintage_Input!J165+Vintage_Input!AX165)/$C215+Products!$E$14-(Products!$E$43+Products!$E$19+Products!$E$43*Products!$E$22+Products!$E$44),""),""))</f>
        <v/>
      </c>
      <c r="BG215" s="153">
        <f>IF($B215=1,$I$34,IF(N(Vintage_Input!S165)&gt;0,IFERROR((Vintage_Input!K165+Vintage_Input!AY165)/$C215+Products!$E$14-(Products!$E$43+Products!$E$19+Products!$E$43*Products!$E$22+Products!$E$44),""),""))</f>
        <v/>
      </c>
      <c r="BH215" s="81">
        <f>IF($B215=1,0,IF(Vintage_Input!$BH$165="","",Vintage_Input!$BH$165))</f>
        <v/>
      </c>
    </row>
    <row r="216">
      <c r="A216" s="23" t="n">
        <v>28</v>
      </c>
      <c r="B216" s="48">
        <f>Vintage_Input!$B$166</f>
        <v/>
      </c>
      <c r="C216" s="41">
        <f>IF(Vintage_Input!$C$166="",0,Vintage_Input!$C$166)</f>
        <v/>
      </c>
      <c r="D216" s="152">
        <f>IF($B216=1,$B$28,IF(N(Vintage_Input!L166)&gt;0,Vintage_Input!D166/Vintage_Input!L166,""))</f>
        <v/>
      </c>
      <c r="E216" s="152">
        <f>IF($B216=1,$C$28,IF(N(Vintage_Input!M166)&gt;0,Vintage_Input!E166/Vintage_Input!M166,""))</f>
        <v/>
      </c>
      <c r="F216" s="152">
        <f>IF($B216=1,$D$28,IF(N(Vintage_Input!N166)&gt;0,Vintage_Input!F166/Vintage_Input!N166,""))</f>
        <v/>
      </c>
      <c r="G216" s="152">
        <f>IF($B216=1,$E$28,IF(N(Vintage_Input!O166)&gt;0,Vintage_Input!G166/Vintage_Input!O166,""))</f>
        <v/>
      </c>
      <c r="H216" s="152">
        <f>IF($B216=1,$F$28,IF(N(Vintage_Input!P166)&gt;0,Vintage_Input!H166/Vintage_Input!P166,""))</f>
        <v/>
      </c>
      <c r="I216" s="152">
        <f>IF($B216=1,$G$28,IF(N(Vintage_Input!Q166)&gt;0,Vintage_Input!I166/Vintage_Input!Q166,""))</f>
        <v/>
      </c>
      <c r="J216" s="152">
        <f>IF($B216=1,$H$28,IF(N(Vintage_Input!R166)&gt;0,Vintage_Input!J166/Vintage_Input!R166,""))</f>
        <v/>
      </c>
      <c r="K216" s="152">
        <f>IF($B216=1,$I$28,IF(N(Vintage_Input!S166)&gt;0,Vintage_Input!K166/Vintage_Input!S166,""))</f>
        <v/>
      </c>
      <c r="L216" s="152">
        <f>IF($B216=1,$B$29,IF(N(Vintage_Input!L166)&gt;0,Vintage_Input!T166/Vintage_Input!L166,""))</f>
        <v/>
      </c>
      <c r="M216" s="152">
        <f>IF($B216=1,$C$29,IF(N(Vintage_Input!M166)&gt;0,Vintage_Input!U166/Vintage_Input!M166,""))</f>
        <v/>
      </c>
      <c r="N216" s="152">
        <f>IF($B216=1,$D$29,IF(N(Vintage_Input!N166)&gt;0,Vintage_Input!V166/Vintage_Input!N166,""))</f>
        <v/>
      </c>
      <c r="O216" s="152">
        <f>IF($B216=1,$E$29,IF(N(Vintage_Input!O166)&gt;0,Vintage_Input!W166/Vintage_Input!O166,""))</f>
        <v/>
      </c>
      <c r="P216" s="152">
        <f>IF($B216=1,$F$29,IF(N(Vintage_Input!P166)&gt;0,Vintage_Input!X166/Vintage_Input!P166,""))</f>
        <v/>
      </c>
      <c r="Q216" s="152">
        <f>IF($B216=1,$G$29,IF(N(Vintage_Input!Q166)&gt;0,Vintage_Input!Y166/Vintage_Input!Q166,""))</f>
        <v/>
      </c>
      <c r="R216" s="152">
        <f>IF($B216=1,$H$29,IF(N(Vintage_Input!R166)&gt;0,Vintage_Input!Z166/Vintage_Input!R166,""))</f>
        <v/>
      </c>
      <c r="S216" s="152">
        <f>IF($B216=1,$I$29,IF(N(Vintage_Input!S166)&gt;0,Vintage_Input!AA166/Vintage_Input!S166,""))</f>
        <v/>
      </c>
      <c r="T216" s="152">
        <f>IF($B216=1,$B$30,IF(N(Vintage_Input!L166)&gt;0,Vintage_Input!AB166/Vintage_Input!L166,""))</f>
        <v/>
      </c>
      <c r="U216" s="152">
        <f>IF($B216=1,$C$30,IF(N(Vintage_Input!M166)&gt;0,Vintage_Input!AC166/Vintage_Input!M166,""))</f>
        <v/>
      </c>
      <c r="V216" s="152">
        <f>IF($B216=1,$D$30,IF(N(Vintage_Input!N166)&gt;0,Vintage_Input!AD166/Vintage_Input!N166,""))</f>
        <v/>
      </c>
      <c r="W216" s="152">
        <f>IF($B216=1,$E$30,IF(N(Vintage_Input!O166)&gt;0,Vintage_Input!AE166/Vintage_Input!O166,""))</f>
        <v/>
      </c>
      <c r="X216" s="152">
        <f>IF($B216=1,$F$30,IF(N(Vintage_Input!P166)&gt;0,Vintage_Input!AF166/Vintage_Input!P166,""))</f>
        <v/>
      </c>
      <c r="Y216" s="152">
        <f>IF($B216=1,$G$30,IF(N(Vintage_Input!Q166)&gt;0,Vintage_Input!AG166/Vintage_Input!Q166,""))</f>
        <v/>
      </c>
      <c r="Z216" s="152">
        <f>IF($B216=1,$H$30,IF(N(Vintage_Input!R166)&gt;0,Vintage_Input!AH166/Vintage_Input!R166,""))</f>
        <v/>
      </c>
      <c r="AA216" s="152">
        <f>IF($B216=1,$I$30,IF(N(Vintage_Input!S166)&gt;0,Vintage_Input!AI166/Vintage_Input!S166,""))</f>
        <v/>
      </c>
      <c r="AB216" s="152">
        <f>IF($B216=1,$B$31,IF(N(Vintage_Input!L166)&gt;0,Vintage_Input!AJ166/Vintage_Input!L166,""))</f>
        <v/>
      </c>
      <c r="AC216" s="152">
        <f>IF($B216=1,$C$31,IF(N(Vintage_Input!M166)&gt;0,Vintage_Input!AK166/Vintage_Input!M166,""))</f>
        <v/>
      </c>
      <c r="AD216" s="152">
        <f>IF($B216=1,$D$31,IF(N(Vintage_Input!N166)&gt;0,Vintage_Input!AL166/Vintage_Input!N166,""))</f>
        <v/>
      </c>
      <c r="AE216" s="152">
        <f>IF($B216=1,$E$31,IF(N(Vintage_Input!O166)&gt;0,Vintage_Input!AM166/Vintage_Input!O166,""))</f>
        <v/>
      </c>
      <c r="AF216" s="152">
        <f>IF($B216=1,$F$31,IF(N(Vintage_Input!P166)&gt;0,Vintage_Input!AN166/Vintage_Input!P166,""))</f>
        <v/>
      </c>
      <c r="AG216" s="152">
        <f>IF($B216=1,$G$31,IF(N(Vintage_Input!Q166)&gt;0,Vintage_Input!AO166/Vintage_Input!Q166,""))</f>
        <v/>
      </c>
      <c r="AH216" s="152">
        <f>IF($B216=1,$H$31,IF(N(Vintage_Input!R166)&gt;0,Vintage_Input!AP166/Vintage_Input!R166,""))</f>
        <v/>
      </c>
      <c r="AI216" s="152">
        <f>IF($B216=1,$I$31,IF(N(Vintage_Input!S166)&gt;0,Vintage_Input!AQ166/Vintage_Input!S166,""))</f>
        <v/>
      </c>
      <c r="AJ216" s="152">
        <f>IF($B216=1,$B$32,IF(N(Vintage_Input!L166)&gt;0,IFERROR(Vintage_Input!AR166/Vintage_Input!AJ166,""),""))</f>
        <v/>
      </c>
      <c r="AK216" s="152">
        <f>IF($B216=1,$C$32,IF(N(Vintage_Input!M166)&gt;0,IFERROR(Vintage_Input!AS166/Vintage_Input!AK166,""),""))</f>
        <v/>
      </c>
      <c r="AL216" s="152">
        <f>IF($B216=1,$D$32,IF(N(Vintage_Input!N166)&gt;0,IFERROR(Vintage_Input!AT166/Vintage_Input!AL166,""),""))</f>
        <v/>
      </c>
      <c r="AM216" s="152">
        <f>IF($B216=1,$E$32,IF(N(Vintage_Input!O166)&gt;0,IFERROR(Vintage_Input!AU166/Vintage_Input!AM166,""),""))</f>
        <v/>
      </c>
      <c r="AN216" s="152">
        <f>IF($B216=1,$F$32,IF(N(Vintage_Input!P166)&gt;0,IFERROR(Vintage_Input!AV166/Vintage_Input!AN166,""),""))</f>
        <v/>
      </c>
      <c r="AO216" s="152">
        <f>IF($B216=1,$G$32,IF(N(Vintage_Input!Q166)&gt;0,IFERROR(Vintage_Input!AW166/Vintage_Input!AO166,""),""))</f>
        <v/>
      </c>
      <c r="AP216" s="152">
        <f>IF($B216=1,$H$32,IF(N(Vintage_Input!R166)&gt;0,IFERROR(Vintage_Input!AX166/Vintage_Input!AP166,""),""))</f>
        <v/>
      </c>
      <c r="AQ216" s="152">
        <f>IF($B216=1,$I$32,IF(N(Vintage_Input!S166)&gt;0,IFERROR(Vintage_Input!AY166/Vintage_Input!AQ166,""),""))</f>
        <v/>
      </c>
      <c r="AR216" s="152">
        <f>IF($B216=1,$B$33,IF(N(Vintage_Input!L166)&gt;0,IFERROR(Vintage_Input!AZ166/$C216,""),""))</f>
        <v/>
      </c>
      <c r="AS216" s="152">
        <f>IF($B216=1,$C$33,IF(N(Vintage_Input!M166)&gt;0,IFERROR(Vintage_Input!BA166/$C216,""),""))</f>
        <v/>
      </c>
      <c r="AT216" s="152">
        <f>IF($B216=1,$D$33,IF(N(Vintage_Input!N166)&gt;0,IFERROR(Vintage_Input!BB166/$C216,""),""))</f>
        <v/>
      </c>
      <c r="AU216" s="152">
        <f>IF($B216=1,$E$33,IF(N(Vintage_Input!O166)&gt;0,IFERROR(Vintage_Input!BC166/$C216,""),""))</f>
        <v/>
      </c>
      <c r="AV216" s="152">
        <f>IF($B216=1,$F$33,IF(N(Vintage_Input!P166)&gt;0,IFERROR(Vintage_Input!BD166/$C216,""),""))</f>
        <v/>
      </c>
      <c r="AW216" s="152">
        <f>IF($B216=1,$G$33,IF(N(Vintage_Input!Q166)&gt;0,IFERROR(Vintage_Input!BE166/$C216,""),""))</f>
        <v/>
      </c>
      <c r="AX216" s="152">
        <f>IF($B216=1,$H$33,IF(N(Vintage_Input!R166)&gt;0,IFERROR(Vintage_Input!BF166/$C216,""),""))</f>
        <v/>
      </c>
      <c r="AY216" s="152">
        <f>IF($B216=1,$I$33,IF(N(Vintage_Input!S166)&gt;0,IFERROR(Vintage_Input!BG166/$C216,""),""))</f>
        <v/>
      </c>
      <c r="AZ216" s="153">
        <f>IF($B216=1,$B$34,IF(N(Vintage_Input!L166)&gt;0,IFERROR((Vintage_Input!D166+Vintage_Input!AR166)/$C216+Products!$E$14-(Products!$E$43+Products!$E$19+Products!$E$43*Products!$E$22+Products!$E$44),""),""))</f>
        <v/>
      </c>
      <c r="BA216" s="153">
        <f>IF($B216=1,$C$34,IF(N(Vintage_Input!M166)&gt;0,IFERROR((Vintage_Input!E166+Vintage_Input!AS166)/$C216+Products!$E$14-(Products!$E$43+Products!$E$19+Products!$E$43*Products!$E$22+Products!$E$44),""),""))</f>
        <v/>
      </c>
      <c r="BB216" s="153">
        <f>IF($B216=1,$D$34,IF(N(Vintage_Input!N166)&gt;0,IFERROR((Vintage_Input!F166+Vintage_Input!AT166)/$C216+Products!$E$14-(Products!$E$43+Products!$E$19+Products!$E$43*Products!$E$22+Products!$E$44),""),""))</f>
        <v/>
      </c>
      <c r="BC216" s="153">
        <f>IF($B216=1,$E$34,IF(N(Vintage_Input!O166)&gt;0,IFERROR((Vintage_Input!G166+Vintage_Input!AU166)/$C216+Products!$E$14-(Products!$E$43+Products!$E$19+Products!$E$43*Products!$E$22+Products!$E$44),""),""))</f>
        <v/>
      </c>
      <c r="BD216" s="153">
        <f>IF($B216=1,$F$34,IF(N(Vintage_Input!P166)&gt;0,IFERROR((Vintage_Input!H166+Vintage_Input!AV166)/$C216+Products!$E$14-(Products!$E$43+Products!$E$19+Products!$E$43*Products!$E$22+Products!$E$44),""),""))</f>
        <v/>
      </c>
      <c r="BE216" s="153">
        <f>IF($B216=1,$G$34,IF(N(Vintage_Input!Q166)&gt;0,IFERROR((Vintage_Input!I166+Vintage_Input!AW166)/$C216+Products!$E$14-(Products!$E$43+Products!$E$19+Products!$E$43*Products!$E$22+Products!$E$44),""),""))</f>
        <v/>
      </c>
      <c r="BF216" s="153">
        <f>IF($B216=1,$H$34,IF(N(Vintage_Input!R166)&gt;0,IFERROR((Vintage_Input!J166+Vintage_Input!AX166)/$C216+Products!$E$14-(Products!$E$43+Products!$E$19+Products!$E$43*Products!$E$22+Products!$E$44),""),""))</f>
        <v/>
      </c>
      <c r="BG216" s="153">
        <f>IF($B216=1,$I$34,IF(N(Vintage_Input!S166)&gt;0,IFERROR((Vintage_Input!K166+Vintage_Input!AY166)/$C216+Products!$E$14-(Products!$E$43+Products!$E$19+Products!$E$43*Products!$E$22+Products!$E$44),""),""))</f>
        <v/>
      </c>
      <c r="BH216" s="81">
        <f>IF($B216=1,0,IF(Vintage_Input!$BH$166="","",Vintage_Input!$BH$166))</f>
        <v/>
      </c>
    </row>
    <row r="217">
      <c r="A217" s="23" t="n">
        <v>29</v>
      </c>
      <c r="B217" s="48">
        <f>Vintage_Input!$B$167</f>
        <v/>
      </c>
      <c r="C217" s="41">
        <f>IF(Vintage_Input!$C$167="",0,Vintage_Input!$C$167)</f>
        <v/>
      </c>
      <c r="D217" s="152">
        <f>IF($B217=1,$B$28,IF(N(Vintage_Input!L167)&gt;0,Vintage_Input!D167/Vintage_Input!L167,""))</f>
        <v/>
      </c>
      <c r="E217" s="152">
        <f>IF($B217=1,$C$28,IF(N(Vintage_Input!M167)&gt;0,Vintage_Input!E167/Vintage_Input!M167,""))</f>
        <v/>
      </c>
      <c r="F217" s="152">
        <f>IF($B217=1,$D$28,IF(N(Vintage_Input!N167)&gt;0,Vintage_Input!F167/Vintage_Input!N167,""))</f>
        <v/>
      </c>
      <c r="G217" s="152">
        <f>IF($B217=1,$E$28,IF(N(Vintage_Input!O167)&gt;0,Vintage_Input!G167/Vintage_Input!O167,""))</f>
        <v/>
      </c>
      <c r="H217" s="152">
        <f>IF($B217=1,$F$28,IF(N(Vintage_Input!P167)&gt;0,Vintage_Input!H167/Vintage_Input!P167,""))</f>
        <v/>
      </c>
      <c r="I217" s="152">
        <f>IF($B217=1,$G$28,IF(N(Vintage_Input!Q167)&gt;0,Vintage_Input!I167/Vintage_Input!Q167,""))</f>
        <v/>
      </c>
      <c r="J217" s="152">
        <f>IF($B217=1,$H$28,IF(N(Vintage_Input!R167)&gt;0,Vintage_Input!J167/Vintage_Input!R167,""))</f>
        <v/>
      </c>
      <c r="K217" s="152">
        <f>IF($B217=1,$I$28,IF(N(Vintage_Input!S167)&gt;0,Vintage_Input!K167/Vintage_Input!S167,""))</f>
        <v/>
      </c>
      <c r="L217" s="152">
        <f>IF($B217=1,$B$29,IF(N(Vintage_Input!L167)&gt;0,Vintage_Input!T167/Vintage_Input!L167,""))</f>
        <v/>
      </c>
      <c r="M217" s="152">
        <f>IF($B217=1,$C$29,IF(N(Vintage_Input!M167)&gt;0,Vintage_Input!U167/Vintage_Input!M167,""))</f>
        <v/>
      </c>
      <c r="N217" s="152">
        <f>IF($B217=1,$D$29,IF(N(Vintage_Input!N167)&gt;0,Vintage_Input!V167/Vintage_Input!N167,""))</f>
        <v/>
      </c>
      <c r="O217" s="152">
        <f>IF($B217=1,$E$29,IF(N(Vintage_Input!O167)&gt;0,Vintage_Input!W167/Vintage_Input!O167,""))</f>
        <v/>
      </c>
      <c r="P217" s="152">
        <f>IF($B217=1,$F$29,IF(N(Vintage_Input!P167)&gt;0,Vintage_Input!X167/Vintage_Input!P167,""))</f>
        <v/>
      </c>
      <c r="Q217" s="152">
        <f>IF($B217=1,$G$29,IF(N(Vintage_Input!Q167)&gt;0,Vintage_Input!Y167/Vintage_Input!Q167,""))</f>
        <v/>
      </c>
      <c r="R217" s="152">
        <f>IF($B217=1,$H$29,IF(N(Vintage_Input!R167)&gt;0,Vintage_Input!Z167/Vintage_Input!R167,""))</f>
        <v/>
      </c>
      <c r="S217" s="152">
        <f>IF($B217=1,$I$29,IF(N(Vintage_Input!S167)&gt;0,Vintage_Input!AA167/Vintage_Input!S167,""))</f>
        <v/>
      </c>
      <c r="T217" s="152">
        <f>IF($B217=1,$B$30,IF(N(Vintage_Input!L167)&gt;0,Vintage_Input!AB167/Vintage_Input!L167,""))</f>
        <v/>
      </c>
      <c r="U217" s="152">
        <f>IF($B217=1,$C$30,IF(N(Vintage_Input!M167)&gt;0,Vintage_Input!AC167/Vintage_Input!M167,""))</f>
        <v/>
      </c>
      <c r="V217" s="152">
        <f>IF($B217=1,$D$30,IF(N(Vintage_Input!N167)&gt;0,Vintage_Input!AD167/Vintage_Input!N167,""))</f>
        <v/>
      </c>
      <c r="W217" s="152">
        <f>IF($B217=1,$E$30,IF(N(Vintage_Input!O167)&gt;0,Vintage_Input!AE167/Vintage_Input!O167,""))</f>
        <v/>
      </c>
      <c r="X217" s="152">
        <f>IF($B217=1,$F$30,IF(N(Vintage_Input!P167)&gt;0,Vintage_Input!AF167/Vintage_Input!P167,""))</f>
        <v/>
      </c>
      <c r="Y217" s="152">
        <f>IF($B217=1,$G$30,IF(N(Vintage_Input!Q167)&gt;0,Vintage_Input!AG167/Vintage_Input!Q167,""))</f>
        <v/>
      </c>
      <c r="Z217" s="152">
        <f>IF($B217=1,$H$30,IF(N(Vintage_Input!R167)&gt;0,Vintage_Input!AH167/Vintage_Input!R167,""))</f>
        <v/>
      </c>
      <c r="AA217" s="152">
        <f>IF($B217=1,$I$30,IF(N(Vintage_Input!S167)&gt;0,Vintage_Input!AI167/Vintage_Input!S167,""))</f>
        <v/>
      </c>
      <c r="AB217" s="152">
        <f>IF($B217=1,$B$31,IF(N(Vintage_Input!L167)&gt;0,Vintage_Input!AJ167/Vintage_Input!L167,""))</f>
        <v/>
      </c>
      <c r="AC217" s="152">
        <f>IF($B217=1,$C$31,IF(N(Vintage_Input!M167)&gt;0,Vintage_Input!AK167/Vintage_Input!M167,""))</f>
        <v/>
      </c>
      <c r="AD217" s="152">
        <f>IF($B217=1,$D$31,IF(N(Vintage_Input!N167)&gt;0,Vintage_Input!AL167/Vintage_Input!N167,""))</f>
        <v/>
      </c>
      <c r="AE217" s="152">
        <f>IF($B217=1,$E$31,IF(N(Vintage_Input!O167)&gt;0,Vintage_Input!AM167/Vintage_Input!O167,""))</f>
        <v/>
      </c>
      <c r="AF217" s="152">
        <f>IF($B217=1,$F$31,IF(N(Vintage_Input!P167)&gt;0,Vintage_Input!AN167/Vintage_Input!P167,""))</f>
        <v/>
      </c>
      <c r="AG217" s="152">
        <f>IF($B217=1,$G$31,IF(N(Vintage_Input!Q167)&gt;0,Vintage_Input!AO167/Vintage_Input!Q167,""))</f>
        <v/>
      </c>
      <c r="AH217" s="152">
        <f>IF($B217=1,$H$31,IF(N(Vintage_Input!R167)&gt;0,Vintage_Input!AP167/Vintage_Input!R167,""))</f>
        <v/>
      </c>
      <c r="AI217" s="152">
        <f>IF($B217=1,$I$31,IF(N(Vintage_Input!S167)&gt;0,Vintage_Input!AQ167/Vintage_Input!S167,""))</f>
        <v/>
      </c>
      <c r="AJ217" s="152">
        <f>IF($B217=1,$B$32,IF(N(Vintage_Input!L167)&gt;0,IFERROR(Vintage_Input!AR167/Vintage_Input!AJ167,""),""))</f>
        <v/>
      </c>
      <c r="AK217" s="152">
        <f>IF($B217=1,$C$32,IF(N(Vintage_Input!M167)&gt;0,IFERROR(Vintage_Input!AS167/Vintage_Input!AK167,""),""))</f>
        <v/>
      </c>
      <c r="AL217" s="152">
        <f>IF($B217=1,$D$32,IF(N(Vintage_Input!N167)&gt;0,IFERROR(Vintage_Input!AT167/Vintage_Input!AL167,""),""))</f>
        <v/>
      </c>
      <c r="AM217" s="152">
        <f>IF($B217=1,$E$32,IF(N(Vintage_Input!O167)&gt;0,IFERROR(Vintage_Input!AU167/Vintage_Input!AM167,""),""))</f>
        <v/>
      </c>
      <c r="AN217" s="152">
        <f>IF($B217=1,$F$32,IF(N(Vintage_Input!P167)&gt;0,IFERROR(Vintage_Input!AV167/Vintage_Input!AN167,""),""))</f>
        <v/>
      </c>
      <c r="AO217" s="152">
        <f>IF($B217=1,$G$32,IF(N(Vintage_Input!Q167)&gt;0,IFERROR(Vintage_Input!AW167/Vintage_Input!AO167,""),""))</f>
        <v/>
      </c>
      <c r="AP217" s="152">
        <f>IF($B217=1,$H$32,IF(N(Vintage_Input!R167)&gt;0,IFERROR(Vintage_Input!AX167/Vintage_Input!AP167,""),""))</f>
        <v/>
      </c>
      <c r="AQ217" s="152">
        <f>IF($B217=1,$I$32,IF(N(Vintage_Input!S167)&gt;0,IFERROR(Vintage_Input!AY167/Vintage_Input!AQ167,""),""))</f>
        <v/>
      </c>
      <c r="AR217" s="152">
        <f>IF($B217=1,$B$33,IF(N(Vintage_Input!L167)&gt;0,IFERROR(Vintage_Input!AZ167/$C217,""),""))</f>
        <v/>
      </c>
      <c r="AS217" s="152">
        <f>IF($B217=1,$C$33,IF(N(Vintage_Input!M167)&gt;0,IFERROR(Vintage_Input!BA167/$C217,""),""))</f>
        <v/>
      </c>
      <c r="AT217" s="152">
        <f>IF($B217=1,$D$33,IF(N(Vintage_Input!N167)&gt;0,IFERROR(Vintage_Input!BB167/$C217,""),""))</f>
        <v/>
      </c>
      <c r="AU217" s="152">
        <f>IF($B217=1,$E$33,IF(N(Vintage_Input!O167)&gt;0,IFERROR(Vintage_Input!BC167/$C217,""),""))</f>
        <v/>
      </c>
      <c r="AV217" s="152">
        <f>IF($B217=1,$F$33,IF(N(Vintage_Input!P167)&gt;0,IFERROR(Vintage_Input!BD167/$C217,""),""))</f>
        <v/>
      </c>
      <c r="AW217" s="152">
        <f>IF($B217=1,$G$33,IF(N(Vintage_Input!Q167)&gt;0,IFERROR(Vintage_Input!BE167/$C217,""),""))</f>
        <v/>
      </c>
      <c r="AX217" s="152">
        <f>IF($B217=1,$H$33,IF(N(Vintage_Input!R167)&gt;0,IFERROR(Vintage_Input!BF167/$C217,""),""))</f>
        <v/>
      </c>
      <c r="AY217" s="152">
        <f>IF($B217=1,$I$33,IF(N(Vintage_Input!S167)&gt;0,IFERROR(Vintage_Input!BG167/$C217,""),""))</f>
        <v/>
      </c>
      <c r="AZ217" s="153">
        <f>IF($B217=1,$B$34,IF(N(Vintage_Input!L167)&gt;0,IFERROR((Vintage_Input!D167+Vintage_Input!AR167)/$C217+Products!$E$14-(Products!$E$43+Products!$E$19+Products!$E$43*Products!$E$22+Products!$E$44),""),""))</f>
        <v/>
      </c>
      <c r="BA217" s="153">
        <f>IF($B217=1,$C$34,IF(N(Vintage_Input!M167)&gt;0,IFERROR((Vintage_Input!E167+Vintage_Input!AS167)/$C217+Products!$E$14-(Products!$E$43+Products!$E$19+Products!$E$43*Products!$E$22+Products!$E$44),""),""))</f>
        <v/>
      </c>
      <c r="BB217" s="153">
        <f>IF($B217=1,$D$34,IF(N(Vintage_Input!N167)&gt;0,IFERROR((Vintage_Input!F167+Vintage_Input!AT167)/$C217+Products!$E$14-(Products!$E$43+Products!$E$19+Products!$E$43*Products!$E$22+Products!$E$44),""),""))</f>
        <v/>
      </c>
      <c r="BC217" s="153">
        <f>IF($B217=1,$E$34,IF(N(Vintage_Input!O167)&gt;0,IFERROR((Vintage_Input!G167+Vintage_Input!AU167)/$C217+Products!$E$14-(Products!$E$43+Products!$E$19+Products!$E$43*Products!$E$22+Products!$E$44),""),""))</f>
        <v/>
      </c>
      <c r="BD217" s="153">
        <f>IF($B217=1,$F$34,IF(N(Vintage_Input!P167)&gt;0,IFERROR((Vintage_Input!H167+Vintage_Input!AV167)/$C217+Products!$E$14-(Products!$E$43+Products!$E$19+Products!$E$43*Products!$E$22+Products!$E$44),""),""))</f>
        <v/>
      </c>
      <c r="BE217" s="153">
        <f>IF($B217=1,$G$34,IF(N(Vintage_Input!Q167)&gt;0,IFERROR((Vintage_Input!I167+Vintage_Input!AW167)/$C217+Products!$E$14-(Products!$E$43+Products!$E$19+Products!$E$43*Products!$E$22+Products!$E$44),""),""))</f>
        <v/>
      </c>
      <c r="BF217" s="153">
        <f>IF($B217=1,$H$34,IF(N(Vintage_Input!R167)&gt;0,IFERROR((Vintage_Input!J167+Vintage_Input!AX167)/$C217+Products!$E$14-(Products!$E$43+Products!$E$19+Products!$E$43*Products!$E$22+Products!$E$44),""),""))</f>
        <v/>
      </c>
      <c r="BG217" s="153">
        <f>IF($B217=1,$I$34,IF(N(Vintage_Input!S167)&gt;0,IFERROR((Vintage_Input!K167+Vintage_Input!AY167)/$C217+Products!$E$14-(Products!$E$43+Products!$E$19+Products!$E$43*Products!$E$22+Products!$E$44),""),""))</f>
        <v/>
      </c>
      <c r="BH217" s="81">
        <f>IF($B217=1,0,IF(Vintage_Input!$BH$167="","",Vintage_Input!$BH$167))</f>
        <v/>
      </c>
    </row>
    <row r="218">
      <c r="A218" s="23" t="n">
        <v>30</v>
      </c>
      <c r="B218" s="48">
        <f>Vintage_Input!$B$168</f>
        <v/>
      </c>
      <c r="C218" s="41">
        <f>IF(Vintage_Input!$C$168="",0,Vintage_Input!$C$168)</f>
        <v/>
      </c>
      <c r="D218" s="152">
        <f>IF($B218=1,$B$28,IF(N(Vintage_Input!L168)&gt;0,Vintage_Input!D168/Vintage_Input!L168,""))</f>
        <v/>
      </c>
      <c r="E218" s="152">
        <f>IF($B218=1,$C$28,IF(N(Vintage_Input!M168)&gt;0,Vintage_Input!E168/Vintage_Input!M168,""))</f>
        <v/>
      </c>
      <c r="F218" s="152">
        <f>IF($B218=1,$D$28,IF(N(Vintage_Input!N168)&gt;0,Vintage_Input!F168/Vintage_Input!N168,""))</f>
        <v/>
      </c>
      <c r="G218" s="152">
        <f>IF($B218=1,$E$28,IF(N(Vintage_Input!O168)&gt;0,Vintage_Input!G168/Vintage_Input!O168,""))</f>
        <v/>
      </c>
      <c r="H218" s="152">
        <f>IF($B218=1,$F$28,IF(N(Vintage_Input!P168)&gt;0,Vintage_Input!H168/Vintage_Input!P168,""))</f>
        <v/>
      </c>
      <c r="I218" s="152">
        <f>IF($B218=1,$G$28,IF(N(Vintage_Input!Q168)&gt;0,Vintage_Input!I168/Vintage_Input!Q168,""))</f>
        <v/>
      </c>
      <c r="J218" s="152">
        <f>IF($B218=1,$H$28,IF(N(Vintage_Input!R168)&gt;0,Vintage_Input!J168/Vintage_Input!R168,""))</f>
        <v/>
      </c>
      <c r="K218" s="152">
        <f>IF($B218=1,$I$28,IF(N(Vintage_Input!S168)&gt;0,Vintage_Input!K168/Vintage_Input!S168,""))</f>
        <v/>
      </c>
      <c r="L218" s="152">
        <f>IF($B218=1,$B$29,IF(N(Vintage_Input!L168)&gt;0,Vintage_Input!T168/Vintage_Input!L168,""))</f>
        <v/>
      </c>
      <c r="M218" s="152">
        <f>IF($B218=1,$C$29,IF(N(Vintage_Input!M168)&gt;0,Vintage_Input!U168/Vintage_Input!M168,""))</f>
        <v/>
      </c>
      <c r="N218" s="152">
        <f>IF($B218=1,$D$29,IF(N(Vintage_Input!N168)&gt;0,Vintage_Input!V168/Vintage_Input!N168,""))</f>
        <v/>
      </c>
      <c r="O218" s="152">
        <f>IF($B218=1,$E$29,IF(N(Vintage_Input!O168)&gt;0,Vintage_Input!W168/Vintage_Input!O168,""))</f>
        <v/>
      </c>
      <c r="P218" s="152">
        <f>IF($B218=1,$F$29,IF(N(Vintage_Input!P168)&gt;0,Vintage_Input!X168/Vintage_Input!P168,""))</f>
        <v/>
      </c>
      <c r="Q218" s="152">
        <f>IF($B218=1,$G$29,IF(N(Vintage_Input!Q168)&gt;0,Vintage_Input!Y168/Vintage_Input!Q168,""))</f>
        <v/>
      </c>
      <c r="R218" s="152">
        <f>IF($B218=1,$H$29,IF(N(Vintage_Input!R168)&gt;0,Vintage_Input!Z168/Vintage_Input!R168,""))</f>
        <v/>
      </c>
      <c r="S218" s="152">
        <f>IF($B218=1,$I$29,IF(N(Vintage_Input!S168)&gt;0,Vintage_Input!AA168/Vintage_Input!S168,""))</f>
        <v/>
      </c>
      <c r="T218" s="152">
        <f>IF($B218=1,$B$30,IF(N(Vintage_Input!L168)&gt;0,Vintage_Input!AB168/Vintage_Input!L168,""))</f>
        <v/>
      </c>
      <c r="U218" s="152">
        <f>IF($B218=1,$C$30,IF(N(Vintage_Input!M168)&gt;0,Vintage_Input!AC168/Vintage_Input!M168,""))</f>
        <v/>
      </c>
      <c r="V218" s="152">
        <f>IF($B218=1,$D$30,IF(N(Vintage_Input!N168)&gt;0,Vintage_Input!AD168/Vintage_Input!N168,""))</f>
        <v/>
      </c>
      <c r="W218" s="152">
        <f>IF($B218=1,$E$30,IF(N(Vintage_Input!O168)&gt;0,Vintage_Input!AE168/Vintage_Input!O168,""))</f>
        <v/>
      </c>
      <c r="X218" s="152">
        <f>IF($B218=1,$F$30,IF(N(Vintage_Input!P168)&gt;0,Vintage_Input!AF168/Vintage_Input!P168,""))</f>
        <v/>
      </c>
      <c r="Y218" s="152">
        <f>IF($B218=1,$G$30,IF(N(Vintage_Input!Q168)&gt;0,Vintage_Input!AG168/Vintage_Input!Q168,""))</f>
        <v/>
      </c>
      <c r="Z218" s="152">
        <f>IF($B218=1,$H$30,IF(N(Vintage_Input!R168)&gt;0,Vintage_Input!AH168/Vintage_Input!R168,""))</f>
        <v/>
      </c>
      <c r="AA218" s="152">
        <f>IF($B218=1,$I$30,IF(N(Vintage_Input!S168)&gt;0,Vintage_Input!AI168/Vintage_Input!S168,""))</f>
        <v/>
      </c>
      <c r="AB218" s="152">
        <f>IF($B218=1,$B$31,IF(N(Vintage_Input!L168)&gt;0,Vintage_Input!AJ168/Vintage_Input!L168,""))</f>
        <v/>
      </c>
      <c r="AC218" s="152">
        <f>IF($B218=1,$C$31,IF(N(Vintage_Input!M168)&gt;0,Vintage_Input!AK168/Vintage_Input!M168,""))</f>
        <v/>
      </c>
      <c r="AD218" s="152">
        <f>IF($B218=1,$D$31,IF(N(Vintage_Input!N168)&gt;0,Vintage_Input!AL168/Vintage_Input!N168,""))</f>
        <v/>
      </c>
      <c r="AE218" s="152">
        <f>IF($B218=1,$E$31,IF(N(Vintage_Input!O168)&gt;0,Vintage_Input!AM168/Vintage_Input!O168,""))</f>
        <v/>
      </c>
      <c r="AF218" s="152">
        <f>IF($B218=1,$F$31,IF(N(Vintage_Input!P168)&gt;0,Vintage_Input!AN168/Vintage_Input!P168,""))</f>
        <v/>
      </c>
      <c r="AG218" s="152">
        <f>IF($B218=1,$G$31,IF(N(Vintage_Input!Q168)&gt;0,Vintage_Input!AO168/Vintage_Input!Q168,""))</f>
        <v/>
      </c>
      <c r="AH218" s="152">
        <f>IF($B218=1,$H$31,IF(N(Vintage_Input!R168)&gt;0,Vintage_Input!AP168/Vintage_Input!R168,""))</f>
        <v/>
      </c>
      <c r="AI218" s="152">
        <f>IF($B218=1,$I$31,IF(N(Vintage_Input!S168)&gt;0,Vintage_Input!AQ168/Vintage_Input!S168,""))</f>
        <v/>
      </c>
      <c r="AJ218" s="152">
        <f>IF($B218=1,$B$32,IF(N(Vintage_Input!L168)&gt;0,IFERROR(Vintage_Input!AR168/Vintage_Input!AJ168,""),""))</f>
        <v/>
      </c>
      <c r="AK218" s="152">
        <f>IF($B218=1,$C$32,IF(N(Vintage_Input!M168)&gt;0,IFERROR(Vintage_Input!AS168/Vintage_Input!AK168,""),""))</f>
        <v/>
      </c>
      <c r="AL218" s="152">
        <f>IF($B218=1,$D$32,IF(N(Vintage_Input!N168)&gt;0,IFERROR(Vintage_Input!AT168/Vintage_Input!AL168,""),""))</f>
        <v/>
      </c>
      <c r="AM218" s="152">
        <f>IF($B218=1,$E$32,IF(N(Vintage_Input!O168)&gt;0,IFERROR(Vintage_Input!AU168/Vintage_Input!AM168,""),""))</f>
        <v/>
      </c>
      <c r="AN218" s="152">
        <f>IF($B218=1,$F$32,IF(N(Vintage_Input!P168)&gt;0,IFERROR(Vintage_Input!AV168/Vintage_Input!AN168,""),""))</f>
        <v/>
      </c>
      <c r="AO218" s="152">
        <f>IF($B218=1,$G$32,IF(N(Vintage_Input!Q168)&gt;0,IFERROR(Vintage_Input!AW168/Vintage_Input!AO168,""),""))</f>
        <v/>
      </c>
      <c r="AP218" s="152">
        <f>IF($B218=1,$H$32,IF(N(Vintage_Input!R168)&gt;0,IFERROR(Vintage_Input!AX168/Vintage_Input!AP168,""),""))</f>
        <v/>
      </c>
      <c r="AQ218" s="152">
        <f>IF($B218=1,$I$32,IF(N(Vintage_Input!S168)&gt;0,IFERROR(Vintage_Input!AY168/Vintage_Input!AQ168,""),""))</f>
        <v/>
      </c>
      <c r="AR218" s="152">
        <f>IF($B218=1,$B$33,IF(N(Vintage_Input!L168)&gt;0,IFERROR(Vintage_Input!AZ168/$C218,""),""))</f>
        <v/>
      </c>
      <c r="AS218" s="152">
        <f>IF($B218=1,$C$33,IF(N(Vintage_Input!M168)&gt;0,IFERROR(Vintage_Input!BA168/$C218,""),""))</f>
        <v/>
      </c>
      <c r="AT218" s="152">
        <f>IF($B218=1,$D$33,IF(N(Vintage_Input!N168)&gt;0,IFERROR(Vintage_Input!BB168/$C218,""),""))</f>
        <v/>
      </c>
      <c r="AU218" s="152">
        <f>IF($B218=1,$E$33,IF(N(Vintage_Input!O168)&gt;0,IFERROR(Vintage_Input!BC168/$C218,""),""))</f>
        <v/>
      </c>
      <c r="AV218" s="152">
        <f>IF($B218=1,$F$33,IF(N(Vintage_Input!P168)&gt;0,IFERROR(Vintage_Input!BD168/$C218,""),""))</f>
        <v/>
      </c>
      <c r="AW218" s="152">
        <f>IF($B218=1,$G$33,IF(N(Vintage_Input!Q168)&gt;0,IFERROR(Vintage_Input!BE168/$C218,""),""))</f>
        <v/>
      </c>
      <c r="AX218" s="152">
        <f>IF($B218=1,$H$33,IF(N(Vintage_Input!R168)&gt;0,IFERROR(Vintage_Input!BF168/$C218,""),""))</f>
        <v/>
      </c>
      <c r="AY218" s="152">
        <f>IF($B218=1,$I$33,IF(N(Vintage_Input!S168)&gt;0,IFERROR(Vintage_Input!BG168/$C218,""),""))</f>
        <v/>
      </c>
      <c r="AZ218" s="153">
        <f>IF($B218=1,$B$34,IF(N(Vintage_Input!L168)&gt;0,IFERROR((Vintage_Input!D168+Vintage_Input!AR168)/$C218+Products!$E$14-(Products!$E$43+Products!$E$19+Products!$E$43*Products!$E$22+Products!$E$44),""),""))</f>
        <v/>
      </c>
      <c r="BA218" s="153">
        <f>IF($B218=1,$C$34,IF(N(Vintage_Input!M168)&gt;0,IFERROR((Vintage_Input!E168+Vintage_Input!AS168)/$C218+Products!$E$14-(Products!$E$43+Products!$E$19+Products!$E$43*Products!$E$22+Products!$E$44),""),""))</f>
        <v/>
      </c>
      <c r="BB218" s="153">
        <f>IF($B218=1,$D$34,IF(N(Vintage_Input!N168)&gt;0,IFERROR((Vintage_Input!F168+Vintage_Input!AT168)/$C218+Products!$E$14-(Products!$E$43+Products!$E$19+Products!$E$43*Products!$E$22+Products!$E$44),""),""))</f>
        <v/>
      </c>
      <c r="BC218" s="153">
        <f>IF($B218=1,$E$34,IF(N(Vintage_Input!O168)&gt;0,IFERROR((Vintage_Input!G168+Vintage_Input!AU168)/$C218+Products!$E$14-(Products!$E$43+Products!$E$19+Products!$E$43*Products!$E$22+Products!$E$44),""),""))</f>
        <v/>
      </c>
      <c r="BD218" s="153">
        <f>IF($B218=1,$F$34,IF(N(Vintage_Input!P168)&gt;0,IFERROR((Vintage_Input!H168+Vintage_Input!AV168)/$C218+Products!$E$14-(Products!$E$43+Products!$E$19+Products!$E$43*Products!$E$22+Products!$E$44),""),""))</f>
        <v/>
      </c>
      <c r="BE218" s="153">
        <f>IF($B218=1,$G$34,IF(N(Vintage_Input!Q168)&gt;0,IFERROR((Vintage_Input!I168+Vintage_Input!AW168)/$C218+Products!$E$14-(Products!$E$43+Products!$E$19+Products!$E$43*Products!$E$22+Products!$E$44),""),""))</f>
        <v/>
      </c>
      <c r="BF218" s="153">
        <f>IF($B218=1,$H$34,IF(N(Vintage_Input!R168)&gt;0,IFERROR((Vintage_Input!J168+Vintage_Input!AX168)/$C218+Products!$E$14-(Products!$E$43+Products!$E$19+Products!$E$43*Products!$E$22+Products!$E$44),""),""))</f>
        <v/>
      </c>
      <c r="BG218" s="153">
        <f>IF($B218=1,$I$34,IF(N(Vintage_Input!S168)&gt;0,IFERROR((Vintage_Input!K168+Vintage_Input!AY168)/$C218+Products!$E$14-(Products!$E$43+Products!$E$19+Products!$E$43*Products!$E$22+Products!$E$44),""),""))</f>
        <v/>
      </c>
      <c r="BH218" s="81">
        <f>IF($B218=1,0,IF(Vintage_Input!$BH$168="","",Vintage_Input!$BH$168))</f>
        <v/>
      </c>
    </row>
    <row r="219">
      <c r="A219" s="23" t="n">
        <v>31</v>
      </c>
      <c r="B219" s="48">
        <f>Vintage_Input!$B$169</f>
        <v/>
      </c>
      <c r="C219" s="41">
        <f>IF(Vintage_Input!$C$169="",0,Vintage_Input!$C$169)</f>
        <v/>
      </c>
      <c r="D219" s="152">
        <f>IF($B219=1,$B$28,IF(N(Vintage_Input!L169)&gt;0,Vintage_Input!D169/Vintage_Input!L169,""))</f>
        <v/>
      </c>
      <c r="E219" s="152">
        <f>IF($B219=1,$C$28,IF(N(Vintage_Input!M169)&gt;0,Vintage_Input!E169/Vintage_Input!M169,""))</f>
        <v/>
      </c>
      <c r="F219" s="152">
        <f>IF($B219=1,$D$28,IF(N(Vintage_Input!N169)&gt;0,Vintage_Input!F169/Vintage_Input!N169,""))</f>
        <v/>
      </c>
      <c r="G219" s="152">
        <f>IF($B219=1,$E$28,IF(N(Vintage_Input!O169)&gt;0,Vintage_Input!G169/Vintage_Input!O169,""))</f>
        <v/>
      </c>
      <c r="H219" s="152">
        <f>IF($B219=1,$F$28,IF(N(Vintage_Input!P169)&gt;0,Vintage_Input!H169/Vintage_Input!P169,""))</f>
        <v/>
      </c>
      <c r="I219" s="152">
        <f>IF($B219=1,$G$28,IF(N(Vintage_Input!Q169)&gt;0,Vintage_Input!I169/Vintage_Input!Q169,""))</f>
        <v/>
      </c>
      <c r="J219" s="152">
        <f>IF($B219=1,$H$28,IF(N(Vintage_Input!R169)&gt;0,Vintage_Input!J169/Vintage_Input!R169,""))</f>
        <v/>
      </c>
      <c r="K219" s="152">
        <f>IF($B219=1,$I$28,IF(N(Vintage_Input!S169)&gt;0,Vintage_Input!K169/Vintage_Input!S169,""))</f>
        <v/>
      </c>
      <c r="L219" s="152">
        <f>IF($B219=1,$B$29,IF(N(Vintage_Input!L169)&gt;0,Vintage_Input!T169/Vintage_Input!L169,""))</f>
        <v/>
      </c>
      <c r="M219" s="152">
        <f>IF($B219=1,$C$29,IF(N(Vintage_Input!M169)&gt;0,Vintage_Input!U169/Vintage_Input!M169,""))</f>
        <v/>
      </c>
      <c r="N219" s="152">
        <f>IF($B219=1,$D$29,IF(N(Vintage_Input!N169)&gt;0,Vintage_Input!V169/Vintage_Input!N169,""))</f>
        <v/>
      </c>
      <c r="O219" s="152">
        <f>IF($B219=1,$E$29,IF(N(Vintage_Input!O169)&gt;0,Vintage_Input!W169/Vintage_Input!O169,""))</f>
        <v/>
      </c>
      <c r="P219" s="152">
        <f>IF($B219=1,$F$29,IF(N(Vintage_Input!P169)&gt;0,Vintage_Input!X169/Vintage_Input!P169,""))</f>
        <v/>
      </c>
      <c r="Q219" s="152">
        <f>IF($B219=1,$G$29,IF(N(Vintage_Input!Q169)&gt;0,Vintage_Input!Y169/Vintage_Input!Q169,""))</f>
        <v/>
      </c>
      <c r="R219" s="152">
        <f>IF($B219=1,$H$29,IF(N(Vintage_Input!R169)&gt;0,Vintage_Input!Z169/Vintage_Input!R169,""))</f>
        <v/>
      </c>
      <c r="S219" s="152">
        <f>IF($B219=1,$I$29,IF(N(Vintage_Input!S169)&gt;0,Vintage_Input!AA169/Vintage_Input!S169,""))</f>
        <v/>
      </c>
      <c r="T219" s="152">
        <f>IF($B219=1,$B$30,IF(N(Vintage_Input!L169)&gt;0,Vintage_Input!AB169/Vintage_Input!L169,""))</f>
        <v/>
      </c>
      <c r="U219" s="152">
        <f>IF($B219=1,$C$30,IF(N(Vintage_Input!M169)&gt;0,Vintage_Input!AC169/Vintage_Input!M169,""))</f>
        <v/>
      </c>
      <c r="V219" s="152">
        <f>IF($B219=1,$D$30,IF(N(Vintage_Input!N169)&gt;0,Vintage_Input!AD169/Vintage_Input!N169,""))</f>
        <v/>
      </c>
      <c r="W219" s="152">
        <f>IF($B219=1,$E$30,IF(N(Vintage_Input!O169)&gt;0,Vintage_Input!AE169/Vintage_Input!O169,""))</f>
        <v/>
      </c>
      <c r="X219" s="152">
        <f>IF($B219=1,$F$30,IF(N(Vintage_Input!P169)&gt;0,Vintage_Input!AF169/Vintage_Input!P169,""))</f>
        <v/>
      </c>
      <c r="Y219" s="152">
        <f>IF($B219=1,$G$30,IF(N(Vintage_Input!Q169)&gt;0,Vintage_Input!AG169/Vintage_Input!Q169,""))</f>
        <v/>
      </c>
      <c r="Z219" s="152">
        <f>IF($B219=1,$H$30,IF(N(Vintage_Input!R169)&gt;0,Vintage_Input!AH169/Vintage_Input!R169,""))</f>
        <v/>
      </c>
      <c r="AA219" s="152">
        <f>IF($B219=1,$I$30,IF(N(Vintage_Input!S169)&gt;0,Vintage_Input!AI169/Vintage_Input!S169,""))</f>
        <v/>
      </c>
      <c r="AB219" s="152">
        <f>IF($B219=1,$B$31,IF(N(Vintage_Input!L169)&gt;0,Vintage_Input!AJ169/Vintage_Input!L169,""))</f>
        <v/>
      </c>
      <c r="AC219" s="152">
        <f>IF($B219=1,$C$31,IF(N(Vintage_Input!M169)&gt;0,Vintage_Input!AK169/Vintage_Input!M169,""))</f>
        <v/>
      </c>
      <c r="AD219" s="152">
        <f>IF($B219=1,$D$31,IF(N(Vintage_Input!N169)&gt;0,Vintage_Input!AL169/Vintage_Input!N169,""))</f>
        <v/>
      </c>
      <c r="AE219" s="152">
        <f>IF($B219=1,$E$31,IF(N(Vintage_Input!O169)&gt;0,Vintage_Input!AM169/Vintage_Input!O169,""))</f>
        <v/>
      </c>
      <c r="AF219" s="152">
        <f>IF($B219=1,$F$31,IF(N(Vintage_Input!P169)&gt;0,Vintage_Input!AN169/Vintage_Input!P169,""))</f>
        <v/>
      </c>
      <c r="AG219" s="152">
        <f>IF($B219=1,$G$31,IF(N(Vintage_Input!Q169)&gt;0,Vintage_Input!AO169/Vintage_Input!Q169,""))</f>
        <v/>
      </c>
      <c r="AH219" s="152">
        <f>IF($B219=1,$H$31,IF(N(Vintage_Input!R169)&gt;0,Vintage_Input!AP169/Vintage_Input!R169,""))</f>
        <v/>
      </c>
      <c r="AI219" s="152">
        <f>IF($B219=1,$I$31,IF(N(Vintage_Input!S169)&gt;0,Vintage_Input!AQ169/Vintage_Input!S169,""))</f>
        <v/>
      </c>
      <c r="AJ219" s="152">
        <f>IF($B219=1,$B$32,IF(N(Vintage_Input!L169)&gt;0,IFERROR(Vintage_Input!AR169/Vintage_Input!AJ169,""),""))</f>
        <v/>
      </c>
      <c r="AK219" s="152">
        <f>IF($B219=1,$C$32,IF(N(Vintage_Input!M169)&gt;0,IFERROR(Vintage_Input!AS169/Vintage_Input!AK169,""),""))</f>
        <v/>
      </c>
      <c r="AL219" s="152">
        <f>IF($B219=1,$D$32,IF(N(Vintage_Input!N169)&gt;0,IFERROR(Vintage_Input!AT169/Vintage_Input!AL169,""),""))</f>
        <v/>
      </c>
      <c r="AM219" s="152">
        <f>IF($B219=1,$E$32,IF(N(Vintage_Input!O169)&gt;0,IFERROR(Vintage_Input!AU169/Vintage_Input!AM169,""),""))</f>
        <v/>
      </c>
      <c r="AN219" s="152">
        <f>IF($B219=1,$F$32,IF(N(Vintage_Input!P169)&gt;0,IFERROR(Vintage_Input!AV169/Vintage_Input!AN169,""),""))</f>
        <v/>
      </c>
      <c r="AO219" s="152">
        <f>IF($B219=1,$G$32,IF(N(Vintage_Input!Q169)&gt;0,IFERROR(Vintage_Input!AW169/Vintage_Input!AO169,""),""))</f>
        <v/>
      </c>
      <c r="AP219" s="152">
        <f>IF($B219=1,$H$32,IF(N(Vintage_Input!R169)&gt;0,IFERROR(Vintage_Input!AX169/Vintage_Input!AP169,""),""))</f>
        <v/>
      </c>
      <c r="AQ219" s="152">
        <f>IF($B219=1,$I$32,IF(N(Vintage_Input!S169)&gt;0,IFERROR(Vintage_Input!AY169/Vintage_Input!AQ169,""),""))</f>
        <v/>
      </c>
      <c r="AR219" s="152">
        <f>IF($B219=1,$B$33,IF(N(Vintage_Input!L169)&gt;0,IFERROR(Vintage_Input!AZ169/$C219,""),""))</f>
        <v/>
      </c>
      <c r="AS219" s="152">
        <f>IF($B219=1,$C$33,IF(N(Vintage_Input!M169)&gt;0,IFERROR(Vintage_Input!BA169/$C219,""),""))</f>
        <v/>
      </c>
      <c r="AT219" s="152">
        <f>IF($B219=1,$D$33,IF(N(Vintage_Input!N169)&gt;0,IFERROR(Vintage_Input!BB169/$C219,""),""))</f>
        <v/>
      </c>
      <c r="AU219" s="152">
        <f>IF($B219=1,$E$33,IF(N(Vintage_Input!O169)&gt;0,IFERROR(Vintage_Input!BC169/$C219,""),""))</f>
        <v/>
      </c>
      <c r="AV219" s="152">
        <f>IF($B219=1,$F$33,IF(N(Vintage_Input!P169)&gt;0,IFERROR(Vintage_Input!BD169/$C219,""),""))</f>
        <v/>
      </c>
      <c r="AW219" s="152">
        <f>IF($B219=1,$G$33,IF(N(Vintage_Input!Q169)&gt;0,IFERROR(Vintage_Input!BE169/$C219,""),""))</f>
        <v/>
      </c>
      <c r="AX219" s="152">
        <f>IF($B219=1,$H$33,IF(N(Vintage_Input!R169)&gt;0,IFERROR(Vintage_Input!BF169/$C219,""),""))</f>
        <v/>
      </c>
      <c r="AY219" s="152">
        <f>IF($B219=1,$I$33,IF(N(Vintage_Input!S169)&gt;0,IFERROR(Vintage_Input!BG169/$C219,""),""))</f>
        <v/>
      </c>
      <c r="AZ219" s="153">
        <f>IF($B219=1,$B$34,IF(N(Vintage_Input!L169)&gt;0,IFERROR((Vintage_Input!D169+Vintage_Input!AR169)/$C219+Products!$E$14-(Products!$E$43+Products!$E$19+Products!$E$43*Products!$E$22+Products!$E$44),""),""))</f>
        <v/>
      </c>
      <c r="BA219" s="153">
        <f>IF($B219=1,$C$34,IF(N(Vintage_Input!M169)&gt;0,IFERROR((Vintage_Input!E169+Vintage_Input!AS169)/$C219+Products!$E$14-(Products!$E$43+Products!$E$19+Products!$E$43*Products!$E$22+Products!$E$44),""),""))</f>
        <v/>
      </c>
      <c r="BB219" s="153">
        <f>IF($B219=1,$D$34,IF(N(Vintage_Input!N169)&gt;0,IFERROR((Vintage_Input!F169+Vintage_Input!AT169)/$C219+Products!$E$14-(Products!$E$43+Products!$E$19+Products!$E$43*Products!$E$22+Products!$E$44),""),""))</f>
        <v/>
      </c>
      <c r="BC219" s="153">
        <f>IF($B219=1,$E$34,IF(N(Vintage_Input!O169)&gt;0,IFERROR((Vintage_Input!G169+Vintage_Input!AU169)/$C219+Products!$E$14-(Products!$E$43+Products!$E$19+Products!$E$43*Products!$E$22+Products!$E$44),""),""))</f>
        <v/>
      </c>
      <c r="BD219" s="153">
        <f>IF($B219=1,$F$34,IF(N(Vintage_Input!P169)&gt;0,IFERROR((Vintage_Input!H169+Vintage_Input!AV169)/$C219+Products!$E$14-(Products!$E$43+Products!$E$19+Products!$E$43*Products!$E$22+Products!$E$44),""),""))</f>
        <v/>
      </c>
      <c r="BE219" s="153">
        <f>IF($B219=1,$G$34,IF(N(Vintage_Input!Q169)&gt;0,IFERROR((Vintage_Input!I169+Vintage_Input!AW169)/$C219+Products!$E$14-(Products!$E$43+Products!$E$19+Products!$E$43*Products!$E$22+Products!$E$44),""),""))</f>
        <v/>
      </c>
      <c r="BF219" s="153">
        <f>IF($B219=1,$H$34,IF(N(Vintage_Input!R169)&gt;0,IFERROR((Vintage_Input!J169+Vintage_Input!AX169)/$C219+Products!$E$14-(Products!$E$43+Products!$E$19+Products!$E$43*Products!$E$22+Products!$E$44),""),""))</f>
        <v/>
      </c>
      <c r="BG219" s="153">
        <f>IF($B219=1,$I$34,IF(N(Vintage_Input!S169)&gt;0,IFERROR((Vintage_Input!K169+Vintage_Input!AY169)/$C219+Products!$E$14-(Products!$E$43+Products!$E$19+Products!$E$43*Products!$E$22+Products!$E$44),""),""))</f>
        <v/>
      </c>
      <c r="BH219" s="81">
        <f>IF($B219=1,0,IF(Vintage_Input!$BH$169="","",Vintage_Input!$BH$169))</f>
        <v/>
      </c>
    </row>
    <row r="220">
      <c r="A220" s="23" t="n">
        <v>32</v>
      </c>
      <c r="B220" s="48">
        <f>Vintage_Input!$B$170</f>
        <v/>
      </c>
      <c r="C220" s="41">
        <f>IF(Vintage_Input!$C$170="",0,Vintage_Input!$C$170)</f>
        <v/>
      </c>
      <c r="D220" s="152">
        <f>IF($B220=1,$B$28,IF(N(Vintage_Input!L170)&gt;0,Vintage_Input!D170/Vintage_Input!L170,""))</f>
        <v/>
      </c>
      <c r="E220" s="152">
        <f>IF($B220=1,$C$28,IF(N(Vintage_Input!M170)&gt;0,Vintage_Input!E170/Vintage_Input!M170,""))</f>
        <v/>
      </c>
      <c r="F220" s="152">
        <f>IF($B220=1,$D$28,IF(N(Vintage_Input!N170)&gt;0,Vintage_Input!F170/Vintage_Input!N170,""))</f>
        <v/>
      </c>
      <c r="G220" s="152">
        <f>IF($B220=1,$E$28,IF(N(Vintage_Input!O170)&gt;0,Vintage_Input!G170/Vintage_Input!O170,""))</f>
        <v/>
      </c>
      <c r="H220" s="152">
        <f>IF($B220=1,$F$28,IF(N(Vintage_Input!P170)&gt;0,Vintage_Input!H170/Vintage_Input!P170,""))</f>
        <v/>
      </c>
      <c r="I220" s="152">
        <f>IF($B220=1,$G$28,IF(N(Vintage_Input!Q170)&gt;0,Vintage_Input!I170/Vintage_Input!Q170,""))</f>
        <v/>
      </c>
      <c r="J220" s="152">
        <f>IF($B220=1,$H$28,IF(N(Vintage_Input!R170)&gt;0,Vintage_Input!J170/Vintage_Input!R170,""))</f>
        <v/>
      </c>
      <c r="K220" s="152">
        <f>IF($B220=1,$I$28,IF(N(Vintage_Input!S170)&gt;0,Vintage_Input!K170/Vintage_Input!S170,""))</f>
        <v/>
      </c>
      <c r="L220" s="152">
        <f>IF($B220=1,$B$29,IF(N(Vintage_Input!L170)&gt;0,Vintage_Input!T170/Vintage_Input!L170,""))</f>
        <v/>
      </c>
      <c r="M220" s="152">
        <f>IF($B220=1,$C$29,IF(N(Vintage_Input!M170)&gt;0,Vintage_Input!U170/Vintage_Input!M170,""))</f>
        <v/>
      </c>
      <c r="N220" s="152">
        <f>IF($B220=1,$D$29,IF(N(Vintage_Input!N170)&gt;0,Vintage_Input!V170/Vintage_Input!N170,""))</f>
        <v/>
      </c>
      <c r="O220" s="152">
        <f>IF($B220=1,$E$29,IF(N(Vintage_Input!O170)&gt;0,Vintage_Input!W170/Vintage_Input!O170,""))</f>
        <v/>
      </c>
      <c r="P220" s="152">
        <f>IF($B220=1,$F$29,IF(N(Vintage_Input!P170)&gt;0,Vintage_Input!X170/Vintage_Input!P170,""))</f>
        <v/>
      </c>
      <c r="Q220" s="152">
        <f>IF($B220=1,$G$29,IF(N(Vintage_Input!Q170)&gt;0,Vintage_Input!Y170/Vintage_Input!Q170,""))</f>
        <v/>
      </c>
      <c r="R220" s="152">
        <f>IF($B220=1,$H$29,IF(N(Vintage_Input!R170)&gt;0,Vintage_Input!Z170/Vintage_Input!R170,""))</f>
        <v/>
      </c>
      <c r="S220" s="152">
        <f>IF($B220=1,$I$29,IF(N(Vintage_Input!S170)&gt;0,Vintage_Input!AA170/Vintage_Input!S170,""))</f>
        <v/>
      </c>
      <c r="T220" s="152">
        <f>IF($B220=1,$B$30,IF(N(Vintage_Input!L170)&gt;0,Vintage_Input!AB170/Vintage_Input!L170,""))</f>
        <v/>
      </c>
      <c r="U220" s="152">
        <f>IF($B220=1,$C$30,IF(N(Vintage_Input!M170)&gt;0,Vintage_Input!AC170/Vintage_Input!M170,""))</f>
        <v/>
      </c>
      <c r="V220" s="152">
        <f>IF($B220=1,$D$30,IF(N(Vintage_Input!N170)&gt;0,Vintage_Input!AD170/Vintage_Input!N170,""))</f>
        <v/>
      </c>
      <c r="W220" s="152">
        <f>IF($B220=1,$E$30,IF(N(Vintage_Input!O170)&gt;0,Vintage_Input!AE170/Vintage_Input!O170,""))</f>
        <v/>
      </c>
      <c r="X220" s="152">
        <f>IF($B220=1,$F$30,IF(N(Vintage_Input!P170)&gt;0,Vintage_Input!AF170/Vintage_Input!P170,""))</f>
        <v/>
      </c>
      <c r="Y220" s="152">
        <f>IF($B220=1,$G$30,IF(N(Vintage_Input!Q170)&gt;0,Vintage_Input!AG170/Vintage_Input!Q170,""))</f>
        <v/>
      </c>
      <c r="Z220" s="152">
        <f>IF($B220=1,$H$30,IF(N(Vintage_Input!R170)&gt;0,Vintage_Input!AH170/Vintage_Input!R170,""))</f>
        <v/>
      </c>
      <c r="AA220" s="152">
        <f>IF($B220=1,$I$30,IF(N(Vintage_Input!S170)&gt;0,Vintage_Input!AI170/Vintage_Input!S170,""))</f>
        <v/>
      </c>
      <c r="AB220" s="152">
        <f>IF($B220=1,$B$31,IF(N(Vintage_Input!L170)&gt;0,Vintage_Input!AJ170/Vintage_Input!L170,""))</f>
        <v/>
      </c>
      <c r="AC220" s="152">
        <f>IF($B220=1,$C$31,IF(N(Vintage_Input!M170)&gt;0,Vintage_Input!AK170/Vintage_Input!M170,""))</f>
        <v/>
      </c>
      <c r="AD220" s="152">
        <f>IF($B220=1,$D$31,IF(N(Vintage_Input!N170)&gt;0,Vintage_Input!AL170/Vintage_Input!N170,""))</f>
        <v/>
      </c>
      <c r="AE220" s="152">
        <f>IF($B220=1,$E$31,IF(N(Vintage_Input!O170)&gt;0,Vintage_Input!AM170/Vintage_Input!O170,""))</f>
        <v/>
      </c>
      <c r="AF220" s="152">
        <f>IF($B220=1,$F$31,IF(N(Vintage_Input!P170)&gt;0,Vintage_Input!AN170/Vintage_Input!P170,""))</f>
        <v/>
      </c>
      <c r="AG220" s="152">
        <f>IF($B220=1,$G$31,IF(N(Vintage_Input!Q170)&gt;0,Vintage_Input!AO170/Vintage_Input!Q170,""))</f>
        <v/>
      </c>
      <c r="AH220" s="152">
        <f>IF($B220=1,$H$31,IF(N(Vintage_Input!R170)&gt;0,Vintage_Input!AP170/Vintage_Input!R170,""))</f>
        <v/>
      </c>
      <c r="AI220" s="152">
        <f>IF($B220=1,$I$31,IF(N(Vintage_Input!S170)&gt;0,Vintage_Input!AQ170/Vintage_Input!S170,""))</f>
        <v/>
      </c>
      <c r="AJ220" s="152">
        <f>IF($B220=1,$B$32,IF(N(Vintage_Input!L170)&gt;0,IFERROR(Vintage_Input!AR170/Vintage_Input!AJ170,""),""))</f>
        <v/>
      </c>
      <c r="AK220" s="152">
        <f>IF($B220=1,$C$32,IF(N(Vintage_Input!M170)&gt;0,IFERROR(Vintage_Input!AS170/Vintage_Input!AK170,""),""))</f>
        <v/>
      </c>
      <c r="AL220" s="152">
        <f>IF($B220=1,$D$32,IF(N(Vintage_Input!N170)&gt;0,IFERROR(Vintage_Input!AT170/Vintage_Input!AL170,""),""))</f>
        <v/>
      </c>
      <c r="AM220" s="152">
        <f>IF($B220=1,$E$32,IF(N(Vintage_Input!O170)&gt;0,IFERROR(Vintage_Input!AU170/Vintage_Input!AM170,""),""))</f>
        <v/>
      </c>
      <c r="AN220" s="152">
        <f>IF($B220=1,$F$32,IF(N(Vintage_Input!P170)&gt;0,IFERROR(Vintage_Input!AV170/Vintage_Input!AN170,""),""))</f>
        <v/>
      </c>
      <c r="AO220" s="152">
        <f>IF($B220=1,$G$32,IF(N(Vintage_Input!Q170)&gt;0,IFERROR(Vintage_Input!AW170/Vintage_Input!AO170,""),""))</f>
        <v/>
      </c>
      <c r="AP220" s="152">
        <f>IF($B220=1,$H$32,IF(N(Vintage_Input!R170)&gt;0,IFERROR(Vintage_Input!AX170/Vintage_Input!AP170,""),""))</f>
        <v/>
      </c>
      <c r="AQ220" s="152">
        <f>IF($B220=1,$I$32,IF(N(Vintage_Input!S170)&gt;0,IFERROR(Vintage_Input!AY170/Vintage_Input!AQ170,""),""))</f>
        <v/>
      </c>
      <c r="AR220" s="152">
        <f>IF($B220=1,$B$33,IF(N(Vintage_Input!L170)&gt;0,IFERROR(Vintage_Input!AZ170/$C220,""),""))</f>
        <v/>
      </c>
      <c r="AS220" s="152">
        <f>IF($B220=1,$C$33,IF(N(Vintage_Input!M170)&gt;0,IFERROR(Vintage_Input!BA170/$C220,""),""))</f>
        <v/>
      </c>
      <c r="AT220" s="152">
        <f>IF($B220=1,$D$33,IF(N(Vintage_Input!N170)&gt;0,IFERROR(Vintage_Input!BB170/$C220,""),""))</f>
        <v/>
      </c>
      <c r="AU220" s="152">
        <f>IF($B220=1,$E$33,IF(N(Vintage_Input!O170)&gt;0,IFERROR(Vintage_Input!BC170/$C220,""),""))</f>
        <v/>
      </c>
      <c r="AV220" s="152">
        <f>IF($B220=1,$F$33,IF(N(Vintage_Input!P170)&gt;0,IFERROR(Vintage_Input!BD170/$C220,""),""))</f>
        <v/>
      </c>
      <c r="AW220" s="152">
        <f>IF($B220=1,$G$33,IF(N(Vintage_Input!Q170)&gt;0,IFERROR(Vintage_Input!BE170/$C220,""),""))</f>
        <v/>
      </c>
      <c r="AX220" s="152">
        <f>IF($B220=1,$H$33,IF(N(Vintage_Input!R170)&gt;0,IFERROR(Vintage_Input!BF170/$C220,""),""))</f>
        <v/>
      </c>
      <c r="AY220" s="152">
        <f>IF($B220=1,$I$33,IF(N(Vintage_Input!S170)&gt;0,IFERROR(Vintage_Input!BG170/$C220,""),""))</f>
        <v/>
      </c>
      <c r="AZ220" s="153">
        <f>IF($B220=1,$B$34,IF(N(Vintage_Input!L170)&gt;0,IFERROR((Vintage_Input!D170+Vintage_Input!AR170)/$C220+Products!$E$14-(Products!$E$43+Products!$E$19+Products!$E$43*Products!$E$22+Products!$E$44),""),""))</f>
        <v/>
      </c>
      <c r="BA220" s="153">
        <f>IF($B220=1,$C$34,IF(N(Vintage_Input!M170)&gt;0,IFERROR((Vintage_Input!E170+Vintage_Input!AS170)/$C220+Products!$E$14-(Products!$E$43+Products!$E$19+Products!$E$43*Products!$E$22+Products!$E$44),""),""))</f>
        <v/>
      </c>
      <c r="BB220" s="153">
        <f>IF($B220=1,$D$34,IF(N(Vintage_Input!N170)&gt;0,IFERROR((Vintage_Input!F170+Vintage_Input!AT170)/$C220+Products!$E$14-(Products!$E$43+Products!$E$19+Products!$E$43*Products!$E$22+Products!$E$44),""),""))</f>
        <v/>
      </c>
      <c r="BC220" s="153">
        <f>IF($B220=1,$E$34,IF(N(Vintage_Input!O170)&gt;0,IFERROR((Vintage_Input!G170+Vintage_Input!AU170)/$C220+Products!$E$14-(Products!$E$43+Products!$E$19+Products!$E$43*Products!$E$22+Products!$E$44),""),""))</f>
        <v/>
      </c>
      <c r="BD220" s="153">
        <f>IF($B220=1,$F$34,IF(N(Vintage_Input!P170)&gt;0,IFERROR((Vintage_Input!H170+Vintage_Input!AV170)/$C220+Products!$E$14-(Products!$E$43+Products!$E$19+Products!$E$43*Products!$E$22+Products!$E$44),""),""))</f>
        <v/>
      </c>
      <c r="BE220" s="153">
        <f>IF($B220=1,$G$34,IF(N(Vintage_Input!Q170)&gt;0,IFERROR((Vintage_Input!I170+Vintage_Input!AW170)/$C220+Products!$E$14-(Products!$E$43+Products!$E$19+Products!$E$43*Products!$E$22+Products!$E$44),""),""))</f>
        <v/>
      </c>
      <c r="BF220" s="153">
        <f>IF($B220=1,$H$34,IF(N(Vintage_Input!R170)&gt;0,IFERROR((Vintage_Input!J170+Vintage_Input!AX170)/$C220+Products!$E$14-(Products!$E$43+Products!$E$19+Products!$E$43*Products!$E$22+Products!$E$44),""),""))</f>
        <v/>
      </c>
      <c r="BG220" s="153">
        <f>IF($B220=1,$I$34,IF(N(Vintage_Input!S170)&gt;0,IFERROR((Vintage_Input!K170+Vintage_Input!AY170)/$C220+Products!$E$14-(Products!$E$43+Products!$E$19+Products!$E$43*Products!$E$22+Products!$E$44),""),""))</f>
        <v/>
      </c>
      <c r="BH220" s="81">
        <f>IF($B220=1,0,IF(Vintage_Input!$BH$170="","",Vintage_Input!$BH$170))</f>
        <v/>
      </c>
    </row>
    <row r="221">
      <c r="A221" s="23" t="n">
        <v>33</v>
      </c>
      <c r="B221" s="48">
        <f>Vintage_Input!$B$171</f>
        <v/>
      </c>
      <c r="C221" s="41">
        <f>IF(Vintage_Input!$C$171="",0,Vintage_Input!$C$171)</f>
        <v/>
      </c>
      <c r="D221" s="152">
        <f>IF($B221=1,$B$28,IF(N(Vintage_Input!L171)&gt;0,Vintage_Input!D171/Vintage_Input!L171,""))</f>
        <v/>
      </c>
      <c r="E221" s="152">
        <f>IF($B221=1,$C$28,IF(N(Vintage_Input!M171)&gt;0,Vintage_Input!E171/Vintage_Input!M171,""))</f>
        <v/>
      </c>
      <c r="F221" s="152">
        <f>IF($B221=1,$D$28,IF(N(Vintage_Input!N171)&gt;0,Vintage_Input!F171/Vintage_Input!N171,""))</f>
        <v/>
      </c>
      <c r="G221" s="152">
        <f>IF($B221=1,$E$28,IF(N(Vintage_Input!O171)&gt;0,Vintage_Input!G171/Vintage_Input!O171,""))</f>
        <v/>
      </c>
      <c r="H221" s="152">
        <f>IF($B221=1,$F$28,IF(N(Vintage_Input!P171)&gt;0,Vintage_Input!H171/Vintage_Input!P171,""))</f>
        <v/>
      </c>
      <c r="I221" s="152">
        <f>IF($B221=1,$G$28,IF(N(Vintage_Input!Q171)&gt;0,Vintage_Input!I171/Vintage_Input!Q171,""))</f>
        <v/>
      </c>
      <c r="J221" s="152">
        <f>IF($B221=1,$H$28,IF(N(Vintage_Input!R171)&gt;0,Vintage_Input!J171/Vintage_Input!R171,""))</f>
        <v/>
      </c>
      <c r="K221" s="152">
        <f>IF($B221=1,$I$28,IF(N(Vintage_Input!S171)&gt;0,Vintage_Input!K171/Vintage_Input!S171,""))</f>
        <v/>
      </c>
      <c r="L221" s="152">
        <f>IF($B221=1,$B$29,IF(N(Vintage_Input!L171)&gt;0,Vintage_Input!T171/Vintage_Input!L171,""))</f>
        <v/>
      </c>
      <c r="M221" s="152">
        <f>IF($B221=1,$C$29,IF(N(Vintage_Input!M171)&gt;0,Vintage_Input!U171/Vintage_Input!M171,""))</f>
        <v/>
      </c>
      <c r="N221" s="152">
        <f>IF($B221=1,$D$29,IF(N(Vintage_Input!N171)&gt;0,Vintage_Input!V171/Vintage_Input!N171,""))</f>
        <v/>
      </c>
      <c r="O221" s="152">
        <f>IF($B221=1,$E$29,IF(N(Vintage_Input!O171)&gt;0,Vintage_Input!W171/Vintage_Input!O171,""))</f>
        <v/>
      </c>
      <c r="P221" s="152">
        <f>IF($B221=1,$F$29,IF(N(Vintage_Input!P171)&gt;0,Vintage_Input!X171/Vintage_Input!P171,""))</f>
        <v/>
      </c>
      <c r="Q221" s="152">
        <f>IF($B221=1,$G$29,IF(N(Vintage_Input!Q171)&gt;0,Vintage_Input!Y171/Vintage_Input!Q171,""))</f>
        <v/>
      </c>
      <c r="R221" s="152">
        <f>IF($B221=1,$H$29,IF(N(Vintage_Input!R171)&gt;0,Vintage_Input!Z171/Vintage_Input!R171,""))</f>
        <v/>
      </c>
      <c r="S221" s="152">
        <f>IF($B221=1,$I$29,IF(N(Vintage_Input!S171)&gt;0,Vintage_Input!AA171/Vintage_Input!S171,""))</f>
        <v/>
      </c>
      <c r="T221" s="152">
        <f>IF($B221=1,$B$30,IF(N(Vintage_Input!L171)&gt;0,Vintage_Input!AB171/Vintage_Input!L171,""))</f>
        <v/>
      </c>
      <c r="U221" s="152">
        <f>IF($B221=1,$C$30,IF(N(Vintage_Input!M171)&gt;0,Vintage_Input!AC171/Vintage_Input!M171,""))</f>
        <v/>
      </c>
      <c r="V221" s="152">
        <f>IF($B221=1,$D$30,IF(N(Vintage_Input!N171)&gt;0,Vintage_Input!AD171/Vintage_Input!N171,""))</f>
        <v/>
      </c>
      <c r="W221" s="152">
        <f>IF($B221=1,$E$30,IF(N(Vintage_Input!O171)&gt;0,Vintage_Input!AE171/Vintage_Input!O171,""))</f>
        <v/>
      </c>
      <c r="X221" s="152">
        <f>IF($B221=1,$F$30,IF(N(Vintage_Input!P171)&gt;0,Vintage_Input!AF171/Vintage_Input!P171,""))</f>
        <v/>
      </c>
      <c r="Y221" s="152">
        <f>IF($B221=1,$G$30,IF(N(Vintage_Input!Q171)&gt;0,Vintage_Input!AG171/Vintage_Input!Q171,""))</f>
        <v/>
      </c>
      <c r="Z221" s="152">
        <f>IF($B221=1,$H$30,IF(N(Vintage_Input!R171)&gt;0,Vintage_Input!AH171/Vintage_Input!R171,""))</f>
        <v/>
      </c>
      <c r="AA221" s="152">
        <f>IF($B221=1,$I$30,IF(N(Vintage_Input!S171)&gt;0,Vintage_Input!AI171/Vintage_Input!S171,""))</f>
        <v/>
      </c>
      <c r="AB221" s="152">
        <f>IF($B221=1,$B$31,IF(N(Vintage_Input!L171)&gt;0,Vintage_Input!AJ171/Vintage_Input!L171,""))</f>
        <v/>
      </c>
      <c r="AC221" s="152">
        <f>IF($B221=1,$C$31,IF(N(Vintage_Input!M171)&gt;0,Vintage_Input!AK171/Vintage_Input!M171,""))</f>
        <v/>
      </c>
      <c r="AD221" s="152">
        <f>IF($B221=1,$D$31,IF(N(Vintage_Input!N171)&gt;0,Vintage_Input!AL171/Vintage_Input!N171,""))</f>
        <v/>
      </c>
      <c r="AE221" s="152">
        <f>IF($B221=1,$E$31,IF(N(Vintage_Input!O171)&gt;0,Vintage_Input!AM171/Vintage_Input!O171,""))</f>
        <v/>
      </c>
      <c r="AF221" s="152">
        <f>IF($B221=1,$F$31,IF(N(Vintage_Input!P171)&gt;0,Vintage_Input!AN171/Vintage_Input!P171,""))</f>
        <v/>
      </c>
      <c r="AG221" s="152">
        <f>IF($B221=1,$G$31,IF(N(Vintage_Input!Q171)&gt;0,Vintage_Input!AO171/Vintage_Input!Q171,""))</f>
        <v/>
      </c>
      <c r="AH221" s="152">
        <f>IF($B221=1,$H$31,IF(N(Vintage_Input!R171)&gt;0,Vintage_Input!AP171/Vintage_Input!R171,""))</f>
        <v/>
      </c>
      <c r="AI221" s="152">
        <f>IF($B221=1,$I$31,IF(N(Vintage_Input!S171)&gt;0,Vintage_Input!AQ171/Vintage_Input!S171,""))</f>
        <v/>
      </c>
      <c r="AJ221" s="152">
        <f>IF($B221=1,$B$32,IF(N(Vintage_Input!L171)&gt;0,IFERROR(Vintage_Input!AR171/Vintage_Input!AJ171,""),""))</f>
        <v/>
      </c>
      <c r="AK221" s="152">
        <f>IF($B221=1,$C$32,IF(N(Vintage_Input!M171)&gt;0,IFERROR(Vintage_Input!AS171/Vintage_Input!AK171,""),""))</f>
        <v/>
      </c>
      <c r="AL221" s="152">
        <f>IF($B221=1,$D$32,IF(N(Vintage_Input!N171)&gt;0,IFERROR(Vintage_Input!AT171/Vintage_Input!AL171,""),""))</f>
        <v/>
      </c>
      <c r="AM221" s="152">
        <f>IF($B221=1,$E$32,IF(N(Vintage_Input!O171)&gt;0,IFERROR(Vintage_Input!AU171/Vintage_Input!AM171,""),""))</f>
        <v/>
      </c>
      <c r="AN221" s="152">
        <f>IF($B221=1,$F$32,IF(N(Vintage_Input!P171)&gt;0,IFERROR(Vintage_Input!AV171/Vintage_Input!AN171,""),""))</f>
        <v/>
      </c>
      <c r="AO221" s="152">
        <f>IF($B221=1,$G$32,IF(N(Vintage_Input!Q171)&gt;0,IFERROR(Vintage_Input!AW171/Vintage_Input!AO171,""),""))</f>
        <v/>
      </c>
      <c r="AP221" s="152">
        <f>IF($B221=1,$H$32,IF(N(Vintage_Input!R171)&gt;0,IFERROR(Vintage_Input!AX171/Vintage_Input!AP171,""),""))</f>
        <v/>
      </c>
      <c r="AQ221" s="152">
        <f>IF($B221=1,$I$32,IF(N(Vintage_Input!S171)&gt;0,IFERROR(Vintage_Input!AY171/Vintage_Input!AQ171,""),""))</f>
        <v/>
      </c>
      <c r="AR221" s="152">
        <f>IF($B221=1,$B$33,IF(N(Vintage_Input!L171)&gt;0,IFERROR(Vintage_Input!AZ171/$C221,""),""))</f>
        <v/>
      </c>
      <c r="AS221" s="152">
        <f>IF($B221=1,$C$33,IF(N(Vintage_Input!M171)&gt;0,IFERROR(Vintage_Input!BA171/$C221,""),""))</f>
        <v/>
      </c>
      <c r="AT221" s="152">
        <f>IF($B221=1,$D$33,IF(N(Vintage_Input!N171)&gt;0,IFERROR(Vintage_Input!BB171/$C221,""),""))</f>
        <v/>
      </c>
      <c r="AU221" s="152">
        <f>IF($B221=1,$E$33,IF(N(Vintage_Input!O171)&gt;0,IFERROR(Vintage_Input!BC171/$C221,""),""))</f>
        <v/>
      </c>
      <c r="AV221" s="152">
        <f>IF($B221=1,$F$33,IF(N(Vintage_Input!P171)&gt;0,IFERROR(Vintage_Input!BD171/$C221,""),""))</f>
        <v/>
      </c>
      <c r="AW221" s="152">
        <f>IF($B221=1,$G$33,IF(N(Vintage_Input!Q171)&gt;0,IFERROR(Vintage_Input!BE171/$C221,""),""))</f>
        <v/>
      </c>
      <c r="AX221" s="152">
        <f>IF($B221=1,$H$33,IF(N(Vintage_Input!R171)&gt;0,IFERROR(Vintage_Input!BF171/$C221,""),""))</f>
        <v/>
      </c>
      <c r="AY221" s="152">
        <f>IF($B221=1,$I$33,IF(N(Vintage_Input!S171)&gt;0,IFERROR(Vintage_Input!BG171/$C221,""),""))</f>
        <v/>
      </c>
      <c r="AZ221" s="153">
        <f>IF($B221=1,$B$34,IF(N(Vintage_Input!L171)&gt;0,IFERROR((Vintage_Input!D171+Vintage_Input!AR171)/$C221+Products!$E$14-(Products!$E$43+Products!$E$19+Products!$E$43*Products!$E$22+Products!$E$44),""),""))</f>
        <v/>
      </c>
      <c r="BA221" s="153">
        <f>IF($B221=1,$C$34,IF(N(Vintage_Input!M171)&gt;0,IFERROR((Vintage_Input!E171+Vintage_Input!AS171)/$C221+Products!$E$14-(Products!$E$43+Products!$E$19+Products!$E$43*Products!$E$22+Products!$E$44),""),""))</f>
        <v/>
      </c>
      <c r="BB221" s="153">
        <f>IF($B221=1,$D$34,IF(N(Vintage_Input!N171)&gt;0,IFERROR((Vintage_Input!F171+Vintage_Input!AT171)/$C221+Products!$E$14-(Products!$E$43+Products!$E$19+Products!$E$43*Products!$E$22+Products!$E$44),""),""))</f>
        <v/>
      </c>
      <c r="BC221" s="153">
        <f>IF($B221=1,$E$34,IF(N(Vintage_Input!O171)&gt;0,IFERROR((Vintage_Input!G171+Vintage_Input!AU171)/$C221+Products!$E$14-(Products!$E$43+Products!$E$19+Products!$E$43*Products!$E$22+Products!$E$44),""),""))</f>
        <v/>
      </c>
      <c r="BD221" s="153">
        <f>IF($B221=1,$F$34,IF(N(Vintage_Input!P171)&gt;0,IFERROR((Vintage_Input!H171+Vintage_Input!AV171)/$C221+Products!$E$14-(Products!$E$43+Products!$E$19+Products!$E$43*Products!$E$22+Products!$E$44),""),""))</f>
        <v/>
      </c>
      <c r="BE221" s="153">
        <f>IF($B221=1,$G$34,IF(N(Vintage_Input!Q171)&gt;0,IFERROR((Vintage_Input!I171+Vintage_Input!AW171)/$C221+Products!$E$14-(Products!$E$43+Products!$E$19+Products!$E$43*Products!$E$22+Products!$E$44),""),""))</f>
        <v/>
      </c>
      <c r="BF221" s="153">
        <f>IF($B221=1,$H$34,IF(N(Vintage_Input!R171)&gt;0,IFERROR((Vintage_Input!J171+Vintage_Input!AX171)/$C221+Products!$E$14-(Products!$E$43+Products!$E$19+Products!$E$43*Products!$E$22+Products!$E$44),""),""))</f>
        <v/>
      </c>
      <c r="BG221" s="153">
        <f>IF($B221=1,$I$34,IF(N(Vintage_Input!S171)&gt;0,IFERROR((Vintage_Input!K171+Vintage_Input!AY171)/$C221+Products!$E$14-(Products!$E$43+Products!$E$19+Products!$E$43*Products!$E$22+Products!$E$44),""),""))</f>
        <v/>
      </c>
      <c r="BH221" s="81">
        <f>IF($B221=1,0,IF(Vintage_Input!$BH$171="","",Vintage_Input!$BH$171))</f>
        <v/>
      </c>
    </row>
    <row r="222">
      <c r="A222" s="23" t="n">
        <v>34</v>
      </c>
      <c r="B222" s="48">
        <f>Vintage_Input!$B$172</f>
        <v/>
      </c>
      <c r="C222" s="41">
        <f>IF(Vintage_Input!$C$172="",0,Vintage_Input!$C$172)</f>
        <v/>
      </c>
      <c r="D222" s="152">
        <f>IF($B222=1,$B$28,IF(N(Vintage_Input!L172)&gt;0,Vintage_Input!D172/Vintage_Input!L172,""))</f>
        <v/>
      </c>
      <c r="E222" s="152">
        <f>IF($B222=1,$C$28,IF(N(Vintage_Input!M172)&gt;0,Vintage_Input!E172/Vintage_Input!M172,""))</f>
        <v/>
      </c>
      <c r="F222" s="152">
        <f>IF($B222=1,$D$28,IF(N(Vintage_Input!N172)&gt;0,Vintage_Input!F172/Vintage_Input!N172,""))</f>
        <v/>
      </c>
      <c r="G222" s="152">
        <f>IF($B222=1,$E$28,IF(N(Vintage_Input!O172)&gt;0,Vintage_Input!G172/Vintage_Input!O172,""))</f>
        <v/>
      </c>
      <c r="H222" s="152">
        <f>IF($B222=1,$F$28,IF(N(Vintage_Input!P172)&gt;0,Vintage_Input!H172/Vintage_Input!P172,""))</f>
        <v/>
      </c>
      <c r="I222" s="152">
        <f>IF($B222=1,$G$28,IF(N(Vintage_Input!Q172)&gt;0,Vintage_Input!I172/Vintage_Input!Q172,""))</f>
        <v/>
      </c>
      <c r="J222" s="152">
        <f>IF($B222=1,$H$28,IF(N(Vintage_Input!R172)&gt;0,Vintage_Input!J172/Vintage_Input!R172,""))</f>
        <v/>
      </c>
      <c r="K222" s="152">
        <f>IF($B222=1,$I$28,IF(N(Vintage_Input!S172)&gt;0,Vintage_Input!K172/Vintage_Input!S172,""))</f>
        <v/>
      </c>
      <c r="L222" s="152">
        <f>IF($B222=1,$B$29,IF(N(Vintage_Input!L172)&gt;0,Vintage_Input!T172/Vintage_Input!L172,""))</f>
        <v/>
      </c>
      <c r="M222" s="152">
        <f>IF($B222=1,$C$29,IF(N(Vintage_Input!M172)&gt;0,Vintage_Input!U172/Vintage_Input!M172,""))</f>
        <v/>
      </c>
      <c r="N222" s="152">
        <f>IF($B222=1,$D$29,IF(N(Vintage_Input!N172)&gt;0,Vintage_Input!V172/Vintage_Input!N172,""))</f>
        <v/>
      </c>
      <c r="O222" s="152">
        <f>IF($B222=1,$E$29,IF(N(Vintage_Input!O172)&gt;0,Vintage_Input!W172/Vintage_Input!O172,""))</f>
        <v/>
      </c>
      <c r="P222" s="152">
        <f>IF($B222=1,$F$29,IF(N(Vintage_Input!P172)&gt;0,Vintage_Input!X172/Vintage_Input!P172,""))</f>
        <v/>
      </c>
      <c r="Q222" s="152">
        <f>IF($B222=1,$G$29,IF(N(Vintage_Input!Q172)&gt;0,Vintage_Input!Y172/Vintage_Input!Q172,""))</f>
        <v/>
      </c>
      <c r="R222" s="152">
        <f>IF($B222=1,$H$29,IF(N(Vintage_Input!R172)&gt;0,Vintage_Input!Z172/Vintage_Input!R172,""))</f>
        <v/>
      </c>
      <c r="S222" s="152">
        <f>IF($B222=1,$I$29,IF(N(Vintage_Input!S172)&gt;0,Vintage_Input!AA172/Vintage_Input!S172,""))</f>
        <v/>
      </c>
      <c r="T222" s="152">
        <f>IF($B222=1,$B$30,IF(N(Vintage_Input!L172)&gt;0,Vintage_Input!AB172/Vintage_Input!L172,""))</f>
        <v/>
      </c>
      <c r="U222" s="152">
        <f>IF($B222=1,$C$30,IF(N(Vintage_Input!M172)&gt;0,Vintage_Input!AC172/Vintage_Input!M172,""))</f>
        <v/>
      </c>
      <c r="V222" s="152">
        <f>IF($B222=1,$D$30,IF(N(Vintage_Input!N172)&gt;0,Vintage_Input!AD172/Vintage_Input!N172,""))</f>
        <v/>
      </c>
      <c r="W222" s="152">
        <f>IF($B222=1,$E$30,IF(N(Vintage_Input!O172)&gt;0,Vintage_Input!AE172/Vintage_Input!O172,""))</f>
        <v/>
      </c>
      <c r="X222" s="152">
        <f>IF($B222=1,$F$30,IF(N(Vintage_Input!P172)&gt;0,Vintage_Input!AF172/Vintage_Input!P172,""))</f>
        <v/>
      </c>
      <c r="Y222" s="152">
        <f>IF($B222=1,$G$30,IF(N(Vintage_Input!Q172)&gt;0,Vintage_Input!AG172/Vintage_Input!Q172,""))</f>
        <v/>
      </c>
      <c r="Z222" s="152">
        <f>IF($B222=1,$H$30,IF(N(Vintage_Input!R172)&gt;0,Vintage_Input!AH172/Vintage_Input!R172,""))</f>
        <v/>
      </c>
      <c r="AA222" s="152">
        <f>IF($B222=1,$I$30,IF(N(Vintage_Input!S172)&gt;0,Vintage_Input!AI172/Vintage_Input!S172,""))</f>
        <v/>
      </c>
      <c r="AB222" s="152">
        <f>IF($B222=1,$B$31,IF(N(Vintage_Input!L172)&gt;0,Vintage_Input!AJ172/Vintage_Input!L172,""))</f>
        <v/>
      </c>
      <c r="AC222" s="152">
        <f>IF($B222=1,$C$31,IF(N(Vintage_Input!M172)&gt;0,Vintage_Input!AK172/Vintage_Input!M172,""))</f>
        <v/>
      </c>
      <c r="AD222" s="152">
        <f>IF($B222=1,$D$31,IF(N(Vintage_Input!N172)&gt;0,Vintage_Input!AL172/Vintage_Input!N172,""))</f>
        <v/>
      </c>
      <c r="AE222" s="152">
        <f>IF($B222=1,$E$31,IF(N(Vintage_Input!O172)&gt;0,Vintage_Input!AM172/Vintage_Input!O172,""))</f>
        <v/>
      </c>
      <c r="AF222" s="152">
        <f>IF($B222=1,$F$31,IF(N(Vintage_Input!P172)&gt;0,Vintage_Input!AN172/Vintage_Input!P172,""))</f>
        <v/>
      </c>
      <c r="AG222" s="152">
        <f>IF($B222=1,$G$31,IF(N(Vintage_Input!Q172)&gt;0,Vintage_Input!AO172/Vintage_Input!Q172,""))</f>
        <v/>
      </c>
      <c r="AH222" s="152">
        <f>IF($B222=1,$H$31,IF(N(Vintage_Input!R172)&gt;0,Vintage_Input!AP172/Vintage_Input!R172,""))</f>
        <v/>
      </c>
      <c r="AI222" s="152">
        <f>IF($B222=1,$I$31,IF(N(Vintage_Input!S172)&gt;0,Vintage_Input!AQ172/Vintage_Input!S172,""))</f>
        <v/>
      </c>
      <c r="AJ222" s="152">
        <f>IF($B222=1,$B$32,IF(N(Vintage_Input!L172)&gt;0,IFERROR(Vintage_Input!AR172/Vintage_Input!AJ172,""),""))</f>
        <v/>
      </c>
      <c r="AK222" s="152">
        <f>IF($B222=1,$C$32,IF(N(Vintage_Input!M172)&gt;0,IFERROR(Vintage_Input!AS172/Vintage_Input!AK172,""),""))</f>
        <v/>
      </c>
      <c r="AL222" s="152">
        <f>IF($B222=1,$D$32,IF(N(Vintage_Input!N172)&gt;0,IFERROR(Vintage_Input!AT172/Vintage_Input!AL172,""),""))</f>
        <v/>
      </c>
      <c r="AM222" s="152">
        <f>IF($B222=1,$E$32,IF(N(Vintage_Input!O172)&gt;0,IFERROR(Vintage_Input!AU172/Vintage_Input!AM172,""),""))</f>
        <v/>
      </c>
      <c r="AN222" s="152">
        <f>IF($B222=1,$F$32,IF(N(Vintage_Input!P172)&gt;0,IFERROR(Vintage_Input!AV172/Vintage_Input!AN172,""),""))</f>
        <v/>
      </c>
      <c r="AO222" s="152">
        <f>IF($B222=1,$G$32,IF(N(Vintage_Input!Q172)&gt;0,IFERROR(Vintage_Input!AW172/Vintage_Input!AO172,""),""))</f>
        <v/>
      </c>
      <c r="AP222" s="152">
        <f>IF($B222=1,$H$32,IF(N(Vintage_Input!R172)&gt;0,IFERROR(Vintage_Input!AX172/Vintage_Input!AP172,""),""))</f>
        <v/>
      </c>
      <c r="AQ222" s="152">
        <f>IF($B222=1,$I$32,IF(N(Vintage_Input!S172)&gt;0,IFERROR(Vintage_Input!AY172/Vintage_Input!AQ172,""),""))</f>
        <v/>
      </c>
      <c r="AR222" s="152">
        <f>IF($B222=1,$B$33,IF(N(Vintage_Input!L172)&gt;0,IFERROR(Vintage_Input!AZ172/$C222,""),""))</f>
        <v/>
      </c>
      <c r="AS222" s="152">
        <f>IF($B222=1,$C$33,IF(N(Vintage_Input!M172)&gt;0,IFERROR(Vintage_Input!BA172/$C222,""),""))</f>
        <v/>
      </c>
      <c r="AT222" s="152">
        <f>IF($B222=1,$D$33,IF(N(Vintage_Input!N172)&gt;0,IFERROR(Vintage_Input!BB172/$C222,""),""))</f>
        <v/>
      </c>
      <c r="AU222" s="152">
        <f>IF($B222=1,$E$33,IF(N(Vintage_Input!O172)&gt;0,IFERROR(Vintage_Input!BC172/$C222,""),""))</f>
        <v/>
      </c>
      <c r="AV222" s="152">
        <f>IF($B222=1,$F$33,IF(N(Vintage_Input!P172)&gt;0,IFERROR(Vintage_Input!BD172/$C222,""),""))</f>
        <v/>
      </c>
      <c r="AW222" s="152">
        <f>IF($B222=1,$G$33,IF(N(Vintage_Input!Q172)&gt;0,IFERROR(Vintage_Input!BE172/$C222,""),""))</f>
        <v/>
      </c>
      <c r="AX222" s="152">
        <f>IF($B222=1,$H$33,IF(N(Vintage_Input!R172)&gt;0,IFERROR(Vintage_Input!BF172/$C222,""),""))</f>
        <v/>
      </c>
      <c r="AY222" s="152">
        <f>IF($B222=1,$I$33,IF(N(Vintage_Input!S172)&gt;0,IFERROR(Vintage_Input!BG172/$C222,""),""))</f>
        <v/>
      </c>
      <c r="AZ222" s="153">
        <f>IF($B222=1,$B$34,IF(N(Vintage_Input!L172)&gt;0,IFERROR((Vintage_Input!D172+Vintage_Input!AR172)/$C222+Products!$E$14-(Products!$E$43+Products!$E$19+Products!$E$43*Products!$E$22+Products!$E$44),""),""))</f>
        <v/>
      </c>
      <c r="BA222" s="153">
        <f>IF($B222=1,$C$34,IF(N(Vintage_Input!M172)&gt;0,IFERROR((Vintage_Input!E172+Vintage_Input!AS172)/$C222+Products!$E$14-(Products!$E$43+Products!$E$19+Products!$E$43*Products!$E$22+Products!$E$44),""),""))</f>
        <v/>
      </c>
      <c r="BB222" s="153">
        <f>IF($B222=1,$D$34,IF(N(Vintage_Input!N172)&gt;0,IFERROR((Vintage_Input!F172+Vintage_Input!AT172)/$C222+Products!$E$14-(Products!$E$43+Products!$E$19+Products!$E$43*Products!$E$22+Products!$E$44),""),""))</f>
        <v/>
      </c>
      <c r="BC222" s="153">
        <f>IF($B222=1,$E$34,IF(N(Vintage_Input!O172)&gt;0,IFERROR((Vintage_Input!G172+Vintage_Input!AU172)/$C222+Products!$E$14-(Products!$E$43+Products!$E$19+Products!$E$43*Products!$E$22+Products!$E$44),""),""))</f>
        <v/>
      </c>
      <c r="BD222" s="153">
        <f>IF($B222=1,$F$34,IF(N(Vintage_Input!P172)&gt;0,IFERROR((Vintage_Input!H172+Vintage_Input!AV172)/$C222+Products!$E$14-(Products!$E$43+Products!$E$19+Products!$E$43*Products!$E$22+Products!$E$44),""),""))</f>
        <v/>
      </c>
      <c r="BE222" s="153">
        <f>IF($B222=1,$G$34,IF(N(Vintage_Input!Q172)&gt;0,IFERROR((Vintage_Input!I172+Vintage_Input!AW172)/$C222+Products!$E$14-(Products!$E$43+Products!$E$19+Products!$E$43*Products!$E$22+Products!$E$44),""),""))</f>
        <v/>
      </c>
      <c r="BF222" s="153">
        <f>IF($B222=1,$H$34,IF(N(Vintage_Input!R172)&gt;0,IFERROR((Vintage_Input!J172+Vintage_Input!AX172)/$C222+Products!$E$14-(Products!$E$43+Products!$E$19+Products!$E$43*Products!$E$22+Products!$E$44),""),""))</f>
        <v/>
      </c>
      <c r="BG222" s="153">
        <f>IF($B222=1,$I$34,IF(N(Vintage_Input!S172)&gt;0,IFERROR((Vintage_Input!K172+Vintage_Input!AY172)/$C222+Products!$E$14-(Products!$E$43+Products!$E$19+Products!$E$43*Products!$E$22+Products!$E$44),""),""))</f>
        <v/>
      </c>
      <c r="BH222" s="81">
        <f>IF($B222=1,0,IF(Vintage_Input!$BH$172="","",Vintage_Input!$BH$172))</f>
        <v/>
      </c>
    </row>
    <row r="223">
      <c r="A223" s="23" t="n">
        <v>35</v>
      </c>
      <c r="B223" s="48">
        <f>Vintage_Input!$B$173</f>
        <v/>
      </c>
      <c r="C223" s="41">
        <f>IF(Vintage_Input!$C$173="",0,Vintage_Input!$C$173)</f>
        <v/>
      </c>
      <c r="D223" s="152">
        <f>IF($B223=1,$B$28,IF(N(Vintage_Input!L173)&gt;0,Vintage_Input!D173/Vintage_Input!L173,""))</f>
        <v/>
      </c>
      <c r="E223" s="152">
        <f>IF($B223=1,$C$28,IF(N(Vintage_Input!M173)&gt;0,Vintage_Input!E173/Vintage_Input!M173,""))</f>
        <v/>
      </c>
      <c r="F223" s="152">
        <f>IF($B223=1,$D$28,IF(N(Vintage_Input!N173)&gt;0,Vintage_Input!F173/Vintage_Input!N173,""))</f>
        <v/>
      </c>
      <c r="G223" s="152">
        <f>IF($B223=1,$E$28,IF(N(Vintage_Input!O173)&gt;0,Vintage_Input!G173/Vintage_Input!O173,""))</f>
        <v/>
      </c>
      <c r="H223" s="152">
        <f>IF($B223=1,$F$28,IF(N(Vintage_Input!P173)&gt;0,Vintage_Input!H173/Vintage_Input!P173,""))</f>
        <v/>
      </c>
      <c r="I223" s="152">
        <f>IF($B223=1,$G$28,IF(N(Vintage_Input!Q173)&gt;0,Vintage_Input!I173/Vintage_Input!Q173,""))</f>
        <v/>
      </c>
      <c r="J223" s="152">
        <f>IF($B223=1,$H$28,IF(N(Vintage_Input!R173)&gt;0,Vintage_Input!J173/Vintage_Input!R173,""))</f>
        <v/>
      </c>
      <c r="K223" s="152">
        <f>IF($B223=1,$I$28,IF(N(Vintage_Input!S173)&gt;0,Vintage_Input!K173/Vintage_Input!S173,""))</f>
        <v/>
      </c>
      <c r="L223" s="152">
        <f>IF($B223=1,$B$29,IF(N(Vintage_Input!L173)&gt;0,Vintage_Input!T173/Vintage_Input!L173,""))</f>
        <v/>
      </c>
      <c r="M223" s="152">
        <f>IF($B223=1,$C$29,IF(N(Vintage_Input!M173)&gt;0,Vintage_Input!U173/Vintage_Input!M173,""))</f>
        <v/>
      </c>
      <c r="N223" s="152">
        <f>IF($B223=1,$D$29,IF(N(Vintage_Input!N173)&gt;0,Vintage_Input!V173/Vintage_Input!N173,""))</f>
        <v/>
      </c>
      <c r="O223" s="152">
        <f>IF($B223=1,$E$29,IF(N(Vintage_Input!O173)&gt;0,Vintage_Input!W173/Vintage_Input!O173,""))</f>
        <v/>
      </c>
      <c r="P223" s="152">
        <f>IF($B223=1,$F$29,IF(N(Vintage_Input!P173)&gt;0,Vintage_Input!X173/Vintage_Input!P173,""))</f>
        <v/>
      </c>
      <c r="Q223" s="152">
        <f>IF($B223=1,$G$29,IF(N(Vintage_Input!Q173)&gt;0,Vintage_Input!Y173/Vintage_Input!Q173,""))</f>
        <v/>
      </c>
      <c r="R223" s="152">
        <f>IF($B223=1,$H$29,IF(N(Vintage_Input!R173)&gt;0,Vintage_Input!Z173/Vintage_Input!R173,""))</f>
        <v/>
      </c>
      <c r="S223" s="152">
        <f>IF($B223=1,$I$29,IF(N(Vintage_Input!S173)&gt;0,Vintage_Input!AA173/Vintage_Input!S173,""))</f>
        <v/>
      </c>
      <c r="T223" s="152">
        <f>IF($B223=1,$B$30,IF(N(Vintage_Input!L173)&gt;0,Vintage_Input!AB173/Vintage_Input!L173,""))</f>
        <v/>
      </c>
      <c r="U223" s="152">
        <f>IF($B223=1,$C$30,IF(N(Vintage_Input!M173)&gt;0,Vintage_Input!AC173/Vintage_Input!M173,""))</f>
        <v/>
      </c>
      <c r="V223" s="152">
        <f>IF($B223=1,$D$30,IF(N(Vintage_Input!N173)&gt;0,Vintage_Input!AD173/Vintage_Input!N173,""))</f>
        <v/>
      </c>
      <c r="W223" s="152">
        <f>IF($B223=1,$E$30,IF(N(Vintage_Input!O173)&gt;0,Vintage_Input!AE173/Vintage_Input!O173,""))</f>
        <v/>
      </c>
      <c r="X223" s="152">
        <f>IF($B223=1,$F$30,IF(N(Vintage_Input!P173)&gt;0,Vintage_Input!AF173/Vintage_Input!P173,""))</f>
        <v/>
      </c>
      <c r="Y223" s="152">
        <f>IF($B223=1,$G$30,IF(N(Vintage_Input!Q173)&gt;0,Vintage_Input!AG173/Vintage_Input!Q173,""))</f>
        <v/>
      </c>
      <c r="Z223" s="152">
        <f>IF($B223=1,$H$30,IF(N(Vintage_Input!R173)&gt;0,Vintage_Input!AH173/Vintage_Input!R173,""))</f>
        <v/>
      </c>
      <c r="AA223" s="152">
        <f>IF($B223=1,$I$30,IF(N(Vintage_Input!S173)&gt;0,Vintage_Input!AI173/Vintage_Input!S173,""))</f>
        <v/>
      </c>
      <c r="AB223" s="152">
        <f>IF($B223=1,$B$31,IF(N(Vintage_Input!L173)&gt;0,Vintage_Input!AJ173/Vintage_Input!L173,""))</f>
        <v/>
      </c>
      <c r="AC223" s="152">
        <f>IF($B223=1,$C$31,IF(N(Vintage_Input!M173)&gt;0,Vintage_Input!AK173/Vintage_Input!M173,""))</f>
        <v/>
      </c>
      <c r="AD223" s="152">
        <f>IF($B223=1,$D$31,IF(N(Vintage_Input!N173)&gt;0,Vintage_Input!AL173/Vintage_Input!N173,""))</f>
        <v/>
      </c>
      <c r="AE223" s="152">
        <f>IF($B223=1,$E$31,IF(N(Vintage_Input!O173)&gt;0,Vintage_Input!AM173/Vintage_Input!O173,""))</f>
        <v/>
      </c>
      <c r="AF223" s="152">
        <f>IF($B223=1,$F$31,IF(N(Vintage_Input!P173)&gt;0,Vintage_Input!AN173/Vintage_Input!P173,""))</f>
        <v/>
      </c>
      <c r="AG223" s="152">
        <f>IF($B223=1,$G$31,IF(N(Vintage_Input!Q173)&gt;0,Vintage_Input!AO173/Vintage_Input!Q173,""))</f>
        <v/>
      </c>
      <c r="AH223" s="152">
        <f>IF($B223=1,$H$31,IF(N(Vintage_Input!R173)&gt;0,Vintage_Input!AP173/Vintage_Input!R173,""))</f>
        <v/>
      </c>
      <c r="AI223" s="152">
        <f>IF($B223=1,$I$31,IF(N(Vintage_Input!S173)&gt;0,Vintage_Input!AQ173/Vintage_Input!S173,""))</f>
        <v/>
      </c>
      <c r="AJ223" s="152">
        <f>IF($B223=1,$B$32,IF(N(Vintage_Input!L173)&gt;0,IFERROR(Vintage_Input!AR173/Vintage_Input!AJ173,""),""))</f>
        <v/>
      </c>
      <c r="AK223" s="152">
        <f>IF($B223=1,$C$32,IF(N(Vintage_Input!M173)&gt;0,IFERROR(Vintage_Input!AS173/Vintage_Input!AK173,""),""))</f>
        <v/>
      </c>
      <c r="AL223" s="152">
        <f>IF($B223=1,$D$32,IF(N(Vintage_Input!N173)&gt;0,IFERROR(Vintage_Input!AT173/Vintage_Input!AL173,""),""))</f>
        <v/>
      </c>
      <c r="AM223" s="152">
        <f>IF($B223=1,$E$32,IF(N(Vintage_Input!O173)&gt;0,IFERROR(Vintage_Input!AU173/Vintage_Input!AM173,""),""))</f>
        <v/>
      </c>
      <c r="AN223" s="152">
        <f>IF($B223=1,$F$32,IF(N(Vintage_Input!P173)&gt;0,IFERROR(Vintage_Input!AV173/Vintage_Input!AN173,""),""))</f>
        <v/>
      </c>
      <c r="AO223" s="152">
        <f>IF($B223=1,$G$32,IF(N(Vintage_Input!Q173)&gt;0,IFERROR(Vintage_Input!AW173/Vintage_Input!AO173,""),""))</f>
        <v/>
      </c>
      <c r="AP223" s="152">
        <f>IF($B223=1,$H$32,IF(N(Vintage_Input!R173)&gt;0,IFERROR(Vintage_Input!AX173/Vintage_Input!AP173,""),""))</f>
        <v/>
      </c>
      <c r="AQ223" s="152">
        <f>IF($B223=1,$I$32,IF(N(Vintage_Input!S173)&gt;0,IFERROR(Vintage_Input!AY173/Vintage_Input!AQ173,""),""))</f>
        <v/>
      </c>
      <c r="AR223" s="152">
        <f>IF($B223=1,$B$33,IF(N(Vintage_Input!L173)&gt;0,IFERROR(Vintage_Input!AZ173/$C223,""),""))</f>
        <v/>
      </c>
      <c r="AS223" s="152">
        <f>IF($B223=1,$C$33,IF(N(Vintage_Input!M173)&gt;0,IFERROR(Vintage_Input!BA173/$C223,""),""))</f>
        <v/>
      </c>
      <c r="AT223" s="152">
        <f>IF($B223=1,$D$33,IF(N(Vintage_Input!N173)&gt;0,IFERROR(Vintage_Input!BB173/$C223,""),""))</f>
        <v/>
      </c>
      <c r="AU223" s="152">
        <f>IF($B223=1,$E$33,IF(N(Vintage_Input!O173)&gt;0,IFERROR(Vintage_Input!BC173/$C223,""),""))</f>
        <v/>
      </c>
      <c r="AV223" s="152">
        <f>IF($B223=1,$F$33,IF(N(Vintage_Input!P173)&gt;0,IFERROR(Vintage_Input!BD173/$C223,""),""))</f>
        <v/>
      </c>
      <c r="AW223" s="152">
        <f>IF($B223=1,$G$33,IF(N(Vintage_Input!Q173)&gt;0,IFERROR(Vintage_Input!BE173/$C223,""),""))</f>
        <v/>
      </c>
      <c r="AX223" s="152">
        <f>IF($B223=1,$H$33,IF(N(Vintage_Input!R173)&gt;0,IFERROR(Vintage_Input!BF173/$C223,""),""))</f>
        <v/>
      </c>
      <c r="AY223" s="152">
        <f>IF($B223=1,$I$33,IF(N(Vintage_Input!S173)&gt;0,IFERROR(Vintage_Input!BG173/$C223,""),""))</f>
        <v/>
      </c>
      <c r="AZ223" s="153">
        <f>IF($B223=1,$B$34,IF(N(Vintage_Input!L173)&gt;0,IFERROR((Vintage_Input!D173+Vintage_Input!AR173)/$C223+Products!$E$14-(Products!$E$43+Products!$E$19+Products!$E$43*Products!$E$22+Products!$E$44),""),""))</f>
        <v/>
      </c>
      <c r="BA223" s="153">
        <f>IF($B223=1,$C$34,IF(N(Vintage_Input!M173)&gt;0,IFERROR((Vintage_Input!E173+Vintage_Input!AS173)/$C223+Products!$E$14-(Products!$E$43+Products!$E$19+Products!$E$43*Products!$E$22+Products!$E$44),""),""))</f>
        <v/>
      </c>
      <c r="BB223" s="153">
        <f>IF($B223=1,$D$34,IF(N(Vintage_Input!N173)&gt;0,IFERROR((Vintage_Input!F173+Vintage_Input!AT173)/$C223+Products!$E$14-(Products!$E$43+Products!$E$19+Products!$E$43*Products!$E$22+Products!$E$44),""),""))</f>
        <v/>
      </c>
      <c r="BC223" s="153">
        <f>IF($B223=1,$E$34,IF(N(Vintage_Input!O173)&gt;0,IFERROR((Vintage_Input!G173+Vintage_Input!AU173)/$C223+Products!$E$14-(Products!$E$43+Products!$E$19+Products!$E$43*Products!$E$22+Products!$E$44),""),""))</f>
        <v/>
      </c>
      <c r="BD223" s="153">
        <f>IF($B223=1,$F$34,IF(N(Vintage_Input!P173)&gt;0,IFERROR((Vintage_Input!H173+Vintage_Input!AV173)/$C223+Products!$E$14-(Products!$E$43+Products!$E$19+Products!$E$43*Products!$E$22+Products!$E$44),""),""))</f>
        <v/>
      </c>
      <c r="BE223" s="153">
        <f>IF($B223=1,$G$34,IF(N(Vintage_Input!Q173)&gt;0,IFERROR((Vintage_Input!I173+Vintage_Input!AW173)/$C223+Products!$E$14-(Products!$E$43+Products!$E$19+Products!$E$43*Products!$E$22+Products!$E$44),""),""))</f>
        <v/>
      </c>
      <c r="BF223" s="153">
        <f>IF($B223=1,$H$34,IF(N(Vintage_Input!R173)&gt;0,IFERROR((Vintage_Input!J173+Vintage_Input!AX173)/$C223+Products!$E$14-(Products!$E$43+Products!$E$19+Products!$E$43*Products!$E$22+Products!$E$44),""),""))</f>
        <v/>
      </c>
      <c r="BG223" s="153">
        <f>IF($B223=1,$I$34,IF(N(Vintage_Input!S173)&gt;0,IFERROR((Vintage_Input!K173+Vintage_Input!AY173)/$C223+Products!$E$14-(Products!$E$43+Products!$E$19+Products!$E$43*Products!$E$22+Products!$E$44),""),""))</f>
        <v/>
      </c>
      <c r="BH223" s="81">
        <f>IF($B223=1,0,IF(Vintage_Input!$BH$173="","",Vintage_Input!$BH$173))</f>
        <v/>
      </c>
    </row>
    <row r="224">
      <c r="A224" s="23" t="n">
        <v>36</v>
      </c>
      <c r="B224" s="48">
        <f>Vintage_Input!$B$174</f>
        <v/>
      </c>
      <c r="C224" s="41">
        <f>IF(Vintage_Input!$C$174="",0,Vintage_Input!$C$174)</f>
        <v/>
      </c>
      <c r="D224" s="152">
        <f>IF($B224=1,$B$28,IF(N(Vintage_Input!L174)&gt;0,Vintage_Input!D174/Vintage_Input!L174,""))</f>
        <v/>
      </c>
      <c r="E224" s="152">
        <f>IF($B224=1,$C$28,IF(N(Vintage_Input!M174)&gt;0,Vintage_Input!E174/Vintage_Input!M174,""))</f>
        <v/>
      </c>
      <c r="F224" s="152">
        <f>IF($B224=1,$D$28,IF(N(Vintage_Input!N174)&gt;0,Vintage_Input!F174/Vintage_Input!N174,""))</f>
        <v/>
      </c>
      <c r="G224" s="152">
        <f>IF($B224=1,$E$28,IF(N(Vintage_Input!O174)&gt;0,Vintage_Input!G174/Vintage_Input!O174,""))</f>
        <v/>
      </c>
      <c r="H224" s="152">
        <f>IF($B224=1,$F$28,IF(N(Vintage_Input!P174)&gt;0,Vintage_Input!H174/Vintage_Input!P174,""))</f>
        <v/>
      </c>
      <c r="I224" s="152">
        <f>IF($B224=1,$G$28,IF(N(Vintage_Input!Q174)&gt;0,Vintage_Input!I174/Vintage_Input!Q174,""))</f>
        <v/>
      </c>
      <c r="J224" s="152">
        <f>IF($B224=1,$H$28,IF(N(Vintage_Input!R174)&gt;0,Vintage_Input!J174/Vintage_Input!R174,""))</f>
        <v/>
      </c>
      <c r="K224" s="152">
        <f>IF($B224=1,$I$28,IF(N(Vintage_Input!S174)&gt;0,Vintage_Input!K174/Vintage_Input!S174,""))</f>
        <v/>
      </c>
      <c r="L224" s="152">
        <f>IF($B224=1,$B$29,IF(N(Vintage_Input!L174)&gt;0,Vintage_Input!T174/Vintage_Input!L174,""))</f>
        <v/>
      </c>
      <c r="M224" s="152">
        <f>IF($B224=1,$C$29,IF(N(Vintage_Input!M174)&gt;0,Vintage_Input!U174/Vintage_Input!M174,""))</f>
        <v/>
      </c>
      <c r="N224" s="152">
        <f>IF($B224=1,$D$29,IF(N(Vintage_Input!N174)&gt;0,Vintage_Input!V174/Vintage_Input!N174,""))</f>
        <v/>
      </c>
      <c r="O224" s="152">
        <f>IF($B224=1,$E$29,IF(N(Vintage_Input!O174)&gt;0,Vintage_Input!W174/Vintage_Input!O174,""))</f>
        <v/>
      </c>
      <c r="P224" s="152">
        <f>IF($B224=1,$F$29,IF(N(Vintage_Input!P174)&gt;0,Vintage_Input!X174/Vintage_Input!P174,""))</f>
        <v/>
      </c>
      <c r="Q224" s="152">
        <f>IF($B224=1,$G$29,IF(N(Vintage_Input!Q174)&gt;0,Vintage_Input!Y174/Vintage_Input!Q174,""))</f>
        <v/>
      </c>
      <c r="R224" s="152">
        <f>IF($B224=1,$H$29,IF(N(Vintage_Input!R174)&gt;0,Vintage_Input!Z174/Vintage_Input!R174,""))</f>
        <v/>
      </c>
      <c r="S224" s="152">
        <f>IF($B224=1,$I$29,IF(N(Vintage_Input!S174)&gt;0,Vintage_Input!AA174/Vintage_Input!S174,""))</f>
        <v/>
      </c>
      <c r="T224" s="152">
        <f>IF($B224=1,$B$30,IF(N(Vintage_Input!L174)&gt;0,Vintage_Input!AB174/Vintage_Input!L174,""))</f>
        <v/>
      </c>
      <c r="U224" s="152">
        <f>IF($B224=1,$C$30,IF(N(Vintage_Input!M174)&gt;0,Vintage_Input!AC174/Vintage_Input!M174,""))</f>
        <v/>
      </c>
      <c r="V224" s="152">
        <f>IF($B224=1,$D$30,IF(N(Vintage_Input!N174)&gt;0,Vintage_Input!AD174/Vintage_Input!N174,""))</f>
        <v/>
      </c>
      <c r="W224" s="152">
        <f>IF($B224=1,$E$30,IF(N(Vintage_Input!O174)&gt;0,Vintage_Input!AE174/Vintage_Input!O174,""))</f>
        <v/>
      </c>
      <c r="X224" s="152">
        <f>IF($B224=1,$F$30,IF(N(Vintage_Input!P174)&gt;0,Vintage_Input!AF174/Vintage_Input!P174,""))</f>
        <v/>
      </c>
      <c r="Y224" s="152">
        <f>IF($B224=1,$G$30,IF(N(Vintage_Input!Q174)&gt;0,Vintage_Input!AG174/Vintage_Input!Q174,""))</f>
        <v/>
      </c>
      <c r="Z224" s="152">
        <f>IF($B224=1,$H$30,IF(N(Vintage_Input!R174)&gt;0,Vintage_Input!AH174/Vintage_Input!R174,""))</f>
        <v/>
      </c>
      <c r="AA224" s="152">
        <f>IF($B224=1,$I$30,IF(N(Vintage_Input!S174)&gt;0,Vintage_Input!AI174/Vintage_Input!S174,""))</f>
        <v/>
      </c>
      <c r="AB224" s="152">
        <f>IF($B224=1,$B$31,IF(N(Vintage_Input!L174)&gt;0,Vintage_Input!AJ174/Vintage_Input!L174,""))</f>
        <v/>
      </c>
      <c r="AC224" s="152">
        <f>IF($B224=1,$C$31,IF(N(Vintage_Input!M174)&gt;0,Vintage_Input!AK174/Vintage_Input!M174,""))</f>
        <v/>
      </c>
      <c r="AD224" s="152">
        <f>IF($B224=1,$D$31,IF(N(Vintage_Input!N174)&gt;0,Vintage_Input!AL174/Vintage_Input!N174,""))</f>
        <v/>
      </c>
      <c r="AE224" s="152">
        <f>IF($B224=1,$E$31,IF(N(Vintage_Input!O174)&gt;0,Vintage_Input!AM174/Vintage_Input!O174,""))</f>
        <v/>
      </c>
      <c r="AF224" s="152">
        <f>IF($B224=1,$F$31,IF(N(Vintage_Input!P174)&gt;0,Vintage_Input!AN174/Vintage_Input!P174,""))</f>
        <v/>
      </c>
      <c r="AG224" s="152">
        <f>IF($B224=1,$G$31,IF(N(Vintage_Input!Q174)&gt;0,Vintage_Input!AO174/Vintage_Input!Q174,""))</f>
        <v/>
      </c>
      <c r="AH224" s="152">
        <f>IF($B224=1,$H$31,IF(N(Vintage_Input!R174)&gt;0,Vintage_Input!AP174/Vintage_Input!R174,""))</f>
        <v/>
      </c>
      <c r="AI224" s="152">
        <f>IF($B224=1,$I$31,IF(N(Vintage_Input!S174)&gt;0,Vintage_Input!AQ174/Vintage_Input!S174,""))</f>
        <v/>
      </c>
      <c r="AJ224" s="152">
        <f>IF($B224=1,$B$32,IF(N(Vintage_Input!L174)&gt;0,IFERROR(Vintage_Input!AR174/Vintage_Input!AJ174,""),""))</f>
        <v/>
      </c>
      <c r="AK224" s="152">
        <f>IF($B224=1,$C$32,IF(N(Vintage_Input!M174)&gt;0,IFERROR(Vintage_Input!AS174/Vintage_Input!AK174,""),""))</f>
        <v/>
      </c>
      <c r="AL224" s="152">
        <f>IF($B224=1,$D$32,IF(N(Vintage_Input!N174)&gt;0,IFERROR(Vintage_Input!AT174/Vintage_Input!AL174,""),""))</f>
        <v/>
      </c>
      <c r="AM224" s="152">
        <f>IF($B224=1,$E$32,IF(N(Vintage_Input!O174)&gt;0,IFERROR(Vintage_Input!AU174/Vintage_Input!AM174,""),""))</f>
        <v/>
      </c>
      <c r="AN224" s="152">
        <f>IF($B224=1,$F$32,IF(N(Vintage_Input!P174)&gt;0,IFERROR(Vintage_Input!AV174/Vintage_Input!AN174,""),""))</f>
        <v/>
      </c>
      <c r="AO224" s="152">
        <f>IF($B224=1,$G$32,IF(N(Vintage_Input!Q174)&gt;0,IFERROR(Vintage_Input!AW174/Vintage_Input!AO174,""),""))</f>
        <v/>
      </c>
      <c r="AP224" s="152">
        <f>IF($B224=1,$H$32,IF(N(Vintage_Input!R174)&gt;0,IFERROR(Vintage_Input!AX174/Vintage_Input!AP174,""),""))</f>
        <v/>
      </c>
      <c r="AQ224" s="152">
        <f>IF($B224=1,$I$32,IF(N(Vintage_Input!S174)&gt;0,IFERROR(Vintage_Input!AY174/Vintage_Input!AQ174,""),""))</f>
        <v/>
      </c>
      <c r="AR224" s="152">
        <f>IF($B224=1,$B$33,IF(N(Vintage_Input!L174)&gt;0,IFERROR(Vintage_Input!AZ174/$C224,""),""))</f>
        <v/>
      </c>
      <c r="AS224" s="152">
        <f>IF($B224=1,$C$33,IF(N(Vintage_Input!M174)&gt;0,IFERROR(Vintage_Input!BA174/$C224,""),""))</f>
        <v/>
      </c>
      <c r="AT224" s="152">
        <f>IF($B224=1,$D$33,IF(N(Vintage_Input!N174)&gt;0,IFERROR(Vintage_Input!BB174/$C224,""),""))</f>
        <v/>
      </c>
      <c r="AU224" s="152">
        <f>IF($B224=1,$E$33,IF(N(Vintage_Input!O174)&gt;0,IFERROR(Vintage_Input!BC174/$C224,""),""))</f>
        <v/>
      </c>
      <c r="AV224" s="152">
        <f>IF($B224=1,$F$33,IF(N(Vintage_Input!P174)&gt;0,IFERROR(Vintage_Input!BD174/$C224,""),""))</f>
        <v/>
      </c>
      <c r="AW224" s="152">
        <f>IF($B224=1,$G$33,IF(N(Vintage_Input!Q174)&gt;0,IFERROR(Vintage_Input!BE174/$C224,""),""))</f>
        <v/>
      </c>
      <c r="AX224" s="152">
        <f>IF($B224=1,$H$33,IF(N(Vintage_Input!R174)&gt;0,IFERROR(Vintage_Input!BF174/$C224,""),""))</f>
        <v/>
      </c>
      <c r="AY224" s="152">
        <f>IF($B224=1,$I$33,IF(N(Vintage_Input!S174)&gt;0,IFERROR(Vintage_Input!BG174/$C224,""),""))</f>
        <v/>
      </c>
      <c r="AZ224" s="153">
        <f>IF($B224=1,$B$34,IF(N(Vintage_Input!L174)&gt;0,IFERROR((Vintage_Input!D174+Vintage_Input!AR174)/$C224+Products!$E$14-(Products!$E$43+Products!$E$19+Products!$E$43*Products!$E$22+Products!$E$44),""),""))</f>
        <v/>
      </c>
      <c r="BA224" s="153">
        <f>IF($B224=1,$C$34,IF(N(Vintage_Input!M174)&gt;0,IFERROR((Vintage_Input!E174+Vintage_Input!AS174)/$C224+Products!$E$14-(Products!$E$43+Products!$E$19+Products!$E$43*Products!$E$22+Products!$E$44),""),""))</f>
        <v/>
      </c>
      <c r="BB224" s="153">
        <f>IF($B224=1,$D$34,IF(N(Vintage_Input!N174)&gt;0,IFERROR((Vintage_Input!F174+Vintage_Input!AT174)/$C224+Products!$E$14-(Products!$E$43+Products!$E$19+Products!$E$43*Products!$E$22+Products!$E$44),""),""))</f>
        <v/>
      </c>
      <c r="BC224" s="153">
        <f>IF($B224=1,$E$34,IF(N(Vintage_Input!O174)&gt;0,IFERROR((Vintage_Input!G174+Vintage_Input!AU174)/$C224+Products!$E$14-(Products!$E$43+Products!$E$19+Products!$E$43*Products!$E$22+Products!$E$44),""),""))</f>
        <v/>
      </c>
      <c r="BD224" s="153">
        <f>IF($B224=1,$F$34,IF(N(Vintage_Input!P174)&gt;0,IFERROR((Vintage_Input!H174+Vintage_Input!AV174)/$C224+Products!$E$14-(Products!$E$43+Products!$E$19+Products!$E$43*Products!$E$22+Products!$E$44),""),""))</f>
        <v/>
      </c>
      <c r="BE224" s="153">
        <f>IF($B224=1,$G$34,IF(N(Vintage_Input!Q174)&gt;0,IFERROR((Vintage_Input!I174+Vintage_Input!AW174)/$C224+Products!$E$14-(Products!$E$43+Products!$E$19+Products!$E$43*Products!$E$22+Products!$E$44),""),""))</f>
        <v/>
      </c>
      <c r="BF224" s="153">
        <f>IF($B224=1,$H$34,IF(N(Vintage_Input!R174)&gt;0,IFERROR((Vintage_Input!J174+Vintage_Input!AX174)/$C224+Products!$E$14-(Products!$E$43+Products!$E$19+Products!$E$43*Products!$E$22+Products!$E$44),""),""))</f>
        <v/>
      </c>
      <c r="BG224" s="153">
        <f>IF($B224=1,$I$34,IF(N(Vintage_Input!S174)&gt;0,IFERROR((Vintage_Input!K174+Vintage_Input!AY174)/$C224+Products!$E$14-(Products!$E$43+Products!$E$19+Products!$E$43*Products!$E$22+Products!$E$44),""),""))</f>
        <v/>
      </c>
      <c r="BH224" s="81">
        <f>IF($B224=1,0,IF(Vintage_Input!$BH$174="","",Vintage_Input!$BH$174))</f>
        <v/>
      </c>
    </row>
    <row r="225">
      <c r="A225" s="23" t="n">
        <v>37</v>
      </c>
      <c r="B225" s="48">
        <f>Vintage_Input!$B$175</f>
        <v/>
      </c>
      <c r="C225" s="41">
        <f>IF(Vintage_Input!$C$175="",0,Vintage_Input!$C$175)</f>
        <v/>
      </c>
      <c r="D225" s="152">
        <f>IF($B225=1,$B$28,IF(N(Vintage_Input!L175)&gt;0,Vintage_Input!D175/Vintage_Input!L175,""))</f>
        <v/>
      </c>
      <c r="E225" s="152">
        <f>IF($B225=1,$C$28,IF(N(Vintage_Input!M175)&gt;0,Vintage_Input!E175/Vintage_Input!M175,""))</f>
        <v/>
      </c>
      <c r="F225" s="152">
        <f>IF($B225=1,$D$28,IF(N(Vintage_Input!N175)&gt;0,Vintage_Input!F175/Vintage_Input!N175,""))</f>
        <v/>
      </c>
      <c r="G225" s="152">
        <f>IF($B225=1,$E$28,IF(N(Vintage_Input!O175)&gt;0,Vintage_Input!G175/Vintage_Input!O175,""))</f>
        <v/>
      </c>
      <c r="H225" s="152">
        <f>IF($B225=1,$F$28,IF(N(Vintage_Input!P175)&gt;0,Vintage_Input!H175/Vintage_Input!P175,""))</f>
        <v/>
      </c>
      <c r="I225" s="152">
        <f>IF($B225=1,$G$28,IF(N(Vintage_Input!Q175)&gt;0,Vintage_Input!I175/Vintage_Input!Q175,""))</f>
        <v/>
      </c>
      <c r="J225" s="152">
        <f>IF($B225=1,$H$28,IF(N(Vintage_Input!R175)&gt;0,Vintage_Input!J175/Vintage_Input!R175,""))</f>
        <v/>
      </c>
      <c r="K225" s="152">
        <f>IF($B225=1,$I$28,IF(N(Vintage_Input!S175)&gt;0,Vintage_Input!K175/Vintage_Input!S175,""))</f>
        <v/>
      </c>
      <c r="L225" s="152">
        <f>IF($B225=1,$B$29,IF(N(Vintage_Input!L175)&gt;0,Vintage_Input!T175/Vintage_Input!L175,""))</f>
        <v/>
      </c>
      <c r="M225" s="152">
        <f>IF($B225=1,$C$29,IF(N(Vintage_Input!M175)&gt;0,Vintage_Input!U175/Vintage_Input!M175,""))</f>
        <v/>
      </c>
      <c r="N225" s="152">
        <f>IF($B225=1,$D$29,IF(N(Vintage_Input!N175)&gt;0,Vintage_Input!V175/Vintage_Input!N175,""))</f>
        <v/>
      </c>
      <c r="O225" s="152">
        <f>IF($B225=1,$E$29,IF(N(Vintage_Input!O175)&gt;0,Vintage_Input!W175/Vintage_Input!O175,""))</f>
        <v/>
      </c>
      <c r="P225" s="152">
        <f>IF($B225=1,$F$29,IF(N(Vintage_Input!P175)&gt;0,Vintage_Input!X175/Vintage_Input!P175,""))</f>
        <v/>
      </c>
      <c r="Q225" s="152">
        <f>IF($B225=1,$G$29,IF(N(Vintage_Input!Q175)&gt;0,Vintage_Input!Y175/Vintage_Input!Q175,""))</f>
        <v/>
      </c>
      <c r="R225" s="152">
        <f>IF($B225=1,$H$29,IF(N(Vintage_Input!R175)&gt;0,Vintage_Input!Z175/Vintage_Input!R175,""))</f>
        <v/>
      </c>
      <c r="S225" s="152">
        <f>IF($B225=1,$I$29,IF(N(Vintage_Input!S175)&gt;0,Vintage_Input!AA175/Vintage_Input!S175,""))</f>
        <v/>
      </c>
      <c r="T225" s="152">
        <f>IF($B225=1,$B$30,IF(N(Vintage_Input!L175)&gt;0,Vintage_Input!AB175/Vintage_Input!L175,""))</f>
        <v/>
      </c>
      <c r="U225" s="152">
        <f>IF($B225=1,$C$30,IF(N(Vintage_Input!M175)&gt;0,Vintage_Input!AC175/Vintage_Input!M175,""))</f>
        <v/>
      </c>
      <c r="V225" s="152">
        <f>IF($B225=1,$D$30,IF(N(Vintage_Input!N175)&gt;0,Vintage_Input!AD175/Vintage_Input!N175,""))</f>
        <v/>
      </c>
      <c r="W225" s="152">
        <f>IF($B225=1,$E$30,IF(N(Vintage_Input!O175)&gt;0,Vintage_Input!AE175/Vintage_Input!O175,""))</f>
        <v/>
      </c>
      <c r="X225" s="152">
        <f>IF($B225=1,$F$30,IF(N(Vintage_Input!P175)&gt;0,Vintage_Input!AF175/Vintage_Input!P175,""))</f>
        <v/>
      </c>
      <c r="Y225" s="152">
        <f>IF($B225=1,$G$30,IF(N(Vintage_Input!Q175)&gt;0,Vintage_Input!AG175/Vintage_Input!Q175,""))</f>
        <v/>
      </c>
      <c r="Z225" s="152">
        <f>IF($B225=1,$H$30,IF(N(Vintage_Input!R175)&gt;0,Vintage_Input!AH175/Vintage_Input!R175,""))</f>
        <v/>
      </c>
      <c r="AA225" s="152">
        <f>IF($B225=1,$I$30,IF(N(Vintage_Input!S175)&gt;0,Vintage_Input!AI175/Vintage_Input!S175,""))</f>
        <v/>
      </c>
      <c r="AB225" s="152">
        <f>IF($B225=1,$B$31,IF(N(Vintage_Input!L175)&gt;0,Vintage_Input!AJ175/Vintage_Input!L175,""))</f>
        <v/>
      </c>
      <c r="AC225" s="152">
        <f>IF($B225=1,$C$31,IF(N(Vintage_Input!M175)&gt;0,Vintage_Input!AK175/Vintage_Input!M175,""))</f>
        <v/>
      </c>
      <c r="AD225" s="152">
        <f>IF($B225=1,$D$31,IF(N(Vintage_Input!N175)&gt;0,Vintage_Input!AL175/Vintage_Input!N175,""))</f>
        <v/>
      </c>
      <c r="AE225" s="152">
        <f>IF($B225=1,$E$31,IF(N(Vintage_Input!O175)&gt;0,Vintage_Input!AM175/Vintage_Input!O175,""))</f>
        <v/>
      </c>
      <c r="AF225" s="152">
        <f>IF($B225=1,$F$31,IF(N(Vintage_Input!P175)&gt;0,Vintage_Input!AN175/Vintage_Input!P175,""))</f>
        <v/>
      </c>
      <c r="AG225" s="152">
        <f>IF($B225=1,$G$31,IF(N(Vintage_Input!Q175)&gt;0,Vintage_Input!AO175/Vintage_Input!Q175,""))</f>
        <v/>
      </c>
      <c r="AH225" s="152">
        <f>IF($B225=1,$H$31,IF(N(Vintage_Input!R175)&gt;0,Vintage_Input!AP175/Vintage_Input!R175,""))</f>
        <v/>
      </c>
      <c r="AI225" s="152">
        <f>IF($B225=1,$I$31,IF(N(Vintage_Input!S175)&gt;0,Vintage_Input!AQ175/Vintage_Input!S175,""))</f>
        <v/>
      </c>
      <c r="AJ225" s="152">
        <f>IF($B225=1,$B$32,IF(N(Vintage_Input!L175)&gt;0,IFERROR(Vintage_Input!AR175/Vintage_Input!AJ175,""),""))</f>
        <v/>
      </c>
      <c r="AK225" s="152">
        <f>IF($B225=1,$C$32,IF(N(Vintage_Input!M175)&gt;0,IFERROR(Vintage_Input!AS175/Vintage_Input!AK175,""),""))</f>
        <v/>
      </c>
      <c r="AL225" s="152">
        <f>IF($B225=1,$D$32,IF(N(Vintage_Input!N175)&gt;0,IFERROR(Vintage_Input!AT175/Vintage_Input!AL175,""),""))</f>
        <v/>
      </c>
      <c r="AM225" s="152">
        <f>IF($B225=1,$E$32,IF(N(Vintage_Input!O175)&gt;0,IFERROR(Vintage_Input!AU175/Vintage_Input!AM175,""),""))</f>
        <v/>
      </c>
      <c r="AN225" s="152">
        <f>IF($B225=1,$F$32,IF(N(Vintage_Input!P175)&gt;0,IFERROR(Vintage_Input!AV175/Vintage_Input!AN175,""),""))</f>
        <v/>
      </c>
      <c r="AO225" s="152">
        <f>IF($B225=1,$G$32,IF(N(Vintage_Input!Q175)&gt;0,IFERROR(Vintage_Input!AW175/Vintage_Input!AO175,""),""))</f>
        <v/>
      </c>
      <c r="AP225" s="152">
        <f>IF($B225=1,$H$32,IF(N(Vintage_Input!R175)&gt;0,IFERROR(Vintage_Input!AX175/Vintage_Input!AP175,""),""))</f>
        <v/>
      </c>
      <c r="AQ225" s="152">
        <f>IF($B225=1,$I$32,IF(N(Vintage_Input!S175)&gt;0,IFERROR(Vintage_Input!AY175/Vintage_Input!AQ175,""),""))</f>
        <v/>
      </c>
      <c r="AR225" s="152">
        <f>IF($B225=1,$B$33,IF(N(Vintage_Input!L175)&gt;0,IFERROR(Vintage_Input!AZ175/$C225,""),""))</f>
        <v/>
      </c>
      <c r="AS225" s="152">
        <f>IF($B225=1,$C$33,IF(N(Vintage_Input!M175)&gt;0,IFERROR(Vintage_Input!BA175/$C225,""),""))</f>
        <v/>
      </c>
      <c r="AT225" s="152">
        <f>IF($B225=1,$D$33,IF(N(Vintage_Input!N175)&gt;0,IFERROR(Vintage_Input!BB175/$C225,""),""))</f>
        <v/>
      </c>
      <c r="AU225" s="152">
        <f>IF($B225=1,$E$33,IF(N(Vintage_Input!O175)&gt;0,IFERROR(Vintage_Input!BC175/$C225,""),""))</f>
        <v/>
      </c>
      <c r="AV225" s="152">
        <f>IF($B225=1,$F$33,IF(N(Vintage_Input!P175)&gt;0,IFERROR(Vintage_Input!BD175/$C225,""),""))</f>
        <v/>
      </c>
      <c r="AW225" s="152">
        <f>IF($B225=1,$G$33,IF(N(Vintage_Input!Q175)&gt;0,IFERROR(Vintage_Input!BE175/$C225,""),""))</f>
        <v/>
      </c>
      <c r="AX225" s="152">
        <f>IF($B225=1,$H$33,IF(N(Vintage_Input!R175)&gt;0,IFERROR(Vintage_Input!BF175/$C225,""),""))</f>
        <v/>
      </c>
      <c r="AY225" s="152">
        <f>IF($B225=1,$I$33,IF(N(Vintage_Input!S175)&gt;0,IFERROR(Vintage_Input!BG175/$C225,""),""))</f>
        <v/>
      </c>
      <c r="AZ225" s="153">
        <f>IF($B225=1,$B$34,IF(N(Vintage_Input!L175)&gt;0,IFERROR((Vintage_Input!D175+Vintage_Input!AR175)/$C225+Products!$E$14-(Products!$E$43+Products!$E$19+Products!$E$43*Products!$E$22+Products!$E$44),""),""))</f>
        <v/>
      </c>
      <c r="BA225" s="153">
        <f>IF($B225=1,$C$34,IF(N(Vintage_Input!M175)&gt;0,IFERROR((Vintage_Input!E175+Vintage_Input!AS175)/$C225+Products!$E$14-(Products!$E$43+Products!$E$19+Products!$E$43*Products!$E$22+Products!$E$44),""),""))</f>
        <v/>
      </c>
      <c r="BB225" s="153">
        <f>IF($B225=1,$D$34,IF(N(Vintage_Input!N175)&gt;0,IFERROR((Vintage_Input!F175+Vintage_Input!AT175)/$C225+Products!$E$14-(Products!$E$43+Products!$E$19+Products!$E$43*Products!$E$22+Products!$E$44),""),""))</f>
        <v/>
      </c>
      <c r="BC225" s="153">
        <f>IF($B225=1,$E$34,IF(N(Vintage_Input!O175)&gt;0,IFERROR((Vintage_Input!G175+Vintage_Input!AU175)/$C225+Products!$E$14-(Products!$E$43+Products!$E$19+Products!$E$43*Products!$E$22+Products!$E$44),""),""))</f>
        <v/>
      </c>
      <c r="BD225" s="153">
        <f>IF($B225=1,$F$34,IF(N(Vintage_Input!P175)&gt;0,IFERROR((Vintage_Input!H175+Vintage_Input!AV175)/$C225+Products!$E$14-(Products!$E$43+Products!$E$19+Products!$E$43*Products!$E$22+Products!$E$44),""),""))</f>
        <v/>
      </c>
      <c r="BE225" s="153">
        <f>IF($B225=1,$G$34,IF(N(Vintage_Input!Q175)&gt;0,IFERROR((Vintage_Input!I175+Vintage_Input!AW175)/$C225+Products!$E$14-(Products!$E$43+Products!$E$19+Products!$E$43*Products!$E$22+Products!$E$44),""),""))</f>
        <v/>
      </c>
      <c r="BF225" s="153">
        <f>IF($B225=1,$H$34,IF(N(Vintage_Input!R175)&gt;0,IFERROR((Vintage_Input!J175+Vintage_Input!AX175)/$C225+Products!$E$14-(Products!$E$43+Products!$E$19+Products!$E$43*Products!$E$22+Products!$E$44),""),""))</f>
        <v/>
      </c>
      <c r="BG225" s="153">
        <f>IF($B225=1,$I$34,IF(N(Vintage_Input!S175)&gt;0,IFERROR((Vintage_Input!K175+Vintage_Input!AY175)/$C225+Products!$E$14-(Products!$E$43+Products!$E$19+Products!$E$43*Products!$E$22+Products!$E$44),""),""))</f>
        <v/>
      </c>
      <c r="BH225" s="81">
        <f>IF($B225=1,0,IF(Vintage_Input!$BH$175="","",Vintage_Input!$BH$175))</f>
        <v/>
      </c>
    </row>
    <row r="226">
      <c r="A226" s="23" t="n">
        <v>38</v>
      </c>
      <c r="B226" s="48">
        <f>Vintage_Input!$B$176</f>
        <v/>
      </c>
      <c r="C226" s="41">
        <f>IF(Vintage_Input!$C$176="",0,Vintage_Input!$C$176)</f>
        <v/>
      </c>
      <c r="D226" s="152">
        <f>IF($B226=1,$B$28,IF(N(Vintage_Input!L176)&gt;0,Vintage_Input!D176/Vintage_Input!L176,""))</f>
        <v/>
      </c>
      <c r="E226" s="152">
        <f>IF($B226=1,$C$28,IF(N(Vintage_Input!M176)&gt;0,Vintage_Input!E176/Vintage_Input!M176,""))</f>
        <v/>
      </c>
      <c r="F226" s="152">
        <f>IF($B226=1,$D$28,IF(N(Vintage_Input!N176)&gt;0,Vintage_Input!F176/Vintage_Input!N176,""))</f>
        <v/>
      </c>
      <c r="G226" s="152">
        <f>IF($B226=1,$E$28,IF(N(Vintage_Input!O176)&gt;0,Vintage_Input!G176/Vintage_Input!O176,""))</f>
        <v/>
      </c>
      <c r="H226" s="152">
        <f>IF($B226=1,$F$28,IF(N(Vintage_Input!P176)&gt;0,Vintage_Input!H176/Vintage_Input!P176,""))</f>
        <v/>
      </c>
      <c r="I226" s="152">
        <f>IF($B226=1,$G$28,IF(N(Vintage_Input!Q176)&gt;0,Vintage_Input!I176/Vintage_Input!Q176,""))</f>
        <v/>
      </c>
      <c r="J226" s="152">
        <f>IF($B226=1,$H$28,IF(N(Vintage_Input!R176)&gt;0,Vintage_Input!J176/Vintage_Input!R176,""))</f>
        <v/>
      </c>
      <c r="K226" s="152">
        <f>IF($B226=1,$I$28,IF(N(Vintage_Input!S176)&gt;0,Vintage_Input!K176/Vintage_Input!S176,""))</f>
        <v/>
      </c>
      <c r="L226" s="152">
        <f>IF($B226=1,$B$29,IF(N(Vintage_Input!L176)&gt;0,Vintage_Input!T176/Vintage_Input!L176,""))</f>
        <v/>
      </c>
      <c r="M226" s="152">
        <f>IF($B226=1,$C$29,IF(N(Vintage_Input!M176)&gt;0,Vintage_Input!U176/Vintage_Input!M176,""))</f>
        <v/>
      </c>
      <c r="N226" s="152">
        <f>IF($B226=1,$D$29,IF(N(Vintage_Input!N176)&gt;0,Vintage_Input!V176/Vintage_Input!N176,""))</f>
        <v/>
      </c>
      <c r="O226" s="152">
        <f>IF($B226=1,$E$29,IF(N(Vintage_Input!O176)&gt;0,Vintage_Input!W176/Vintage_Input!O176,""))</f>
        <v/>
      </c>
      <c r="P226" s="152">
        <f>IF($B226=1,$F$29,IF(N(Vintage_Input!P176)&gt;0,Vintage_Input!X176/Vintage_Input!P176,""))</f>
        <v/>
      </c>
      <c r="Q226" s="152">
        <f>IF($B226=1,$G$29,IF(N(Vintage_Input!Q176)&gt;0,Vintage_Input!Y176/Vintage_Input!Q176,""))</f>
        <v/>
      </c>
      <c r="R226" s="152">
        <f>IF($B226=1,$H$29,IF(N(Vintage_Input!R176)&gt;0,Vintage_Input!Z176/Vintage_Input!R176,""))</f>
        <v/>
      </c>
      <c r="S226" s="152">
        <f>IF($B226=1,$I$29,IF(N(Vintage_Input!S176)&gt;0,Vintage_Input!AA176/Vintage_Input!S176,""))</f>
        <v/>
      </c>
      <c r="T226" s="152">
        <f>IF($B226=1,$B$30,IF(N(Vintage_Input!L176)&gt;0,Vintage_Input!AB176/Vintage_Input!L176,""))</f>
        <v/>
      </c>
      <c r="U226" s="152">
        <f>IF($B226=1,$C$30,IF(N(Vintage_Input!M176)&gt;0,Vintage_Input!AC176/Vintage_Input!M176,""))</f>
        <v/>
      </c>
      <c r="V226" s="152">
        <f>IF($B226=1,$D$30,IF(N(Vintage_Input!N176)&gt;0,Vintage_Input!AD176/Vintage_Input!N176,""))</f>
        <v/>
      </c>
      <c r="W226" s="152">
        <f>IF($B226=1,$E$30,IF(N(Vintage_Input!O176)&gt;0,Vintage_Input!AE176/Vintage_Input!O176,""))</f>
        <v/>
      </c>
      <c r="X226" s="152">
        <f>IF($B226=1,$F$30,IF(N(Vintage_Input!P176)&gt;0,Vintage_Input!AF176/Vintage_Input!P176,""))</f>
        <v/>
      </c>
      <c r="Y226" s="152">
        <f>IF($B226=1,$G$30,IF(N(Vintage_Input!Q176)&gt;0,Vintage_Input!AG176/Vintage_Input!Q176,""))</f>
        <v/>
      </c>
      <c r="Z226" s="152">
        <f>IF($B226=1,$H$30,IF(N(Vintage_Input!R176)&gt;0,Vintage_Input!AH176/Vintage_Input!R176,""))</f>
        <v/>
      </c>
      <c r="AA226" s="152">
        <f>IF($B226=1,$I$30,IF(N(Vintage_Input!S176)&gt;0,Vintage_Input!AI176/Vintage_Input!S176,""))</f>
        <v/>
      </c>
      <c r="AB226" s="152">
        <f>IF($B226=1,$B$31,IF(N(Vintage_Input!L176)&gt;0,Vintage_Input!AJ176/Vintage_Input!L176,""))</f>
        <v/>
      </c>
      <c r="AC226" s="152">
        <f>IF($B226=1,$C$31,IF(N(Vintage_Input!M176)&gt;0,Vintage_Input!AK176/Vintage_Input!M176,""))</f>
        <v/>
      </c>
      <c r="AD226" s="152">
        <f>IF($B226=1,$D$31,IF(N(Vintage_Input!N176)&gt;0,Vintage_Input!AL176/Vintage_Input!N176,""))</f>
        <v/>
      </c>
      <c r="AE226" s="152">
        <f>IF($B226=1,$E$31,IF(N(Vintage_Input!O176)&gt;0,Vintage_Input!AM176/Vintage_Input!O176,""))</f>
        <v/>
      </c>
      <c r="AF226" s="152">
        <f>IF($B226=1,$F$31,IF(N(Vintage_Input!P176)&gt;0,Vintage_Input!AN176/Vintage_Input!P176,""))</f>
        <v/>
      </c>
      <c r="AG226" s="152">
        <f>IF($B226=1,$G$31,IF(N(Vintage_Input!Q176)&gt;0,Vintage_Input!AO176/Vintage_Input!Q176,""))</f>
        <v/>
      </c>
      <c r="AH226" s="152">
        <f>IF($B226=1,$H$31,IF(N(Vintage_Input!R176)&gt;0,Vintage_Input!AP176/Vintage_Input!R176,""))</f>
        <v/>
      </c>
      <c r="AI226" s="152">
        <f>IF($B226=1,$I$31,IF(N(Vintage_Input!S176)&gt;0,Vintage_Input!AQ176/Vintage_Input!S176,""))</f>
        <v/>
      </c>
      <c r="AJ226" s="152">
        <f>IF($B226=1,$B$32,IF(N(Vintage_Input!L176)&gt;0,IFERROR(Vintage_Input!AR176/Vintage_Input!AJ176,""),""))</f>
        <v/>
      </c>
      <c r="AK226" s="152">
        <f>IF($B226=1,$C$32,IF(N(Vintage_Input!M176)&gt;0,IFERROR(Vintage_Input!AS176/Vintage_Input!AK176,""),""))</f>
        <v/>
      </c>
      <c r="AL226" s="152">
        <f>IF($B226=1,$D$32,IF(N(Vintage_Input!N176)&gt;0,IFERROR(Vintage_Input!AT176/Vintage_Input!AL176,""),""))</f>
        <v/>
      </c>
      <c r="AM226" s="152">
        <f>IF($B226=1,$E$32,IF(N(Vintage_Input!O176)&gt;0,IFERROR(Vintage_Input!AU176/Vintage_Input!AM176,""),""))</f>
        <v/>
      </c>
      <c r="AN226" s="152">
        <f>IF($B226=1,$F$32,IF(N(Vintage_Input!P176)&gt;0,IFERROR(Vintage_Input!AV176/Vintage_Input!AN176,""),""))</f>
        <v/>
      </c>
      <c r="AO226" s="152">
        <f>IF($B226=1,$G$32,IF(N(Vintage_Input!Q176)&gt;0,IFERROR(Vintage_Input!AW176/Vintage_Input!AO176,""),""))</f>
        <v/>
      </c>
      <c r="AP226" s="152">
        <f>IF($B226=1,$H$32,IF(N(Vintage_Input!R176)&gt;0,IFERROR(Vintage_Input!AX176/Vintage_Input!AP176,""),""))</f>
        <v/>
      </c>
      <c r="AQ226" s="152">
        <f>IF($B226=1,$I$32,IF(N(Vintage_Input!S176)&gt;0,IFERROR(Vintage_Input!AY176/Vintage_Input!AQ176,""),""))</f>
        <v/>
      </c>
      <c r="AR226" s="152">
        <f>IF($B226=1,$B$33,IF(N(Vintage_Input!L176)&gt;0,IFERROR(Vintage_Input!AZ176/$C226,""),""))</f>
        <v/>
      </c>
      <c r="AS226" s="152">
        <f>IF($B226=1,$C$33,IF(N(Vintage_Input!M176)&gt;0,IFERROR(Vintage_Input!BA176/$C226,""),""))</f>
        <v/>
      </c>
      <c r="AT226" s="152">
        <f>IF($B226=1,$D$33,IF(N(Vintage_Input!N176)&gt;0,IFERROR(Vintage_Input!BB176/$C226,""),""))</f>
        <v/>
      </c>
      <c r="AU226" s="152">
        <f>IF($B226=1,$E$33,IF(N(Vintage_Input!O176)&gt;0,IFERROR(Vintage_Input!BC176/$C226,""),""))</f>
        <v/>
      </c>
      <c r="AV226" s="152">
        <f>IF($B226=1,$F$33,IF(N(Vintage_Input!P176)&gt;0,IFERROR(Vintage_Input!BD176/$C226,""),""))</f>
        <v/>
      </c>
      <c r="AW226" s="152">
        <f>IF($B226=1,$G$33,IF(N(Vintage_Input!Q176)&gt;0,IFERROR(Vintage_Input!BE176/$C226,""),""))</f>
        <v/>
      </c>
      <c r="AX226" s="152">
        <f>IF($B226=1,$H$33,IF(N(Vintage_Input!R176)&gt;0,IFERROR(Vintage_Input!BF176/$C226,""),""))</f>
        <v/>
      </c>
      <c r="AY226" s="152">
        <f>IF($B226=1,$I$33,IF(N(Vintage_Input!S176)&gt;0,IFERROR(Vintage_Input!BG176/$C226,""),""))</f>
        <v/>
      </c>
      <c r="AZ226" s="153">
        <f>IF($B226=1,$B$34,IF(N(Vintage_Input!L176)&gt;0,IFERROR((Vintage_Input!D176+Vintage_Input!AR176)/$C226+Products!$E$14-(Products!$E$43+Products!$E$19+Products!$E$43*Products!$E$22+Products!$E$44),""),""))</f>
        <v/>
      </c>
      <c r="BA226" s="153">
        <f>IF($B226=1,$C$34,IF(N(Vintage_Input!M176)&gt;0,IFERROR((Vintage_Input!E176+Vintage_Input!AS176)/$C226+Products!$E$14-(Products!$E$43+Products!$E$19+Products!$E$43*Products!$E$22+Products!$E$44),""),""))</f>
        <v/>
      </c>
      <c r="BB226" s="153">
        <f>IF($B226=1,$D$34,IF(N(Vintage_Input!N176)&gt;0,IFERROR((Vintage_Input!F176+Vintage_Input!AT176)/$C226+Products!$E$14-(Products!$E$43+Products!$E$19+Products!$E$43*Products!$E$22+Products!$E$44),""),""))</f>
        <v/>
      </c>
      <c r="BC226" s="153">
        <f>IF($B226=1,$E$34,IF(N(Vintage_Input!O176)&gt;0,IFERROR((Vintage_Input!G176+Vintage_Input!AU176)/$C226+Products!$E$14-(Products!$E$43+Products!$E$19+Products!$E$43*Products!$E$22+Products!$E$44),""),""))</f>
        <v/>
      </c>
      <c r="BD226" s="153">
        <f>IF($B226=1,$F$34,IF(N(Vintage_Input!P176)&gt;0,IFERROR((Vintage_Input!H176+Vintage_Input!AV176)/$C226+Products!$E$14-(Products!$E$43+Products!$E$19+Products!$E$43*Products!$E$22+Products!$E$44),""),""))</f>
        <v/>
      </c>
      <c r="BE226" s="153">
        <f>IF($B226=1,$G$34,IF(N(Vintage_Input!Q176)&gt;0,IFERROR((Vintage_Input!I176+Vintage_Input!AW176)/$C226+Products!$E$14-(Products!$E$43+Products!$E$19+Products!$E$43*Products!$E$22+Products!$E$44),""),""))</f>
        <v/>
      </c>
      <c r="BF226" s="153">
        <f>IF($B226=1,$H$34,IF(N(Vintage_Input!R176)&gt;0,IFERROR((Vintage_Input!J176+Vintage_Input!AX176)/$C226+Products!$E$14-(Products!$E$43+Products!$E$19+Products!$E$43*Products!$E$22+Products!$E$44),""),""))</f>
        <v/>
      </c>
      <c r="BG226" s="153">
        <f>IF($B226=1,$I$34,IF(N(Vintage_Input!S176)&gt;0,IFERROR((Vintage_Input!K176+Vintage_Input!AY176)/$C226+Products!$E$14-(Products!$E$43+Products!$E$19+Products!$E$43*Products!$E$22+Products!$E$44),""),""))</f>
        <v/>
      </c>
      <c r="BH226" s="81">
        <f>IF($B226=1,0,IF(Vintage_Input!$BH$176="","",Vintage_Input!$BH$176))</f>
        <v/>
      </c>
    </row>
    <row r="227">
      <c r="A227" s="23" t="n">
        <v>39</v>
      </c>
      <c r="B227" s="48">
        <f>Vintage_Input!$B$177</f>
        <v/>
      </c>
      <c r="C227" s="41">
        <f>IF(Vintage_Input!$C$177="",0,Vintage_Input!$C$177)</f>
        <v/>
      </c>
      <c r="D227" s="152">
        <f>IF($B227=1,$B$28,IF(N(Vintage_Input!L177)&gt;0,Vintage_Input!D177/Vintage_Input!L177,""))</f>
        <v/>
      </c>
      <c r="E227" s="152">
        <f>IF($B227=1,$C$28,IF(N(Vintage_Input!M177)&gt;0,Vintage_Input!E177/Vintage_Input!M177,""))</f>
        <v/>
      </c>
      <c r="F227" s="152">
        <f>IF($B227=1,$D$28,IF(N(Vintage_Input!N177)&gt;0,Vintage_Input!F177/Vintage_Input!N177,""))</f>
        <v/>
      </c>
      <c r="G227" s="152">
        <f>IF($B227=1,$E$28,IF(N(Vintage_Input!O177)&gt;0,Vintage_Input!G177/Vintage_Input!O177,""))</f>
        <v/>
      </c>
      <c r="H227" s="152">
        <f>IF($B227=1,$F$28,IF(N(Vintage_Input!P177)&gt;0,Vintage_Input!H177/Vintage_Input!P177,""))</f>
        <v/>
      </c>
      <c r="I227" s="152">
        <f>IF($B227=1,$G$28,IF(N(Vintage_Input!Q177)&gt;0,Vintage_Input!I177/Vintage_Input!Q177,""))</f>
        <v/>
      </c>
      <c r="J227" s="152">
        <f>IF($B227=1,$H$28,IF(N(Vintage_Input!R177)&gt;0,Vintage_Input!J177/Vintage_Input!R177,""))</f>
        <v/>
      </c>
      <c r="K227" s="152">
        <f>IF($B227=1,$I$28,IF(N(Vintage_Input!S177)&gt;0,Vintage_Input!K177/Vintage_Input!S177,""))</f>
        <v/>
      </c>
      <c r="L227" s="152">
        <f>IF($B227=1,$B$29,IF(N(Vintage_Input!L177)&gt;0,Vintage_Input!T177/Vintage_Input!L177,""))</f>
        <v/>
      </c>
      <c r="M227" s="152">
        <f>IF($B227=1,$C$29,IF(N(Vintage_Input!M177)&gt;0,Vintage_Input!U177/Vintage_Input!M177,""))</f>
        <v/>
      </c>
      <c r="N227" s="152">
        <f>IF($B227=1,$D$29,IF(N(Vintage_Input!N177)&gt;0,Vintage_Input!V177/Vintage_Input!N177,""))</f>
        <v/>
      </c>
      <c r="O227" s="152">
        <f>IF($B227=1,$E$29,IF(N(Vintage_Input!O177)&gt;0,Vintage_Input!W177/Vintage_Input!O177,""))</f>
        <v/>
      </c>
      <c r="P227" s="152">
        <f>IF($B227=1,$F$29,IF(N(Vintage_Input!P177)&gt;0,Vintage_Input!X177/Vintage_Input!P177,""))</f>
        <v/>
      </c>
      <c r="Q227" s="152">
        <f>IF($B227=1,$G$29,IF(N(Vintage_Input!Q177)&gt;0,Vintage_Input!Y177/Vintage_Input!Q177,""))</f>
        <v/>
      </c>
      <c r="R227" s="152">
        <f>IF($B227=1,$H$29,IF(N(Vintage_Input!R177)&gt;0,Vintage_Input!Z177/Vintage_Input!R177,""))</f>
        <v/>
      </c>
      <c r="S227" s="152">
        <f>IF($B227=1,$I$29,IF(N(Vintage_Input!S177)&gt;0,Vintage_Input!AA177/Vintage_Input!S177,""))</f>
        <v/>
      </c>
      <c r="T227" s="152">
        <f>IF($B227=1,$B$30,IF(N(Vintage_Input!L177)&gt;0,Vintage_Input!AB177/Vintage_Input!L177,""))</f>
        <v/>
      </c>
      <c r="U227" s="152">
        <f>IF($B227=1,$C$30,IF(N(Vintage_Input!M177)&gt;0,Vintage_Input!AC177/Vintage_Input!M177,""))</f>
        <v/>
      </c>
      <c r="V227" s="152">
        <f>IF($B227=1,$D$30,IF(N(Vintage_Input!N177)&gt;0,Vintage_Input!AD177/Vintage_Input!N177,""))</f>
        <v/>
      </c>
      <c r="W227" s="152">
        <f>IF($B227=1,$E$30,IF(N(Vintage_Input!O177)&gt;0,Vintage_Input!AE177/Vintage_Input!O177,""))</f>
        <v/>
      </c>
      <c r="X227" s="152">
        <f>IF($B227=1,$F$30,IF(N(Vintage_Input!P177)&gt;0,Vintage_Input!AF177/Vintage_Input!P177,""))</f>
        <v/>
      </c>
      <c r="Y227" s="152">
        <f>IF($B227=1,$G$30,IF(N(Vintage_Input!Q177)&gt;0,Vintage_Input!AG177/Vintage_Input!Q177,""))</f>
        <v/>
      </c>
      <c r="Z227" s="152">
        <f>IF($B227=1,$H$30,IF(N(Vintage_Input!R177)&gt;0,Vintage_Input!AH177/Vintage_Input!R177,""))</f>
        <v/>
      </c>
      <c r="AA227" s="152">
        <f>IF($B227=1,$I$30,IF(N(Vintage_Input!S177)&gt;0,Vintage_Input!AI177/Vintage_Input!S177,""))</f>
        <v/>
      </c>
      <c r="AB227" s="152">
        <f>IF($B227=1,$B$31,IF(N(Vintage_Input!L177)&gt;0,Vintage_Input!AJ177/Vintage_Input!L177,""))</f>
        <v/>
      </c>
      <c r="AC227" s="152">
        <f>IF($B227=1,$C$31,IF(N(Vintage_Input!M177)&gt;0,Vintage_Input!AK177/Vintage_Input!M177,""))</f>
        <v/>
      </c>
      <c r="AD227" s="152">
        <f>IF($B227=1,$D$31,IF(N(Vintage_Input!N177)&gt;0,Vintage_Input!AL177/Vintage_Input!N177,""))</f>
        <v/>
      </c>
      <c r="AE227" s="152">
        <f>IF($B227=1,$E$31,IF(N(Vintage_Input!O177)&gt;0,Vintage_Input!AM177/Vintage_Input!O177,""))</f>
        <v/>
      </c>
      <c r="AF227" s="152">
        <f>IF($B227=1,$F$31,IF(N(Vintage_Input!P177)&gt;0,Vintage_Input!AN177/Vintage_Input!P177,""))</f>
        <v/>
      </c>
      <c r="AG227" s="152">
        <f>IF($B227=1,$G$31,IF(N(Vintage_Input!Q177)&gt;0,Vintage_Input!AO177/Vintage_Input!Q177,""))</f>
        <v/>
      </c>
      <c r="AH227" s="152">
        <f>IF($B227=1,$H$31,IF(N(Vintage_Input!R177)&gt;0,Vintage_Input!AP177/Vintage_Input!R177,""))</f>
        <v/>
      </c>
      <c r="AI227" s="152">
        <f>IF($B227=1,$I$31,IF(N(Vintage_Input!S177)&gt;0,Vintage_Input!AQ177/Vintage_Input!S177,""))</f>
        <v/>
      </c>
      <c r="AJ227" s="152">
        <f>IF($B227=1,$B$32,IF(N(Vintage_Input!L177)&gt;0,IFERROR(Vintage_Input!AR177/Vintage_Input!AJ177,""),""))</f>
        <v/>
      </c>
      <c r="AK227" s="152">
        <f>IF($B227=1,$C$32,IF(N(Vintage_Input!M177)&gt;0,IFERROR(Vintage_Input!AS177/Vintage_Input!AK177,""),""))</f>
        <v/>
      </c>
      <c r="AL227" s="152">
        <f>IF($B227=1,$D$32,IF(N(Vintage_Input!N177)&gt;0,IFERROR(Vintage_Input!AT177/Vintage_Input!AL177,""),""))</f>
        <v/>
      </c>
      <c r="AM227" s="152">
        <f>IF($B227=1,$E$32,IF(N(Vintage_Input!O177)&gt;0,IFERROR(Vintage_Input!AU177/Vintage_Input!AM177,""),""))</f>
        <v/>
      </c>
      <c r="AN227" s="152">
        <f>IF($B227=1,$F$32,IF(N(Vintage_Input!P177)&gt;0,IFERROR(Vintage_Input!AV177/Vintage_Input!AN177,""),""))</f>
        <v/>
      </c>
      <c r="AO227" s="152">
        <f>IF($B227=1,$G$32,IF(N(Vintage_Input!Q177)&gt;0,IFERROR(Vintage_Input!AW177/Vintage_Input!AO177,""),""))</f>
        <v/>
      </c>
      <c r="AP227" s="152">
        <f>IF($B227=1,$H$32,IF(N(Vintage_Input!R177)&gt;0,IFERROR(Vintage_Input!AX177/Vintage_Input!AP177,""),""))</f>
        <v/>
      </c>
      <c r="AQ227" s="152">
        <f>IF($B227=1,$I$32,IF(N(Vintage_Input!S177)&gt;0,IFERROR(Vintage_Input!AY177/Vintage_Input!AQ177,""),""))</f>
        <v/>
      </c>
      <c r="AR227" s="152">
        <f>IF($B227=1,$B$33,IF(N(Vintage_Input!L177)&gt;0,IFERROR(Vintage_Input!AZ177/$C227,""),""))</f>
        <v/>
      </c>
      <c r="AS227" s="152">
        <f>IF($B227=1,$C$33,IF(N(Vintage_Input!M177)&gt;0,IFERROR(Vintage_Input!BA177/$C227,""),""))</f>
        <v/>
      </c>
      <c r="AT227" s="152">
        <f>IF($B227=1,$D$33,IF(N(Vintage_Input!N177)&gt;0,IFERROR(Vintage_Input!BB177/$C227,""),""))</f>
        <v/>
      </c>
      <c r="AU227" s="152">
        <f>IF($B227=1,$E$33,IF(N(Vintage_Input!O177)&gt;0,IFERROR(Vintage_Input!BC177/$C227,""),""))</f>
        <v/>
      </c>
      <c r="AV227" s="152">
        <f>IF($B227=1,$F$33,IF(N(Vintage_Input!P177)&gt;0,IFERROR(Vintage_Input!BD177/$C227,""),""))</f>
        <v/>
      </c>
      <c r="AW227" s="152">
        <f>IF($B227=1,$G$33,IF(N(Vintage_Input!Q177)&gt;0,IFERROR(Vintage_Input!BE177/$C227,""),""))</f>
        <v/>
      </c>
      <c r="AX227" s="152">
        <f>IF($B227=1,$H$33,IF(N(Vintage_Input!R177)&gt;0,IFERROR(Vintage_Input!BF177/$C227,""),""))</f>
        <v/>
      </c>
      <c r="AY227" s="152">
        <f>IF($B227=1,$I$33,IF(N(Vintage_Input!S177)&gt;0,IFERROR(Vintage_Input!BG177/$C227,""),""))</f>
        <v/>
      </c>
      <c r="AZ227" s="153">
        <f>IF($B227=1,$B$34,IF(N(Vintage_Input!L177)&gt;0,IFERROR((Vintage_Input!D177+Vintage_Input!AR177)/$C227+Products!$E$14-(Products!$E$43+Products!$E$19+Products!$E$43*Products!$E$22+Products!$E$44),""),""))</f>
        <v/>
      </c>
      <c r="BA227" s="153">
        <f>IF($B227=1,$C$34,IF(N(Vintage_Input!M177)&gt;0,IFERROR((Vintage_Input!E177+Vintage_Input!AS177)/$C227+Products!$E$14-(Products!$E$43+Products!$E$19+Products!$E$43*Products!$E$22+Products!$E$44),""),""))</f>
        <v/>
      </c>
      <c r="BB227" s="153">
        <f>IF($B227=1,$D$34,IF(N(Vintage_Input!N177)&gt;0,IFERROR((Vintage_Input!F177+Vintage_Input!AT177)/$C227+Products!$E$14-(Products!$E$43+Products!$E$19+Products!$E$43*Products!$E$22+Products!$E$44),""),""))</f>
        <v/>
      </c>
      <c r="BC227" s="153">
        <f>IF($B227=1,$E$34,IF(N(Vintage_Input!O177)&gt;0,IFERROR((Vintage_Input!G177+Vintage_Input!AU177)/$C227+Products!$E$14-(Products!$E$43+Products!$E$19+Products!$E$43*Products!$E$22+Products!$E$44),""),""))</f>
        <v/>
      </c>
      <c r="BD227" s="153">
        <f>IF($B227=1,$F$34,IF(N(Vintage_Input!P177)&gt;0,IFERROR((Vintage_Input!H177+Vintage_Input!AV177)/$C227+Products!$E$14-(Products!$E$43+Products!$E$19+Products!$E$43*Products!$E$22+Products!$E$44),""),""))</f>
        <v/>
      </c>
      <c r="BE227" s="153">
        <f>IF($B227=1,$G$34,IF(N(Vintage_Input!Q177)&gt;0,IFERROR((Vintage_Input!I177+Vintage_Input!AW177)/$C227+Products!$E$14-(Products!$E$43+Products!$E$19+Products!$E$43*Products!$E$22+Products!$E$44),""),""))</f>
        <v/>
      </c>
      <c r="BF227" s="153">
        <f>IF($B227=1,$H$34,IF(N(Vintage_Input!R177)&gt;0,IFERROR((Vintage_Input!J177+Vintage_Input!AX177)/$C227+Products!$E$14-(Products!$E$43+Products!$E$19+Products!$E$43*Products!$E$22+Products!$E$44),""),""))</f>
        <v/>
      </c>
      <c r="BG227" s="153">
        <f>IF($B227=1,$I$34,IF(N(Vintage_Input!S177)&gt;0,IFERROR((Vintage_Input!K177+Vintage_Input!AY177)/$C227+Products!$E$14-(Products!$E$43+Products!$E$19+Products!$E$43*Products!$E$22+Products!$E$44),""),""))</f>
        <v/>
      </c>
      <c r="BH227" s="81">
        <f>IF($B227=1,0,IF(Vintage_Input!$BH$177="","",Vintage_Input!$BH$177))</f>
        <v/>
      </c>
    </row>
    <row r="228">
      <c r="A228" s="23" t="n">
        <v>40</v>
      </c>
      <c r="B228" s="48">
        <f>Vintage_Input!$B$178</f>
        <v/>
      </c>
      <c r="C228" s="41">
        <f>IF(Vintage_Input!$C$178="",0,Vintage_Input!$C$178)</f>
        <v/>
      </c>
      <c r="D228" s="152">
        <f>IF($B228=1,$B$28,IF(N(Vintage_Input!L178)&gt;0,Vintage_Input!D178/Vintage_Input!L178,""))</f>
        <v/>
      </c>
      <c r="E228" s="152">
        <f>IF($B228=1,$C$28,IF(N(Vintage_Input!M178)&gt;0,Vintage_Input!E178/Vintage_Input!M178,""))</f>
        <v/>
      </c>
      <c r="F228" s="152">
        <f>IF($B228=1,$D$28,IF(N(Vintage_Input!N178)&gt;0,Vintage_Input!F178/Vintage_Input!N178,""))</f>
        <v/>
      </c>
      <c r="G228" s="152">
        <f>IF($B228=1,$E$28,IF(N(Vintage_Input!O178)&gt;0,Vintage_Input!G178/Vintage_Input!O178,""))</f>
        <v/>
      </c>
      <c r="H228" s="152">
        <f>IF($B228=1,$F$28,IF(N(Vintage_Input!P178)&gt;0,Vintage_Input!H178/Vintage_Input!P178,""))</f>
        <v/>
      </c>
      <c r="I228" s="152">
        <f>IF($B228=1,$G$28,IF(N(Vintage_Input!Q178)&gt;0,Vintage_Input!I178/Vintage_Input!Q178,""))</f>
        <v/>
      </c>
      <c r="J228" s="152">
        <f>IF($B228=1,$H$28,IF(N(Vintage_Input!R178)&gt;0,Vintage_Input!J178/Vintage_Input!R178,""))</f>
        <v/>
      </c>
      <c r="K228" s="152">
        <f>IF($B228=1,$I$28,IF(N(Vintage_Input!S178)&gt;0,Vintage_Input!K178/Vintage_Input!S178,""))</f>
        <v/>
      </c>
      <c r="L228" s="152">
        <f>IF($B228=1,$B$29,IF(N(Vintage_Input!L178)&gt;0,Vintage_Input!T178/Vintage_Input!L178,""))</f>
        <v/>
      </c>
      <c r="M228" s="152">
        <f>IF($B228=1,$C$29,IF(N(Vintage_Input!M178)&gt;0,Vintage_Input!U178/Vintage_Input!M178,""))</f>
        <v/>
      </c>
      <c r="N228" s="152">
        <f>IF($B228=1,$D$29,IF(N(Vintage_Input!N178)&gt;0,Vintage_Input!V178/Vintage_Input!N178,""))</f>
        <v/>
      </c>
      <c r="O228" s="152">
        <f>IF($B228=1,$E$29,IF(N(Vintage_Input!O178)&gt;0,Vintage_Input!W178/Vintage_Input!O178,""))</f>
        <v/>
      </c>
      <c r="P228" s="152">
        <f>IF($B228=1,$F$29,IF(N(Vintage_Input!P178)&gt;0,Vintage_Input!X178/Vintage_Input!P178,""))</f>
        <v/>
      </c>
      <c r="Q228" s="152">
        <f>IF($B228=1,$G$29,IF(N(Vintage_Input!Q178)&gt;0,Vintage_Input!Y178/Vintage_Input!Q178,""))</f>
        <v/>
      </c>
      <c r="R228" s="152">
        <f>IF($B228=1,$H$29,IF(N(Vintage_Input!R178)&gt;0,Vintage_Input!Z178/Vintage_Input!R178,""))</f>
        <v/>
      </c>
      <c r="S228" s="152">
        <f>IF($B228=1,$I$29,IF(N(Vintage_Input!S178)&gt;0,Vintage_Input!AA178/Vintage_Input!S178,""))</f>
        <v/>
      </c>
      <c r="T228" s="152">
        <f>IF($B228=1,$B$30,IF(N(Vintage_Input!L178)&gt;0,Vintage_Input!AB178/Vintage_Input!L178,""))</f>
        <v/>
      </c>
      <c r="U228" s="152">
        <f>IF($B228=1,$C$30,IF(N(Vintage_Input!M178)&gt;0,Vintage_Input!AC178/Vintage_Input!M178,""))</f>
        <v/>
      </c>
      <c r="V228" s="152">
        <f>IF($B228=1,$D$30,IF(N(Vintage_Input!N178)&gt;0,Vintage_Input!AD178/Vintage_Input!N178,""))</f>
        <v/>
      </c>
      <c r="W228" s="152">
        <f>IF($B228=1,$E$30,IF(N(Vintage_Input!O178)&gt;0,Vintage_Input!AE178/Vintage_Input!O178,""))</f>
        <v/>
      </c>
      <c r="X228" s="152">
        <f>IF($B228=1,$F$30,IF(N(Vintage_Input!P178)&gt;0,Vintage_Input!AF178/Vintage_Input!P178,""))</f>
        <v/>
      </c>
      <c r="Y228" s="152">
        <f>IF($B228=1,$G$30,IF(N(Vintage_Input!Q178)&gt;0,Vintage_Input!AG178/Vintage_Input!Q178,""))</f>
        <v/>
      </c>
      <c r="Z228" s="152">
        <f>IF($B228=1,$H$30,IF(N(Vintage_Input!R178)&gt;0,Vintage_Input!AH178/Vintage_Input!R178,""))</f>
        <v/>
      </c>
      <c r="AA228" s="152">
        <f>IF($B228=1,$I$30,IF(N(Vintage_Input!S178)&gt;0,Vintage_Input!AI178/Vintage_Input!S178,""))</f>
        <v/>
      </c>
      <c r="AB228" s="152">
        <f>IF($B228=1,$B$31,IF(N(Vintage_Input!L178)&gt;0,Vintage_Input!AJ178/Vintage_Input!L178,""))</f>
        <v/>
      </c>
      <c r="AC228" s="152">
        <f>IF($B228=1,$C$31,IF(N(Vintage_Input!M178)&gt;0,Vintage_Input!AK178/Vintage_Input!M178,""))</f>
        <v/>
      </c>
      <c r="AD228" s="152">
        <f>IF($B228=1,$D$31,IF(N(Vintage_Input!N178)&gt;0,Vintage_Input!AL178/Vintage_Input!N178,""))</f>
        <v/>
      </c>
      <c r="AE228" s="152">
        <f>IF($B228=1,$E$31,IF(N(Vintage_Input!O178)&gt;0,Vintage_Input!AM178/Vintage_Input!O178,""))</f>
        <v/>
      </c>
      <c r="AF228" s="152">
        <f>IF($B228=1,$F$31,IF(N(Vintage_Input!P178)&gt;0,Vintage_Input!AN178/Vintage_Input!P178,""))</f>
        <v/>
      </c>
      <c r="AG228" s="152">
        <f>IF($B228=1,$G$31,IF(N(Vintage_Input!Q178)&gt;0,Vintage_Input!AO178/Vintage_Input!Q178,""))</f>
        <v/>
      </c>
      <c r="AH228" s="152">
        <f>IF($B228=1,$H$31,IF(N(Vintage_Input!R178)&gt;0,Vintage_Input!AP178/Vintage_Input!R178,""))</f>
        <v/>
      </c>
      <c r="AI228" s="152">
        <f>IF($B228=1,$I$31,IF(N(Vintage_Input!S178)&gt;0,Vintage_Input!AQ178/Vintage_Input!S178,""))</f>
        <v/>
      </c>
      <c r="AJ228" s="152">
        <f>IF($B228=1,$B$32,IF(N(Vintage_Input!L178)&gt;0,IFERROR(Vintage_Input!AR178/Vintage_Input!AJ178,""),""))</f>
        <v/>
      </c>
      <c r="AK228" s="152">
        <f>IF($B228=1,$C$32,IF(N(Vintage_Input!M178)&gt;0,IFERROR(Vintage_Input!AS178/Vintage_Input!AK178,""),""))</f>
        <v/>
      </c>
      <c r="AL228" s="152">
        <f>IF($B228=1,$D$32,IF(N(Vintage_Input!N178)&gt;0,IFERROR(Vintage_Input!AT178/Vintage_Input!AL178,""),""))</f>
        <v/>
      </c>
      <c r="AM228" s="152">
        <f>IF($B228=1,$E$32,IF(N(Vintage_Input!O178)&gt;0,IFERROR(Vintage_Input!AU178/Vintage_Input!AM178,""),""))</f>
        <v/>
      </c>
      <c r="AN228" s="152">
        <f>IF($B228=1,$F$32,IF(N(Vintage_Input!P178)&gt;0,IFERROR(Vintage_Input!AV178/Vintage_Input!AN178,""),""))</f>
        <v/>
      </c>
      <c r="AO228" s="152">
        <f>IF($B228=1,$G$32,IF(N(Vintage_Input!Q178)&gt;0,IFERROR(Vintage_Input!AW178/Vintage_Input!AO178,""),""))</f>
        <v/>
      </c>
      <c r="AP228" s="152">
        <f>IF($B228=1,$H$32,IF(N(Vintage_Input!R178)&gt;0,IFERROR(Vintage_Input!AX178/Vintage_Input!AP178,""),""))</f>
        <v/>
      </c>
      <c r="AQ228" s="152">
        <f>IF($B228=1,$I$32,IF(N(Vintage_Input!S178)&gt;0,IFERROR(Vintage_Input!AY178/Vintage_Input!AQ178,""),""))</f>
        <v/>
      </c>
      <c r="AR228" s="152">
        <f>IF($B228=1,$B$33,IF(N(Vintage_Input!L178)&gt;0,IFERROR(Vintage_Input!AZ178/$C228,""),""))</f>
        <v/>
      </c>
      <c r="AS228" s="152">
        <f>IF($B228=1,$C$33,IF(N(Vintage_Input!M178)&gt;0,IFERROR(Vintage_Input!BA178/$C228,""),""))</f>
        <v/>
      </c>
      <c r="AT228" s="152">
        <f>IF($B228=1,$D$33,IF(N(Vintage_Input!N178)&gt;0,IFERROR(Vintage_Input!BB178/$C228,""),""))</f>
        <v/>
      </c>
      <c r="AU228" s="152">
        <f>IF($B228=1,$E$33,IF(N(Vintage_Input!O178)&gt;0,IFERROR(Vintage_Input!BC178/$C228,""),""))</f>
        <v/>
      </c>
      <c r="AV228" s="152">
        <f>IF($B228=1,$F$33,IF(N(Vintage_Input!P178)&gt;0,IFERROR(Vintage_Input!BD178/$C228,""),""))</f>
        <v/>
      </c>
      <c r="AW228" s="152">
        <f>IF($B228=1,$G$33,IF(N(Vintage_Input!Q178)&gt;0,IFERROR(Vintage_Input!BE178/$C228,""),""))</f>
        <v/>
      </c>
      <c r="AX228" s="152">
        <f>IF($B228=1,$H$33,IF(N(Vintage_Input!R178)&gt;0,IFERROR(Vintage_Input!BF178/$C228,""),""))</f>
        <v/>
      </c>
      <c r="AY228" s="152">
        <f>IF($B228=1,$I$33,IF(N(Vintage_Input!S178)&gt;0,IFERROR(Vintage_Input!BG178/$C228,""),""))</f>
        <v/>
      </c>
      <c r="AZ228" s="153">
        <f>IF($B228=1,$B$34,IF(N(Vintage_Input!L178)&gt;0,IFERROR((Vintage_Input!D178+Vintage_Input!AR178)/$C228+Products!$E$14-(Products!$E$43+Products!$E$19+Products!$E$43*Products!$E$22+Products!$E$44),""),""))</f>
        <v/>
      </c>
      <c r="BA228" s="153">
        <f>IF($B228=1,$C$34,IF(N(Vintage_Input!M178)&gt;0,IFERROR((Vintage_Input!E178+Vintage_Input!AS178)/$C228+Products!$E$14-(Products!$E$43+Products!$E$19+Products!$E$43*Products!$E$22+Products!$E$44),""),""))</f>
        <v/>
      </c>
      <c r="BB228" s="153">
        <f>IF($B228=1,$D$34,IF(N(Vintage_Input!N178)&gt;0,IFERROR((Vintage_Input!F178+Vintage_Input!AT178)/$C228+Products!$E$14-(Products!$E$43+Products!$E$19+Products!$E$43*Products!$E$22+Products!$E$44),""),""))</f>
        <v/>
      </c>
      <c r="BC228" s="153">
        <f>IF($B228=1,$E$34,IF(N(Vintage_Input!O178)&gt;0,IFERROR((Vintage_Input!G178+Vintage_Input!AU178)/$C228+Products!$E$14-(Products!$E$43+Products!$E$19+Products!$E$43*Products!$E$22+Products!$E$44),""),""))</f>
        <v/>
      </c>
      <c r="BD228" s="153">
        <f>IF($B228=1,$F$34,IF(N(Vintage_Input!P178)&gt;0,IFERROR((Vintage_Input!H178+Vintage_Input!AV178)/$C228+Products!$E$14-(Products!$E$43+Products!$E$19+Products!$E$43*Products!$E$22+Products!$E$44),""),""))</f>
        <v/>
      </c>
      <c r="BE228" s="153">
        <f>IF($B228=1,$G$34,IF(N(Vintage_Input!Q178)&gt;0,IFERROR((Vintage_Input!I178+Vintage_Input!AW178)/$C228+Products!$E$14-(Products!$E$43+Products!$E$19+Products!$E$43*Products!$E$22+Products!$E$44),""),""))</f>
        <v/>
      </c>
      <c r="BF228" s="153">
        <f>IF($B228=1,$H$34,IF(N(Vintage_Input!R178)&gt;0,IFERROR((Vintage_Input!J178+Vintage_Input!AX178)/$C228+Products!$E$14-(Products!$E$43+Products!$E$19+Products!$E$43*Products!$E$22+Products!$E$44),""),""))</f>
        <v/>
      </c>
      <c r="BG228" s="153">
        <f>IF($B228=1,$I$34,IF(N(Vintage_Input!S178)&gt;0,IFERROR((Vintage_Input!K178+Vintage_Input!AY178)/$C228+Products!$E$14-(Products!$E$43+Products!$E$19+Products!$E$43*Products!$E$22+Products!$E$44),""),""))</f>
        <v/>
      </c>
      <c r="BH228" s="81">
        <f>IF($B228=1,0,IF(Vintage_Input!$BH$178="","",Vintage_Input!$BH$178))</f>
        <v/>
      </c>
    </row>
    <row r="229">
      <c r="A229" s="23" t="n">
        <v>41</v>
      </c>
      <c r="B229" s="48">
        <f>Vintage_Input!$B$179</f>
        <v/>
      </c>
      <c r="C229" s="41">
        <f>IF(Vintage_Input!$C$179="",0,Vintage_Input!$C$179)</f>
        <v/>
      </c>
      <c r="D229" s="152">
        <f>IF($B229=1,$B$28,IF(N(Vintage_Input!L179)&gt;0,Vintage_Input!D179/Vintage_Input!L179,""))</f>
        <v/>
      </c>
      <c r="E229" s="152">
        <f>IF($B229=1,$C$28,IF(N(Vintage_Input!M179)&gt;0,Vintage_Input!E179/Vintage_Input!M179,""))</f>
        <v/>
      </c>
      <c r="F229" s="152">
        <f>IF($B229=1,$D$28,IF(N(Vintage_Input!N179)&gt;0,Vintage_Input!F179/Vintage_Input!N179,""))</f>
        <v/>
      </c>
      <c r="G229" s="152">
        <f>IF($B229=1,$E$28,IF(N(Vintage_Input!O179)&gt;0,Vintage_Input!G179/Vintage_Input!O179,""))</f>
        <v/>
      </c>
      <c r="H229" s="152">
        <f>IF($B229=1,$F$28,IF(N(Vintage_Input!P179)&gt;0,Vintage_Input!H179/Vintage_Input!P179,""))</f>
        <v/>
      </c>
      <c r="I229" s="152">
        <f>IF($B229=1,$G$28,IF(N(Vintage_Input!Q179)&gt;0,Vintage_Input!I179/Vintage_Input!Q179,""))</f>
        <v/>
      </c>
      <c r="J229" s="152">
        <f>IF($B229=1,$H$28,IF(N(Vintage_Input!R179)&gt;0,Vintage_Input!J179/Vintage_Input!R179,""))</f>
        <v/>
      </c>
      <c r="K229" s="152">
        <f>IF($B229=1,$I$28,IF(N(Vintage_Input!S179)&gt;0,Vintage_Input!K179/Vintage_Input!S179,""))</f>
        <v/>
      </c>
      <c r="L229" s="152">
        <f>IF($B229=1,$B$29,IF(N(Vintage_Input!L179)&gt;0,Vintage_Input!T179/Vintage_Input!L179,""))</f>
        <v/>
      </c>
      <c r="M229" s="152">
        <f>IF($B229=1,$C$29,IF(N(Vintage_Input!M179)&gt;0,Vintage_Input!U179/Vintage_Input!M179,""))</f>
        <v/>
      </c>
      <c r="N229" s="152">
        <f>IF($B229=1,$D$29,IF(N(Vintage_Input!N179)&gt;0,Vintage_Input!V179/Vintage_Input!N179,""))</f>
        <v/>
      </c>
      <c r="O229" s="152">
        <f>IF($B229=1,$E$29,IF(N(Vintage_Input!O179)&gt;0,Vintage_Input!W179/Vintage_Input!O179,""))</f>
        <v/>
      </c>
      <c r="P229" s="152">
        <f>IF($B229=1,$F$29,IF(N(Vintage_Input!P179)&gt;0,Vintage_Input!X179/Vintage_Input!P179,""))</f>
        <v/>
      </c>
      <c r="Q229" s="152">
        <f>IF($B229=1,$G$29,IF(N(Vintage_Input!Q179)&gt;0,Vintage_Input!Y179/Vintage_Input!Q179,""))</f>
        <v/>
      </c>
      <c r="R229" s="152">
        <f>IF($B229=1,$H$29,IF(N(Vintage_Input!R179)&gt;0,Vintage_Input!Z179/Vintage_Input!R179,""))</f>
        <v/>
      </c>
      <c r="S229" s="152">
        <f>IF($B229=1,$I$29,IF(N(Vintage_Input!S179)&gt;0,Vintage_Input!AA179/Vintage_Input!S179,""))</f>
        <v/>
      </c>
      <c r="T229" s="152">
        <f>IF($B229=1,$B$30,IF(N(Vintage_Input!L179)&gt;0,Vintage_Input!AB179/Vintage_Input!L179,""))</f>
        <v/>
      </c>
      <c r="U229" s="152">
        <f>IF($B229=1,$C$30,IF(N(Vintage_Input!M179)&gt;0,Vintage_Input!AC179/Vintage_Input!M179,""))</f>
        <v/>
      </c>
      <c r="V229" s="152">
        <f>IF($B229=1,$D$30,IF(N(Vintage_Input!N179)&gt;0,Vintage_Input!AD179/Vintage_Input!N179,""))</f>
        <v/>
      </c>
      <c r="W229" s="152">
        <f>IF($B229=1,$E$30,IF(N(Vintage_Input!O179)&gt;0,Vintage_Input!AE179/Vintage_Input!O179,""))</f>
        <v/>
      </c>
      <c r="X229" s="152">
        <f>IF($B229=1,$F$30,IF(N(Vintage_Input!P179)&gt;0,Vintage_Input!AF179/Vintage_Input!P179,""))</f>
        <v/>
      </c>
      <c r="Y229" s="152">
        <f>IF($B229=1,$G$30,IF(N(Vintage_Input!Q179)&gt;0,Vintage_Input!AG179/Vintage_Input!Q179,""))</f>
        <v/>
      </c>
      <c r="Z229" s="152">
        <f>IF($B229=1,$H$30,IF(N(Vintage_Input!R179)&gt;0,Vintage_Input!AH179/Vintage_Input!R179,""))</f>
        <v/>
      </c>
      <c r="AA229" s="152">
        <f>IF($B229=1,$I$30,IF(N(Vintage_Input!S179)&gt;0,Vintage_Input!AI179/Vintage_Input!S179,""))</f>
        <v/>
      </c>
      <c r="AB229" s="152">
        <f>IF($B229=1,$B$31,IF(N(Vintage_Input!L179)&gt;0,Vintage_Input!AJ179/Vintage_Input!L179,""))</f>
        <v/>
      </c>
      <c r="AC229" s="152">
        <f>IF($B229=1,$C$31,IF(N(Vintage_Input!M179)&gt;0,Vintage_Input!AK179/Vintage_Input!M179,""))</f>
        <v/>
      </c>
      <c r="AD229" s="152">
        <f>IF($B229=1,$D$31,IF(N(Vintage_Input!N179)&gt;0,Vintage_Input!AL179/Vintage_Input!N179,""))</f>
        <v/>
      </c>
      <c r="AE229" s="152">
        <f>IF($B229=1,$E$31,IF(N(Vintage_Input!O179)&gt;0,Vintage_Input!AM179/Vintage_Input!O179,""))</f>
        <v/>
      </c>
      <c r="AF229" s="152">
        <f>IF($B229=1,$F$31,IF(N(Vintage_Input!P179)&gt;0,Vintage_Input!AN179/Vintage_Input!P179,""))</f>
        <v/>
      </c>
      <c r="AG229" s="152">
        <f>IF($B229=1,$G$31,IF(N(Vintage_Input!Q179)&gt;0,Vintage_Input!AO179/Vintage_Input!Q179,""))</f>
        <v/>
      </c>
      <c r="AH229" s="152">
        <f>IF($B229=1,$H$31,IF(N(Vintage_Input!R179)&gt;0,Vintage_Input!AP179/Vintage_Input!R179,""))</f>
        <v/>
      </c>
      <c r="AI229" s="152">
        <f>IF($B229=1,$I$31,IF(N(Vintage_Input!S179)&gt;0,Vintage_Input!AQ179/Vintage_Input!S179,""))</f>
        <v/>
      </c>
      <c r="AJ229" s="152">
        <f>IF($B229=1,$B$32,IF(N(Vintage_Input!L179)&gt;0,IFERROR(Vintage_Input!AR179/Vintage_Input!AJ179,""),""))</f>
        <v/>
      </c>
      <c r="AK229" s="152">
        <f>IF($B229=1,$C$32,IF(N(Vintage_Input!M179)&gt;0,IFERROR(Vintage_Input!AS179/Vintage_Input!AK179,""),""))</f>
        <v/>
      </c>
      <c r="AL229" s="152">
        <f>IF($B229=1,$D$32,IF(N(Vintage_Input!N179)&gt;0,IFERROR(Vintage_Input!AT179/Vintage_Input!AL179,""),""))</f>
        <v/>
      </c>
      <c r="AM229" s="152">
        <f>IF($B229=1,$E$32,IF(N(Vintage_Input!O179)&gt;0,IFERROR(Vintage_Input!AU179/Vintage_Input!AM179,""),""))</f>
        <v/>
      </c>
      <c r="AN229" s="152">
        <f>IF($B229=1,$F$32,IF(N(Vintage_Input!P179)&gt;0,IFERROR(Vintage_Input!AV179/Vintage_Input!AN179,""),""))</f>
        <v/>
      </c>
      <c r="AO229" s="152">
        <f>IF($B229=1,$G$32,IF(N(Vintage_Input!Q179)&gt;0,IFERROR(Vintage_Input!AW179/Vintage_Input!AO179,""),""))</f>
        <v/>
      </c>
      <c r="AP229" s="152">
        <f>IF($B229=1,$H$32,IF(N(Vintage_Input!R179)&gt;0,IFERROR(Vintage_Input!AX179/Vintage_Input!AP179,""),""))</f>
        <v/>
      </c>
      <c r="AQ229" s="152">
        <f>IF($B229=1,$I$32,IF(N(Vintage_Input!S179)&gt;0,IFERROR(Vintage_Input!AY179/Vintage_Input!AQ179,""),""))</f>
        <v/>
      </c>
      <c r="AR229" s="152">
        <f>IF($B229=1,$B$33,IF(N(Vintage_Input!L179)&gt;0,IFERROR(Vintage_Input!AZ179/$C229,""),""))</f>
        <v/>
      </c>
      <c r="AS229" s="152">
        <f>IF($B229=1,$C$33,IF(N(Vintage_Input!M179)&gt;0,IFERROR(Vintage_Input!BA179/$C229,""),""))</f>
        <v/>
      </c>
      <c r="AT229" s="152">
        <f>IF($B229=1,$D$33,IF(N(Vintage_Input!N179)&gt;0,IFERROR(Vintage_Input!BB179/$C229,""),""))</f>
        <v/>
      </c>
      <c r="AU229" s="152">
        <f>IF($B229=1,$E$33,IF(N(Vintage_Input!O179)&gt;0,IFERROR(Vintage_Input!BC179/$C229,""),""))</f>
        <v/>
      </c>
      <c r="AV229" s="152">
        <f>IF($B229=1,$F$33,IF(N(Vintage_Input!P179)&gt;0,IFERROR(Vintage_Input!BD179/$C229,""),""))</f>
        <v/>
      </c>
      <c r="AW229" s="152">
        <f>IF($B229=1,$G$33,IF(N(Vintage_Input!Q179)&gt;0,IFERROR(Vintage_Input!BE179/$C229,""),""))</f>
        <v/>
      </c>
      <c r="AX229" s="152">
        <f>IF($B229=1,$H$33,IF(N(Vintage_Input!R179)&gt;0,IFERROR(Vintage_Input!BF179/$C229,""),""))</f>
        <v/>
      </c>
      <c r="AY229" s="152">
        <f>IF($B229=1,$I$33,IF(N(Vintage_Input!S179)&gt;0,IFERROR(Vintage_Input!BG179/$C229,""),""))</f>
        <v/>
      </c>
      <c r="AZ229" s="153">
        <f>IF($B229=1,$B$34,IF(N(Vintage_Input!L179)&gt;0,IFERROR((Vintage_Input!D179+Vintage_Input!AR179)/$C229+Products!$E$14-(Products!$E$43+Products!$E$19+Products!$E$43*Products!$E$22+Products!$E$44),""),""))</f>
        <v/>
      </c>
      <c r="BA229" s="153">
        <f>IF($B229=1,$C$34,IF(N(Vintage_Input!M179)&gt;0,IFERROR((Vintage_Input!E179+Vintage_Input!AS179)/$C229+Products!$E$14-(Products!$E$43+Products!$E$19+Products!$E$43*Products!$E$22+Products!$E$44),""),""))</f>
        <v/>
      </c>
      <c r="BB229" s="153">
        <f>IF($B229=1,$D$34,IF(N(Vintage_Input!N179)&gt;0,IFERROR((Vintage_Input!F179+Vintage_Input!AT179)/$C229+Products!$E$14-(Products!$E$43+Products!$E$19+Products!$E$43*Products!$E$22+Products!$E$44),""),""))</f>
        <v/>
      </c>
      <c r="BC229" s="153">
        <f>IF($B229=1,$E$34,IF(N(Vintage_Input!O179)&gt;0,IFERROR((Vintage_Input!G179+Vintage_Input!AU179)/$C229+Products!$E$14-(Products!$E$43+Products!$E$19+Products!$E$43*Products!$E$22+Products!$E$44),""),""))</f>
        <v/>
      </c>
      <c r="BD229" s="153">
        <f>IF($B229=1,$F$34,IF(N(Vintage_Input!P179)&gt;0,IFERROR((Vintage_Input!H179+Vintage_Input!AV179)/$C229+Products!$E$14-(Products!$E$43+Products!$E$19+Products!$E$43*Products!$E$22+Products!$E$44),""),""))</f>
        <v/>
      </c>
      <c r="BE229" s="153">
        <f>IF($B229=1,$G$34,IF(N(Vintage_Input!Q179)&gt;0,IFERROR((Vintage_Input!I179+Vintage_Input!AW179)/$C229+Products!$E$14-(Products!$E$43+Products!$E$19+Products!$E$43*Products!$E$22+Products!$E$44),""),""))</f>
        <v/>
      </c>
      <c r="BF229" s="153">
        <f>IF($B229=1,$H$34,IF(N(Vintage_Input!R179)&gt;0,IFERROR((Vintage_Input!J179+Vintage_Input!AX179)/$C229+Products!$E$14-(Products!$E$43+Products!$E$19+Products!$E$43*Products!$E$22+Products!$E$44),""),""))</f>
        <v/>
      </c>
      <c r="BG229" s="153">
        <f>IF($B229=1,$I$34,IF(N(Vintage_Input!S179)&gt;0,IFERROR((Vintage_Input!K179+Vintage_Input!AY179)/$C229+Products!$E$14-(Products!$E$43+Products!$E$19+Products!$E$43*Products!$E$22+Products!$E$44),""),""))</f>
        <v/>
      </c>
      <c r="BH229" s="81">
        <f>IF($B229=1,0,IF(Vintage_Input!$BH$179="","",Vintage_Input!$BH$179))</f>
        <v/>
      </c>
    </row>
    <row r="230">
      <c r="A230" s="23" t="n">
        <v>42</v>
      </c>
      <c r="B230" s="48">
        <f>Vintage_Input!$B$180</f>
        <v/>
      </c>
      <c r="C230" s="41">
        <f>IF(Vintage_Input!$C$180="",0,Vintage_Input!$C$180)</f>
        <v/>
      </c>
      <c r="D230" s="152">
        <f>IF($B230=1,$B$28,IF(N(Vintage_Input!L180)&gt;0,Vintage_Input!D180/Vintage_Input!L180,""))</f>
        <v/>
      </c>
      <c r="E230" s="152">
        <f>IF($B230=1,$C$28,IF(N(Vintage_Input!M180)&gt;0,Vintage_Input!E180/Vintage_Input!M180,""))</f>
        <v/>
      </c>
      <c r="F230" s="152">
        <f>IF($B230=1,$D$28,IF(N(Vintage_Input!N180)&gt;0,Vintage_Input!F180/Vintage_Input!N180,""))</f>
        <v/>
      </c>
      <c r="G230" s="152">
        <f>IF($B230=1,$E$28,IF(N(Vintage_Input!O180)&gt;0,Vintage_Input!G180/Vintage_Input!O180,""))</f>
        <v/>
      </c>
      <c r="H230" s="152">
        <f>IF($B230=1,$F$28,IF(N(Vintage_Input!P180)&gt;0,Vintage_Input!H180/Vintage_Input!P180,""))</f>
        <v/>
      </c>
      <c r="I230" s="152">
        <f>IF($B230=1,$G$28,IF(N(Vintage_Input!Q180)&gt;0,Vintage_Input!I180/Vintage_Input!Q180,""))</f>
        <v/>
      </c>
      <c r="J230" s="152">
        <f>IF($B230=1,$H$28,IF(N(Vintage_Input!R180)&gt;0,Vintage_Input!J180/Vintage_Input!R180,""))</f>
        <v/>
      </c>
      <c r="K230" s="152">
        <f>IF($B230=1,$I$28,IF(N(Vintage_Input!S180)&gt;0,Vintage_Input!K180/Vintage_Input!S180,""))</f>
        <v/>
      </c>
      <c r="L230" s="152">
        <f>IF($B230=1,$B$29,IF(N(Vintage_Input!L180)&gt;0,Vintage_Input!T180/Vintage_Input!L180,""))</f>
        <v/>
      </c>
      <c r="M230" s="152">
        <f>IF($B230=1,$C$29,IF(N(Vintage_Input!M180)&gt;0,Vintage_Input!U180/Vintage_Input!M180,""))</f>
        <v/>
      </c>
      <c r="N230" s="152">
        <f>IF($B230=1,$D$29,IF(N(Vintage_Input!N180)&gt;0,Vintage_Input!V180/Vintage_Input!N180,""))</f>
        <v/>
      </c>
      <c r="O230" s="152">
        <f>IF($B230=1,$E$29,IF(N(Vintage_Input!O180)&gt;0,Vintage_Input!W180/Vintage_Input!O180,""))</f>
        <v/>
      </c>
      <c r="P230" s="152">
        <f>IF($B230=1,$F$29,IF(N(Vintage_Input!P180)&gt;0,Vintage_Input!X180/Vintage_Input!P180,""))</f>
        <v/>
      </c>
      <c r="Q230" s="152">
        <f>IF($B230=1,$G$29,IF(N(Vintage_Input!Q180)&gt;0,Vintage_Input!Y180/Vintage_Input!Q180,""))</f>
        <v/>
      </c>
      <c r="R230" s="152">
        <f>IF($B230=1,$H$29,IF(N(Vintage_Input!R180)&gt;0,Vintage_Input!Z180/Vintage_Input!R180,""))</f>
        <v/>
      </c>
      <c r="S230" s="152">
        <f>IF($B230=1,$I$29,IF(N(Vintage_Input!S180)&gt;0,Vintage_Input!AA180/Vintage_Input!S180,""))</f>
        <v/>
      </c>
      <c r="T230" s="152">
        <f>IF($B230=1,$B$30,IF(N(Vintage_Input!L180)&gt;0,Vintage_Input!AB180/Vintage_Input!L180,""))</f>
        <v/>
      </c>
      <c r="U230" s="152">
        <f>IF($B230=1,$C$30,IF(N(Vintage_Input!M180)&gt;0,Vintage_Input!AC180/Vintage_Input!M180,""))</f>
        <v/>
      </c>
      <c r="V230" s="152">
        <f>IF($B230=1,$D$30,IF(N(Vintage_Input!N180)&gt;0,Vintage_Input!AD180/Vintage_Input!N180,""))</f>
        <v/>
      </c>
      <c r="W230" s="152">
        <f>IF($B230=1,$E$30,IF(N(Vintage_Input!O180)&gt;0,Vintage_Input!AE180/Vintage_Input!O180,""))</f>
        <v/>
      </c>
      <c r="X230" s="152">
        <f>IF($B230=1,$F$30,IF(N(Vintage_Input!P180)&gt;0,Vintage_Input!AF180/Vintage_Input!P180,""))</f>
        <v/>
      </c>
      <c r="Y230" s="152">
        <f>IF($B230=1,$G$30,IF(N(Vintage_Input!Q180)&gt;0,Vintage_Input!AG180/Vintage_Input!Q180,""))</f>
        <v/>
      </c>
      <c r="Z230" s="152">
        <f>IF($B230=1,$H$30,IF(N(Vintage_Input!R180)&gt;0,Vintage_Input!AH180/Vintage_Input!R180,""))</f>
        <v/>
      </c>
      <c r="AA230" s="152">
        <f>IF($B230=1,$I$30,IF(N(Vintage_Input!S180)&gt;0,Vintage_Input!AI180/Vintage_Input!S180,""))</f>
        <v/>
      </c>
      <c r="AB230" s="152">
        <f>IF($B230=1,$B$31,IF(N(Vintage_Input!L180)&gt;0,Vintage_Input!AJ180/Vintage_Input!L180,""))</f>
        <v/>
      </c>
      <c r="AC230" s="152">
        <f>IF($B230=1,$C$31,IF(N(Vintage_Input!M180)&gt;0,Vintage_Input!AK180/Vintage_Input!M180,""))</f>
        <v/>
      </c>
      <c r="AD230" s="152">
        <f>IF($B230=1,$D$31,IF(N(Vintage_Input!N180)&gt;0,Vintage_Input!AL180/Vintage_Input!N180,""))</f>
        <v/>
      </c>
      <c r="AE230" s="152">
        <f>IF($B230=1,$E$31,IF(N(Vintage_Input!O180)&gt;0,Vintage_Input!AM180/Vintage_Input!O180,""))</f>
        <v/>
      </c>
      <c r="AF230" s="152">
        <f>IF($B230=1,$F$31,IF(N(Vintage_Input!P180)&gt;0,Vintage_Input!AN180/Vintage_Input!P180,""))</f>
        <v/>
      </c>
      <c r="AG230" s="152">
        <f>IF($B230=1,$G$31,IF(N(Vintage_Input!Q180)&gt;0,Vintage_Input!AO180/Vintage_Input!Q180,""))</f>
        <v/>
      </c>
      <c r="AH230" s="152">
        <f>IF($B230=1,$H$31,IF(N(Vintage_Input!R180)&gt;0,Vintage_Input!AP180/Vintage_Input!R180,""))</f>
        <v/>
      </c>
      <c r="AI230" s="152">
        <f>IF($B230=1,$I$31,IF(N(Vintage_Input!S180)&gt;0,Vintage_Input!AQ180/Vintage_Input!S180,""))</f>
        <v/>
      </c>
      <c r="AJ230" s="152">
        <f>IF($B230=1,$B$32,IF(N(Vintage_Input!L180)&gt;0,IFERROR(Vintage_Input!AR180/Vintage_Input!AJ180,""),""))</f>
        <v/>
      </c>
      <c r="AK230" s="152">
        <f>IF($B230=1,$C$32,IF(N(Vintage_Input!M180)&gt;0,IFERROR(Vintage_Input!AS180/Vintage_Input!AK180,""),""))</f>
        <v/>
      </c>
      <c r="AL230" s="152">
        <f>IF($B230=1,$D$32,IF(N(Vintage_Input!N180)&gt;0,IFERROR(Vintage_Input!AT180/Vintage_Input!AL180,""),""))</f>
        <v/>
      </c>
      <c r="AM230" s="152">
        <f>IF($B230=1,$E$32,IF(N(Vintage_Input!O180)&gt;0,IFERROR(Vintage_Input!AU180/Vintage_Input!AM180,""),""))</f>
        <v/>
      </c>
      <c r="AN230" s="152">
        <f>IF($B230=1,$F$32,IF(N(Vintage_Input!P180)&gt;0,IFERROR(Vintage_Input!AV180/Vintage_Input!AN180,""),""))</f>
        <v/>
      </c>
      <c r="AO230" s="152">
        <f>IF($B230=1,$G$32,IF(N(Vintage_Input!Q180)&gt;0,IFERROR(Vintage_Input!AW180/Vintage_Input!AO180,""),""))</f>
        <v/>
      </c>
      <c r="AP230" s="152">
        <f>IF($B230=1,$H$32,IF(N(Vintage_Input!R180)&gt;0,IFERROR(Vintage_Input!AX180/Vintage_Input!AP180,""),""))</f>
        <v/>
      </c>
      <c r="AQ230" s="152">
        <f>IF($B230=1,$I$32,IF(N(Vintage_Input!S180)&gt;0,IFERROR(Vintage_Input!AY180/Vintage_Input!AQ180,""),""))</f>
        <v/>
      </c>
      <c r="AR230" s="152">
        <f>IF($B230=1,$B$33,IF(N(Vintage_Input!L180)&gt;0,IFERROR(Vintage_Input!AZ180/$C230,""),""))</f>
        <v/>
      </c>
      <c r="AS230" s="152">
        <f>IF($B230=1,$C$33,IF(N(Vintage_Input!M180)&gt;0,IFERROR(Vintage_Input!BA180/$C230,""),""))</f>
        <v/>
      </c>
      <c r="AT230" s="152">
        <f>IF($B230=1,$D$33,IF(N(Vintage_Input!N180)&gt;0,IFERROR(Vintage_Input!BB180/$C230,""),""))</f>
        <v/>
      </c>
      <c r="AU230" s="152">
        <f>IF($B230=1,$E$33,IF(N(Vintage_Input!O180)&gt;0,IFERROR(Vintage_Input!BC180/$C230,""),""))</f>
        <v/>
      </c>
      <c r="AV230" s="152">
        <f>IF($B230=1,$F$33,IF(N(Vintage_Input!P180)&gt;0,IFERROR(Vintage_Input!BD180/$C230,""),""))</f>
        <v/>
      </c>
      <c r="AW230" s="152">
        <f>IF($B230=1,$G$33,IF(N(Vintage_Input!Q180)&gt;0,IFERROR(Vintage_Input!BE180/$C230,""),""))</f>
        <v/>
      </c>
      <c r="AX230" s="152">
        <f>IF($B230=1,$H$33,IF(N(Vintage_Input!R180)&gt;0,IFERROR(Vintage_Input!BF180/$C230,""),""))</f>
        <v/>
      </c>
      <c r="AY230" s="152">
        <f>IF($B230=1,$I$33,IF(N(Vintage_Input!S180)&gt;0,IFERROR(Vintage_Input!BG180/$C230,""),""))</f>
        <v/>
      </c>
      <c r="AZ230" s="153">
        <f>IF($B230=1,$B$34,IF(N(Vintage_Input!L180)&gt;0,IFERROR((Vintage_Input!D180+Vintage_Input!AR180)/$C230+Products!$E$14-(Products!$E$43+Products!$E$19+Products!$E$43*Products!$E$22+Products!$E$44),""),""))</f>
        <v/>
      </c>
      <c r="BA230" s="153">
        <f>IF($B230=1,$C$34,IF(N(Vintage_Input!M180)&gt;0,IFERROR((Vintage_Input!E180+Vintage_Input!AS180)/$C230+Products!$E$14-(Products!$E$43+Products!$E$19+Products!$E$43*Products!$E$22+Products!$E$44),""),""))</f>
        <v/>
      </c>
      <c r="BB230" s="153">
        <f>IF($B230=1,$D$34,IF(N(Vintage_Input!N180)&gt;0,IFERROR((Vintage_Input!F180+Vintage_Input!AT180)/$C230+Products!$E$14-(Products!$E$43+Products!$E$19+Products!$E$43*Products!$E$22+Products!$E$44),""),""))</f>
        <v/>
      </c>
      <c r="BC230" s="153">
        <f>IF($B230=1,$E$34,IF(N(Vintage_Input!O180)&gt;0,IFERROR((Vintage_Input!G180+Vintage_Input!AU180)/$C230+Products!$E$14-(Products!$E$43+Products!$E$19+Products!$E$43*Products!$E$22+Products!$E$44),""),""))</f>
        <v/>
      </c>
      <c r="BD230" s="153">
        <f>IF($B230=1,$F$34,IF(N(Vintage_Input!P180)&gt;0,IFERROR((Vintage_Input!H180+Vintage_Input!AV180)/$C230+Products!$E$14-(Products!$E$43+Products!$E$19+Products!$E$43*Products!$E$22+Products!$E$44),""),""))</f>
        <v/>
      </c>
      <c r="BE230" s="153">
        <f>IF($B230=1,$G$34,IF(N(Vintage_Input!Q180)&gt;0,IFERROR((Vintage_Input!I180+Vintage_Input!AW180)/$C230+Products!$E$14-(Products!$E$43+Products!$E$19+Products!$E$43*Products!$E$22+Products!$E$44),""),""))</f>
        <v/>
      </c>
      <c r="BF230" s="153">
        <f>IF($B230=1,$H$34,IF(N(Vintage_Input!R180)&gt;0,IFERROR((Vintage_Input!J180+Vintage_Input!AX180)/$C230+Products!$E$14-(Products!$E$43+Products!$E$19+Products!$E$43*Products!$E$22+Products!$E$44),""),""))</f>
        <v/>
      </c>
      <c r="BG230" s="153">
        <f>IF($B230=1,$I$34,IF(N(Vintage_Input!S180)&gt;0,IFERROR((Vintage_Input!K180+Vintage_Input!AY180)/$C230+Products!$E$14-(Products!$E$43+Products!$E$19+Products!$E$43*Products!$E$22+Products!$E$44),""),""))</f>
        <v/>
      </c>
      <c r="BH230" s="81">
        <f>IF($B230=1,0,IF(Vintage_Input!$BH$180="","",Vintage_Input!$BH$180))</f>
        <v/>
      </c>
    </row>
    <row r="231">
      <c r="A231" s="23" t="n">
        <v>43</v>
      </c>
      <c r="B231" s="48">
        <f>Vintage_Input!$B$181</f>
        <v/>
      </c>
      <c r="C231" s="41">
        <f>IF(Vintage_Input!$C$181="",0,Vintage_Input!$C$181)</f>
        <v/>
      </c>
      <c r="D231" s="152">
        <f>IF($B231=1,$B$28,IF(N(Vintage_Input!L181)&gt;0,Vintage_Input!D181/Vintage_Input!L181,""))</f>
        <v/>
      </c>
      <c r="E231" s="152">
        <f>IF($B231=1,$C$28,IF(N(Vintage_Input!M181)&gt;0,Vintage_Input!E181/Vintage_Input!M181,""))</f>
        <v/>
      </c>
      <c r="F231" s="152">
        <f>IF($B231=1,$D$28,IF(N(Vintage_Input!N181)&gt;0,Vintage_Input!F181/Vintage_Input!N181,""))</f>
        <v/>
      </c>
      <c r="G231" s="152">
        <f>IF($B231=1,$E$28,IF(N(Vintage_Input!O181)&gt;0,Vintage_Input!G181/Vintage_Input!O181,""))</f>
        <v/>
      </c>
      <c r="H231" s="152">
        <f>IF($B231=1,$F$28,IF(N(Vintage_Input!P181)&gt;0,Vintage_Input!H181/Vintage_Input!P181,""))</f>
        <v/>
      </c>
      <c r="I231" s="152">
        <f>IF($B231=1,$G$28,IF(N(Vintage_Input!Q181)&gt;0,Vintage_Input!I181/Vintage_Input!Q181,""))</f>
        <v/>
      </c>
      <c r="J231" s="152">
        <f>IF($B231=1,$H$28,IF(N(Vintage_Input!R181)&gt;0,Vintage_Input!J181/Vintage_Input!R181,""))</f>
        <v/>
      </c>
      <c r="K231" s="152">
        <f>IF($B231=1,$I$28,IF(N(Vintage_Input!S181)&gt;0,Vintage_Input!K181/Vintage_Input!S181,""))</f>
        <v/>
      </c>
      <c r="L231" s="152">
        <f>IF($B231=1,$B$29,IF(N(Vintage_Input!L181)&gt;0,Vintage_Input!T181/Vintage_Input!L181,""))</f>
        <v/>
      </c>
      <c r="M231" s="152">
        <f>IF($B231=1,$C$29,IF(N(Vintage_Input!M181)&gt;0,Vintage_Input!U181/Vintage_Input!M181,""))</f>
        <v/>
      </c>
      <c r="N231" s="152">
        <f>IF($B231=1,$D$29,IF(N(Vintage_Input!N181)&gt;0,Vintage_Input!V181/Vintage_Input!N181,""))</f>
        <v/>
      </c>
      <c r="O231" s="152">
        <f>IF($B231=1,$E$29,IF(N(Vintage_Input!O181)&gt;0,Vintage_Input!W181/Vintage_Input!O181,""))</f>
        <v/>
      </c>
      <c r="P231" s="152">
        <f>IF($B231=1,$F$29,IF(N(Vintage_Input!P181)&gt;0,Vintage_Input!X181/Vintage_Input!P181,""))</f>
        <v/>
      </c>
      <c r="Q231" s="152">
        <f>IF($B231=1,$G$29,IF(N(Vintage_Input!Q181)&gt;0,Vintage_Input!Y181/Vintage_Input!Q181,""))</f>
        <v/>
      </c>
      <c r="R231" s="152">
        <f>IF($B231=1,$H$29,IF(N(Vintage_Input!R181)&gt;0,Vintage_Input!Z181/Vintage_Input!R181,""))</f>
        <v/>
      </c>
      <c r="S231" s="152">
        <f>IF($B231=1,$I$29,IF(N(Vintage_Input!S181)&gt;0,Vintage_Input!AA181/Vintage_Input!S181,""))</f>
        <v/>
      </c>
      <c r="T231" s="152">
        <f>IF($B231=1,$B$30,IF(N(Vintage_Input!L181)&gt;0,Vintage_Input!AB181/Vintage_Input!L181,""))</f>
        <v/>
      </c>
      <c r="U231" s="152">
        <f>IF($B231=1,$C$30,IF(N(Vintage_Input!M181)&gt;0,Vintage_Input!AC181/Vintage_Input!M181,""))</f>
        <v/>
      </c>
      <c r="V231" s="152">
        <f>IF($B231=1,$D$30,IF(N(Vintage_Input!N181)&gt;0,Vintage_Input!AD181/Vintage_Input!N181,""))</f>
        <v/>
      </c>
      <c r="W231" s="152">
        <f>IF($B231=1,$E$30,IF(N(Vintage_Input!O181)&gt;0,Vintage_Input!AE181/Vintage_Input!O181,""))</f>
        <v/>
      </c>
      <c r="X231" s="152">
        <f>IF($B231=1,$F$30,IF(N(Vintage_Input!P181)&gt;0,Vintage_Input!AF181/Vintage_Input!P181,""))</f>
        <v/>
      </c>
      <c r="Y231" s="152">
        <f>IF($B231=1,$G$30,IF(N(Vintage_Input!Q181)&gt;0,Vintage_Input!AG181/Vintage_Input!Q181,""))</f>
        <v/>
      </c>
      <c r="Z231" s="152">
        <f>IF($B231=1,$H$30,IF(N(Vintage_Input!R181)&gt;0,Vintage_Input!AH181/Vintage_Input!R181,""))</f>
        <v/>
      </c>
      <c r="AA231" s="152">
        <f>IF($B231=1,$I$30,IF(N(Vintage_Input!S181)&gt;0,Vintage_Input!AI181/Vintage_Input!S181,""))</f>
        <v/>
      </c>
      <c r="AB231" s="152">
        <f>IF($B231=1,$B$31,IF(N(Vintage_Input!L181)&gt;0,Vintage_Input!AJ181/Vintage_Input!L181,""))</f>
        <v/>
      </c>
      <c r="AC231" s="152">
        <f>IF($B231=1,$C$31,IF(N(Vintage_Input!M181)&gt;0,Vintage_Input!AK181/Vintage_Input!M181,""))</f>
        <v/>
      </c>
      <c r="AD231" s="152">
        <f>IF($B231=1,$D$31,IF(N(Vintage_Input!N181)&gt;0,Vintage_Input!AL181/Vintage_Input!N181,""))</f>
        <v/>
      </c>
      <c r="AE231" s="152">
        <f>IF($B231=1,$E$31,IF(N(Vintage_Input!O181)&gt;0,Vintage_Input!AM181/Vintage_Input!O181,""))</f>
        <v/>
      </c>
      <c r="AF231" s="152">
        <f>IF($B231=1,$F$31,IF(N(Vintage_Input!P181)&gt;0,Vintage_Input!AN181/Vintage_Input!P181,""))</f>
        <v/>
      </c>
      <c r="AG231" s="152">
        <f>IF($B231=1,$G$31,IF(N(Vintage_Input!Q181)&gt;0,Vintage_Input!AO181/Vintage_Input!Q181,""))</f>
        <v/>
      </c>
      <c r="AH231" s="152">
        <f>IF($B231=1,$H$31,IF(N(Vintage_Input!R181)&gt;0,Vintage_Input!AP181/Vintage_Input!R181,""))</f>
        <v/>
      </c>
      <c r="AI231" s="152">
        <f>IF($B231=1,$I$31,IF(N(Vintage_Input!S181)&gt;0,Vintage_Input!AQ181/Vintage_Input!S181,""))</f>
        <v/>
      </c>
      <c r="AJ231" s="152">
        <f>IF($B231=1,$B$32,IF(N(Vintage_Input!L181)&gt;0,IFERROR(Vintage_Input!AR181/Vintage_Input!AJ181,""),""))</f>
        <v/>
      </c>
      <c r="AK231" s="152">
        <f>IF($B231=1,$C$32,IF(N(Vintage_Input!M181)&gt;0,IFERROR(Vintage_Input!AS181/Vintage_Input!AK181,""),""))</f>
        <v/>
      </c>
      <c r="AL231" s="152">
        <f>IF($B231=1,$D$32,IF(N(Vintage_Input!N181)&gt;0,IFERROR(Vintage_Input!AT181/Vintage_Input!AL181,""),""))</f>
        <v/>
      </c>
      <c r="AM231" s="152">
        <f>IF($B231=1,$E$32,IF(N(Vintage_Input!O181)&gt;0,IFERROR(Vintage_Input!AU181/Vintage_Input!AM181,""),""))</f>
        <v/>
      </c>
      <c r="AN231" s="152">
        <f>IF($B231=1,$F$32,IF(N(Vintage_Input!P181)&gt;0,IFERROR(Vintage_Input!AV181/Vintage_Input!AN181,""),""))</f>
        <v/>
      </c>
      <c r="AO231" s="152">
        <f>IF($B231=1,$G$32,IF(N(Vintage_Input!Q181)&gt;0,IFERROR(Vintage_Input!AW181/Vintage_Input!AO181,""),""))</f>
        <v/>
      </c>
      <c r="AP231" s="152">
        <f>IF($B231=1,$H$32,IF(N(Vintage_Input!R181)&gt;0,IFERROR(Vintage_Input!AX181/Vintage_Input!AP181,""),""))</f>
        <v/>
      </c>
      <c r="AQ231" s="152">
        <f>IF($B231=1,$I$32,IF(N(Vintage_Input!S181)&gt;0,IFERROR(Vintage_Input!AY181/Vintage_Input!AQ181,""),""))</f>
        <v/>
      </c>
      <c r="AR231" s="152">
        <f>IF($B231=1,$B$33,IF(N(Vintage_Input!L181)&gt;0,IFERROR(Vintage_Input!AZ181/$C231,""),""))</f>
        <v/>
      </c>
      <c r="AS231" s="152">
        <f>IF($B231=1,$C$33,IF(N(Vintage_Input!M181)&gt;0,IFERROR(Vintage_Input!BA181/$C231,""),""))</f>
        <v/>
      </c>
      <c r="AT231" s="152">
        <f>IF($B231=1,$D$33,IF(N(Vintage_Input!N181)&gt;0,IFERROR(Vintage_Input!BB181/$C231,""),""))</f>
        <v/>
      </c>
      <c r="AU231" s="152">
        <f>IF($B231=1,$E$33,IF(N(Vintage_Input!O181)&gt;0,IFERROR(Vintage_Input!BC181/$C231,""),""))</f>
        <v/>
      </c>
      <c r="AV231" s="152">
        <f>IF($B231=1,$F$33,IF(N(Vintage_Input!P181)&gt;0,IFERROR(Vintage_Input!BD181/$C231,""),""))</f>
        <v/>
      </c>
      <c r="AW231" s="152">
        <f>IF($B231=1,$G$33,IF(N(Vintage_Input!Q181)&gt;0,IFERROR(Vintage_Input!BE181/$C231,""),""))</f>
        <v/>
      </c>
      <c r="AX231" s="152">
        <f>IF($B231=1,$H$33,IF(N(Vintage_Input!R181)&gt;0,IFERROR(Vintage_Input!BF181/$C231,""),""))</f>
        <v/>
      </c>
      <c r="AY231" s="152">
        <f>IF($B231=1,$I$33,IF(N(Vintage_Input!S181)&gt;0,IFERROR(Vintage_Input!BG181/$C231,""),""))</f>
        <v/>
      </c>
      <c r="AZ231" s="153">
        <f>IF($B231=1,$B$34,IF(N(Vintage_Input!L181)&gt;0,IFERROR((Vintage_Input!D181+Vintage_Input!AR181)/$C231+Products!$E$14-(Products!$E$43+Products!$E$19+Products!$E$43*Products!$E$22+Products!$E$44),""),""))</f>
        <v/>
      </c>
      <c r="BA231" s="153">
        <f>IF($B231=1,$C$34,IF(N(Vintage_Input!M181)&gt;0,IFERROR((Vintage_Input!E181+Vintage_Input!AS181)/$C231+Products!$E$14-(Products!$E$43+Products!$E$19+Products!$E$43*Products!$E$22+Products!$E$44),""),""))</f>
        <v/>
      </c>
      <c r="BB231" s="153">
        <f>IF($B231=1,$D$34,IF(N(Vintage_Input!N181)&gt;0,IFERROR((Vintage_Input!F181+Vintage_Input!AT181)/$C231+Products!$E$14-(Products!$E$43+Products!$E$19+Products!$E$43*Products!$E$22+Products!$E$44),""),""))</f>
        <v/>
      </c>
      <c r="BC231" s="153">
        <f>IF($B231=1,$E$34,IF(N(Vintage_Input!O181)&gt;0,IFERROR((Vintage_Input!G181+Vintage_Input!AU181)/$C231+Products!$E$14-(Products!$E$43+Products!$E$19+Products!$E$43*Products!$E$22+Products!$E$44),""),""))</f>
        <v/>
      </c>
      <c r="BD231" s="153">
        <f>IF($B231=1,$F$34,IF(N(Vintage_Input!P181)&gt;0,IFERROR((Vintage_Input!H181+Vintage_Input!AV181)/$C231+Products!$E$14-(Products!$E$43+Products!$E$19+Products!$E$43*Products!$E$22+Products!$E$44),""),""))</f>
        <v/>
      </c>
      <c r="BE231" s="153">
        <f>IF($B231=1,$G$34,IF(N(Vintage_Input!Q181)&gt;0,IFERROR((Vintage_Input!I181+Vintage_Input!AW181)/$C231+Products!$E$14-(Products!$E$43+Products!$E$19+Products!$E$43*Products!$E$22+Products!$E$44),""),""))</f>
        <v/>
      </c>
      <c r="BF231" s="153">
        <f>IF($B231=1,$H$34,IF(N(Vintage_Input!R181)&gt;0,IFERROR((Vintage_Input!J181+Vintage_Input!AX181)/$C231+Products!$E$14-(Products!$E$43+Products!$E$19+Products!$E$43*Products!$E$22+Products!$E$44),""),""))</f>
        <v/>
      </c>
      <c r="BG231" s="153">
        <f>IF($B231=1,$I$34,IF(N(Vintage_Input!S181)&gt;0,IFERROR((Vintage_Input!K181+Vintage_Input!AY181)/$C231+Products!$E$14-(Products!$E$43+Products!$E$19+Products!$E$43*Products!$E$22+Products!$E$44),""),""))</f>
        <v/>
      </c>
      <c r="BH231" s="81">
        <f>IF($B231=1,0,IF(Vintage_Input!$BH$181="","",Vintage_Input!$BH$181))</f>
        <v/>
      </c>
    </row>
    <row r="232">
      <c r="A232" s="23" t="n">
        <v>44</v>
      </c>
      <c r="B232" s="48">
        <f>Vintage_Input!$B$182</f>
        <v/>
      </c>
      <c r="C232" s="41">
        <f>IF(Vintage_Input!$C$182="",0,Vintage_Input!$C$182)</f>
        <v/>
      </c>
      <c r="D232" s="152">
        <f>IF($B232=1,$B$28,IF(N(Vintage_Input!L182)&gt;0,Vintage_Input!D182/Vintage_Input!L182,""))</f>
        <v/>
      </c>
      <c r="E232" s="152">
        <f>IF($B232=1,$C$28,IF(N(Vintage_Input!M182)&gt;0,Vintage_Input!E182/Vintage_Input!M182,""))</f>
        <v/>
      </c>
      <c r="F232" s="152">
        <f>IF($B232=1,$D$28,IF(N(Vintage_Input!N182)&gt;0,Vintage_Input!F182/Vintage_Input!N182,""))</f>
        <v/>
      </c>
      <c r="G232" s="152">
        <f>IF($B232=1,$E$28,IF(N(Vintage_Input!O182)&gt;0,Vintage_Input!G182/Vintage_Input!O182,""))</f>
        <v/>
      </c>
      <c r="H232" s="152">
        <f>IF($B232=1,$F$28,IF(N(Vintage_Input!P182)&gt;0,Vintage_Input!H182/Vintage_Input!P182,""))</f>
        <v/>
      </c>
      <c r="I232" s="152">
        <f>IF($B232=1,$G$28,IF(N(Vintage_Input!Q182)&gt;0,Vintage_Input!I182/Vintage_Input!Q182,""))</f>
        <v/>
      </c>
      <c r="J232" s="152">
        <f>IF($B232=1,$H$28,IF(N(Vintage_Input!R182)&gt;0,Vintage_Input!J182/Vintage_Input!R182,""))</f>
        <v/>
      </c>
      <c r="K232" s="152">
        <f>IF($B232=1,$I$28,IF(N(Vintage_Input!S182)&gt;0,Vintage_Input!K182/Vintage_Input!S182,""))</f>
        <v/>
      </c>
      <c r="L232" s="152">
        <f>IF($B232=1,$B$29,IF(N(Vintage_Input!L182)&gt;0,Vintage_Input!T182/Vintage_Input!L182,""))</f>
        <v/>
      </c>
      <c r="M232" s="152">
        <f>IF($B232=1,$C$29,IF(N(Vintage_Input!M182)&gt;0,Vintage_Input!U182/Vintage_Input!M182,""))</f>
        <v/>
      </c>
      <c r="N232" s="152">
        <f>IF($B232=1,$D$29,IF(N(Vintage_Input!N182)&gt;0,Vintage_Input!V182/Vintage_Input!N182,""))</f>
        <v/>
      </c>
      <c r="O232" s="152">
        <f>IF($B232=1,$E$29,IF(N(Vintage_Input!O182)&gt;0,Vintage_Input!W182/Vintage_Input!O182,""))</f>
        <v/>
      </c>
      <c r="P232" s="152">
        <f>IF($B232=1,$F$29,IF(N(Vintage_Input!P182)&gt;0,Vintage_Input!X182/Vintage_Input!P182,""))</f>
        <v/>
      </c>
      <c r="Q232" s="152">
        <f>IF($B232=1,$G$29,IF(N(Vintage_Input!Q182)&gt;0,Vintage_Input!Y182/Vintage_Input!Q182,""))</f>
        <v/>
      </c>
      <c r="R232" s="152">
        <f>IF($B232=1,$H$29,IF(N(Vintage_Input!R182)&gt;0,Vintage_Input!Z182/Vintage_Input!R182,""))</f>
        <v/>
      </c>
      <c r="S232" s="152">
        <f>IF($B232=1,$I$29,IF(N(Vintage_Input!S182)&gt;0,Vintage_Input!AA182/Vintage_Input!S182,""))</f>
        <v/>
      </c>
      <c r="T232" s="152">
        <f>IF($B232=1,$B$30,IF(N(Vintage_Input!L182)&gt;0,Vintage_Input!AB182/Vintage_Input!L182,""))</f>
        <v/>
      </c>
      <c r="U232" s="152">
        <f>IF($B232=1,$C$30,IF(N(Vintage_Input!M182)&gt;0,Vintage_Input!AC182/Vintage_Input!M182,""))</f>
        <v/>
      </c>
      <c r="V232" s="152">
        <f>IF($B232=1,$D$30,IF(N(Vintage_Input!N182)&gt;0,Vintage_Input!AD182/Vintage_Input!N182,""))</f>
        <v/>
      </c>
      <c r="W232" s="152">
        <f>IF($B232=1,$E$30,IF(N(Vintage_Input!O182)&gt;0,Vintage_Input!AE182/Vintage_Input!O182,""))</f>
        <v/>
      </c>
      <c r="X232" s="152">
        <f>IF($B232=1,$F$30,IF(N(Vintage_Input!P182)&gt;0,Vintage_Input!AF182/Vintage_Input!P182,""))</f>
        <v/>
      </c>
      <c r="Y232" s="152">
        <f>IF($B232=1,$G$30,IF(N(Vintage_Input!Q182)&gt;0,Vintage_Input!AG182/Vintage_Input!Q182,""))</f>
        <v/>
      </c>
      <c r="Z232" s="152">
        <f>IF($B232=1,$H$30,IF(N(Vintage_Input!R182)&gt;0,Vintage_Input!AH182/Vintage_Input!R182,""))</f>
        <v/>
      </c>
      <c r="AA232" s="152">
        <f>IF($B232=1,$I$30,IF(N(Vintage_Input!S182)&gt;0,Vintage_Input!AI182/Vintage_Input!S182,""))</f>
        <v/>
      </c>
      <c r="AB232" s="152">
        <f>IF($B232=1,$B$31,IF(N(Vintage_Input!L182)&gt;0,Vintage_Input!AJ182/Vintage_Input!L182,""))</f>
        <v/>
      </c>
      <c r="AC232" s="152">
        <f>IF($B232=1,$C$31,IF(N(Vintage_Input!M182)&gt;0,Vintage_Input!AK182/Vintage_Input!M182,""))</f>
        <v/>
      </c>
      <c r="AD232" s="152">
        <f>IF($B232=1,$D$31,IF(N(Vintage_Input!N182)&gt;0,Vintage_Input!AL182/Vintage_Input!N182,""))</f>
        <v/>
      </c>
      <c r="AE232" s="152">
        <f>IF($B232=1,$E$31,IF(N(Vintage_Input!O182)&gt;0,Vintage_Input!AM182/Vintage_Input!O182,""))</f>
        <v/>
      </c>
      <c r="AF232" s="152">
        <f>IF($B232=1,$F$31,IF(N(Vintage_Input!P182)&gt;0,Vintage_Input!AN182/Vintage_Input!P182,""))</f>
        <v/>
      </c>
      <c r="AG232" s="152">
        <f>IF($B232=1,$G$31,IF(N(Vintage_Input!Q182)&gt;0,Vintage_Input!AO182/Vintage_Input!Q182,""))</f>
        <v/>
      </c>
      <c r="AH232" s="152">
        <f>IF($B232=1,$H$31,IF(N(Vintage_Input!R182)&gt;0,Vintage_Input!AP182/Vintage_Input!R182,""))</f>
        <v/>
      </c>
      <c r="AI232" s="152">
        <f>IF($B232=1,$I$31,IF(N(Vintage_Input!S182)&gt;0,Vintage_Input!AQ182/Vintage_Input!S182,""))</f>
        <v/>
      </c>
      <c r="AJ232" s="152">
        <f>IF($B232=1,$B$32,IF(N(Vintage_Input!L182)&gt;0,IFERROR(Vintage_Input!AR182/Vintage_Input!AJ182,""),""))</f>
        <v/>
      </c>
      <c r="AK232" s="152">
        <f>IF($B232=1,$C$32,IF(N(Vintage_Input!M182)&gt;0,IFERROR(Vintage_Input!AS182/Vintage_Input!AK182,""),""))</f>
        <v/>
      </c>
      <c r="AL232" s="152">
        <f>IF($B232=1,$D$32,IF(N(Vintage_Input!N182)&gt;0,IFERROR(Vintage_Input!AT182/Vintage_Input!AL182,""),""))</f>
        <v/>
      </c>
      <c r="AM232" s="152">
        <f>IF($B232=1,$E$32,IF(N(Vintage_Input!O182)&gt;0,IFERROR(Vintage_Input!AU182/Vintage_Input!AM182,""),""))</f>
        <v/>
      </c>
      <c r="AN232" s="152">
        <f>IF($B232=1,$F$32,IF(N(Vintage_Input!P182)&gt;0,IFERROR(Vintage_Input!AV182/Vintage_Input!AN182,""),""))</f>
        <v/>
      </c>
      <c r="AO232" s="152">
        <f>IF($B232=1,$G$32,IF(N(Vintage_Input!Q182)&gt;0,IFERROR(Vintage_Input!AW182/Vintage_Input!AO182,""),""))</f>
        <v/>
      </c>
      <c r="AP232" s="152">
        <f>IF($B232=1,$H$32,IF(N(Vintage_Input!R182)&gt;0,IFERROR(Vintage_Input!AX182/Vintage_Input!AP182,""),""))</f>
        <v/>
      </c>
      <c r="AQ232" s="152">
        <f>IF($B232=1,$I$32,IF(N(Vintage_Input!S182)&gt;0,IFERROR(Vintage_Input!AY182/Vintage_Input!AQ182,""),""))</f>
        <v/>
      </c>
      <c r="AR232" s="152">
        <f>IF($B232=1,$B$33,IF(N(Vintage_Input!L182)&gt;0,IFERROR(Vintage_Input!AZ182/$C232,""),""))</f>
        <v/>
      </c>
      <c r="AS232" s="152">
        <f>IF($B232=1,$C$33,IF(N(Vintage_Input!M182)&gt;0,IFERROR(Vintage_Input!BA182/$C232,""),""))</f>
        <v/>
      </c>
      <c r="AT232" s="152">
        <f>IF($B232=1,$D$33,IF(N(Vintage_Input!N182)&gt;0,IFERROR(Vintage_Input!BB182/$C232,""),""))</f>
        <v/>
      </c>
      <c r="AU232" s="152">
        <f>IF($B232=1,$E$33,IF(N(Vintage_Input!O182)&gt;0,IFERROR(Vintage_Input!BC182/$C232,""),""))</f>
        <v/>
      </c>
      <c r="AV232" s="152">
        <f>IF($B232=1,$F$33,IF(N(Vintage_Input!P182)&gt;0,IFERROR(Vintage_Input!BD182/$C232,""),""))</f>
        <v/>
      </c>
      <c r="AW232" s="152">
        <f>IF($B232=1,$G$33,IF(N(Vintage_Input!Q182)&gt;0,IFERROR(Vintage_Input!BE182/$C232,""),""))</f>
        <v/>
      </c>
      <c r="AX232" s="152">
        <f>IF($B232=1,$H$33,IF(N(Vintage_Input!R182)&gt;0,IFERROR(Vintage_Input!BF182/$C232,""),""))</f>
        <v/>
      </c>
      <c r="AY232" s="152">
        <f>IF($B232=1,$I$33,IF(N(Vintage_Input!S182)&gt;0,IFERROR(Vintage_Input!BG182/$C232,""),""))</f>
        <v/>
      </c>
      <c r="AZ232" s="153">
        <f>IF($B232=1,$B$34,IF(N(Vintage_Input!L182)&gt;0,IFERROR((Vintage_Input!D182+Vintage_Input!AR182)/$C232+Products!$E$14-(Products!$E$43+Products!$E$19+Products!$E$43*Products!$E$22+Products!$E$44),""),""))</f>
        <v/>
      </c>
      <c r="BA232" s="153">
        <f>IF($B232=1,$C$34,IF(N(Vintage_Input!M182)&gt;0,IFERROR((Vintage_Input!E182+Vintage_Input!AS182)/$C232+Products!$E$14-(Products!$E$43+Products!$E$19+Products!$E$43*Products!$E$22+Products!$E$44),""),""))</f>
        <v/>
      </c>
      <c r="BB232" s="153">
        <f>IF($B232=1,$D$34,IF(N(Vintage_Input!N182)&gt;0,IFERROR((Vintage_Input!F182+Vintage_Input!AT182)/$C232+Products!$E$14-(Products!$E$43+Products!$E$19+Products!$E$43*Products!$E$22+Products!$E$44),""),""))</f>
        <v/>
      </c>
      <c r="BC232" s="153">
        <f>IF($B232=1,$E$34,IF(N(Vintage_Input!O182)&gt;0,IFERROR((Vintage_Input!G182+Vintage_Input!AU182)/$C232+Products!$E$14-(Products!$E$43+Products!$E$19+Products!$E$43*Products!$E$22+Products!$E$44),""),""))</f>
        <v/>
      </c>
      <c r="BD232" s="153">
        <f>IF($B232=1,$F$34,IF(N(Vintage_Input!P182)&gt;0,IFERROR((Vintage_Input!H182+Vintage_Input!AV182)/$C232+Products!$E$14-(Products!$E$43+Products!$E$19+Products!$E$43*Products!$E$22+Products!$E$44),""),""))</f>
        <v/>
      </c>
      <c r="BE232" s="153">
        <f>IF($B232=1,$G$34,IF(N(Vintage_Input!Q182)&gt;0,IFERROR((Vintage_Input!I182+Vintage_Input!AW182)/$C232+Products!$E$14-(Products!$E$43+Products!$E$19+Products!$E$43*Products!$E$22+Products!$E$44),""),""))</f>
        <v/>
      </c>
      <c r="BF232" s="153">
        <f>IF($B232=1,$H$34,IF(N(Vintage_Input!R182)&gt;0,IFERROR((Vintage_Input!J182+Vintage_Input!AX182)/$C232+Products!$E$14-(Products!$E$43+Products!$E$19+Products!$E$43*Products!$E$22+Products!$E$44),""),""))</f>
        <v/>
      </c>
      <c r="BG232" s="153">
        <f>IF($B232=1,$I$34,IF(N(Vintage_Input!S182)&gt;0,IFERROR((Vintage_Input!K182+Vintage_Input!AY182)/$C232+Products!$E$14-(Products!$E$43+Products!$E$19+Products!$E$43*Products!$E$22+Products!$E$44),""),""))</f>
        <v/>
      </c>
      <c r="BH232" s="81">
        <f>IF($B232=1,0,IF(Vintage_Input!$BH$182="","",Vintage_Input!$BH$182))</f>
        <v/>
      </c>
    </row>
    <row r="233">
      <c r="A233" s="23" t="n">
        <v>45</v>
      </c>
      <c r="B233" s="48">
        <f>Vintage_Input!$B$183</f>
        <v/>
      </c>
      <c r="C233" s="41">
        <f>IF(Vintage_Input!$C$183="",0,Vintage_Input!$C$183)</f>
        <v/>
      </c>
      <c r="D233" s="152">
        <f>IF($B233=1,$B$28,IF(N(Vintage_Input!L183)&gt;0,Vintage_Input!D183/Vintage_Input!L183,""))</f>
        <v/>
      </c>
      <c r="E233" s="152">
        <f>IF($B233=1,$C$28,IF(N(Vintage_Input!M183)&gt;0,Vintage_Input!E183/Vintage_Input!M183,""))</f>
        <v/>
      </c>
      <c r="F233" s="152">
        <f>IF($B233=1,$D$28,IF(N(Vintage_Input!N183)&gt;0,Vintage_Input!F183/Vintage_Input!N183,""))</f>
        <v/>
      </c>
      <c r="G233" s="152">
        <f>IF($B233=1,$E$28,IF(N(Vintage_Input!O183)&gt;0,Vintage_Input!G183/Vintage_Input!O183,""))</f>
        <v/>
      </c>
      <c r="H233" s="152">
        <f>IF($B233=1,$F$28,IF(N(Vintage_Input!P183)&gt;0,Vintage_Input!H183/Vintage_Input!P183,""))</f>
        <v/>
      </c>
      <c r="I233" s="152">
        <f>IF($B233=1,$G$28,IF(N(Vintage_Input!Q183)&gt;0,Vintage_Input!I183/Vintage_Input!Q183,""))</f>
        <v/>
      </c>
      <c r="J233" s="152">
        <f>IF($B233=1,$H$28,IF(N(Vintage_Input!R183)&gt;0,Vintage_Input!J183/Vintage_Input!R183,""))</f>
        <v/>
      </c>
      <c r="K233" s="152">
        <f>IF($B233=1,$I$28,IF(N(Vintage_Input!S183)&gt;0,Vintage_Input!K183/Vintage_Input!S183,""))</f>
        <v/>
      </c>
      <c r="L233" s="152">
        <f>IF($B233=1,$B$29,IF(N(Vintage_Input!L183)&gt;0,Vintage_Input!T183/Vintage_Input!L183,""))</f>
        <v/>
      </c>
      <c r="M233" s="152">
        <f>IF($B233=1,$C$29,IF(N(Vintage_Input!M183)&gt;0,Vintage_Input!U183/Vintage_Input!M183,""))</f>
        <v/>
      </c>
      <c r="N233" s="152">
        <f>IF($B233=1,$D$29,IF(N(Vintage_Input!N183)&gt;0,Vintage_Input!V183/Vintage_Input!N183,""))</f>
        <v/>
      </c>
      <c r="O233" s="152">
        <f>IF($B233=1,$E$29,IF(N(Vintage_Input!O183)&gt;0,Vintage_Input!W183/Vintage_Input!O183,""))</f>
        <v/>
      </c>
      <c r="P233" s="152">
        <f>IF($B233=1,$F$29,IF(N(Vintage_Input!P183)&gt;0,Vintage_Input!X183/Vintage_Input!P183,""))</f>
        <v/>
      </c>
      <c r="Q233" s="152">
        <f>IF($B233=1,$G$29,IF(N(Vintage_Input!Q183)&gt;0,Vintage_Input!Y183/Vintage_Input!Q183,""))</f>
        <v/>
      </c>
      <c r="R233" s="152">
        <f>IF($B233=1,$H$29,IF(N(Vintage_Input!R183)&gt;0,Vintage_Input!Z183/Vintage_Input!R183,""))</f>
        <v/>
      </c>
      <c r="S233" s="152">
        <f>IF($B233=1,$I$29,IF(N(Vintage_Input!S183)&gt;0,Vintage_Input!AA183/Vintage_Input!S183,""))</f>
        <v/>
      </c>
      <c r="T233" s="152">
        <f>IF($B233=1,$B$30,IF(N(Vintage_Input!L183)&gt;0,Vintage_Input!AB183/Vintage_Input!L183,""))</f>
        <v/>
      </c>
      <c r="U233" s="152">
        <f>IF($B233=1,$C$30,IF(N(Vintage_Input!M183)&gt;0,Vintage_Input!AC183/Vintage_Input!M183,""))</f>
        <v/>
      </c>
      <c r="V233" s="152">
        <f>IF($B233=1,$D$30,IF(N(Vintage_Input!N183)&gt;0,Vintage_Input!AD183/Vintage_Input!N183,""))</f>
        <v/>
      </c>
      <c r="W233" s="152">
        <f>IF($B233=1,$E$30,IF(N(Vintage_Input!O183)&gt;0,Vintage_Input!AE183/Vintage_Input!O183,""))</f>
        <v/>
      </c>
      <c r="X233" s="152">
        <f>IF($B233=1,$F$30,IF(N(Vintage_Input!P183)&gt;0,Vintage_Input!AF183/Vintage_Input!P183,""))</f>
        <v/>
      </c>
      <c r="Y233" s="152">
        <f>IF($B233=1,$G$30,IF(N(Vintage_Input!Q183)&gt;0,Vintage_Input!AG183/Vintage_Input!Q183,""))</f>
        <v/>
      </c>
      <c r="Z233" s="152">
        <f>IF($B233=1,$H$30,IF(N(Vintage_Input!R183)&gt;0,Vintage_Input!AH183/Vintage_Input!R183,""))</f>
        <v/>
      </c>
      <c r="AA233" s="152">
        <f>IF($B233=1,$I$30,IF(N(Vintage_Input!S183)&gt;0,Vintage_Input!AI183/Vintage_Input!S183,""))</f>
        <v/>
      </c>
      <c r="AB233" s="152">
        <f>IF($B233=1,$B$31,IF(N(Vintage_Input!L183)&gt;0,Vintage_Input!AJ183/Vintage_Input!L183,""))</f>
        <v/>
      </c>
      <c r="AC233" s="152">
        <f>IF($B233=1,$C$31,IF(N(Vintage_Input!M183)&gt;0,Vintage_Input!AK183/Vintage_Input!M183,""))</f>
        <v/>
      </c>
      <c r="AD233" s="152">
        <f>IF($B233=1,$D$31,IF(N(Vintage_Input!N183)&gt;0,Vintage_Input!AL183/Vintage_Input!N183,""))</f>
        <v/>
      </c>
      <c r="AE233" s="152">
        <f>IF($B233=1,$E$31,IF(N(Vintage_Input!O183)&gt;0,Vintage_Input!AM183/Vintage_Input!O183,""))</f>
        <v/>
      </c>
      <c r="AF233" s="152">
        <f>IF($B233=1,$F$31,IF(N(Vintage_Input!P183)&gt;0,Vintage_Input!AN183/Vintage_Input!P183,""))</f>
        <v/>
      </c>
      <c r="AG233" s="152">
        <f>IF($B233=1,$G$31,IF(N(Vintage_Input!Q183)&gt;0,Vintage_Input!AO183/Vintage_Input!Q183,""))</f>
        <v/>
      </c>
      <c r="AH233" s="152">
        <f>IF($B233=1,$H$31,IF(N(Vintage_Input!R183)&gt;0,Vintage_Input!AP183/Vintage_Input!R183,""))</f>
        <v/>
      </c>
      <c r="AI233" s="152">
        <f>IF($B233=1,$I$31,IF(N(Vintage_Input!S183)&gt;0,Vintage_Input!AQ183/Vintage_Input!S183,""))</f>
        <v/>
      </c>
      <c r="AJ233" s="152">
        <f>IF($B233=1,$B$32,IF(N(Vintage_Input!L183)&gt;0,IFERROR(Vintage_Input!AR183/Vintage_Input!AJ183,""),""))</f>
        <v/>
      </c>
      <c r="AK233" s="152">
        <f>IF($B233=1,$C$32,IF(N(Vintage_Input!M183)&gt;0,IFERROR(Vintage_Input!AS183/Vintage_Input!AK183,""),""))</f>
        <v/>
      </c>
      <c r="AL233" s="152">
        <f>IF($B233=1,$D$32,IF(N(Vintage_Input!N183)&gt;0,IFERROR(Vintage_Input!AT183/Vintage_Input!AL183,""),""))</f>
        <v/>
      </c>
      <c r="AM233" s="152">
        <f>IF($B233=1,$E$32,IF(N(Vintage_Input!O183)&gt;0,IFERROR(Vintage_Input!AU183/Vintage_Input!AM183,""),""))</f>
        <v/>
      </c>
      <c r="AN233" s="152">
        <f>IF($B233=1,$F$32,IF(N(Vintage_Input!P183)&gt;0,IFERROR(Vintage_Input!AV183/Vintage_Input!AN183,""),""))</f>
        <v/>
      </c>
      <c r="AO233" s="152">
        <f>IF($B233=1,$G$32,IF(N(Vintage_Input!Q183)&gt;0,IFERROR(Vintage_Input!AW183/Vintage_Input!AO183,""),""))</f>
        <v/>
      </c>
      <c r="AP233" s="152">
        <f>IF($B233=1,$H$32,IF(N(Vintage_Input!R183)&gt;0,IFERROR(Vintage_Input!AX183/Vintage_Input!AP183,""),""))</f>
        <v/>
      </c>
      <c r="AQ233" s="152">
        <f>IF($B233=1,$I$32,IF(N(Vintage_Input!S183)&gt;0,IFERROR(Vintage_Input!AY183/Vintage_Input!AQ183,""),""))</f>
        <v/>
      </c>
      <c r="AR233" s="152">
        <f>IF($B233=1,$B$33,IF(N(Vintage_Input!L183)&gt;0,IFERROR(Vintage_Input!AZ183/$C233,""),""))</f>
        <v/>
      </c>
      <c r="AS233" s="152">
        <f>IF($B233=1,$C$33,IF(N(Vintage_Input!M183)&gt;0,IFERROR(Vintage_Input!BA183/$C233,""),""))</f>
        <v/>
      </c>
      <c r="AT233" s="152">
        <f>IF($B233=1,$D$33,IF(N(Vintage_Input!N183)&gt;0,IFERROR(Vintage_Input!BB183/$C233,""),""))</f>
        <v/>
      </c>
      <c r="AU233" s="152">
        <f>IF($B233=1,$E$33,IF(N(Vintage_Input!O183)&gt;0,IFERROR(Vintage_Input!BC183/$C233,""),""))</f>
        <v/>
      </c>
      <c r="AV233" s="152">
        <f>IF($B233=1,$F$33,IF(N(Vintage_Input!P183)&gt;0,IFERROR(Vintage_Input!BD183/$C233,""),""))</f>
        <v/>
      </c>
      <c r="AW233" s="152">
        <f>IF($B233=1,$G$33,IF(N(Vintage_Input!Q183)&gt;0,IFERROR(Vintage_Input!BE183/$C233,""),""))</f>
        <v/>
      </c>
      <c r="AX233" s="152">
        <f>IF($B233=1,$H$33,IF(N(Vintage_Input!R183)&gt;0,IFERROR(Vintage_Input!BF183/$C233,""),""))</f>
        <v/>
      </c>
      <c r="AY233" s="152">
        <f>IF($B233=1,$I$33,IF(N(Vintage_Input!S183)&gt;0,IFERROR(Vintage_Input!BG183/$C233,""),""))</f>
        <v/>
      </c>
      <c r="AZ233" s="153">
        <f>IF($B233=1,$B$34,IF(N(Vintage_Input!L183)&gt;0,IFERROR((Vintage_Input!D183+Vintage_Input!AR183)/$C233+Products!$E$14-(Products!$E$43+Products!$E$19+Products!$E$43*Products!$E$22+Products!$E$44),""),""))</f>
        <v/>
      </c>
      <c r="BA233" s="153">
        <f>IF($B233=1,$C$34,IF(N(Vintage_Input!M183)&gt;0,IFERROR((Vintage_Input!E183+Vintage_Input!AS183)/$C233+Products!$E$14-(Products!$E$43+Products!$E$19+Products!$E$43*Products!$E$22+Products!$E$44),""),""))</f>
        <v/>
      </c>
      <c r="BB233" s="153">
        <f>IF($B233=1,$D$34,IF(N(Vintage_Input!N183)&gt;0,IFERROR((Vintage_Input!F183+Vintage_Input!AT183)/$C233+Products!$E$14-(Products!$E$43+Products!$E$19+Products!$E$43*Products!$E$22+Products!$E$44),""),""))</f>
        <v/>
      </c>
      <c r="BC233" s="153">
        <f>IF($B233=1,$E$34,IF(N(Vintage_Input!O183)&gt;0,IFERROR((Vintage_Input!G183+Vintage_Input!AU183)/$C233+Products!$E$14-(Products!$E$43+Products!$E$19+Products!$E$43*Products!$E$22+Products!$E$44),""),""))</f>
        <v/>
      </c>
      <c r="BD233" s="153">
        <f>IF($B233=1,$F$34,IF(N(Vintage_Input!P183)&gt;0,IFERROR((Vintage_Input!H183+Vintage_Input!AV183)/$C233+Products!$E$14-(Products!$E$43+Products!$E$19+Products!$E$43*Products!$E$22+Products!$E$44),""),""))</f>
        <v/>
      </c>
      <c r="BE233" s="153">
        <f>IF($B233=1,$G$34,IF(N(Vintage_Input!Q183)&gt;0,IFERROR((Vintage_Input!I183+Vintage_Input!AW183)/$C233+Products!$E$14-(Products!$E$43+Products!$E$19+Products!$E$43*Products!$E$22+Products!$E$44),""),""))</f>
        <v/>
      </c>
      <c r="BF233" s="153">
        <f>IF($B233=1,$H$34,IF(N(Vintage_Input!R183)&gt;0,IFERROR((Vintage_Input!J183+Vintage_Input!AX183)/$C233+Products!$E$14-(Products!$E$43+Products!$E$19+Products!$E$43*Products!$E$22+Products!$E$44),""),""))</f>
        <v/>
      </c>
      <c r="BG233" s="153">
        <f>IF($B233=1,$I$34,IF(N(Vintage_Input!S183)&gt;0,IFERROR((Vintage_Input!K183+Vintage_Input!AY183)/$C233+Products!$E$14-(Products!$E$43+Products!$E$19+Products!$E$43*Products!$E$22+Products!$E$44),""),""))</f>
        <v/>
      </c>
      <c r="BH233" s="81">
        <f>IF($B233=1,0,IF(Vintage_Input!$BH$183="","",Vintage_Input!$BH$183))</f>
        <v/>
      </c>
    </row>
    <row r="234">
      <c r="A234" s="23" t="n">
        <v>46</v>
      </c>
      <c r="B234" s="48">
        <f>Vintage_Input!$B$184</f>
        <v/>
      </c>
      <c r="C234" s="41">
        <f>IF(Vintage_Input!$C$184="",0,Vintage_Input!$C$184)</f>
        <v/>
      </c>
      <c r="D234" s="152">
        <f>IF($B234=1,$B$28,IF(N(Vintage_Input!L184)&gt;0,Vintage_Input!D184/Vintage_Input!L184,""))</f>
        <v/>
      </c>
      <c r="E234" s="152">
        <f>IF($B234=1,$C$28,IF(N(Vintage_Input!M184)&gt;0,Vintage_Input!E184/Vintage_Input!M184,""))</f>
        <v/>
      </c>
      <c r="F234" s="152">
        <f>IF($B234=1,$D$28,IF(N(Vintage_Input!N184)&gt;0,Vintage_Input!F184/Vintage_Input!N184,""))</f>
        <v/>
      </c>
      <c r="G234" s="152">
        <f>IF($B234=1,$E$28,IF(N(Vintage_Input!O184)&gt;0,Vintage_Input!G184/Vintage_Input!O184,""))</f>
        <v/>
      </c>
      <c r="H234" s="152">
        <f>IF($B234=1,$F$28,IF(N(Vintage_Input!P184)&gt;0,Vintage_Input!H184/Vintage_Input!P184,""))</f>
        <v/>
      </c>
      <c r="I234" s="152">
        <f>IF($B234=1,$G$28,IF(N(Vintage_Input!Q184)&gt;0,Vintage_Input!I184/Vintage_Input!Q184,""))</f>
        <v/>
      </c>
      <c r="J234" s="152">
        <f>IF($B234=1,$H$28,IF(N(Vintage_Input!R184)&gt;0,Vintage_Input!J184/Vintage_Input!R184,""))</f>
        <v/>
      </c>
      <c r="K234" s="152">
        <f>IF($B234=1,$I$28,IF(N(Vintage_Input!S184)&gt;0,Vintage_Input!K184/Vintage_Input!S184,""))</f>
        <v/>
      </c>
      <c r="L234" s="152">
        <f>IF($B234=1,$B$29,IF(N(Vintage_Input!L184)&gt;0,Vintage_Input!T184/Vintage_Input!L184,""))</f>
        <v/>
      </c>
      <c r="M234" s="152">
        <f>IF($B234=1,$C$29,IF(N(Vintage_Input!M184)&gt;0,Vintage_Input!U184/Vintage_Input!M184,""))</f>
        <v/>
      </c>
      <c r="N234" s="152">
        <f>IF($B234=1,$D$29,IF(N(Vintage_Input!N184)&gt;0,Vintage_Input!V184/Vintage_Input!N184,""))</f>
        <v/>
      </c>
      <c r="O234" s="152">
        <f>IF($B234=1,$E$29,IF(N(Vintage_Input!O184)&gt;0,Vintage_Input!W184/Vintage_Input!O184,""))</f>
        <v/>
      </c>
      <c r="P234" s="152">
        <f>IF($B234=1,$F$29,IF(N(Vintage_Input!P184)&gt;0,Vintage_Input!X184/Vintage_Input!P184,""))</f>
        <v/>
      </c>
      <c r="Q234" s="152">
        <f>IF($B234=1,$G$29,IF(N(Vintage_Input!Q184)&gt;0,Vintage_Input!Y184/Vintage_Input!Q184,""))</f>
        <v/>
      </c>
      <c r="R234" s="152">
        <f>IF($B234=1,$H$29,IF(N(Vintage_Input!R184)&gt;0,Vintage_Input!Z184/Vintage_Input!R184,""))</f>
        <v/>
      </c>
      <c r="S234" s="152">
        <f>IF($B234=1,$I$29,IF(N(Vintage_Input!S184)&gt;0,Vintage_Input!AA184/Vintage_Input!S184,""))</f>
        <v/>
      </c>
      <c r="T234" s="152">
        <f>IF($B234=1,$B$30,IF(N(Vintage_Input!L184)&gt;0,Vintage_Input!AB184/Vintage_Input!L184,""))</f>
        <v/>
      </c>
      <c r="U234" s="152">
        <f>IF($B234=1,$C$30,IF(N(Vintage_Input!M184)&gt;0,Vintage_Input!AC184/Vintage_Input!M184,""))</f>
        <v/>
      </c>
      <c r="V234" s="152">
        <f>IF($B234=1,$D$30,IF(N(Vintage_Input!N184)&gt;0,Vintage_Input!AD184/Vintage_Input!N184,""))</f>
        <v/>
      </c>
      <c r="W234" s="152">
        <f>IF($B234=1,$E$30,IF(N(Vintage_Input!O184)&gt;0,Vintage_Input!AE184/Vintage_Input!O184,""))</f>
        <v/>
      </c>
      <c r="X234" s="152">
        <f>IF($B234=1,$F$30,IF(N(Vintage_Input!P184)&gt;0,Vintage_Input!AF184/Vintage_Input!P184,""))</f>
        <v/>
      </c>
      <c r="Y234" s="152">
        <f>IF($B234=1,$G$30,IF(N(Vintage_Input!Q184)&gt;0,Vintage_Input!AG184/Vintage_Input!Q184,""))</f>
        <v/>
      </c>
      <c r="Z234" s="152">
        <f>IF($B234=1,$H$30,IF(N(Vintage_Input!R184)&gt;0,Vintage_Input!AH184/Vintage_Input!R184,""))</f>
        <v/>
      </c>
      <c r="AA234" s="152">
        <f>IF($B234=1,$I$30,IF(N(Vintage_Input!S184)&gt;0,Vintage_Input!AI184/Vintage_Input!S184,""))</f>
        <v/>
      </c>
      <c r="AB234" s="152">
        <f>IF($B234=1,$B$31,IF(N(Vintage_Input!L184)&gt;0,Vintage_Input!AJ184/Vintage_Input!L184,""))</f>
        <v/>
      </c>
      <c r="AC234" s="152">
        <f>IF($B234=1,$C$31,IF(N(Vintage_Input!M184)&gt;0,Vintage_Input!AK184/Vintage_Input!M184,""))</f>
        <v/>
      </c>
      <c r="AD234" s="152">
        <f>IF($B234=1,$D$31,IF(N(Vintage_Input!N184)&gt;0,Vintage_Input!AL184/Vintage_Input!N184,""))</f>
        <v/>
      </c>
      <c r="AE234" s="152">
        <f>IF($B234=1,$E$31,IF(N(Vintage_Input!O184)&gt;0,Vintage_Input!AM184/Vintage_Input!O184,""))</f>
        <v/>
      </c>
      <c r="AF234" s="152">
        <f>IF($B234=1,$F$31,IF(N(Vintage_Input!P184)&gt;0,Vintage_Input!AN184/Vintage_Input!P184,""))</f>
        <v/>
      </c>
      <c r="AG234" s="152">
        <f>IF($B234=1,$G$31,IF(N(Vintage_Input!Q184)&gt;0,Vintage_Input!AO184/Vintage_Input!Q184,""))</f>
        <v/>
      </c>
      <c r="AH234" s="152">
        <f>IF($B234=1,$H$31,IF(N(Vintage_Input!R184)&gt;0,Vintage_Input!AP184/Vintage_Input!R184,""))</f>
        <v/>
      </c>
      <c r="AI234" s="152">
        <f>IF($B234=1,$I$31,IF(N(Vintage_Input!S184)&gt;0,Vintage_Input!AQ184/Vintage_Input!S184,""))</f>
        <v/>
      </c>
      <c r="AJ234" s="152">
        <f>IF($B234=1,$B$32,IF(N(Vintage_Input!L184)&gt;0,IFERROR(Vintage_Input!AR184/Vintage_Input!AJ184,""),""))</f>
        <v/>
      </c>
      <c r="AK234" s="152">
        <f>IF($B234=1,$C$32,IF(N(Vintage_Input!M184)&gt;0,IFERROR(Vintage_Input!AS184/Vintage_Input!AK184,""),""))</f>
        <v/>
      </c>
      <c r="AL234" s="152">
        <f>IF($B234=1,$D$32,IF(N(Vintage_Input!N184)&gt;0,IFERROR(Vintage_Input!AT184/Vintage_Input!AL184,""),""))</f>
        <v/>
      </c>
      <c r="AM234" s="152">
        <f>IF($B234=1,$E$32,IF(N(Vintage_Input!O184)&gt;0,IFERROR(Vintage_Input!AU184/Vintage_Input!AM184,""),""))</f>
        <v/>
      </c>
      <c r="AN234" s="152">
        <f>IF($B234=1,$F$32,IF(N(Vintage_Input!P184)&gt;0,IFERROR(Vintage_Input!AV184/Vintage_Input!AN184,""),""))</f>
        <v/>
      </c>
      <c r="AO234" s="152">
        <f>IF($B234=1,$G$32,IF(N(Vintage_Input!Q184)&gt;0,IFERROR(Vintage_Input!AW184/Vintage_Input!AO184,""),""))</f>
        <v/>
      </c>
      <c r="AP234" s="152">
        <f>IF($B234=1,$H$32,IF(N(Vintage_Input!R184)&gt;0,IFERROR(Vintage_Input!AX184/Vintage_Input!AP184,""),""))</f>
        <v/>
      </c>
      <c r="AQ234" s="152">
        <f>IF($B234=1,$I$32,IF(N(Vintage_Input!S184)&gt;0,IFERROR(Vintage_Input!AY184/Vintage_Input!AQ184,""),""))</f>
        <v/>
      </c>
      <c r="AR234" s="152">
        <f>IF($B234=1,$B$33,IF(N(Vintage_Input!L184)&gt;0,IFERROR(Vintage_Input!AZ184/$C234,""),""))</f>
        <v/>
      </c>
      <c r="AS234" s="152">
        <f>IF($B234=1,$C$33,IF(N(Vintage_Input!M184)&gt;0,IFERROR(Vintage_Input!BA184/$C234,""),""))</f>
        <v/>
      </c>
      <c r="AT234" s="152">
        <f>IF($B234=1,$D$33,IF(N(Vintage_Input!N184)&gt;0,IFERROR(Vintage_Input!BB184/$C234,""),""))</f>
        <v/>
      </c>
      <c r="AU234" s="152">
        <f>IF($B234=1,$E$33,IF(N(Vintage_Input!O184)&gt;0,IFERROR(Vintage_Input!BC184/$C234,""),""))</f>
        <v/>
      </c>
      <c r="AV234" s="152">
        <f>IF($B234=1,$F$33,IF(N(Vintage_Input!P184)&gt;0,IFERROR(Vintage_Input!BD184/$C234,""),""))</f>
        <v/>
      </c>
      <c r="AW234" s="152">
        <f>IF($B234=1,$G$33,IF(N(Vintage_Input!Q184)&gt;0,IFERROR(Vintage_Input!BE184/$C234,""),""))</f>
        <v/>
      </c>
      <c r="AX234" s="152">
        <f>IF($B234=1,$H$33,IF(N(Vintage_Input!R184)&gt;0,IFERROR(Vintage_Input!BF184/$C234,""),""))</f>
        <v/>
      </c>
      <c r="AY234" s="152">
        <f>IF($B234=1,$I$33,IF(N(Vintage_Input!S184)&gt;0,IFERROR(Vintage_Input!BG184/$C234,""),""))</f>
        <v/>
      </c>
      <c r="AZ234" s="153">
        <f>IF($B234=1,$B$34,IF(N(Vintage_Input!L184)&gt;0,IFERROR((Vintage_Input!D184+Vintage_Input!AR184)/$C234+Products!$E$14-(Products!$E$43+Products!$E$19+Products!$E$43*Products!$E$22+Products!$E$44),""),""))</f>
        <v/>
      </c>
      <c r="BA234" s="153">
        <f>IF($B234=1,$C$34,IF(N(Vintage_Input!M184)&gt;0,IFERROR((Vintage_Input!E184+Vintage_Input!AS184)/$C234+Products!$E$14-(Products!$E$43+Products!$E$19+Products!$E$43*Products!$E$22+Products!$E$44),""),""))</f>
        <v/>
      </c>
      <c r="BB234" s="153">
        <f>IF($B234=1,$D$34,IF(N(Vintage_Input!N184)&gt;0,IFERROR((Vintage_Input!F184+Vintage_Input!AT184)/$C234+Products!$E$14-(Products!$E$43+Products!$E$19+Products!$E$43*Products!$E$22+Products!$E$44),""),""))</f>
        <v/>
      </c>
      <c r="BC234" s="153">
        <f>IF($B234=1,$E$34,IF(N(Vintage_Input!O184)&gt;0,IFERROR((Vintage_Input!G184+Vintage_Input!AU184)/$C234+Products!$E$14-(Products!$E$43+Products!$E$19+Products!$E$43*Products!$E$22+Products!$E$44),""),""))</f>
        <v/>
      </c>
      <c r="BD234" s="153">
        <f>IF($B234=1,$F$34,IF(N(Vintage_Input!P184)&gt;0,IFERROR((Vintage_Input!H184+Vintage_Input!AV184)/$C234+Products!$E$14-(Products!$E$43+Products!$E$19+Products!$E$43*Products!$E$22+Products!$E$44),""),""))</f>
        <v/>
      </c>
      <c r="BE234" s="153">
        <f>IF($B234=1,$G$34,IF(N(Vintage_Input!Q184)&gt;0,IFERROR((Vintage_Input!I184+Vintage_Input!AW184)/$C234+Products!$E$14-(Products!$E$43+Products!$E$19+Products!$E$43*Products!$E$22+Products!$E$44),""),""))</f>
        <v/>
      </c>
      <c r="BF234" s="153">
        <f>IF($B234=1,$H$34,IF(N(Vintage_Input!R184)&gt;0,IFERROR((Vintage_Input!J184+Vintage_Input!AX184)/$C234+Products!$E$14-(Products!$E$43+Products!$E$19+Products!$E$43*Products!$E$22+Products!$E$44),""),""))</f>
        <v/>
      </c>
      <c r="BG234" s="153">
        <f>IF($B234=1,$I$34,IF(N(Vintage_Input!S184)&gt;0,IFERROR((Vintage_Input!K184+Vintage_Input!AY184)/$C234+Products!$E$14-(Products!$E$43+Products!$E$19+Products!$E$43*Products!$E$22+Products!$E$44),""),""))</f>
        <v/>
      </c>
      <c r="BH234" s="81">
        <f>IF($B234=1,0,IF(Vintage_Input!$BH$184="","",Vintage_Input!$BH$184))</f>
        <v/>
      </c>
    </row>
    <row r="235">
      <c r="A235" s="23" t="n">
        <v>47</v>
      </c>
      <c r="B235" s="48">
        <f>Vintage_Input!$B$185</f>
        <v/>
      </c>
      <c r="C235" s="41">
        <f>IF(Vintage_Input!$C$185="",0,Vintage_Input!$C$185)</f>
        <v/>
      </c>
      <c r="D235" s="152">
        <f>IF($B235=1,$B$28,IF(N(Vintage_Input!L185)&gt;0,Vintage_Input!D185/Vintage_Input!L185,""))</f>
        <v/>
      </c>
      <c r="E235" s="152">
        <f>IF($B235=1,$C$28,IF(N(Vintage_Input!M185)&gt;0,Vintage_Input!E185/Vintage_Input!M185,""))</f>
        <v/>
      </c>
      <c r="F235" s="152">
        <f>IF($B235=1,$D$28,IF(N(Vintage_Input!N185)&gt;0,Vintage_Input!F185/Vintage_Input!N185,""))</f>
        <v/>
      </c>
      <c r="G235" s="152">
        <f>IF($B235=1,$E$28,IF(N(Vintage_Input!O185)&gt;0,Vintage_Input!G185/Vintage_Input!O185,""))</f>
        <v/>
      </c>
      <c r="H235" s="152">
        <f>IF($B235=1,$F$28,IF(N(Vintage_Input!P185)&gt;0,Vintage_Input!H185/Vintage_Input!P185,""))</f>
        <v/>
      </c>
      <c r="I235" s="152">
        <f>IF($B235=1,$G$28,IF(N(Vintage_Input!Q185)&gt;0,Vintage_Input!I185/Vintage_Input!Q185,""))</f>
        <v/>
      </c>
      <c r="J235" s="152">
        <f>IF($B235=1,$H$28,IF(N(Vintage_Input!R185)&gt;0,Vintage_Input!J185/Vintage_Input!R185,""))</f>
        <v/>
      </c>
      <c r="K235" s="152">
        <f>IF($B235=1,$I$28,IF(N(Vintage_Input!S185)&gt;0,Vintage_Input!K185/Vintage_Input!S185,""))</f>
        <v/>
      </c>
      <c r="L235" s="152">
        <f>IF($B235=1,$B$29,IF(N(Vintage_Input!L185)&gt;0,Vintage_Input!T185/Vintage_Input!L185,""))</f>
        <v/>
      </c>
      <c r="M235" s="152">
        <f>IF($B235=1,$C$29,IF(N(Vintage_Input!M185)&gt;0,Vintage_Input!U185/Vintage_Input!M185,""))</f>
        <v/>
      </c>
      <c r="N235" s="152">
        <f>IF($B235=1,$D$29,IF(N(Vintage_Input!N185)&gt;0,Vintage_Input!V185/Vintage_Input!N185,""))</f>
        <v/>
      </c>
      <c r="O235" s="152">
        <f>IF($B235=1,$E$29,IF(N(Vintage_Input!O185)&gt;0,Vintage_Input!W185/Vintage_Input!O185,""))</f>
        <v/>
      </c>
      <c r="P235" s="152">
        <f>IF($B235=1,$F$29,IF(N(Vintage_Input!P185)&gt;0,Vintage_Input!X185/Vintage_Input!P185,""))</f>
        <v/>
      </c>
      <c r="Q235" s="152">
        <f>IF($B235=1,$G$29,IF(N(Vintage_Input!Q185)&gt;0,Vintage_Input!Y185/Vintage_Input!Q185,""))</f>
        <v/>
      </c>
      <c r="R235" s="152">
        <f>IF($B235=1,$H$29,IF(N(Vintage_Input!R185)&gt;0,Vintage_Input!Z185/Vintage_Input!R185,""))</f>
        <v/>
      </c>
      <c r="S235" s="152">
        <f>IF($B235=1,$I$29,IF(N(Vintage_Input!S185)&gt;0,Vintage_Input!AA185/Vintage_Input!S185,""))</f>
        <v/>
      </c>
      <c r="T235" s="152">
        <f>IF($B235=1,$B$30,IF(N(Vintage_Input!L185)&gt;0,Vintage_Input!AB185/Vintage_Input!L185,""))</f>
        <v/>
      </c>
      <c r="U235" s="152">
        <f>IF($B235=1,$C$30,IF(N(Vintage_Input!M185)&gt;0,Vintage_Input!AC185/Vintage_Input!M185,""))</f>
        <v/>
      </c>
      <c r="V235" s="152">
        <f>IF($B235=1,$D$30,IF(N(Vintage_Input!N185)&gt;0,Vintage_Input!AD185/Vintage_Input!N185,""))</f>
        <v/>
      </c>
      <c r="W235" s="152">
        <f>IF($B235=1,$E$30,IF(N(Vintage_Input!O185)&gt;0,Vintage_Input!AE185/Vintage_Input!O185,""))</f>
        <v/>
      </c>
      <c r="X235" s="152">
        <f>IF($B235=1,$F$30,IF(N(Vintage_Input!P185)&gt;0,Vintage_Input!AF185/Vintage_Input!P185,""))</f>
        <v/>
      </c>
      <c r="Y235" s="152">
        <f>IF($B235=1,$G$30,IF(N(Vintage_Input!Q185)&gt;0,Vintage_Input!AG185/Vintage_Input!Q185,""))</f>
        <v/>
      </c>
      <c r="Z235" s="152">
        <f>IF($B235=1,$H$30,IF(N(Vintage_Input!R185)&gt;0,Vintage_Input!AH185/Vintage_Input!R185,""))</f>
        <v/>
      </c>
      <c r="AA235" s="152">
        <f>IF($B235=1,$I$30,IF(N(Vintage_Input!S185)&gt;0,Vintage_Input!AI185/Vintage_Input!S185,""))</f>
        <v/>
      </c>
      <c r="AB235" s="152">
        <f>IF($B235=1,$B$31,IF(N(Vintage_Input!L185)&gt;0,Vintage_Input!AJ185/Vintage_Input!L185,""))</f>
        <v/>
      </c>
      <c r="AC235" s="152">
        <f>IF($B235=1,$C$31,IF(N(Vintage_Input!M185)&gt;0,Vintage_Input!AK185/Vintage_Input!M185,""))</f>
        <v/>
      </c>
      <c r="AD235" s="152">
        <f>IF($B235=1,$D$31,IF(N(Vintage_Input!N185)&gt;0,Vintage_Input!AL185/Vintage_Input!N185,""))</f>
        <v/>
      </c>
      <c r="AE235" s="152">
        <f>IF($B235=1,$E$31,IF(N(Vintage_Input!O185)&gt;0,Vintage_Input!AM185/Vintage_Input!O185,""))</f>
        <v/>
      </c>
      <c r="AF235" s="152">
        <f>IF($B235=1,$F$31,IF(N(Vintage_Input!P185)&gt;0,Vintage_Input!AN185/Vintage_Input!P185,""))</f>
        <v/>
      </c>
      <c r="AG235" s="152">
        <f>IF($B235=1,$G$31,IF(N(Vintage_Input!Q185)&gt;0,Vintage_Input!AO185/Vintage_Input!Q185,""))</f>
        <v/>
      </c>
      <c r="AH235" s="152">
        <f>IF($B235=1,$H$31,IF(N(Vintage_Input!R185)&gt;0,Vintage_Input!AP185/Vintage_Input!R185,""))</f>
        <v/>
      </c>
      <c r="AI235" s="152">
        <f>IF($B235=1,$I$31,IF(N(Vintage_Input!S185)&gt;0,Vintage_Input!AQ185/Vintage_Input!S185,""))</f>
        <v/>
      </c>
      <c r="AJ235" s="152">
        <f>IF($B235=1,$B$32,IF(N(Vintage_Input!L185)&gt;0,IFERROR(Vintage_Input!AR185/Vintage_Input!AJ185,""),""))</f>
        <v/>
      </c>
      <c r="AK235" s="152">
        <f>IF($B235=1,$C$32,IF(N(Vintage_Input!M185)&gt;0,IFERROR(Vintage_Input!AS185/Vintage_Input!AK185,""),""))</f>
        <v/>
      </c>
      <c r="AL235" s="152">
        <f>IF($B235=1,$D$32,IF(N(Vintage_Input!N185)&gt;0,IFERROR(Vintage_Input!AT185/Vintage_Input!AL185,""),""))</f>
        <v/>
      </c>
      <c r="AM235" s="152">
        <f>IF($B235=1,$E$32,IF(N(Vintage_Input!O185)&gt;0,IFERROR(Vintage_Input!AU185/Vintage_Input!AM185,""),""))</f>
        <v/>
      </c>
      <c r="AN235" s="152">
        <f>IF($B235=1,$F$32,IF(N(Vintage_Input!P185)&gt;0,IFERROR(Vintage_Input!AV185/Vintage_Input!AN185,""),""))</f>
        <v/>
      </c>
      <c r="AO235" s="152">
        <f>IF($B235=1,$G$32,IF(N(Vintage_Input!Q185)&gt;0,IFERROR(Vintage_Input!AW185/Vintage_Input!AO185,""),""))</f>
        <v/>
      </c>
      <c r="AP235" s="152">
        <f>IF($B235=1,$H$32,IF(N(Vintage_Input!R185)&gt;0,IFERROR(Vintage_Input!AX185/Vintage_Input!AP185,""),""))</f>
        <v/>
      </c>
      <c r="AQ235" s="152">
        <f>IF($B235=1,$I$32,IF(N(Vintage_Input!S185)&gt;0,IFERROR(Vintage_Input!AY185/Vintage_Input!AQ185,""),""))</f>
        <v/>
      </c>
      <c r="AR235" s="152">
        <f>IF($B235=1,$B$33,IF(N(Vintage_Input!L185)&gt;0,IFERROR(Vintage_Input!AZ185/$C235,""),""))</f>
        <v/>
      </c>
      <c r="AS235" s="152">
        <f>IF($B235=1,$C$33,IF(N(Vintage_Input!M185)&gt;0,IFERROR(Vintage_Input!BA185/$C235,""),""))</f>
        <v/>
      </c>
      <c r="AT235" s="152">
        <f>IF($B235=1,$D$33,IF(N(Vintage_Input!N185)&gt;0,IFERROR(Vintage_Input!BB185/$C235,""),""))</f>
        <v/>
      </c>
      <c r="AU235" s="152">
        <f>IF($B235=1,$E$33,IF(N(Vintage_Input!O185)&gt;0,IFERROR(Vintage_Input!BC185/$C235,""),""))</f>
        <v/>
      </c>
      <c r="AV235" s="152">
        <f>IF($B235=1,$F$33,IF(N(Vintage_Input!P185)&gt;0,IFERROR(Vintage_Input!BD185/$C235,""),""))</f>
        <v/>
      </c>
      <c r="AW235" s="152">
        <f>IF($B235=1,$G$33,IF(N(Vintage_Input!Q185)&gt;0,IFERROR(Vintage_Input!BE185/$C235,""),""))</f>
        <v/>
      </c>
      <c r="AX235" s="152">
        <f>IF($B235=1,$H$33,IF(N(Vintage_Input!R185)&gt;0,IFERROR(Vintage_Input!BF185/$C235,""),""))</f>
        <v/>
      </c>
      <c r="AY235" s="152">
        <f>IF($B235=1,$I$33,IF(N(Vintage_Input!S185)&gt;0,IFERROR(Vintage_Input!BG185/$C235,""),""))</f>
        <v/>
      </c>
      <c r="AZ235" s="153">
        <f>IF($B235=1,$B$34,IF(N(Vintage_Input!L185)&gt;0,IFERROR((Vintage_Input!D185+Vintage_Input!AR185)/$C235+Products!$E$14-(Products!$E$43+Products!$E$19+Products!$E$43*Products!$E$22+Products!$E$44),""),""))</f>
        <v/>
      </c>
      <c r="BA235" s="153">
        <f>IF($B235=1,$C$34,IF(N(Vintage_Input!M185)&gt;0,IFERROR((Vintage_Input!E185+Vintage_Input!AS185)/$C235+Products!$E$14-(Products!$E$43+Products!$E$19+Products!$E$43*Products!$E$22+Products!$E$44),""),""))</f>
        <v/>
      </c>
      <c r="BB235" s="153">
        <f>IF($B235=1,$D$34,IF(N(Vintage_Input!N185)&gt;0,IFERROR((Vintage_Input!F185+Vintage_Input!AT185)/$C235+Products!$E$14-(Products!$E$43+Products!$E$19+Products!$E$43*Products!$E$22+Products!$E$44),""),""))</f>
        <v/>
      </c>
      <c r="BC235" s="153">
        <f>IF($B235=1,$E$34,IF(N(Vintage_Input!O185)&gt;0,IFERROR((Vintage_Input!G185+Vintage_Input!AU185)/$C235+Products!$E$14-(Products!$E$43+Products!$E$19+Products!$E$43*Products!$E$22+Products!$E$44),""),""))</f>
        <v/>
      </c>
      <c r="BD235" s="153">
        <f>IF($B235=1,$F$34,IF(N(Vintage_Input!P185)&gt;0,IFERROR((Vintage_Input!H185+Vintage_Input!AV185)/$C235+Products!$E$14-(Products!$E$43+Products!$E$19+Products!$E$43*Products!$E$22+Products!$E$44),""),""))</f>
        <v/>
      </c>
      <c r="BE235" s="153">
        <f>IF($B235=1,$G$34,IF(N(Vintage_Input!Q185)&gt;0,IFERROR((Vintage_Input!I185+Vintage_Input!AW185)/$C235+Products!$E$14-(Products!$E$43+Products!$E$19+Products!$E$43*Products!$E$22+Products!$E$44),""),""))</f>
        <v/>
      </c>
      <c r="BF235" s="153">
        <f>IF($B235=1,$H$34,IF(N(Vintage_Input!R185)&gt;0,IFERROR((Vintage_Input!J185+Vintage_Input!AX185)/$C235+Products!$E$14-(Products!$E$43+Products!$E$19+Products!$E$43*Products!$E$22+Products!$E$44),""),""))</f>
        <v/>
      </c>
      <c r="BG235" s="153">
        <f>IF($B235=1,$I$34,IF(N(Vintage_Input!S185)&gt;0,IFERROR((Vintage_Input!K185+Vintage_Input!AY185)/$C235+Products!$E$14-(Products!$E$43+Products!$E$19+Products!$E$43*Products!$E$22+Products!$E$44),""),""))</f>
        <v/>
      </c>
      <c r="BH235" s="81">
        <f>IF($B235=1,0,IF(Vintage_Input!$BH$185="","",Vintage_Input!$BH$185))</f>
        <v/>
      </c>
    </row>
    <row r="236">
      <c r="A236" s="23" t="n">
        <v>48</v>
      </c>
      <c r="B236" s="48">
        <f>Vintage_Input!$B$186</f>
        <v/>
      </c>
      <c r="C236" s="41">
        <f>IF(Vintage_Input!$C$186="",0,Vintage_Input!$C$186)</f>
        <v/>
      </c>
      <c r="D236" s="152">
        <f>IF($B236=1,$B$28,IF(N(Vintage_Input!L186)&gt;0,Vintage_Input!D186/Vintage_Input!L186,""))</f>
        <v/>
      </c>
      <c r="E236" s="152">
        <f>IF($B236=1,$C$28,IF(N(Vintage_Input!M186)&gt;0,Vintage_Input!E186/Vintage_Input!M186,""))</f>
        <v/>
      </c>
      <c r="F236" s="152">
        <f>IF($B236=1,$D$28,IF(N(Vintage_Input!N186)&gt;0,Vintage_Input!F186/Vintage_Input!N186,""))</f>
        <v/>
      </c>
      <c r="G236" s="152">
        <f>IF($B236=1,$E$28,IF(N(Vintage_Input!O186)&gt;0,Vintage_Input!G186/Vintage_Input!O186,""))</f>
        <v/>
      </c>
      <c r="H236" s="152">
        <f>IF($B236=1,$F$28,IF(N(Vintage_Input!P186)&gt;0,Vintage_Input!H186/Vintage_Input!P186,""))</f>
        <v/>
      </c>
      <c r="I236" s="152">
        <f>IF($B236=1,$G$28,IF(N(Vintage_Input!Q186)&gt;0,Vintage_Input!I186/Vintage_Input!Q186,""))</f>
        <v/>
      </c>
      <c r="J236" s="152">
        <f>IF($B236=1,$H$28,IF(N(Vintage_Input!R186)&gt;0,Vintage_Input!J186/Vintage_Input!R186,""))</f>
        <v/>
      </c>
      <c r="K236" s="152">
        <f>IF($B236=1,$I$28,IF(N(Vintage_Input!S186)&gt;0,Vintage_Input!K186/Vintage_Input!S186,""))</f>
        <v/>
      </c>
      <c r="L236" s="152">
        <f>IF($B236=1,$B$29,IF(N(Vintage_Input!L186)&gt;0,Vintage_Input!T186/Vintage_Input!L186,""))</f>
        <v/>
      </c>
      <c r="M236" s="152">
        <f>IF($B236=1,$C$29,IF(N(Vintage_Input!M186)&gt;0,Vintage_Input!U186/Vintage_Input!M186,""))</f>
        <v/>
      </c>
      <c r="N236" s="152">
        <f>IF($B236=1,$D$29,IF(N(Vintage_Input!N186)&gt;0,Vintage_Input!V186/Vintage_Input!N186,""))</f>
        <v/>
      </c>
      <c r="O236" s="152">
        <f>IF($B236=1,$E$29,IF(N(Vintage_Input!O186)&gt;0,Vintage_Input!W186/Vintage_Input!O186,""))</f>
        <v/>
      </c>
      <c r="P236" s="152">
        <f>IF($B236=1,$F$29,IF(N(Vintage_Input!P186)&gt;0,Vintage_Input!X186/Vintage_Input!P186,""))</f>
        <v/>
      </c>
      <c r="Q236" s="152">
        <f>IF($B236=1,$G$29,IF(N(Vintage_Input!Q186)&gt;0,Vintage_Input!Y186/Vintage_Input!Q186,""))</f>
        <v/>
      </c>
      <c r="R236" s="152">
        <f>IF($B236=1,$H$29,IF(N(Vintage_Input!R186)&gt;0,Vintage_Input!Z186/Vintage_Input!R186,""))</f>
        <v/>
      </c>
      <c r="S236" s="152">
        <f>IF($B236=1,$I$29,IF(N(Vintage_Input!S186)&gt;0,Vintage_Input!AA186/Vintage_Input!S186,""))</f>
        <v/>
      </c>
      <c r="T236" s="152">
        <f>IF($B236=1,$B$30,IF(N(Vintage_Input!L186)&gt;0,Vintage_Input!AB186/Vintage_Input!L186,""))</f>
        <v/>
      </c>
      <c r="U236" s="152">
        <f>IF($B236=1,$C$30,IF(N(Vintage_Input!M186)&gt;0,Vintage_Input!AC186/Vintage_Input!M186,""))</f>
        <v/>
      </c>
      <c r="V236" s="152">
        <f>IF($B236=1,$D$30,IF(N(Vintage_Input!N186)&gt;0,Vintage_Input!AD186/Vintage_Input!N186,""))</f>
        <v/>
      </c>
      <c r="W236" s="152">
        <f>IF($B236=1,$E$30,IF(N(Vintage_Input!O186)&gt;0,Vintage_Input!AE186/Vintage_Input!O186,""))</f>
        <v/>
      </c>
      <c r="X236" s="152">
        <f>IF($B236=1,$F$30,IF(N(Vintage_Input!P186)&gt;0,Vintage_Input!AF186/Vintage_Input!P186,""))</f>
        <v/>
      </c>
      <c r="Y236" s="152">
        <f>IF($B236=1,$G$30,IF(N(Vintage_Input!Q186)&gt;0,Vintage_Input!AG186/Vintage_Input!Q186,""))</f>
        <v/>
      </c>
      <c r="Z236" s="152">
        <f>IF($B236=1,$H$30,IF(N(Vintage_Input!R186)&gt;0,Vintage_Input!AH186/Vintage_Input!R186,""))</f>
        <v/>
      </c>
      <c r="AA236" s="152">
        <f>IF($B236=1,$I$30,IF(N(Vintage_Input!S186)&gt;0,Vintage_Input!AI186/Vintage_Input!S186,""))</f>
        <v/>
      </c>
      <c r="AB236" s="152">
        <f>IF($B236=1,$B$31,IF(N(Vintage_Input!L186)&gt;0,Vintage_Input!AJ186/Vintage_Input!L186,""))</f>
        <v/>
      </c>
      <c r="AC236" s="152">
        <f>IF($B236=1,$C$31,IF(N(Vintage_Input!M186)&gt;0,Vintage_Input!AK186/Vintage_Input!M186,""))</f>
        <v/>
      </c>
      <c r="AD236" s="152">
        <f>IF($B236=1,$D$31,IF(N(Vintage_Input!N186)&gt;0,Vintage_Input!AL186/Vintage_Input!N186,""))</f>
        <v/>
      </c>
      <c r="AE236" s="152">
        <f>IF($B236=1,$E$31,IF(N(Vintage_Input!O186)&gt;0,Vintage_Input!AM186/Vintage_Input!O186,""))</f>
        <v/>
      </c>
      <c r="AF236" s="152">
        <f>IF($B236=1,$F$31,IF(N(Vintage_Input!P186)&gt;0,Vintage_Input!AN186/Vintage_Input!P186,""))</f>
        <v/>
      </c>
      <c r="AG236" s="152">
        <f>IF($B236=1,$G$31,IF(N(Vintage_Input!Q186)&gt;0,Vintage_Input!AO186/Vintage_Input!Q186,""))</f>
        <v/>
      </c>
      <c r="AH236" s="152">
        <f>IF($B236=1,$H$31,IF(N(Vintage_Input!R186)&gt;0,Vintage_Input!AP186/Vintage_Input!R186,""))</f>
        <v/>
      </c>
      <c r="AI236" s="152">
        <f>IF($B236=1,$I$31,IF(N(Vintage_Input!S186)&gt;0,Vintage_Input!AQ186/Vintage_Input!S186,""))</f>
        <v/>
      </c>
      <c r="AJ236" s="152">
        <f>IF($B236=1,$B$32,IF(N(Vintage_Input!L186)&gt;0,IFERROR(Vintage_Input!AR186/Vintage_Input!AJ186,""),""))</f>
        <v/>
      </c>
      <c r="AK236" s="152">
        <f>IF($B236=1,$C$32,IF(N(Vintage_Input!M186)&gt;0,IFERROR(Vintage_Input!AS186/Vintage_Input!AK186,""),""))</f>
        <v/>
      </c>
      <c r="AL236" s="152">
        <f>IF($B236=1,$D$32,IF(N(Vintage_Input!N186)&gt;0,IFERROR(Vintage_Input!AT186/Vintage_Input!AL186,""),""))</f>
        <v/>
      </c>
      <c r="AM236" s="152">
        <f>IF($B236=1,$E$32,IF(N(Vintage_Input!O186)&gt;0,IFERROR(Vintage_Input!AU186/Vintage_Input!AM186,""),""))</f>
        <v/>
      </c>
      <c r="AN236" s="152">
        <f>IF($B236=1,$F$32,IF(N(Vintage_Input!P186)&gt;0,IFERROR(Vintage_Input!AV186/Vintage_Input!AN186,""),""))</f>
        <v/>
      </c>
      <c r="AO236" s="152">
        <f>IF($B236=1,$G$32,IF(N(Vintage_Input!Q186)&gt;0,IFERROR(Vintage_Input!AW186/Vintage_Input!AO186,""),""))</f>
        <v/>
      </c>
      <c r="AP236" s="152">
        <f>IF($B236=1,$H$32,IF(N(Vintage_Input!R186)&gt;0,IFERROR(Vintage_Input!AX186/Vintage_Input!AP186,""),""))</f>
        <v/>
      </c>
      <c r="AQ236" s="152">
        <f>IF($B236=1,$I$32,IF(N(Vintage_Input!S186)&gt;0,IFERROR(Vintage_Input!AY186/Vintage_Input!AQ186,""),""))</f>
        <v/>
      </c>
      <c r="AR236" s="152">
        <f>IF($B236=1,$B$33,IF(N(Vintage_Input!L186)&gt;0,IFERROR(Vintage_Input!AZ186/$C236,""),""))</f>
        <v/>
      </c>
      <c r="AS236" s="152">
        <f>IF($B236=1,$C$33,IF(N(Vintage_Input!M186)&gt;0,IFERROR(Vintage_Input!BA186/$C236,""),""))</f>
        <v/>
      </c>
      <c r="AT236" s="152">
        <f>IF($B236=1,$D$33,IF(N(Vintage_Input!N186)&gt;0,IFERROR(Vintage_Input!BB186/$C236,""),""))</f>
        <v/>
      </c>
      <c r="AU236" s="152">
        <f>IF($B236=1,$E$33,IF(N(Vintage_Input!O186)&gt;0,IFERROR(Vintage_Input!BC186/$C236,""),""))</f>
        <v/>
      </c>
      <c r="AV236" s="152">
        <f>IF($B236=1,$F$33,IF(N(Vintage_Input!P186)&gt;0,IFERROR(Vintage_Input!BD186/$C236,""),""))</f>
        <v/>
      </c>
      <c r="AW236" s="152">
        <f>IF($B236=1,$G$33,IF(N(Vintage_Input!Q186)&gt;0,IFERROR(Vintage_Input!BE186/$C236,""),""))</f>
        <v/>
      </c>
      <c r="AX236" s="152">
        <f>IF($B236=1,$H$33,IF(N(Vintage_Input!R186)&gt;0,IFERROR(Vintage_Input!BF186/$C236,""),""))</f>
        <v/>
      </c>
      <c r="AY236" s="152">
        <f>IF($B236=1,$I$33,IF(N(Vintage_Input!S186)&gt;0,IFERROR(Vintage_Input!BG186/$C236,""),""))</f>
        <v/>
      </c>
      <c r="AZ236" s="153">
        <f>IF($B236=1,$B$34,IF(N(Vintage_Input!L186)&gt;0,IFERROR((Vintage_Input!D186+Vintage_Input!AR186)/$C236+Products!$E$14-(Products!$E$43+Products!$E$19+Products!$E$43*Products!$E$22+Products!$E$44),""),""))</f>
        <v/>
      </c>
      <c r="BA236" s="153">
        <f>IF($B236=1,$C$34,IF(N(Vintage_Input!M186)&gt;0,IFERROR((Vintage_Input!E186+Vintage_Input!AS186)/$C236+Products!$E$14-(Products!$E$43+Products!$E$19+Products!$E$43*Products!$E$22+Products!$E$44),""),""))</f>
        <v/>
      </c>
      <c r="BB236" s="153">
        <f>IF($B236=1,$D$34,IF(N(Vintage_Input!N186)&gt;0,IFERROR((Vintage_Input!F186+Vintage_Input!AT186)/$C236+Products!$E$14-(Products!$E$43+Products!$E$19+Products!$E$43*Products!$E$22+Products!$E$44),""),""))</f>
        <v/>
      </c>
      <c r="BC236" s="153">
        <f>IF($B236=1,$E$34,IF(N(Vintage_Input!O186)&gt;0,IFERROR((Vintage_Input!G186+Vintage_Input!AU186)/$C236+Products!$E$14-(Products!$E$43+Products!$E$19+Products!$E$43*Products!$E$22+Products!$E$44),""),""))</f>
        <v/>
      </c>
      <c r="BD236" s="153">
        <f>IF($B236=1,$F$34,IF(N(Vintage_Input!P186)&gt;0,IFERROR((Vintage_Input!H186+Vintage_Input!AV186)/$C236+Products!$E$14-(Products!$E$43+Products!$E$19+Products!$E$43*Products!$E$22+Products!$E$44),""),""))</f>
        <v/>
      </c>
      <c r="BE236" s="153">
        <f>IF($B236=1,$G$34,IF(N(Vintage_Input!Q186)&gt;0,IFERROR((Vintage_Input!I186+Vintage_Input!AW186)/$C236+Products!$E$14-(Products!$E$43+Products!$E$19+Products!$E$43*Products!$E$22+Products!$E$44),""),""))</f>
        <v/>
      </c>
      <c r="BF236" s="153">
        <f>IF($B236=1,$H$34,IF(N(Vintage_Input!R186)&gt;0,IFERROR((Vintage_Input!J186+Vintage_Input!AX186)/$C236+Products!$E$14-(Products!$E$43+Products!$E$19+Products!$E$43*Products!$E$22+Products!$E$44),""),""))</f>
        <v/>
      </c>
      <c r="BG236" s="153">
        <f>IF($B236=1,$I$34,IF(N(Vintage_Input!S186)&gt;0,IFERROR((Vintage_Input!K186+Vintage_Input!AY186)/$C236+Products!$E$14-(Products!$E$43+Products!$E$19+Products!$E$43*Products!$E$22+Products!$E$44),""),""))</f>
        <v/>
      </c>
      <c r="BH236" s="81">
        <f>IF($B236=1,0,IF(Vintage_Input!$BH$186="","",Vintage_Input!$BH$186))</f>
        <v/>
      </c>
    </row>
    <row r="237">
      <c r="A237" s="23" t="n">
        <v>49</v>
      </c>
      <c r="B237" s="48">
        <f>Vintage_Input!$B$187</f>
        <v/>
      </c>
      <c r="C237" s="41">
        <f>IF(Vintage_Input!$C$187="",0,Vintage_Input!$C$187)</f>
        <v/>
      </c>
      <c r="D237" s="152">
        <f>IF($B237=1,$B$28,IF(N(Vintage_Input!L187)&gt;0,Vintage_Input!D187/Vintage_Input!L187,""))</f>
        <v/>
      </c>
      <c r="E237" s="152">
        <f>IF($B237=1,$C$28,IF(N(Vintage_Input!M187)&gt;0,Vintage_Input!E187/Vintage_Input!M187,""))</f>
        <v/>
      </c>
      <c r="F237" s="152">
        <f>IF($B237=1,$D$28,IF(N(Vintage_Input!N187)&gt;0,Vintage_Input!F187/Vintage_Input!N187,""))</f>
        <v/>
      </c>
      <c r="G237" s="152">
        <f>IF($B237=1,$E$28,IF(N(Vintage_Input!O187)&gt;0,Vintage_Input!G187/Vintage_Input!O187,""))</f>
        <v/>
      </c>
      <c r="H237" s="152">
        <f>IF($B237=1,$F$28,IF(N(Vintage_Input!P187)&gt;0,Vintage_Input!H187/Vintage_Input!P187,""))</f>
        <v/>
      </c>
      <c r="I237" s="152">
        <f>IF($B237=1,$G$28,IF(N(Vintage_Input!Q187)&gt;0,Vintage_Input!I187/Vintage_Input!Q187,""))</f>
        <v/>
      </c>
      <c r="J237" s="152">
        <f>IF($B237=1,$H$28,IF(N(Vintage_Input!R187)&gt;0,Vintage_Input!J187/Vintage_Input!R187,""))</f>
        <v/>
      </c>
      <c r="K237" s="152">
        <f>IF($B237=1,$I$28,IF(N(Vintage_Input!S187)&gt;0,Vintage_Input!K187/Vintage_Input!S187,""))</f>
        <v/>
      </c>
      <c r="L237" s="152">
        <f>IF($B237=1,$B$29,IF(N(Vintage_Input!L187)&gt;0,Vintage_Input!T187/Vintage_Input!L187,""))</f>
        <v/>
      </c>
      <c r="M237" s="152">
        <f>IF($B237=1,$C$29,IF(N(Vintage_Input!M187)&gt;0,Vintage_Input!U187/Vintage_Input!M187,""))</f>
        <v/>
      </c>
      <c r="N237" s="152">
        <f>IF($B237=1,$D$29,IF(N(Vintage_Input!N187)&gt;0,Vintage_Input!V187/Vintage_Input!N187,""))</f>
        <v/>
      </c>
      <c r="O237" s="152">
        <f>IF($B237=1,$E$29,IF(N(Vintage_Input!O187)&gt;0,Vintage_Input!W187/Vintage_Input!O187,""))</f>
        <v/>
      </c>
      <c r="P237" s="152">
        <f>IF($B237=1,$F$29,IF(N(Vintage_Input!P187)&gt;0,Vintage_Input!X187/Vintage_Input!P187,""))</f>
        <v/>
      </c>
      <c r="Q237" s="152">
        <f>IF($B237=1,$G$29,IF(N(Vintage_Input!Q187)&gt;0,Vintage_Input!Y187/Vintage_Input!Q187,""))</f>
        <v/>
      </c>
      <c r="R237" s="152">
        <f>IF($B237=1,$H$29,IF(N(Vintage_Input!R187)&gt;0,Vintage_Input!Z187/Vintage_Input!R187,""))</f>
        <v/>
      </c>
      <c r="S237" s="152">
        <f>IF($B237=1,$I$29,IF(N(Vintage_Input!S187)&gt;0,Vintage_Input!AA187/Vintage_Input!S187,""))</f>
        <v/>
      </c>
      <c r="T237" s="152">
        <f>IF($B237=1,$B$30,IF(N(Vintage_Input!L187)&gt;0,Vintage_Input!AB187/Vintage_Input!L187,""))</f>
        <v/>
      </c>
      <c r="U237" s="152">
        <f>IF($B237=1,$C$30,IF(N(Vintage_Input!M187)&gt;0,Vintage_Input!AC187/Vintage_Input!M187,""))</f>
        <v/>
      </c>
      <c r="V237" s="152">
        <f>IF($B237=1,$D$30,IF(N(Vintage_Input!N187)&gt;0,Vintage_Input!AD187/Vintage_Input!N187,""))</f>
        <v/>
      </c>
      <c r="W237" s="152">
        <f>IF($B237=1,$E$30,IF(N(Vintage_Input!O187)&gt;0,Vintage_Input!AE187/Vintage_Input!O187,""))</f>
        <v/>
      </c>
      <c r="X237" s="152">
        <f>IF($B237=1,$F$30,IF(N(Vintage_Input!P187)&gt;0,Vintage_Input!AF187/Vintage_Input!P187,""))</f>
        <v/>
      </c>
      <c r="Y237" s="152">
        <f>IF($B237=1,$G$30,IF(N(Vintage_Input!Q187)&gt;0,Vintage_Input!AG187/Vintage_Input!Q187,""))</f>
        <v/>
      </c>
      <c r="Z237" s="152">
        <f>IF($B237=1,$H$30,IF(N(Vintage_Input!R187)&gt;0,Vintage_Input!AH187/Vintage_Input!R187,""))</f>
        <v/>
      </c>
      <c r="AA237" s="152">
        <f>IF($B237=1,$I$30,IF(N(Vintage_Input!S187)&gt;0,Vintage_Input!AI187/Vintage_Input!S187,""))</f>
        <v/>
      </c>
      <c r="AB237" s="152">
        <f>IF($B237=1,$B$31,IF(N(Vintage_Input!L187)&gt;0,Vintage_Input!AJ187/Vintage_Input!L187,""))</f>
        <v/>
      </c>
      <c r="AC237" s="152">
        <f>IF($B237=1,$C$31,IF(N(Vintage_Input!M187)&gt;0,Vintage_Input!AK187/Vintage_Input!M187,""))</f>
        <v/>
      </c>
      <c r="AD237" s="152">
        <f>IF($B237=1,$D$31,IF(N(Vintage_Input!N187)&gt;0,Vintage_Input!AL187/Vintage_Input!N187,""))</f>
        <v/>
      </c>
      <c r="AE237" s="152">
        <f>IF($B237=1,$E$31,IF(N(Vintage_Input!O187)&gt;0,Vintage_Input!AM187/Vintage_Input!O187,""))</f>
        <v/>
      </c>
      <c r="AF237" s="152">
        <f>IF($B237=1,$F$31,IF(N(Vintage_Input!P187)&gt;0,Vintage_Input!AN187/Vintage_Input!P187,""))</f>
        <v/>
      </c>
      <c r="AG237" s="152">
        <f>IF($B237=1,$G$31,IF(N(Vintage_Input!Q187)&gt;0,Vintage_Input!AO187/Vintage_Input!Q187,""))</f>
        <v/>
      </c>
      <c r="AH237" s="152">
        <f>IF($B237=1,$H$31,IF(N(Vintage_Input!R187)&gt;0,Vintage_Input!AP187/Vintage_Input!R187,""))</f>
        <v/>
      </c>
      <c r="AI237" s="152">
        <f>IF($B237=1,$I$31,IF(N(Vintage_Input!S187)&gt;0,Vintage_Input!AQ187/Vintage_Input!S187,""))</f>
        <v/>
      </c>
      <c r="AJ237" s="152">
        <f>IF($B237=1,$B$32,IF(N(Vintage_Input!L187)&gt;0,IFERROR(Vintage_Input!AR187/Vintage_Input!AJ187,""),""))</f>
        <v/>
      </c>
      <c r="AK237" s="152">
        <f>IF($B237=1,$C$32,IF(N(Vintage_Input!M187)&gt;0,IFERROR(Vintage_Input!AS187/Vintage_Input!AK187,""),""))</f>
        <v/>
      </c>
      <c r="AL237" s="152">
        <f>IF($B237=1,$D$32,IF(N(Vintage_Input!N187)&gt;0,IFERROR(Vintage_Input!AT187/Vintage_Input!AL187,""),""))</f>
        <v/>
      </c>
      <c r="AM237" s="152">
        <f>IF($B237=1,$E$32,IF(N(Vintage_Input!O187)&gt;0,IFERROR(Vintage_Input!AU187/Vintage_Input!AM187,""),""))</f>
        <v/>
      </c>
      <c r="AN237" s="152">
        <f>IF($B237=1,$F$32,IF(N(Vintage_Input!P187)&gt;0,IFERROR(Vintage_Input!AV187/Vintage_Input!AN187,""),""))</f>
        <v/>
      </c>
      <c r="AO237" s="152">
        <f>IF($B237=1,$G$32,IF(N(Vintage_Input!Q187)&gt;0,IFERROR(Vintage_Input!AW187/Vintage_Input!AO187,""),""))</f>
        <v/>
      </c>
      <c r="AP237" s="152">
        <f>IF($B237=1,$H$32,IF(N(Vintage_Input!R187)&gt;0,IFERROR(Vintage_Input!AX187/Vintage_Input!AP187,""),""))</f>
        <v/>
      </c>
      <c r="AQ237" s="152">
        <f>IF($B237=1,$I$32,IF(N(Vintage_Input!S187)&gt;0,IFERROR(Vintage_Input!AY187/Vintage_Input!AQ187,""),""))</f>
        <v/>
      </c>
      <c r="AR237" s="152">
        <f>IF($B237=1,$B$33,IF(N(Vintage_Input!L187)&gt;0,IFERROR(Vintage_Input!AZ187/$C237,""),""))</f>
        <v/>
      </c>
      <c r="AS237" s="152">
        <f>IF($B237=1,$C$33,IF(N(Vintage_Input!M187)&gt;0,IFERROR(Vintage_Input!BA187/$C237,""),""))</f>
        <v/>
      </c>
      <c r="AT237" s="152">
        <f>IF($B237=1,$D$33,IF(N(Vintage_Input!N187)&gt;0,IFERROR(Vintage_Input!BB187/$C237,""),""))</f>
        <v/>
      </c>
      <c r="AU237" s="152">
        <f>IF($B237=1,$E$33,IF(N(Vintage_Input!O187)&gt;0,IFERROR(Vintage_Input!BC187/$C237,""),""))</f>
        <v/>
      </c>
      <c r="AV237" s="152">
        <f>IF($B237=1,$F$33,IF(N(Vintage_Input!P187)&gt;0,IFERROR(Vintage_Input!BD187/$C237,""),""))</f>
        <v/>
      </c>
      <c r="AW237" s="152">
        <f>IF($B237=1,$G$33,IF(N(Vintage_Input!Q187)&gt;0,IFERROR(Vintage_Input!BE187/$C237,""),""))</f>
        <v/>
      </c>
      <c r="AX237" s="152">
        <f>IF($B237=1,$H$33,IF(N(Vintage_Input!R187)&gt;0,IFERROR(Vintage_Input!BF187/$C237,""),""))</f>
        <v/>
      </c>
      <c r="AY237" s="152">
        <f>IF($B237=1,$I$33,IF(N(Vintage_Input!S187)&gt;0,IFERROR(Vintage_Input!BG187/$C237,""),""))</f>
        <v/>
      </c>
      <c r="AZ237" s="153">
        <f>IF($B237=1,$B$34,IF(N(Vintage_Input!L187)&gt;0,IFERROR((Vintage_Input!D187+Vintage_Input!AR187)/$C237+Products!$E$14-(Products!$E$43+Products!$E$19+Products!$E$43*Products!$E$22+Products!$E$44),""),""))</f>
        <v/>
      </c>
      <c r="BA237" s="153">
        <f>IF($B237=1,$C$34,IF(N(Vintage_Input!M187)&gt;0,IFERROR((Vintage_Input!E187+Vintage_Input!AS187)/$C237+Products!$E$14-(Products!$E$43+Products!$E$19+Products!$E$43*Products!$E$22+Products!$E$44),""),""))</f>
        <v/>
      </c>
      <c r="BB237" s="153">
        <f>IF($B237=1,$D$34,IF(N(Vintage_Input!N187)&gt;0,IFERROR((Vintage_Input!F187+Vintage_Input!AT187)/$C237+Products!$E$14-(Products!$E$43+Products!$E$19+Products!$E$43*Products!$E$22+Products!$E$44),""),""))</f>
        <v/>
      </c>
      <c r="BC237" s="153">
        <f>IF($B237=1,$E$34,IF(N(Vintage_Input!O187)&gt;0,IFERROR((Vintage_Input!G187+Vintage_Input!AU187)/$C237+Products!$E$14-(Products!$E$43+Products!$E$19+Products!$E$43*Products!$E$22+Products!$E$44),""),""))</f>
        <v/>
      </c>
      <c r="BD237" s="153">
        <f>IF($B237=1,$F$34,IF(N(Vintage_Input!P187)&gt;0,IFERROR((Vintage_Input!H187+Vintage_Input!AV187)/$C237+Products!$E$14-(Products!$E$43+Products!$E$19+Products!$E$43*Products!$E$22+Products!$E$44),""),""))</f>
        <v/>
      </c>
      <c r="BE237" s="153">
        <f>IF($B237=1,$G$34,IF(N(Vintage_Input!Q187)&gt;0,IFERROR((Vintage_Input!I187+Vintage_Input!AW187)/$C237+Products!$E$14-(Products!$E$43+Products!$E$19+Products!$E$43*Products!$E$22+Products!$E$44),""),""))</f>
        <v/>
      </c>
      <c r="BF237" s="153">
        <f>IF($B237=1,$H$34,IF(N(Vintage_Input!R187)&gt;0,IFERROR((Vintage_Input!J187+Vintage_Input!AX187)/$C237+Products!$E$14-(Products!$E$43+Products!$E$19+Products!$E$43*Products!$E$22+Products!$E$44),""),""))</f>
        <v/>
      </c>
      <c r="BG237" s="153">
        <f>IF($B237=1,$I$34,IF(N(Vintage_Input!S187)&gt;0,IFERROR((Vintage_Input!K187+Vintage_Input!AY187)/$C237+Products!$E$14-(Products!$E$43+Products!$E$19+Products!$E$43*Products!$E$22+Products!$E$44),""),""))</f>
        <v/>
      </c>
      <c r="BH237" s="81">
        <f>IF($B237=1,0,IF(Vintage_Input!$BH$187="","",Vintage_Input!$BH$187))</f>
        <v/>
      </c>
    </row>
    <row r="238">
      <c r="A238" s="23" t="n">
        <v>50</v>
      </c>
      <c r="B238" s="48">
        <f>Vintage_Input!$B$188</f>
        <v/>
      </c>
      <c r="C238" s="41">
        <f>IF(Vintage_Input!$C$188="",0,Vintage_Input!$C$188)</f>
        <v/>
      </c>
      <c r="D238" s="152">
        <f>IF($B238=1,$B$28,IF(N(Vintage_Input!L188)&gt;0,Vintage_Input!D188/Vintage_Input!L188,""))</f>
        <v/>
      </c>
      <c r="E238" s="152">
        <f>IF($B238=1,$C$28,IF(N(Vintage_Input!M188)&gt;0,Vintage_Input!E188/Vintage_Input!M188,""))</f>
        <v/>
      </c>
      <c r="F238" s="152">
        <f>IF($B238=1,$D$28,IF(N(Vintage_Input!N188)&gt;0,Vintage_Input!F188/Vintage_Input!N188,""))</f>
        <v/>
      </c>
      <c r="G238" s="152">
        <f>IF($B238=1,$E$28,IF(N(Vintage_Input!O188)&gt;0,Vintage_Input!G188/Vintage_Input!O188,""))</f>
        <v/>
      </c>
      <c r="H238" s="152">
        <f>IF($B238=1,$F$28,IF(N(Vintage_Input!P188)&gt;0,Vintage_Input!H188/Vintage_Input!P188,""))</f>
        <v/>
      </c>
      <c r="I238" s="152">
        <f>IF($B238=1,$G$28,IF(N(Vintage_Input!Q188)&gt;0,Vintage_Input!I188/Vintage_Input!Q188,""))</f>
        <v/>
      </c>
      <c r="J238" s="152">
        <f>IF($B238=1,$H$28,IF(N(Vintage_Input!R188)&gt;0,Vintage_Input!J188/Vintage_Input!R188,""))</f>
        <v/>
      </c>
      <c r="K238" s="152">
        <f>IF($B238=1,$I$28,IF(N(Vintage_Input!S188)&gt;0,Vintage_Input!K188/Vintage_Input!S188,""))</f>
        <v/>
      </c>
      <c r="L238" s="152">
        <f>IF($B238=1,$B$29,IF(N(Vintage_Input!L188)&gt;0,Vintage_Input!T188/Vintage_Input!L188,""))</f>
        <v/>
      </c>
      <c r="M238" s="152">
        <f>IF($B238=1,$C$29,IF(N(Vintage_Input!M188)&gt;0,Vintage_Input!U188/Vintage_Input!M188,""))</f>
        <v/>
      </c>
      <c r="N238" s="152">
        <f>IF($B238=1,$D$29,IF(N(Vintage_Input!N188)&gt;0,Vintage_Input!V188/Vintage_Input!N188,""))</f>
        <v/>
      </c>
      <c r="O238" s="152">
        <f>IF($B238=1,$E$29,IF(N(Vintage_Input!O188)&gt;0,Vintage_Input!W188/Vintage_Input!O188,""))</f>
        <v/>
      </c>
      <c r="P238" s="152">
        <f>IF($B238=1,$F$29,IF(N(Vintage_Input!P188)&gt;0,Vintage_Input!X188/Vintage_Input!P188,""))</f>
        <v/>
      </c>
      <c r="Q238" s="152">
        <f>IF($B238=1,$G$29,IF(N(Vintage_Input!Q188)&gt;0,Vintage_Input!Y188/Vintage_Input!Q188,""))</f>
        <v/>
      </c>
      <c r="R238" s="152">
        <f>IF($B238=1,$H$29,IF(N(Vintage_Input!R188)&gt;0,Vintage_Input!Z188/Vintage_Input!R188,""))</f>
        <v/>
      </c>
      <c r="S238" s="152">
        <f>IF($B238=1,$I$29,IF(N(Vintage_Input!S188)&gt;0,Vintage_Input!AA188/Vintage_Input!S188,""))</f>
        <v/>
      </c>
      <c r="T238" s="152">
        <f>IF($B238=1,$B$30,IF(N(Vintage_Input!L188)&gt;0,Vintage_Input!AB188/Vintage_Input!L188,""))</f>
        <v/>
      </c>
      <c r="U238" s="152">
        <f>IF($B238=1,$C$30,IF(N(Vintage_Input!M188)&gt;0,Vintage_Input!AC188/Vintage_Input!M188,""))</f>
        <v/>
      </c>
      <c r="V238" s="152">
        <f>IF($B238=1,$D$30,IF(N(Vintage_Input!N188)&gt;0,Vintage_Input!AD188/Vintage_Input!N188,""))</f>
        <v/>
      </c>
      <c r="W238" s="152">
        <f>IF($B238=1,$E$30,IF(N(Vintage_Input!O188)&gt;0,Vintage_Input!AE188/Vintage_Input!O188,""))</f>
        <v/>
      </c>
      <c r="X238" s="152">
        <f>IF($B238=1,$F$30,IF(N(Vintage_Input!P188)&gt;0,Vintage_Input!AF188/Vintage_Input!P188,""))</f>
        <v/>
      </c>
      <c r="Y238" s="152">
        <f>IF($B238=1,$G$30,IF(N(Vintage_Input!Q188)&gt;0,Vintage_Input!AG188/Vintage_Input!Q188,""))</f>
        <v/>
      </c>
      <c r="Z238" s="152">
        <f>IF($B238=1,$H$30,IF(N(Vintage_Input!R188)&gt;0,Vintage_Input!AH188/Vintage_Input!R188,""))</f>
        <v/>
      </c>
      <c r="AA238" s="152">
        <f>IF($B238=1,$I$30,IF(N(Vintage_Input!S188)&gt;0,Vintage_Input!AI188/Vintage_Input!S188,""))</f>
        <v/>
      </c>
      <c r="AB238" s="152">
        <f>IF($B238=1,$B$31,IF(N(Vintage_Input!L188)&gt;0,Vintage_Input!AJ188/Vintage_Input!L188,""))</f>
        <v/>
      </c>
      <c r="AC238" s="152">
        <f>IF($B238=1,$C$31,IF(N(Vintage_Input!M188)&gt;0,Vintage_Input!AK188/Vintage_Input!M188,""))</f>
        <v/>
      </c>
      <c r="AD238" s="152">
        <f>IF($B238=1,$D$31,IF(N(Vintage_Input!N188)&gt;0,Vintage_Input!AL188/Vintage_Input!N188,""))</f>
        <v/>
      </c>
      <c r="AE238" s="152">
        <f>IF($B238=1,$E$31,IF(N(Vintage_Input!O188)&gt;0,Vintage_Input!AM188/Vintage_Input!O188,""))</f>
        <v/>
      </c>
      <c r="AF238" s="152">
        <f>IF($B238=1,$F$31,IF(N(Vintage_Input!P188)&gt;0,Vintage_Input!AN188/Vintage_Input!P188,""))</f>
        <v/>
      </c>
      <c r="AG238" s="152">
        <f>IF($B238=1,$G$31,IF(N(Vintage_Input!Q188)&gt;0,Vintage_Input!AO188/Vintage_Input!Q188,""))</f>
        <v/>
      </c>
      <c r="AH238" s="152">
        <f>IF($B238=1,$H$31,IF(N(Vintage_Input!R188)&gt;0,Vintage_Input!AP188/Vintage_Input!R188,""))</f>
        <v/>
      </c>
      <c r="AI238" s="152">
        <f>IF($B238=1,$I$31,IF(N(Vintage_Input!S188)&gt;0,Vintage_Input!AQ188/Vintage_Input!S188,""))</f>
        <v/>
      </c>
      <c r="AJ238" s="152">
        <f>IF($B238=1,$B$32,IF(N(Vintage_Input!L188)&gt;0,IFERROR(Vintage_Input!AR188/Vintage_Input!AJ188,""),""))</f>
        <v/>
      </c>
      <c r="AK238" s="152">
        <f>IF($B238=1,$C$32,IF(N(Vintage_Input!M188)&gt;0,IFERROR(Vintage_Input!AS188/Vintage_Input!AK188,""),""))</f>
        <v/>
      </c>
      <c r="AL238" s="152">
        <f>IF($B238=1,$D$32,IF(N(Vintage_Input!N188)&gt;0,IFERROR(Vintage_Input!AT188/Vintage_Input!AL188,""),""))</f>
        <v/>
      </c>
      <c r="AM238" s="152">
        <f>IF($B238=1,$E$32,IF(N(Vintage_Input!O188)&gt;0,IFERROR(Vintage_Input!AU188/Vintage_Input!AM188,""),""))</f>
        <v/>
      </c>
      <c r="AN238" s="152">
        <f>IF($B238=1,$F$32,IF(N(Vintage_Input!P188)&gt;0,IFERROR(Vintage_Input!AV188/Vintage_Input!AN188,""),""))</f>
        <v/>
      </c>
      <c r="AO238" s="152">
        <f>IF($B238=1,$G$32,IF(N(Vintage_Input!Q188)&gt;0,IFERROR(Vintage_Input!AW188/Vintage_Input!AO188,""),""))</f>
        <v/>
      </c>
      <c r="AP238" s="152">
        <f>IF($B238=1,$H$32,IF(N(Vintage_Input!R188)&gt;0,IFERROR(Vintage_Input!AX188/Vintage_Input!AP188,""),""))</f>
        <v/>
      </c>
      <c r="AQ238" s="152">
        <f>IF($B238=1,$I$32,IF(N(Vintage_Input!S188)&gt;0,IFERROR(Vintage_Input!AY188/Vintage_Input!AQ188,""),""))</f>
        <v/>
      </c>
      <c r="AR238" s="152">
        <f>IF($B238=1,$B$33,IF(N(Vintage_Input!L188)&gt;0,IFERROR(Vintage_Input!AZ188/$C238,""),""))</f>
        <v/>
      </c>
      <c r="AS238" s="152">
        <f>IF($B238=1,$C$33,IF(N(Vintage_Input!M188)&gt;0,IFERROR(Vintage_Input!BA188/$C238,""),""))</f>
        <v/>
      </c>
      <c r="AT238" s="152">
        <f>IF($B238=1,$D$33,IF(N(Vintage_Input!N188)&gt;0,IFERROR(Vintage_Input!BB188/$C238,""),""))</f>
        <v/>
      </c>
      <c r="AU238" s="152">
        <f>IF($B238=1,$E$33,IF(N(Vintage_Input!O188)&gt;0,IFERROR(Vintage_Input!BC188/$C238,""),""))</f>
        <v/>
      </c>
      <c r="AV238" s="152">
        <f>IF($B238=1,$F$33,IF(N(Vintage_Input!P188)&gt;0,IFERROR(Vintage_Input!BD188/$C238,""),""))</f>
        <v/>
      </c>
      <c r="AW238" s="152">
        <f>IF($B238=1,$G$33,IF(N(Vintage_Input!Q188)&gt;0,IFERROR(Vintage_Input!BE188/$C238,""),""))</f>
        <v/>
      </c>
      <c r="AX238" s="152">
        <f>IF($B238=1,$H$33,IF(N(Vintage_Input!R188)&gt;0,IFERROR(Vintage_Input!BF188/$C238,""),""))</f>
        <v/>
      </c>
      <c r="AY238" s="152">
        <f>IF($B238=1,$I$33,IF(N(Vintage_Input!S188)&gt;0,IFERROR(Vintage_Input!BG188/$C238,""),""))</f>
        <v/>
      </c>
      <c r="AZ238" s="153">
        <f>IF($B238=1,$B$34,IF(N(Vintage_Input!L188)&gt;0,IFERROR((Vintage_Input!D188+Vintage_Input!AR188)/$C238+Products!$E$14-(Products!$E$43+Products!$E$19+Products!$E$43*Products!$E$22+Products!$E$44),""),""))</f>
        <v/>
      </c>
      <c r="BA238" s="153">
        <f>IF($B238=1,$C$34,IF(N(Vintage_Input!M188)&gt;0,IFERROR((Vintage_Input!E188+Vintage_Input!AS188)/$C238+Products!$E$14-(Products!$E$43+Products!$E$19+Products!$E$43*Products!$E$22+Products!$E$44),""),""))</f>
        <v/>
      </c>
      <c r="BB238" s="153">
        <f>IF($B238=1,$D$34,IF(N(Vintage_Input!N188)&gt;0,IFERROR((Vintage_Input!F188+Vintage_Input!AT188)/$C238+Products!$E$14-(Products!$E$43+Products!$E$19+Products!$E$43*Products!$E$22+Products!$E$44),""),""))</f>
        <v/>
      </c>
      <c r="BC238" s="153">
        <f>IF($B238=1,$E$34,IF(N(Vintage_Input!O188)&gt;0,IFERROR((Vintage_Input!G188+Vintage_Input!AU188)/$C238+Products!$E$14-(Products!$E$43+Products!$E$19+Products!$E$43*Products!$E$22+Products!$E$44),""),""))</f>
        <v/>
      </c>
      <c r="BD238" s="153">
        <f>IF($B238=1,$F$34,IF(N(Vintage_Input!P188)&gt;0,IFERROR((Vintage_Input!H188+Vintage_Input!AV188)/$C238+Products!$E$14-(Products!$E$43+Products!$E$19+Products!$E$43*Products!$E$22+Products!$E$44),""),""))</f>
        <v/>
      </c>
      <c r="BE238" s="153">
        <f>IF($B238=1,$G$34,IF(N(Vintage_Input!Q188)&gt;0,IFERROR((Vintage_Input!I188+Vintage_Input!AW188)/$C238+Products!$E$14-(Products!$E$43+Products!$E$19+Products!$E$43*Products!$E$22+Products!$E$44),""),""))</f>
        <v/>
      </c>
      <c r="BF238" s="153">
        <f>IF($B238=1,$H$34,IF(N(Vintage_Input!R188)&gt;0,IFERROR((Vintage_Input!J188+Vintage_Input!AX188)/$C238+Products!$E$14-(Products!$E$43+Products!$E$19+Products!$E$43*Products!$E$22+Products!$E$44),""),""))</f>
        <v/>
      </c>
      <c r="BG238" s="153">
        <f>IF($B238=1,$I$34,IF(N(Vintage_Input!S188)&gt;0,IFERROR((Vintage_Input!K188+Vintage_Input!AY188)/$C238+Products!$E$14-(Products!$E$43+Products!$E$19+Products!$E$43*Products!$E$22+Products!$E$44),""),""))</f>
        <v/>
      </c>
      <c r="BH238" s="81">
        <f>IF($B238=1,0,IF(Vintage_Input!$BH$188="","",Vintage_Input!$BH$188))</f>
        <v/>
      </c>
    </row>
    <row r="239">
      <c r="A239" s="23" t="n">
        <v>51</v>
      </c>
      <c r="B239" s="48">
        <f>Vintage_Input!$B$189</f>
        <v/>
      </c>
      <c r="C239" s="41">
        <f>IF(Vintage_Input!$C$189="",0,Vintage_Input!$C$189)</f>
        <v/>
      </c>
      <c r="D239" s="152">
        <f>IF($B239=1,$B$28,IF(N(Vintage_Input!L189)&gt;0,Vintage_Input!D189/Vintage_Input!L189,""))</f>
        <v/>
      </c>
      <c r="E239" s="152">
        <f>IF($B239=1,$C$28,IF(N(Vintage_Input!M189)&gt;0,Vintage_Input!E189/Vintage_Input!M189,""))</f>
        <v/>
      </c>
      <c r="F239" s="152">
        <f>IF($B239=1,$D$28,IF(N(Vintage_Input!N189)&gt;0,Vintage_Input!F189/Vintage_Input!N189,""))</f>
        <v/>
      </c>
      <c r="G239" s="152">
        <f>IF($B239=1,$E$28,IF(N(Vintage_Input!O189)&gt;0,Vintage_Input!G189/Vintage_Input!O189,""))</f>
        <v/>
      </c>
      <c r="H239" s="152">
        <f>IF($B239=1,$F$28,IF(N(Vintage_Input!P189)&gt;0,Vintage_Input!H189/Vintage_Input!P189,""))</f>
        <v/>
      </c>
      <c r="I239" s="152">
        <f>IF($B239=1,$G$28,IF(N(Vintage_Input!Q189)&gt;0,Vintage_Input!I189/Vintage_Input!Q189,""))</f>
        <v/>
      </c>
      <c r="J239" s="152">
        <f>IF($B239=1,$H$28,IF(N(Vintage_Input!R189)&gt;0,Vintage_Input!J189/Vintage_Input!R189,""))</f>
        <v/>
      </c>
      <c r="K239" s="152">
        <f>IF($B239=1,$I$28,IF(N(Vintage_Input!S189)&gt;0,Vintage_Input!K189/Vintage_Input!S189,""))</f>
        <v/>
      </c>
      <c r="L239" s="152">
        <f>IF($B239=1,$B$29,IF(N(Vintage_Input!L189)&gt;0,Vintage_Input!T189/Vintage_Input!L189,""))</f>
        <v/>
      </c>
      <c r="M239" s="152">
        <f>IF($B239=1,$C$29,IF(N(Vintage_Input!M189)&gt;0,Vintage_Input!U189/Vintage_Input!M189,""))</f>
        <v/>
      </c>
      <c r="N239" s="152">
        <f>IF($B239=1,$D$29,IF(N(Vintage_Input!N189)&gt;0,Vintage_Input!V189/Vintage_Input!N189,""))</f>
        <v/>
      </c>
      <c r="O239" s="152">
        <f>IF($B239=1,$E$29,IF(N(Vintage_Input!O189)&gt;0,Vintage_Input!W189/Vintage_Input!O189,""))</f>
        <v/>
      </c>
      <c r="P239" s="152">
        <f>IF($B239=1,$F$29,IF(N(Vintage_Input!P189)&gt;0,Vintage_Input!X189/Vintage_Input!P189,""))</f>
        <v/>
      </c>
      <c r="Q239" s="152">
        <f>IF($B239=1,$G$29,IF(N(Vintage_Input!Q189)&gt;0,Vintage_Input!Y189/Vintage_Input!Q189,""))</f>
        <v/>
      </c>
      <c r="R239" s="152">
        <f>IF($B239=1,$H$29,IF(N(Vintage_Input!R189)&gt;0,Vintage_Input!Z189/Vintage_Input!R189,""))</f>
        <v/>
      </c>
      <c r="S239" s="152">
        <f>IF($B239=1,$I$29,IF(N(Vintage_Input!S189)&gt;0,Vintage_Input!AA189/Vintage_Input!S189,""))</f>
        <v/>
      </c>
      <c r="T239" s="152">
        <f>IF($B239=1,$B$30,IF(N(Vintage_Input!L189)&gt;0,Vintage_Input!AB189/Vintage_Input!L189,""))</f>
        <v/>
      </c>
      <c r="U239" s="152">
        <f>IF($B239=1,$C$30,IF(N(Vintage_Input!M189)&gt;0,Vintage_Input!AC189/Vintage_Input!M189,""))</f>
        <v/>
      </c>
      <c r="V239" s="152">
        <f>IF($B239=1,$D$30,IF(N(Vintage_Input!N189)&gt;0,Vintage_Input!AD189/Vintage_Input!N189,""))</f>
        <v/>
      </c>
      <c r="W239" s="152">
        <f>IF($B239=1,$E$30,IF(N(Vintage_Input!O189)&gt;0,Vintage_Input!AE189/Vintage_Input!O189,""))</f>
        <v/>
      </c>
      <c r="X239" s="152">
        <f>IF($B239=1,$F$30,IF(N(Vintage_Input!P189)&gt;0,Vintage_Input!AF189/Vintage_Input!P189,""))</f>
        <v/>
      </c>
      <c r="Y239" s="152">
        <f>IF($B239=1,$G$30,IF(N(Vintage_Input!Q189)&gt;0,Vintage_Input!AG189/Vintage_Input!Q189,""))</f>
        <v/>
      </c>
      <c r="Z239" s="152">
        <f>IF($B239=1,$H$30,IF(N(Vintage_Input!R189)&gt;0,Vintage_Input!AH189/Vintage_Input!R189,""))</f>
        <v/>
      </c>
      <c r="AA239" s="152">
        <f>IF($B239=1,$I$30,IF(N(Vintage_Input!S189)&gt;0,Vintage_Input!AI189/Vintage_Input!S189,""))</f>
        <v/>
      </c>
      <c r="AB239" s="152">
        <f>IF($B239=1,$B$31,IF(N(Vintage_Input!L189)&gt;0,Vintage_Input!AJ189/Vintage_Input!L189,""))</f>
        <v/>
      </c>
      <c r="AC239" s="152">
        <f>IF($B239=1,$C$31,IF(N(Vintage_Input!M189)&gt;0,Vintage_Input!AK189/Vintage_Input!M189,""))</f>
        <v/>
      </c>
      <c r="AD239" s="152">
        <f>IF($B239=1,$D$31,IF(N(Vintage_Input!N189)&gt;0,Vintage_Input!AL189/Vintage_Input!N189,""))</f>
        <v/>
      </c>
      <c r="AE239" s="152">
        <f>IF($B239=1,$E$31,IF(N(Vintage_Input!O189)&gt;0,Vintage_Input!AM189/Vintage_Input!O189,""))</f>
        <v/>
      </c>
      <c r="AF239" s="152">
        <f>IF($B239=1,$F$31,IF(N(Vintage_Input!P189)&gt;0,Vintage_Input!AN189/Vintage_Input!P189,""))</f>
        <v/>
      </c>
      <c r="AG239" s="152">
        <f>IF($B239=1,$G$31,IF(N(Vintage_Input!Q189)&gt;0,Vintage_Input!AO189/Vintage_Input!Q189,""))</f>
        <v/>
      </c>
      <c r="AH239" s="152">
        <f>IF($B239=1,$H$31,IF(N(Vintage_Input!R189)&gt;0,Vintage_Input!AP189/Vintage_Input!R189,""))</f>
        <v/>
      </c>
      <c r="AI239" s="152">
        <f>IF($B239=1,$I$31,IF(N(Vintage_Input!S189)&gt;0,Vintage_Input!AQ189/Vintage_Input!S189,""))</f>
        <v/>
      </c>
      <c r="AJ239" s="152">
        <f>IF($B239=1,$B$32,IF(N(Vintage_Input!L189)&gt;0,IFERROR(Vintage_Input!AR189/Vintage_Input!AJ189,""),""))</f>
        <v/>
      </c>
      <c r="AK239" s="152">
        <f>IF($B239=1,$C$32,IF(N(Vintage_Input!M189)&gt;0,IFERROR(Vintage_Input!AS189/Vintage_Input!AK189,""),""))</f>
        <v/>
      </c>
      <c r="AL239" s="152">
        <f>IF($B239=1,$D$32,IF(N(Vintage_Input!N189)&gt;0,IFERROR(Vintage_Input!AT189/Vintage_Input!AL189,""),""))</f>
        <v/>
      </c>
      <c r="AM239" s="152">
        <f>IF($B239=1,$E$32,IF(N(Vintage_Input!O189)&gt;0,IFERROR(Vintage_Input!AU189/Vintage_Input!AM189,""),""))</f>
        <v/>
      </c>
      <c r="AN239" s="152">
        <f>IF($B239=1,$F$32,IF(N(Vintage_Input!P189)&gt;0,IFERROR(Vintage_Input!AV189/Vintage_Input!AN189,""),""))</f>
        <v/>
      </c>
      <c r="AO239" s="152">
        <f>IF($B239=1,$G$32,IF(N(Vintage_Input!Q189)&gt;0,IFERROR(Vintage_Input!AW189/Vintage_Input!AO189,""),""))</f>
        <v/>
      </c>
      <c r="AP239" s="152">
        <f>IF($B239=1,$H$32,IF(N(Vintage_Input!R189)&gt;0,IFERROR(Vintage_Input!AX189/Vintage_Input!AP189,""),""))</f>
        <v/>
      </c>
      <c r="AQ239" s="152">
        <f>IF($B239=1,$I$32,IF(N(Vintage_Input!S189)&gt;0,IFERROR(Vintage_Input!AY189/Vintage_Input!AQ189,""),""))</f>
        <v/>
      </c>
      <c r="AR239" s="152">
        <f>IF($B239=1,$B$33,IF(N(Vintage_Input!L189)&gt;0,IFERROR(Vintage_Input!AZ189/$C239,""),""))</f>
        <v/>
      </c>
      <c r="AS239" s="152">
        <f>IF($B239=1,$C$33,IF(N(Vintage_Input!M189)&gt;0,IFERROR(Vintage_Input!BA189/$C239,""),""))</f>
        <v/>
      </c>
      <c r="AT239" s="152">
        <f>IF($B239=1,$D$33,IF(N(Vintage_Input!N189)&gt;0,IFERROR(Vintage_Input!BB189/$C239,""),""))</f>
        <v/>
      </c>
      <c r="AU239" s="152">
        <f>IF($B239=1,$E$33,IF(N(Vintage_Input!O189)&gt;0,IFERROR(Vintage_Input!BC189/$C239,""),""))</f>
        <v/>
      </c>
      <c r="AV239" s="152">
        <f>IF($B239=1,$F$33,IF(N(Vintage_Input!P189)&gt;0,IFERROR(Vintage_Input!BD189/$C239,""),""))</f>
        <v/>
      </c>
      <c r="AW239" s="152">
        <f>IF($B239=1,$G$33,IF(N(Vintage_Input!Q189)&gt;0,IFERROR(Vintage_Input!BE189/$C239,""),""))</f>
        <v/>
      </c>
      <c r="AX239" s="152">
        <f>IF($B239=1,$H$33,IF(N(Vintage_Input!R189)&gt;0,IFERROR(Vintage_Input!BF189/$C239,""),""))</f>
        <v/>
      </c>
      <c r="AY239" s="152">
        <f>IF($B239=1,$I$33,IF(N(Vintage_Input!S189)&gt;0,IFERROR(Vintage_Input!BG189/$C239,""),""))</f>
        <v/>
      </c>
      <c r="AZ239" s="153">
        <f>IF($B239=1,$B$34,IF(N(Vintage_Input!L189)&gt;0,IFERROR((Vintage_Input!D189+Vintage_Input!AR189)/$C239+Products!$E$14-(Products!$E$43+Products!$E$19+Products!$E$43*Products!$E$22+Products!$E$44),""),""))</f>
        <v/>
      </c>
      <c r="BA239" s="153">
        <f>IF($B239=1,$C$34,IF(N(Vintage_Input!M189)&gt;0,IFERROR((Vintage_Input!E189+Vintage_Input!AS189)/$C239+Products!$E$14-(Products!$E$43+Products!$E$19+Products!$E$43*Products!$E$22+Products!$E$44),""),""))</f>
        <v/>
      </c>
      <c r="BB239" s="153">
        <f>IF($B239=1,$D$34,IF(N(Vintage_Input!N189)&gt;0,IFERROR((Vintage_Input!F189+Vintage_Input!AT189)/$C239+Products!$E$14-(Products!$E$43+Products!$E$19+Products!$E$43*Products!$E$22+Products!$E$44),""),""))</f>
        <v/>
      </c>
      <c r="BC239" s="153">
        <f>IF($B239=1,$E$34,IF(N(Vintage_Input!O189)&gt;0,IFERROR((Vintage_Input!G189+Vintage_Input!AU189)/$C239+Products!$E$14-(Products!$E$43+Products!$E$19+Products!$E$43*Products!$E$22+Products!$E$44),""),""))</f>
        <v/>
      </c>
      <c r="BD239" s="153">
        <f>IF($B239=1,$F$34,IF(N(Vintage_Input!P189)&gt;0,IFERROR((Vintage_Input!H189+Vintage_Input!AV189)/$C239+Products!$E$14-(Products!$E$43+Products!$E$19+Products!$E$43*Products!$E$22+Products!$E$44),""),""))</f>
        <v/>
      </c>
      <c r="BE239" s="153">
        <f>IF($B239=1,$G$34,IF(N(Vintage_Input!Q189)&gt;0,IFERROR((Vintage_Input!I189+Vintage_Input!AW189)/$C239+Products!$E$14-(Products!$E$43+Products!$E$19+Products!$E$43*Products!$E$22+Products!$E$44),""),""))</f>
        <v/>
      </c>
      <c r="BF239" s="153">
        <f>IF($B239=1,$H$34,IF(N(Vintage_Input!R189)&gt;0,IFERROR((Vintage_Input!J189+Vintage_Input!AX189)/$C239+Products!$E$14-(Products!$E$43+Products!$E$19+Products!$E$43*Products!$E$22+Products!$E$44),""),""))</f>
        <v/>
      </c>
      <c r="BG239" s="153">
        <f>IF($B239=1,$I$34,IF(N(Vintage_Input!S189)&gt;0,IFERROR((Vintage_Input!K189+Vintage_Input!AY189)/$C239+Products!$E$14-(Products!$E$43+Products!$E$19+Products!$E$43*Products!$E$22+Products!$E$44),""),""))</f>
        <v/>
      </c>
      <c r="BH239" s="81">
        <f>IF($B239=1,0,IF(Vintage_Input!$BH$189="","",Vintage_Input!$BH$189))</f>
        <v/>
      </c>
    </row>
    <row r="240">
      <c r="A240" s="23" t="n">
        <v>52</v>
      </c>
      <c r="B240" s="48">
        <f>Vintage_Input!$B$190</f>
        <v/>
      </c>
      <c r="C240" s="41">
        <f>IF(Vintage_Input!$C$190="",0,Vintage_Input!$C$190)</f>
        <v/>
      </c>
      <c r="D240" s="152">
        <f>IF($B240=1,$B$28,IF(N(Vintage_Input!L190)&gt;0,Vintage_Input!D190/Vintage_Input!L190,""))</f>
        <v/>
      </c>
      <c r="E240" s="152">
        <f>IF($B240=1,$C$28,IF(N(Vintage_Input!M190)&gt;0,Vintage_Input!E190/Vintage_Input!M190,""))</f>
        <v/>
      </c>
      <c r="F240" s="152">
        <f>IF($B240=1,$D$28,IF(N(Vintage_Input!N190)&gt;0,Vintage_Input!F190/Vintage_Input!N190,""))</f>
        <v/>
      </c>
      <c r="G240" s="152">
        <f>IF($B240=1,$E$28,IF(N(Vintage_Input!O190)&gt;0,Vintage_Input!G190/Vintage_Input!O190,""))</f>
        <v/>
      </c>
      <c r="H240" s="152">
        <f>IF($B240=1,$F$28,IF(N(Vintage_Input!P190)&gt;0,Vintage_Input!H190/Vintage_Input!P190,""))</f>
        <v/>
      </c>
      <c r="I240" s="152">
        <f>IF($B240=1,$G$28,IF(N(Vintage_Input!Q190)&gt;0,Vintage_Input!I190/Vintage_Input!Q190,""))</f>
        <v/>
      </c>
      <c r="J240" s="152">
        <f>IF($B240=1,$H$28,IF(N(Vintage_Input!R190)&gt;0,Vintage_Input!J190/Vintage_Input!R190,""))</f>
        <v/>
      </c>
      <c r="K240" s="152">
        <f>IF($B240=1,$I$28,IF(N(Vintage_Input!S190)&gt;0,Vintage_Input!K190/Vintage_Input!S190,""))</f>
        <v/>
      </c>
      <c r="L240" s="152">
        <f>IF($B240=1,$B$29,IF(N(Vintage_Input!L190)&gt;0,Vintage_Input!T190/Vintage_Input!L190,""))</f>
        <v/>
      </c>
      <c r="M240" s="152">
        <f>IF($B240=1,$C$29,IF(N(Vintage_Input!M190)&gt;0,Vintage_Input!U190/Vintage_Input!M190,""))</f>
        <v/>
      </c>
      <c r="N240" s="152">
        <f>IF($B240=1,$D$29,IF(N(Vintage_Input!N190)&gt;0,Vintage_Input!V190/Vintage_Input!N190,""))</f>
        <v/>
      </c>
      <c r="O240" s="152">
        <f>IF($B240=1,$E$29,IF(N(Vintage_Input!O190)&gt;0,Vintage_Input!W190/Vintage_Input!O190,""))</f>
        <v/>
      </c>
      <c r="P240" s="152">
        <f>IF($B240=1,$F$29,IF(N(Vintage_Input!P190)&gt;0,Vintage_Input!X190/Vintage_Input!P190,""))</f>
        <v/>
      </c>
      <c r="Q240" s="152">
        <f>IF($B240=1,$G$29,IF(N(Vintage_Input!Q190)&gt;0,Vintage_Input!Y190/Vintage_Input!Q190,""))</f>
        <v/>
      </c>
      <c r="R240" s="152">
        <f>IF($B240=1,$H$29,IF(N(Vintage_Input!R190)&gt;0,Vintage_Input!Z190/Vintage_Input!R190,""))</f>
        <v/>
      </c>
      <c r="S240" s="152">
        <f>IF($B240=1,$I$29,IF(N(Vintage_Input!S190)&gt;0,Vintage_Input!AA190/Vintage_Input!S190,""))</f>
        <v/>
      </c>
      <c r="T240" s="152">
        <f>IF($B240=1,$B$30,IF(N(Vintage_Input!L190)&gt;0,Vintage_Input!AB190/Vintage_Input!L190,""))</f>
        <v/>
      </c>
      <c r="U240" s="152">
        <f>IF($B240=1,$C$30,IF(N(Vintage_Input!M190)&gt;0,Vintage_Input!AC190/Vintage_Input!M190,""))</f>
        <v/>
      </c>
      <c r="V240" s="152">
        <f>IF($B240=1,$D$30,IF(N(Vintage_Input!N190)&gt;0,Vintage_Input!AD190/Vintage_Input!N190,""))</f>
        <v/>
      </c>
      <c r="W240" s="152">
        <f>IF($B240=1,$E$30,IF(N(Vintage_Input!O190)&gt;0,Vintage_Input!AE190/Vintage_Input!O190,""))</f>
        <v/>
      </c>
      <c r="X240" s="152">
        <f>IF($B240=1,$F$30,IF(N(Vintage_Input!P190)&gt;0,Vintage_Input!AF190/Vintage_Input!P190,""))</f>
        <v/>
      </c>
      <c r="Y240" s="152">
        <f>IF($B240=1,$G$30,IF(N(Vintage_Input!Q190)&gt;0,Vintage_Input!AG190/Vintage_Input!Q190,""))</f>
        <v/>
      </c>
      <c r="Z240" s="152">
        <f>IF($B240=1,$H$30,IF(N(Vintage_Input!R190)&gt;0,Vintage_Input!AH190/Vintage_Input!R190,""))</f>
        <v/>
      </c>
      <c r="AA240" s="152">
        <f>IF($B240=1,$I$30,IF(N(Vintage_Input!S190)&gt;0,Vintage_Input!AI190/Vintage_Input!S190,""))</f>
        <v/>
      </c>
      <c r="AB240" s="152">
        <f>IF($B240=1,$B$31,IF(N(Vintage_Input!L190)&gt;0,Vintage_Input!AJ190/Vintage_Input!L190,""))</f>
        <v/>
      </c>
      <c r="AC240" s="152">
        <f>IF($B240=1,$C$31,IF(N(Vintage_Input!M190)&gt;0,Vintage_Input!AK190/Vintage_Input!M190,""))</f>
        <v/>
      </c>
      <c r="AD240" s="152">
        <f>IF($B240=1,$D$31,IF(N(Vintage_Input!N190)&gt;0,Vintage_Input!AL190/Vintage_Input!N190,""))</f>
        <v/>
      </c>
      <c r="AE240" s="152">
        <f>IF($B240=1,$E$31,IF(N(Vintage_Input!O190)&gt;0,Vintage_Input!AM190/Vintage_Input!O190,""))</f>
        <v/>
      </c>
      <c r="AF240" s="152">
        <f>IF($B240=1,$F$31,IF(N(Vintage_Input!P190)&gt;0,Vintage_Input!AN190/Vintage_Input!P190,""))</f>
        <v/>
      </c>
      <c r="AG240" s="152">
        <f>IF($B240=1,$G$31,IF(N(Vintage_Input!Q190)&gt;0,Vintage_Input!AO190/Vintage_Input!Q190,""))</f>
        <v/>
      </c>
      <c r="AH240" s="152">
        <f>IF($B240=1,$H$31,IF(N(Vintage_Input!R190)&gt;0,Vintage_Input!AP190/Vintage_Input!R190,""))</f>
        <v/>
      </c>
      <c r="AI240" s="152">
        <f>IF($B240=1,$I$31,IF(N(Vintage_Input!S190)&gt;0,Vintage_Input!AQ190/Vintage_Input!S190,""))</f>
        <v/>
      </c>
      <c r="AJ240" s="152">
        <f>IF($B240=1,$B$32,IF(N(Vintage_Input!L190)&gt;0,IFERROR(Vintage_Input!AR190/Vintage_Input!AJ190,""),""))</f>
        <v/>
      </c>
      <c r="AK240" s="152">
        <f>IF($B240=1,$C$32,IF(N(Vintage_Input!M190)&gt;0,IFERROR(Vintage_Input!AS190/Vintage_Input!AK190,""),""))</f>
        <v/>
      </c>
      <c r="AL240" s="152">
        <f>IF($B240=1,$D$32,IF(N(Vintage_Input!N190)&gt;0,IFERROR(Vintage_Input!AT190/Vintage_Input!AL190,""),""))</f>
        <v/>
      </c>
      <c r="AM240" s="152">
        <f>IF($B240=1,$E$32,IF(N(Vintage_Input!O190)&gt;0,IFERROR(Vintage_Input!AU190/Vintage_Input!AM190,""),""))</f>
        <v/>
      </c>
      <c r="AN240" s="152">
        <f>IF($B240=1,$F$32,IF(N(Vintage_Input!P190)&gt;0,IFERROR(Vintage_Input!AV190/Vintage_Input!AN190,""),""))</f>
        <v/>
      </c>
      <c r="AO240" s="152">
        <f>IF($B240=1,$G$32,IF(N(Vintage_Input!Q190)&gt;0,IFERROR(Vintage_Input!AW190/Vintage_Input!AO190,""),""))</f>
        <v/>
      </c>
      <c r="AP240" s="152">
        <f>IF($B240=1,$H$32,IF(N(Vintage_Input!R190)&gt;0,IFERROR(Vintage_Input!AX190/Vintage_Input!AP190,""),""))</f>
        <v/>
      </c>
      <c r="AQ240" s="152">
        <f>IF($B240=1,$I$32,IF(N(Vintage_Input!S190)&gt;0,IFERROR(Vintage_Input!AY190/Vintage_Input!AQ190,""),""))</f>
        <v/>
      </c>
      <c r="AR240" s="152">
        <f>IF($B240=1,$B$33,IF(N(Vintage_Input!L190)&gt;0,IFERROR(Vintage_Input!AZ190/$C240,""),""))</f>
        <v/>
      </c>
      <c r="AS240" s="152">
        <f>IF($B240=1,$C$33,IF(N(Vintage_Input!M190)&gt;0,IFERROR(Vintage_Input!BA190/$C240,""),""))</f>
        <v/>
      </c>
      <c r="AT240" s="152">
        <f>IF($B240=1,$D$33,IF(N(Vintage_Input!N190)&gt;0,IFERROR(Vintage_Input!BB190/$C240,""),""))</f>
        <v/>
      </c>
      <c r="AU240" s="152">
        <f>IF($B240=1,$E$33,IF(N(Vintage_Input!O190)&gt;0,IFERROR(Vintage_Input!BC190/$C240,""),""))</f>
        <v/>
      </c>
      <c r="AV240" s="152">
        <f>IF($B240=1,$F$33,IF(N(Vintage_Input!P190)&gt;0,IFERROR(Vintage_Input!BD190/$C240,""),""))</f>
        <v/>
      </c>
      <c r="AW240" s="152">
        <f>IF($B240=1,$G$33,IF(N(Vintage_Input!Q190)&gt;0,IFERROR(Vintage_Input!BE190/$C240,""),""))</f>
        <v/>
      </c>
      <c r="AX240" s="152">
        <f>IF($B240=1,$H$33,IF(N(Vintage_Input!R190)&gt;0,IFERROR(Vintage_Input!BF190/$C240,""),""))</f>
        <v/>
      </c>
      <c r="AY240" s="152">
        <f>IF($B240=1,$I$33,IF(N(Vintage_Input!S190)&gt;0,IFERROR(Vintage_Input!BG190/$C240,""),""))</f>
        <v/>
      </c>
      <c r="AZ240" s="153">
        <f>IF($B240=1,$B$34,IF(N(Vintage_Input!L190)&gt;0,IFERROR((Vintage_Input!D190+Vintage_Input!AR190)/$C240+Products!$E$14-(Products!$E$43+Products!$E$19+Products!$E$43*Products!$E$22+Products!$E$44),""),""))</f>
        <v/>
      </c>
      <c r="BA240" s="153">
        <f>IF($B240=1,$C$34,IF(N(Vintage_Input!M190)&gt;0,IFERROR((Vintage_Input!E190+Vintage_Input!AS190)/$C240+Products!$E$14-(Products!$E$43+Products!$E$19+Products!$E$43*Products!$E$22+Products!$E$44),""),""))</f>
        <v/>
      </c>
      <c r="BB240" s="153">
        <f>IF($B240=1,$D$34,IF(N(Vintage_Input!N190)&gt;0,IFERROR((Vintage_Input!F190+Vintage_Input!AT190)/$C240+Products!$E$14-(Products!$E$43+Products!$E$19+Products!$E$43*Products!$E$22+Products!$E$44),""),""))</f>
        <v/>
      </c>
      <c r="BC240" s="153">
        <f>IF($B240=1,$E$34,IF(N(Vintage_Input!O190)&gt;0,IFERROR((Vintage_Input!G190+Vintage_Input!AU190)/$C240+Products!$E$14-(Products!$E$43+Products!$E$19+Products!$E$43*Products!$E$22+Products!$E$44),""),""))</f>
        <v/>
      </c>
      <c r="BD240" s="153">
        <f>IF($B240=1,$F$34,IF(N(Vintage_Input!P190)&gt;0,IFERROR((Vintage_Input!H190+Vintage_Input!AV190)/$C240+Products!$E$14-(Products!$E$43+Products!$E$19+Products!$E$43*Products!$E$22+Products!$E$44),""),""))</f>
        <v/>
      </c>
      <c r="BE240" s="153">
        <f>IF($B240=1,$G$34,IF(N(Vintage_Input!Q190)&gt;0,IFERROR((Vintage_Input!I190+Vintage_Input!AW190)/$C240+Products!$E$14-(Products!$E$43+Products!$E$19+Products!$E$43*Products!$E$22+Products!$E$44),""),""))</f>
        <v/>
      </c>
      <c r="BF240" s="153">
        <f>IF($B240=1,$H$34,IF(N(Vintage_Input!R190)&gt;0,IFERROR((Vintage_Input!J190+Vintage_Input!AX190)/$C240+Products!$E$14-(Products!$E$43+Products!$E$19+Products!$E$43*Products!$E$22+Products!$E$44),""),""))</f>
        <v/>
      </c>
      <c r="BG240" s="153">
        <f>IF($B240=1,$I$34,IF(N(Vintage_Input!S190)&gt;0,IFERROR((Vintage_Input!K190+Vintage_Input!AY190)/$C240+Products!$E$14-(Products!$E$43+Products!$E$19+Products!$E$43*Products!$E$22+Products!$E$44),""),""))</f>
        <v/>
      </c>
      <c r="BH240" s="81">
        <f>IF($B240=1,0,IF(Vintage_Input!$BH$190="","",Vintage_Input!$BH$190))</f>
        <v/>
      </c>
    </row>
    <row r="241">
      <c r="A241" s="23" t="n">
        <v>53</v>
      </c>
      <c r="B241" s="48">
        <f>Vintage_Input!$B$191</f>
        <v/>
      </c>
      <c r="C241" s="41">
        <f>IF(Vintage_Input!$C$191="",0,Vintage_Input!$C$191)</f>
        <v/>
      </c>
      <c r="D241" s="152">
        <f>IF($B241=1,$B$28,IF(N(Vintage_Input!L191)&gt;0,Vintage_Input!D191/Vintage_Input!L191,""))</f>
        <v/>
      </c>
      <c r="E241" s="152">
        <f>IF($B241=1,$C$28,IF(N(Vintage_Input!M191)&gt;0,Vintage_Input!E191/Vintage_Input!M191,""))</f>
        <v/>
      </c>
      <c r="F241" s="152">
        <f>IF($B241=1,$D$28,IF(N(Vintage_Input!N191)&gt;0,Vintage_Input!F191/Vintage_Input!N191,""))</f>
        <v/>
      </c>
      <c r="G241" s="152">
        <f>IF($B241=1,$E$28,IF(N(Vintage_Input!O191)&gt;0,Vintage_Input!G191/Vintage_Input!O191,""))</f>
        <v/>
      </c>
      <c r="H241" s="152">
        <f>IF($B241=1,$F$28,IF(N(Vintage_Input!P191)&gt;0,Vintage_Input!H191/Vintage_Input!P191,""))</f>
        <v/>
      </c>
      <c r="I241" s="152">
        <f>IF($B241=1,$G$28,IF(N(Vintage_Input!Q191)&gt;0,Vintage_Input!I191/Vintage_Input!Q191,""))</f>
        <v/>
      </c>
      <c r="J241" s="152">
        <f>IF($B241=1,$H$28,IF(N(Vintage_Input!R191)&gt;0,Vintage_Input!J191/Vintage_Input!R191,""))</f>
        <v/>
      </c>
      <c r="K241" s="152">
        <f>IF($B241=1,$I$28,IF(N(Vintage_Input!S191)&gt;0,Vintage_Input!K191/Vintage_Input!S191,""))</f>
        <v/>
      </c>
      <c r="L241" s="152">
        <f>IF($B241=1,$B$29,IF(N(Vintage_Input!L191)&gt;0,Vintage_Input!T191/Vintage_Input!L191,""))</f>
        <v/>
      </c>
      <c r="M241" s="152">
        <f>IF($B241=1,$C$29,IF(N(Vintage_Input!M191)&gt;0,Vintage_Input!U191/Vintage_Input!M191,""))</f>
        <v/>
      </c>
      <c r="N241" s="152">
        <f>IF($B241=1,$D$29,IF(N(Vintage_Input!N191)&gt;0,Vintage_Input!V191/Vintage_Input!N191,""))</f>
        <v/>
      </c>
      <c r="O241" s="152">
        <f>IF($B241=1,$E$29,IF(N(Vintage_Input!O191)&gt;0,Vintage_Input!W191/Vintage_Input!O191,""))</f>
        <v/>
      </c>
      <c r="P241" s="152">
        <f>IF($B241=1,$F$29,IF(N(Vintage_Input!P191)&gt;0,Vintage_Input!X191/Vintage_Input!P191,""))</f>
        <v/>
      </c>
      <c r="Q241" s="152">
        <f>IF($B241=1,$G$29,IF(N(Vintage_Input!Q191)&gt;0,Vintage_Input!Y191/Vintage_Input!Q191,""))</f>
        <v/>
      </c>
      <c r="R241" s="152">
        <f>IF($B241=1,$H$29,IF(N(Vintage_Input!R191)&gt;0,Vintage_Input!Z191/Vintage_Input!R191,""))</f>
        <v/>
      </c>
      <c r="S241" s="152">
        <f>IF($B241=1,$I$29,IF(N(Vintage_Input!S191)&gt;0,Vintage_Input!AA191/Vintage_Input!S191,""))</f>
        <v/>
      </c>
      <c r="T241" s="152">
        <f>IF($B241=1,$B$30,IF(N(Vintage_Input!L191)&gt;0,Vintage_Input!AB191/Vintage_Input!L191,""))</f>
        <v/>
      </c>
      <c r="U241" s="152">
        <f>IF($B241=1,$C$30,IF(N(Vintage_Input!M191)&gt;0,Vintage_Input!AC191/Vintage_Input!M191,""))</f>
        <v/>
      </c>
      <c r="V241" s="152">
        <f>IF($B241=1,$D$30,IF(N(Vintage_Input!N191)&gt;0,Vintage_Input!AD191/Vintage_Input!N191,""))</f>
        <v/>
      </c>
      <c r="W241" s="152">
        <f>IF($B241=1,$E$30,IF(N(Vintage_Input!O191)&gt;0,Vintage_Input!AE191/Vintage_Input!O191,""))</f>
        <v/>
      </c>
      <c r="X241" s="152">
        <f>IF($B241=1,$F$30,IF(N(Vintage_Input!P191)&gt;0,Vintage_Input!AF191/Vintage_Input!P191,""))</f>
        <v/>
      </c>
      <c r="Y241" s="152">
        <f>IF($B241=1,$G$30,IF(N(Vintage_Input!Q191)&gt;0,Vintage_Input!AG191/Vintage_Input!Q191,""))</f>
        <v/>
      </c>
      <c r="Z241" s="152">
        <f>IF($B241=1,$H$30,IF(N(Vintage_Input!R191)&gt;0,Vintage_Input!AH191/Vintage_Input!R191,""))</f>
        <v/>
      </c>
      <c r="AA241" s="152">
        <f>IF($B241=1,$I$30,IF(N(Vintage_Input!S191)&gt;0,Vintage_Input!AI191/Vintage_Input!S191,""))</f>
        <v/>
      </c>
      <c r="AB241" s="152">
        <f>IF($B241=1,$B$31,IF(N(Vintage_Input!L191)&gt;0,Vintage_Input!AJ191/Vintage_Input!L191,""))</f>
        <v/>
      </c>
      <c r="AC241" s="152">
        <f>IF($B241=1,$C$31,IF(N(Vintage_Input!M191)&gt;0,Vintage_Input!AK191/Vintage_Input!M191,""))</f>
        <v/>
      </c>
      <c r="AD241" s="152">
        <f>IF($B241=1,$D$31,IF(N(Vintage_Input!N191)&gt;0,Vintage_Input!AL191/Vintage_Input!N191,""))</f>
        <v/>
      </c>
      <c r="AE241" s="152">
        <f>IF($B241=1,$E$31,IF(N(Vintage_Input!O191)&gt;0,Vintage_Input!AM191/Vintage_Input!O191,""))</f>
        <v/>
      </c>
      <c r="AF241" s="152">
        <f>IF($B241=1,$F$31,IF(N(Vintage_Input!P191)&gt;0,Vintage_Input!AN191/Vintage_Input!P191,""))</f>
        <v/>
      </c>
      <c r="AG241" s="152">
        <f>IF($B241=1,$G$31,IF(N(Vintage_Input!Q191)&gt;0,Vintage_Input!AO191/Vintage_Input!Q191,""))</f>
        <v/>
      </c>
      <c r="AH241" s="152">
        <f>IF($B241=1,$H$31,IF(N(Vintage_Input!R191)&gt;0,Vintage_Input!AP191/Vintage_Input!R191,""))</f>
        <v/>
      </c>
      <c r="AI241" s="152">
        <f>IF($B241=1,$I$31,IF(N(Vintage_Input!S191)&gt;0,Vintage_Input!AQ191/Vintage_Input!S191,""))</f>
        <v/>
      </c>
      <c r="AJ241" s="152">
        <f>IF($B241=1,$B$32,IF(N(Vintage_Input!L191)&gt;0,IFERROR(Vintage_Input!AR191/Vintage_Input!AJ191,""),""))</f>
        <v/>
      </c>
      <c r="AK241" s="152">
        <f>IF($B241=1,$C$32,IF(N(Vintage_Input!M191)&gt;0,IFERROR(Vintage_Input!AS191/Vintage_Input!AK191,""),""))</f>
        <v/>
      </c>
      <c r="AL241" s="152">
        <f>IF($B241=1,$D$32,IF(N(Vintage_Input!N191)&gt;0,IFERROR(Vintage_Input!AT191/Vintage_Input!AL191,""),""))</f>
        <v/>
      </c>
      <c r="AM241" s="152">
        <f>IF($B241=1,$E$32,IF(N(Vintage_Input!O191)&gt;0,IFERROR(Vintage_Input!AU191/Vintage_Input!AM191,""),""))</f>
        <v/>
      </c>
      <c r="AN241" s="152">
        <f>IF($B241=1,$F$32,IF(N(Vintage_Input!P191)&gt;0,IFERROR(Vintage_Input!AV191/Vintage_Input!AN191,""),""))</f>
        <v/>
      </c>
      <c r="AO241" s="152">
        <f>IF($B241=1,$G$32,IF(N(Vintage_Input!Q191)&gt;0,IFERROR(Vintage_Input!AW191/Vintage_Input!AO191,""),""))</f>
        <v/>
      </c>
      <c r="AP241" s="152">
        <f>IF($B241=1,$H$32,IF(N(Vintage_Input!R191)&gt;0,IFERROR(Vintage_Input!AX191/Vintage_Input!AP191,""),""))</f>
        <v/>
      </c>
      <c r="AQ241" s="152">
        <f>IF($B241=1,$I$32,IF(N(Vintage_Input!S191)&gt;0,IFERROR(Vintage_Input!AY191/Vintage_Input!AQ191,""),""))</f>
        <v/>
      </c>
      <c r="AR241" s="152">
        <f>IF($B241=1,$B$33,IF(N(Vintage_Input!L191)&gt;0,IFERROR(Vintage_Input!AZ191/$C241,""),""))</f>
        <v/>
      </c>
      <c r="AS241" s="152">
        <f>IF($B241=1,$C$33,IF(N(Vintage_Input!M191)&gt;0,IFERROR(Vintage_Input!BA191/$C241,""),""))</f>
        <v/>
      </c>
      <c r="AT241" s="152">
        <f>IF($B241=1,$D$33,IF(N(Vintage_Input!N191)&gt;0,IFERROR(Vintage_Input!BB191/$C241,""),""))</f>
        <v/>
      </c>
      <c r="AU241" s="152">
        <f>IF($B241=1,$E$33,IF(N(Vintage_Input!O191)&gt;0,IFERROR(Vintage_Input!BC191/$C241,""),""))</f>
        <v/>
      </c>
      <c r="AV241" s="152">
        <f>IF($B241=1,$F$33,IF(N(Vintage_Input!P191)&gt;0,IFERROR(Vintage_Input!BD191/$C241,""),""))</f>
        <v/>
      </c>
      <c r="AW241" s="152">
        <f>IF($B241=1,$G$33,IF(N(Vintage_Input!Q191)&gt;0,IFERROR(Vintage_Input!BE191/$C241,""),""))</f>
        <v/>
      </c>
      <c r="AX241" s="152">
        <f>IF($B241=1,$H$33,IF(N(Vintage_Input!R191)&gt;0,IFERROR(Vintage_Input!BF191/$C241,""),""))</f>
        <v/>
      </c>
      <c r="AY241" s="152">
        <f>IF($B241=1,$I$33,IF(N(Vintage_Input!S191)&gt;0,IFERROR(Vintage_Input!BG191/$C241,""),""))</f>
        <v/>
      </c>
      <c r="AZ241" s="153">
        <f>IF($B241=1,$B$34,IF(N(Vintage_Input!L191)&gt;0,IFERROR((Vintage_Input!D191+Vintage_Input!AR191)/$C241+Products!$E$14-(Products!$E$43+Products!$E$19+Products!$E$43*Products!$E$22+Products!$E$44),""),""))</f>
        <v/>
      </c>
      <c r="BA241" s="153">
        <f>IF($B241=1,$C$34,IF(N(Vintage_Input!M191)&gt;0,IFERROR((Vintage_Input!E191+Vintage_Input!AS191)/$C241+Products!$E$14-(Products!$E$43+Products!$E$19+Products!$E$43*Products!$E$22+Products!$E$44),""),""))</f>
        <v/>
      </c>
      <c r="BB241" s="153">
        <f>IF($B241=1,$D$34,IF(N(Vintage_Input!N191)&gt;0,IFERROR((Vintage_Input!F191+Vintage_Input!AT191)/$C241+Products!$E$14-(Products!$E$43+Products!$E$19+Products!$E$43*Products!$E$22+Products!$E$44),""),""))</f>
        <v/>
      </c>
      <c r="BC241" s="153">
        <f>IF($B241=1,$E$34,IF(N(Vintage_Input!O191)&gt;0,IFERROR((Vintage_Input!G191+Vintage_Input!AU191)/$C241+Products!$E$14-(Products!$E$43+Products!$E$19+Products!$E$43*Products!$E$22+Products!$E$44),""),""))</f>
        <v/>
      </c>
      <c r="BD241" s="153">
        <f>IF($B241=1,$F$34,IF(N(Vintage_Input!P191)&gt;0,IFERROR((Vintage_Input!H191+Vintage_Input!AV191)/$C241+Products!$E$14-(Products!$E$43+Products!$E$19+Products!$E$43*Products!$E$22+Products!$E$44),""),""))</f>
        <v/>
      </c>
      <c r="BE241" s="153">
        <f>IF($B241=1,$G$34,IF(N(Vintage_Input!Q191)&gt;0,IFERROR((Vintage_Input!I191+Vintage_Input!AW191)/$C241+Products!$E$14-(Products!$E$43+Products!$E$19+Products!$E$43*Products!$E$22+Products!$E$44),""),""))</f>
        <v/>
      </c>
      <c r="BF241" s="153">
        <f>IF($B241=1,$H$34,IF(N(Vintage_Input!R191)&gt;0,IFERROR((Vintage_Input!J191+Vintage_Input!AX191)/$C241+Products!$E$14-(Products!$E$43+Products!$E$19+Products!$E$43*Products!$E$22+Products!$E$44),""),""))</f>
        <v/>
      </c>
      <c r="BG241" s="153">
        <f>IF($B241=1,$I$34,IF(N(Vintage_Input!S191)&gt;0,IFERROR((Vintage_Input!K191+Vintage_Input!AY191)/$C241+Products!$E$14-(Products!$E$43+Products!$E$19+Products!$E$43*Products!$E$22+Products!$E$44),""),""))</f>
        <v/>
      </c>
      <c r="BH241" s="81">
        <f>IF($B241=1,0,IF(Vintage_Input!$BH$191="","",Vintage_Input!$BH$191))</f>
        <v/>
      </c>
    </row>
    <row r="242">
      <c r="A242" s="23" t="n">
        <v>54</v>
      </c>
      <c r="B242" s="48">
        <f>Vintage_Input!$B$192</f>
        <v/>
      </c>
      <c r="C242" s="41">
        <f>IF(Vintage_Input!$C$192="",0,Vintage_Input!$C$192)</f>
        <v/>
      </c>
      <c r="D242" s="152">
        <f>IF($B242=1,$B$28,IF(N(Vintage_Input!L192)&gt;0,Vintage_Input!D192/Vintage_Input!L192,""))</f>
        <v/>
      </c>
      <c r="E242" s="152">
        <f>IF($B242=1,$C$28,IF(N(Vintage_Input!M192)&gt;0,Vintage_Input!E192/Vintage_Input!M192,""))</f>
        <v/>
      </c>
      <c r="F242" s="152">
        <f>IF($B242=1,$D$28,IF(N(Vintage_Input!N192)&gt;0,Vintage_Input!F192/Vintage_Input!N192,""))</f>
        <v/>
      </c>
      <c r="G242" s="152">
        <f>IF($B242=1,$E$28,IF(N(Vintage_Input!O192)&gt;0,Vintage_Input!G192/Vintage_Input!O192,""))</f>
        <v/>
      </c>
      <c r="H242" s="152">
        <f>IF($B242=1,$F$28,IF(N(Vintage_Input!P192)&gt;0,Vintage_Input!H192/Vintage_Input!P192,""))</f>
        <v/>
      </c>
      <c r="I242" s="152">
        <f>IF($B242=1,$G$28,IF(N(Vintage_Input!Q192)&gt;0,Vintage_Input!I192/Vintage_Input!Q192,""))</f>
        <v/>
      </c>
      <c r="J242" s="152">
        <f>IF($B242=1,$H$28,IF(N(Vintage_Input!R192)&gt;0,Vintage_Input!J192/Vintage_Input!R192,""))</f>
        <v/>
      </c>
      <c r="K242" s="152">
        <f>IF($B242=1,$I$28,IF(N(Vintage_Input!S192)&gt;0,Vintage_Input!K192/Vintage_Input!S192,""))</f>
        <v/>
      </c>
      <c r="L242" s="152">
        <f>IF($B242=1,$B$29,IF(N(Vintage_Input!L192)&gt;0,Vintage_Input!T192/Vintage_Input!L192,""))</f>
        <v/>
      </c>
      <c r="M242" s="152">
        <f>IF($B242=1,$C$29,IF(N(Vintage_Input!M192)&gt;0,Vintage_Input!U192/Vintage_Input!M192,""))</f>
        <v/>
      </c>
      <c r="N242" s="152">
        <f>IF($B242=1,$D$29,IF(N(Vintage_Input!N192)&gt;0,Vintage_Input!V192/Vintage_Input!N192,""))</f>
        <v/>
      </c>
      <c r="O242" s="152">
        <f>IF($B242=1,$E$29,IF(N(Vintage_Input!O192)&gt;0,Vintage_Input!W192/Vintage_Input!O192,""))</f>
        <v/>
      </c>
      <c r="P242" s="152">
        <f>IF($B242=1,$F$29,IF(N(Vintage_Input!P192)&gt;0,Vintage_Input!X192/Vintage_Input!P192,""))</f>
        <v/>
      </c>
      <c r="Q242" s="152">
        <f>IF($B242=1,$G$29,IF(N(Vintage_Input!Q192)&gt;0,Vintage_Input!Y192/Vintage_Input!Q192,""))</f>
        <v/>
      </c>
      <c r="R242" s="152">
        <f>IF($B242=1,$H$29,IF(N(Vintage_Input!R192)&gt;0,Vintage_Input!Z192/Vintage_Input!R192,""))</f>
        <v/>
      </c>
      <c r="S242" s="152">
        <f>IF($B242=1,$I$29,IF(N(Vintage_Input!S192)&gt;0,Vintage_Input!AA192/Vintage_Input!S192,""))</f>
        <v/>
      </c>
      <c r="T242" s="152">
        <f>IF($B242=1,$B$30,IF(N(Vintage_Input!L192)&gt;0,Vintage_Input!AB192/Vintage_Input!L192,""))</f>
        <v/>
      </c>
      <c r="U242" s="152">
        <f>IF($B242=1,$C$30,IF(N(Vintage_Input!M192)&gt;0,Vintage_Input!AC192/Vintage_Input!M192,""))</f>
        <v/>
      </c>
      <c r="V242" s="152">
        <f>IF($B242=1,$D$30,IF(N(Vintage_Input!N192)&gt;0,Vintage_Input!AD192/Vintage_Input!N192,""))</f>
        <v/>
      </c>
      <c r="W242" s="152">
        <f>IF($B242=1,$E$30,IF(N(Vintage_Input!O192)&gt;0,Vintage_Input!AE192/Vintage_Input!O192,""))</f>
        <v/>
      </c>
      <c r="X242" s="152">
        <f>IF($B242=1,$F$30,IF(N(Vintage_Input!P192)&gt;0,Vintage_Input!AF192/Vintage_Input!P192,""))</f>
        <v/>
      </c>
      <c r="Y242" s="152">
        <f>IF($B242=1,$G$30,IF(N(Vintage_Input!Q192)&gt;0,Vintage_Input!AG192/Vintage_Input!Q192,""))</f>
        <v/>
      </c>
      <c r="Z242" s="152">
        <f>IF($B242=1,$H$30,IF(N(Vintage_Input!R192)&gt;0,Vintage_Input!AH192/Vintage_Input!R192,""))</f>
        <v/>
      </c>
      <c r="AA242" s="152">
        <f>IF($B242=1,$I$30,IF(N(Vintage_Input!S192)&gt;0,Vintage_Input!AI192/Vintage_Input!S192,""))</f>
        <v/>
      </c>
      <c r="AB242" s="152">
        <f>IF($B242=1,$B$31,IF(N(Vintage_Input!L192)&gt;0,Vintage_Input!AJ192/Vintage_Input!L192,""))</f>
        <v/>
      </c>
      <c r="AC242" s="152">
        <f>IF($B242=1,$C$31,IF(N(Vintage_Input!M192)&gt;0,Vintage_Input!AK192/Vintage_Input!M192,""))</f>
        <v/>
      </c>
      <c r="AD242" s="152">
        <f>IF($B242=1,$D$31,IF(N(Vintage_Input!N192)&gt;0,Vintage_Input!AL192/Vintage_Input!N192,""))</f>
        <v/>
      </c>
      <c r="AE242" s="152">
        <f>IF($B242=1,$E$31,IF(N(Vintage_Input!O192)&gt;0,Vintage_Input!AM192/Vintage_Input!O192,""))</f>
        <v/>
      </c>
      <c r="AF242" s="152">
        <f>IF($B242=1,$F$31,IF(N(Vintage_Input!P192)&gt;0,Vintage_Input!AN192/Vintage_Input!P192,""))</f>
        <v/>
      </c>
      <c r="AG242" s="152">
        <f>IF($B242=1,$G$31,IF(N(Vintage_Input!Q192)&gt;0,Vintage_Input!AO192/Vintage_Input!Q192,""))</f>
        <v/>
      </c>
      <c r="AH242" s="152">
        <f>IF($B242=1,$H$31,IF(N(Vintage_Input!R192)&gt;0,Vintage_Input!AP192/Vintage_Input!R192,""))</f>
        <v/>
      </c>
      <c r="AI242" s="152">
        <f>IF($B242=1,$I$31,IF(N(Vintage_Input!S192)&gt;0,Vintage_Input!AQ192/Vintage_Input!S192,""))</f>
        <v/>
      </c>
      <c r="AJ242" s="152">
        <f>IF($B242=1,$B$32,IF(N(Vintage_Input!L192)&gt;0,IFERROR(Vintage_Input!AR192/Vintage_Input!AJ192,""),""))</f>
        <v/>
      </c>
      <c r="AK242" s="152">
        <f>IF($B242=1,$C$32,IF(N(Vintage_Input!M192)&gt;0,IFERROR(Vintage_Input!AS192/Vintage_Input!AK192,""),""))</f>
        <v/>
      </c>
      <c r="AL242" s="152">
        <f>IF($B242=1,$D$32,IF(N(Vintage_Input!N192)&gt;0,IFERROR(Vintage_Input!AT192/Vintage_Input!AL192,""),""))</f>
        <v/>
      </c>
      <c r="AM242" s="152">
        <f>IF($B242=1,$E$32,IF(N(Vintage_Input!O192)&gt;0,IFERROR(Vintage_Input!AU192/Vintage_Input!AM192,""),""))</f>
        <v/>
      </c>
      <c r="AN242" s="152">
        <f>IF($B242=1,$F$32,IF(N(Vintage_Input!P192)&gt;0,IFERROR(Vintage_Input!AV192/Vintage_Input!AN192,""),""))</f>
        <v/>
      </c>
      <c r="AO242" s="152">
        <f>IF($B242=1,$G$32,IF(N(Vintage_Input!Q192)&gt;0,IFERROR(Vintage_Input!AW192/Vintage_Input!AO192,""),""))</f>
        <v/>
      </c>
      <c r="AP242" s="152">
        <f>IF($B242=1,$H$32,IF(N(Vintage_Input!R192)&gt;0,IFERROR(Vintage_Input!AX192/Vintage_Input!AP192,""),""))</f>
        <v/>
      </c>
      <c r="AQ242" s="152">
        <f>IF($B242=1,$I$32,IF(N(Vintage_Input!S192)&gt;0,IFERROR(Vintage_Input!AY192/Vintage_Input!AQ192,""),""))</f>
        <v/>
      </c>
      <c r="AR242" s="152">
        <f>IF($B242=1,$B$33,IF(N(Vintage_Input!L192)&gt;0,IFERROR(Vintage_Input!AZ192/$C242,""),""))</f>
        <v/>
      </c>
      <c r="AS242" s="152">
        <f>IF($B242=1,$C$33,IF(N(Vintage_Input!M192)&gt;0,IFERROR(Vintage_Input!BA192/$C242,""),""))</f>
        <v/>
      </c>
      <c r="AT242" s="152">
        <f>IF($B242=1,$D$33,IF(N(Vintage_Input!N192)&gt;0,IFERROR(Vintage_Input!BB192/$C242,""),""))</f>
        <v/>
      </c>
      <c r="AU242" s="152">
        <f>IF($B242=1,$E$33,IF(N(Vintage_Input!O192)&gt;0,IFERROR(Vintage_Input!BC192/$C242,""),""))</f>
        <v/>
      </c>
      <c r="AV242" s="152">
        <f>IF($B242=1,$F$33,IF(N(Vintage_Input!P192)&gt;0,IFERROR(Vintage_Input!BD192/$C242,""),""))</f>
        <v/>
      </c>
      <c r="AW242" s="152">
        <f>IF($B242=1,$G$33,IF(N(Vintage_Input!Q192)&gt;0,IFERROR(Vintage_Input!BE192/$C242,""),""))</f>
        <v/>
      </c>
      <c r="AX242" s="152">
        <f>IF($B242=1,$H$33,IF(N(Vintage_Input!R192)&gt;0,IFERROR(Vintage_Input!BF192/$C242,""),""))</f>
        <v/>
      </c>
      <c r="AY242" s="152">
        <f>IF($B242=1,$I$33,IF(N(Vintage_Input!S192)&gt;0,IFERROR(Vintage_Input!BG192/$C242,""),""))</f>
        <v/>
      </c>
      <c r="AZ242" s="153">
        <f>IF($B242=1,$B$34,IF(N(Vintage_Input!L192)&gt;0,IFERROR((Vintage_Input!D192+Vintage_Input!AR192)/$C242+Products!$E$14-(Products!$E$43+Products!$E$19+Products!$E$43*Products!$E$22+Products!$E$44),""),""))</f>
        <v/>
      </c>
      <c r="BA242" s="153">
        <f>IF($B242=1,$C$34,IF(N(Vintage_Input!M192)&gt;0,IFERROR((Vintage_Input!E192+Vintage_Input!AS192)/$C242+Products!$E$14-(Products!$E$43+Products!$E$19+Products!$E$43*Products!$E$22+Products!$E$44),""),""))</f>
        <v/>
      </c>
      <c r="BB242" s="153">
        <f>IF($B242=1,$D$34,IF(N(Vintage_Input!N192)&gt;0,IFERROR((Vintage_Input!F192+Vintage_Input!AT192)/$C242+Products!$E$14-(Products!$E$43+Products!$E$19+Products!$E$43*Products!$E$22+Products!$E$44),""),""))</f>
        <v/>
      </c>
      <c r="BC242" s="153">
        <f>IF($B242=1,$E$34,IF(N(Vintage_Input!O192)&gt;0,IFERROR((Vintage_Input!G192+Vintage_Input!AU192)/$C242+Products!$E$14-(Products!$E$43+Products!$E$19+Products!$E$43*Products!$E$22+Products!$E$44),""),""))</f>
        <v/>
      </c>
      <c r="BD242" s="153">
        <f>IF($B242=1,$F$34,IF(N(Vintage_Input!P192)&gt;0,IFERROR((Vintage_Input!H192+Vintage_Input!AV192)/$C242+Products!$E$14-(Products!$E$43+Products!$E$19+Products!$E$43*Products!$E$22+Products!$E$44),""),""))</f>
        <v/>
      </c>
      <c r="BE242" s="153">
        <f>IF($B242=1,$G$34,IF(N(Vintage_Input!Q192)&gt;0,IFERROR((Vintage_Input!I192+Vintage_Input!AW192)/$C242+Products!$E$14-(Products!$E$43+Products!$E$19+Products!$E$43*Products!$E$22+Products!$E$44),""),""))</f>
        <v/>
      </c>
      <c r="BF242" s="153">
        <f>IF($B242=1,$H$34,IF(N(Vintage_Input!R192)&gt;0,IFERROR((Vintage_Input!J192+Vintage_Input!AX192)/$C242+Products!$E$14-(Products!$E$43+Products!$E$19+Products!$E$43*Products!$E$22+Products!$E$44),""),""))</f>
        <v/>
      </c>
      <c r="BG242" s="153">
        <f>IF($B242=1,$I$34,IF(N(Vintage_Input!S192)&gt;0,IFERROR((Vintage_Input!K192+Vintage_Input!AY192)/$C242+Products!$E$14-(Products!$E$43+Products!$E$19+Products!$E$43*Products!$E$22+Products!$E$44),""),""))</f>
        <v/>
      </c>
      <c r="BH242" s="81">
        <f>IF($B242=1,0,IF(Vintage_Input!$BH$192="","",Vintage_Input!$BH$192))</f>
        <v/>
      </c>
    </row>
    <row r="243">
      <c r="A243" s="23" t="n">
        <v>55</v>
      </c>
      <c r="B243" s="48">
        <f>Vintage_Input!$B$193</f>
        <v/>
      </c>
      <c r="C243" s="41">
        <f>IF(Vintage_Input!$C$193="",0,Vintage_Input!$C$193)</f>
        <v/>
      </c>
      <c r="D243" s="152">
        <f>IF($B243=1,$B$28,IF(N(Vintage_Input!L193)&gt;0,Vintage_Input!D193/Vintage_Input!L193,""))</f>
        <v/>
      </c>
      <c r="E243" s="152">
        <f>IF($B243=1,$C$28,IF(N(Vintage_Input!M193)&gt;0,Vintage_Input!E193/Vintage_Input!M193,""))</f>
        <v/>
      </c>
      <c r="F243" s="152">
        <f>IF($B243=1,$D$28,IF(N(Vintage_Input!N193)&gt;0,Vintage_Input!F193/Vintage_Input!N193,""))</f>
        <v/>
      </c>
      <c r="G243" s="152">
        <f>IF($B243=1,$E$28,IF(N(Vintage_Input!O193)&gt;0,Vintage_Input!G193/Vintage_Input!O193,""))</f>
        <v/>
      </c>
      <c r="H243" s="152">
        <f>IF($B243=1,$F$28,IF(N(Vintage_Input!P193)&gt;0,Vintage_Input!H193/Vintage_Input!P193,""))</f>
        <v/>
      </c>
      <c r="I243" s="152">
        <f>IF($B243=1,$G$28,IF(N(Vintage_Input!Q193)&gt;0,Vintage_Input!I193/Vintage_Input!Q193,""))</f>
        <v/>
      </c>
      <c r="J243" s="152">
        <f>IF($B243=1,$H$28,IF(N(Vintage_Input!R193)&gt;0,Vintage_Input!J193/Vintage_Input!R193,""))</f>
        <v/>
      </c>
      <c r="K243" s="152">
        <f>IF($B243=1,$I$28,IF(N(Vintage_Input!S193)&gt;0,Vintage_Input!K193/Vintage_Input!S193,""))</f>
        <v/>
      </c>
      <c r="L243" s="152">
        <f>IF($B243=1,$B$29,IF(N(Vintage_Input!L193)&gt;0,Vintage_Input!T193/Vintage_Input!L193,""))</f>
        <v/>
      </c>
      <c r="M243" s="152">
        <f>IF($B243=1,$C$29,IF(N(Vintage_Input!M193)&gt;0,Vintage_Input!U193/Vintage_Input!M193,""))</f>
        <v/>
      </c>
      <c r="N243" s="152">
        <f>IF($B243=1,$D$29,IF(N(Vintage_Input!N193)&gt;0,Vintage_Input!V193/Vintage_Input!N193,""))</f>
        <v/>
      </c>
      <c r="O243" s="152">
        <f>IF($B243=1,$E$29,IF(N(Vintage_Input!O193)&gt;0,Vintage_Input!W193/Vintage_Input!O193,""))</f>
        <v/>
      </c>
      <c r="P243" s="152">
        <f>IF($B243=1,$F$29,IF(N(Vintage_Input!P193)&gt;0,Vintage_Input!X193/Vintage_Input!P193,""))</f>
        <v/>
      </c>
      <c r="Q243" s="152">
        <f>IF($B243=1,$G$29,IF(N(Vintage_Input!Q193)&gt;0,Vintage_Input!Y193/Vintage_Input!Q193,""))</f>
        <v/>
      </c>
      <c r="R243" s="152">
        <f>IF($B243=1,$H$29,IF(N(Vintage_Input!R193)&gt;0,Vintage_Input!Z193/Vintage_Input!R193,""))</f>
        <v/>
      </c>
      <c r="S243" s="152">
        <f>IF($B243=1,$I$29,IF(N(Vintage_Input!S193)&gt;0,Vintage_Input!AA193/Vintage_Input!S193,""))</f>
        <v/>
      </c>
      <c r="T243" s="152">
        <f>IF($B243=1,$B$30,IF(N(Vintage_Input!L193)&gt;0,Vintage_Input!AB193/Vintage_Input!L193,""))</f>
        <v/>
      </c>
      <c r="U243" s="152">
        <f>IF($B243=1,$C$30,IF(N(Vintage_Input!M193)&gt;0,Vintage_Input!AC193/Vintage_Input!M193,""))</f>
        <v/>
      </c>
      <c r="V243" s="152">
        <f>IF($B243=1,$D$30,IF(N(Vintage_Input!N193)&gt;0,Vintage_Input!AD193/Vintage_Input!N193,""))</f>
        <v/>
      </c>
      <c r="W243" s="152">
        <f>IF($B243=1,$E$30,IF(N(Vintage_Input!O193)&gt;0,Vintage_Input!AE193/Vintage_Input!O193,""))</f>
        <v/>
      </c>
      <c r="X243" s="152">
        <f>IF($B243=1,$F$30,IF(N(Vintage_Input!P193)&gt;0,Vintage_Input!AF193/Vintage_Input!P193,""))</f>
        <v/>
      </c>
      <c r="Y243" s="152">
        <f>IF($B243=1,$G$30,IF(N(Vintage_Input!Q193)&gt;0,Vintage_Input!AG193/Vintage_Input!Q193,""))</f>
        <v/>
      </c>
      <c r="Z243" s="152">
        <f>IF($B243=1,$H$30,IF(N(Vintage_Input!R193)&gt;0,Vintage_Input!AH193/Vintage_Input!R193,""))</f>
        <v/>
      </c>
      <c r="AA243" s="152">
        <f>IF($B243=1,$I$30,IF(N(Vintage_Input!S193)&gt;0,Vintage_Input!AI193/Vintage_Input!S193,""))</f>
        <v/>
      </c>
      <c r="AB243" s="152">
        <f>IF($B243=1,$B$31,IF(N(Vintage_Input!L193)&gt;0,Vintage_Input!AJ193/Vintage_Input!L193,""))</f>
        <v/>
      </c>
      <c r="AC243" s="152">
        <f>IF($B243=1,$C$31,IF(N(Vintage_Input!M193)&gt;0,Vintage_Input!AK193/Vintage_Input!M193,""))</f>
        <v/>
      </c>
      <c r="AD243" s="152">
        <f>IF($B243=1,$D$31,IF(N(Vintage_Input!N193)&gt;0,Vintage_Input!AL193/Vintage_Input!N193,""))</f>
        <v/>
      </c>
      <c r="AE243" s="152">
        <f>IF($B243=1,$E$31,IF(N(Vintage_Input!O193)&gt;0,Vintage_Input!AM193/Vintage_Input!O193,""))</f>
        <v/>
      </c>
      <c r="AF243" s="152">
        <f>IF($B243=1,$F$31,IF(N(Vintage_Input!P193)&gt;0,Vintage_Input!AN193/Vintage_Input!P193,""))</f>
        <v/>
      </c>
      <c r="AG243" s="152">
        <f>IF($B243=1,$G$31,IF(N(Vintage_Input!Q193)&gt;0,Vintage_Input!AO193/Vintage_Input!Q193,""))</f>
        <v/>
      </c>
      <c r="AH243" s="152">
        <f>IF($B243=1,$H$31,IF(N(Vintage_Input!R193)&gt;0,Vintage_Input!AP193/Vintage_Input!R193,""))</f>
        <v/>
      </c>
      <c r="AI243" s="152">
        <f>IF($B243=1,$I$31,IF(N(Vintage_Input!S193)&gt;0,Vintage_Input!AQ193/Vintage_Input!S193,""))</f>
        <v/>
      </c>
      <c r="AJ243" s="152">
        <f>IF($B243=1,$B$32,IF(N(Vintage_Input!L193)&gt;0,IFERROR(Vintage_Input!AR193/Vintage_Input!AJ193,""),""))</f>
        <v/>
      </c>
      <c r="AK243" s="152">
        <f>IF($B243=1,$C$32,IF(N(Vintage_Input!M193)&gt;0,IFERROR(Vintage_Input!AS193/Vintage_Input!AK193,""),""))</f>
        <v/>
      </c>
      <c r="AL243" s="152">
        <f>IF($B243=1,$D$32,IF(N(Vintage_Input!N193)&gt;0,IFERROR(Vintage_Input!AT193/Vintage_Input!AL193,""),""))</f>
        <v/>
      </c>
      <c r="AM243" s="152">
        <f>IF($B243=1,$E$32,IF(N(Vintage_Input!O193)&gt;0,IFERROR(Vintage_Input!AU193/Vintage_Input!AM193,""),""))</f>
        <v/>
      </c>
      <c r="AN243" s="152">
        <f>IF($B243=1,$F$32,IF(N(Vintage_Input!P193)&gt;0,IFERROR(Vintage_Input!AV193/Vintage_Input!AN193,""),""))</f>
        <v/>
      </c>
      <c r="AO243" s="152">
        <f>IF($B243=1,$G$32,IF(N(Vintage_Input!Q193)&gt;0,IFERROR(Vintage_Input!AW193/Vintage_Input!AO193,""),""))</f>
        <v/>
      </c>
      <c r="AP243" s="152">
        <f>IF($B243=1,$H$32,IF(N(Vintage_Input!R193)&gt;0,IFERROR(Vintage_Input!AX193/Vintage_Input!AP193,""),""))</f>
        <v/>
      </c>
      <c r="AQ243" s="152">
        <f>IF($B243=1,$I$32,IF(N(Vintage_Input!S193)&gt;0,IFERROR(Vintage_Input!AY193/Vintage_Input!AQ193,""),""))</f>
        <v/>
      </c>
      <c r="AR243" s="152">
        <f>IF($B243=1,$B$33,IF(N(Vintage_Input!L193)&gt;0,IFERROR(Vintage_Input!AZ193/$C243,""),""))</f>
        <v/>
      </c>
      <c r="AS243" s="152">
        <f>IF($B243=1,$C$33,IF(N(Vintage_Input!M193)&gt;0,IFERROR(Vintage_Input!BA193/$C243,""),""))</f>
        <v/>
      </c>
      <c r="AT243" s="152">
        <f>IF($B243=1,$D$33,IF(N(Vintage_Input!N193)&gt;0,IFERROR(Vintage_Input!BB193/$C243,""),""))</f>
        <v/>
      </c>
      <c r="AU243" s="152">
        <f>IF($B243=1,$E$33,IF(N(Vintage_Input!O193)&gt;0,IFERROR(Vintage_Input!BC193/$C243,""),""))</f>
        <v/>
      </c>
      <c r="AV243" s="152">
        <f>IF($B243=1,$F$33,IF(N(Vintage_Input!P193)&gt;0,IFERROR(Vintage_Input!BD193/$C243,""),""))</f>
        <v/>
      </c>
      <c r="AW243" s="152">
        <f>IF($B243=1,$G$33,IF(N(Vintage_Input!Q193)&gt;0,IFERROR(Vintage_Input!BE193/$C243,""),""))</f>
        <v/>
      </c>
      <c r="AX243" s="152">
        <f>IF($B243=1,$H$33,IF(N(Vintage_Input!R193)&gt;0,IFERROR(Vintage_Input!BF193/$C243,""),""))</f>
        <v/>
      </c>
      <c r="AY243" s="152">
        <f>IF($B243=1,$I$33,IF(N(Vintage_Input!S193)&gt;0,IFERROR(Vintage_Input!BG193/$C243,""),""))</f>
        <v/>
      </c>
      <c r="AZ243" s="153">
        <f>IF($B243=1,$B$34,IF(N(Vintage_Input!L193)&gt;0,IFERROR((Vintage_Input!D193+Vintage_Input!AR193)/$C243+Products!$E$14-(Products!$E$43+Products!$E$19+Products!$E$43*Products!$E$22+Products!$E$44),""),""))</f>
        <v/>
      </c>
      <c r="BA243" s="153">
        <f>IF($B243=1,$C$34,IF(N(Vintage_Input!M193)&gt;0,IFERROR((Vintage_Input!E193+Vintage_Input!AS193)/$C243+Products!$E$14-(Products!$E$43+Products!$E$19+Products!$E$43*Products!$E$22+Products!$E$44),""),""))</f>
        <v/>
      </c>
      <c r="BB243" s="153">
        <f>IF($B243=1,$D$34,IF(N(Vintage_Input!N193)&gt;0,IFERROR((Vintage_Input!F193+Vintage_Input!AT193)/$C243+Products!$E$14-(Products!$E$43+Products!$E$19+Products!$E$43*Products!$E$22+Products!$E$44),""),""))</f>
        <v/>
      </c>
      <c r="BC243" s="153">
        <f>IF($B243=1,$E$34,IF(N(Vintage_Input!O193)&gt;0,IFERROR((Vintage_Input!G193+Vintage_Input!AU193)/$C243+Products!$E$14-(Products!$E$43+Products!$E$19+Products!$E$43*Products!$E$22+Products!$E$44),""),""))</f>
        <v/>
      </c>
      <c r="BD243" s="153">
        <f>IF($B243=1,$F$34,IF(N(Vintage_Input!P193)&gt;0,IFERROR((Vintage_Input!H193+Vintage_Input!AV193)/$C243+Products!$E$14-(Products!$E$43+Products!$E$19+Products!$E$43*Products!$E$22+Products!$E$44),""),""))</f>
        <v/>
      </c>
      <c r="BE243" s="153">
        <f>IF($B243=1,$G$34,IF(N(Vintage_Input!Q193)&gt;0,IFERROR((Vintage_Input!I193+Vintage_Input!AW193)/$C243+Products!$E$14-(Products!$E$43+Products!$E$19+Products!$E$43*Products!$E$22+Products!$E$44),""),""))</f>
        <v/>
      </c>
      <c r="BF243" s="153">
        <f>IF($B243=1,$H$34,IF(N(Vintage_Input!R193)&gt;0,IFERROR((Vintage_Input!J193+Vintage_Input!AX193)/$C243+Products!$E$14-(Products!$E$43+Products!$E$19+Products!$E$43*Products!$E$22+Products!$E$44),""),""))</f>
        <v/>
      </c>
      <c r="BG243" s="153">
        <f>IF($B243=1,$I$34,IF(N(Vintage_Input!S193)&gt;0,IFERROR((Vintage_Input!K193+Vintage_Input!AY193)/$C243+Products!$E$14-(Products!$E$43+Products!$E$19+Products!$E$43*Products!$E$22+Products!$E$44),""),""))</f>
        <v/>
      </c>
      <c r="BH243" s="81">
        <f>IF($B243=1,0,IF(Vintage_Input!$BH$193="","",Vintage_Input!$BH$193))</f>
        <v/>
      </c>
    </row>
    <row r="244">
      <c r="A244" s="23" t="n">
        <v>56</v>
      </c>
      <c r="B244" s="48">
        <f>Vintage_Input!$B$194</f>
        <v/>
      </c>
      <c r="C244" s="41">
        <f>IF(Vintage_Input!$C$194="",0,Vintage_Input!$C$194)</f>
        <v/>
      </c>
      <c r="D244" s="152">
        <f>IF($B244=1,$B$28,IF(N(Vintage_Input!L194)&gt;0,Vintage_Input!D194/Vintage_Input!L194,""))</f>
        <v/>
      </c>
      <c r="E244" s="152">
        <f>IF($B244=1,$C$28,IF(N(Vintage_Input!M194)&gt;0,Vintage_Input!E194/Vintage_Input!M194,""))</f>
        <v/>
      </c>
      <c r="F244" s="152">
        <f>IF($B244=1,$D$28,IF(N(Vintage_Input!N194)&gt;0,Vintage_Input!F194/Vintage_Input!N194,""))</f>
        <v/>
      </c>
      <c r="G244" s="152">
        <f>IF($B244=1,$E$28,IF(N(Vintage_Input!O194)&gt;0,Vintage_Input!G194/Vintage_Input!O194,""))</f>
        <v/>
      </c>
      <c r="H244" s="152">
        <f>IF($B244=1,$F$28,IF(N(Vintage_Input!P194)&gt;0,Vintage_Input!H194/Vintage_Input!P194,""))</f>
        <v/>
      </c>
      <c r="I244" s="152">
        <f>IF($B244=1,$G$28,IF(N(Vintage_Input!Q194)&gt;0,Vintage_Input!I194/Vintage_Input!Q194,""))</f>
        <v/>
      </c>
      <c r="J244" s="152">
        <f>IF($B244=1,$H$28,IF(N(Vintage_Input!R194)&gt;0,Vintage_Input!J194/Vintage_Input!R194,""))</f>
        <v/>
      </c>
      <c r="K244" s="152">
        <f>IF($B244=1,$I$28,IF(N(Vintage_Input!S194)&gt;0,Vintage_Input!K194/Vintage_Input!S194,""))</f>
        <v/>
      </c>
      <c r="L244" s="152">
        <f>IF($B244=1,$B$29,IF(N(Vintage_Input!L194)&gt;0,Vintage_Input!T194/Vintage_Input!L194,""))</f>
        <v/>
      </c>
      <c r="M244" s="152">
        <f>IF($B244=1,$C$29,IF(N(Vintage_Input!M194)&gt;0,Vintage_Input!U194/Vintage_Input!M194,""))</f>
        <v/>
      </c>
      <c r="N244" s="152">
        <f>IF($B244=1,$D$29,IF(N(Vintage_Input!N194)&gt;0,Vintage_Input!V194/Vintage_Input!N194,""))</f>
        <v/>
      </c>
      <c r="O244" s="152">
        <f>IF($B244=1,$E$29,IF(N(Vintage_Input!O194)&gt;0,Vintage_Input!W194/Vintage_Input!O194,""))</f>
        <v/>
      </c>
      <c r="P244" s="152">
        <f>IF($B244=1,$F$29,IF(N(Vintage_Input!P194)&gt;0,Vintage_Input!X194/Vintage_Input!P194,""))</f>
        <v/>
      </c>
      <c r="Q244" s="152">
        <f>IF($B244=1,$G$29,IF(N(Vintage_Input!Q194)&gt;0,Vintage_Input!Y194/Vintage_Input!Q194,""))</f>
        <v/>
      </c>
      <c r="R244" s="152">
        <f>IF($B244=1,$H$29,IF(N(Vintage_Input!R194)&gt;0,Vintage_Input!Z194/Vintage_Input!R194,""))</f>
        <v/>
      </c>
      <c r="S244" s="152">
        <f>IF($B244=1,$I$29,IF(N(Vintage_Input!S194)&gt;0,Vintage_Input!AA194/Vintage_Input!S194,""))</f>
        <v/>
      </c>
      <c r="T244" s="152">
        <f>IF($B244=1,$B$30,IF(N(Vintage_Input!L194)&gt;0,Vintage_Input!AB194/Vintage_Input!L194,""))</f>
        <v/>
      </c>
      <c r="U244" s="152">
        <f>IF($B244=1,$C$30,IF(N(Vintage_Input!M194)&gt;0,Vintage_Input!AC194/Vintage_Input!M194,""))</f>
        <v/>
      </c>
      <c r="V244" s="152">
        <f>IF($B244=1,$D$30,IF(N(Vintage_Input!N194)&gt;0,Vintage_Input!AD194/Vintage_Input!N194,""))</f>
        <v/>
      </c>
      <c r="W244" s="152">
        <f>IF($B244=1,$E$30,IF(N(Vintage_Input!O194)&gt;0,Vintage_Input!AE194/Vintage_Input!O194,""))</f>
        <v/>
      </c>
      <c r="X244" s="152">
        <f>IF($B244=1,$F$30,IF(N(Vintage_Input!P194)&gt;0,Vintage_Input!AF194/Vintage_Input!P194,""))</f>
        <v/>
      </c>
      <c r="Y244" s="152">
        <f>IF($B244=1,$G$30,IF(N(Vintage_Input!Q194)&gt;0,Vintage_Input!AG194/Vintage_Input!Q194,""))</f>
        <v/>
      </c>
      <c r="Z244" s="152">
        <f>IF($B244=1,$H$30,IF(N(Vintage_Input!R194)&gt;0,Vintage_Input!AH194/Vintage_Input!R194,""))</f>
        <v/>
      </c>
      <c r="AA244" s="152">
        <f>IF($B244=1,$I$30,IF(N(Vintage_Input!S194)&gt;0,Vintage_Input!AI194/Vintage_Input!S194,""))</f>
        <v/>
      </c>
      <c r="AB244" s="152">
        <f>IF($B244=1,$B$31,IF(N(Vintage_Input!L194)&gt;0,Vintage_Input!AJ194/Vintage_Input!L194,""))</f>
        <v/>
      </c>
      <c r="AC244" s="152">
        <f>IF($B244=1,$C$31,IF(N(Vintage_Input!M194)&gt;0,Vintage_Input!AK194/Vintage_Input!M194,""))</f>
        <v/>
      </c>
      <c r="AD244" s="152">
        <f>IF($B244=1,$D$31,IF(N(Vintage_Input!N194)&gt;0,Vintage_Input!AL194/Vintage_Input!N194,""))</f>
        <v/>
      </c>
      <c r="AE244" s="152">
        <f>IF($B244=1,$E$31,IF(N(Vintage_Input!O194)&gt;0,Vintage_Input!AM194/Vintage_Input!O194,""))</f>
        <v/>
      </c>
      <c r="AF244" s="152">
        <f>IF($B244=1,$F$31,IF(N(Vintage_Input!P194)&gt;0,Vintage_Input!AN194/Vintage_Input!P194,""))</f>
        <v/>
      </c>
      <c r="AG244" s="152">
        <f>IF($B244=1,$G$31,IF(N(Vintage_Input!Q194)&gt;0,Vintage_Input!AO194/Vintage_Input!Q194,""))</f>
        <v/>
      </c>
      <c r="AH244" s="152">
        <f>IF($B244=1,$H$31,IF(N(Vintage_Input!R194)&gt;0,Vintage_Input!AP194/Vintage_Input!R194,""))</f>
        <v/>
      </c>
      <c r="AI244" s="152">
        <f>IF($B244=1,$I$31,IF(N(Vintage_Input!S194)&gt;0,Vintage_Input!AQ194/Vintage_Input!S194,""))</f>
        <v/>
      </c>
      <c r="AJ244" s="152">
        <f>IF($B244=1,$B$32,IF(N(Vintage_Input!L194)&gt;0,IFERROR(Vintage_Input!AR194/Vintage_Input!AJ194,""),""))</f>
        <v/>
      </c>
      <c r="AK244" s="152">
        <f>IF($B244=1,$C$32,IF(N(Vintage_Input!M194)&gt;0,IFERROR(Vintage_Input!AS194/Vintage_Input!AK194,""),""))</f>
        <v/>
      </c>
      <c r="AL244" s="152">
        <f>IF($B244=1,$D$32,IF(N(Vintage_Input!N194)&gt;0,IFERROR(Vintage_Input!AT194/Vintage_Input!AL194,""),""))</f>
        <v/>
      </c>
      <c r="AM244" s="152">
        <f>IF($B244=1,$E$32,IF(N(Vintage_Input!O194)&gt;0,IFERROR(Vintage_Input!AU194/Vintage_Input!AM194,""),""))</f>
        <v/>
      </c>
      <c r="AN244" s="152">
        <f>IF($B244=1,$F$32,IF(N(Vintage_Input!P194)&gt;0,IFERROR(Vintage_Input!AV194/Vintage_Input!AN194,""),""))</f>
        <v/>
      </c>
      <c r="AO244" s="152">
        <f>IF($B244=1,$G$32,IF(N(Vintage_Input!Q194)&gt;0,IFERROR(Vintage_Input!AW194/Vintage_Input!AO194,""),""))</f>
        <v/>
      </c>
      <c r="AP244" s="152">
        <f>IF($B244=1,$H$32,IF(N(Vintage_Input!R194)&gt;0,IFERROR(Vintage_Input!AX194/Vintage_Input!AP194,""),""))</f>
        <v/>
      </c>
      <c r="AQ244" s="152">
        <f>IF($B244=1,$I$32,IF(N(Vintage_Input!S194)&gt;0,IFERROR(Vintage_Input!AY194/Vintage_Input!AQ194,""),""))</f>
        <v/>
      </c>
      <c r="AR244" s="152">
        <f>IF($B244=1,$B$33,IF(N(Vintage_Input!L194)&gt;0,IFERROR(Vintage_Input!AZ194/$C244,""),""))</f>
        <v/>
      </c>
      <c r="AS244" s="152">
        <f>IF($B244=1,$C$33,IF(N(Vintage_Input!M194)&gt;0,IFERROR(Vintage_Input!BA194/$C244,""),""))</f>
        <v/>
      </c>
      <c r="AT244" s="152">
        <f>IF($B244=1,$D$33,IF(N(Vintage_Input!N194)&gt;0,IFERROR(Vintage_Input!BB194/$C244,""),""))</f>
        <v/>
      </c>
      <c r="AU244" s="152">
        <f>IF($B244=1,$E$33,IF(N(Vintage_Input!O194)&gt;0,IFERROR(Vintage_Input!BC194/$C244,""),""))</f>
        <v/>
      </c>
      <c r="AV244" s="152">
        <f>IF($B244=1,$F$33,IF(N(Vintage_Input!P194)&gt;0,IFERROR(Vintage_Input!BD194/$C244,""),""))</f>
        <v/>
      </c>
      <c r="AW244" s="152">
        <f>IF($B244=1,$G$33,IF(N(Vintage_Input!Q194)&gt;0,IFERROR(Vintage_Input!BE194/$C244,""),""))</f>
        <v/>
      </c>
      <c r="AX244" s="152">
        <f>IF($B244=1,$H$33,IF(N(Vintage_Input!R194)&gt;0,IFERROR(Vintage_Input!BF194/$C244,""),""))</f>
        <v/>
      </c>
      <c r="AY244" s="152">
        <f>IF($B244=1,$I$33,IF(N(Vintage_Input!S194)&gt;0,IFERROR(Vintage_Input!BG194/$C244,""),""))</f>
        <v/>
      </c>
      <c r="AZ244" s="153">
        <f>IF($B244=1,$B$34,IF(N(Vintage_Input!L194)&gt;0,IFERROR((Vintage_Input!D194+Vintage_Input!AR194)/$C244+Products!$E$14-(Products!$E$43+Products!$E$19+Products!$E$43*Products!$E$22+Products!$E$44),""),""))</f>
        <v/>
      </c>
      <c r="BA244" s="153">
        <f>IF($B244=1,$C$34,IF(N(Vintage_Input!M194)&gt;0,IFERROR((Vintage_Input!E194+Vintage_Input!AS194)/$C244+Products!$E$14-(Products!$E$43+Products!$E$19+Products!$E$43*Products!$E$22+Products!$E$44),""),""))</f>
        <v/>
      </c>
      <c r="BB244" s="153">
        <f>IF($B244=1,$D$34,IF(N(Vintage_Input!N194)&gt;0,IFERROR((Vintage_Input!F194+Vintage_Input!AT194)/$C244+Products!$E$14-(Products!$E$43+Products!$E$19+Products!$E$43*Products!$E$22+Products!$E$44),""),""))</f>
        <v/>
      </c>
      <c r="BC244" s="153">
        <f>IF($B244=1,$E$34,IF(N(Vintage_Input!O194)&gt;0,IFERROR((Vintage_Input!G194+Vintage_Input!AU194)/$C244+Products!$E$14-(Products!$E$43+Products!$E$19+Products!$E$43*Products!$E$22+Products!$E$44),""),""))</f>
        <v/>
      </c>
      <c r="BD244" s="153">
        <f>IF($B244=1,$F$34,IF(N(Vintage_Input!P194)&gt;0,IFERROR((Vintage_Input!H194+Vintage_Input!AV194)/$C244+Products!$E$14-(Products!$E$43+Products!$E$19+Products!$E$43*Products!$E$22+Products!$E$44),""),""))</f>
        <v/>
      </c>
      <c r="BE244" s="153">
        <f>IF($B244=1,$G$34,IF(N(Vintage_Input!Q194)&gt;0,IFERROR((Vintage_Input!I194+Vintage_Input!AW194)/$C244+Products!$E$14-(Products!$E$43+Products!$E$19+Products!$E$43*Products!$E$22+Products!$E$44),""),""))</f>
        <v/>
      </c>
      <c r="BF244" s="153">
        <f>IF($B244=1,$H$34,IF(N(Vintage_Input!R194)&gt;0,IFERROR((Vintage_Input!J194+Vintage_Input!AX194)/$C244+Products!$E$14-(Products!$E$43+Products!$E$19+Products!$E$43*Products!$E$22+Products!$E$44),""),""))</f>
        <v/>
      </c>
      <c r="BG244" s="153">
        <f>IF($B244=1,$I$34,IF(N(Vintage_Input!S194)&gt;0,IFERROR((Vintage_Input!K194+Vintage_Input!AY194)/$C244+Products!$E$14-(Products!$E$43+Products!$E$19+Products!$E$43*Products!$E$22+Products!$E$44),""),""))</f>
        <v/>
      </c>
      <c r="BH244" s="81">
        <f>IF($B244=1,0,IF(Vintage_Input!$BH$194="","",Vintage_Input!$BH$194))</f>
        <v/>
      </c>
    </row>
    <row r="245">
      <c r="A245" s="23" t="n">
        <v>57</v>
      </c>
      <c r="B245" s="48">
        <f>Vintage_Input!$B$195</f>
        <v/>
      </c>
      <c r="C245" s="41">
        <f>IF(Vintage_Input!$C$195="",0,Vintage_Input!$C$195)</f>
        <v/>
      </c>
      <c r="D245" s="152">
        <f>IF($B245=1,$B$28,IF(N(Vintage_Input!L195)&gt;0,Vintage_Input!D195/Vintage_Input!L195,""))</f>
        <v/>
      </c>
      <c r="E245" s="152">
        <f>IF($B245=1,$C$28,IF(N(Vintage_Input!M195)&gt;0,Vintage_Input!E195/Vintage_Input!M195,""))</f>
        <v/>
      </c>
      <c r="F245" s="152">
        <f>IF($B245=1,$D$28,IF(N(Vintage_Input!N195)&gt;0,Vintage_Input!F195/Vintage_Input!N195,""))</f>
        <v/>
      </c>
      <c r="G245" s="152">
        <f>IF($B245=1,$E$28,IF(N(Vintage_Input!O195)&gt;0,Vintage_Input!G195/Vintage_Input!O195,""))</f>
        <v/>
      </c>
      <c r="H245" s="152">
        <f>IF($B245=1,$F$28,IF(N(Vintage_Input!P195)&gt;0,Vintage_Input!H195/Vintage_Input!P195,""))</f>
        <v/>
      </c>
      <c r="I245" s="152">
        <f>IF($B245=1,$G$28,IF(N(Vintage_Input!Q195)&gt;0,Vintage_Input!I195/Vintage_Input!Q195,""))</f>
        <v/>
      </c>
      <c r="J245" s="152">
        <f>IF($B245=1,$H$28,IF(N(Vintage_Input!R195)&gt;0,Vintage_Input!J195/Vintage_Input!R195,""))</f>
        <v/>
      </c>
      <c r="K245" s="152">
        <f>IF($B245=1,$I$28,IF(N(Vintage_Input!S195)&gt;0,Vintage_Input!K195/Vintage_Input!S195,""))</f>
        <v/>
      </c>
      <c r="L245" s="152">
        <f>IF($B245=1,$B$29,IF(N(Vintage_Input!L195)&gt;0,Vintage_Input!T195/Vintage_Input!L195,""))</f>
        <v/>
      </c>
      <c r="M245" s="152">
        <f>IF($B245=1,$C$29,IF(N(Vintage_Input!M195)&gt;0,Vintage_Input!U195/Vintage_Input!M195,""))</f>
        <v/>
      </c>
      <c r="N245" s="152">
        <f>IF($B245=1,$D$29,IF(N(Vintage_Input!N195)&gt;0,Vintage_Input!V195/Vintage_Input!N195,""))</f>
        <v/>
      </c>
      <c r="O245" s="152">
        <f>IF($B245=1,$E$29,IF(N(Vintage_Input!O195)&gt;0,Vintage_Input!W195/Vintage_Input!O195,""))</f>
        <v/>
      </c>
      <c r="P245" s="152">
        <f>IF($B245=1,$F$29,IF(N(Vintage_Input!P195)&gt;0,Vintage_Input!X195/Vintage_Input!P195,""))</f>
        <v/>
      </c>
      <c r="Q245" s="152">
        <f>IF($B245=1,$G$29,IF(N(Vintage_Input!Q195)&gt;0,Vintage_Input!Y195/Vintage_Input!Q195,""))</f>
        <v/>
      </c>
      <c r="R245" s="152">
        <f>IF($B245=1,$H$29,IF(N(Vintage_Input!R195)&gt;0,Vintage_Input!Z195/Vintage_Input!R195,""))</f>
        <v/>
      </c>
      <c r="S245" s="152">
        <f>IF($B245=1,$I$29,IF(N(Vintage_Input!S195)&gt;0,Vintage_Input!AA195/Vintage_Input!S195,""))</f>
        <v/>
      </c>
      <c r="T245" s="152">
        <f>IF($B245=1,$B$30,IF(N(Vintage_Input!L195)&gt;0,Vintage_Input!AB195/Vintage_Input!L195,""))</f>
        <v/>
      </c>
      <c r="U245" s="152">
        <f>IF($B245=1,$C$30,IF(N(Vintage_Input!M195)&gt;0,Vintage_Input!AC195/Vintage_Input!M195,""))</f>
        <v/>
      </c>
      <c r="V245" s="152">
        <f>IF($B245=1,$D$30,IF(N(Vintage_Input!N195)&gt;0,Vintage_Input!AD195/Vintage_Input!N195,""))</f>
        <v/>
      </c>
      <c r="W245" s="152">
        <f>IF($B245=1,$E$30,IF(N(Vintage_Input!O195)&gt;0,Vintage_Input!AE195/Vintage_Input!O195,""))</f>
        <v/>
      </c>
      <c r="X245" s="152">
        <f>IF($B245=1,$F$30,IF(N(Vintage_Input!P195)&gt;0,Vintage_Input!AF195/Vintage_Input!P195,""))</f>
        <v/>
      </c>
      <c r="Y245" s="152">
        <f>IF($B245=1,$G$30,IF(N(Vintage_Input!Q195)&gt;0,Vintage_Input!AG195/Vintage_Input!Q195,""))</f>
        <v/>
      </c>
      <c r="Z245" s="152">
        <f>IF($B245=1,$H$30,IF(N(Vintage_Input!R195)&gt;0,Vintage_Input!AH195/Vintage_Input!R195,""))</f>
        <v/>
      </c>
      <c r="AA245" s="152">
        <f>IF($B245=1,$I$30,IF(N(Vintage_Input!S195)&gt;0,Vintage_Input!AI195/Vintage_Input!S195,""))</f>
        <v/>
      </c>
      <c r="AB245" s="152">
        <f>IF($B245=1,$B$31,IF(N(Vintage_Input!L195)&gt;0,Vintage_Input!AJ195/Vintage_Input!L195,""))</f>
        <v/>
      </c>
      <c r="AC245" s="152">
        <f>IF($B245=1,$C$31,IF(N(Vintage_Input!M195)&gt;0,Vintage_Input!AK195/Vintage_Input!M195,""))</f>
        <v/>
      </c>
      <c r="AD245" s="152">
        <f>IF($B245=1,$D$31,IF(N(Vintage_Input!N195)&gt;0,Vintage_Input!AL195/Vintage_Input!N195,""))</f>
        <v/>
      </c>
      <c r="AE245" s="152">
        <f>IF($B245=1,$E$31,IF(N(Vintage_Input!O195)&gt;0,Vintage_Input!AM195/Vintage_Input!O195,""))</f>
        <v/>
      </c>
      <c r="AF245" s="152">
        <f>IF($B245=1,$F$31,IF(N(Vintage_Input!P195)&gt;0,Vintage_Input!AN195/Vintage_Input!P195,""))</f>
        <v/>
      </c>
      <c r="AG245" s="152">
        <f>IF($B245=1,$G$31,IF(N(Vintage_Input!Q195)&gt;0,Vintage_Input!AO195/Vintage_Input!Q195,""))</f>
        <v/>
      </c>
      <c r="AH245" s="152">
        <f>IF($B245=1,$H$31,IF(N(Vintage_Input!R195)&gt;0,Vintage_Input!AP195/Vintage_Input!R195,""))</f>
        <v/>
      </c>
      <c r="AI245" s="152">
        <f>IF($B245=1,$I$31,IF(N(Vintage_Input!S195)&gt;0,Vintage_Input!AQ195/Vintage_Input!S195,""))</f>
        <v/>
      </c>
      <c r="AJ245" s="152">
        <f>IF($B245=1,$B$32,IF(N(Vintage_Input!L195)&gt;0,IFERROR(Vintage_Input!AR195/Vintage_Input!AJ195,""),""))</f>
        <v/>
      </c>
      <c r="AK245" s="152">
        <f>IF($B245=1,$C$32,IF(N(Vintage_Input!M195)&gt;0,IFERROR(Vintage_Input!AS195/Vintage_Input!AK195,""),""))</f>
        <v/>
      </c>
      <c r="AL245" s="152">
        <f>IF($B245=1,$D$32,IF(N(Vintage_Input!N195)&gt;0,IFERROR(Vintage_Input!AT195/Vintage_Input!AL195,""),""))</f>
        <v/>
      </c>
      <c r="AM245" s="152">
        <f>IF($B245=1,$E$32,IF(N(Vintage_Input!O195)&gt;0,IFERROR(Vintage_Input!AU195/Vintage_Input!AM195,""),""))</f>
        <v/>
      </c>
      <c r="AN245" s="152">
        <f>IF($B245=1,$F$32,IF(N(Vintage_Input!P195)&gt;0,IFERROR(Vintage_Input!AV195/Vintage_Input!AN195,""),""))</f>
        <v/>
      </c>
      <c r="AO245" s="152">
        <f>IF($B245=1,$G$32,IF(N(Vintage_Input!Q195)&gt;0,IFERROR(Vintage_Input!AW195/Vintage_Input!AO195,""),""))</f>
        <v/>
      </c>
      <c r="AP245" s="152">
        <f>IF($B245=1,$H$32,IF(N(Vintage_Input!R195)&gt;0,IFERROR(Vintage_Input!AX195/Vintage_Input!AP195,""),""))</f>
        <v/>
      </c>
      <c r="AQ245" s="152">
        <f>IF($B245=1,$I$32,IF(N(Vintage_Input!S195)&gt;0,IFERROR(Vintage_Input!AY195/Vintage_Input!AQ195,""),""))</f>
        <v/>
      </c>
      <c r="AR245" s="152">
        <f>IF($B245=1,$B$33,IF(N(Vintage_Input!L195)&gt;0,IFERROR(Vintage_Input!AZ195/$C245,""),""))</f>
        <v/>
      </c>
      <c r="AS245" s="152">
        <f>IF($B245=1,$C$33,IF(N(Vintage_Input!M195)&gt;0,IFERROR(Vintage_Input!BA195/$C245,""),""))</f>
        <v/>
      </c>
      <c r="AT245" s="152">
        <f>IF($B245=1,$D$33,IF(N(Vintage_Input!N195)&gt;0,IFERROR(Vintage_Input!BB195/$C245,""),""))</f>
        <v/>
      </c>
      <c r="AU245" s="152">
        <f>IF($B245=1,$E$33,IF(N(Vintage_Input!O195)&gt;0,IFERROR(Vintage_Input!BC195/$C245,""),""))</f>
        <v/>
      </c>
      <c r="AV245" s="152">
        <f>IF($B245=1,$F$33,IF(N(Vintage_Input!P195)&gt;0,IFERROR(Vintage_Input!BD195/$C245,""),""))</f>
        <v/>
      </c>
      <c r="AW245" s="152">
        <f>IF($B245=1,$G$33,IF(N(Vintage_Input!Q195)&gt;0,IFERROR(Vintage_Input!BE195/$C245,""),""))</f>
        <v/>
      </c>
      <c r="AX245" s="152">
        <f>IF($B245=1,$H$33,IF(N(Vintage_Input!R195)&gt;0,IFERROR(Vintage_Input!BF195/$C245,""),""))</f>
        <v/>
      </c>
      <c r="AY245" s="152">
        <f>IF($B245=1,$I$33,IF(N(Vintage_Input!S195)&gt;0,IFERROR(Vintage_Input!BG195/$C245,""),""))</f>
        <v/>
      </c>
      <c r="AZ245" s="153">
        <f>IF($B245=1,$B$34,IF(N(Vintage_Input!L195)&gt;0,IFERROR((Vintage_Input!D195+Vintage_Input!AR195)/$C245+Products!$E$14-(Products!$E$43+Products!$E$19+Products!$E$43*Products!$E$22+Products!$E$44),""),""))</f>
        <v/>
      </c>
      <c r="BA245" s="153">
        <f>IF($B245=1,$C$34,IF(N(Vintage_Input!M195)&gt;0,IFERROR((Vintage_Input!E195+Vintage_Input!AS195)/$C245+Products!$E$14-(Products!$E$43+Products!$E$19+Products!$E$43*Products!$E$22+Products!$E$44),""),""))</f>
        <v/>
      </c>
      <c r="BB245" s="153">
        <f>IF($B245=1,$D$34,IF(N(Vintage_Input!N195)&gt;0,IFERROR((Vintage_Input!F195+Vintage_Input!AT195)/$C245+Products!$E$14-(Products!$E$43+Products!$E$19+Products!$E$43*Products!$E$22+Products!$E$44),""),""))</f>
        <v/>
      </c>
      <c r="BC245" s="153">
        <f>IF($B245=1,$E$34,IF(N(Vintage_Input!O195)&gt;0,IFERROR((Vintage_Input!G195+Vintage_Input!AU195)/$C245+Products!$E$14-(Products!$E$43+Products!$E$19+Products!$E$43*Products!$E$22+Products!$E$44),""),""))</f>
        <v/>
      </c>
      <c r="BD245" s="153">
        <f>IF($B245=1,$F$34,IF(N(Vintage_Input!P195)&gt;0,IFERROR((Vintage_Input!H195+Vintage_Input!AV195)/$C245+Products!$E$14-(Products!$E$43+Products!$E$19+Products!$E$43*Products!$E$22+Products!$E$44),""),""))</f>
        <v/>
      </c>
      <c r="BE245" s="153">
        <f>IF($B245=1,$G$34,IF(N(Vintage_Input!Q195)&gt;0,IFERROR((Vintage_Input!I195+Vintage_Input!AW195)/$C245+Products!$E$14-(Products!$E$43+Products!$E$19+Products!$E$43*Products!$E$22+Products!$E$44),""),""))</f>
        <v/>
      </c>
      <c r="BF245" s="153">
        <f>IF($B245=1,$H$34,IF(N(Vintage_Input!R195)&gt;0,IFERROR((Vintage_Input!J195+Vintage_Input!AX195)/$C245+Products!$E$14-(Products!$E$43+Products!$E$19+Products!$E$43*Products!$E$22+Products!$E$44),""),""))</f>
        <v/>
      </c>
      <c r="BG245" s="153">
        <f>IF($B245=1,$I$34,IF(N(Vintage_Input!S195)&gt;0,IFERROR((Vintage_Input!K195+Vintage_Input!AY195)/$C245+Products!$E$14-(Products!$E$43+Products!$E$19+Products!$E$43*Products!$E$22+Products!$E$44),""),""))</f>
        <v/>
      </c>
      <c r="BH245" s="81">
        <f>IF($B245=1,0,IF(Vintage_Input!$BH$195="","",Vintage_Input!$BH$195))</f>
        <v/>
      </c>
    </row>
    <row r="246">
      <c r="A246" s="23" t="n">
        <v>58</v>
      </c>
      <c r="B246" s="48">
        <f>Vintage_Input!$B$196</f>
        <v/>
      </c>
      <c r="C246" s="41">
        <f>IF(Vintage_Input!$C$196="",0,Vintage_Input!$C$196)</f>
        <v/>
      </c>
      <c r="D246" s="152">
        <f>IF($B246=1,$B$28,IF(N(Vintage_Input!L196)&gt;0,Vintage_Input!D196/Vintage_Input!L196,""))</f>
        <v/>
      </c>
      <c r="E246" s="152">
        <f>IF($B246=1,$C$28,IF(N(Vintage_Input!M196)&gt;0,Vintage_Input!E196/Vintage_Input!M196,""))</f>
        <v/>
      </c>
      <c r="F246" s="152">
        <f>IF($B246=1,$D$28,IF(N(Vintage_Input!N196)&gt;0,Vintage_Input!F196/Vintage_Input!N196,""))</f>
        <v/>
      </c>
      <c r="G246" s="152">
        <f>IF($B246=1,$E$28,IF(N(Vintage_Input!O196)&gt;0,Vintage_Input!G196/Vintage_Input!O196,""))</f>
        <v/>
      </c>
      <c r="H246" s="152">
        <f>IF($B246=1,$F$28,IF(N(Vintage_Input!P196)&gt;0,Vintage_Input!H196/Vintage_Input!P196,""))</f>
        <v/>
      </c>
      <c r="I246" s="152">
        <f>IF($B246=1,$G$28,IF(N(Vintage_Input!Q196)&gt;0,Vintage_Input!I196/Vintage_Input!Q196,""))</f>
        <v/>
      </c>
      <c r="J246" s="152">
        <f>IF($B246=1,$H$28,IF(N(Vintage_Input!R196)&gt;0,Vintage_Input!J196/Vintage_Input!R196,""))</f>
        <v/>
      </c>
      <c r="K246" s="152">
        <f>IF($B246=1,$I$28,IF(N(Vintage_Input!S196)&gt;0,Vintage_Input!K196/Vintage_Input!S196,""))</f>
        <v/>
      </c>
      <c r="L246" s="152">
        <f>IF($B246=1,$B$29,IF(N(Vintage_Input!L196)&gt;0,Vintage_Input!T196/Vintage_Input!L196,""))</f>
        <v/>
      </c>
      <c r="M246" s="152">
        <f>IF($B246=1,$C$29,IF(N(Vintage_Input!M196)&gt;0,Vintage_Input!U196/Vintage_Input!M196,""))</f>
        <v/>
      </c>
      <c r="N246" s="152">
        <f>IF($B246=1,$D$29,IF(N(Vintage_Input!N196)&gt;0,Vintage_Input!V196/Vintage_Input!N196,""))</f>
        <v/>
      </c>
      <c r="O246" s="152">
        <f>IF($B246=1,$E$29,IF(N(Vintage_Input!O196)&gt;0,Vintage_Input!W196/Vintage_Input!O196,""))</f>
        <v/>
      </c>
      <c r="P246" s="152">
        <f>IF($B246=1,$F$29,IF(N(Vintage_Input!P196)&gt;0,Vintage_Input!X196/Vintage_Input!P196,""))</f>
        <v/>
      </c>
      <c r="Q246" s="152">
        <f>IF($B246=1,$G$29,IF(N(Vintage_Input!Q196)&gt;0,Vintage_Input!Y196/Vintage_Input!Q196,""))</f>
        <v/>
      </c>
      <c r="R246" s="152">
        <f>IF($B246=1,$H$29,IF(N(Vintage_Input!R196)&gt;0,Vintage_Input!Z196/Vintage_Input!R196,""))</f>
        <v/>
      </c>
      <c r="S246" s="152">
        <f>IF($B246=1,$I$29,IF(N(Vintage_Input!S196)&gt;0,Vintage_Input!AA196/Vintage_Input!S196,""))</f>
        <v/>
      </c>
      <c r="T246" s="152">
        <f>IF($B246=1,$B$30,IF(N(Vintage_Input!L196)&gt;0,Vintage_Input!AB196/Vintage_Input!L196,""))</f>
        <v/>
      </c>
      <c r="U246" s="152">
        <f>IF($B246=1,$C$30,IF(N(Vintage_Input!M196)&gt;0,Vintage_Input!AC196/Vintage_Input!M196,""))</f>
        <v/>
      </c>
      <c r="V246" s="152">
        <f>IF($B246=1,$D$30,IF(N(Vintage_Input!N196)&gt;0,Vintage_Input!AD196/Vintage_Input!N196,""))</f>
        <v/>
      </c>
      <c r="W246" s="152">
        <f>IF($B246=1,$E$30,IF(N(Vintage_Input!O196)&gt;0,Vintage_Input!AE196/Vintage_Input!O196,""))</f>
        <v/>
      </c>
      <c r="X246" s="152">
        <f>IF($B246=1,$F$30,IF(N(Vintage_Input!P196)&gt;0,Vintage_Input!AF196/Vintage_Input!P196,""))</f>
        <v/>
      </c>
      <c r="Y246" s="152">
        <f>IF($B246=1,$G$30,IF(N(Vintage_Input!Q196)&gt;0,Vintage_Input!AG196/Vintage_Input!Q196,""))</f>
        <v/>
      </c>
      <c r="Z246" s="152">
        <f>IF($B246=1,$H$30,IF(N(Vintage_Input!R196)&gt;0,Vintage_Input!AH196/Vintage_Input!R196,""))</f>
        <v/>
      </c>
      <c r="AA246" s="152">
        <f>IF($B246=1,$I$30,IF(N(Vintage_Input!S196)&gt;0,Vintage_Input!AI196/Vintage_Input!S196,""))</f>
        <v/>
      </c>
      <c r="AB246" s="152">
        <f>IF($B246=1,$B$31,IF(N(Vintage_Input!L196)&gt;0,Vintage_Input!AJ196/Vintage_Input!L196,""))</f>
        <v/>
      </c>
      <c r="AC246" s="152">
        <f>IF($B246=1,$C$31,IF(N(Vintage_Input!M196)&gt;0,Vintage_Input!AK196/Vintage_Input!M196,""))</f>
        <v/>
      </c>
      <c r="AD246" s="152">
        <f>IF($B246=1,$D$31,IF(N(Vintage_Input!N196)&gt;0,Vintage_Input!AL196/Vintage_Input!N196,""))</f>
        <v/>
      </c>
      <c r="AE246" s="152">
        <f>IF($B246=1,$E$31,IF(N(Vintage_Input!O196)&gt;0,Vintage_Input!AM196/Vintage_Input!O196,""))</f>
        <v/>
      </c>
      <c r="AF246" s="152">
        <f>IF($B246=1,$F$31,IF(N(Vintage_Input!P196)&gt;0,Vintage_Input!AN196/Vintage_Input!P196,""))</f>
        <v/>
      </c>
      <c r="AG246" s="152">
        <f>IF($B246=1,$G$31,IF(N(Vintage_Input!Q196)&gt;0,Vintage_Input!AO196/Vintage_Input!Q196,""))</f>
        <v/>
      </c>
      <c r="AH246" s="152">
        <f>IF($B246=1,$H$31,IF(N(Vintage_Input!R196)&gt;0,Vintage_Input!AP196/Vintage_Input!R196,""))</f>
        <v/>
      </c>
      <c r="AI246" s="152">
        <f>IF($B246=1,$I$31,IF(N(Vintage_Input!S196)&gt;0,Vintage_Input!AQ196/Vintage_Input!S196,""))</f>
        <v/>
      </c>
      <c r="AJ246" s="152">
        <f>IF($B246=1,$B$32,IF(N(Vintage_Input!L196)&gt;0,IFERROR(Vintage_Input!AR196/Vintage_Input!AJ196,""),""))</f>
        <v/>
      </c>
      <c r="AK246" s="152">
        <f>IF($B246=1,$C$32,IF(N(Vintage_Input!M196)&gt;0,IFERROR(Vintage_Input!AS196/Vintage_Input!AK196,""),""))</f>
        <v/>
      </c>
      <c r="AL246" s="152">
        <f>IF($B246=1,$D$32,IF(N(Vintage_Input!N196)&gt;0,IFERROR(Vintage_Input!AT196/Vintage_Input!AL196,""),""))</f>
        <v/>
      </c>
      <c r="AM246" s="152">
        <f>IF($B246=1,$E$32,IF(N(Vintage_Input!O196)&gt;0,IFERROR(Vintage_Input!AU196/Vintage_Input!AM196,""),""))</f>
        <v/>
      </c>
      <c r="AN246" s="152">
        <f>IF($B246=1,$F$32,IF(N(Vintage_Input!P196)&gt;0,IFERROR(Vintage_Input!AV196/Vintage_Input!AN196,""),""))</f>
        <v/>
      </c>
      <c r="AO246" s="152">
        <f>IF($B246=1,$G$32,IF(N(Vintage_Input!Q196)&gt;0,IFERROR(Vintage_Input!AW196/Vintage_Input!AO196,""),""))</f>
        <v/>
      </c>
      <c r="AP246" s="152">
        <f>IF($B246=1,$H$32,IF(N(Vintage_Input!R196)&gt;0,IFERROR(Vintage_Input!AX196/Vintage_Input!AP196,""),""))</f>
        <v/>
      </c>
      <c r="AQ246" s="152">
        <f>IF($B246=1,$I$32,IF(N(Vintage_Input!S196)&gt;0,IFERROR(Vintage_Input!AY196/Vintage_Input!AQ196,""),""))</f>
        <v/>
      </c>
      <c r="AR246" s="152">
        <f>IF($B246=1,$B$33,IF(N(Vintage_Input!L196)&gt;0,IFERROR(Vintage_Input!AZ196/$C246,""),""))</f>
        <v/>
      </c>
      <c r="AS246" s="152">
        <f>IF($B246=1,$C$33,IF(N(Vintage_Input!M196)&gt;0,IFERROR(Vintage_Input!BA196/$C246,""),""))</f>
        <v/>
      </c>
      <c r="AT246" s="152">
        <f>IF($B246=1,$D$33,IF(N(Vintage_Input!N196)&gt;0,IFERROR(Vintage_Input!BB196/$C246,""),""))</f>
        <v/>
      </c>
      <c r="AU246" s="152">
        <f>IF($B246=1,$E$33,IF(N(Vintage_Input!O196)&gt;0,IFERROR(Vintage_Input!BC196/$C246,""),""))</f>
        <v/>
      </c>
      <c r="AV246" s="152">
        <f>IF($B246=1,$F$33,IF(N(Vintage_Input!P196)&gt;0,IFERROR(Vintage_Input!BD196/$C246,""),""))</f>
        <v/>
      </c>
      <c r="AW246" s="152">
        <f>IF($B246=1,$G$33,IF(N(Vintage_Input!Q196)&gt;0,IFERROR(Vintage_Input!BE196/$C246,""),""))</f>
        <v/>
      </c>
      <c r="AX246" s="152">
        <f>IF($B246=1,$H$33,IF(N(Vintage_Input!R196)&gt;0,IFERROR(Vintage_Input!BF196/$C246,""),""))</f>
        <v/>
      </c>
      <c r="AY246" s="152">
        <f>IF($B246=1,$I$33,IF(N(Vintage_Input!S196)&gt;0,IFERROR(Vintage_Input!BG196/$C246,""),""))</f>
        <v/>
      </c>
      <c r="AZ246" s="153">
        <f>IF($B246=1,$B$34,IF(N(Vintage_Input!L196)&gt;0,IFERROR((Vintage_Input!D196+Vintage_Input!AR196)/$C246+Products!$E$14-(Products!$E$43+Products!$E$19+Products!$E$43*Products!$E$22+Products!$E$44),""),""))</f>
        <v/>
      </c>
      <c r="BA246" s="153">
        <f>IF($B246=1,$C$34,IF(N(Vintage_Input!M196)&gt;0,IFERROR((Vintage_Input!E196+Vintage_Input!AS196)/$C246+Products!$E$14-(Products!$E$43+Products!$E$19+Products!$E$43*Products!$E$22+Products!$E$44),""),""))</f>
        <v/>
      </c>
      <c r="BB246" s="153">
        <f>IF($B246=1,$D$34,IF(N(Vintage_Input!N196)&gt;0,IFERROR((Vintage_Input!F196+Vintage_Input!AT196)/$C246+Products!$E$14-(Products!$E$43+Products!$E$19+Products!$E$43*Products!$E$22+Products!$E$44),""),""))</f>
        <v/>
      </c>
      <c r="BC246" s="153">
        <f>IF($B246=1,$E$34,IF(N(Vintage_Input!O196)&gt;0,IFERROR((Vintage_Input!G196+Vintage_Input!AU196)/$C246+Products!$E$14-(Products!$E$43+Products!$E$19+Products!$E$43*Products!$E$22+Products!$E$44),""),""))</f>
        <v/>
      </c>
      <c r="BD246" s="153">
        <f>IF($B246=1,$F$34,IF(N(Vintage_Input!P196)&gt;0,IFERROR((Vintage_Input!H196+Vintage_Input!AV196)/$C246+Products!$E$14-(Products!$E$43+Products!$E$19+Products!$E$43*Products!$E$22+Products!$E$44),""),""))</f>
        <v/>
      </c>
      <c r="BE246" s="153">
        <f>IF($B246=1,$G$34,IF(N(Vintage_Input!Q196)&gt;0,IFERROR((Vintage_Input!I196+Vintage_Input!AW196)/$C246+Products!$E$14-(Products!$E$43+Products!$E$19+Products!$E$43*Products!$E$22+Products!$E$44),""),""))</f>
        <v/>
      </c>
      <c r="BF246" s="153">
        <f>IF($B246=1,$H$34,IF(N(Vintage_Input!R196)&gt;0,IFERROR((Vintage_Input!J196+Vintage_Input!AX196)/$C246+Products!$E$14-(Products!$E$43+Products!$E$19+Products!$E$43*Products!$E$22+Products!$E$44),""),""))</f>
        <v/>
      </c>
      <c r="BG246" s="153">
        <f>IF($B246=1,$I$34,IF(N(Vintage_Input!S196)&gt;0,IFERROR((Vintage_Input!K196+Vintage_Input!AY196)/$C246+Products!$E$14-(Products!$E$43+Products!$E$19+Products!$E$43*Products!$E$22+Products!$E$44),""),""))</f>
        <v/>
      </c>
      <c r="BH246" s="81">
        <f>IF($B246=1,0,IF(Vintage_Input!$BH$196="","",Vintage_Input!$BH$196))</f>
        <v/>
      </c>
    </row>
    <row r="247">
      <c r="A247" s="23" t="n">
        <v>59</v>
      </c>
      <c r="B247" s="48">
        <f>Vintage_Input!$B$197</f>
        <v/>
      </c>
      <c r="C247" s="41">
        <f>IF(Vintage_Input!$C$197="",0,Vintage_Input!$C$197)</f>
        <v/>
      </c>
      <c r="D247" s="152">
        <f>IF($B247=1,$B$28,IF(N(Vintage_Input!L197)&gt;0,Vintage_Input!D197/Vintage_Input!L197,""))</f>
        <v/>
      </c>
      <c r="E247" s="152">
        <f>IF($B247=1,$C$28,IF(N(Vintage_Input!M197)&gt;0,Vintage_Input!E197/Vintage_Input!M197,""))</f>
        <v/>
      </c>
      <c r="F247" s="152">
        <f>IF($B247=1,$D$28,IF(N(Vintage_Input!N197)&gt;0,Vintage_Input!F197/Vintage_Input!N197,""))</f>
        <v/>
      </c>
      <c r="G247" s="152">
        <f>IF($B247=1,$E$28,IF(N(Vintage_Input!O197)&gt;0,Vintage_Input!G197/Vintage_Input!O197,""))</f>
        <v/>
      </c>
      <c r="H247" s="152">
        <f>IF($B247=1,$F$28,IF(N(Vintage_Input!P197)&gt;0,Vintage_Input!H197/Vintage_Input!P197,""))</f>
        <v/>
      </c>
      <c r="I247" s="152">
        <f>IF($B247=1,$G$28,IF(N(Vintage_Input!Q197)&gt;0,Vintage_Input!I197/Vintage_Input!Q197,""))</f>
        <v/>
      </c>
      <c r="J247" s="152">
        <f>IF($B247=1,$H$28,IF(N(Vintage_Input!R197)&gt;0,Vintage_Input!J197/Vintage_Input!R197,""))</f>
        <v/>
      </c>
      <c r="K247" s="152">
        <f>IF($B247=1,$I$28,IF(N(Vintage_Input!S197)&gt;0,Vintage_Input!K197/Vintage_Input!S197,""))</f>
        <v/>
      </c>
      <c r="L247" s="152">
        <f>IF($B247=1,$B$29,IF(N(Vintage_Input!L197)&gt;0,Vintage_Input!T197/Vintage_Input!L197,""))</f>
        <v/>
      </c>
      <c r="M247" s="152">
        <f>IF($B247=1,$C$29,IF(N(Vintage_Input!M197)&gt;0,Vintage_Input!U197/Vintage_Input!M197,""))</f>
        <v/>
      </c>
      <c r="N247" s="152">
        <f>IF($B247=1,$D$29,IF(N(Vintage_Input!N197)&gt;0,Vintage_Input!V197/Vintage_Input!N197,""))</f>
        <v/>
      </c>
      <c r="O247" s="152">
        <f>IF($B247=1,$E$29,IF(N(Vintage_Input!O197)&gt;0,Vintage_Input!W197/Vintage_Input!O197,""))</f>
        <v/>
      </c>
      <c r="P247" s="152">
        <f>IF($B247=1,$F$29,IF(N(Vintage_Input!P197)&gt;0,Vintage_Input!X197/Vintage_Input!P197,""))</f>
        <v/>
      </c>
      <c r="Q247" s="152">
        <f>IF($B247=1,$G$29,IF(N(Vintage_Input!Q197)&gt;0,Vintage_Input!Y197/Vintage_Input!Q197,""))</f>
        <v/>
      </c>
      <c r="R247" s="152">
        <f>IF($B247=1,$H$29,IF(N(Vintage_Input!R197)&gt;0,Vintage_Input!Z197/Vintage_Input!R197,""))</f>
        <v/>
      </c>
      <c r="S247" s="152">
        <f>IF($B247=1,$I$29,IF(N(Vintage_Input!S197)&gt;0,Vintage_Input!AA197/Vintage_Input!S197,""))</f>
        <v/>
      </c>
      <c r="T247" s="152">
        <f>IF($B247=1,$B$30,IF(N(Vintage_Input!L197)&gt;0,Vintage_Input!AB197/Vintage_Input!L197,""))</f>
        <v/>
      </c>
      <c r="U247" s="152">
        <f>IF($B247=1,$C$30,IF(N(Vintage_Input!M197)&gt;0,Vintage_Input!AC197/Vintage_Input!M197,""))</f>
        <v/>
      </c>
      <c r="V247" s="152">
        <f>IF($B247=1,$D$30,IF(N(Vintage_Input!N197)&gt;0,Vintage_Input!AD197/Vintage_Input!N197,""))</f>
        <v/>
      </c>
      <c r="W247" s="152">
        <f>IF($B247=1,$E$30,IF(N(Vintage_Input!O197)&gt;0,Vintage_Input!AE197/Vintage_Input!O197,""))</f>
        <v/>
      </c>
      <c r="X247" s="152">
        <f>IF($B247=1,$F$30,IF(N(Vintage_Input!P197)&gt;0,Vintage_Input!AF197/Vintage_Input!P197,""))</f>
        <v/>
      </c>
      <c r="Y247" s="152">
        <f>IF($B247=1,$G$30,IF(N(Vintage_Input!Q197)&gt;0,Vintage_Input!AG197/Vintage_Input!Q197,""))</f>
        <v/>
      </c>
      <c r="Z247" s="152">
        <f>IF($B247=1,$H$30,IF(N(Vintage_Input!R197)&gt;0,Vintage_Input!AH197/Vintage_Input!R197,""))</f>
        <v/>
      </c>
      <c r="AA247" s="152">
        <f>IF($B247=1,$I$30,IF(N(Vintage_Input!S197)&gt;0,Vintage_Input!AI197/Vintage_Input!S197,""))</f>
        <v/>
      </c>
      <c r="AB247" s="152">
        <f>IF($B247=1,$B$31,IF(N(Vintage_Input!L197)&gt;0,Vintage_Input!AJ197/Vintage_Input!L197,""))</f>
        <v/>
      </c>
      <c r="AC247" s="152">
        <f>IF($B247=1,$C$31,IF(N(Vintage_Input!M197)&gt;0,Vintage_Input!AK197/Vintage_Input!M197,""))</f>
        <v/>
      </c>
      <c r="AD247" s="152">
        <f>IF($B247=1,$D$31,IF(N(Vintage_Input!N197)&gt;0,Vintage_Input!AL197/Vintage_Input!N197,""))</f>
        <v/>
      </c>
      <c r="AE247" s="152">
        <f>IF($B247=1,$E$31,IF(N(Vintage_Input!O197)&gt;0,Vintage_Input!AM197/Vintage_Input!O197,""))</f>
        <v/>
      </c>
      <c r="AF247" s="152">
        <f>IF($B247=1,$F$31,IF(N(Vintage_Input!P197)&gt;0,Vintage_Input!AN197/Vintage_Input!P197,""))</f>
        <v/>
      </c>
      <c r="AG247" s="152">
        <f>IF($B247=1,$G$31,IF(N(Vintage_Input!Q197)&gt;0,Vintage_Input!AO197/Vintage_Input!Q197,""))</f>
        <v/>
      </c>
      <c r="AH247" s="152">
        <f>IF($B247=1,$H$31,IF(N(Vintage_Input!R197)&gt;0,Vintage_Input!AP197/Vintage_Input!R197,""))</f>
        <v/>
      </c>
      <c r="AI247" s="152">
        <f>IF($B247=1,$I$31,IF(N(Vintage_Input!S197)&gt;0,Vintage_Input!AQ197/Vintage_Input!S197,""))</f>
        <v/>
      </c>
      <c r="AJ247" s="152">
        <f>IF($B247=1,$B$32,IF(N(Vintage_Input!L197)&gt;0,IFERROR(Vintage_Input!AR197/Vintage_Input!AJ197,""),""))</f>
        <v/>
      </c>
      <c r="AK247" s="152">
        <f>IF($B247=1,$C$32,IF(N(Vintage_Input!M197)&gt;0,IFERROR(Vintage_Input!AS197/Vintage_Input!AK197,""),""))</f>
        <v/>
      </c>
      <c r="AL247" s="152">
        <f>IF($B247=1,$D$32,IF(N(Vintage_Input!N197)&gt;0,IFERROR(Vintage_Input!AT197/Vintage_Input!AL197,""),""))</f>
        <v/>
      </c>
      <c r="AM247" s="152">
        <f>IF($B247=1,$E$32,IF(N(Vintage_Input!O197)&gt;0,IFERROR(Vintage_Input!AU197/Vintage_Input!AM197,""),""))</f>
        <v/>
      </c>
      <c r="AN247" s="152">
        <f>IF($B247=1,$F$32,IF(N(Vintage_Input!P197)&gt;0,IFERROR(Vintage_Input!AV197/Vintage_Input!AN197,""),""))</f>
        <v/>
      </c>
      <c r="AO247" s="152">
        <f>IF($B247=1,$G$32,IF(N(Vintage_Input!Q197)&gt;0,IFERROR(Vintage_Input!AW197/Vintage_Input!AO197,""),""))</f>
        <v/>
      </c>
      <c r="AP247" s="152">
        <f>IF($B247=1,$H$32,IF(N(Vintage_Input!R197)&gt;0,IFERROR(Vintage_Input!AX197/Vintage_Input!AP197,""),""))</f>
        <v/>
      </c>
      <c r="AQ247" s="152">
        <f>IF($B247=1,$I$32,IF(N(Vintage_Input!S197)&gt;0,IFERROR(Vintage_Input!AY197/Vintage_Input!AQ197,""),""))</f>
        <v/>
      </c>
      <c r="AR247" s="152">
        <f>IF($B247=1,$B$33,IF(N(Vintage_Input!L197)&gt;0,IFERROR(Vintage_Input!AZ197/$C247,""),""))</f>
        <v/>
      </c>
      <c r="AS247" s="152">
        <f>IF($B247=1,$C$33,IF(N(Vintage_Input!M197)&gt;0,IFERROR(Vintage_Input!BA197/$C247,""),""))</f>
        <v/>
      </c>
      <c r="AT247" s="152">
        <f>IF($B247=1,$D$33,IF(N(Vintage_Input!N197)&gt;0,IFERROR(Vintage_Input!BB197/$C247,""),""))</f>
        <v/>
      </c>
      <c r="AU247" s="152">
        <f>IF($B247=1,$E$33,IF(N(Vintage_Input!O197)&gt;0,IFERROR(Vintage_Input!BC197/$C247,""),""))</f>
        <v/>
      </c>
      <c r="AV247" s="152">
        <f>IF($B247=1,$F$33,IF(N(Vintage_Input!P197)&gt;0,IFERROR(Vintage_Input!BD197/$C247,""),""))</f>
        <v/>
      </c>
      <c r="AW247" s="152">
        <f>IF($B247=1,$G$33,IF(N(Vintage_Input!Q197)&gt;0,IFERROR(Vintage_Input!BE197/$C247,""),""))</f>
        <v/>
      </c>
      <c r="AX247" s="152">
        <f>IF($B247=1,$H$33,IF(N(Vintage_Input!R197)&gt;0,IFERROR(Vintage_Input!BF197/$C247,""),""))</f>
        <v/>
      </c>
      <c r="AY247" s="152">
        <f>IF($B247=1,$I$33,IF(N(Vintage_Input!S197)&gt;0,IFERROR(Vintage_Input!BG197/$C247,""),""))</f>
        <v/>
      </c>
      <c r="AZ247" s="153">
        <f>IF($B247=1,$B$34,IF(N(Vintage_Input!L197)&gt;0,IFERROR((Vintage_Input!D197+Vintage_Input!AR197)/$C247+Products!$E$14-(Products!$E$43+Products!$E$19+Products!$E$43*Products!$E$22+Products!$E$44),""),""))</f>
        <v/>
      </c>
      <c r="BA247" s="153">
        <f>IF($B247=1,$C$34,IF(N(Vintage_Input!M197)&gt;0,IFERROR((Vintage_Input!E197+Vintage_Input!AS197)/$C247+Products!$E$14-(Products!$E$43+Products!$E$19+Products!$E$43*Products!$E$22+Products!$E$44),""),""))</f>
        <v/>
      </c>
      <c r="BB247" s="153">
        <f>IF($B247=1,$D$34,IF(N(Vintage_Input!N197)&gt;0,IFERROR((Vintage_Input!F197+Vintage_Input!AT197)/$C247+Products!$E$14-(Products!$E$43+Products!$E$19+Products!$E$43*Products!$E$22+Products!$E$44),""),""))</f>
        <v/>
      </c>
      <c r="BC247" s="153">
        <f>IF($B247=1,$E$34,IF(N(Vintage_Input!O197)&gt;0,IFERROR((Vintage_Input!G197+Vintage_Input!AU197)/$C247+Products!$E$14-(Products!$E$43+Products!$E$19+Products!$E$43*Products!$E$22+Products!$E$44),""),""))</f>
        <v/>
      </c>
      <c r="BD247" s="153">
        <f>IF($B247=1,$F$34,IF(N(Vintage_Input!P197)&gt;0,IFERROR((Vintage_Input!H197+Vintage_Input!AV197)/$C247+Products!$E$14-(Products!$E$43+Products!$E$19+Products!$E$43*Products!$E$22+Products!$E$44),""),""))</f>
        <v/>
      </c>
      <c r="BE247" s="153">
        <f>IF($B247=1,$G$34,IF(N(Vintage_Input!Q197)&gt;0,IFERROR((Vintage_Input!I197+Vintage_Input!AW197)/$C247+Products!$E$14-(Products!$E$43+Products!$E$19+Products!$E$43*Products!$E$22+Products!$E$44),""),""))</f>
        <v/>
      </c>
      <c r="BF247" s="153">
        <f>IF($B247=1,$H$34,IF(N(Vintage_Input!R197)&gt;0,IFERROR((Vintage_Input!J197+Vintage_Input!AX197)/$C247+Products!$E$14-(Products!$E$43+Products!$E$19+Products!$E$43*Products!$E$22+Products!$E$44),""),""))</f>
        <v/>
      </c>
      <c r="BG247" s="153">
        <f>IF($B247=1,$I$34,IF(N(Vintage_Input!S197)&gt;0,IFERROR((Vintage_Input!K197+Vintage_Input!AY197)/$C247+Products!$E$14-(Products!$E$43+Products!$E$19+Products!$E$43*Products!$E$22+Products!$E$44),""),""))</f>
        <v/>
      </c>
      <c r="BH247" s="81">
        <f>IF($B247=1,0,IF(Vintage_Input!$BH$197="","",Vintage_Input!$BH$197))</f>
        <v/>
      </c>
    </row>
    <row r="248">
      <c r="A248" s="23" t="n">
        <v>60</v>
      </c>
      <c r="B248" s="48">
        <f>Vintage_Input!$B$198</f>
        <v/>
      </c>
      <c r="C248" s="41">
        <f>IF(Vintage_Input!$C$198="",0,Vintage_Input!$C$198)</f>
        <v/>
      </c>
      <c r="D248" s="152">
        <f>IF($B248=1,$B$28,IF(N(Vintage_Input!L198)&gt;0,Vintage_Input!D198/Vintage_Input!L198,""))</f>
        <v/>
      </c>
      <c r="E248" s="152">
        <f>IF($B248=1,$C$28,IF(N(Vintage_Input!M198)&gt;0,Vintage_Input!E198/Vintage_Input!M198,""))</f>
        <v/>
      </c>
      <c r="F248" s="152">
        <f>IF($B248=1,$D$28,IF(N(Vintage_Input!N198)&gt;0,Vintage_Input!F198/Vintage_Input!N198,""))</f>
        <v/>
      </c>
      <c r="G248" s="152">
        <f>IF($B248=1,$E$28,IF(N(Vintage_Input!O198)&gt;0,Vintage_Input!G198/Vintage_Input!O198,""))</f>
        <v/>
      </c>
      <c r="H248" s="152">
        <f>IF($B248=1,$F$28,IF(N(Vintage_Input!P198)&gt;0,Vintage_Input!H198/Vintage_Input!P198,""))</f>
        <v/>
      </c>
      <c r="I248" s="152">
        <f>IF($B248=1,$G$28,IF(N(Vintage_Input!Q198)&gt;0,Vintage_Input!I198/Vintage_Input!Q198,""))</f>
        <v/>
      </c>
      <c r="J248" s="152">
        <f>IF($B248=1,$H$28,IF(N(Vintage_Input!R198)&gt;0,Vintage_Input!J198/Vintage_Input!R198,""))</f>
        <v/>
      </c>
      <c r="K248" s="152">
        <f>IF($B248=1,$I$28,IF(N(Vintage_Input!S198)&gt;0,Vintage_Input!K198/Vintage_Input!S198,""))</f>
        <v/>
      </c>
      <c r="L248" s="152">
        <f>IF($B248=1,$B$29,IF(N(Vintage_Input!L198)&gt;0,Vintage_Input!T198/Vintage_Input!L198,""))</f>
        <v/>
      </c>
      <c r="M248" s="152">
        <f>IF($B248=1,$C$29,IF(N(Vintage_Input!M198)&gt;0,Vintage_Input!U198/Vintage_Input!M198,""))</f>
        <v/>
      </c>
      <c r="N248" s="152">
        <f>IF($B248=1,$D$29,IF(N(Vintage_Input!N198)&gt;0,Vintage_Input!V198/Vintage_Input!N198,""))</f>
        <v/>
      </c>
      <c r="O248" s="152">
        <f>IF($B248=1,$E$29,IF(N(Vintage_Input!O198)&gt;0,Vintage_Input!W198/Vintage_Input!O198,""))</f>
        <v/>
      </c>
      <c r="P248" s="152">
        <f>IF($B248=1,$F$29,IF(N(Vintage_Input!P198)&gt;0,Vintage_Input!X198/Vintage_Input!P198,""))</f>
        <v/>
      </c>
      <c r="Q248" s="152">
        <f>IF($B248=1,$G$29,IF(N(Vintage_Input!Q198)&gt;0,Vintage_Input!Y198/Vintage_Input!Q198,""))</f>
        <v/>
      </c>
      <c r="R248" s="152">
        <f>IF($B248=1,$H$29,IF(N(Vintage_Input!R198)&gt;0,Vintage_Input!Z198/Vintage_Input!R198,""))</f>
        <v/>
      </c>
      <c r="S248" s="152">
        <f>IF($B248=1,$I$29,IF(N(Vintage_Input!S198)&gt;0,Vintage_Input!AA198/Vintage_Input!S198,""))</f>
        <v/>
      </c>
      <c r="T248" s="152">
        <f>IF($B248=1,$B$30,IF(N(Vintage_Input!L198)&gt;0,Vintage_Input!AB198/Vintage_Input!L198,""))</f>
        <v/>
      </c>
      <c r="U248" s="152">
        <f>IF($B248=1,$C$30,IF(N(Vintage_Input!M198)&gt;0,Vintage_Input!AC198/Vintage_Input!M198,""))</f>
        <v/>
      </c>
      <c r="V248" s="152">
        <f>IF($B248=1,$D$30,IF(N(Vintage_Input!N198)&gt;0,Vintage_Input!AD198/Vintage_Input!N198,""))</f>
        <v/>
      </c>
      <c r="W248" s="152">
        <f>IF($B248=1,$E$30,IF(N(Vintage_Input!O198)&gt;0,Vintage_Input!AE198/Vintage_Input!O198,""))</f>
        <v/>
      </c>
      <c r="X248" s="152">
        <f>IF($B248=1,$F$30,IF(N(Vintage_Input!P198)&gt;0,Vintage_Input!AF198/Vintage_Input!P198,""))</f>
        <v/>
      </c>
      <c r="Y248" s="152">
        <f>IF($B248=1,$G$30,IF(N(Vintage_Input!Q198)&gt;0,Vintage_Input!AG198/Vintage_Input!Q198,""))</f>
        <v/>
      </c>
      <c r="Z248" s="152">
        <f>IF($B248=1,$H$30,IF(N(Vintage_Input!R198)&gt;0,Vintage_Input!AH198/Vintage_Input!R198,""))</f>
        <v/>
      </c>
      <c r="AA248" s="152">
        <f>IF($B248=1,$I$30,IF(N(Vintage_Input!S198)&gt;0,Vintage_Input!AI198/Vintage_Input!S198,""))</f>
        <v/>
      </c>
      <c r="AB248" s="152">
        <f>IF($B248=1,$B$31,IF(N(Vintage_Input!L198)&gt;0,Vintage_Input!AJ198/Vintage_Input!L198,""))</f>
        <v/>
      </c>
      <c r="AC248" s="152">
        <f>IF($B248=1,$C$31,IF(N(Vintage_Input!M198)&gt;0,Vintage_Input!AK198/Vintage_Input!M198,""))</f>
        <v/>
      </c>
      <c r="AD248" s="152">
        <f>IF($B248=1,$D$31,IF(N(Vintage_Input!N198)&gt;0,Vintage_Input!AL198/Vintage_Input!N198,""))</f>
        <v/>
      </c>
      <c r="AE248" s="152">
        <f>IF($B248=1,$E$31,IF(N(Vintage_Input!O198)&gt;0,Vintage_Input!AM198/Vintage_Input!O198,""))</f>
        <v/>
      </c>
      <c r="AF248" s="152">
        <f>IF($B248=1,$F$31,IF(N(Vintage_Input!P198)&gt;0,Vintage_Input!AN198/Vintage_Input!P198,""))</f>
        <v/>
      </c>
      <c r="AG248" s="152">
        <f>IF($B248=1,$G$31,IF(N(Vintage_Input!Q198)&gt;0,Vintage_Input!AO198/Vintage_Input!Q198,""))</f>
        <v/>
      </c>
      <c r="AH248" s="152">
        <f>IF($B248=1,$H$31,IF(N(Vintage_Input!R198)&gt;0,Vintage_Input!AP198/Vintage_Input!R198,""))</f>
        <v/>
      </c>
      <c r="AI248" s="152">
        <f>IF($B248=1,$I$31,IF(N(Vintage_Input!S198)&gt;0,Vintage_Input!AQ198/Vintage_Input!S198,""))</f>
        <v/>
      </c>
      <c r="AJ248" s="152">
        <f>IF($B248=1,$B$32,IF(N(Vintage_Input!L198)&gt;0,IFERROR(Vintage_Input!AR198/Vintage_Input!AJ198,""),""))</f>
        <v/>
      </c>
      <c r="AK248" s="152">
        <f>IF($B248=1,$C$32,IF(N(Vintage_Input!M198)&gt;0,IFERROR(Vintage_Input!AS198/Vintage_Input!AK198,""),""))</f>
        <v/>
      </c>
      <c r="AL248" s="152">
        <f>IF($B248=1,$D$32,IF(N(Vintage_Input!N198)&gt;0,IFERROR(Vintage_Input!AT198/Vintage_Input!AL198,""),""))</f>
        <v/>
      </c>
      <c r="AM248" s="152">
        <f>IF($B248=1,$E$32,IF(N(Vintage_Input!O198)&gt;0,IFERROR(Vintage_Input!AU198/Vintage_Input!AM198,""),""))</f>
        <v/>
      </c>
      <c r="AN248" s="152">
        <f>IF($B248=1,$F$32,IF(N(Vintage_Input!P198)&gt;0,IFERROR(Vintage_Input!AV198/Vintage_Input!AN198,""),""))</f>
        <v/>
      </c>
      <c r="AO248" s="152">
        <f>IF($B248=1,$G$32,IF(N(Vintage_Input!Q198)&gt;0,IFERROR(Vintage_Input!AW198/Vintage_Input!AO198,""),""))</f>
        <v/>
      </c>
      <c r="AP248" s="152">
        <f>IF($B248=1,$H$32,IF(N(Vintage_Input!R198)&gt;0,IFERROR(Vintage_Input!AX198/Vintage_Input!AP198,""),""))</f>
        <v/>
      </c>
      <c r="AQ248" s="152">
        <f>IF($B248=1,$I$32,IF(N(Vintage_Input!S198)&gt;0,IFERROR(Vintage_Input!AY198/Vintage_Input!AQ198,""),""))</f>
        <v/>
      </c>
      <c r="AR248" s="152">
        <f>IF($B248=1,$B$33,IF(N(Vintage_Input!L198)&gt;0,IFERROR(Vintage_Input!AZ198/$C248,""),""))</f>
        <v/>
      </c>
      <c r="AS248" s="152">
        <f>IF($B248=1,$C$33,IF(N(Vintage_Input!M198)&gt;0,IFERROR(Vintage_Input!BA198/$C248,""),""))</f>
        <v/>
      </c>
      <c r="AT248" s="152">
        <f>IF($B248=1,$D$33,IF(N(Vintage_Input!N198)&gt;0,IFERROR(Vintage_Input!BB198/$C248,""),""))</f>
        <v/>
      </c>
      <c r="AU248" s="152">
        <f>IF($B248=1,$E$33,IF(N(Vintage_Input!O198)&gt;0,IFERROR(Vintage_Input!BC198/$C248,""),""))</f>
        <v/>
      </c>
      <c r="AV248" s="152">
        <f>IF($B248=1,$F$33,IF(N(Vintage_Input!P198)&gt;0,IFERROR(Vintage_Input!BD198/$C248,""),""))</f>
        <v/>
      </c>
      <c r="AW248" s="152">
        <f>IF($B248=1,$G$33,IF(N(Vintage_Input!Q198)&gt;0,IFERROR(Vintage_Input!BE198/$C248,""),""))</f>
        <v/>
      </c>
      <c r="AX248" s="152">
        <f>IF($B248=1,$H$33,IF(N(Vintage_Input!R198)&gt;0,IFERROR(Vintage_Input!BF198/$C248,""),""))</f>
        <v/>
      </c>
      <c r="AY248" s="152">
        <f>IF($B248=1,$I$33,IF(N(Vintage_Input!S198)&gt;0,IFERROR(Vintage_Input!BG198/$C248,""),""))</f>
        <v/>
      </c>
      <c r="AZ248" s="153">
        <f>IF($B248=1,$B$34,IF(N(Vintage_Input!L198)&gt;0,IFERROR((Vintage_Input!D198+Vintage_Input!AR198)/$C248+Products!$E$14-(Products!$E$43+Products!$E$19+Products!$E$43*Products!$E$22+Products!$E$44),""),""))</f>
        <v/>
      </c>
      <c r="BA248" s="153">
        <f>IF($B248=1,$C$34,IF(N(Vintage_Input!M198)&gt;0,IFERROR((Vintage_Input!E198+Vintage_Input!AS198)/$C248+Products!$E$14-(Products!$E$43+Products!$E$19+Products!$E$43*Products!$E$22+Products!$E$44),""),""))</f>
        <v/>
      </c>
      <c r="BB248" s="153">
        <f>IF($B248=1,$D$34,IF(N(Vintage_Input!N198)&gt;0,IFERROR((Vintage_Input!F198+Vintage_Input!AT198)/$C248+Products!$E$14-(Products!$E$43+Products!$E$19+Products!$E$43*Products!$E$22+Products!$E$44),""),""))</f>
        <v/>
      </c>
      <c r="BC248" s="153">
        <f>IF($B248=1,$E$34,IF(N(Vintage_Input!O198)&gt;0,IFERROR((Vintage_Input!G198+Vintage_Input!AU198)/$C248+Products!$E$14-(Products!$E$43+Products!$E$19+Products!$E$43*Products!$E$22+Products!$E$44),""),""))</f>
        <v/>
      </c>
      <c r="BD248" s="153">
        <f>IF($B248=1,$F$34,IF(N(Vintage_Input!P198)&gt;0,IFERROR((Vintage_Input!H198+Vintage_Input!AV198)/$C248+Products!$E$14-(Products!$E$43+Products!$E$19+Products!$E$43*Products!$E$22+Products!$E$44),""),""))</f>
        <v/>
      </c>
      <c r="BE248" s="153">
        <f>IF($B248=1,$G$34,IF(N(Vintage_Input!Q198)&gt;0,IFERROR((Vintage_Input!I198+Vintage_Input!AW198)/$C248+Products!$E$14-(Products!$E$43+Products!$E$19+Products!$E$43*Products!$E$22+Products!$E$44),""),""))</f>
        <v/>
      </c>
      <c r="BF248" s="153">
        <f>IF($B248=1,$H$34,IF(N(Vintage_Input!R198)&gt;0,IFERROR((Vintage_Input!J198+Vintage_Input!AX198)/$C248+Products!$E$14-(Products!$E$43+Products!$E$19+Products!$E$43*Products!$E$22+Products!$E$44),""),""))</f>
        <v/>
      </c>
      <c r="BG248" s="153">
        <f>IF($B248=1,$I$34,IF(N(Vintage_Input!S198)&gt;0,IFERROR((Vintage_Input!K198+Vintage_Input!AY198)/$C248+Products!$E$14-(Products!$E$43+Products!$E$19+Products!$E$43*Products!$E$22+Products!$E$44),""),""))</f>
        <v/>
      </c>
      <c r="BH248" s="81">
        <f>IF($B248=1,0,IF(Vintage_Input!$BH$198="","",Vintage_Input!$BH$198))</f>
        <v/>
      </c>
    </row>
    <row r="249"/>
    <row r="250">
      <c r="A250" s="111" t="inlineStr">
        <is>
          <t>Tier 4: Solar inverter + lithium (~1.2 kWp / 5 kWh)</t>
        </is>
      </c>
    </row>
    <row r="251">
      <c r="D251" s="151" t="inlineStr">
        <is>
          <t>Cohort repayment ratio (not PERFORM)</t>
        </is>
      </c>
      <c r="L251" s="151" t="inlineStr">
        <is>
          <t>30+ DPD exposure / due</t>
        </is>
      </c>
      <c r="T251" s="151" t="inlineStr">
        <is>
          <t>90+ DPD exposure / due</t>
        </is>
      </c>
      <c r="AB251" s="151" t="inlineStr">
        <is>
          <t>180+ default exposure / due</t>
        </is>
      </c>
      <c r="AJ251" s="151" t="inlineStr">
        <is>
          <t>Recovery / default</t>
        </is>
      </c>
      <c r="AR251" s="151" t="inlineStr">
        <is>
          <t>Active account share</t>
        </is>
      </c>
      <c r="AZ251" s="151" t="inlineStr">
        <is>
          <t>Cumulative contribution per unit (LCY)</t>
        </is>
      </c>
    </row>
    <row r="252">
      <c r="A252" s="40" t="inlineStr">
        <is>
          <t>Cohort #</t>
        </is>
      </c>
      <c r="B252" s="40" t="inlineStr">
        <is>
          <t>Mode</t>
        </is>
      </c>
      <c r="C252" s="40" t="inlineStr">
        <is>
          <t>Units</t>
        </is>
      </c>
      <c r="D252" s="40" t="inlineStr">
        <is>
          <t>M3</t>
        </is>
      </c>
      <c r="E252" s="40" t="inlineStr">
        <is>
          <t>M6</t>
        </is>
      </c>
      <c r="F252" s="40" t="inlineStr">
        <is>
          <t>M12</t>
        </is>
      </c>
      <c r="G252" s="40" t="inlineStr">
        <is>
          <t>M18</t>
        </is>
      </c>
      <c r="H252" s="40" t="inlineStr">
        <is>
          <t>M24</t>
        </is>
      </c>
      <c r="I252" s="40" t="inlineStr">
        <is>
          <t>M36</t>
        </is>
      </c>
      <c r="J252" s="40" t="inlineStr">
        <is>
          <t>M48</t>
        </is>
      </c>
      <c r="K252" s="40" t="inlineStr">
        <is>
          <t>M60</t>
        </is>
      </c>
      <c r="L252" s="40" t="inlineStr">
        <is>
          <t>M3</t>
        </is>
      </c>
      <c r="M252" s="40" t="inlineStr">
        <is>
          <t>M6</t>
        </is>
      </c>
      <c r="N252" s="40" t="inlineStr">
        <is>
          <t>M12</t>
        </is>
      </c>
      <c r="O252" s="40" t="inlineStr">
        <is>
          <t>M18</t>
        </is>
      </c>
      <c r="P252" s="40" t="inlineStr">
        <is>
          <t>M24</t>
        </is>
      </c>
      <c r="Q252" s="40" t="inlineStr">
        <is>
          <t>M36</t>
        </is>
      </c>
      <c r="R252" s="40" t="inlineStr">
        <is>
          <t>M48</t>
        </is>
      </c>
      <c r="S252" s="40" t="inlineStr">
        <is>
          <t>M60</t>
        </is>
      </c>
      <c r="T252" s="40" t="inlineStr">
        <is>
          <t>M3</t>
        </is>
      </c>
      <c r="U252" s="40" t="inlineStr">
        <is>
          <t>M6</t>
        </is>
      </c>
      <c r="V252" s="40" t="inlineStr">
        <is>
          <t>M12</t>
        </is>
      </c>
      <c r="W252" s="40" t="inlineStr">
        <is>
          <t>M18</t>
        </is>
      </c>
      <c r="X252" s="40" t="inlineStr">
        <is>
          <t>M24</t>
        </is>
      </c>
      <c r="Y252" s="40" t="inlineStr">
        <is>
          <t>M36</t>
        </is>
      </c>
      <c r="Z252" s="40" t="inlineStr">
        <is>
          <t>M48</t>
        </is>
      </c>
      <c r="AA252" s="40" t="inlineStr">
        <is>
          <t>M60</t>
        </is>
      </c>
      <c r="AB252" s="40" t="inlineStr">
        <is>
          <t>M3</t>
        </is>
      </c>
      <c r="AC252" s="40" t="inlineStr">
        <is>
          <t>M6</t>
        </is>
      </c>
      <c r="AD252" s="40" t="inlineStr">
        <is>
          <t>M12</t>
        </is>
      </c>
      <c r="AE252" s="40" t="inlineStr">
        <is>
          <t>M18</t>
        </is>
      </c>
      <c r="AF252" s="40" t="inlineStr">
        <is>
          <t>M24</t>
        </is>
      </c>
      <c r="AG252" s="40" t="inlineStr">
        <is>
          <t>M36</t>
        </is>
      </c>
      <c r="AH252" s="40" t="inlineStr">
        <is>
          <t>M48</t>
        </is>
      </c>
      <c r="AI252" s="40" t="inlineStr">
        <is>
          <t>M60</t>
        </is>
      </c>
      <c r="AJ252" s="40" t="inlineStr">
        <is>
          <t>M3</t>
        </is>
      </c>
      <c r="AK252" s="40" t="inlineStr">
        <is>
          <t>M6</t>
        </is>
      </c>
      <c r="AL252" s="40" t="inlineStr">
        <is>
          <t>M12</t>
        </is>
      </c>
      <c r="AM252" s="40" t="inlineStr">
        <is>
          <t>M18</t>
        </is>
      </c>
      <c r="AN252" s="40" t="inlineStr">
        <is>
          <t>M24</t>
        </is>
      </c>
      <c r="AO252" s="40" t="inlineStr">
        <is>
          <t>M36</t>
        </is>
      </c>
      <c r="AP252" s="40" t="inlineStr">
        <is>
          <t>M48</t>
        </is>
      </c>
      <c r="AQ252" s="40" t="inlineStr">
        <is>
          <t>M60</t>
        </is>
      </c>
      <c r="AR252" s="40" t="inlineStr">
        <is>
          <t>M3</t>
        </is>
      </c>
      <c r="AS252" s="40" t="inlineStr">
        <is>
          <t>M6</t>
        </is>
      </c>
      <c r="AT252" s="40" t="inlineStr">
        <is>
          <t>M12</t>
        </is>
      </c>
      <c r="AU252" s="40" t="inlineStr">
        <is>
          <t>M18</t>
        </is>
      </c>
      <c r="AV252" s="40" t="inlineStr">
        <is>
          <t>M24</t>
        </is>
      </c>
      <c r="AW252" s="40" t="inlineStr">
        <is>
          <t>M36</t>
        </is>
      </c>
      <c r="AX252" s="40" t="inlineStr">
        <is>
          <t>M48</t>
        </is>
      </c>
      <c r="AY252" s="40" t="inlineStr">
        <is>
          <t>M60</t>
        </is>
      </c>
      <c r="AZ252" s="40" t="inlineStr">
        <is>
          <t>M3</t>
        </is>
      </c>
      <c r="BA252" s="40" t="inlineStr">
        <is>
          <t>M6</t>
        </is>
      </c>
      <c r="BB252" s="40" t="inlineStr">
        <is>
          <t>M12</t>
        </is>
      </c>
      <c r="BC252" s="40" t="inlineStr">
        <is>
          <t>M18</t>
        </is>
      </c>
      <c r="BD252" s="40" t="inlineStr">
        <is>
          <t>M24</t>
        </is>
      </c>
      <c r="BE252" s="40" t="inlineStr">
        <is>
          <t>M36</t>
        </is>
      </c>
      <c r="BF252" s="40" t="inlineStr">
        <is>
          <t>M48</t>
        </is>
      </c>
      <c r="BG252" s="40" t="inlineStr">
        <is>
          <t>M60</t>
        </is>
      </c>
      <c r="BH252" s="40" t="inlineStr">
        <is>
          <t>Ownership at 2x</t>
        </is>
      </c>
    </row>
    <row r="253">
      <c r="A253" s="23" t="n">
        <v>1</v>
      </c>
      <c r="B253" s="48">
        <f>Vintage_Input!$B$204</f>
        <v/>
      </c>
      <c r="C253" s="41">
        <f>IF(Vintage_Input!$C$204="",0,Vintage_Input!$C$204)</f>
        <v/>
      </c>
      <c r="D253" s="152">
        <f>IF($B253=1,$B$38,IF(N(Vintage_Input!L204)&gt;0,Vintage_Input!D204/Vintage_Input!L204,""))</f>
        <v/>
      </c>
      <c r="E253" s="152">
        <f>IF($B253=1,$C$38,IF(N(Vintage_Input!M204)&gt;0,Vintage_Input!E204/Vintage_Input!M204,""))</f>
        <v/>
      </c>
      <c r="F253" s="152">
        <f>IF($B253=1,$D$38,IF(N(Vintage_Input!N204)&gt;0,Vintage_Input!F204/Vintage_Input!N204,""))</f>
        <v/>
      </c>
      <c r="G253" s="152">
        <f>IF($B253=1,$E$38,IF(N(Vintage_Input!O204)&gt;0,Vintage_Input!G204/Vintage_Input!O204,""))</f>
        <v/>
      </c>
      <c r="H253" s="152">
        <f>IF($B253=1,$F$38,IF(N(Vintage_Input!P204)&gt;0,Vintage_Input!H204/Vintage_Input!P204,""))</f>
        <v/>
      </c>
      <c r="I253" s="152">
        <f>IF($B253=1,$G$38,IF(N(Vintage_Input!Q204)&gt;0,Vintage_Input!I204/Vintage_Input!Q204,""))</f>
        <v/>
      </c>
      <c r="J253" s="152">
        <f>IF($B253=1,$H$38,IF(N(Vintage_Input!R204)&gt;0,Vintage_Input!J204/Vintage_Input!R204,""))</f>
        <v/>
      </c>
      <c r="K253" s="152">
        <f>IF($B253=1,$I$38,IF(N(Vintage_Input!S204)&gt;0,Vintage_Input!K204/Vintage_Input!S204,""))</f>
        <v/>
      </c>
      <c r="L253" s="152">
        <f>IF($B253=1,$B$39,IF(N(Vintage_Input!L204)&gt;0,Vintage_Input!T204/Vintage_Input!L204,""))</f>
        <v/>
      </c>
      <c r="M253" s="152">
        <f>IF($B253=1,$C$39,IF(N(Vintage_Input!M204)&gt;0,Vintage_Input!U204/Vintage_Input!M204,""))</f>
        <v/>
      </c>
      <c r="N253" s="152">
        <f>IF($B253=1,$D$39,IF(N(Vintage_Input!N204)&gt;0,Vintage_Input!V204/Vintage_Input!N204,""))</f>
        <v/>
      </c>
      <c r="O253" s="152">
        <f>IF($B253=1,$E$39,IF(N(Vintage_Input!O204)&gt;0,Vintage_Input!W204/Vintage_Input!O204,""))</f>
        <v/>
      </c>
      <c r="P253" s="152">
        <f>IF($B253=1,$F$39,IF(N(Vintage_Input!P204)&gt;0,Vintage_Input!X204/Vintage_Input!P204,""))</f>
        <v/>
      </c>
      <c r="Q253" s="152">
        <f>IF($B253=1,$G$39,IF(N(Vintage_Input!Q204)&gt;0,Vintage_Input!Y204/Vintage_Input!Q204,""))</f>
        <v/>
      </c>
      <c r="R253" s="152">
        <f>IF($B253=1,$H$39,IF(N(Vintage_Input!R204)&gt;0,Vintage_Input!Z204/Vintage_Input!R204,""))</f>
        <v/>
      </c>
      <c r="S253" s="152">
        <f>IF($B253=1,$I$39,IF(N(Vintage_Input!S204)&gt;0,Vintage_Input!AA204/Vintage_Input!S204,""))</f>
        <v/>
      </c>
      <c r="T253" s="152">
        <f>IF($B253=1,$B$40,IF(N(Vintage_Input!L204)&gt;0,Vintage_Input!AB204/Vintage_Input!L204,""))</f>
        <v/>
      </c>
      <c r="U253" s="152">
        <f>IF($B253=1,$C$40,IF(N(Vintage_Input!M204)&gt;0,Vintage_Input!AC204/Vintage_Input!M204,""))</f>
        <v/>
      </c>
      <c r="V253" s="152">
        <f>IF($B253=1,$D$40,IF(N(Vintage_Input!N204)&gt;0,Vintage_Input!AD204/Vintage_Input!N204,""))</f>
        <v/>
      </c>
      <c r="W253" s="152">
        <f>IF($B253=1,$E$40,IF(N(Vintage_Input!O204)&gt;0,Vintage_Input!AE204/Vintage_Input!O204,""))</f>
        <v/>
      </c>
      <c r="X253" s="152">
        <f>IF($B253=1,$F$40,IF(N(Vintage_Input!P204)&gt;0,Vintage_Input!AF204/Vintage_Input!P204,""))</f>
        <v/>
      </c>
      <c r="Y253" s="152">
        <f>IF($B253=1,$G$40,IF(N(Vintage_Input!Q204)&gt;0,Vintage_Input!AG204/Vintage_Input!Q204,""))</f>
        <v/>
      </c>
      <c r="Z253" s="152">
        <f>IF($B253=1,$H$40,IF(N(Vintage_Input!R204)&gt;0,Vintage_Input!AH204/Vintage_Input!R204,""))</f>
        <v/>
      </c>
      <c r="AA253" s="152">
        <f>IF($B253=1,$I$40,IF(N(Vintage_Input!S204)&gt;0,Vintage_Input!AI204/Vintage_Input!S204,""))</f>
        <v/>
      </c>
      <c r="AB253" s="152">
        <f>IF($B253=1,$B$41,IF(N(Vintage_Input!L204)&gt;0,Vintage_Input!AJ204/Vintage_Input!L204,""))</f>
        <v/>
      </c>
      <c r="AC253" s="152">
        <f>IF($B253=1,$C$41,IF(N(Vintage_Input!M204)&gt;0,Vintage_Input!AK204/Vintage_Input!M204,""))</f>
        <v/>
      </c>
      <c r="AD253" s="152">
        <f>IF($B253=1,$D$41,IF(N(Vintage_Input!N204)&gt;0,Vintage_Input!AL204/Vintage_Input!N204,""))</f>
        <v/>
      </c>
      <c r="AE253" s="152">
        <f>IF($B253=1,$E$41,IF(N(Vintage_Input!O204)&gt;0,Vintage_Input!AM204/Vintage_Input!O204,""))</f>
        <v/>
      </c>
      <c r="AF253" s="152">
        <f>IF($B253=1,$F$41,IF(N(Vintage_Input!P204)&gt;0,Vintage_Input!AN204/Vintage_Input!P204,""))</f>
        <v/>
      </c>
      <c r="AG253" s="152">
        <f>IF($B253=1,$G$41,IF(N(Vintage_Input!Q204)&gt;0,Vintage_Input!AO204/Vintage_Input!Q204,""))</f>
        <v/>
      </c>
      <c r="AH253" s="152">
        <f>IF($B253=1,$H$41,IF(N(Vintage_Input!R204)&gt;0,Vintage_Input!AP204/Vintage_Input!R204,""))</f>
        <v/>
      </c>
      <c r="AI253" s="152">
        <f>IF($B253=1,$I$41,IF(N(Vintage_Input!S204)&gt;0,Vintage_Input!AQ204/Vintage_Input!S204,""))</f>
        <v/>
      </c>
      <c r="AJ253" s="152">
        <f>IF($B253=1,$B$42,IF(N(Vintage_Input!L204)&gt;0,IFERROR(Vintage_Input!AR204/Vintage_Input!AJ204,""),""))</f>
        <v/>
      </c>
      <c r="AK253" s="152">
        <f>IF($B253=1,$C$42,IF(N(Vintage_Input!M204)&gt;0,IFERROR(Vintage_Input!AS204/Vintage_Input!AK204,""),""))</f>
        <v/>
      </c>
      <c r="AL253" s="152">
        <f>IF($B253=1,$D$42,IF(N(Vintage_Input!N204)&gt;0,IFERROR(Vintage_Input!AT204/Vintage_Input!AL204,""),""))</f>
        <v/>
      </c>
      <c r="AM253" s="152">
        <f>IF($B253=1,$E$42,IF(N(Vintage_Input!O204)&gt;0,IFERROR(Vintage_Input!AU204/Vintage_Input!AM204,""),""))</f>
        <v/>
      </c>
      <c r="AN253" s="152">
        <f>IF($B253=1,$F$42,IF(N(Vintage_Input!P204)&gt;0,IFERROR(Vintage_Input!AV204/Vintage_Input!AN204,""),""))</f>
        <v/>
      </c>
      <c r="AO253" s="152">
        <f>IF($B253=1,$G$42,IF(N(Vintage_Input!Q204)&gt;0,IFERROR(Vintage_Input!AW204/Vintage_Input!AO204,""),""))</f>
        <v/>
      </c>
      <c r="AP253" s="152">
        <f>IF($B253=1,$H$42,IF(N(Vintage_Input!R204)&gt;0,IFERROR(Vintage_Input!AX204/Vintage_Input!AP204,""),""))</f>
        <v/>
      </c>
      <c r="AQ253" s="152">
        <f>IF($B253=1,$I$42,IF(N(Vintage_Input!S204)&gt;0,IFERROR(Vintage_Input!AY204/Vintage_Input!AQ204,""),""))</f>
        <v/>
      </c>
      <c r="AR253" s="152">
        <f>IF($B253=1,$B$43,IF(N(Vintage_Input!L204)&gt;0,IFERROR(Vintage_Input!AZ204/$C253,""),""))</f>
        <v/>
      </c>
      <c r="AS253" s="152">
        <f>IF($B253=1,$C$43,IF(N(Vintage_Input!M204)&gt;0,IFERROR(Vintage_Input!BA204/$C253,""),""))</f>
        <v/>
      </c>
      <c r="AT253" s="152">
        <f>IF($B253=1,$D$43,IF(N(Vintage_Input!N204)&gt;0,IFERROR(Vintage_Input!BB204/$C253,""),""))</f>
        <v/>
      </c>
      <c r="AU253" s="152">
        <f>IF($B253=1,$E$43,IF(N(Vintage_Input!O204)&gt;0,IFERROR(Vintage_Input!BC204/$C253,""),""))</f>
        <v/>
      </c>
      <c r="AV253" s="152">
        <f>IF($B253=1,$F$43,IF(N(Vintage_Input!P204)&gt;0,IFERROR(Vintage_Input!BD204/$C253,""),""))</f>
        <v/>
      </c>
      <c r="AW253" s="152">
        <f>IF($B253=1,$G$43,IF(N(Vintage_Input!Q204)&gt;0,IFERROR(Vintage_Input!BE204/$C253,""),""))</f>
        <v/>
      </c>
      <c r="AX253" s="152">
        <f>IF($B253=1,$H$43,IF(N(Vintage_Input!R204)&gt;0,IFERROR(Vintage_Input!BF204/$C253,""),""))</f>
        <v/>
      </c>
      <c r="AY253" s="152">
        <f>IF($B253=1,$I$43,IF(N(Vintage_Input!S204)&gt;0,IFERROR(Vintage_Input!BG204/$C253,""),""))</f>
        <v/>
      </c>
      <c r="AZ253" s="153">
        <f>IF($B253=1,$B$44,IF(N(Vintage_Input!L204)&gt;0,IFERROR((Vintage_Input!D204+Vintage_Input!AR204)/$C253+Products!$F$14-(Products!$F$43+Products!$F$19+Products!$F$43*Products!$F$22+Products!$F$44),""),""))</f>
        <v/>
      </c>
      <c r="BA253" s="153">
        <f>IF($B253=1,$C$44,IF(N(Vintage_Input!M204)&gt;0,IFERROR((Vintage_Input!E204+Vintage_Input!AS204)/$C253+Products!$F$14-(Products!$F$43+Products!$F$19+Products!$F$43*Products!$F$22+Products!$F$44),""),""))</f>
        <v/>
      </c>
      <c r="BB253" s="153">
        <f>IF($B253=1,$D$44,IF(N(Vintage_Input!N204)&gt;0,IFERROR((Vintage_Input!F204+Vintage_Input!AT204)/$C253+Products!$F$14-(Products!$F$43+Products!$F$19+Products!$F$43*Products!$F$22+Products!$F$44),""),""))</f>
        <v/>
      </c>
      <c r="BC253" s="153">
        <f>IF($B253=1,$E$44,IF(N(Vintage_Input!O204)&gt;0,IFERROR((Vintage_Input!G204+Vintage_Input!AU204)/$C253+Products!$F$14-(Products!$F$43+Products!$F$19+Products!$F$43*Products!$F$22+Products!$F$44),""),""))</f>
        <v/>
      </c>
      <c r="BD253" s="153">
        <f>IF($B253=1,$F$44,IF(N(Vintage_Input!P204)&gt;0,IFERROR((Vintage_Input!H204+Vintage_Input!AV204)/$C253+Products!$F$14-(Products!$F$43+Products!$F$19+Products!$F$43*Products!$F$22+Products!$F$44),""),""))</f>
        <v/>
      </c>
      <c r="BE253" s="153">
        <f>IF($B253=1,$G$44,IF(N(Vintage_Input!Q204)&gt;0,IFERROR((Vintage_Input!I204+Vintage_Input!AW204)/$C253+Products!$F$14-(Products!$F$43+Products!$F$19+Products!$F$43*Products!$F$22+Products!$F$44),""),""))</f>
        <v/>
      </c>
      <c r="BF253" s="153">
        <f>IF($B253=1,$H$44,IF(N(Vintage_Input!R204)&gt;0,IFERROR((Vintage_Input!J204+Vintage_Input!AX204)/$C253+Products!$F$14-(Products!$F$43+Products!$F$19+Products!$F$43*Products!$F$22+Products!$F$44),""),""))</f>
        <v/>
      </c>
      <c r="BG253" s="153">
        <f>IF($B253=1,$I$44,IF(N(Vintage_Input!S204)&gt;0,IFERROR((Vintage_Input!K204+Vintage_Input!AY204)/$C253+Products!$F$14-(Products!$F$43+Products!$F$19+Products!$F$43*Products!$F$22+Products!$F$44),""),""))</f>
        <v/>
      </c>
      <c r="BH253" s="81">
        <f>IF($B253=1,0,IF(Vintage_Input!$BH$204="","",Vintage_Input!$BH$204))</f>
        <v/>
      </c>
    </row>
    <row r="254">
      <c r="A254" s="23" t="n">
        <v>2</v>
      </c>
      <c r="B254" s="48">
        <f>Vintage_Input!$B$205</f>
        <v/>
      </c>
      <c r="C254" s="41">
        <f>IF(Vintage_Input!$C$205="",0,Vintage_Input!$C$205)</f>
        <v/>
      </c>
      <c r="D254" s="152">
        <f>IF($B254=1,$B$38,IF(N(Vintage_Input!L205)&gt;0,Vintage_Input!D205/Vintage_Input!L205,""))</f>
        <v/>
      </c>
      <c r="E254" s="152">
        <f>IF($B254=1,$C$38,IF(N(Vintage_Input!M205)&gt;0,Vintage_Input!E205/Vintage_Input!M205,""))</f>
        <v/>
      </c>
      <c r="F254" s="152">
        <f>IF($B254=1,$D$38,IF(N(Vintage_Input!N205)&gt;0,Vintage_Input!F205/Vintage_Input!N205,""))</f>
        <v/>
      </c>
      <c r="G254" s="152">
        <f>IF($B254=1,$E$38,IF(N(Vintage_Input!O205)&gt;0,Vintage_Input!G205/Vintage_Input!O205,""))</f>
        <v/>
      </c>
      <c r="H254" s="152">
        <f>IF($B254=1,$F$38,IF(N(Vintage_Input!P205)&gt;0,Vintage_Input!H205/Vintage_Input!P205,""))</f>
        <v/>
      </c>
      <c r="I254" s="152">
        <f>IF($B254=1,$G$38,IF(N(Vintage_Input!Q205)&gt;0,Vintage_Input!I205/Vintage_Input!Q205,""))</f>
        <v/>
      </c>
      <c r="J254" s="152">
        <f>IF($B254=1,$H$38,IF(N(Vintage_Input!R205)&gt;0,Vintage_Input!J205/Vintage_Input!R205,""))</f>
        <v/>
      </c>
      <c r="K254" s="152">
        <f>IF($B254=1,$I$38,IF(N(Vintage_Input!S205)&gt;0,Vintage_Input!K205/Vintage_Input!S205,""))</f>
        <v/>
      </c>
      <c r="L254" s="152">
        <f>IF($B254=1,$B$39,IF(N(Vintage_Input!L205)&gt;0,Vintage_Input!T205/Vintage_Input!L205,""))</f>
        <v/>
      </c>
      <c r="M254" s="152">
        <f>IF($B254=1,$C$39,IF(N(Vintage_Input!M205)&gt;0,Vintage_Input!U205/Vintage_Input!M205,""))</f>
        <v/>
      </c>
      <c r="N254" s="152">
        <f>IF($B254=1,$D$39,IF(N(Vintage_Input!N205)&gt;0,Vintage_Input!V205/Vintage_Input!N205,""))</f>
        <v/>
      </c>
      <c r="O254" s="152">
        <f>IF($B254=1,$E$39,IF(N(Vintage_Input!O205)&gt;0,Vintage_Input!W205/Vintage_Input!O205,""))</f>
        <v/>
      </c>
      <c r="P254" s="152">
        <f>IF($B254=1,$F$39,IF(N(Vintage_Input!P205)&gt;0,Vintage_Input!X205/Vintage_Input!P205,""))</f>
        <v/>
      </c>
      <c r="Q254" s="152">
        <f>IF($B254=1,$G$39,IF(N(Vintage_Input!Q205)&gt;0,Vintage_Input!Y205/Vintage_Input!Q205,""))</f>
        <v/>
      </c>
      <c r="R254" s="152">
        <f>IF($B254=1,$H$39,IF(N(Vintage_Input!R205)&gt;0,Vintage_Input!Z205/Vintage_Input!R205,""))</f>
        <v/>
      </c>
      <c r="S254" s="152">
        <f>IF($B254=1,$I$39,IF(N(Vintage_Input!S205)&gt;0,Vintage_Input!AA205/Vintage_Input!S205,""))</f>
        <v/>
      </c>
      <c r="T254" s="152">
        <f>IF($B254=1,$B$40,IF(N(Vintage_Input!L205)&gt;0,Vintage_Input!AB205/Vintage_Input!L205,""))</f>
        <v/>
      </c>
      <c r="U254" s="152">
        <f>IF($B254=1,$C$40,IF(N(Vintage_Input!M205)&gt;0,Vintage_Input!AC205/Vintage_Input!M205,""))</f>
        <v/>
      </c>
      <c r="V254" s="152">
        <f>IF($B254=1,$D$40,IF(N(Vintage_Input!N205)&gt;0,Vintage_Input!AD205/Vintage_Input!N205,""))</f>
        <v/>
      </c>
      <c r="W254" s="152">
        <f>IF($B254=1,$E$40,IF(N(Vintage_Input!O205)&gt;0,Vintage_Input!AE205/Vintage_Input!O205,""))</f>
        <v/>
      </c>
      <c r="X254" s="152">
        <f>IF($B254=1,$F$40,IF(N(Vintage_Input!P205)&gt;0,Vintage_Input!AF205/Vintage_Input!P205,""))</f>
        <v/>
      </c>
      <c r="Y254" s="152">
        <f>IF($B254=1,$G$40,IF(N(Vintage_Input!Q205)&gt;0,Vintage_Input!AG205/Vintage_Input!Q205,""))</f>
        <v/>
      </c>
      <c r="Z254" s="152">
        <f>IF($B254=1,$H$40,IF(N(Vintage_Input!R205)&gt;0,Vintage_Input!AH205/Vintage_Input!R205,""))</f>
        <v/>
      </c>
      <c r="AA254" s="152">
        <f>IF($B254=1,$I$40,IF(N(Vintage_Input!S205)&gt;0,Vintage_Input!AI205/Vintage_Input!S205,""))</f>
        <v/>
      </c>
      <c r="AB254" s="152">
        <f>IF($B254=1,$B$41,IF(N(Vintage_Input!L205)&gt;0,Vintage_Input!AJ205/Vintage_Input!L205,""))</f>
        <v/>
      </c>
      <c r="AC254" s="152">
        <f>IF($B254=1,$C$41,IF(N(Vintage_Input!M205)&gt;0,Vintage_Input!AK205/Vintage_Input!M205,""))</f>
        <v/>
      </c>
      <c r="AD254" s="152">
        <f>IF($B254=1,$D$41,IF(N(Vintage_Input!N205)&gt;0,Vintage_Input!AL205/Vintage_Input!N205,""))</f>
        <v/>
      </c>
      <c r="AE254" s="152">
        <f>IF($B254=1,$E$41,IF(N(Vintage_Input!O205)&gt;0,Vintage_Input!AM205/Vintage_Input!O205,""))</f>
        <v/>
      </c>
      <c r="AF254" s="152">
        <f>IF($B254=1,$F$41,IF(N(Vintage_Input!P205)&gt;0,Vintage_Input!AN205/Vintage_Input!P205,""))</f>
        <v/>
      </c>
      <c r="AG254" s="152">
        <f>IF($B254=1,$G$41,IF(N(Vintage_Input!Q205)&gt;0,Vintage_Input!AO205/Vintage_Input!Q205,""))</f>
        <v/>
      </c>
      <c r="AH254" s="152">
        <f>IF($B254=1,$H$41,IF(N(Vintage_Input!R205)&gt;0,Vintage_Input!AP205/Vintage_Input!R205,""))</f>
        <v/>
      </c>
      <c r="AI254" s="152">
        <f>IF($B254=1,$I$41,IF(N(Vintage_Input!S205)&gt;0,Vintage_Input!AQ205/Vintage_Input!S205,""))</f>
        <v/>
      </c>
      <c r="AJ254" s="152">
        <f>IF($B254=1,$B$42,IF(N(Vintage_Input!L205)&gt;0,IFERROR(Vintage_Input!AR205/Vintage_Input!AJ205,""),""))</f>
        <v/>
      </c>
      <c r="AK254" s="152">
        <f>IF($B254=1,$C$42,IF(N(Vintage_Input!M205)&gt;0,IFERROR(Vintage_Input!AS205/Vintage_Input!AK205,""),""))</f>
        <v/>
      </c>
      <c r="AL254" s="152">
        <f>IF($B254=1,$D$42,IF(N(Vintage_Input!N205)&gt;0,IFERROR(Vintage_Input!AT205/Vintage_Input!AL205,""),""))</f>
        <v/>
      </c>
      <c r="AM254" s="152">
        <f>IF($B254=1,$E$42,IF(N(Vintage_Input!O205)&gt;0,IFERROR(Vintage_Input!AU205/Vintage_Input!AM205,""),""))</f>
        <v/>
      </c>
      <c r="AN254" s="152">
        <f>IF($B254=1,$F$42,IF(N(Vintage_Input!P205)&gt;0,IFERROR(Vintage_Input!AV205/Vintage_Input!AN205,""),""))</f>
        <v/>
      </c>
      <c r="AO254" s="152">
        <f>IF($B254=1,$G$42,IF(N(Vintage_Input!Q205)&gt;0,IFERROR(Vintage_Input!AW205/Vintage_Input!AO205,""),""))</f>
        <v/>
      </c>
      <c r="AP254" s="152">
        <f>IF($B254=1,$H$42,IF(N(Vintage_Input!R205)&gt;0,IFERROR(Vintage_Input!AX205/Vintage_Input!AP205,""),""))</f>
        <v/>
      </c>
      <c r="AQ254" s="152">
        <f>IF($B254=1,$I$42,IF(N(Vintage_Input!S205)&gt;0,IFERROR(Vintage_Input!AY205/Vintage_Input!AQ205,""),""))</f>
        <v/>
      </c>
      <c r="AR254" s="152">
        <f>IF($B254=1,$B$43,IF(N(Vintage_Input!L205)&gt;0,IFERROR(Vintage_Input!AZ205/$C254,""),""))</f>
        <v/>
      </c>
      <c r="AS254" s="152">
        <f>IF($B254=1,$C$43,IF(N(Vintage_Input!M205)&gt;0,IFERROR(Vintage_Input!BA205/$C254,""),""))</f>
        <v/>
      </c>
      <c r="AT254" s="152">
        <f>IF($B254=1,$D$43,IF(N(Vintage_Input!N205)&gt;0,IFERROR(Vintage_Input!BB205/$C254,""),""))</f>
        <v/>
      </c>
      <c r="AU254" s="152">
        <f>IF($B254=1,$E$43,IF(N(Vintage_Input!O205)&gt;0,IFERROR(Vintage_Input!BC205/$C254,""),""))</f>
        <v/>
      </c>
      <c r="AV254" s="152">
        <f>IF($B254=1,$F$43,IF(N(Vintage_Input!P205)&gt;0,IFERROR(Vintage_Input!BD205/$C254,""),""))</f>
        <v/>
      </c>
      <c r="AW254" s="152">
        <f>IF($B254=1,$G$43,IF(N(Vintage_Input!Q205)&gt;0,IFERROR(Vintage_Input!BE205/$C254,""),""))</f>
        <v/>
      </c>
      <c r="AX254" s="152">
        <f>IF($B254=1,$H$43,IF(N(Vintage_Input!R205)&gt;0,IFERROR(Vintage_Input!BF205/$C254,""),""))</f>
        <v/>
      </c>
      <c r="AY254" s="152">
        <f>IF($B254=1,$I$43,IF(N(Vintage_Input!S205)&gt;0,IFERROR(Vintage_Input!BG205/$C254,""),""))</f>
        <v/>
      </c>
      <c r="AZ254" s="153">
        <f>IF($B254=1,$B$44,IF(N(Vintage_Input!L205)&gt;0,IFERROR((Vintage_Input!D205+Vintage_Input!AR205)/$C254+Products!$F$14-(Products!$F$43+Products!$F$19+Products!$F$43*Products!$F$22+Products!$F$44),""),""))</f>
        <v/>
      </c>
      <c r="BA254" s="153">
        <f>IF($B254=1,$C$44,IF(N(Vintage_Input!M205)&gt;0,IFERROR((Vintage_Input!E205+Vintage_Input!AS205)/$C254+Products!$F$14-(Products!$F$43+Products!$F$19+Products!$F$43*Products!$F$22+Products!$F$44),""),""))</f>
        <v/>
      </c>
      <c r="BB254" s="153">
        <f>IF($B254=1,$D$44,IF(N(Vintage_Input!N205)&gt;0,IFERROR((Vintage_Input!F205+Vintage_Input!AT205)/$C254+Products!$F$14-(Products!$F$43+Products!$F$19+Products!$F$43*Products!$F$22+Products!$F$44),""),""))</f>
        <v/>
      </c>
      <c r="BC254" s="153">
        <f>IF($B254=1,$E$44,IF(N(Vintage_Input!O205)&gt;0,IFERROR((Vintage_Input!G205+Vintage_Input!AU205)/$C254+Products!$F$14-(Products!$F$43+Products!$F$19+Products!$F$43*Products!$F$22+Products!$F$44),""),""))</f>
        <v/>
      </c>
      <c r="BD254" s="153">
        <f>IF($B254=1,$F$44,IF(N(Vintage_Input!P205)&gt;0,IFERROR((Vintage_Input!H205+Vintage_Input!AV205)/$C254+Products!$F$14-(Products!$F$43+Products!$F$19+Products!$F$43*Products!$F$22+Products!$F$44),""),""))</f>
        <v/>
      </c>
      <c r="BE254" s="153">
        <f>IF($B254=1,$G$44,IF(N(Vintage_Input!Q205)&gt;0,IFERROR((Vintage_Input!I205+Vintage_Input!AW205)/$C254+Products!$F$14-(Products!$F$43+Products!$F$19+Products!$F$43*Products!$F$22+Products!$F$44),""),""))</f>
        <v/>
      </c>
      <c r="BF254" s="153">
        <f>IF($B254=1,$H$44,IF(N(Vintage_Input!R205)&gt;0,IFERROR((Vintage_Input!J205+Vintage_Input!AX205)/$C254+Products!$F$14-(Products!$F$43+Products!$F$19+Products!$F$43*Products!$F$22+Products!$F$44),""),""))</f>
        <v/>
      </c>
      <c r="BG254" s="153">
        <f>IF($B254=1,$I$44,IF(N(Vintage_Input!S205)&gt;0,IFERROR((Vintage_Input!K205+Vintage_Input!AY205)/$C254+Products!$F$14-(Products!$F$43+Products!$F$19+Products!$F$43*Products!$F$22+Products!$F$44),""),""))</f>
        <v/>
      </c>
      <c r="BH254" s="81">
        <f>IF($B254=1,0,IF(Vintage_Input!$BH$205="","",Vintage_Input!$BH$205))</f>
        <v/>
      </c>
    </row>
    <row r="255">
      <c r="A255" s="23" t="n">
        <v>3</v>
      </c>
      <c r="B255" s="48">
        <f>Vintage_Input!$B$206</f>
        <v/>
      </c>
      <c r="C255" s="41">
        <f>IF(Vintage_Input!$C$206="",0,Vintage_Input!$C$206)</f>
        <v/>
      </c>
      <c r="D255" s="152">
        <f>IF($B255=1,$B$38,IF(N(Vintage_Input!L206)&gt;0,Vintage_Input!D206/Vintage_Input!L206,""))</f>
        <v/>
      </c>
      <c r="E255" s="152">
        <f>IF($B255=1,$C$38,IF(N(Vintage_Input!M206)&gt;0,Vintage_Input!E206/Vintage_Input!M206,""))</f>
        <v/>
      </c>
      <c r="F255" s="152">
        <f>IF($B255=1,$D$38,IF(N(Vintage_Input!N206)&gt;0,Vintage_Input!F206/Vintage_Input!N206,""))</f>
        <v/>
      </c>
      <c r="G255" s="152">
        <f>IF($B255=1,$E$38,IF(N(Vintage_Input!O206)&gt;0,Vintage_Input!G206/Vintage_Input!O206,""))</f>
        <v/>
      </c>
      <c r="H255" s="152">
        <f>IF($B255=1,$F$38,IF(N(Vintage_Input!P206)&gt;0,Vintage_Input!H206/Vintage_Input!P206,""))</f>
        <v/>
      </c>
      <c r="I255" s="152">
        <f>IF($B255=1,$G$38,IF(N(Vintage_Input!Q206)&gt;0,Vintage_Input!I206/Vintage_Input!Q206,""))</f>
        <v/>
      </c>
      <c r="J255" s="152">
        <f>IF($B255=1,$H$38,IF(N(Vintage_Input!R206)&gt;0,Vintage_Input!J206/Vintage_Input!R206,""))</f>
        <v/>
      </c>
      <c r="K255" s="152">
        <f>IF($B255=1,$I$38,IF(N(Vintage_Input!S206)&gt;0,Vintage_Input!K206/Vintage_Input!S206,""))</f>
        <v/>
      </c>
      <c r="L255" s="152">
        <f>IF($B255=1,$B$39,IF(N(Vintage_Input!L206)&gt;0,Vintage_Input!T206/Vintage_Input!L206,""))</f>
        <v/>
      </c>
      <c r="M255" s="152">
        <f>IF($B255=1,$C$39,IF(N(Vintage_Input!M206)&gt;0,Vintage_Input!U206/Vintage_Input!M206,""))</f>
        <v/>
      </c>
      <c r="N255" s="152">
        <f>IF($B255=1,$D$39,IF(N(Vintage_Input!N206)&gt;0,Vintage_Input!V206/Vintage_Input!N206,""))</f>
        <v/>
      </c>
      <c r="O255" s="152">
        <f>IF($B255=1,$E$39,IF(N(Vintage_Input!O206)&gt;0,Vintage_Input!W206/Vintage_Input!O206,""))</f>
        <v/>
      </c>
      <c r="P255" s="152">
        <f>IF($B255=1,$F$39,IF(N(Vintage_Input!P206)&gt;0,Vintage_Input!X206/Vintage_Input!P206,""))</f>
        <v/>
      </c>
      <c r="Q255" s="152">
        <f>IF($B255=1,$G$39,IF(N(Vintage_Input!Q206)&gt;0,Vintage_Input!Y206/Vintage_Input!Q206,""))</f>
        <v/>
      </c>
      <c r="R255" s="152">
        <f>IF($B255=1,$H$39,IF(N(Vintage_Input!R206)&gt;0,Vintage_Input!Z206/Vintage_Input!R206,""))</f>
        <v/>
      </c>
      <c r="S255" s="152">
        <f>IF($B255=1,$I$39,IF(N(Vintage_Input!S206)&gt;0,Vintage_Input!AA206/Vintage_Input!S206,""))</f>
        <v/>
      </c>
      <c r="T255" s="152">
        <f>IF($B255=1,$B$40,IF(N(Vintage_Input!L206)&gt;0,Vintage_Input!AB206/Vintage_Input!L206,""))</f>
        <v/>
      </c>
      <c r="U255" s="152">
        <f>IF($B255=1,$C$40,IF(N(Vintage_Input!M206)&gt;0,Vintage_Input!AC206/Vintage_Input!M206,""))</f>
        <v/>
      </c>
      <c r="V255" s="152">
        <f>IF($B255=1,$D$40,IF(N(Vintage_Input!N206)&gt;0,Vintage_Input!AD206/Vintage_Input!N206,""))</f>
        <v/>
      </c>
      <c r="W255" s="152">
        <f>IF($B255=1,$E$40,IF(N(Vintage_Input!O206)&gt;0,Vintage_Input!AE206/Vintage_Input!O206,""))</f>
        <v/>
      </c>
      <c r="X255" s="152">
        <f>IF($B255=1,$F$40,IF(N(Vintage_Input!P206)&gt;0,Vintage_Input!AF206/Vintage_Input!P206,""))</f>
        <v/>
      </c>
      <c r="Y255" s="152">
        <f>IF($B255=1,$G$40,IF(N(Vintage_Input!Q206)&gt;0,Vintage_Input!AG206/Vintage_Input!Q206,""))</f>
        <v/>
      </c>
      <c r="Z255" s="152">
        <f>IF($B255=1,$H$40,IF(N(Vintage_Input!R206)&gt;0,Vintage_Input!AH206/Vintage_Input!R206,""))</f>
        <v/>
      </c>
      <c r="AA255" s="152">
        <f>IF($B255=1,$I$40,IF(N(Vintage_Input!S206)&gt;0,Vintage_Input!AI206/Vintage_Input!S206,""))</f>
        <v/>
      </c>
      <c r="AB255" s="152">
        <f>IF($B255=1,$B$41,IF(N(Vintage_Input!L206)&gt;0,Vintage_Input!AJ206/Vintage_Input!L206,""))</f>
        <v/>
      </c>
      <c r="AC255" s="152">
        <f>IF($B255=1,$C$41,IF(N(Vintage_Input!M206)&gt;0,Vintage_Input!AK206/Vintage_Input!M206,""))</f>
        <v/>
      </c>
      <c r="AD255" s="152">
        <f>IF($B255=1,$D$41,IF(N(Vintage_Input!N206)&gt;0,Vintage_Input!AL206/Vintage_Input!N206,""))</f>
        <v/>
      </c>
      <c r="AE255" s="152">
        <f>IF($B255=1,$E$41,IF(N(Vintage_Input!O206)&gt;0,Vintage_Input!AM206/Vintage_Input!O206,""))</f>
        <v/>
      </c>
      <c r="AF255" s="152">
        <f>IF($B255=1,$F$41,IF(N(Vintage_Input!P206)&gt;0,Vintage_Input!AN206/Vintage_Input!P206,""))</f>
        <v/>
      </c>
      <c r="AG255" s="152">
        <f>IF($B255=1,$G$41,IF(N(Vintage_Input!Q206)&gt;0,Vintage_Input!AO206/Vintage_Input!Q206,""))</f>
        <v/>
      </c>
      <c r="AH255" s="152">
        <f>IF($B255=1,$H$41,IF(N(Vintage_Input!R206)&gt;0,Vintage_Input!AP206/Vintage_Input!R206,""))</f>
        <v/>
      </c>
      <c r="AI255" s="152">
        <f>IF($B255=1,$I$41,IF(N(Vintage_Input!S206)&gt;0,Vintage_Input!AQ206/Vintage_Input!S206,""))</f>
        <v/>
      </c>
      <c r="AJ255" s="152">
        <f>IF($B255=1,$B$42,IF(N(Vintage_Input!L206)&gt;0,IFERROR(Vintage_Input!AR206/Vintage_Input!AJ206,""),""))</f>
        <v/>
      </c>
      <c r="AK255" s="152">
        <f>IF($B255=1,$C$42,IF(N(Vintage_Input!M206)&gt;0,IFERROR(Vintage_Input!AS206/Vintage_Input!AK206,""),""))</f>
        <v/>
      </c>
      <c r="AL255" s="152">
        <f>IF($B255=1,$D$42,IF(N(Vintage_Input!N206)&gt;0,IFERROR(Vintage_Input!AT206/Vintage_Input!AL206,""),""))</f>
        <v/>
      </c>
      <c r="AM255" s="152">
        <f>IF($B255=1,$E$42,IF(N(Vintage_Input!O206)&gt;0,IFERROR(Vintage_Input!AU206/Vintage_Input!AM206,""),""))</f>
        <v/>
      </c>
      <c r="AN255" s="152">
        <f>IF($B255=1,$F$42,IF(N(Vintage_Input!P206)&gt;0,IFERROR(Vintage_Input!AV206/Vintage_Input!AN206,""),""))</f>
        <v/>
      </c>
      <c r="AO255" s="152">
        <f>IF($B255=1,$G$42,IF(N(Vintage_Input!Q206)&gt;0,IFERROR(Vintage_Input!AW206/Vintage_Input!AO206,""),""))</f>
        <v/>
      </c>
      <c r="AP255" s="152">
        <f>IF($B255=1,$H$42,IF(N(Vintage_Input!R206)&gt;0,IFERROR(Vintage_Input!AX206/Vintage_Input!AP206,""),""))</f>
        <v/>
      </c>
      <c r="AQ255" s="152">
        <f>IF($B255=1,$I$42,IF(N(Vintage_Input!S206)&gt;0,IFERROR(Vintage_Input!AY206/Vintage_Input!AQ206,""),""))</f>
        <v/>
      </c>
      <c r="AR255" s="152">
        <f>IF($B255=1,$B$43,IF(N(Vintage_Input!L206)&gt;0,IFERROR(Vintage_Input!AZ206/$C255,""),""))</f>
        <v/>
      </c>
      <c r="AS255" s="152">
        <f>IF($B255=1,$C$43,IF(N(Vintage_Input!M206)&gt;0,IFERROR(Vintage_Input!BA206/$C255,""),""))</f>
        <v/>
      </c>
      <c r="AT255" s="152">
        <f>IF($B255=1,$D$43,IF(N(Vintage_Input!N206)&gt;0,IFERROR(Vintage_Input!BB206/$C255,""),""))</f>
        <v/>
      </c>
      <c r="AU255" s="152">
        <f>IF($B255=1,$E$43,IF(N(Vintage_Input!O206)&gt;0,IFERROR(Vintage_Input!BC206/$C255,""),""))</f>
        <v/>
      </c>
      <c r="AV255" s="152">
        <f>IF($B255=1,$F$43,IF(N(Vintage_Input!P206)&gt;0,IFERROR(Vintage_Input!BD206/$C255,""),""))</f>
        <v/>
      </c>
      <c r="AW255" s="152">
        <f>IF($B255=1,$G$43,IF(N(Vintage_Input!Q206)&gt;0,IFERROR(Vintage_Input!BE206/$C255,""),""))</f>
        <v/>
      </c>
      <c r="AX255" s="152">
        <f>IF($B255=1,$H$43,IF(N(Vintage_Input!R206)&gt;0,IFERROR(Vintage_Input!BF206/$C255,""),""))</f>
        <v/>
      </c>
      <c r="AY255" s="152">
        <f>IF($B255=1,$I$43,IF(N(Vintage_Input!S206)&gt;0,IFERROR(Vintage_Input!BG206/$C255,""),""))</f>
        <v/>
      </c>
      <c r="AZ255" s="153">
        <f>IF($B255=1,$B$44,IF(N(Vintage_Input!L206)&gt;0,IFERROR((Vintage_Input!D206+Vintage_Input!AR206)/$C255+Products!$F$14-(Products!$F$43+Products!$F$19+Products!$F$43*Products!$F$22+Products!$F$44),""),""))</f>
        <v/>
      </c>
      <c r="BA255" s="153">
        <f>IF($B255=1,$C$44,IF(N(Vintage_Input!M206)&gt;0,IFERROR((Vintage_Input!E206+Vintage_Input!AS206)/$C255+Products!$F$14-(Products!$F$43+Products!$F$19+Products!$F$43*Products!$F$22+Products!$F$44),""),""))</f>
        <v/>
      </c>
      <c r="BB255" s="153">
        <f>IF($B255=1,$D$44,IF(N(Vintage_Input!N206)&gt;0,IFERROR((Vintage_Input!F206+Vintage_Input!AT206)/$C255+Products!$F$14-(Products!$F$43+Products!$F$19+Products!$F$43*Products!$F$22+Products!$F$44),""),""))</f>
        <v/>
      </c>
      <c r="BC255" s="153">
        <f>IF($B255=1,$E$44,IF(N(Vintage_Input!O206)&gt;0,IFERROR((Vintage_Input!G206+Vintage_Input!AU206)/$C255+Products!$F$14-(Products!$F$43+Products!$F$19+Products!$F$43*Products!$F$22+Products!$F$44),""),""))</f>
        <v/>
      </c>
      <c r="BD255" s="153">
        <f>IF($B255=1,$F$44,IF(N(Vintage_Input!P206)&gt;0,IFERROR((Vintage_Input!H206+Vintage_Input!AV206)/$C255+Products!$F$14-(Products!$F$43+Products!$F$19+Products!$F$43*Products!$F$22+Products!$F$44),""),""))</f>
        <v/>
      </c>
      <c r="BE255" s="153">
        <f>IF($B255=1,$G$44,IF(N(Vintage_Input!Q206)&gt;0,IFERROR((Vintage_Input!I206+Vintage_Input!AW206)/$C255+Products!$F$14-(Products!$F$43+Products!$F$19+Products!$F$43*Products!$F$22+Products!$F$44),""),""))</f>
        <v/>
      </c>
      <c r="BF255" s="153">
        <f>IF($B255=1,$H$44,IF(N(Vintage_Input!R206)&gt;0,IFERROR((Vintage_Input!J206+Vintage_Input!AX206)/$C255+Products!$F$14-(Products!$F$43+Products!$F$19+Products!$F$43*Products!$F$22+Products!$F$44),""),""))</f>
        <v/>
      </c>
      <c r="BG255" s="153">
        <f>IF($B255=1,$I$44,IF(N(Vintage_Input!S206)&gt;0,IFERROR((Vintage_Input!K206+Vintage_Input!AY206)/$C255+Products!$F$14-(Products!$F$43+Products!$F$19+Products!$F$43*Products!$F$22+Products!$F$44),""),""))</f>
        <v/>
      </c>
      <c r="BH255" s="81">
        <f>IF($B255=1,0,IF(Vintage_Input!$BH$206="","",Vintage_Input!$BH$206))</f>
        <v/>
      </c>
    </row>
    <row r="256">
      <c r="A256" s="23" t="n">
        <v>4</v>
      </c>
      <c r="B256" s="48">
        <f>Vintage_Input!$B$207</f>
        <v/>
      </c>
      <c r="C256" s="41">
        <f>IF(Vintage_Input!$C$207="",0,Vintage_Input!$C$207)</f>
        <v/>
      </c>
      <c r="D256" s="152">
        <f>IF($B256=1,$B$38,IF(N(Vintage_Input!L207)&gt;0,Vintage_Input!D207/Vintage_Input!L207,""))</f>
        <v/>
      </c>
      <c r="E256" s="152">
        <f>IF($B256=1,$C$38,IF(N(Vintage_Input!M207)&gt;0,Vintage_Input!E207/Vintage_Input!M207,""))</f>
        <v/>
      </c>
      <c r="F256" s="152">
        <f>IF($B256=1,$D$38,IF(N(Vintage_Input!N207)&gt;0,Vintage_Input!F207/Vintage_Input!N207,""))</f>
        <v/>
      </c>
      <c r="G256" s="152">
        <f>IF($B256=1,$E$38,IF(N(Vintage_Input!O207)&gt;0,Vintage_Input!G207/Vintage_Input!O207,""))</f>
        <v/>
      </c>
      <c r="H256" s="152">
        <f>IF($B256=1,$F$38,IF(N(Vintage_Input!P207)&gt;0,Vintage_Input!H207/Vintage_Input!P207,""))</f>
        <v/>
      </c>
      <c r="I256" s="152">
        <f>IF($B256=1,$G$38,IF(N(Vintage_Input!Q207)&gt;0,Vintage_Input!I207/Vintage_Input!Q207,""))</f>
        <v/>
      </c>
      <c r="J256" s="152">
        <f>IF($B256=1,$H$38,IF(N(Vintage_Input!R207)&gt;0,Vintage_Input!J207/Vintage_Input!R207,""))</f>
        <v/>
      </c>
      <c r="K256" s="152">
        <f>IF($B256=1,$I$38,IF(N(Vintage_Input!S207)&gt;0,Vintage_Input!K207/Vintage_Input!S207,""))</f>
        <v/>
      </c>
      <c r="L256" s="152">
        <f>IF($B256=1,$B$39,IF(N(Vintage_Input!L207)&gt;0,Vintage_Input!T207/Vintage_Input!L207,""))</f>
        <v/>
      </c>
      <c r="M256" s="152">
        <f>IF($B256=1,$C$39,IF(N(Vintage_Input!M207)&gt;0,Vintage_Input!U207/Vintage_Input!M207,""))</f>
        <v/>
      </c>
      <c r="N256" s="152">
        <f>IF($B256=1,$D$39,IF(N(Vintage_Input!N207)&gt;0,Vintage_Input!V207/Vintage_Input!N207,""))</f>
        <v/>
      </c>
      <c r="O256" s="152">
        <f>IF($B256=1,$E$39,IF(N(Vintage_Input!O207)&gt;0,Vintage_Input!W207/Vintage_Input!O207,""))</f>
        <v/>
      </c>
      <c r="P256" s="152">
        <f>IF($B256=1,$F$39,IF(N(Vintage_Input!P207)&gt;0,Vintage_Input!X207/Vintage_Input!P207,""))</f>
        <v/>
      </c>
      <c r="Q256" s="152">
        <f>IF($B256=1,$G$39,IF(N(Vintage_Input!Q207)&gt;0,Vintage_Input!Y207/Vintage_Input!Q207,""))</f>
        <v/>
      </c>
      <c r="R256" s="152">
        <f>IF($B256=1,$H$39,IF(N(Vintage_Input!R207)&gt;0,Vintage_Input!Z207/Vintage_Input!R207,""))</f>
        <v/>
      </c>
      <c r="S256" s="152">
        <f>IF($B256=1,$I$39,IF(N(Vintage_Input!S207)&gt;0,Vintage_Input!AA207/Vintage_Input!S207,""))</f>
        <v/>
      </c>
      <c r="T256" s="152">
        <f>IF($B256=1,$B$40,IF(N(Vintage_Input!L207)&gt;0,Vintage_Input!AB207/Vintage_Input!L207,""))</f>
        <v/>
      </c>
      <c r="U256" s="152">
        <f>IF($B256=1,$C$40,IF(N(Vintage_Input!M207)&gt;0,Vintage_Input!AC207/Vintage_Input!M207,""))</f>
        <v/>
      </c>
      <c r="V256" s="152">
        <f>IF($B256=1,$D$40,IF(N(Vintage_Input!N207)&gt;0,Vintage_Input!AD207/Vintage_Input!N207,""))</f>
        <v/>
      </c>
      <c r="W256" s="152">
        <f>IF($B256=1,$E$40,IF(N(Vintage_Input!O207)&gt;0,Vintage_Input!AE207/Vintage_Input!O207,""))</f>
        <v/>
      </c>
      <c r="X256" s="152">
        <f>IF($B256=1,$F$40,IF(N(Vintage_Input!P207)&gt;0,Vintage_Input!AF207/Vintage_Input!P207,""))</f>
        <v/>
      </c>
      <c r="Y256" s="152">
        <f>IF($B256=1,$G$40,IF(N(Vintage_Input!Q207)&gt;0,Vintage_Input!AG207/Vintage_Input!Q207,""))</f>
        <v/>
      </c>
      <c r="Z256" s="152">
        <f>IF($B256=1,$H$40,IF(N(Vintage_Input!R207)&gt;0,Vintage_Input!AH207/Vintage_Input!R207,""))</f>
        <v/>
      </c>
      <c r="AA256" s="152">
        <f>IF($B256=1,$I$40,IF(N(Vintage_Input!S207)&gt;0,Vintage_Input!AI207/Vintage_Input!S207,""))</f>
        <v/>
      </c>
      <c r="AB256" s="152">
        <f>IF($B256=1,$B$41,IF(N(Vintage_Input!L207)&gt;0,Vintage_Input!AJ207/Vintage_Input!L207,""))</f>
        <v/>
      </c>
      <c r="AC256" s="152">
        <f>IF($B256=1,$C$41,IF(N(Vintage_Input!M207)&gt;0,Vintage_Input!AK207/Vintage_Input!M207,""))</f>
        <v/>
      </c>
      <c r="AD256" s="152">
        <f>IF($B256=1,$D$41,IF(N(Vintage_Input!N207)&gt;0,Vintage_Input!AL207/Vintage_Input!N207,""))</f>
        <v/>
      </c>
      <c r="AE256" s="152">
        <f>IF($B256=1,$E$41,IF(N(Vintage_Input!O207)&gt;0,Vintage_Input!AM207/Vintage_Input!O207,""))</f>
        <v/>
      </c>
      <c r="AF256" s="152">
        <f>IF($B256=1,$F$41,IF(N(Vintage_Input!P207)&gt;0,Vintage_Input!AN207/Vintage_Input!P207,""))</f>
        <v/>
      </c>
      <c r="AG256" s="152">
        <f>IF($B256=1,$G$41,IF(N(Vintage_Input!Q207)&gt;0,Vintage_Input!AO207/Vintage_Input!Q207,""))</f>
        <v/>
      </c>
      <c r="AH256" s="152">
        <f>IF($B256=1,$H$41,IF(N(Vintage_Input!R207)&gt;0,Vintage_Input!AP207/Vintage_Input!R207,""))</f>
        <v/>
      </c>
      <c r="AI256" s="152">
        <f>IF($B256=1,$I$41,IF(N(Vintage_Input!S207)&gt;0,Vintage_Input!AQ207/Vintage_Input!S207,""))</f>
        <v/>
      </c>
      <c r="AJ256" s="152">
        <f>IF($B256=1,$B$42,IF(N(Vintage_Input!L207)&gt;0,IFERROR(Vintage_Input!AR207/Vintage_Input!AJ207,""),""))</f>
        <v/>
      </c>
      <c r="AK256" s="152">
        <f>IF($B256=1,$C$42,IF(N(Vintage_Input!M207)&gt;0,IFERROR(Vintage_Input!AS207/Vintage_Input!AK207,""),""))</f>
        <v/>
      </c>
      <c r="AL256" s="152">
        <f>IF($B256=1,$D$42,IF(N(Vintage_Input!N207)&gt;0,IFERROR(Vintage_Input!AT207/Vintage_Input!AL207,""),""))</f>
        <v/>
      </c>
      <c r="AM256" s="152">
        <f>IF($B256=1,$E$42,IF(N(Vintage_Input!O207)&gt;0,IFERROR(Vintage_Input!AU207/Vintage_Input!AM207,""),""))</f>
        <v/>
      </c>
      <c r="AN256" s="152">
        <f>IF($B256=1,$F$42,IF(N(Vintage_Input!P207)&gt;0,IFERROR(Vintage_Input!AV207/Vintage_Input!AN207,""),""))</f>
        <v/>
      </c>
      <c r="AO256" s="152">
        <f>IF($B256=1,$G$42,IF(N(Vintage_Input!Q207)&gt;0,IFERROR(Vintage_Input!AW207/Vintage_Input!AO207,""),""))</f>
        <v/>
      </c>
      <c r="AP256" s="152">
        <f>IF($B256=1,$H$42,IF(N(Vintage_Input!R207)&gt;0,IFERROR(Vintage_Input!AX207/Vintage_Input!AP207,""),""))</f>
        <v/>
      </c>
      <c r="AQ256" s="152">
        <f>IF($B256=1,$I$42,IF(N(Vintage_Input!S207)&gt;0,IFERROR(Vintage_Input!AY207/Vintage_Input!AQ207,""),""))</f>
        <v/>
      </c>
      <c r="AR256" s="152">
        <f>IF($B256=1,$B$43,IF(N(Vintage_Input!L207)&gt;0,IFERROR(Vintage_Input!AZ207/$C256,""),""))</f>
        <v/>
      </c>
      <c r="AS256" s="152">
        <f>IF($B256=1,$C$43,IF(N(Vintage_Input!M207)&gt;0,IFERROR(Vintage_Input!BA207/$C256,""),""))</f>
        <v/>
      </c>
      <c r="AT256" s="152">
        <f>IF($B256=1,$D$43,IF(N(Vintage_Input!N207)&gt;0,IFERROR(Vintage_Input!BB207/$C256,""),""))</f>
        <v/>
      </c>
      <c r="AU256" s="152">
        <f>IF($B256=1,$E$43,IF(N(Vintage_Input!O207)&gt;0,IFERROR(Vintage_Input!BC207/$C256,""),""))</f>
        <v/>
      </c>
      <c r="AV256" s="152">
        <f>IF($B256=1,$F$43,IF(N(Vintage_Input!P207)&gt;0,IFERROR(Vintage_Input!BD207/$C256,""),""))</f>
        <v/>
      </c>
      <c r="AW256" s="152">
        <f>IF($B256=1,$G$43,IF(N(Vintage_Input!Q207)&gt;0,IFERROR(Vintage_Input!BE207/$C256,""),""))</f>
        <v/>
      </c>
      <c r="AX256" s="152">
        <f>IF($B256=1,$H$43,IF(N(Vintage_Input!R207)&gt;0,IFERROR(Vintage_Input!BF207/$C256,""),""))</f>
        <v/>
      </c>
      <c r="AY256" s="152">
        <f>IF($B256=1,$I$43,IF(N(Vintage_Input!S207)&gt;0,IFERROR(Vintage_Input!BG207/$C256,""),""))</f>
        <v/>
      </c>
      <c r="AZ256" s="153">
        <f>IF($B256=1,$B$44,IF(N(Vintage_Input!L207)&gt;0,IFERROR((Vintage_Input!D207+Vintage_Input!AR207)/$C256+Products!$F$14-(Products!$F$43+Products!$F$19+Products!$F$43*Products!$F$22+Products!$F$44),""),""))</f>
        <v/>
      </c>
      <c r="BA256" s="153">
        <f>IF($B256=1,$C$44,IF(N(Vintage_Input!M207)&gt;0,IFERROR((Vintage_Input!E207+Vintage_Input!AS207)/$C256+Products!$F$14-(Products!$F$43+Products!$F$19+Products!$F$43*Products!$F$22+Products!$F$44),""),""))</f>
        <v/>
      </c>
      <c r="BB256" s="153">
        <f>IF($B256=1,$D$44,IF(N(Vintage_Input!N207)&gt;0,IFERROR((Vintage_Input!F207+Vintage_Input!AT207)/$C256+Products!$F$14-(Products!$F$43+Products!$F$19+Products!$F$43*Products!$F$22+Products!$F$44),""),""))</f>
        <v/>
      </c>
      <c r="BC256" s="153">
        <f>IF($B256=1,$E$44,IF(N(Vintage_Input!O207)&gt;0,IFERROR((Vintage_Input!G207+Vintage_Input!AU207)/$C256+Products!$F$14-(Products!$F$43+Products!$F$19+Products!$F$43*Products!$F$22+Products!$F$44),""),""))</f>
        <v/>
      </c>
      <c r="BD256" s="153">
        <f>IF($B256=1,$F$44,IF(N(Vintage_Input!P207)&gt;0,IFERROR((Vintage_Input!H207+Vintage_Input!AV207)/$C256+Products!$F$14-(Products!$F$43+Products!$F$19+Products!$F$43*Products!$F$22+Products!$F$44),""),""))</f>
        <v/>
      </c>
      <c r="BE256" s="153">
        <f>IF($B256=1,$G$44,IF(N(Vintage_Input!Q207)&gt;0,IFERROR((Vintage_Input!I207+Vintage_Input!AW207)/$C256+Products!$F$14-(Products!$F$43+Products!$F$19+Products!$F$43*Products!$F$22+Products!$F$44),""),""))</f>
        <v/>
      </c>
      <c r="BF256" s="153">
        <f>IF($B256=1,$H$44,IF(N(Vintage_Input!R207)&gt;0,IFERROR((Vintage_Input!J207+Vintage_Input!AX207)/$C256+Products!$F$14-(Products!$F$43+Products!$F$19+Products!$F$43*Products!$F$22+Products!$F$44),""),""))</f>
        <v/>
      </c>
      <c r="BG256" s="153">
        <f>IF($B256=1,$I$44,IF(N(Vintage_Input!S207)&gt;0,IFERROR((Vintage_Input!K207+Vintage_Input!AY207)/$C256+Products!$F$14-(Products!$F$43+Products!$F$19+Products!$F$43*Products!$F$22+Products!$F$44),""),""))</f>
        <v/>
      </c>
      <c r="BH256" s="81">
        <f>IF($B256=1,0,IF(Vintage_Input!$BH$207="","",Vintage_Input!$BH$207))</f>
        <v/>
      </c>
    </row>
    <row r="257">
      <c r="A257" s="23" t="n">
        <v>5</v>
      </c>
      <c r="B257" s="48">
        <f>Vintage_Input!$B$208</f>
        <v/>
      </c>
      <c r="C257" s="41">
        <f>IF(Vintage_Input!$C$208="",0,Vintage_Input!$C$208)</f>
        <v/>
      </c>
      <c r="D257" s="152">
        <f>IF($B257=1,$B$38,IF(N(Vintage_Input!L208)&gt;0,Vintage_Input!D208/Vintage_Input!L208,""))</f>
        <v/>
      </c>
      <c r="E257" s="152">
        <f>IF($B257=1,$C$38,IF(N(Vintage_Input!M208)&gt;0,Vintage_Input!E208/Vintage_Input!M208,""))</f>
        <v/>
      </c>
      <c r="F257" s="152">
        <f>IF($B257=1,$D$38,IF(N(Vintage_Input!N208)&gt;0,Vintage_Input!F208/Vintage_Input!N208,""))</f>
        <v/>
      </c>
      <c r="G257" s="152">
        <f>IF($B257=1,$E$38,IF(N(Vintage_Input!O208)&gt;0,Vintage_Input!G208/Vintage_Input!O208,""))</f>
        <v/>
      </c>
      <c r="H257" s="152">
        <f>IF($B257=1,$F$38,IF(N(Vintage_Input!P208)&gt;0,Vintage_Input!H208/Vintage_Input!P208,""))</f>
        <v/>
      </c>
      <c r="I257" s="152">
        <f>IF($B257=1,$G$38,IF(N(Vintage_Input!Q208)&gt;0,Vintage_Input!I208/Vintage_Input!Q208,""))</f>
        <v/>
      </c>
      <c r="J257" s="152">
        <f>IF($B257=1,$H$38,IF(N(Vintage_Input!R208)&gt;0,Vintage_Input!J208/Vintage_Input!R208,""))</f>
        <v/>
      </c>
      <c r="K257" s="152">
        <f>IF($B257=1,$I$38,IF(N(Vintage_Input!S208)&gt;0,Vintage_Input!K208/Vintage_Input!S208,""))</f>
        <v/>
      </c>
      <c r="L257" s="152">
        <f>IF($B257=1,$B$39,IF(N(Vintage_Input!L208)&gt;0,Vintage_Input!T208/Vintage_Input!L208,""))</f>
        <v/>
      </c>
      <c r="M257" s="152">
        <f>IF($B257=1,$C$39,IF(N(Vintage_Input!M208)&gt;0,Vintage_Input!U208/Vintage_Input!M208,""))</f>
        <v/>
      </c>
      <c r="N257" s="152">
        <f>IF($B257=1,$D$39,IF(N(Vintage_Input!N208)&gt;0,Vintage_Input!V208/Vintage_Input!N208,""))</f>
        <v/>
      </c>
      <c r="O257" s="152">
        <f>IF($B257=1,$E$39,IF(N(Vintage_Input!O208)&gt;0,Vintage_Input!W208/Vintage_Input!O208,""))</f>
        <v/>
      </c>
      <c r="P257" s="152">
        <f>IF($B257=1,$F$39,IF(N(Vintage_Input!P208)&gt;0,Vintage_Input!X208/Vintage_Input!P208,""))</f>
        <v/>
      </c>
      <c r="Q257" s="152">
        <f>IF($B257=1,$G$39,IF(N(Vintage_Input!Q208)&gt;0,Vintage_Input!Y208/Vintage_Input!Q208,""))</f>
        <v/>
      </c>
      <c r="R257" s="152">
        <f>IF($B257=1,$H$39,IF(N(Vintage_Input!R208)&gt;0,Vintage_Input!Z208/Vintage_Input!R208,""))</f>
        <v/>
      </c>
      <c r="S257" s="152">
        <f>IF($B257=1,$I$39,IF(N(Vintage_Input!S208)&gt;0,Vintage_Input!AA208/Vintage_Input!S208,""))</f>
        <v/>
      </c>
      <c r="T257" s="152">
        <f>IF($B257=1,$B$40,IF(N(Vintage_Input!L208)&gt;0,Vintage_Input!AB208/Vintage_Input!L208,""))</f>
        <v/>
      </c>
      <c r="U257" s="152">
        <f>IF($B257=1,$C$40,IF(N(Vintage_Input!M208)&gt;0,Vintage_Input!AC208/Vintage_Input!M208,""))</f>
        <v/>
      </c>
      <c r="V257" s="152">
        <f>IF($B257=1,$D$40,IF(N(Vintage_Input!N208)&gt;0,Vintage_Input!AD208/Vintage_Input!N208,""))</f>
        <v/>
      </c>
      <c r="W257" s="152">
        <f>IF($B257=1,$E$40,IF(N(Vintage_Input!O208)&gt;0,Vintage_Input!AE208/Vintage_Input!O208,""))</f>
        <v/>
      </c>
      <c r="X257" s="152">
        <f>IF($B257=1,$F$40,IF(N(Vintage_Input!P208)&gt;0,Vintage_Input!AF208/Vintage_Input!P208,""))</f>
        <v/>
      </c>
      <c r="Y257" s="152">
        <f>IF($B257=1,$G$40,IF(N(Vintage_Input!Q208)&gt;0,Vintage_Input!AG208/Vintage_Input!Q208,""))</f>
        <v/>
      </c>
      <c r="Z257" s="152">
        <f>IF($B257=1,$H$40,IF(N(Vintage_Input!R208)&gt;0,Vintage_Input!AH208/Vintage_Input!R208,""))</f>
        <v/>
      </c>
      <c r="AA257" s="152">
        <f>IF($B257=1,$I$40,IF(N(Vintage_Input!S208)&gt;0,Vintage_Input!AI208/Vintage_Input!S208,""))</f>
        <v/>
      </c>
      <c r="AB257" s="152">
        <f>IF($B257=1,$B$41,IF(N(Vintage_Input!L208)&gt;0,Vintage_Input!AJ208/Vintage_Input!L208,""))</f>
        <v/>
      </c>
      <c r="AC257" s="152">
        <f>IF($B257=1,$C$41,IF(N(Vintage_Input!M208)&gt;0,Vintage_Input!AK208/Vintage_Input!M208,""))</f>
        <v/>
      </c>
      <c r="AD257" s="152">
        <f>IF($B257=1,$D$41,IF(N(Vintage_Input!N208)&gt;0,Vintage_Input!AL208/Vintage_Input!N208,""))</f>
        <v/>
      </c>
      <c r="AE257" s="152">
        <f>IF($B257=1,$E$41,IF(N(Vintage_Input!O208)&gt;0,Vintage_Input!AM208/Vintage_Input!O208,""))</f>
        <v/>
      </c>
      <c r="AF257" s="152">
        <f>IF($B257=1,$F$41,IF(N(Vintage_Input!P208)&gt;0,Vintage_Input!AN208/Vintage_Input!P208,""))</f>
        <v/>
      </c>
      <c r="AG257" s="152">
        <f>IF($B257=1,$G$41,IF(N(Vintage_Input!Q208)&gt;0,Vintage_Input!AO208/Vintage_Input!Q208,""))</f>
        <v/>
      </c>
      <c r="AH257" s="152">
        <f>IF($B257=1,$H$41,IF(N(Vintage_Input!R208)&gt;0,Vintage_Input!AP208/Vintage_Input!R208,""))</f>
        <v/>
      </c>
      <c r="AI257" s="152">
        <f>IF($B257=1,$I$41,IF(N(Vintage_Input!S208)&gt;0,Vintage_Input!AQ208/Vintage_Input!S208,""))</f>
        <v/>
      </c>
      <c r="AJ257" s="152">
        <f>IF($B257=1,$B$42,IF(N(Vintage_Input!L208)&gt;0,IFERROR(Vintage_Input!AR208/Vintage_Input!AJ208,""),""))</f>
        <v/>
      </c>
      <c r="AK257" s="152">
        <f>IF($B257=1,$C$42,IF(N(Vintage_Input!M208)&gt;0,IFERROR(Vintage_Input!AS208/Vintage_Input!AK208,""),""))</f>
        <v/>
      </c>
      <c r="AL257" s="152">
        <f>IF($B257=1,$D$42,IF(N(Vintage_Input!N208)&gt;0,IFERROR(Vintage_Input!AT208/Vintage_Input!AL208,""),""))</f>
        <v/>
      </c>
      <c r="AM257" s="152">
        <f>IF($B257=1,$E$42,IF(N(Vintage_Input!O208)&gt;0,IFERROR(Vintage_Input!AU208/Vintage_Input!AM208,""),""))</f>
        <v/>
      </c>
      <c r="AN257" s="152">
        <f>IF($B257=1,$F$42,IF(N(Vintage_Input!P208)&gt;0,IFERROR(Vintage_Input!AV208/Vintage_Input!AN208,""),""))</f>
        <v/>
      </c>
      <c r="AO257" s="152">
        <f>IF($B257=1,$G$42,IF(N(Vintage_Input!Q208)&gt;0,IFERROR(Vintage_Input!AW208/Vintage_Input!AO208,""),""))</f>
        <v/>
      </c>
      <c r="AP257" s="152">
        <f>IF($B257=1,$H$42,IF(N(Vintage_Input!R208)&gt;0,IFERROR(Vintage_Input!AX208/Vintage_Input!AP208,""),""))</f>
        <v/>
      </c>
      <c r="AQ257" s="152">
        <f>IF($B257=1,$I$42,IF(N(Vintage_Input!S208)&gt;0,IFERROR(Vintage_Input!AY208/Vintage_Input!AQ208,""),""))</f>
        <v/>
      </c>
      <c r="AR257" s="152">
        <f>IF($B257=1,$B$43,IF(N(Vintage_Input!L208)&gt;0,IFERROR(Vintage_Input!AZ208/$C257,""),""))</f>
        <v/>
      </c>
      <c r="AS257" s="152">
        <f>IF($B257=1,$C$43,IF(N(Vintage_Input!M208)&gt;0,IFERROR(Vintage_Input!BA208/$C257,""),""))</f>
        <v/>
      </c>
      <c r="AT257" s="152">
        <f>IF($B257=1,$D$43,IF(N(Vintage_Input!N208)&gt;0,IFERROR(Vintage_Input!BB208/$C257,""),""))</f>
        <v/>
      </c>
      <c r="AU257" s="152">
        <f>IF($B257=1,$E$43,IF(N(Vintage_Input!O208)&gt;0,IFERROR(Vintage_Input!BC208/$C257,""),""))</f>
        <v/>
      </c>
      <c r="AV257" s="152">
        <f>IF($B257=1,$F$43,IF(N(Vintage_Input!P208)&gt;0,IFERROR(Vintage_Input!BD208/$C257,""),""))</f>
        <v/>
      </c>
      <c r="AW257" s="152">
        <f>IF($B257=1,$G$43,IF(N(Vintage_Input!Q208)&gt;0,IFERROR(Vintage_Input!BE208/$C257,""),""))</f>
        <v/>
      </c>
      <c r="AX257" s="152">
        <f>IF($B257=1,$H$43,IF(N(Vintage_Input!R208)&gt;0,IFERROR(Vintage_Input!BF208/$C257,""),""))</f>
        <v/>
      </c>
      <c r="AY257" s="152">
        <f>IF($B257=1,$I$43,IF(N(Vintage_Input!S208)&gt;0,IFERROR(Vintage_Input!BG208/$C257,""),""))</f>
        <v/>
      </c>
      <c r="AZ257" s="153">
        <f>IF($B257=1,$B$44,IF(N(Vintage_Input!L208)&gt;0,IFERROR((Vintage_Input!D208+Vintage_Input!AR208)/$C257+Products!$F$14-(Products!$F$43+Products!$F$19+Products!$F$43*Products!$F$22+Products!$F$44),""),""))</f>
        <v/>
      </c>
      <c r="BA257" s="153">
        <f>IF($B257=1,$C$44,IF(N(Vintage_Input!M208)&gt;0,IFERROR((Vintage_Input!E208+Vintage_Input!AS208)/$C257+Products!$F$14-(Products!$F$43+Products!$F$19+Products!$F$43*Products!$F$22+Products!$F$44),""),""))</f>
        <v/>
      </c>
      <c r="BB257" s="153">
        <f>IF($B257=1,$D$44,IF(N(Vintage_Input!N208)&gt;0,IFERROR((Vintage_Input!F208+Vintage_Input!AT208)/$C257+Products!$F$14-(Products!$F$43+Products!$F$19+Products!$F$43*Products!$F$22+Products!$F$44),""),""))</f>
        <v/>
      </c>
      <c r="BC257" s="153">
        <f>IF($B257=1,$E$44,IF(N(Vintage_Input!O208)&gt;0,IFERROR((Vintage_Input!G208+Vintage_Input!AU208)/$C257+Products!$F$14-(Products!$F$43+Products!$F$19+Products!$F$43*Products!$F$22+Products!$F$44),""),""))</f>
        <v/>
      </c>
      <c r="BD257" s="153">
        <f>IF($B257=1,$F$44,IF(N(Vintage_Input!P208)&gt;0,IFERROR((Vintage_Input!H208+Vintage_Input!AV208)/$C257+Products!$F$14-(Products!$F$43+Products!$F$19+Products!$F$43*Products!$F$22+Products!$F$44),""),""))</f>
        <v/>
      </c>
      <c r="BE257" s="153">
        <f>IF($B257=1,$G$44,IF(N(Vintage_Input!Q208)&gt;0,IFERROR((Vintage_Input!I208+Vintage_Input!AW208)/$C257+Products!$F$14-(Products!$F$43+Products!$F$19+Products!$F$43*Products!$F$22+Products!$F$44),""),""))</f>
        <v/>
      </c>
      <c r="BF257" s="153">
        <f>IF($B257=1,$H$44,IF(N(Vintage_Input!R208)&gt;0,IFERROR((Vintage_Input!J208+Vintage_Input!AX208)/$C257+Products!$F$14-(Products!$F$43+Products!$F$19+Products!$F$43*Products!$F$22+Products!$F$44),""),""))</f>
        <v/>
      </c>
      <c r="BG257" s="153">
        <f>IF($B257=1,$I$44,IF(N(Vintage_Input!S208)&gt;0,IFERROR((Vintage_Input!K208+Vintage_Input!AY208)/$C257+Products!$F$14-(Products!$F$43+Products!$F$19+Products!$F$43*Products!$F$22+Products!$F$44),""),""))</f>
        <v/>
      </c>
      <c r="BH257" s="81">
        <f>IF($B257=1,0,IF(Vintage_Input!$BH$208="","",Vintage_Input!$BH$208))</f>
        <v/>
      </c>
    </row>
    <row r="258">
      <c r="A258" s="23" t="n">
        <v>6</v>
      </c>
      <c r="B258" s="48">
        <f>Vintage_Input!$B$209</f>
        <v/>
      </c>
      <c r="C258" s="41">
        <f>IF(Vintage_Input!$C$209="",0,Vintage_Input!$C$209)</f>
        <v/>
      </c>
      <c r="D258" s="152">
        <f>IF($B258=1,$B$38,IF(N(Vintage_Input!L209)&gt;0,Vintage_Input!D209/Vintage_Input!L209,""))</f>
        <v/>
      </c>
      <c r="E258" s="152">
        <f>IF($B258=1,$C$38,IF(N(Vintage_Input!M209)&gt;0,Vintage_Input!E209/Vintage_Input!M209,""))</f>
        <v/>
      </c>
      <c r="F258" s="152">
        <f>IF($B258=1,$D$38,IF(N(Vintage_Input!N209)&gt;0,Vintage_Input!F209/Vintage_Input!N209,""))</f>
        <v/>
      </c>
      <c r="G258" s="152">
        <f>IF($B258=1,$E$38,IF(N(Vintage_Input!O209)&gt;0,Vintage_Input!G209/Vintage_Input!O209,""))</f>
        <v/>
      </c>
      <c r="H258" s="152">
        <f>IF($B258=1,$F$38,IF(N(Vintage_Input!P209)&gt;0,Vintage_Input!H209/Vintage_Input!P209,""))</f>
        <v/>
      </c>
      <c r="I258" s="152">
        <f>IF($B258=1,$G$38,IF(N(Vintage_Input!Q209)&gt;0,Vintage_Input!I209/Vintage_Input!Q209,""))</f>
        <v/>
      </c>
      <c r="J258" s="152">
        <f>IF($B258=1,$H$38,IF(N(Vintage_Input!R209)&gt;0,Vintage_Input!J209/Vintage_Input!R209,""))</f>
        <v/>
      </c>
      <c r="K258" s="152">
        <f>IF($B258=1,$I$38,IF(N(Vintage_Input!S209)&gt;0,Vintage_Input!K209/Vintage_Input!S209,""))</f>
        <v/>
      </c>
      <c r="L258" s="152">
        <f>IF($B258=1,$B$39,IF(N(Vintage_Input!L209)&gt;0,Vintage_Input!T209/Vintage_Input!L209,""))</f>
        <v/>
      </c>
      <c r="M258" s="152">
        <f>IF($B258=1,$C$39,IF(N(Vintage_Input!M209)&gt;0,Vintage_Input!U209/Vintage_Input!M209,""))</f>
        <v/>
      </c>
      <c r="N258" s="152">
        <f>IF($B258=1,$D$39,IF(N(Vintage_Input!N209)&gt;0,Vintage_Input!V209/Vintage_Input!N209,""))</f>
        <v/>
      </c>
      <c r="O258" s="152">
        <f>IF($B258=1,$E$39,IF(N(Vintage_Input!O209)&gt;0,Vintage_Input!W209/Vintage_Input!O209,""))</f>
        <v/>
      </c>
      <c r="P258" s="152">
        <f>IF($B258=1,$F$39,IF(N(Vintage_Input!P209)&gt;0,Vintage_Input!X209/Vintage_Input!P209,""))</f>
        <v/>
      </c>
      <c r="Q258" s="152">
        <f>IF($B258=1,$G$39,IF(N(Vintage_Input!Q209)&gt;0,Vintage_Input!Y209/Vintage_Input!Q209,""))</f>
        <v/>
      </c>
      <c r="R258" s="152">
        <f>IF($B258=1,$H$39,IF(N(Vintage_Input!R209)&gt;0,Vintage_Input!Z209/Vintage_Input!R209,""))</f>
        <v/>
      </c>
      <c r="S258" s="152">
        <f>IF($B258=1,$I$39,IF(N(Vintage_Input!S209)&gt;0,Vintage_Input!AA209/Vintage_Input!S209,""))</f>
        <v/>
      </c>
      <c r="T258" s="152">
        <f>IF($B258=1,$B$40,IF(N(Vintage_Input!L209)&gt;0,Vintage_Input!AB209/Vintage_Input!L209,""))</f>
        <v/>
      </c>
      <c r="U258" s="152">
        <f>IF($B258=1,$C$40,IF(N(Vintage_Input!M209)&gt;0,Vintage_Input!AC209/Vintage_Input!M209,""))</f>
        <v/>
      </c>
      <c r="V258" s="152">
        <f>IF($B258=1,$D$40,IF(N(Vintage_Input!N209)&gt;0,Vintage_Input!AD209/Vintage_Input!N209,""))</f>
        <v/>
      </c>
      <c r="W258" s="152">
        <f>IF($B258=1,$E$40,IF(N(Vintage_Input!O209)&gt;0,Vintage_Input!AE209/Vintage_Input!O209,""))</f>
        <v/>
      </c>
      <c r="X258" s="152">
        <f>IF($B258=1,$F$40,IF(N(Vintage_Input!P209)&gt;0,Vintage_Input!AF209/Vintage_Input!P209,""))</f>
        <v/>
      </c>
      <c r="Y258" s="152">
        <f>IF($B258=1,$G$40,IF(N(Vintage_Input!Q209)&gt;0,Vintage_Input!AG209/Vintage_Input!Q209,""))</f>
        <v/>
      </c>
      <c r="Z258" s="152">
        <f>IF($B258=1,$H$40,IF(N(Vintage_Input!R209)&gt;0,Vintage_Input!AH209/Vintage_Input!R209,""))</f>
        <v/>
      </c>
      <c r="AA258" s="152">
        <f>IF($B258=1,$I$40,IF(N(Vintage_Input!S209)&gt;0,Vintage_Input!AI209/Vintage_Input!S209,""))</f>
        <v/>
      </c>
      <c r="AB258" s="152">
        <f>IF($B258=1,$B$41,IF(N(Vintage_Input!L209)&gt;0,Vintage_Input!AJ209/Vintage_Input!L209,""))</f>
        <v/>
      </c>
      <c r="AC258" s="152">
        <f>IF($B258=1,$C$41,IF(N(Vintage_Input!M209)&gt;0,Vintage_Input!AK209/Vintage_Input!M209,""))</f>
        <v/>
      </c>
      <c r="AD258" s="152">
        <f>IF($B258=1,$D$41,IF(N(Vintage_Input!N209)&gt;0,Vintage_Input!AL209/Vintage_Input!N209,""))</f>
        <v/>
      </c>
      <c r="AE258" s="152">
        <f>IF($B258=1,$E$41,IF(N(Vintage_Input!O209)&gt;0,Vintage_Input!AM209/Vintage_Input!O209,""))</f>
        <v/>
      </c>
      <c r="AF258" s="152">
        <f>IF($B258=1,$F$41,IF(N(Vintage_Input!P209)&gt;0,Vintage_Input!AN209/Vintage_Input!P209,""))</f>
        <v/>
      </c>
      <c r="AG258" s="152">
        <f>IF($B258=1,$G$41,IF(N(Vintage_Input!Q209)&gt;0,Vintage_Input!AO209/Vintage_Input!Q209,""))</f>
        <v/>
      </c>
      <c r="AH258" s="152">
        <f>IF($B258=1,$H$41,IF(N(Vintage_Input!R209)&gt;0,Vintage_Input!AP209/Vintage_Input!R209,""))</f>
        <v/>
      </c>
      <c r="AI258" s="152">
        <f>IF($B258=1,$I$41,IF(N(Vintage_Input!S209)&gt;0,Vintage_Input!AQ209/Vintage_Input!S209,""))</f>
        <v/>
      </c>
      <c r="AJ258" s="152">
        <f>IF($B258=1,$B$42,IF(N(Vintage_Input!L209)&gt;0,IFERROR(Vintage_Input!AR209/Vintage_Input!AJ209,""),""))</f>
        <v/>
      </c>
      <c r="AK258" s="152">
        <f>IF($B258=1,$C$42,IF(N(Vintage_Input!M209)&gt;0,IFERROR(Vintage_Input!AS209/Vintage_Input!AK209,""),""))</f>
        <v/>
      </c>
      <c r="AL258" s="152">
        <f>IF($B258=1,$D$42,IF(N(Vintage_Input!N209)&gt;0,IFERROR(Vintage_Input!AT209/Vintage_Input!AL209,""),""))</f>
        <v/>
      </c>
      <c r="AM258" s="152">
        <f>IF($B258=1,$E$42,IF(N(Vintage_Input!O209)&gt;0,IFERROR(Vintage_Input!AU209/Vintage_Input!AM209,""),""))</f>
        <v/>
      </c>
      <c r="AN258" s="152">
        <f>IF($B258=1,$F$42,IF(N(Vintage_Input!P209)&gt;0,IFERROR(Vintage_Input!AV209/Vintage_Input!AN209,""),""))</f>
        <v/>
      </c>
      <c r="AO258" s="152">
        <f>IF($B258=1,$G$42,IF(N(Vintage_Input!Q209)&gt;0,IFERROR(Vintage_Input!AW209/Vintage_Input!AO209,""),""))</f>
        <v/>
      </c>
      <c r="AP258" s="152">
        <f>IF($B258=1,$H$42,IF(N(Vintage_Input!R209)&gt;0,IFERROR(Vintage_Input!AX209/Vintage_Input!AP209,""),""))</f>
        <v/>
      </c>
      <c r="AQ258" s="152">
        <f>IF($B258=1,$I$42,IF(N(Vintage_Input!S209)&gt;0,IFERROR(Vintage_Input!AY209/Vintage_Input!AQ209,""),""))</f>
        <v/>
      </c>
      <c r="AR258" s="152">
        <f>IF($B258=1,$B$43,IF(N(Vintage_Input!L209)&gt;0,IFERROR(Vintage_Input!AZ209/$C258,""),""))</f>
        <v/>
      </c>
      <c r="AS258" s="152">
        <f>IF($B258=1,$C$43,IF(N(Vintage_Input!M209)&gt;0,IFERROR(Vintage_Input!BA209/$C258,""),""))</f>
        <v/>
      </c>
      <c r="AT258" s="152">
        <f>IF($B258=1,$D$43,IF(N(Vintage_Input!N209)&gt;0,IFERROR(Vintage_Input!BB209/$C258,""),""))</f>
        <v/>
      </c>
      <c r="AU258" s="152">
        <f>IF($B258=1,$E$43,IF(N(Vintage_Input!O209)&gt;0,IFERROR(Vintage_Input!BC209/$C258,""),""))</f>
        <v/>
      </c>
      <c r="AV258" s="152">
        <f>IF($B258=1,$F$43,IF(N(Vintage_Input!P209)&gt;0,IFERROR(Vintage_Input!BD209/$C258,""),""))</f>
        <v/>
      </c>
      <c r="AW258" s="152">
        <f>IF($B258=1,$G$43,IF(N(Vintage_Input!Q209)&gt;0,IFERROR(Vintage_Input!BE209/$C258,""),""))</f>
        <v/>
      </c>
      <c r="AX258" s="152">
        <f>IF($B258=1,$H$43,IF(N(Vintage_Input!R209)&gt;0,IFERROR(Vintage_Input!BF209/$C258,""),""))</f>
        <v/>
      </c>
      <c r="AY258" s="152">
        <f>IF($B258=1,$I$43,IF(N(Vintage_Input!S209)&gt;0,IFERROR(Vintage_Input!BG209/$C258,""),""))</f>
        <v/>
      </c>
      <c r="AZ258" s="153">
        <f>IF($B258=1,$B$44,IF(N(Vintage_Input!L209)&gt;0,IFERROR((Vintage_Input!D209+Vintage_Input!AR209)/$C258+Products!$F$14-(Products!$F$43+Products!$F$19+Products!$F$43*Products!$F$22+Products!$F$44),""),""))</f>
        <v/>
      </c>
      <c r="BA258" s="153">
        <f>IF($B258=1,$C$44,IF(N(Vintage_Input!M209)&gt;0,IFERROR((Vintage_Input!E209+Vintage_Input!AS209)/$C258+Products!$F$14-(Products!$F$43+Products!$F$19+Products!$F$43*Products!$F$22+Products!$F$44),""),""))</f>
        <v/>
      </c>
      <c r="BB258" s="153">
        <f>IF($B258=1,$D$44,IF(N(Vintage_Input!N209)&gt;0,IFERROR((Vintage_Input!F209+Vintage_Input!AT209)/$C258+Products!$F$14-(Products!$F$43+Products!$F$19+Products!$F$43*Products!$F$22+Products!$F$44),""),""))</f>
        <v/>
      </c>
      <c r="BC258" s="153">
        <f>IF($B258=1,$E$44,IF(N(Vintage_Input!O209)&gt;0,IFERROR((Vintage_Input!G209+Vintage_Input!AU209)/$C258+Products!$F$14-(Products!$F$43+Products!$F$19+Products!$F$43*Products!$F$22+Products!$F$44),""),""))</f>
        <v/>
      </c>
      <c r="BD258" s="153">
        <f>IF($B258=1,$F$44,IF(N(Vintage_Input!P209)&gt;0,IFERROR((Vintage_Input!H209+Vintage_Input!AV209)/$C258+Products!$F$14-(Products!$F$43+Products!$F$19+Products!$F$43*Products!$F$22+Products!$F$44),""),""))</f>
        <v/>
      </c>
      <c r="BE258" s="153">
        <f>IF($B258=1,$G$44,IF(N(Vintage_Input!Q209)&gt;0,IFERROR((Vintage_Input!I209+Vintage_Input!AW209)/$C258+Products!$F$14-(Products!$F$43+Products!$F$19+Products!$F$43*Products!$F$22+Products!$F$44),""),""))</f>
        <v/>
      </c>
      <c r="BF258" s="153">
        <f>IF($B258=1,$H$44,IF(N(Vintage_Input!R209)&gt;0,IFERROR((Vintage_Input!J209+Vintage_Input!AX209)/$C258+Products!$F$14-(Products!$F$43+Products!$F$19+Products!$F$43*Products!$F$22+Products!$F$44),""),""))</f>
        <v/>
      </c>
      <c r="BG258" s="153">
        <f>IF($B258=1,$I$44,IF(N(Vintage_Input!S209)&gt;0,IFERROR((Vintage_Input!K209+Vintage_Input!AY209)/$C258+Products!$F$14-(Products!$F$43+Products!$F$19+Products!$F$43*Products!$F$22+Products!$F$44),""),""))</f>
        <v/>
      </c>
      <c r="BH258" s="81">
        <f>IF($B258=1,0,IF(Vintage_Input!$BH$209="","",Vintage_Input!$BH$209))</f>
        <v/>
      </c>
    </row>
    <row r="259">
      <c r="A259" s="23" t="n">
        <v>7</v>
      </c>
      <c r="B259" s="48">
        <f>Vintage_Input!$B$210</f>
        <v/>
      </c>
      <c r="C259" s="41">
        <f>IF(Vintage_Input!$C$210="",0,Vintage_Input!$C$210)</f>
        <v/>
      </c>
      <c r="D259" s="152">
        <f>IF($B259=1,$B$38,IF(N(Vintage_Input!L210)&gt;0,Vintage_Input!D210/Vintage_Input!L210,""))</f>
        <v/>
      </c>
      <c r="E259" s="152">
        <f>IF($B259=1,$C$38,IF(N(Vintage_Input!M210)&gt;0,Vintage_Input!E210/Vintage_Input!M210,""))</f>
        <v/>
      </c>
      <c r="F259" s="152">
        <f>IF($B259=1,$D$38,IF(N(Vintage_Input!N210)&gt;0,Vintage_Input!F210/Vintage_Input!N210,""))</f>
        <v/>
      </c>
      <c r="G259" s="152">
        <f>IF($B259=1,$E$38,IF(N(Vintage_Input!O210)&gt;0,Vintage_Input!G210/Vintage_Input!O210,""))</f>
        <v/>
      </c>
      <c r="H259" s="152">
        <f>IF($B259=1,$F$38,IF(N(Vintage_Input!P210)&gt;0,Vintage_Input!H210/Vintage_Input!P210,""))</f>
        <v/>
      </c>
      <c r="I259" s="152">
        <f>IF($B259=1,$G$38,IF(N(Vintage_Input!Q210)&gt;0,Vintage_Input!I210/Vintage_Input!Q210,""))</f>
        <v/>
      </c>
      <c r="J259" s="152">
        <f>IF($B259=1,$H$38,IF(N(Vintage_Input!R210)&gt;0,Vintage_Input!J210/Vintage_Input!R210,""))</f>
        <v/>
      </c>
      <c r="K259" s="152">
        <f>IF($B259=1,$I$38,IF(N(Vintage_Input!S210)&gt;0,Vintage_Input!K210/Vintage_Input!S210,""))</f>
        <v/>
      </c>
      <c r="L259" s="152">
        <f>IF($B259=1,$B$39,IF(N(Vintage_Input!L210)&gt;0,Vintage_Input!T210/Vintage_Input!L210,""))</f>
        <v/>
      </c>
      <c r="M259" s="152">
        <f>IF($B259=1,$C$39,IF(N(Vintage_Input!M210)&gt;0,Vintage_Input!U210/Vintage_Input!M210,""))</f>
        <v/>
      </c>
      <c r="N259" s="152">
        <f>IF($B259=1,$D$39,IF(N(Vintage_Input!N210)&gt;0,Vintage_Input!V210/Vintage_Input!N210,""))</f>
        <v/>
      </c>
      <c r="O259" s="152">
        <f>IF($B259=1,$E$39,IF(N(Vintage_Input!O210)&gt;0,Vintage_Input!W210/Vintage_Input!O210,""))</f>
        <v/>
      </c>
      <c r="P259" s="152">
        <f>IF($B259=1,$F$39,IF(N(Vintage_Input!P210)&gt;0,Vintage_Input!X210/Vintage_Input!P210,""))</f>
        <v/>
      </c>
      <c r="Q259" s="152">
        <f>IF($B259=1,$G$39,IF(N(Vintage_Input!Q210)&gt;0,Vintage_Input!Y210/Vintage_Input!Q210,""))</f>
        <v/>
      </c>
      <c r="R259" s="152">
        <f>IF($B259=1,$H$39,IF(N(Vintage_Input!R210)&gt;0,Vintage_Input!Z210/Vintage_Input!R210,""))</f>
        <v/>
      </c>
      <c r="S259" s="152">
        <f>IF($B259=1,$I$39,IF(N(Vintage_Input!S210)&gt;0,Vintage_Input!AA210/Vintage_Input!S210,""))</f>
        <v/>
      </c>
      <c r="T259" s="152">
        <f>IF($B259=1,$B$40,IF(N(Vintage_Input!L210)&gt;0,Vintage_Input!AB210/Vintage_Input!L210,""))</f>
        <v/>
      </c>
      <c r="U259" s="152">
        <f>IF($B259=1,$C$40,IF(N(Vintage_Input!M210)&gt;0,Vintage_Input!AC210/Vintage_Input!M210,""))</f>
        <v/>
      </c>
      <c r="V259" s="152">
        <f>IF($B259=1,$D$40,IF(N(Vintage_Input!N210)&gt;0,Vintage_Input!AD210/Vintage_Input!N210,""))</f>
        <v/>
      </c>
      <c r="W259" s="152">
        <f>IF($B259=1,$E$40,IF(N(Vintage_Input!O210)&gt;0,Vintage_Input!AE210/Vintage_Input!O210,""))</f>
        <v/>
      </c>
      <c r="X259" s="152">
        <f>IF($B259=1,$F$40,IF(N(Vintage_Input!P210)&gt;0,Vintage_Input!AF210/Vintage_Input!P210,""))</f>
        <v/>
      </c>
      <c r="Y259" s="152">
        <f>IF($B259=1,$G$40,IF(N(Vintage_Input!Q210)&gt;0,Vintage_Input!AG210/Vintage_Input!Q210,""))</f>
        <v/>
      </c>
      <c r="Z259" s="152">
        <f>IF($B259=1,$H$40,IF(N(Vintage_Input!R210)&gt;0,Vintage_Input!AH210/Vintage_Input!R210,""))</f>
        <v/>
      </c>
      <c r="AA259" s="152">
        <f>IF($B259=1,$I$40,IF(N(Vintage_Input!S210)&gt;0,Vintage_Input!AI210/Vintage_Input!S210,""))</f>
        <v/>
      </c>
      <c r="AB259" s="152">
        <f>IF($B259=1,$B$41,IF(N(Vintage_Input!L210)&gt;0,Vintage_Input!AJ210/Vintage_Input!L210,""))</f>
        <v/>
      </c>
      <c r="AC259" s="152">
        <f>IF($B259=1,$C$41,IF(N(Vintage_Input!M210)&gt;0,Vintage_Input!AK210/Vintage_Input!M210,""))</f>
        <v/>
      </c>
      <c r="AD259" s="152">
        <f>IF($B259=1,$D$41,IF(N(Vintage_Input!N210)&gt;0,Vintage_Input!AL210/Vintage_Input!N210,""))</f>
        <v/>
      </c>
      <c r="AE259" s="152">
        <f>IF($B259=1,$E$41,IF(N(Vintage_Input!O210)&gt;0,Vintage_Input!AM210/Vintage_Input!O210,""))</f>
        <v/>
      </c>
      <c r="AF259" s="152">
        <f>IF($B259=1,$F$41,IF(N(Vintage_Input!P210)&gt;0,Vintage_Input!AN210/Vintage_Input!P210,""))</f>
        <v/>
      </c>
      <c r="AG259" s="152">
        <f>IF($B259=1,$G$41,IF(N(Vintage_Input!Q210)&gt;0,Vintage_Input!AO210/Vintage_Input!Q210,""))</f>
        <v/>
      </c>
      <c r="AH259" s="152">
        <f>IF($B259=1,$H$41,IF(N(Vintage_Input!R210)&gt;0,Vintage_Input!AP210/Vintage_Input!R210,""))</f>
        <v/>
      </c>
      <c r="AI259" s="152">
        <f>IF($B259=1,$I$41,IF(N(Vintage_Input!S210)&gt;0,Vintage_Input!AQ210/Vintage_Input!S210,""))</f>
        <v/>
      </c>
      <c r="AJ259" s="152">
        <f>IF($B259=1,$B$42,IF(N(Vintage_Input!L210)&gt;0,IFERROR(Vintage_Input!AR210/Vintage_Input!AJ210,""),""))</f>
        <v/>
      </c>
      <c r="AK259" s="152">
        <f>IF($B259=1,$C$42,IF(N(Vintage_Input!M210)&gt;0,IFERROR(Vintage_Input!AS210/Vintage_Input!AK210,""),""))</f>
        <v/>
      </c>
      <c r="AL259" s="152">
        <f>IF($B259=1,$D$42,IF(N(Vintage_Input!N210)&gt;0,IFERROR(Vintage_Input!AT210/Vintage_Input!AL210,""),""))</f>
        <v/>
      </c>
      <c r="AM259" s="152">
        <f>IF($B259=1,$E$42,IF(N(Vintage_Input!O210)&gt;0,IFERROR(Vintage_Input!AU210/Vintage_Input!AM210,""),""))</f>
        <v/>
      </c>
      <c r="AN259" s="152">
        <f>IF($B259=1,$F$42,IF(N(Vintage_Input!P210)&gt;0,IFERROR(Vintage_Input!AV210/Vintage_Input!AN210,""),""))</f>
        <v/>
      </c>
      <c r="AO259" s="152">
        <f>IF($B259=1,$G$42,IF(N(Vintage_Input!Q210)&gt;0,IFERROR(Vintage_Input!AW210/Vintage_Input!AO210,""),""))</f>
        <v/>
      </c>
      <c r="AP259" s="152">
        <f>IF($B259=1,$H$42,IF(N(Vintage_Input!R210)&gt;0,IFERROR(Vintage_Input!AX210/Vintage_Input!AP210,""),""))</f>
        <v/>
      </c>
      <c r="AQ259" s="152">
        <f>IF($B259=1,$I$42,IF(N(Vintage_Input!S210)&gt;0,IFERROR(Vintage_Input!AY210/Vintage_Input!AQ210,""),""))</f>
        <v/>
      </c>
      <c r="AR259" s="152">
        <f>IF($B259=1,$B$43,IF(N(Vintage_Input!L210)&gt;0,IFERROR(Vintage_Input!AZ210/$C259,""),""))</f>
        <v/>
      </c>
      <c r="AS259" s="152">
        <f>IF($B259=1,$C$43,IF(N(Vintage_Input!M210)&gt;0,IFERROR(Vintage_Input!BA210/$C259,""),""))</f>
        <v/>
      </c>
      <c r="AT259" s="152">
        <f>IF($B259=1,$D$43,IF(N(Vintage_Input!N210)&gt;0,IFERROR(Vintage_Input!BB210/$C259,""),""))</f>
        <v/>
      </c>
      <c r="AU259" s="152">
        <f>IF($B259=1,$E$43,IF(N(Vintage_Input!O210)&gt;0,IFERROR(Vintage_Input!BC210/$C259,""),""))</f>
        <v/>
      </c>
      <c r="AV259" s="152">
        <f>IF($B259=1,$F$43,IF(N(Vintage_Input!P210)&gt;0,IFERROR(Vintage_Input!BD210/$C259,""),""))</f>
        <v/>
      </c>
      <c r="AW259" s="152">
        <f>IF($B259=1,$G$43,IF(N(Vintage_Input!Q210)&gt;0,IFERROR(Vintage_Input!BE210/$C259,""),""))</f>
        <v/>
      </c>
      <c r="AX259" s="152">
        <f>IF($B259=1,$H$43,IF(N(Vintage_Input!R210)&gt;0,IFERROR(Vintage_Input!BF210/$C259,""),""))</f>
        <v/>
      </c>
      <c r="AY259" s="152">
        <f>IF($B259=1,$I$43,IF(N(Vintage_Input!S210)&gt;0,IFERROR(Vintage_Input!BG210/$C259,""),""))</f>
        <v/>
      </c>
      <c r="AZ259" s="153">
        <f>IF($B259=1,$B$44,IF(N(Vintage_Input!L210)&gt;0,IFERROR((Vintage_Input!D210+Vintage_Input!AR210)/$C259+Products!$F$14-(Products!$F$43+Products!$F$19+Products!$F$43*Products!$F$22+Products!$F$44),""),""))</f>
        <v/>
      </c>
      <c r="BA259" s="153">
        <f>IF($B259=1,$C$44,IF(N(Vintage_Input!M210)&gt;0,IFERROR((Vintage_Input!E210+Vintage_Input!AS210)/$C259+Products!$F$14-(Products!$F$43+Products!$F$19+Products!$F$43*Products!$F$22+Products!$F$44),""),""))</f>
        <v/>
      </c>
      <c r="BB259" s="153">
        <f>IF($B259=1,$D$44,IF(N(Vintage_Input!N210)&gt;0,IFERROR((Vintage_Input!F210+Vintage_Input!AT210)/$C259+Products!$F$14-(Products!$F$43+Products!$F$19+Products!$F$43*Products!$F$22+Products!$F$44),""),""))</f>
        <v/>
      </c>
      <c r="BC259" s="153">
        <f>IF($B259=1,$E$44,IF(N(Vintage_Input!O210)&gt;0,IFERROR((Vintage_Input!G210+Vintage_Input!AU210)/$C259+Products!$F$14-(Products!$F$43+Products!$F$19+Products!$F$43*Products!$F$22+Products!$F$44),""),""))</f>
        <v/>
      </c>
      <c r="BD259" s="153">
        <f>IF($B259=1,$F$44,IF(N(Vintage_Input!P210)&gt;0,IFERROR((Vintage_Input!H210+Vintage_Input!AV210)/$C259+Products!$F$14-(Products!$F$43+Products!$F$19+Products!$F$43*Products!$F$22+Products!$F$44),""),""))</f>
        <v/>
      </c>
      <c r="BE259" s="153">
        <f>IF($B259=1,$G$44,IF(N(Vintage_Input!Q210)&gt;0,IFERROR((Vintage_Input!I210+Vintage_Input!AW210)/$C259+Products!$F$14-(Products!$F$43+Products!$F$19+Products!$F$43*Products!$F$22+Products!$F$44),""),""))</f>
        <v/>
      </c>
      <c r="BF259" s="153">
        <f>IF($B259=1,$H$44,IF(N(Vintage_Input!R210)&gt;0,IFERROR((Vintage_Input!J210+Vintage_Input!AX210)/$C259+Products!$F$14-(Products!$F$43+Products!$F$19+Products!$F$43*Products!$F$22+Products!$F$44),""),""))</f>
        <v/>
      </c>
      <c r="BG259" s="153">
        <f>IF($B259=1,$I$44,IF(N(Vintage_Input!S210)&gt;0,IFERROR((Vintage_Input!K210+Vintage_Input!AY210)/$C259+Products!$F$14-(Products!$F$43+Products!$F$19+Products!$F$43*Products!$F$22+Products!$F$44),""),""))</f>
        <v/>
      </c>
      <c r="BH259" s="81">
        <f>IF($B259=1,0,IF(Vintage_Input!$BH$210="","",Vintage_Input!$BH$210))</f>
        <v/>
      </c>
    </row>
    <row r="260">
      <c r="A260" s="23" t="n">
        <v>8</v>
      </c>
      <c r="B260" s="48">
        <f>Vintage_Input!$B$211</f>
        <v/>
      </c>
      <c r="C260" s="41">
        <f>IF(Vintage_Input!$C$211="",0,Vintage_Input!$C$211)</f>
        <v/>
      </c>
      <c r="D260" s="152">
        <f>IF($B260=1,$B$38,IF(N(Vintage_Input!L211)&gt;0,Vintage_Input!D211/Vintage_Input!L211,""))</f>
        <v/>
      </c>
      <c r="E260" s="152">
        <f>IF($B260=1,$C$38,IF(N(Vintage_Input!M211)&gt;0,Vintage_Input!E211/Vintage_Input!M211,""))</f>
        <v/>
      </c>
      <c r="F260" s="152">
        <f>IF($B260=1,$D$38,IF(N(Vintage_Input!N211)&gt;0,Vintage_Input!F211/Vintage_Input!N211,""))</f>
        <v/>
      </c>
      <c r="G260" s="152">
        <f>IF($B260=1,$E$38,IF(N(Vintage_Input!O211)&gt;0,Vintage_Input!G211/Vintage_Input!O211,""))</f>
        <v/>
      </c>
      <c r="H260" s="152">
        <f>IF($B260=1,$F$38,IF(N(Vintage_Input!P211)&gt;0,Vintage_Input!H211/Vintage_Input!P211,""))</f>
        <v/>
      </c>
      <c r="I260" s="152">
        <f>IF($B260=1,$G$38,IF(N(Vintage_Input!Q211)&gt;0,Vintage_Input!I211/Vintage_Input!Q211,""))</f>
        <v/>
      </c>
      <c r="J260" s="152">
        <f>IF($B260=1,$H$38,IF(N(Vintage_Input!R211)&gt;0,Vintage_Input!J211/Vintage_Input!R211,""))</f>
        <v/>
      </c>
      <c r="K260" s="152">
        <f>IF($B260=1,$I$38,IF(N(Vintage_Input!S211)&gt;0,Vintage_Input!K211/Vintage_Input!S211,""))</f>
        <v/>
      </c>
      <c r="L260" s="152">
        <f>IF($B260=1,$B$39,IF(N(Vintage_Input!L211)&gt;0,Vintage_Input!T211/Vintage_Input!L211,""))</f>
        <v/>
      </c>
      <c r="M260" s="152">
        <f>IF($B260=1,$C$39,IF(N(Vintage_Input!M211)&gt;0,Vintage_Input!U211/Vintage_Input!M211,""))</f>
        <v/>
      </c>
      <c r="N260" s="152">
        <f>IF($B260=1,$D$39,IF(N(Vintage_Input!N211)&gt;0,Vintage_Input!V211/Vintage_Input!N211,""))</f>
        <v/>
      </c>
      <c r="O260" s="152">
        <f>IF($B260=1,$E$39,IF(N(Vintage_Input!O211)&gt;0,Vintage_Input!W211/Vintage_Input!O211,""))</f>
        <v/>
      </c>
      <c r="P260" s="152">
        <f>IF($B260=1,$F$39,IF(N(Vintage_Input!P211)&gt;0,Vintage_Input!X211/Vintage_Input!P211,""))</f>
        <v/>
      </c>
      <c r="Q260" s="152">
        <f>IF($B260=1,$G$39,IF(N(Vintage_Input!Q211)&gt;0,Vintage_Input!Y211/Vintage_Input!Q211,""))</f>
        <v/>
      </c>
      <c r="R260" s="152">
        <f>IF($B260=1,$H$39,IF(N(Vintage_Input!R211)&gt;0,Vintage_Input!Z211/Vintage_Input!R211,""))</f>
        <v/>
      </c>
      <c r="S260" s="152">
        <f>IF($B260=1,$I$39,IF(N(Vintage_Input!S211)&gt;0,Vintage_Input!AA211/Vintage_Input!S211,""))</f>
        <v/>
      </c>
      <c r="T260" s="152">
        <f>IF($B260=1,$B$40,IF(N(Vintage_Input!L211)&gt;0,Vintage_Input!AB211/Vintage_Input!L211,""))</f>
        <v/>
      </c>
      <c r="U260" s="152">
        <f>IF($B260=1,$C$40,IF(N(Vintage_Input!M211)&gt;0,Vintage_Input!AC211/Vintage_Input!M211,""))</f>
        <v/>
      </c>
      <c r="V260" s="152">
        <f>IF($B260=1,$D$40,IF(N(Vintage_Input!N211)&gt;0,Vintage_Input!AD211/Vintage_Input!N211,""))</f>
        <v/>
      </c>
      <c r="W260" s="152">
        <f>IF($B260=1,$E$40,IF(N(Vintage_Input!O211)&gt;0,Vintage_Input!AE211/Vintage_Input!O211,""))</f>
        <v/>
      </c>
      <c r="X260" s="152">
        <f>IF($B260=1,$F$40,IF(N(Vintage_Input!P211)&gt;0,Vintage_Input!AF211/Vintage_Input!P211,""))</f>
        <v/>
      </c>
      <c r="Y260" s="152">
        <f>IF($B260=1,$G$40,IF(N(Vintage_Input!Q211)&gt;0,Vintage_Input!AG211/Vintage_Input!Q211,""))</f>
        <v/>
      </c>
      <c r="Z260" s="152">
        <f>IF($B260=1,$H$40,IF(N(Vintage_Input!R211)&gt;0,Vintage_Input!AH211/Vintage_Input!R211,""))</f>
        <v/>
      </c>
      <c r="AA260" s="152">
        <f>IF($B260=1,$I$40,IF(N(Vintage_Input!S211)&gt;0,Vintage_Input!AI211/Vintage_Input!S211,""))</f>
        <v/>
      </c>
      <c r="AB260" s="152">
        <f>IF($B260=1,$B$41,IF(N(Vintage_Input!L211)&gt;0,Vintage_Input!AJ211/Vintage_Input!L211,""))</f>
        <v/>
      </c>
      <c r="AC260" s="152">
        <f>IF($B260=1,$C$41,IF(N(Vintage_Input!M211)&gt;0,Vintage_Input!AK211/Vintage_Input!M211,""))</f>
        <v/>
      </c>
      <c r="AD260" s="152">
        <f>IF($B260=1,$D$41,IF(N(Vintage_Input!N211)&gt;0,Vintage_Input!AL211/Vintage_Input!N211,""))</f>
        <v/>
      </c>
      <c r="AE260" s="152">
        <f>IF($B260=1,$E$41,IF(N(Vintage_Input!O211)&gt;0,Vintage_Input!AM211/Vintage_Input!O211,""))</f>
        <v/>
      </c>
      <c r="AF260" s="152">
        <f>IF($B260=1,$F$41,IF(N(Vintage_Input!P211)&gt;0,Vintage_Input!AN211/Vintage_Input!P211,""))</f>
        <v/>
      </c>
      <c r="AG260" s="152">
        <f>IF($B260=1,$G$41,IF(N(Vintage_Input!Q211)&gt;0,Vintage_Input!AO211/Vintage_Input!Q211,""))</f>
        <v/>
      </c>
      <c r="AH260" s="152">
        <f>IF($B260=1,$H$41,IF(N(Vintage_Input!R211)&gt;0,Vintage_Input!AP211/Vintage_Input!R211,""))</f>
        <v/>
      </c>
      <c r="AI260" s="152">
        <f>IF($B260=1,$I$41,IF(N(Vintage_Input!S211)&gt;0,Vintage_Input!AQ211/Vintage_Input!S211,""))</f>
        <v/>
      </c>
      <c r="AJ260" s="152">
        <f>IF($B260=1,$B$42,IF(N(Vintage_Input!L211)&gt;0,IFERROR(Vintage_Input!AR211/Vintage_Input!AJ211,""),""))</f>
        <v/>
      </c>
      <c r="AK260" s="152">
        <f>IF($B260=1,$C$42,IF(N(Vintage_Input!M211)&gt;0,IFERROR(Vintage_Input!AS211/Vintage_Input!AK211,""),""))</f>
        <v/>
      </c>
      <c r="AL260" s="152">
        <f>IF($B260=1,$D$42,IF(N(Vintage_Input!N211)&gt;0,IFERROR(Vintage_Input!AT211/Vintage_Input!AL211,""),""))</f>
        <v/>
      </c>
      <c r="AM260" s="152">
        <f>IF($B260=1,$E$42,IF(N(Vintage_Input!O211)&gt;0,IFERROR(Vintage_Input!AU211/Vintage_Input!AM211,""),""))</f>
        <v/>
      </c>
      <c r="AN260" s="152">
        <f>IF($B260=1,$F$42,IF(N(Vintage_Input!P211)&gt;0,IFERROR(Vintage_Input!AV211/Vintage_Input!AN211,""),""))</f>
        <v/>
      </c>
      <c r="AO260" s="152">
        <f>IF($B260=1,$G$42,IF(N(Vintage_Input!Q211)&gt;0,IFERROR(Vintage_Input!AW211/Vintage_Input!AO211,""),""))</f>
        <v/>
      </c>
      <c r="AP260" s="152">
        <f>IF($B260=1,$H$42,IF(N(Vintage_Input!R211)&gt;0,IFERROR(Vintage_Input!AX211/Vintage_Input!AP211,""),""))</f>
        <v/>
      </c>
      <c r="AQ260" s="152">
        <f>IF($B260=1,$I$42,IF(N(Vintage_Input!S211)&gt;0,IFERROR(Vintage_Input!AY211/Vintage_Input!AQ211,""),""))</f>
        <v/>
      </c>
      <c r="AR260" s="152">
        <f>IF($B260=1,$B$43,IF(N(Vintage_Input!L211)&gt;0,IFERROR(Vintage_Input!AZ211/$C260,""),""))</f>
        <v/>
      </c>
      <c r="AS260" s="152">
        <f>IF($B260=1,$C$43,IF(N(Vintage_Input!M211)&gt;0,IFERROR(Vintage_Input!BA211/$C260,""),""))</f>
        <v/>
      </c>
      <c r="AT260" s="152">
        <f>IF($B260=1,$D$43,IF(N(Vintage_Input!N211)&gt;0,IFERROR(Vintage_Input!BB211/$C260,""),""))</f>
        <v/>
      </c>
      <c r="AU260" s="152">
        <f>IF($B260=1,$E$43,IF(N(Vintage_Input!O211)&gt;0,IFERROR(Vintage_Input!BC211/$C260,""),""))</f>
        <v/>
      </c>
      <c r="AV260" s="152">
        <f>IF($B260=1,$F$43,IF(N(Vintage_Input!P211)&gt;0,IFERROR(Vintage_Input!BD211/$C260,""),""))</f>
        <v/>
      </c>
      <c r="AW260" s="152">
        <f>IF($B260=1,$G$43,IF(N(Vintage_Input!Q211)&gt;0,IFERROR(Vintage_Input!BE211/$C260,""),""))</f>
        <v/>
      </c>
      <c r="AX260" s="152">
        <f>IF($B260=1,$H$43,IF(N(Vintage_Input!R211)&gt;0,IFERROR(Vintage_Input!BF211/$C260,""),""))</f>
        <v/>
      </c>
      <c r="AY260" s="152">
        <f>IF($B260=1,$I$43,IF(N(Vintage_Input!S211)&gt;0,IFERROR(Vintage_Input!BG211/$C260,""),""))</f>
        <v/>
      </c>
      <c r="AZ260" s="153">
        <f>IF($B260=1,$B$44,IF(N(Vintage_Input!L211)&gt;0,IFERROR((Vintage_Input!D211+Vintage_Input!AR211)/$C260+Products!$F$14-(Products!$F$43+Products!$F$19+Products!$F$43*Products!$F$22+Products!$F$44),""),""))</f>
        <v/>
      </c>
      <c r="BA260" s="153">
        <f>IF($B260=1,$C$44,IF(N(Vintage_Input!M211)&gt;0,IFERROR((Vintage_Input!E211+Vintage_Input!AS211)/$C260+Products!$F$14-(Products!$F$43+Products!$F$19+Products!$F$43*Products!$F$22+Products!$F$44),""),""))</f>
        <v/>
      </c>
      <c r="BB260" s="153">
        <f>IF($B260=1,$D$44,IF(N(Vintage_Input!N211)&gt;0,IFERROR((Vintage_Input!F211+Vintage_Input!AT211)/$C260+Products!$F$14-(Products!$F$43+Products!$F$19+Products!$F$43*Products!$F$22+Products!$F$44),""),""))</f>
        <v/>
      </c>
      <c r="BC260" s="153">
        <f>IF($B260=1,$E$44,IF(N(Vintage_Input!O211)&gt;0,IFERROR((Vintage_Input!G211+Vintage_Input!AU211)/$C260+Products!$F$14-(Products!$F$43+Products!$F$19+Products!$F$43*Products!$F$22+Products!$F$44),""),""))</f>
        <v/>
      </c>
      <c r="BD260" s="153">
        <f>IF($B260=1,$F$44,IF(N(Vintage_Input!P211)&gt;0,IFERROR((Vintage_Input!H211+Vintage_Input!AV211)/$C260+Products!$F$14-(Products!$F$43+Products!$F$19+Products!$F$43*Products!$F$22+Products!$F$44),""),""))</f>
        <v/>
      </c>
      <c r="BE260" s="153">
        <f>IF($B260=1,$G$44,IF(N(Vintage_Input!Q211)&gt;0,IFERROR((Vintage_Input!I211+Vintage_Input!AW211)/$C260+Products!$F$14-(Products!$F$43+Products!$F$19+Products!$F$43*Products!$F$22+Products!$F$44),""),""))</f>
        <v/>
      </c>
      <c r="BF260" s="153">
        <f>IF($B260=1,$H$44,IF(N(Vintage_Input!R211)&gt;0,IFERROR((Vintage_Input!J211+Vintage_Input!AX211)/$C260+Products!$F$14-(Products!$F$43+Products!$F$19+Products!$F$43*Products!$F$22+Products!$F$44),""),""))</f>
        <v/>
      </c>
      <c r="BG260" s="153">
        <f>IF($B260=1,$I$44,IF(N(Vintage_Input!S211)&gt;0,IFERROR((Vintage_Input!K211+Vintage_Input!AY211)/$C260+Products!$F$14-(Products!$F$43+Products!$F$19+Products!$F$43*Products!$F$22+Products!$F$44),""),""))</f>
        <v/>
      </c>
      <c r="BH260" s="81">
        <f>IF($B260=1,0,IF(Vintage_Input!$BH$211="","",Vintage_Input!$BH$211))</f>
        <v/>
      </c>
    </row>
    <row r="261">
      <c r="A261" s="23" t="n">
        <v>9</v>
      </c>
      <c r="B261" s="48">
        <f>Vintage_Input!$B$212</f>
        <v/>
      </c>
      <c r="C261" s="41">
        <f>IF(Vintage_Input!$C$212="",0,Vintage_Input!$C$212)</f>
        <v/>
      </c>
      <c r="D261" s="152">
        <f>IF($B261=1,$B$38,IF(N(Vintage_Input!L212)&gt;0,Vintage_Input!D212/Vintage_Input!L212,""))</f>
        <v/>
      </c>
      <c r="E261" s="152">
        <f>IF($B261=1,$C$38,IF(N(Vintage_Input!M212)&gt;0,Vintage_Input!E212/Vintage_Input!M212,""))</f>
        <v/>
      </c>
      <c r="F261" s="152">
        <f>IF($B261=1,$D$38,IF(N(Vintage_Input!N212)&gt;0,Vintage_Input!F212/Vintage_Input!N212,""))</f>
        <v/>
      </c>
      <c r="G261" s="152">
        <f>IF($B261=1,$E$38,IF(N(Vintage_Input!O212)&gt;0,Vintage_Input!G212/Vintage_Input!O212,""))</f>
        <v/>
      </c>
      <c r="H261" s="152">
        <f>IF($B261=1,$F$38,IF(N(Vintage_Input!P212)&gt;0,Vintage_Input!H212/Vintage_Input!P212,""))</f>
        <v/>
      </c>
      <c r="I261" s="152">
        <f>IF($B261=1,$G$38,IF(N(Vintage_Input!Q212)&gt;0,Vintage_Input!I212/Vintage_Input!Q212,""))</f>
        <v/>
      </c>
      <c r="J261" s="152">
        <f>IF($B261=1,$H$38,IF(N(Vintage_Input!R212)&gt;0,Vintage_Input!J212/Vintage_Input!R212,""))</f>
        <v/>
      </c>
      <c r="K261" s="152">
        <f>IF($B261=1,$I$38,IF(N(Vintage_Input!S212)&gt;0,Vintage_Input!K212/Vintage_Input!S212,""))</f>
        <v/>
      </c>
      <c r="L261" s="152">
        <f>IF($B261=1,$B$39,IF(N(Vintage_Input!L212)&gt;0,Vintage_Input!T212/Vintage_Input!L212,""))</f>
        <v/>
      </c>
      <c r="M261" s="152">
        <f>IF($B261=1,$C$39,IF(N(Vintage_Input!M212)&gt;0,Vintage_Input!U212/Vintage_Input!M212,""))</f>
        <v/>
      </c>
      <c r="N261" s="152">
        <f>IF($B261=1,$D$39,IF(N(Vintage_Input!N212)&gt;0,Vintage_Input!V212/Vintage_Input!N212,""))</f>
        <v/>
      </c>
      <c r="O261" s="152">
        <f>IF($B261=1,$E$39,IF(N(Vintage_Input!O212)&gt;0,Vintage_Input!W212/Vintage_Input!O212,""))</f>
        <v/>
      </c>
      <c r="P261" s="152">
        <f>IF($B261=1,$F$39,IF(N(Vintage_Input!P212)&gt;0,Vintage_Input!X212/Vintage_Input!P212,""))</f>
        <v/>
      </c>
      <c r="Q261" s="152">
        <f>IF($B261=1,$G$39,IF(N(Vintage_Input!Q212)&gt;0,Vintage_Input!Y212/Vintage_Input!Q212,""))</f>
        <v/>
      </c>
      <c r="R261" s="152">
        <f>IF($B261=1,$H$39,IF(N(Vintage_Input!R212)&gt;0,Vintage_Input!Z212/Vintage_Input!R212,""))</f>
        <v/>
      </c>
      <c r="S261" s="152">
        <f>IF($B261=1,$I$39,IF(N(Vintage_Input!S212)&gt;0,Vintage_Input!AA212/Vintage_Input!S212,""))</f>
        <v/>
      </c>
      <c r="T261" s="152">
        <f>IF($B261=1,$B$40,IF(N(Vintage_Input!L212)&gt;0,Vintage_Input!AB212/Vintage_Input!L212,""))</f>
        <v/>
      </c>
      <c r="U261" s="152">
        <f>IF($B261=1,$C$40,IF(N(Vintage_Input!M212)&gt;0,Vintage_Input!AC212/Vintage_Input!M212,""))</f>
        <v/>
      </c>
      <c r="V261" s="152">
        <f>IF($B261=1,$D$40,IF(N(Vintage_Input!N212)&gt;0,Vintage_Input!AD212/Vintage_Input!N212,""))</f>
        <v/>
      </c>
      <c r="W261" s="152">
        <f>IF($B261=1,$E$40,IF(N(Vintage_Input!O212)&gt;0,Vintage_Input!AE212/Vintage_Input!O212,""))</f>
        <v/>
      </c>
      <c r="X261" s="152">
        <f>IF($B261=1,$F$40,IF(N(Vintage_Input!P212)&gt;0,Vintage_Input!AF212/Vintage_Input!P212,""))</f>
        <v/>
      </c>
      <c r="Y261" s="152">
        <f>IF($B261=1,$G$40,IF(N(Vintage_Input!Q212)&gt;0,Vintage_Input!AG212/Vintage_Input!Q212,""))</f>
        <v/>
      </c>
      <c r="Z261" s="152">
        <f>IF($B261=1,$H$40,IF(N(Vintage_Input!R212)&gt;0,Vintage_Input!AH212/Vintage_Input!R212,""))</f>
        <v/>
      </c>
      <c r="AA261" s="152">
        <f>IF($B261=1,$I$40,IF(N(Vintage_Input!S212)&gt;0,Vintage_Input!AI212/Vintage_Input!S212,""))</f>
        <v/>
      </c>
      <c r="AB261" s="152">
        <f>IF($B261=1,$B$41,IF(N(Vintage_Input!L212)&gt;0,Vintage_Input!AJ212/Vintage_Input!L212,""))</f>
        <v/>
      </c>
      <c r="AC261" s="152">
        <f>IF($B261=1,$C$41,IF(N(Vintage_Input!M212)&gt;0,Vintage_Input!AK212/Vintage_Input!M212,""))</f>
        <v/>
      </c>
      <c r="AD261" s="152">
        <f>IF($B261=1,$D$41,IF(N(Vintage_Input!N212)&gt;0,Vintage_Input!AL212/Vintage_Input!N212,""))</f>
        <v/>
      </c>
      <c r="AE261" s="152">
        <f>IF($B261=1,$E$41,IF(N(Vintage_Input!O212)&gt;0,Vintage_Input!AM212/Vintage_Input!O212,""))</f>
        <v/>
      </c>
      <c r="AF261" s="152">
        <f>IF($B261=1,$F$41,IF(N(Vintage_Input!P212)&gt;0,Vintage_Input!AN212/Vintage_Input!P212,""))</f>
        <v/>
      </c>
      <c r="AG261" s="152">
        <f>IF($B261=1,$G$41,IF(N(Vintage_Input!Q212)&gt;0,Vintage_Input!AO212/Vintage_Input!Q212,""))</f>
        <v/>
      </c>
      <c r="AH261" s="152">
        <f>IF($B261=1,$H$41,IF(N(Vintage_Input!R212)&gt;0,Vintage_Input!AP212/Vintage_Input!R212,""))</f>
        <v/>
      </c>
      <c r="AI261" s="152">
        <f>IF($B261=1,$I$41,IF(N(Vintage_Input!S212)&gt;0,Vintage_Input!AQ212/Vintage_Input!S212,""))</f>
        <v/>
      </c>
      <c r="AJ261" s="152">
        <f>IF($B261=1,$B$42,IF(N(Vintage_Input!L212)&gt;0,IFERROR(Vintage_Input!AR212/Vintage_Input!AJ212,""),""))</f>
        <v/>
      </c>
      <c r="AK261" s="152">
        <f>IF($B261=1,$C$42,IF(N(Vintage_Input!M212)&gt;0,IFERROR(Vintage_Input!AS212/Vintage_Input!AK212,""),""))</f>
        <v/>
      </c>
      <c r="AL261" s="152">
        <f>IF($B261=1,$D$42,IF(N(Vintage_Input!N212)&gt;0,IFERROR(Vintage_Input!AT212/Vintage_Input!AL212,""),""))</f>
        <v/>
      </c>
      <c r="AM261" s="152">
        <f>IF($B261=1,$E$42,IF(N(Vintage_Input!O212)&gt;0,IFERROR(Vintage_Input!AU212/Vintage_Input!AM212,""),""))</f>
        <v/>
      </c>
      <c r="AN261" s="152">
        <f>IF($B261=1,$F$42,IF(N(Vintage_Input!P212)&gt;0,IFERROR(Vintage_Input!AV212/Vintage_Input!AN212,""),""))</f>
        <v/>
      </c>
      <c r="AO261" s="152">
        <f>IF($B261=1,$G$42,IF(N(Vintage_Input!Q212)&gt;0,IFERROR(Vintage_Input!AW212/Vintage_Input!AO212,""),""))</f>
        <v/>
      </c>
      <c r="AP261" s="152">
        <f>IF($B261=1,$H$42,IF(N(Vintage_Input!R212)&gt;0,IFERROR(Vintage_Input!AX212/Vintage_Input!AP212,""),""))</f>
        <v/>
      </c>
      <c r="AQ261" s="152">
        <f>IF($B261=1,$I$42,IF(N(Vintage_Input!S212)&gt;0,IFERROR(Vintage_Input!AY212/Vintage_Input!AQ212,""),""))</f>
        <v/>
      </c>
      <c r="AR261" s="152">
        <f>IF($B261=1,$B$43,IF(N(Vintage_Input!L212)&gt;0,IFERROR(Vintage_Input!AZ212/$C261,""),""))</f>
        <v/>
      </c>
      <c r="AS261" s="152">
        <f>IF($B261=1,$C$43,IF(N(Vintage_Input!M212)&gt;0,IFERROR(Vintage_Input!BA212/$C261,""),""))</f>
        <v/>
      </c>
      <c r="AT261" s="152">
        <f>IF($B261=1,$D$43,IF(N(Vintage_Input!N212)&gt;0,IFERROR(Vintage_Input!BB212/$C261,""),""))</f>
        <v/>
      </c>
      <c r="AU261" s="152">
        <f>IF($B261=1,$E$43,IF(N(Vintage_Input!O212)&gt;0,IFERROR(Vintage_Input!BC212/$C261,""),""))</f>
        <v/>
      </c>
      <c r="AV261" s="152">
        <f>IF($B261=1,$F$43,IF(N(Vintage_Input!P212)&gt;0,IFERROR(Vintage_Input!BD212/$C261,""),""))</f>
        <v/>
      </c>
      <c r="AW261" s="152">
        <f>IF($B261=1,$G$43,IF(N(Vintage_Input!Q212)&gt;0,IFERROR(Vintage_Input!BE212/$C261,""),""))</f>
        <v/>
      </c>
      <c r="AX261" s="152">
        <f>IF($B261=1,$H$43,IF(N(Vintage_Input!R212)&gt;0,IFERROR(Vintage_Input!BF212/$C261,""),""))</f>
        <v/>
      </c>
      <c r="AY261" s="152">
        <f>IF($B261=1,$I$43,IF(N(Vintage_Input!S212)&gt;0,IFERROR(Vintage_Input!BG212/$C261,""),""))</f>
        <v/>
      </c>
      <c r="AZ261" s="153">
        <f>IF($B261=1,$B$44,IF(N(Vintage_Input!L212)&gt;0,IFERROR((Vintage_Input!D212+Vintage_Input!AR212)/$C261+Products!$F$14-(Products!$F$43+Products!$F$19+Products!$F$43*Products!$F$22+Products!$F$44),""),""))</f>
        <v/>
      </c>
      <c r="BA261" s="153">
        <f>IF($B261=1,$C$44,IF(N(Vintage_Input!M212)&gt;0,IFERROR((Vintage_Input!E212+Vintage_Input!AS212)/$C261+Products!$F$14-(Products!$F$43+Products!$F$19+Products!$F$43*Products!$F$22+Products!$F$44),""),""))</f>
        <v/>
      </c>
      <c r="BB261" s="153">
        <f>IF($B261=1,$D$44,IF(N(Vintage_Input!N212)&gt;0,IFERROR((Vintage_Input!F212+Vintage_Input!AT212)/$C261+Products!$F$14-(Products!$F$43+Products!$F$19+Products!$F$43*Products!$F$22+Products!$F$44),""),""))</f>
        <v/>
      </c>
      <c r="BC261" s="153">
        <f>IF($B261=1,$E$44,IF(N(Vintage_Input!O212)&gt;0,IFERROR((Vintage_Input!G212+Vintage_Input!AU212)/$C261+Products!$F$14-(Products!$F$43+Products!$F$19+Products!$F$43*Products!$F$22+Products!$F$44),""),""))</f>
        <v/>
      </c>
      <c r="BD261" s="153">
        <f>IF($B261=1,$F$44,IF(N(Vintage_Input!P212)&gt;0,IFERROR((Vintage_Input!H212+Vintage_Input!AV212)/$C261+Products!$F$14-(Products!$F$43+Products!$F$19+Products!$F$43*Products!$F$22+Products!$F$44),""),""))</f>
        <v/>
      </c>
      <c r="BE261" s="153">
        <f>IF($B261=1,$G$44,IF(N(Vintage_Input!Q212)&gt;0,IFERROR((Vintage_Input!I212+Vintage_Input!AW212)/$C261+Products!$F$14-(Products!$F$43+Products!$F$19+Products!$F$43*Products!$F$22+Products!$F$44),""),""))</f>
        <v/>
      </c>
      <c r="BF261" s="153">
        <f>IF($B261=1,$H$44,IF(N(Vintage_Input!R212)&gt;0,IFERROR((Vintage_Input!J212+Vintage_Input!AX212)/$C261+Products!$F$14-(Products!$F$43+Products!$F$19+Products!$F$43*Products!$F$22+Products!$F$44),""),""))</f>
        <v/>
      </c>
      <c r="BG261" s="153">
        <f>IF($B261=1,$I$44,IF(N(Vintage_Input!S212)&gt;0,IFERROR((Vintage_Input!K212+Vintage_Input!AY212)/$C261+Products!$F$14-(Products!$F$43+Products!$F$19+Products!$F$43*Products!$F$22+Products!$F$44),""),""))</f>
        <v/>
      </c>
      <c r="BH261" s="81">
        <f>IF($B261=1,0,IF(Vintage_Input!$BH$212="","",Vintage_Input!$BH$212))</f>
        <v/>
      </c>
    </row>
    <row r="262">
      <c r="A262" s="23" t="n">
        <v>10</v>
      </c>
      <c r="B262" s="48">
        <f>Vintage_Input!$B$213</f>
        <v/>
      </c>
      <c r="C262" s="41">
        <f>IF(Vintage_Input!$C$213="",0,Vintage_Input!$C$213)</f>
        <v/>
      </c>
      <c r="D262" s="152">
        <f>IF($B262=1,$B$38,IF(N(Vintage_Input!L213)&gt;0,Vintage_Input!D213/Vintage_Input!L213,""))</f>
        <v/>
      </c>
      <c r="E262" s="152">
        <f>IF($B262=1,$C$38,IF(N(Vintage_Input!M213)&gt;0,Vintage_Input!E213/Vintage_Input!M213,""))</f>
        <v/>
      </c>
      <c r="F262" s="152">
        <f>IF($B262=1,$D$38,IF(N(Vintage_Input!N213)&gt;0,Vintage_Input!F213/Vintage_Input!N213,""))</f>
        <v/>
      </c>
      <c r="G262" s="152">
        <f>IF($B262=1,$E$38,IF(N(Vintage_Input!O213)&gt;0,Vintage_Input!G213/Vintage_Input!O213,""))</f>
        <v/>
      </c>
      <c r="H262" s="152">
        <f>IF($B262=1,$F$38,IF(N(Vintage_Input!P213)&gt;0,Vintage_Input!H213/Vintage_Input!P213,""))</f>
        <v/>
      </c>
      <c r="I262" s="152">
        <f>IF($B262=1,$G$38,IF(N(Vintage_Input!Q213)&gt;0,Vintage_Input!I213/Vintage_Input!Q213,""))</f>
        <v/>
      </c>
      <c r="J262" s="152">
        <f>IF($B262=1,$H$38,IF(N(Vintage_Input!R213)&gt;0,Vintage_Input!J213/Vintage_Input!R213,""))</f>
        <v/>
      </c>
      <c r="K262" s="152">
        <f>IF($B262=1,$I$38,IF(N(Vintage_Input!S213)&gt;0,Vintage_Input!K213/Vintage_Input!S213,""))</f>
        <v/>
      </c>
      <c r="L262" s="152">
        <f>IF($B262=1,$B$39,IF(N(Vintage_Input!L213)&gt;0,Vintage_Input!T213/Vintage_Input!L213,""))</f>
        <v/>
      </c>
      <c r="M262" s="152">
        <f>IF($B262=1,$C$39,IF(N(Vintage_Input!M213)&gt;0,Vintage_Input!U213/Vintage_Input!M213,""))</f>
        <v/>
      </c>
      <c r="N262" s="152">
        <f>IF($B262=1,$D$39,IF(N(Vintage_Input!N213)&gt;0,Vintage_Input!V213/Vintage_Input!N213,""))</f>
        <v/>
      </c>
      <c r="O262" s="152">
        <f>IF($B262=1,$E$39,IF(N(Vintage_Input!O213)&gt;0,Vintage_Input!W213/Vintage_Input!O213,""))</f>
        <v/>
      </c>
      <c r="P262" s="152">
        <f>IF($B262=1,$F$39,IF(N(Vintage_Input!P213)&gt;0,Vintage_Input!X213/Vintage_Input!P213,""))</f>
        <v/>
      </c>
      <c r="Q262" s="152">
        <f>IF($B262=1,$G$39,IF(N(Vintage_Input!Q213)&gt;0,Vintage_Input!Y213/Vintage_Input!Q213,""))</f>
        <v/>
      </c>
      <c r="R262" s="152">
        <f>IF($B262=1,$H$39,IF(N(Vintage_Input!R213)&gt;0,Vintage_Input!Z213/Vintage_Input!R213,""))</f>
        <v/>
      </c>
      <c r="S262" s="152">
        <f>IF($B262=1,$I$39,IF(N(Vintage_Input!S213)&gt;0,Vintage_Input!AA213/Vintage_Input!S213,""))</f>
        <v/>
      </c>
      <c r="T262" s="152">
        <f>IF($B262=1,$B$40,IF(N(Vintage_Input!L213)&gt;0,Vintage_Input!AB213/Vintage_Input!L213,""))</f>
        <v/>
      </c>
      <c r="U262" s="152">
        <f>IF($B262=1,$C$40,IF(N(Vintage_Input!M213)&gt;0,Vintage_Input!AC213/Vintage_Input!M213,""))</f>
        <v/>
      </c>
      <c r="V262" s="152">
        <f>IF($B262=1,$D$40,IF(N(Vintage_Input!N213)&gt;0,Vintage_Input!AD213/Vintage_Input!N213,""))</f>
        <v/>
      </c>
      <c r="W262" s="152">
        <f>IF($B262=1,$E$40,IF(N(Vintage_Input!O213)&gt;0,Vintage_Input!AE213/Vintage_Input!O213,""))</f>
        <v/>
      </c>
      <c r="X262" s="152">
        <f>IF($B262=1,$F$40,IF(N(Vintage_Input!P213)&gt;0,Vintage_Input!AF213/Vintage_Input!P213,""))</f>
        <v/>
      </c>
      <c r="Y262" s="152">
        <f>IF($B262=1,$G$40,IF(N(Vintage_Input!Q213)&gt;0,Vintage_Input!AG213/Vintage_Input!Q213,""))</f>
        <v/>
      </c>
      <c r="Z262" s="152">
        <f>IF($B262=1,$H$40,IF(N(Vintage_Input!R213)&gt;0,Vintage_Input!AH213/Vintage_Input!R213,""))</f>
        <v/>
      </c>
      <c r="AA262" s="152">
        <f>IF($B262=1,$I$40,IF(N(Vintage_Input!S213)&gt;0,Vintage_Input!AI213/Vintage_Input!S213,""))</f>
        <v/>
      </c>
      <c r="AB262" s="152">
        <f>IF($B262=1,$B$41,IF(N(Vintage_Input!L213)&gt;0,Vintage_Input!AJ213/Vintage_Input!L213,""))</f>
        <v/>
      </c>
      <c r="AC262" s="152">
        <f>IF($B262=1,$C$41,IF(N(Vintage_Input!M213)&gt;0,Vintage_Input!AK213/Vintage_Input!M213,""))</f>
        <v/>
      </c>
      <c r="AD262" s="152">
        <f>IF($B262=1,$D$41,IF(N(Vintage_Input!N213)&gt;0,Vintage_Input!AL213/Vintage_Input!N213,""))</f>
        <v/>
      </c>
      <c r="AE262" s="152">
        <f>IF($B262=1,$E$41,IF(N(Vintage_Input!O213)&gt;0,Vintage_Input!AM213/Vintage_Input!O213,""))</f>
        <v/>
      </c>
      <c r="AF262" s="152">
        <f>IF($B262=1,$F$41,IF(N(Vintage_Input!P213)&gt;0,Vintage_Input!AN213/Vintage_Input!P213,""))</f>
        <v/>
      </c>
      <c r="AG262" s="152">
        <f>IF($B262=1,$G$41,IF(N(Vintage_Input!Q213)&gt;0,Vintage_Input!AO213/Vintage_Input!Q213,""))</f>
        <v/>
      </c>
      <c r="AH262" s="152">
        <f>IF($B262=1,$H$41,IF(N(Vintage_Input!R213)&gt;0,Vintage_Input!AP213/Vintage_Input!R213,""))</f>
        <v/>
      </c>
      <c r="AI262" s="152">
        <f>IF($B262=1,$I$41,IF(N(Vintage_Input!S213)&gt;0,Vintage_Input!AQ213/Vintage_Input!S213,""))</f>
        <v/>
      </c>
      <c r="AJ262" s="152">
        <f>IF($B262=1,$B$42,IF(N(Vintage_Input!L213)&gt;0,IFERROR(Vintage_Input!AR213/Vintage_Input!AJ213,""),""))</f>
        <v/>
      </c>
      <c r="AK262" s="152">
        <f>IF($B262=1,$C$42,IF(N(Vintage_Input!M213)&gt;0,IFERROR(Vintage_Input!AS213/Vintage_Input!AK213,""),""))</f>
        <v/>
      </c>
      <c r="AL262" s="152">
        <f>IF($B262=1,$D$42,IF(N(Vintage_Input!N213)&gt;0,IFERROR(Vintage_Input!AT213/Vintage_Input!AL213,""),""))</f>
        <v/>
      </c>
      <c r="AM262" s="152">
        <f>IF($B262=1,$E$42,IF(N(Vintage_Input!O213)&gt;0,IFERROR(Vintage_Input!AU213/Vintage_Input!AM213,""),""))</f>
        <v/>
      </c>
      <c r="AN262" s="152">
        <f>IF($B262=1,$F$42,IF(N(Vintage_Input!P213)&gt;0,IFERROR(Vintage_Input!AV213/Vintage_Input!AN213,""),""))</f>
        <v/>
      </c>
      <c r="AO262" s="152">
        <f>IF($B262=1,$G$42,IF(N(Vintage_Input!Q213)&gt;0,IFERROR(Vintage_Input!AW213/Vintage_Input!AO213,""),""))</f>
        <v/>
      </c>
      <c r="AP262" s="152">
        <f>IF($B262=1,$H$42,IF(N(Vintage_Input!R213)&gt;0,IFERROR(Vintage_Input!AX213/Vintage_Input!AP213,""),""))</f>
        <v/>
      </c>
      <c r="AQ262" s="152">
        <f>IF($B262=1,$I$42,IF(N(Vintage_Input!S213)&gt;0,IFERROR(Vintage_Input!AY213/Vintage_Input!AQ213,""),""))</f>
        <v/>
      </c>
      <c r="AR262" s="152">
        <f>IF($B262=1,$B$43,IF(N(Vintage_Input!L213)&gt;0,IFERROR(Vintage_Input!AZ213/$C262,""),""))</f>
        <v/>
      </c>
      <c r="AS262" s="152">
        <f>IF($B262=1,$C$43,IF(N(Vintage_Input!M213)&gt;0,IFERROR(Vintage_Input!BA213/$C262,""),""))</f>
        <v/>
      </c>
      <c r="AT262" s="152">
        <f>IF($B262=1,$D$43,IF(N(Vintage_Input!N213)&gt;0,IFERROR(Vintage_Input!BB213/$C262,""),""))</f>
        <v/>
      </c>
      <c r="AU262" s="152">
        <f>IF($B262=1,$E$43,IF(N(Vintage_Input!O213)&gt;0,IFERROR(Vintage_Input!BC213/$C262,""),""))</f>
        <v/>
      </c>
      <c r="AV262" s="152">
        <f>IF($B262=1,$F$43,IF(N(Vintage_Input!P213)&gt;0,IFERROR(Vintage_Input!BD213/$C262,""),""))</f>
        <v/>
      </c>
      <c r="AW262" s="152">
        <f>IF($B262=1,$G$43,IF(N(Vintage_Input!Q213)&gt;0,IFERROR(Vintage_Input!BE213/$C262,""),""))</f>
        <v/>
      </c>
      <c r="AX262" s="152">
        <f>IF($B262=1,$H$43,IF(N(Vintage_Input!R213)&gt;0,IFERROR(Vintage_Input!BF213/$C262,""),""))</f>
        <v/>
      </c>
      <c r="AY262" s="152">
        <f>IF($B262=1,$I$43,IF(N(Vintage_Input!S213)&gt;0,IFERROR(Vintage_Input!BG213/$C262,""),""))</f>
        <v/>
      </c>
      <c r="AZ262" s="153">
        <f>IF($B262=1,$B$44,IF(N(Vintage_Input!L213)&gt;0,IFERROR((Vintage_Input!D213+Vintage_Input!AR213)/$C262+Products!$F$14-(Products!$F$43+Products!$F$19+Products!$F$43*Products!$F$22+Products!$F$44),""),""))</f>
        <v/>
      </c>
      <c r="BA262" s="153">
        <f>IF($B262=1,$C$44,IF(N(Vintage_Input!M213)&gt;0,IFERROR((Vintage_Input!E213+Vintage_Input!AS213)/$C262+Products!$F$14-(Products!$F$43+Products!$F$19+Products!$F$43*Products!$F$22+Products!$F$44),""),""))</f>
        <v/>
      </c>
      <c r="BB262" s="153">
        <f>IF($B262=1,$D$44,IF(N(Vintage_Input!N213)&gt;0,IFERROR((Vintage_Input!F213+Vintage_Input!AT213)/$C262+Products!$F$14-(Products!$F$43+Products!$F$19+Products!$F$43*Products!$F$22+Products!$F$44),""),""))</f>
        <v/>
      </c>
      <c r="BC262" s="153">
        <f>IF($B262=1,$E$44,IF(N(Vintage_Input!O213)&gt;0,IFERROR((Vintage_Input!G213+Vintage_Input!AU213)/$C262+Products!$F$14-(Products!$F$43+Products!$F$19+Products!$F$43*Products!$F$22+Products!$F$44),""),""))</f>
        <v/>
      </c>
      <c r="BD262" s="153">
        <f>IF($B262=1,$F$44,IF(N(Vintage_Input!P213)&gt;0,IFERROR((Vintage_Input!H213+Vintage_Input!AV213)/$C262+Products!$F$14-(Products!$F$43+Products!$F$19+Products!$F$43*Products!$F$22+Products!$F$44),""),""))</f>
        <v/>
      </c>
      <c r="BE262" s="153">
        <f>IF($B262=1,$G$44,IF(N(Vintage_Input!Q213)&gt;0,IFERROR((Vintage_Input!I213+Vintage_Input!AW213)/$C262+Products!$F$14-(Products!$F$43+Products!$F$19+Products!$F$43*Products!$F$22+Products!$F$44),""),""))</f>
        <v/>
      </c>
      <c r="BF262" s="153">
        <f>IF($B262=1,$H$44,IF(N(Vintage_Input!R213)&gt;0,IFERROR((Vintage_Input!J213+Vintage_Input!AX213)/$C262+Products!$F$14-(Products!$F$43+Products!$F$19+Products!$F$43*Products!$F$22+Products!$F$44),""),""))</f>
        <v/>
      </c>
      <c r="BG262" s="153">
        <f>IF($B262=1,$I$44,IF(N(Vintage_Input!S213)&gt;0,IFERROR((Vintage_Input!K213+Vintage_Input!AY213)/$C262+Products!$F$14-(Products!$F$43+Products!$F$19+Products!$F$43*Products!$F$22+Products!$F$44),""),""))</f>
        <v/>
      </c>
      <c r="BH262" s="81">
        <f>IF($B262=1,0,IF(Vintage_Input!$BH$213="","",Vintage_Input!$BH$213))</f>
        <v/>
      </c>
    </row>
    <row r="263">
      <c r="A263" s="23" t="n">
        <v>11</v>
      </c>
      <c r="B263" s="48">
        <f>Vintage_Input!$B$214</f>
        <v/>
      </c>
      <c r="C263" s="41">
        <f>IF(Vintage_Input!$C$214="",0,Vintage_Input!$C$214)</f>
        <v/>
      </c>
      <c r="D263" s="152">
        <f>IF($B263=1,$B$38,IF(N(Vintage_Input!L214)&gt;0,Vintage_Input!D214/Vintage_Input!L214,""))</f>
        <v/>
      </c>
      <c r="E263" s="152">
        <f>IF($B263=1,$C$38,IF(N(Vintage_Input!M214)&gt;0,Vintage_Input!E214/Vintage_Input!M214,""))</f>
        <v/>
      </c>
      <c r="F263" s="152">
        <f>IF($B263=1,$D$38,IF(N(Vintage_Input!N214)&gt;0,Vintage_Input!F214/Vintage_Input!N214,""))</f>
        <v/>
      </c>
      <c r="G263" s="152">
        <f>IF($B263=1,$E$38,IF(N(Vintage_Input!O214)&gt;0,Vintage_Input!G214/Vintage_Input!O214,""))</f>
        <v/>
      </c>
      <c r="H263" s="152">
        <f>IF($B263=1,$F$38,IF(N(Vintage_Input!P214)&gt;0,Vintage_Input!H214/Vintage_Input!P214,""))</f>
        <v/>
      </c>
      <c r="I263" s="152">
        <f>IF($B263=1,$G$38,IF(N(Vintage_Input!Q214)&gt;0,Vintage_Input!I214/Vintage_Input!Q214,""))</f>
        <v/>
      </c>
      <c r="J263" s="152">
        <f>IF($B263=1,$H$38,IF(N(Vintage_Input!R214)&gt;0,Vintage_Input!J214/Vintage_Input!R214,""))</f>
        <v/>
      </c>
      <c r="K263" s="152">
        <f>IF($B263=1,$I$38,IF(N(Vintage_Input!S214)&gt;0,Vintage_Input!K214/Vintage_Input!S214,""))</f>
        <v/>
      </c>
      <c r="L263" s="152">
        <f>IF($B263=1,$B$39,IF(N(Vintage_Input!L214)&gt;0,Vintage_Input!T214/Vintage_Input!L214,""))</f>
        <v/>
      </c>
      <c r="M263" s="152">
        <f>IF($B263=1,$C$39,IF(N(Vintage_Input!M214)&gt;0,Vintage_Input!U214/Vintage_Input!M214,""))</f>
        <v/>
      </c>
      <c r="N263" s="152">
        <f>IF($B263=1,$D$39,IF(N(Vintage_Input!N214)&gt;0,Vintage_Input!V214/Vintage_Input!N214,""))</f>
        <v/>
      </c>
      <c r="O263" s="152">
        <f>IF($B263=1,$E$39,IF(N(Vintage_Input!O214)&gt;0,Vintage_Input!W214/Vintage_Input!O214,""))</f>
        <v/>
      </c>
      <c r="P263" s="152">
        <f>IF($B263=1,$F$39,IF(N(Vintage_Input!P214)&gt;0,Vintage_Input!X214/Vintage_Input!P214,""))</f>
        <v/>
      </c>
      <c r="Q263" s="152">
        <f>IF($B263=1,$G$39,IF(N(Vintage_Input!Q214)&gt;0,Vintage_Input!Y214/Vintage_Input!Q214,""))</f>
        <v/>
      </c>
      <c r="R263" s="152">
        <f>IF($B263=1,$H$39,IF(N(Vintage_Input!R214)&gt;0,Vintage_Input!Z214/Vintage_Input!R214,""))</f>
        <v/>
      </c>
      <c r="S263" s="152">
        <f>IF($B263=1,$I$39,IF(N(Vintage_Input!S214)&gt;0,Vintage_Input!AA214/Vintage_Input!S214,""))</f>
        <v/>
      </c>
      <c r="T263" s="152">
        <f>IF($B263=1,$B$40,IF(N(Vintage_Input!L214)&gt;0,Vintage_Input!AB214/Vintage_Input!L214,""))</f>
        <v/>
      </c>
      <c r="U263" s="152">
        <f>IF($B263=1,$C$40,IF(N(Vintage_Input!M214)&gt;0,Vintage_Input!AC214/Vintage_Input!M214,""))</f>
        <v/>
      </c>
      <c r="V263" s="152">
        <f>IF($B263=1,$D$40,IF(N(Vintage_Input!N214)&gt;0,Vintage_Input!AD214/Vintage_Input!N214,""))</f>
        <v/>
      </c>
      <c r="W263" s="152">
        <f>IF($B263=1,$E$40,IF(N(Vintage_Input!O214)&gt;0,Vintage_Input!AE214/Vintage_Input!O214,""))</f>
        <v/>
      </c>
      <c r="X263" s="152">
        <f>IF($B263=1,$F$40,IF(N(Vintage_Input!P214)&gt;0,Vintage_Input!AF214/Vintage_Input!P214,""))</f>
        <v/>
      </c>
      <c r="Y263" s="152">
        <f>IF($B263=1,$G$40,IF(N(Vintage_Input!Q214)&gt;0,Vintage_Input!AG214/Vintage_Input!Q214,""))</f>
        <v/>
      </c>
      <c r="Z263" s="152">
        <f>IF($B263=1,$H$40,IF(N(Vintage_Input!R214)&gt;0,Vintage_Input!AH214/Vintage_Input!R214,""))</f>
        <v/>
      </c>
      <c r="AA263" s="152">
        <f>IF($B263=1,$I$40,IF(N(Vintage_Input!S214)&gt;0,Vintage_Input!AI214/Vintage_Input!S214,""))</f>
        <v/>
      </c>
      <c r="AB263" s="152">
        <f>IF($B263=1,$B$41,IF(N(Vintage_Input!L214)&gt;0,Vintage_Input!AJ214/Vintage_Input!L214,""))</f>
        <v/>
      </c>
      <c r="AC263" s="152">
        <f>IF($B263=1,$C$41,IF(N(Vintage_Input!M214)&gt;0,Vintage_Input!AK214/Vintage_Input!M214,""))</f>
        <v/>
      </c>
      <c r="AD263" s="152">
        <f>IF($B263=1,$D$41,IF(N(Vintage_Input!N214)&gt;0,Vintage_Input!AL214/Vintage_Input!N214,""))</f>
        <v/>
      </c>
      <c r="AE263" s="152">
        <f>IF($B263=1,$E$41,IF(N(Vintage_Input!O214)&gt;0,Vintage_Input!AM214/Vintage_Input!O214,""))</f>
        <v/>
      </c>
      <c r="AF263" s="152">
        <f>IF($B263=1,$F$41,IF(N(Vintage_Input!P214)&gt;0,Vintage_Input!AN214/Vintage_Input!P214,""))</f>
        <v/>
      </c>
      <c r="AG263" s="152">
        <f>IF($B263=1,$G$41,IF(N(Vintage_Input!Q214)&gt;0,Vintage_Input!AO214/Vintage_Input!Q214,""))</f>
        <v/>
      </c>
      <c r="AH263" s="152">
        <f>IF($B263=1,$H$41,IF(N(Vintage_Input!R214)&gt;0,Vintage_Input!AP214/Vintage_Input!R214,""))</f>
        <v/>
      </c>
      <c r="AI263" s="152">
        <f>IF($B263=1,$I$41,IF(N(Vintage_Input!S214)&gt;0,Vintage_Input!AQ214/Vintage_Input!S214,""))</f>
        <v/>
      </c>
      <c r="AJ263" s="152">
        <f>IF($B263=1,$B$42,IF(N(Vintage_Input!L214)&gt;0,IFERROR(Vintage_Input!AR214/Vintage_Input!AJ214,""),""))</f>
        <v/>
      </c>
      <c r="AK263" s="152">
        <f>IF($B263=1,$C$42,IF(N(Vintage_Input!M214)&gt;0,IFERROR(Vintage_Input!AS214/Vintage_Input!AK214,""),""))</f>
        <v/>
      </c>
      <c r="AL263" s="152">
        <f>IF($B263=1,$D$42,IF(N(Vintage_Input!N214)&gt;0,IFERROR(Vintage_Input!AT214/Vintage_Input!AL214,""),""))</f>
        <v/>
      </c>
      <c r="AM263" s="152">
        <f>IF($B263=1,$E$42,IF(N(Vintage_Input!O214)&gt;0,IFERROR(Vintage_Input!AU214/Vintage_Input!AM214,""),""))</f>
        <v/>
      </c>
      <c r="AN263" s="152">
        <f>IF($B263=1,$F$42,IF(N(Vintage_Input!P214)&gt;0,IFERROR(Vintage_Input!AV214/Vintage_Input!AN214,""),""))</f>
        <v/>
      </c>
      <c r="AO263" s="152">
        <f>IF($B263=1,$G$42,IF(N(Vintage_Input!Q214)&gt;0,IFERROR(Vintage_Input!AW214/Vintage_Input!AO214,""),""))</f>
        <v/>
      </c>
      <c r="AP263" s="152">
        <f>IF($B263=1,$H$42,IF(N(Vintage_Input!R214)&gt;0,IFERROR(Vintage_Input!AX214/Vintage_Input!AP214,""),""))</f>
        <v/>
      </c>
      <c r="AQ263" s="152">
        <f>IF($B263=1,$I$42,IF(N(Vintage_Input!S214)&gt;0,IFERROR(Vintage_Input!AY214/Vintage_Input!AQ214,""),""))</f>
        <v/>
      </c>
      <c r="AR263" s="152">
        <f>IF($B263=1,$B$43,IF(N(Vintage_Input!L214)&gt;0,IFERROR(Vintage_Input!AZ214/$C263,""),""))</f>
        <v/>
      </c>
      <c r="AS263" s="152">
        <f>IF($B263=1,$C$43,IF(N(Vintage_Input!M214)&gt;0,IFERROR(Vintage_Input!BA214/$C263,""),""))</f>
        <v/>
      </c>
      <c r="AT263" s="152">
        <f>IF($B263=1,$D$43,IF(N(Vintage_Input!N214)&gt;0,IFERROR(Vintage_Input!BB214/$C263,""),""))</f>
        <v/>
      </c>
      <c r="AU263" s="152">
        <f>IF($B263=1,$E$43,IF(N(Vintage_Input!O214)&gt;0,IFERROR(Vintage_Input!BC214/$C263,""),""))</f>
        <v/>
      </c>
      <c r="AV263" s="152">
        <f>IF($B263=1,$F$43,IF(N(Vintage_Input!P214)&gt;0,IFERROR(Vintage_Input!BD214/$C263,""),""))</f>
        <v/>
      </c>
      <c r="AW263" s="152">
        <f>IF($B263=1,$G$43,IF(N(Vintage_Input!Q214)&gt;0,IFERROR(Vintage_Input!BE214/$C263,""),""))</f>
        <v/>
      </c>
      <c r="AX263" s="152">
        <f>IF($B263=1,$H$43,IF(N(Vintage_Input!R214)&gt;0,IFERROR(Vintage_Input!BF214/$C263,""),""))</f>
        <v/>
      </c>
      <c r="AY263" s="152">
        <f>IF($B263=1,$I$43,IF(N(Vintage_Input!S214)&gt;0,IFERROR(Vintage_Input!BG214/$C263,""),""))</f>
        <v/>
      </c>
      <c r="AZ263" s="153">
        <f>IF($B263=1,$B$44,IF(N(Vintage_Input!L214)&gt;0,IFERROR((Vintage_Input!D214+Vintage_Input!AR214)/$C263+Products!$F$14-(Products!$F$43+Products!$F$19+Products!$F$43*Products!$F$22+Products!$F$44),""),""))</f>
        <v/>
      </c>
      <c r="BA263" s="153">
        <f>IF($B263=1,$C$44,IF(N(Vintage_Input!M214)&gt;0,IFERROR((Vintage_Input!E214+Vintage_Input!AS214)/$C263+Products!$F$14-(Products!$F$43+Products!$F$19+Products!$F$43*Products!$F$22+Products!$F$44),""),""))</f>
        <v/>
      </c>
      <c r="BB263" s="153">
        <f>IF($B263=1,$D$44,IF(N(Vintage_Input!N214)&gt;0,IFERROR((Vintage_Input!F214+Vintage_Input!AT214)/$C263+Products!$F$14-(Products!$F$43+Products!$F$19+Products!$F$43*Products!$F$22+Products!$F$44),""),""))</f>
        <v/>
      </c>
      <c r="BC263" s="153">
        <f>IF($B263=1,$E$44,IF(N(Vintage_Input!O214)&gt;0,IFERROR((Vintage_Input!G214+Vintage_Input!AU214)/$C263+Products!$F$14-(Products!$F$43+Products!$F$19+Products!$F$43*Products!$F$22+Products!$F$44),""),""))</f>
        <v/>
      </c>
      <c r="BD263" s="153">
        <f>IF($B263=1,$F$44,IF(N(Vintage_Input!P214)&gt;0,IFERROR((Vintage_Input!H214+Vintage_Input!AV214)/$C263+Products!$F$14-(Products!$F$43+Products!$F$19+Products!$F$43*Products!$F$22+Products!$F$44),""),""))</f>
        <v/>
      </c>
      <c r="BE263" s="153">
        <f>IF($B263=1,$G$44,IF(N(Vintage_Input!Q214)&gt;0,IFERROR((Vintage_Input!I214+Vintage_Input!AW214)/$C263+Products!$F$14-(Products!$F$43+Products!$F$19+Products!$F$43*Products!$F$22+Products!$F$44),""),""))</f>
        <v/>
      </c>
      <c r="BF263" s="153">
        <f>IF($B263=1,$H$44,IF(N(Vintage_Input!R214)&gt;0,IFERROR((Vintage_Input!J214+Vintage_Input!AX214)/$C263+Products!$F$14-(Products!$F$43+Products!$F$19+Products!$F$43*Products!$F$22+Products!$F$44),""),""))</f>
        <v/>
      </c>
      <c r="BG263" s="153">
        <f>IF($B263=1,$I$44,IF(N(Vintage_Input!S214)&gt;0,IFERROR((Vintage_Input!K214+Vintage_Input!AY214)/$C263+Products!$F$14-(Products!$F$43+Products!$F$19+Products!$F$43*Products!$F$22+Products!$F$44),""),""))</f>
        <v/>
      </c>
      <c r="BH263" s="81">
        <f>IF($B263=1,0,IF(Vintage_Input!$BH$214="","",Vintage_Input!$BH$214))</f>
        <v/>
      </c>
    </row>
    <row r="264">
      <c r="A264" s="23" t="n">
        <v>12</v>
      </c>
      <c r="B264" s="48">
        <f>Vintage_Input!$B$215</f>
        <v/>
      </c>
      <c r="C264" s="41">
        <f>IF(Vintage_Input!$C$215="",0,Vintage_Input!$C$215)</f>
        <v/>
      </c>
      <c r="D264" s="152">
        <f>IF($B264=1,$B$38,IF(N(Vintage_Input!L215)&gt;0,Vintage_Input!D215/Vintage_Input!L215,""))</f>
        <v/>
      </c>
      <c r="E264" s="152">
        <f>IF($B264=1,$C$38,IF(N(Vintage_Input!M215)&gt;0,Vintage_Input!E215/Vintage_Input!M215,""))</f>
        <v/>
      </c>
      <c r="F264" s="152">
        <f>IF($B264=1,$D$38,IF(N(Vintage_Input!N215)&gt;0,Vintage_Input!F215/Vintage_Input!N215,""))</f>
        <v/>
      </c>
      <c r="G264" s="152">
        <f>IF($B264=1,$E$38,IF(N(Vintage_Input!O215)&gt;0,Vintage_Input!G215/Vintage_Input!O215,""))</f>
        <v/>
      </c>
      <c r="H264" s="152">
        <f>IF($B264=1,$F$38,IF(N(Vintage_Input!P215)&gt;0,Vintage_Input!H215/Vintage_Input!P215,""))</f>
        <v/>
      </c>
      <c r="I264" s="152">
        <f>IF($B264=1,$G$38,IF(N(Vintage_Input!Q215)&gt;0,Vintage_Input!I215/Vintage_Input!Q215,""))</f>
        <v/>
      </c>
      <c r="J264" s="152">
        <f>IF($B264=1,$H$38,IF(N(Vintage_Input!R215)&gt;0,Vintage_Input!J215/Vintage_Input!R215,""))</f>
        <v/>
      </c>
      <c r="K264" s="152">
        <f>IF($B264=1,$I$38,IF(N(Vintage_Input!S215)&gt;0,Vintage_Input!K215/Vintage_Input!S215,""))</f>
        <v/>
      </c>
      <c r="L264" s="152">
        <f>IF($B264=1,$B$39,IF(N(Vintage_Input!L215)&gt;0,Vintage_Input!T215/Vintage_Input!L215,""))</f>
        <v/>
      </c>
      <c r="M264" s="152">
        <f>IF($B264=1,$C$39,IF(N(Vintage_Input!M215)&gt;0,Vintage_Input!U215/Vintage_Input!M215,""))</f>
        <v/>
      </c>
      <c r="N264" s="152">
        <f>IF($B264=1,$D$39,IF(N(Vintage_Input!N215)&gt;0,Vintage_Input!V215/Vintage_Input!N215,""))</f>
        <v/>
      </c>
      <c r="O264" s="152">
        <f>IF($B264=1,$E$39,IF(N(Vintage_Input!O215)&gt;0,Vintage_Input!W215/Vintage_Input!O215,""))</f>
        <v/>
      </c>
      <c r="P264" s="152">
        <f>IF($B264=1,$F$39,IF(N(Vintage_Input!P215)&gt;0,Vintage_Input!X215/Vintage_Input!P215,""))</f>
        <v/>
      </c>
      <c r="Q264" s="152">
        <f>IF($B264=1,$G$39,IF(N(Vintage_Input!Q215)&gt;0,Vintage_Input!Y215/Vintage_Input!Q215,""))</f>
        <v/>
      </c>
      <c r="R264" s="152">
        <f>IF($B264=1,$H$39,IF(N(Vintage_Input!R215)&gt;0,Vintage_Input!Z215/Vintage_Input!R215,""))</f>
        <v/>
      </c>
      <c r="S264" s="152">
        <f>IF($B264=1,$I$39,IF(N(Vintage_Input!S215)&gt;0,Vintage_Input!AA215/Vintage_Input!S215,""))</f>
        <v/>
      </c>
      <c r="T264" s="152">
        <f>IF($B264=1,$B$40,IF(N(Vintage_Input!L215)&gt;0,Vintage_Input!AB215/Vintage_Input!L215,""))</f>
        <v/>
      </c>
      <c r="U264" s="152">
        <f>IF($B264=1,$C$40,IF(N(Vintage_Input!M215)&gt;0,Vintage_Input!AC215/Vintage_Input!M215,""))</f>
        <v/>
      </c>
      <c r="V264" s="152">
        <f>IF($B264=1,$D$40,IF(N(Vintage_Input!N215)&gt;0,Vintage_Input!AD215/Vintage_Input!N215,""))</f>
        <v/>
      </c>
      <c r="W264" s="152">
        <f>IF($B264=1,$E$40,IF(N(Vintage_Input!O215)&gt;0,Vintage_Input!AE215/Vintage_Input!O215,""))</f>
        <v/>
      </c>
      <c r="X264" s="152">
        <f>IF($B264=1,$F$40,IF(N(Vintage_Input!P215)&gt;0,Vintage_Input!AF215/Vintage_Input!P215,""))</f>
        <v/>
      </c>
      <c r="Y264" s="152">
        <f>IF($B264=1,$G$40,IF(N(Vintage_Input!Q215)&gt;0,Vintage_Input!AG215/Vintage_Input!Q215,""))</f>
        <v/>
      </c>
      <c r="Z264" s="152">
        <f>IF($B264=1,$H$40,IF(N(Vintage_Input!R215)&gt;0,Vintage_Input!AH215/Vintage_Input!R215,""))</f>
        <v/>
      </c>
      <c r="AA264" s="152">
        <f>IF($B264=1,$I$40,IF(N(Vintage_Input!S215)&gt;0,Vintage_Input!AI215/Vintage_Input!S215,""))</f>
        <v/>
      </c>
      <c r="AB264" s="152">
        <f>IF($B264=1,$B$41,IF(N(Vintage_Input!L215)&gt;0,Vintage_Input!AJ215/Vintage_Input!L215,""))</f>
        <v/>
      </c>
      <c r="AC264" s="152">
        <f>IF($B264=1,$C$41,IF(N(Vintage_Input!M215)&gt;0,Vintage_Input!AK215/Vintage_Input!M215,""))</f>
        <v/>
      </c>
      <c r="AD264" s="152">
        <f>IF($B264=1,$D$41,IF(N(Vintage_Input!N215)&gt;0,Vintage_Input!AL215/Vintage_Input!N215,""))</f>
        <v/>
      </c>
      <c r="AE264" s="152">
        <f>IF($B264=1,$E$41,IF(N(Vintage_Input!O215)&gt;0,Vintage_Input!AM215/Vintage_Input!O215,""))</f>
        <v/>
      </c>
      <c r="AF264" s="152">
        <f>IF($B264=1,$F$41,IF(N(Vintage_Input!P215)&gt;0,Vintage_Input!AN215/Vintage_Input!P215,""))</f>
        <v/>
      </c>
      <c r="AG264" s="152">
        <f>IF($B264=1,$G$41,IF(N(Vintage_Input!Q215)&gt;0,Vintage_Input!AO215/Vintage_Input!Q215,""))</f>
        <v/>
      </c>
      <c r="AH264" s="152">
        <f>IF($B264=1,$H$41,IF(N(Vintage_Input!R215)&gt;0,Vintage_Input!AP215/Vintage_Input!R215,""))</f>
        <v/>
      </c>
      <c r="AI264" s="152">
        <f>IF($B264=1,$I$41,IF(N(Vintage_Input!S215)&gt;0,Vintage_Input!AQ215/Vintage_Input!S215,""))</f>
        <v/>
      </c>
      <c r="AJ264" s="152">
        <f>IF($B264=1,$B$42,IF(N(Vintage_Input!L215)&gt;0,IFERROR(Vintage_Input!AR215/Vintage_Input!AJ215,""),""))</f>
        <v/>
      </c>
      <c r="AK264" s="152">
        <f>IF($B264=1,$C$42,IF(N(Vintage_Input!M215)&gt;0,IFERROR(Vintage_Input!AS215/Vintage_Input!AK215,""),""))</f>
        <v/>
      </c>
      <c r="AL264" s="152">
        <f>IF($B264=1,$D$42,IF(N(Vintage_Input!N215)&gt;0,IFERROR(Vintage_Input!AT215/Vintage_Input!AL215,""),""))</f>
        <v/>
      </c>
      <c r="AM264" s="152">
        <f>IF($B264=1,$E$42,IF(N(Vintage_Input!O215)&gt;0,IFERROR(Vintage_Input!AU215/Vintage_Input!AM215,""),""))</f>
        <v/>
      </c>
      <c r="AN264" s="152">
        <f>IF($B264=1,$F$42,IF(N(Vintage_Input!P215)&gt;0,IFERROR(Vintage_Input!AV215/Vintage_Input!AN215,""),""))</f>
        <v/>
      </c>
      <c r="AO264" s="152">
        <f>IF($B264=1,$G$42,IF(N(Vintage_Input!Q215)&gt;0,IFERROR(Vintage_Input!AW215/Vintage_Input!AO215,""),""))</f>
        <v/>
      </c>
      <c r="AP264" s="152">
        <f>IF($B264=1,$H$42,IF(N(Vintage_Input!R215)&gt;0,IFERROR(Vintage_Input!AX215/Vintage_Input!AP215,""),""))</f>
        <v/>
      </c>
      <c r="AQ264" s="152">
        <f>IF($B264=1,$I$42,IF(N(Vintage_Input!S215)&gt;0,IFERROR(Vintage_Input!AY215/Vintage_Input!AQ215,""),""))</f>
        <v/>
      </c>
      <c r="AR264" s="152">
        <f>IF($B264=1,$B$43,IF(N(Vintage_Input!L215)&gt;0,IFERROR(Vintage_Input!AZ215/$C264,""),""))</f>
        <v/>
      </c>
      <c r="AS264" s="152">
        <f>IF($B264=1,$C$43,IF(N(Vintage_Input!M215)&gt;0,IFERROR(Vintage_Input!BA215/$C264,""),""))</f>
        <v/>
      </c>
      <c r="AT264" s="152">
        <f>IF($B264=1,$D$43,IF(N(Vintage_Input!N215)&gt;0,IFERROR(Vintage_Input!BB215/$C264,""),""))</f>
        <v/>
      </c>
      <c r="AU264" s="152">
        <f>IF($B264=1,$E$43,IF(N(Vintage_Input!O215)&gt;0,IFERROR(Vintage_Input!BC215/$C264,""),""))</f>
        <v/>
      </c>
      <c r="AV264" s="152">
        <f>IF($B264=1,$F$43,IF(N(Vintage_Input!P215)&gt;0,IFERROR(Vintage_Input!BD215/$C264,""),""))</f>
        <v/>
      </c>
      <c r="AW264" s="152">
        <f>IF($B264=1,$G$43,IF(N(Vintage_Input!Q215)&gt;0,IFERROR(Vintage_Input!BE215/$C264,""),""))</f>
        <v/>
      </c>
      <c r="AX264" s="152">
        <f>IF($B264=1,$H$43,IF(N(Vintage_Input!R215)&gt;0,IFERROR(Vintage_Input!BF215/$C264,""),""))</f>
        <v/>
      </c>
      <c r="AY264" s="152">
        <f>IF($B264=1,$I$43,IF(N(Vintage_Input!S215)&gt;0,IFERROR(Vintage_Input!BG215/$C264,""),""))</f>
        <v/>
      </c>
      <c r="AZ264" s="153">
        <f>IF($B264=1,$B$44,IF(N(Vintage_Input!L215)&gt;0,IFERROR((Vintage_Input!D215+Vintage_Input!AR215)/$C264+Products!$F$14-(Products!$F$43+Products!$F$19+Products!$F$43*Products!$F$22+Products!$F$44),""),""))</f>
        <v/>
      </c>
      <c r="BA264" s="153">
        <f>IF($B264=1,$C$44,IF(N(Vintage_Input!M215)&gt;0,IFERROR((Vintage_Input!E215+Vintage_Input!AS215)/$C264+Products!$F$14-(Products!$F$43+Products!$F$19+Products!$F$43*Products!$F$22+Products!$F$44),""),""))</f>
        <v/>
      </c>
      <c r="BB264" s="153">
        <f>IF($B264=1,$D$44,IF(N(Vintage_Input!N215)&gt;0,IFERROR((Vintage_Input!F215+Vintage_Input!AT215)/$C264+Products!$F$14-(Products!$F$43+Products!$F$19+Products!$F$43*Products!$F$22+Products!$F$44),""),""))</f>
        <v/>
      </c>
      <c r="BC264" s="153">
        <f>IF($B264=1,$E$44,IF(N(Vintage_Input!O215)&gt;0,IFERROR((Vintage_Input!G215+Vintage_Input!AU215)/$C264+Products!$F$14-(Products!$F$43+Products!$F$19+Products!$F$43*Products!$F$22+Products!$F$44),""),""))</f>
        <v/>
      </c>
      <c r="BD264" s="153">
        <f>IF($B264=1,$F$44,IF(N(Vintage_Input!P215)&gt;0,IFERROR((Vintage_Input!H215+Vintage_Input!AV215)/$C264+Products!$F$14-(Products!$F$43+Products!$F$19+Products!$F$43*Products!$F$22+Products!$F$44),""),""))</f>
        <v/>
      </c>
      <c r="BE264" s="153">
        <f>IF($B264=1,$G$44,IF(N(Vintage_Input!Q215)&gt;0,IFERROR((Vintage_Input!I215+Vintage_Input!AW215)/$C264+Products!$F$14-(Products!$F$43+Products!$F$19+Products!$F$43*Products!$F$22+Products!$F$44),""),""))</f>
        <v/>
      </c>
      <c r="BF264" s="153">
        <f>IF($B264=1,$H$44,IF(N(Vintage_Input!R215)&gt;0,IFERROR((Vintage_Input!J215+Vintage_Input!AX215)/$C264+Products!$F$14-(Products!$F$43+Products!$F$19+Products!$F$43*Products!$F$22+Products!$F$44),""),""))</f>
        <v/>
      </c>
      <c r="BG264" s="153">
        <f>IF($B264=1,$I$44,IF(N(Vintage_Input!S215)&gt;0,IFERROR((Vintage_Input!K215+Vintage_Input!AY215)/$C264+Products!$F$14-(Products!$F$43+Products!$F$19+Products!$F$43*Products!$F$22+Products!$F$44),""),""))</f>
        <v/>
      </c>
      <c r="BH264" s="81">
        <f>IF($B264=1,0,IF(Vintage_Input!$BH$215="","",Vintage_Input!$BH$215))</f>
        <v/>
      </c>
    </row>
    <row r="265">
      <c r="A265" s="23" t="n">
        <v>13</v>
      </c>
      <c r="B265" s="48">
        <f>Vintage_Input!$B$216</f>
        <v/>
      </c>
      <c r="C265" s="41">
        <f>IF(Vintage_Input!$C$216="",0,Vintage_Input!$C$216)</f>
        <v/>
      </c>
      <c r="D265" s="152">
        <f>IF($B265=1,$B$38,IF(N(Vintage_Input!L216)&gt;0,Vintage_Input!D216/Vintage_Input!L216,""))</f>
        <v/>
      </c>
      <c r="E265" s="152">
        <f>IF($B265=1,$C$38,IF(N(Vintage_Input!M216)&gt;0,Vintage_Input!E216/Vintage_Input!M216,""))</f>
        <v/>
      </c>
      <c r="F265" s="152">
        <f>IF($B265=1,$D$38,IF(N(Vintage_Input!N216)&gt;0,Vintage_Input!F216/Vintage_Input!N216,""))</f>
        <v/>
      </c>
      <c r="G265" s="152">
        <f>IF($B265=1,$E$38,IF(N(Vintage_Input!O216)&gt;0,Vintage_Input!G216/Vintage_Input!O216,""))</f>
        <v/>
      </c>
      <c r="H265" s="152">
        <f>IF($B265=1,$F$38,IF(N(Vintage_Input!P216)&gt;0,Vintage_Input!H216/Vintage_Input!P216,""))</f>
        <v/>
      </c>
      <c r="I265" s="152">
        <f>IF($B265=1,$G$38,IF(N(Vintage_Input!Q216)&gt;0,Vintage_Input!I216/Vintage_Input!Q216,""))</f>
        <v/>
      </c>
      <c r="J265" s="152">
        <f>IF($B265=1,$H$38,IF(N(Vintage_Input!R216)&gt;0,Vintage_Input!J216/Vintage_Input!R216,""))</f>
        <v/>
      </c>
      <c r="K265" s="152">
        <f>IF($B265=1,$I$38,IF(N(Vintage_Input!S216)&gt;0,Vintage_Input!K216/Vintage_Input!S216,""))</f>
        <v/>
      </c>
      <c r="L265" s="152">
        <f>IF($B265=1,$B$39,IF(N(Vintage_Input!L216)&gt;0,Vintage_Input!T216/Vintage_Input!L216,""))</f>
        <v/>
      </c>
      <c r="M265" s="152">
        <f>IF($B265=1,$C$39,IF(N(Vintage_Input!M216)&gt;0,Vintage_Input!U216/Vintage_Input!M216,""))</f>
        <v/>
      </c>
      <c r="N265" s="152">
        <f>IF($B265=1,$D$39,IF(N(Vintage_Input!N216)&gt;0,Vintage_Input!V216/Vintage_Input!N216,""))</f>
        <v/>
      </c>
      <c r="O265" s="152">
        <f>IF($B265=1,$E$39,IF(N(Vintage_Input!O216)&gt;0,Vintage_Input!W216/Vintage_Input!O216,""))</f>
        <v/>
      </c>
      <c r="P265" s="152">
        <f>IF($B265=1,$F$39,IF(N(Vintage_Input!P216)&gt;0,Vintage_Input!X216/Vintage_Input!P216,""))</f>
        <v/>
      </c>
      <c r="Q265" s="152">
        <f>IF($B265=1,$G$39,IF(N(Vintage_Input!Q216)&gt;0,Vintage_Input!Y216/Vintage_Input!Q216,""))</f>
        <v/>
      </c>
      <c r="R265" s="152">
        <f>IF($B265=1,$H$39,IF(N(Vintage_Input!R216)&gt;0,Vintage_Input!Z216/Vintage_Input!R216,""))</f>
        <v/>
      </c>
      <c r="S265" s="152">
        <f>IF($B265=1,$I$39,IF(N(Vintage_Input!S216)&gt;0,Vintage_Input!AA216/Vintage_Input!S216,""))</f>
        <v/>
      </c>
      <c r="T265" s="152">
        <f>IF($B265=1,$B$40,IF(N(Vintage_Input!L216)&gt;0,Vintage_Input!AB216/Vintage_Input!L216,""))</f>
        <v/>
      </c>
      <c r="U265" s="152">
        <f>IF($B265=1,$C$40,IF(N(Vintage_Input!M216)&gt;0,Vintage_Input!AC216/Vintage_Input!M216,""))</f>
        <v/>
      </c>
      <c r="V265" s="152">
        <f>IF($B265=1,$D$40,IF(N(Vintage_Input!N216)&gt;0,Vintage_Input!AD216/Vintage_Input!N216,""))</f>
        <v/>
      </c>
      <c r="W265" s="152">
        <f>IF($B265=1,$E$40,IF(N(Vintage_Input!O216)&gt;0,Vintage_Input!AE216/Vintage_Input!O216,""))</f>
        <v/>
      </c>
      <c r="X265" s="152">
        <f>IF($B265=1,$F$40,IF(N(Vintage_Input!P216)&gt;0,Vintage_Input!AF216/Vintage_Input!P216,""))</f>
        <v/>
      </c>
      <c r="Y265" s="152">
        <f>IF($B265=1,$G$40,IF(N(Vintage_Input!Q216)&gt;0,Vintage_Input!AG216/Vintage_Input!Q216,""))</f>
        <v/>
      </c>
      <c r="Z265" s="152">
        <f>IF($B265=1,$H$40,IF(N(Vintage_Input!R216)&gt;0,Vintage_Input!AH216/Vintage_Input!R216,""))</f>
        <v/>
      </c>
      <c r="AA265" s="152">
        <f>IF($B265=1,$I$40,IF(N(Vintage_Input!S216)&gt;0,Vintage_Input!AI216/Vintage_Input!S216,""))</f>
        <v/>
      </c>
      <c r="AB265" s="152">
        <f>IF($B265=1,$B$41,IF(N(Vintage_Input!L216)&gt;0,Vintage_Input!AJ216/Vintage_Input!L216,""))</f>
        <v/>
      </c>
      <c r="AC265" s="152">
        <f>IF($B265=1,$C$41,IF(N(Vintage_Input!M216)&gt;0,Vintage_Input!AK216/Vintage_Input!M216,""))</f>
        <v/>
      </c>
      <c r="AD265" s="152">
        <f>IF($B265=1,$D$41,IF(N(Vintage_Input!N216)&gt;0,Vintage_Input!AL216/Vintage_Input!N216,""))</f>
        <v/>
      </c>
      <c r="AE265" s="152">
        <f>IF($B265=1,$E$41,IF(N(Vintage_Input!O216)&gt;0,Vintage_Input!AM216/Vintage_Input!O216,""))</f>
        <v/>
      </c>
      <c r="AF265" s="152">
        <f>IF($B265=1,$F$41,IF(N(Vintage_Input!P216)&gt;0,Vintage_Input!AN216/Vintage_Input!P216,""))</f>
        <v/>
      </c>
      <c r="AG265" s="152">
        <f>IF($B265=1,$G$41,IF(N(Vintage_Input!Q216)&gt;0,Vintage_Input!AO216/Vintage_Input!Q216,""))</f>
        <v/>
      </c>
      <c r="AH265" s="152">
        <f>IF($B265=1,$H$41,IF(N(Vintage_Input!R216)&gt;0,Vintage_Input!AP216/Vintage_Input!R216,""))</f>
        <v/>
      </c>
      <c r="AI265" s="152">
        <f>IF($B265=1,$I$41,IF(N(Vintage_Input!S216)&gt;0,Vintage_Input!AQ216/Vintage_Input!S216,""))</f>
        <v/>
      </c>
      <c r="AJ265" s="152">
        <f>IF($B265=1,$B$42,IF(N(Vintage_Input!L216)&gt;0,IFERROR(Vintage_Input!AR216/Vintage_Input!AJ216,""),""))</f>
        <v/>
      </c>
      <c r="AK265" s="152">
        <f>IF($B265=1,$C$42,IF(N(Vintage_Input!M216)&gt;0,IFERROR(Vintage_Input!AS216/Vintage_Input!AK216,""),""))</f>
        <v/>
      </c>
      <c r="AL265" s="152">
        <f>IF($B265=1,$D$42,IF(N(Vintage_Input!N216)&gt;0,IFERROR(Vintage_Input!AT216/Vintage_Input!AL216,""),""))</f>
        <v/>
      </c>
      <c r="AM265" s="152">
        <f>IF($B265=1,$E$42,IF(N(Vintage_Input!O216)&gt;0,IFERROR(Vintage_Input!AU216/Vintage_Input!AM216,""),""))</f>
        <v/>
      </c>
      <c r="AN265" s="152">
        <f>IF($B265=1,$F$42,IF(N(Vintage_Input!P216)&gt;0,IFERROR(Vintage_Input!AV216/Vintage_Input!AN216,""),""))</f>
        <v/>
      </c>
      <c r="AO265" s="152">
        <f>IF($B265=1,$G$42,IF(N(Vintage_Input!Q216)&gt;0,IFERROR(Vintage_Input!AW216/Vintage_Input!AO216,""),""))</f>
        <v/>
      </c>
      <c r="AP265" s="152">
        <f>IF($B265=1,$H$42,IF(N(Vintage_Input!R216)&gt;0,IFERROR(Vintage_Input!AX216/Vintage_Input!AP216,""),""))</f>
        <v/>
      </c>
      <c r="AQ265" s="152">
        <f>IF($B265=1,$I$42,IF(N(Vintage_Input!S216)&gt;0,IFERROR(Vintage_Input!AY216/Vintage_Input!AQ216,""),""))</f>
        <v/>
      </c>
      <c r="AR265" s="152">
        <f>IF($B265=1,$B$43,IF(N(Vintage_Input!L216)&gt;0,IFERROR(Vintage_Input!AZ216/$C265,""),""))</f>
        <v/>
      </c>
      <c r="AS265" s="152">
        <f>IF($B265=1,$C$43,IF(N(Vintage_Input!M216)&gt;0,IFERROR(Vintage_Input!BA216/$C265,""),""))</f>
        <v/>
      </c>
      <c r="AT265" s="152">
        <f>IF($B265=1,$D$43,IF(N(Vintage_Input!N216)&gt;0,IFERROR(Vintage_Input!BB216/$C265,""),""))</f>
        <v/>
      </c>
      <c r="AU265" s="152">
        <f>IF($B265=1,$E$43,IF(N(Vintage_Input!O216)&gt;0,IFERROR(Vintage_Input!BC216/$C265,""),""))</f>
        <v/>
      </c>
      <c r="AV265" s="152">
        <f>IF($B265=1,$F$43,IF(N(Vintage_Input!P216)&gt;0,IFERROR(Vintage_Input!BD216/$C265,""),""))</f>
        <v/>
      </c>
      <c r="AW265" s="152">
        <f>IF($B265=1,$G$43,IF(N(Vintage_Input!Q216)&gt;0,IFERROR(Vintage_Input!BE216/$C265,""),""))</f>
        <v/>
      </c>
      <c r="AX265" s="152">
        <f>IF($B265=1,$H$43,IF(N(Vintage_Input!R216)&gt;0,IFERROR(Vintage_Input!BF216/$C265,""),""))</f>
        <v/>
      </c>
      <c r="AY265" s="152">
        <f>IF($B265=1,$I$43,IF(N(Vintage_Input!S216)&gt;0,IFERROR(Vintage_Input!BG216/$C265,""),""))</f>
        <v/>
      </c>
      <c r="AZ265" s="153">
        <f>IF($B265=1,$B$44,IF(N(Vintage_Input!L216)&gt;0,IFERROR((Vintage_Input!D216+Vintage_Input!AR216)/$C265+Products!$F$14-(Products!$F$43+Products!$F$19+Products!$F$43*Products!$F$22+Products!$F$44),""),""))</f>
        <v/>
      </c>
      <c r="BA265" s="153">
        <f>IF($B265=1,$C$44,IF(N(Vintage_Input!M216)&gt;0,IFERROR((Vintage_Input!E216+Vintage_Input!AS216)/$C265+Products!$F$14-(Products!$F$43+Products!$F$19+Products!$F$43*Products!$F$22+Products!$F$44),""),""))</f>
        <v/>
      </c>
      <c r="BB265" s="153">
        <f>IF($B265=1,$D$44,IF(N(Vintage_Input!N216)&gt;0,IFERROR((Vintage_Input!F216+Vintage_Input!AT216)/$C265+Products!$F$14-(Products!$F$43+Products!$F$19+Products!$F$43*Products!$F$22+Products!$F$44),""),""))</f>
        <v/>
      </c>
      <c r="BC265" s="153">
        <f>IF($B265=1,$E$44,IF(N(Vintage_Input!O216)&gt;0,IFERROR((Vintage_Input!G216+Vintage_Input!AU216)/$C265+Products!$F$14-(Products!$F$43+Products!$F$19+Products!$F$43*Products!$F$22+Products!$F$44),""),""))</f>
        <v/>
      </c>
      <c r="BD265" s="153">
        <f>IF($B265=1,$F$44,IF(N(Vintage_Input!P216)&gt;0,IFERROR((Vintage_Input!H216+Vintage_Input!AV216)/$C265+Products!$F$14-(Products!$F$43+Products!$F$19+Products!$F$43*Products!$F$22+Products!$F$44),""),""))</f>
        <v/>
      </c>
      <c r="BE265" s="153">
        <f>IF($B265=1,$G$44,IF(N(Vintage_Input!Q216)&gt;0,IFERROR((Vintage_Input!I216+Vintage_Input!AW216)/$C265+Products!$F$14-(Products!$F$43+Products!$F$19+Products!$F$43*Products!$F$22+Products!$F$44),""),""))</f>
        <v/>
      </c>
      <c r="BF265" s="153">
        <f>IF($B265=1,$H$44,IF(N(Vintage_Input!R216)&gt;0,IFERROR((Vintage_Input!J216+Vintage_Input!AX216)/$C265+Products!$F$14-(Products!$F$43+Products!$F$19+Products!$F$43*Products!$F$22+Products!$F$44),""),""))</f>
        <v/>
      </c>
      <c r="BG265" s="153">
        <f>IF($B265=1,$I$44,IF(N(Vintage_Input!S216)&gt;0,IFERROR((Vintage_Input!K216+Vintage_Input!AY216)/$C265+Products!$F$14-(Products!$F$43+Products!$F$19+Products!$F$43*Products!$F$22+Products!$F$44),""),""))</f>
        <v/>
      </c>
      <c r="BH265" s="81">
        <f>IF($B265=1,0,IF(Vintage_Input!$BH$216="","",Vintage_Input!$BH$216))</f>
        <v/>
      </c>
    </row>
    <row r="266">
      <c r="A266" s="23" t="n">
        <v>14</v>
      </c>
      <c r="B266" s="48">
        <f>Vintage_Input!$B$217</f>
        <v/>
      </c>
      <c r="C266" s="41">
        <f>IF(Vintage_Input!$C$217="",0,Vintage_Input!$C$217)</f>
        <v/>
      </c>
      <c r="D266" s="152">
        <f>IF($B266=1,$B$38,IF(N(Vintage_Input!L217)&gt;0,Vintage_Input!D217/Vintage_Input!L217,""))</f>
        <v/>
      </c>
      <c r="E266" s="152">
        <f>IF($B266=1,$C$38,IF(N(Vintage_Input!M217)&gt;0,Vintage_Input!E217/Vintage_Input!M217,""))</f>
        <v/>
      </c>
      <c r="F266" s="152">
        <f>IF($B266=1,$D$38,IF(N(Vintage_Input!N217)&gt;0,Vintage_Input!F217/Vintage_Input!N217,""))</f>
        <v/>
      </c>
      <c r="G266" s="152">
        <f>IF($B266=1,$E$38,IF(N(Vintage_Input!O217)&gt;0,Vintage_Input!G217/Vintage_Input!O217,""))</f>
        <v/>
      </c>
      <c r="H266" s="152">
        <f>IF($B266=1,$F$38,IF(N(Vintage_Input!P217)&gt;0,Vintage_Input!H217/Vintage_Input!P217,""))</f>
        <v/>
      </c>
      <c r="I266" s="152">
        <f>IF($B266=1,$G$38,IF(N(Vintage_Input!Q217)&gt;0,Vintage_Input!I217/Vintage_Input!Q217,""))</f>
        <v/>
      </c>
      <c r="J266" s="152">
        <f>IF($B266=1,$H$38,IF(N(Vintage_Input!R217)&gt;0,Vintage_Input!J217/Vintage_Input!R217,""))</f>
        <v/>
      </c>
      <c r="K266" s="152">
        <f>IF($B266=1,$I$38,IF(N(Vintage_Input!S217)&gt;0,Vintage_Input!K217/Vintage_Input!S217,""))</f>
        <v/>
      </c>
      <c r="L266" s="152">
        <f>IF($B266=1,$B$39,IF(N(Vintage_Input!L217)&gt;0,Vintage_Input!T217/Vintage_Input!L217,""))</f>
        <v/>
      </c>
      <c r="M266" s="152">
        <f>IF($B266=1,$C$39,IF(N(Vintage_Input!M217)&gt;0,Vintage_Input!U217/Vintage_Input!M217,""))</f>
        <v/>
      </c>
      <c r="N266" s="152">
        <f>IF($B266=1,$D$39,IF(N(Vintage_Input!N217)&gt;0,Vintage_Input!V217/Vintage_Input!N217,""))</f>
        <v/>
      </c>
      <c r="O266" s="152">
        <f>IF($B266=1,$E$39,IF(N(Vintage_Input!O217)&gt;0,Vintage_Input!W217/Vintage_Input!O217,""))</f>
        <v/>
      </c>
      <c r="P266" s="152">
        <f>IF($B266=1,$F$39,IF(N(Vintage_Input!P217)&gt;0,Vintage_Input!X217/Vintage_Input!P217,""))</f>
        <v/>
      </c>
      <c r="Q266" s="152">
        <f>IF($B266=1,$G$39,IF(N(Vintage_Input!Q217)&gt;0,Vintage_Input!Y217/Vintage_Input!Q217,""))</f>
        <v/>
      </c>
      <c r="R266" s="152">
        <f>IF($B266=1,$H$39,IF(N(Vintage_Input!R217)&gt;0,Vintage_Input!Z217/Vintage_Input!R217,""))</f>
        <v/>
      </c>
      <c r="S266" s="152">
        <f>IF($B266=1,$I$39,IF(N(Vintage_Input!S217)&gt;0,Vintage_Input!AA217/Vintage_Input!S217,""))</f>
        <v/>
      </c>
      <c r="T266" s="152">
        <f>IF($B266=1,$B$40,IF(N(Vintage_Input!L217)&gt;0,Vintage_Input!AB217/Vintage_Input!L217,""))</f>
        <v/>
      </c>
      <c r="U266" s="152">
        <f>IF($B266=1,$C$40,IF(N(Vintage_Input!M217)&gt;0,Vintage_Input!AC217/Vintage_Input!M217,""))</f>
        <v/>
      </c>
      <c r="V266" s="152">
        <f>IF($B266=1,$D$40,IF(N(Vintage_Input!N217)&gt;0,Vintage_Input!AD217/Vintage_Input!N217,""))</f>
        <v/>
      </c>
      <c r="W266" s="152">
        <f>IF($B266=1,$E$40,IF(N(Vintage_Input!O217)&gt;0,Vintage_Input!AE217/Vintage_Input!O217,""))</f>
        <v/>
      </c>
      <c r="X266" s="152">
        <f>IF($B266=1,$F$40,IF(N(Vintage_Input!P217)&gt;0,Vintage_Input!AF217/Vintage_Input!P217,""))</f>
        <v/>
      </c>
      <c r="Y266" s="152">
        <f>IF($B266=1,$G$40,IF(N(Vintage_Input!Q217)&gt;0,Vintage_Input!AG217/Vintage_Input!Q217,""))</f>
        <v/>
      </c>
      <c r="Z266" s="152">
        <f>IF($B266=1,$H$40,IF(N(Vintage_Input!R217)&gt;0,Vintage_Input!AH217/Vintage_Input!R217,""))</f>
        <v/>
      </c>
      <c r="AA266" s="152">
        <f>IF($B266=1,$I$40,IF(N(Vintage_Input!S217)&gt;0,Vintage_Input!AI217/Vintage_Input!S217,""))</f>
        <v/>
      </c>
      <c r="AB266" s="152">
        <f>IF($B266=1,$B$41,IF(N(Vintage_Input!L217)&gt;0,Vintage_Input!AJ217/Vintage_Input!L217,""))</f>
        <v/>
      </c>
      <c r="AC266" s="152">
        <f>IF($B266=1,$C$41,IF(N(Vintage_Input!M217)&gt;0,Vintage_Input!AK217/Vintage_Input!M217,""))</f>
        <v/>
      </c>
      <c r="AD266" s="152">
        <f>IF($B266=1,$D$41,IF(N(Vintage_Input!N217)&gt;0,Vintage_Input!AL217/Vintage_Input!N217,""))</f>
        <v/>
      </c>
      <c r="AE266" s="152">
        <f>IF($B266=1,$E$41,IF(N(Vintage_Input!O217)&gt;0,Vintage_Input!AM217/Vintage_Input!O217,""))</f>
        <v/>
      </c>
      <c r="AF266" s="152">
        <f>IF($B266=1,$F$41,IF(N(Vintage_Input!P217)&gt;0,Vintage_Input!AN217/Vintage_Input!P217,""))</f>
        <v/>
      </c>
      <c r="AG266" s="152">
        <f>IF($B266=1,$G$41,IF(N(Vintage_Input!Q217)&gt;0,Vintage_Input!AO217/Vintage_Input!Q217,""))</f>
        <v/>
      </c>
      <c r="AH266" s="152">
        <f>IF($B266=1,$H$41,IF(N(Vintage_Input!R217)&gt;0,Vintage_Input!AP217/Vintage_Input!R217,""))</f>
        <v/>
      </c>
      <c r="AI266" s="152">
        <f>IF($B266=1,$I$41,IF(N(Vintage_Input!S217)&gt;0,Vintage_Input!AQ217/Vintage_Input!S217,""))</f>
        <v/>
      </c>
      <c r="AJ266" s="152">
        <f>IF($B266=1,$B$42,IF(N(Vintage_Input!L217)&gt;0,IFERROR(Vintage_Input!AR217/Vintage_Input!AJ217,""),""))</f>
        <v/>
      </c>
      <c r="AK266" s="152">
        <f>IF($B266=1,$C$42,IF(N(Vintage_Input!M217)&gt;0,IFERROR(Vintage_Input!AS217/Vintage_Input!AK217,""),""))</f>
        <v/>
      </c>
      <c r="AL266" s="152">
        <f>IF($B266=1,$D$42,IF(N(Vintage_Input!N217)&gt;0,IFERROR(Vintage_Input!AT217/Vintage_Input!AL217,""),""))</f>
        <v/>
      </c>
      <c r="AM266" s="152">
        <f>IF($B266=1,$E$42,IF(N(Vintage_Input!O217)&gt;0,IFERROR(Vintage_Input!AU217/Vintage_Input!AM217,""),""))</f>
        <v/>
      </c>
      <c r="AN266" s="152">
        <f>IF($B266=1,$F$42,IF(N(Vintage_Input!P217)&gt;0,IFERROR(Vintage_Input!AV217/Vintage_Input!AN217,""),""))</f>
        <v/>
      </c>
      <c r="AO266" s="152">
        <f>IF($B266=1,$G$42,IF(N(Vintage_Input!Q217)&gt;0,IFERROR(Vintage_Input!AW217/Vintage_Input!AO217,""),""))</f>
        <v/>
      </c>
      <c r="AP266" s="152">
        <f>IF($B266=1,$H$42,IF(N(Vintage_Input!R217)&gt;0,IFERROR(Vintage_Input!AX217/Vintage_Input!AP217,""),""))</f>
        <v/>
      </c>
      <c r="AQ266" s="152">
        <f>IF($B266=1,$I$42,IF(N(Vintage_Input!S217)&gt;0,IFERROR(Vintage_Input!AY217/Vintage_Input!AQ217,""),""))</f>
        <v/>
      </c>
      <c r="AR266" s="152">
        <f>IF($B266=1,$B$43,IF(N(Vintage_Input!L217)&gt;0,IFERROR(Vintage_Input!AZ217/$C266,""),""))</f>
        <v/>
      </c>
      <c r="AS266" s="152">
        <f>IF($B266=1,$C$43,IF(N(Vintage_Input!M217)&gt;0,IFERROR(Vintage_Input!BA217/$C266,""),""))</f>
        <v/>
      </c>
      <c r="AT266" s="152">
        <f>IF($B266=1,$D$43,IF(N(Vintage_Input!N217)&gt;0,IFERROR(Vintage_Input!BB217/$C266,""),""))</f>
        <v/>
      </c>
      <c r="AU266" s="152">
        <f>IF($B266=1,$E$43,IF(N(Vintage_Input!O217)&gt;0,IFERROR(Vintage_Input!BC217/$C266,""),""))</f>
        <v/>
      </c>
      <c r="AV266" s="152">
        <f>IF($B266=1,$F$43,IF(N(Vintage_Input!P217)&gt;0,IFERROR(Vintage_Input!BD217/$C266,""),""))</f>
        <v/>
      </c>
      <c r="AW266" s="152">
        <f>IF($B266=1,$G$43,IF(N(Vintage_Input!Q217)&gt;0,IFERROR(Vintage_Input!BE217/$C266,""),""))</f>
        <v/>
      </c>
      <c r="AX266" s="152">
        <f>IF($B266=1,$H$43,IF(N(Vintage_Input!R217)&gt;0,IFERROR(Vintage_Input!BF217/$C266,""),""))</f>
        <v/>
      </c>
      <c r="AY266" s="152">
        <f>IF($B266=1,$I$43,IF(N(Vintage_Input!S217)&gt;0,IFERROR(Vintage_Input!BG217/$C266,""),""))</f>
        <v/>
      </c>
      <c r="AZ266" s="153">
        <f>IF($B266=1,$B$44,IF(N(Vintage_Input!L217)&gt;0,IFERROR((Vintage_Input!D217+Vintage_Input!AR217)/$C266+Products!$F$14-(Products!$F$43+Products!$F$19+Products!$F$43*Products!$F$22+Products!$F$44),""),""))</f>
        <v/>
      </c>
      <c r="BA266" s="153">
        <f>IF($B266=1,$C$44,IF(N(Vintage_Input!M217)&gt;0,IFERROR((Vintage_Input!E217+Vintage_Input!AS217)/$C266+Products!$F$14-(Products!$F$43+Products!$F$19+Products!$F$43*Products!$F$22+Products!$F$44),""),""))</f>
        <v/>
      </c>
      <c r="BB266" s="153">
        <f>IF($B266=1,$D$44,IF(N(Vintage_Input!N217)&gt;0,IFERROR((Vintage_Input!F217+Vintage_Input!AT217)/$C266+Products!$F$14-(Products!$F$43+Products!$F$19+Products!$F$43*Products!$F$22+Products!$F$44),""),""))</f>
        <v/>
      </c>
      <c r="BC266" s="153">
        <f>IF($B266=1,$E$44,IF(N(Vintage_Input!O217)&gt;0,IFERROR((Vintage_Input!G217+Vintage_Input!AU217)/$C266+Products!$F$14-(Products!$F$43+Products!$F$19+Products!$F$43*Products!$F$22+Products!$F$44),""),""))</f>
        <v/>
      </c>
      <c r="BD266" s="153">
        <f>IF($B266=1,$F$44,IF(N(Vintage_Input!P217)&gt;0,IFERROR((Vintage_Input!H217+Vintage_Input!AV217)/$C266+Products!$F$14-(Products!$F$43+Products!$F$19+Products!$F$43*Products!$F$22+Products!$F$44),""),""))</f>
        <v/>
      </c>
      <c r="BE266" s="153">
        <f>IF($B266=1,$G$44,IF(N(Vintage_Input!Q217)&gt;0,IFERROR((Vintage_Input!I217+Vintage_Input!AW217)/$C266+Products!$F$14-(Products!$F$43+Products!$F$19+Products!$F$43*Products!$F$22+Products!$F$44),""),""))</f>
        <v/>
      </c>
      <c r="BF266" s="153">
        <f>IF($B266=1,$H$44,IF(N(Vintage_Input!R217)&gt;0,IFERROR((Vintage_Input!J217+Vintage_Input!AX217)/$C266+Products!$F$14-(Products!$F$43+Products!$F$19+Products!$F$43*Products!$F$22+Products!$F$44),""),""))</f>
        <v/>
      </c>
      <c r="BG266" s="153">
        <f>IF($B266=1,$I$44,IF(N(Vintage_Input!S217)&gt;0,IFERROR((Vintage_Input!K217+Vintage_Input!AY217)/$C266+Products!$F$14-(Products!$F$43+Products!$F$19+Products!$F$43*Products!$F$22+Products!$F$44),""),""))</f>
        <v/>
      </c>
      <c r="BH266" s="81">
        <f>IF($B266=1,0,IF(Vintage_Input!$BH$217="","",Vintage_Input!$BH$217))</f>
        <v/>
      </c>
    </row>
    <row r="267">
      <c r="A267" s="23" t="n">
        <v>15</v>
      </c>
      <c r="B267" s="48">
        <f>Vintage_Input!$B$218</f>
        <v/>
      </c>
      <c r="C267" s="41">
        <f>IF(Vintage_Input!$C$218="",0,Vintage_Input!$C$218)</f>
        <v/>
      </c>
      <c r="D267" s="152">
        <f>IF($B267=1,$B$38,IF(N(Vintage_Input!L218)&gt;0,Vintage_Input!D218/Vintage_Input!L218,""))</f>
        <v/>
      </c>
      <c r="E267" s="152">
        <f>IF($B267=1,$C$38,IF(N(Vintage_Input!M218)&gt;0,Vintage_Input!E218/Vintage_Input!M218,""))</f>
        <v/>
      </c>
      <c r="F267" s="152">
        <f>IF($B267=1,$D$38,IF(N(Vintage_Input!N218)&gt;0,Vintage_Input!F218/Vintage_Input!N218,""))</f>
        <v/>
      </c>
      <c r="G267" s="152">
        <f>IF($B267=1,$E$38,IF(N(Vintage_Input!O218)&gt;0,Vintage_Input!G218/Vintage_Input!O218,""))</f>
        <v/>
      </c>
      <c r="H267" s="152">
        <f>IF($B267=1,$F$38,IF(N(Vintage_Input!P218)&gt;0,Vintage_Input!H218/Vintage_Input!P218,""))</f>
        <v/>
      </c>
      <c r="I267" s="152">
        <f>IF($B267=1,$G$38,IF(N(Vintage_Input!Q218)&gt;0,Vintage_Input!I218/Vintage_Input!Q218,""))</f>
        <v/>
      </c>
      <c r="J267" s="152">
        <f>IF($B267=1,$H$38,IF(N(Vintage_Input!R218)&gt;0,Vintage_Input!J218/Vintage_Input!R218,""))</f>
        <v/>
      </c>
      <c r="K267" s="152">
        <f>IF($B267=1,$I$38,IF(N(Vintage_Input!S218)&gt;0,Vintage_Input!K218/Vintage_Input!S218,""))</f>
        <v/>
      </c>
      <c r="L267" s="152">
        <f>IF($B267=1,$B$39,IF(N(Vintage_Input!L218)&gt;0,Vintage_Input!T218/Vintage_Input!L218,""))</f>
        <v/>
      </c>
      <c r="M267" s="152">
        <f>IF($B267=1,$C$39,IF(N(Vintage_Input!M218)&gt;0,Vintage_Input!U218/Vintage_Input!M218,""))</f>
        <v/>
      </c>
      <c r="N267" s="152">
        <f>IF($B267=1,$D$39,IF(N(Vintage_Input!N218)&gt;0,Vintage_Input!V218/Vintage_Input!N218,""))</f>
        <v/>
      </c>
      <c r="O267" s="152">
        <f>IF($B267=1,$E$39,IF(N(Vintage_Input!O218)&gt;0,Vintage_Input!W218/Vintage_Input!O218,""))</f>
        <v/>
      </c>
      <c r="P267" s="152">
        <f>IF($B267=1,$F$39,IF(N(Vintage_Input!P218)&gt;0,Vintage_Input!X218/Vintage_Input!P218,""))</f>
        <v/>
      </c>
      <c r="Q267" s="152">
        <f>IF($B267=1,$G$39,IF(N(Vintage_Input!Q218)&gt;0,Vintage_Input!Y218/Vintage_Input!Q218,""))</f>
        <v/>
      </c>
      <c r="R267" s="152">
        <f>IF($B267=1,$H$39,IF(N(Vintage_Input!R218)&gt;0,Vintage_Input!Z218/Vintage_Input!R218,""))</f>
        <v/>
      </c>
      <c r="S267" s="152">
        <f>IF($B267=1,$I$39,IF(N(Vintage_Input!S218)&gt;0,Vintage_Input!AA218/Vintage_Input!S218,""))</f>
        <v/>
      </c>
      <c r="T267" s="152">
        <f>IF($B267=1,$B$40,IF(N(Vintage_Input!L218)&gt;0,Vintage_Input!AB218/Vintage_Input!L218,""))</f>
        <v/>
      </c>
      <c r="U267" s="152">
        <f>IF($B267=1,$C$40,IF(N(Vintage_Input!M218)&gt;0,Vintage_Input!AC218/Vintage_Input!M218,""))</f>
        <v/>
      </c>
      <c r="V267" s="152">
        <f>IF($B267=1,$D$40,IF(N(Vintage_Input!N218)&gt;0,Vintage_Input!AD218/Vintage_Input!N218,""))</f>
        <v/>
      </c>
      <c r="W267" s="152">
        <f>IF($B267=1,$E$40,IF(N(Vintage_Input!O218)&gt;0,Vintage_Input!AE218/Vintage_Input!O218,""))</f>
        <v/>
      </c>
      <c r="X267" s="152">
        <f>IF($B267=1,$F$40,IF(N(Vintage_Input!P218)&gt;0,Vintage_Input!AF218/Vintage_Input!P218,""))</f>
        <v/>
      </c>
      <c r="Y267" s="152">
        <f>IF($B267=1,$G$40,IF(N(Vintage_Input!Q218)&gt;0,Vintage_Input!AG218/Vintage_Input!Q218,""))</f>
        <v/>
      </c>
      <c r="Z267" s="152">
        <f>IF($B267=1,$H$40,IF(N(Vintage_Input!R218)&gt;0,Vintage_Input!AH218/Vintage_Input!R218,""))</f>
        <v/>
      </c>
      <c r="AA267" s="152">
        <f>IF($B267=1,$I$40,IF(N(Vintage_Input!S218)&gt;0,Vintage_Input!AI218/Vintage_Input!S218,""))</f>
        <v/>
      </c>
      <c r="AB267" s="152">
        <f>IF($B267=1,$B$41,IF(N(Vintage_Input!L218)&gt;0,Vintage_Input!AJ218/Vintage_Input!L218,""))</f>
        <v/>
      </c>
      <c r="AC267" s="152">
        <f>IF($B267=1,$C$41,IF(N(Vintage_Input!M218)&gt;0,Vintage_Input!AK218/Vintage_Input!M218,""))</f>
        <v/>
      </c>
      <c r="AD267" s="152">
        <f>IF($B267=1,$D$41,IF(N(Vintage_Input!N218)&gt;0,Vintage_Input!AL218/Vintage_Input!N218,""))</f>
        <v/>
      </c>
      <c r="AE267" s="152">
        <f>IF($B267=1,$E$41,IF(N(Vintage_Input!O218)&gt;0,Vintage_Input!AM218/Vintage_Input!O218,""))</f>
        <v/>
      </c>
      <c r="AF267" s="152">
        <f>IF($B267=1,$F$41,IF(N(Vintage_Input!P218)&gt;0,Vintage_Input!AN218/Vintage_Input!P218,""))</f>
        <v/>
      </c>
      <c r="AG267" s="152">
        <f>IF($B267=1,$G$41,IF(N(Vintage_Input!Q218)&gt;0,Vintage_Input!AO218/Vintage_Input!Q218,""))</f>
        <v/>
      </c>
      <c r="AH267" s="152">
        <f>IF($B267=1,$H$41,IF(N(Vintage_Input!R218)&gt;0,Vintage_Input!AP218/Vintage_Input!R218,""))</f>
        <v/>
      </c>
      <c r="AI267" s="152">
        <f>IF($B267=1,$I$41,IF(N(Vintage_Input!S218)&gt;0,Vintage_Input!AQ218/Vintage_Input!S218,""))</f>
        <v/>
      </c>
      <c r="AJ267" s="152">
        <f>IF($B267=1,$B$42,IF(N(Vintage_Input!L218)&gt;0,IFERROR(Vintage_Input!AR218/Vintage_Input!AJ218,""),""))</f>
        <v/>
      </c>
      <c r="AK267" s="152">
        <f>IF($B267=1,$C$42,IF(N(Vintage_Input!M218)&gt;0,IFERROR(Vintage_Input!AS218/Vintage_Input!AK218,""),""))</f>
        <v/>
      </c>
      <c r="AL267" s="152">
        <f>IF($B267=1,$D$42,IF(N(Vintage_Input!N218)&gt;0,IFERROR(Vintage_Input!AT218/Vintage_Input!AL218,""),""))</f>
        <v/>
      </c>
      <c r="AM267" s="152">
        <f>IF($B267=1,$E$42,IF(N(Vintage_Input!O218)&gt;0,IFERROR(Vintage_Input!AU218/Vintage_Input!AM218,""),""))</f>
        <v/>
      </c>
      <c r="AN267" s="152">
        <f>IF($B267=1,$F$42,IF(N(Vintage_Input!P218)&gt;0,IFERROR(Vintage_Input!AV218/Vintage_Input!AN218,""),""))</f>
        <v/>
      </c>
      <c r="AO267" s="152">
        <f>IF($B267=1,$G$42,IF(N(Vintage_Input!Q218)&gt;0,IFERROR(Vintage_Input!AW218/Vintage_Input!AO218,""),""))</f>
        <v/>
      </c>
      <c r="AP267" s="152">
        <f>IF($B267=1,$H$42,IF(N(Vintage_Input!R218)&gt;0,IFERROR(Vintage_Input!AX218/Vintage_Input!AP218,""),""))</f>
        <v/>
      </c>
      <c r="AQ267" s="152">
        <f>IF($B267=1,$I$42,IF(N(Vintage_Input!S218)&gt;0,IFERROR(Vintage_Input!AY218/Vintage_Input!AQ218,""),""))</f>
        <v/>
      </c>
      <c r="AR267" s="152">
        <f>IF($B267=1,$B$43,IF(N(Vintage_Input!L218)&gt;0,IFERROR(Vintage_Input!AZ218/$C267,""),""))</f>
        <v/>
      </c>
      <c r="AS267" s="152">
        <f>IF($B267=1,$C$43,IF(N(Vintage_Input!M218)&gt;0,IFERROR(Vintage_Input!BA218/$C267,""),""))</f>
        <v/>
      </c>
      <c r="AT267" s="152">
        <f>IF($B267=1,$D$43,IF(N(Vintage_Input!N218)&gt;0,IFERROR(Vintage_Input!BB218/$C267,""),""))</f>
        <v/>
      </c>
      <c r="AU267" s="152">
        <f>IF($B267=1,$E$43,IF(N(Vintage_Input!O218)&gt;0,IFERROR(Vintage_Input!BC218/$C267,""),""))</f>
        <v/>
      </c>
      <c r="AV267" s="152">
        <f>IF($B267=1,$F$43,IF(N(Vintage_Input!P218)&gt;0,IFERROR(Vintage_Input!BD218/$C267,""),""))</f>
        <v/>
      </c>
      <c r="AW267" s="152">
        <f>IF($B267=1,$G$43,IF(N(Vintage_Input!Q218)&gt;0,IFERROR(Vintage_Input!BE218/$C267,""),""))</f>
        <v/>
      </c>
      <c r="AX267" s="152">
        <f>IF($B267=1,$H$43,IF(N(Vintage_Input!R218)&gt;0,IFERROR(Vintage_Input!BF218/$C267,""),""))</f>
        <v/>
      </c>
      <c r="AY267" s="152">
        <f>IF($B267=1,$I$43,IF(N(Vintage_Input!S218)&gt;0,IFERROR(Vintage_Input!BG218/$C267,""),""))</f>
        <v/>
      </c>
      <c r="AZ267" s="153">
        <f>IF($B267=1,$B$44,IF(N(Vintage_Input!L218)&gt;0,IFERROR((Vintage_Input!D218+Vintage_Input!AR218)/$C267+Products!$F$14-(Products!$F$43+Products!$F$19+Products!$F$43*Products!$F$22+Products!$F$44),""),""))</f>
        <v/>
      </c>
      <c r="BA267" s="153">
        <f>IF($B267=1,$C$44,IF(N(Vintage_Input!M218)&gt;0,IFERROR((Vintage_Input!E218+Vintage_Input!AS218)/$C267+Products!$F$14-(Products!$F$43+Products!$F$19+Products!$F$43*Products!$F$22+Products!$F$44),""),""))</f>
        <v/>
      </c>
      <c r="BB267" s="153">
        <f>IF($B267=1,$D$44,IF(N(Vintage_Input!N218)&gt;0,IFERROR((Vintage_Input!F218+Vintage_Input!AT218)/$C267+Products!$F$14-(Products!$F$43+Products!$F$19+Products!$F$43*Products!$F$22+Products!$F$44),""),""))</f>
        <v/>
      </c>
      <c r="BC267" s="153">
        <f>IF($B267=1,$E$44,IF(N(Vintage_Input!O218)&gt;0,IFERROR((Vintage_Input!G218+Vintage_Input!AU218)/$C267+Products!$F$14-(Products!$F$43+Products!$F$19+Products!$F$43*Products!$F$22+Products!$F$44),""),""))</f>
        <v/>
      </c>
      <c r="BD267" s="153">
        <f>IF($B267=1,$F$44,IF(N(Vintage_Input!P218)&gt;0,IFERROR((Vintage_Input!H218+Vintage_Input!AV218)/$C267+Products!$F$14-(Products!$F$43+Products!$F$19+Products!$F$43*Products!$F$22+Products!$F$44),""),""))</f>
        <v/>
      </c>
      <c r="BE267" s="153">
        <f>IF($B267=1,$G$44,IF(N(Vintage_Input!Q218)&gt;0,IFERROR((Vintage_Input!I218+Vintage_Input!AW218)/$C267+Products!$F$14-(Products!$F$43+Products!$F$19+Products!$F$43*Products!$F$22+Products!$F$44),""),""))</f>
        <v/>
      </c>
      <c r="BF267" s="153">
        <f>IF($B267=1,$H$44,IF(N(Vintage_Input!R218)&gt;0,IFERROR((Vintage_Input!J218+Vintage_Input!AX218)/$C267+Products!$F$14-(Products!$F$43+Products!$F$19+Products!$F$43*Products!$F$22+Products!$F$44),""),""))</f>
        <v/>
      </c>
      <c r="BG267" s="153">
        <f>IF($B267=1,$I$44,IF(N(Vintage_Input!S218)&gt;0,IFERROR((Vintage_Input!K218+Vintage_Input!AY218)/$C267+Products!$F$14-(Products!$F$43+Products!$F$19+Products!$F$43*Products!$F$22+Products!$F$44),""),""))</f>
        <v/>
      </c>
      <c r="BH267" s="81">
        <f>IF($B267=1,0,IF(Vintage_Input!$BH$218="","",Vintage_Input!$BH$218))</f>
        <v/>
      </c>
    </row>
    <row r="268">
      <c r="A268" s="23" t="n">
        <v>16</v>
      </c>
      <c r="B268" s="48">
        <f>Vintage_Input!$B$219</f>
        <v/>
      </c>
      <c r="C268" s="41">
        <f>IF(Vintage_Input!$C$219="",0,Vintage_Input!$C$219)</f>
        <v/>
      </c>
      <c r="D268" s="152">
        <f>IF($B268=1,$B$38,IF(N(Vintage_Input!L219)&gt;0,Vintage_Input!D219/Vintage_Input!L219,""))</f>
        <v/>
      </c>
      <c r="E268" s="152">
        <f>IF($B268=1,$C$38,IF(N(Vintage_Input!M219)&gt;0,Vintage_Input!E219/Vintage_Input!M219,""))</f>
        <v/>
      </c>
      <c r="F268" s="152">
        <f>IF($B268=1,$D$38,IF(N(Vintage_Input!N219)&gt;0,Vintage_Input!F219/Vintage_Input!N219,""))</f>
        <v/>
      </c>
      <c r="G268" s="152">
        <f>IF($B268=1,$E$38,IF(N(Vintage_Input!O219)&gt;0,Vintage_Input!G219/Vintage_Input!O219,""))</f>
        <v/>
      </c>
      <c r="H268" s="152">
        <f>IF($B268=1,$F$38,IF(N(Vintage_Input!P219)&gt;0,Vintage_Input!H219/Vintage_Input!P219,""))</f>
        <v/>
      </c>
      <c r="I268" s="152">
        <f>IF($B268=1,$G$38,IF(N(Vintage_Input!Q219)&gt;0,Vintage_Input!I219/Vintage_Input!Q219,""))</f>
        <v/>
      </c>
      <c r="J268" s="152">
        <f>IF($B268=1,$H$38,IF(N(Vintage_Input!R219)&gt;0,Vintage_Input!J219/Vintage_Input!R219,""))</f>
        <v/>
      </c>
      <c r="K268" s="152">
        <f>IF($B268=1,$I$38,IF(N(Vintage_Input!S219)&gt;0,Vintage_Input!K219/Vintage_Input!S219,""))</f>
        <v/>
      </c>
      <c r="L268" s="152">
        <f>IF($B268=1,$B$39,IF(N(Vintage_Input!L219)&gt;0,Vintage_Input!T219/Vintage_Input!L219,""))</f>
        <v/>
      </c>
      <c r="M268" s="152">
        <f>IF($B268=1,$C$39,IF(N(Vintage_Input!M219)&gt;0,Vintage_Input!U219/Vintage_Input!M219,""))</f>
        <v/>
      </c>
      <c r="N268" s="152">
        <f>IF($B268=1,$D$39,IF(N(Vintage_Input!N219)&gt;0,Vintage_Input!V219/Vintage_Input!N219,""))</f>
        <v/>
      </c>
      <c r="O268" s="152">
        <f>IF($B268=1,$E$39,IF(N(Vintage_Input!O219)&gt;0,Vintage_Input!W219/Vintage_Input!O219,""))</f>
        <v/>
      </c>
      <c r="P268" s="152">
        <f>IF($B268=1,$F$39,IF(N(Vintage_Input!P219)&gt;0,Vintage_Input!X219/Vintage_Input!P219,""))</f>
        <v/>
      </c>
      <c r="Q268" s="152">
        <f>IF($B268=1,$G$39,IF(N(Vintage_Input!Q219)&gt;0,Vintage_Input!Y219/Vintage_Input!Q219,""))</f>
        <v/>
      </c>
      <c r="R268" s="152">
        <f>IF($B268=1,$H$39,IF(N(Vintage_Input!R219)&gt;0,Vintage_Input!Z219/Vintage_Input!R219,""))</f>
        <v/>
      </c>
      <c r="S268" s="152">
        <f>IF($B268=1,$I$39,IF(N(Vintage_Input!S219)&gt;0,Vintage_Input!AA219/Vintage_Input!S219,""))</f>
        <v/>
      </c>
      <c r="T268" s="152">
        <f>IF($B268=1,$B$40,IF(N(Vintage_Input!L219)&gt;0,Vintage_Input!AB219/Vintage_Input!L219,""))</f>
        <v/>
      </c>
      <c r="U268" s="152">
        <f>IF($B268=1,$C$40,IF(N(Vintage_Input!M219)&gt;0,Vintage_Input!AC219/Vintage_Input!M219,""))</f>
        <v/>
      </c>
      <c r="V268" s="152">
        <f>IF($B268=1,$D$40,IF(N(Vintage_Input!N219)&gt;0,Vintage_Input!AD219/Vintage_Input!N219,""))</f>
        <v/>
      </c>
      <c r="W268" s="152">
        <f>IF($B268=1,$E$40,IF(N(Vintage_Input!O219)&gt;0,Vintage_Input!AE219/Vintage_Input!O219,""))</f>
        <v/>
      </c>
      <c r="X268" s="152">
        <f>IF($B268=1,$F$40,IF(N(Vintage_Input!P219)&gt;0,Vintage_Input!AF219/Vintage_Input!P219,""))</f>
        <v/>
      </c>
      <c r="Y268" s="152">
        <f>IF($B268=1,$G$40,IF(N(Vintage_Input!Q219)&gt;0,Vintage_Input!AG219/Vintage_Input!Q219,""))</f>
        <v/>
      </c>
      <c r="Z268" s="152">
        <f>IF($B268=1,$H$40,IF(N(Vintage_Input!R219)&gt;0,Vintage_Input!AH219/Vintage_Input!R219,""))</f>
        <v/>
      </c>
      <c r="AA268" s="152">
        <f>IF($B268=1,$I$40,IF(N(Vintage_Input!S219)&gt;0,Vintage_Input!AI219/Vintage_Input!S219,""))</f>
        <v/>
      </c>
      <c r="AB268" s="152">
        <f>IF($B268=1,$B$41,IF(N(Vintage_Input!L219)&gt;0,Vintage_Input!AJ219/Vintage_Input!L219,""))</f>
        <v/>
      </c>
      <c r="AC268" s="152">
        <f>IF($B268=1,$C$41,IF(N(Vintage_Input!M219)&gt;0,Vintage_Input!AK219/Vintage_Input!M219,""))</f>
        <v/>
      </c>
      <c r="AD268" s="152">
        <f>IF($B268=1,$D$41,IF(N(Vintage_Input!N219)&gt;0,Vintage_Input!AL219/Vintage_Input!N219,""))</f>
        <v/>
      </c>
      <c r="AE268" s="152">
        <f>IF($B268=1,$E$41,IF(N(Vintage_Input!O219)&gt;0,Vintage_Input!AM219/Vintage_Input!O219,""))</f>
        <v/>
      </c>
      <c r="AF268" s="152">
        <f>IF($B268=1,$F$41,IF(N(Vintage_Input!P219)&gt;0,Vintage_Input!AN219/Vintage_Input!P219,""))</f>
        <v/>
      </c>
      <c r="AG268" s="152">
        <f>IF($B268=1,$G$41,IF(N(Vintage_Input!Q219)&gt;0,Vintage_Input!AO219/Vintage_Input!Q219,""))</f>
        <v/>
      </c>
      <c r="AH268" s="152">
        <f>IF($B268=1,$H$41,IF(N(Vintage_Input!R219)&gt;0,Vintage_Input!AP219/Vintage_Input!R219,""))</f>
        <v/>
      </c>
      <c r="AI268" s="152">
        <f>IF($B268=1,$I$41,IF(N(Vintage_Input!S219)&gt;0,Vintage_Input!AQ219/Vintage_Input!S219,""))</f>
        <v/>
      </c>
      <c r="AJ268" s="152">
        <f>IF($B268=1,$B$42,IF(N(Vintage_Input!L219)&gt;0,IFERROR(Vintage_Input!AR219/Vintage_Input!AJ219,""),""))</f>
        <v/>
      </c>
      <c r="AK268" s="152">
        <f>IF($B268=1,$C$42,IF(N(Vintage_Input!M219)&gt;0,IFERROR(Vintage_Input!AS219/Vintage_Input!AK219,""),""))</f>
        <v/>
      </c>
      <c r="AL268" s="152">
        <f>IF($B268=1,$D$42,IF(N(Vintage_Input!N219)&gt;0,IFERROR(Vintage_Input!AT219/Vintage_Input!AL219,""),""))</f>
        <v/>
      </c>
      <c r="AM268" s="152">
        <f>IF($B268=1,$E$42,IF(N(Vintage_Input!O219)&gt;0,IFERROR(Vintage_Input!AU219/Vintage_Input!AM219,""),""))</f>
        <v/>
      </c>
      <c r="AN268" s="152">
        <f>IF($B268=1,$F$42,IF(N(Vintage_Input!P219)&gt;0,IFERROR(Vintage_Input!AV219/Vintage_Input!AN219,""),""))</f>
        <v/>
      </c>
      <c r="AO268" s="152">
        <f>IF($B268=1,$G$42,IF(N(Vintage_Input!Q219)&gt;0,IFERROR(Vintage_Input!AW219/Vintage_Input!AO219,""),""))</f>
        <v/>
      </c>
      <c r="AP268" s="152">
        <f>IF($B268=1,$H$42,IF(N(Vintage_Input!R219)&gt;0,IFERROR(Vintage_Input!AX219/Vintage_Input!AP219,""),""))</f>
        <v/>
      </c>
      <c r="AQ268" s="152">
        <f>IF($B268=1,$I$42,IF(N(Vintage_Input!S219)&gt;0,IFERROR(Vintage_Input!AY219/Vintage_Input!AQ219,""),""))</f>
        <v/>
      </c>
      <c r="AR268" s="152">
        <f>IF($B268=1,$B$43,IF(N(Vintage_Input!L219)&gt;0,IFERROR(Vintage_Input!AZ219/$C268,""),""))</f>
        <v/>
      </c>
      <c r="AS268" s="152">
        <f>IF($B268=1,$C$43,IF(N(Vintage_Input!M219)&gt;0,IFERROR(Vintage_Input!BA219/$C268,""),""))</f>
        <v/>
      </c>
      <c r="AT268" s="152">
        <f>IF($B268=1,$D$43,IF(N(Vintage_Input!N219)&gt;0,IFERROR(Vintage_Input!BB219/$C268,""),""))</f>
        <v/>
      </c>
      <c r="AU268" s="152">
        <f>IF($B268=1,$E$43,IF(N(Vintage_Input!O219)&gt;0,IFERROR(Vintage_Input!BC219/$C268,""),""))</f>
        <v/>
      </c>
      <c r="AV268" s="152">
        <f>IF($B268=1,$F$43,IF(N(Vintage_Input!P219)&gt;0,IFERROR(Vintage_Input!BD219/$C268,""),""))</f>
        <v/>
      </c>
      <c r="AW268" s="152">
        <f>IF($B268=1,$G$43,IF(N(Vintage_Input!Q219)&gt;0,IFERROR(Vintage_Input!BE219/$C268,""),""))</f>
        <v/>
      </c>
      <c r="AX268" s="152">
        <f>IF($B268=1,$H$43,IF(N(Vintage_Input!R219)&gt;0,IFERROR(Vintage_Input!BF219/$C268,""),""))</f>
        <v/>
      </c>
      <c r="AY268" s="152">
        <f>IF($B268=1,$I$43,IF(N(Vintage_Input!S219)&gt;0,IFERROR(Vintage_Input!BG219/$C268,""),""))</f>
        <v/>
      </c>
      <c r="AZ268" s="153">
        <f>IF($B268=1,$B$44,IF(N(Vintage_Input!L219)&gt;0,IFERROR((Vintage_Input!D219+Vintage_Input!AR219)/$C268+Products!$F$14-(Products!$F$43+Products!$F$19+Products!$F$43*Products!$F$22+Products!$F$44),""),""))</f>
        <v/>
      </c>
      <c r="BA268" s="153">
        <f>IF($B268=1,$C$44,IF(N(Vintage_Input!M219)&gt;0,IFERROR((Vintage_Input!E219+Vintage_Input!AS219)/$C268+Products!$F$14-(Products!$F$43+Products!$F$19+Products!$F$43*Products!$F$22+Products!$F$44),""),""))</f>
        <v/>
      </c>
      <c r="BB268" s="153">
        <f>IF($B268=1,$D$44,IF(N(Vintage_Input!N219)&gt;0,IFERROR((Vintage_Input!F219+Vintage_Input!AT219)/$C268+Products!$F$14-(Products!$F$43+Products!$F$19+Products!$F$43*Products!$F$22+Products!$F$44),""),""))</f>
        <v/>
      </c>
      <c r="BC268" s="153">
        <f>IF($B268=1,$E$44,IF(N(Vintage_Input!O219)&gt;0,IFERROR((Vintage_Input!G219+Vintage_Input!AU219)/$C268+Products!$F$14-(Products!$F$43+Products!$F$19+Products!$F$43*Products!$F$22+Products!$F$44),""),""))</f>
        <v/>
      </c>
      <c r="BD268" s="153">
        <f>IF($B268=1,$F$44,IF(N(Vintage_Input!P219)&gt;0,IFERROR((Vintage_Input!H219+Vintage_Input!AV219)/$C268+Products!$F$14-(Products!$F$43+Products!$F$19+Products!$F$43*Products!$F$22+Products!$F$44),""),""))</f>
        <v/>
      </c>
      <c r="BE268" s="153">
        <f>IF($B268=1,$G$44,IF(N(Vintage_Input!Q219)&gt;0,IFERROR((Vintage_Input!I219+Vintage_Input!AW219)/$C268+Products!$F$14-(Products!$F$43+Products!$F$19+Products!$F$43*Products!$F$22+Products!$F$44),""),""))</f>
        <v/>
      </c>
      <c r="BF268" s="153">
        <f>IF($B268=1,$H$44,IF(N(Vintage_Input!R219)&gt;0,IFERROR((Vintage_Input!J219+Vintage_Input!AX219)/$C268+Products!$F$14-(Products!$F$43+Products!$F$19+Products!$F$43*Products!$F$22+Products!$F$44),""),""))</f>
        <v/>
      </c>
      <c r="BG268" s="153">
        <f>IF($B268=1,$I$44,IF(N(Vintage_Input!S219)&gt;0,IFERROR((Vintage_Input!K219+Vintage_Input!AY219)/$C268+Products!$F$14-(Products!$F$43+Products!$F$19+Products!$F$43*Products!$F$22+Products!$F$44),""),""))</f>
        <v/>
      </c>
      <c r="BH268" s="81">
        <f>IF($B268=1,0,IF(Vintage_Input!$BH$219="","",Vintage_Input!$BH$219))</f>
        <v/>
      </c>
    </row>
    <row r="269">
      <c r="A269" s="23" t="n">
        <v>17</v>
      </c>
      <c r="B269" s="48">
        <f>Vintage_Input!$B$220</f>
        <v/>
      </c>
      <c r="C269" s="41">
        <f>IF(Vintage_Input!$C$220="",0,Vintage_Input!$C$220)</f>
        <v/>
      </c>
      <c r="D269" s="152">
        <f>IF($B269=1,$B$38,IF(N(Vintage_Input!L220)&gt;0,Vintage_Input!D220/Vintage_Input!L220,""))</f>
        <v/>
      </c>
      <c r="E269" s="152">
        <f>IF($B269=1,$C$38,IF(N(Vintage_Input!M220)&gt;0,Vintage_Input!E220/Vintage_Input!M220,""))</f>
        <v/>
      </c>
      <c r="F269" s="152">
        <f>IF($B269=1,$D$38,IF(N(Vintage_Input!N220)&gt;0,Vintage_Input!F220/Vintage_Input!N220,""))</f>
        <v/>
      </c>
      <c r="G269" s="152">
        <f>IF($B269=1,$E$38,IF(N(Vintage_Input!O220)&gt;0,Vintage_Input!G220/Vintage_Input!O220,""))</f>
        <v/>
      </c>
      <c r="H269" s="152">
        <f>IF($B269=1,$F$38,IF(N(Vintage_Input!P220)&gt;0,Vintage_Input!H220/Vintage_Input!P220,""))</f>
        <v/>
      </c>
      <c r="I269" s="152">
        <f>IF($B269=1,$G$38,IF(N(Vintage_Input!Q220)&gt;0,Vintage_Input!I220/Vintage_Input!Q220,""))</f>
        <v/>
      </c>
      <c r="J269" s="152">
        <f>IF($B269=1,$H$38,IF(N(Vintage_Input!R220)&gt;0,Vintage_Input!J220/Vintage_Input!R220,""))</f>
        <v/>
      </c>
      <c r="K269" s="152">
        <f>IF($B269=1,$I$38,IF(N(Vintage_Input!S220)&gt;0,Vintage_Input!K220/Vintage_Input!S220,""))</f>
        <v/>
      </c>
      <c r="L269" s="152">
        <f>IF($B269=1,$B$39,IF(N(Vintage_Input!L220)&gt;0,Vintage_Input!T220/Vintage_Input!L220,""))</f>
        <v/>
      </c>
      <c r="M269" s="152">
        <f>IF($B269=1,$C$39,IF(N(Vintage_Input!M220)&gt;0,Vintage_Input!U220/Vintage_Input!M220,""))</f>
        <v/>
      </c>
      <c r="N269" s="152">
        <f>IF($B269=1,$D$39,IF(N(Vintage_Input!N220)&gt;0,Vintage_Input!V220/Vintage_Input!N220,""))</f>
        <v/>
      </c>
      <c r="O269" s="152">
        <f>IF($B269=1,$E$39,IF(N(Vintage_Input!O220)&gt;0,Vintage_Input!W220/Vintage_Input!O220,""))</f>
        <v/>
      </c>
      <c r="P269" s="152">
        <f>IF($B269=1,$F$39,IF(N(Vintage_Input!P220)&gt;0,Vintage_Input!X220/Vintage_Input!P220,""))</f>
        <v/>
      </c>
      <c r="Q269" s="152">
        <f>IF($B269=1,$G$39,IF(N(Vintage_Input!Q220)&gt;0,Vintage_Input!Y220/Vintage_Input!Q220,""))</f>
        <v/>
      </c>
      <c r="R269" s="152">
        <f>IF($B269=1,$H$39,IF(N(Vintage_Input!R220)&gt;0,Vintage_Input!Z220/Vintage_Input!R220,""))</f>
        <v/>
      </c>
      <c r="S269" s="152">
        <f>IF($B269=1,$I$39,IF(N(Vintage_Input!S220)&gt;0,Vintage_Input!AA220/Vintage_Input!S220,""))</f>
        <v/>
      </c>
      <c r="T269" s="152">
        <f>IF($B269=1,$B$40,IF(N(Vintage_Input!L220)&gt;0,Vintage_Input!AB220/Vintage_Input!L220,""))</f>
        <v/>
      </c>
      <c r="U269" s="152">
        <f>IF($B269=1,$C$40,IF(N(Vintage_Input!M220)&gt;0,Vintage_Input!AC220/Vintage_Input!M220,""))</f>
        <v/>
      </c>
      <c r="V269" s="152">
        <f>IF($B269=1,$D$40,IF(N(Vintage_Input!N220)&gt;0,Vintage_Input!AD220/Vintage_Input!N220,""))</f>
        <v/>
      </c>
      <c r="W269" s="152">
        <f>IF($B269=1,$E$40,IF(N(Vintage_Input!O220)&gt;0,Vintage_Input!AE220/Vintage_Input!O220,""))</f>
        <v/>
      </c>
      <c r="X269" s="152">
        <f>IF($B269=1,$F$40,IF(N(Vintage_Input!P220)&gt;0,Vintage_Input!AF220/Vintage_Input!P220,""))</f>
        <v/>
      </c>
      <c r="Y269" s="152">
        <f>IF($B269=1,$G$40,IF(N(Vintage_Input!Q220)&gt;0,Vintage_Input!AG220/Vintage_Input!Q220,""))</f>
        <v/>
      </c>
      <c r="Z269" s="152">
        <f>IF($B269=1,$H$40,IF(N(Vintage_Input!R220)&gt;0,Vintage_Input!AH220/Vintage_Input!R220,""))</f>
        <v/>
      </c>
      <c r="AA269" s="152">
        <f>IF($B269=1,$I$40,IF(N(Vintage_Input!S220)&gt;0,Vintage_Input!AI220/Vintage_Input!S220,""))</f>
        <v/>
      </c>
      <c r="AB269" s="152">
        <f>IF($B269=1,$B$41,IF(N(Vintage_Input!L220)&gt;0,Vintage_Input!AJ220/Vintage_Input!L220,""))</f>
        <v/>
      </c>
      <c r="AC269" s="152">
        <f>IF($B269=1,$C$41,IF(N(Vintage_Input!M220)&gt;0,Vintage_Input!AK220/Vintage_Input!M220,""))</f>
        <v/>
      </c>
      <c r="AD269" s="152">
        <f>IF($B269=1,$D$41,IF(N(Vintage_Input!N220)&gt;0,Vintage_Input!AL220/Vintage_Input!N220,""))</f>
        <v/>
      </c>
      <c r="AE269" s="152">
        <f>IF($B269=1,$E$41,IF(N(Vintage_Input!O220)&gt;0,Vintage_Input!AM220/Vintage_Input!O220,""))</f>
        <v/>
      </c>
      <c r="AF269" s="152">
        <f>IF($B269=1,$F$41,IF(N(Vintage_Input!P220)&gt;0,Vintage_Input!AN220/Vintage_Input!P220,""))</f>
        <v/>
      </c>
      <c r="AG269" s="152">
        <f>IF($B269=1,$G$41,IF(N(Vintage_Input!Q220)&gt;0,Vintage_Input!AO220/Vintage_Input!Q220,""))</f>
        <v/>
      </c>
      <c r="AH269" s="152">
        <f>IF($B269=1,$H$41,IF(N(Vintage_Input!R220)&gt;0,Vintage_Input!AP220/Vintage_Input!R220,""))</f>
        <v/>
      </c>
      <c r="AI269" s="152">
        <f>IF($B269=1,$I$41,IF(N(Vintage_Input!S220)&gt;0,Vintage_Input!AQ220/Vintage_Input!S220,""))</f>
        <v/>
      </c>
      <c r="AJ269" s="152">
        <f>IF($B269=1,$B$42,IF(N(Vintage_Input!L220)&gt;0,IFERROR(Vintage_Input!AR220/Vintage_Input!AJ220,""),""))</f>
        <v/>
      </c>
      <c r="AK269" s="152">
        <f>IF($B269=1,$C$42,IF(N(Vintage_Input!M220)&gt;0,IFERROR(Vintage_Input!AS220/Vintage_Input!AK220,""),""))</f>
        <v/>
      </c>
      <c r="AL269" s="152">
        <f>IF($B269=1,$D$42,IF(N(Vintage_Input!N220)&gt;0,IFERROR(Vintage_Input!AT220/Vintage_Input!AL220,""),""))</f>
        <v/>
      </c>
      <c r="AM269" s="152">
        <f>IF($B269=1,$E$42,IF(N(Vintage_Input!O220)&gt;0,IFERROR(Vintage_Input!AU220/Vintage_Input!AM220,""),""))</f>
        <v/>
      </c>
      <c r="AN269" s="152">
        <f>IF($B269=1,$F$42,IF(N(Vintage_Input!P220)&gt;0,IFERROR(Vintage_Input!AV220/Vintage_Input!AN220,""),""))</f>
        <v/>
      </c>
      <c r="AO269" s="152">
        <f>IF($B269=1,$G$42,IF(N(Vintage_Input!Q220)&gt;0,IFERROR(Vintage_Input!AW220/Vintage_Input!AO220,""),""))</f>
        <v/>
      </c>
      <c r="AP269" s="152">
        <f>IF($B269=1,$H$42,IF(N(Vintage_Input!R220)&gt;0,IFERROR(Vintage_Input!AX220/Vintage_Input!AP220,""),""))</f>
        <v/>
      </c>
      <c r="AQ269" s="152">
        <f>IF($B269=1,$I$42,IF(N(Vintage_Input!S220)&gt;0,IFERROR(Vintage_Input!AY220/Vintage_Input!AQ220,""),""))</f>
        <v/>
      </c>
      <c r="AR269" s="152">
        <f>IF($B269=1,$B$43,IF(N(Vintage_Input!L220)&gt;0,IFERROR(Vintage_Input!AZ220/$C269,""),""))</f>
        <v/>
      </c>
      <c r="AS269" s="152">
        <f>IF($B269=1,$C$43,IF(N(Vintage_Input!M220)&gt;0,IFERROR(Vintage_Input!BA220/$C269,""),""))</f>
        <v/>
      </c>
      <c r="AT269" s="152">
        <f>IF($B269=1,$D$43,IF(N(Vintage_Input!N220)&gt;0,IFERROR(Vintage_Input!BB220/$C269,""),""))</f>
        <v/>
      </c>
      <c r="AU269" s="152">
        <f>IF($B269=1,$E$43,IF(N(Vintage_Input!O220)&gt;0,IFERROR(Vintage_Input!BC220/$C269,""),""))</f>
        <v/>
      </c>
      <c r="AV269" s="152">
        <f>IF($B269=1,$F$43,IF(N(Vintage_Input!P220)&gt;0,IFERROR(Vintage_Input!BD220/$C269,""),""))</f>
        <v/>
      </c>
      <c r="AW269" s="152">
        <f>IF($B269=1,$G$43,IF(N(Vintage_Input!Q220)&gt;0,IFERROR(Vintage_Input!BE220/$C269,""),""))</f>
        <v/>
      </c>
      <c r="AX269" s="152">
        <f>IF($B269=1,$H$43,IF(N(Vintage_Input!R220)&gt;0,IFERROR(Vintage_Input!BF220/$C269,""),""))</f>
        <v/>
      </c>
      <c r="AY269" s="152">
        <f>IF($B269=1,$I$43,IF(N(Vintage_Input!S220)&gt;0,IFERROR(Vintage_Input!BG220/$C269,""),""))</f>
        <v/>
      </c>
      <c r="AZ269" s="153">
        <f>IF($B269=1,$B$44,IF(N(Vintage_Input!L220)&gt;0,IFERROR((Vintage_Input!D220+Vintage_Input!AR220)/$C269+Products!$F$14-(Products!$F$43+Products!$F$19+Products!$F$43*Products!$F$22+Products!$F$44),""),""))</f>
        <v/>
      </c>
      <c r="BA269" s="153">
        <f>IF($B269=1,$C$44,IF(N(Vintage_Input!M220)&gt;0,IFERROR((Vintage_Input!E220+Vintage_Input!AS220)/$C269+Products!$F$14-(Products!$F$43+Products!$F$19+Products!$F$43*Products!$F$22+Products!$F$44),""),""))</f>
        <v/>
      </c>
      <c r="BB269" s="153">
        <f>IF($B269=1,$D$44,IF(N(Vintage_Input!N220)&gt;0,IFERROR((Vintage_Input!F220+Vintage_Input!AT220)/$C269+Products!$F$14-(Products!$F$43+Products!$F$19+Products!$F$43*Products!$F$22+Products!$F$44),""),""))</f>
        <v/>
      </c>
      <c r="BC269" s="153">
        <f>IF($B269=1,$E$44,IF(N(Vintage_Input!O220)&gt;0,IFERROR((Vintage_Input!G220+Vintage_Input!AU220)/$C269+Products!$F$14-(Products!$F$43+Products!$F$19+Products!$F$43*Products!$F$22+Products!$F$44),""),""))</f>
        <v/>
      </c>
      <c r="BD269" s="153">
        <f>IF($B269=1,$F$44,IF(N(Vintage_Input!P220)&gt;0,IFERROR((Vintage_Input!H220+Vintage_Input!AV220)/$C269+Products!$F$14-(Products!$F$43+Products!$F$19+Products!$F$43*Products!$F$22+Products!$F$44),""),""))</f>
        <v/>
      </c>
      <c r="BE269" s="153">
        <f>IF($B269=1,$G$44,IF(N(Vintage_Input!Q220)&gt;0,IFERROR((Vintage_Input!I220+Vintage_Input!AW220)/$C269+Products!$F$14-(Products!$F$43+Products!$F$19+Products!$F$43*Products!$F$22+Products!$F$44),""),""))</f>
        <v/>
      </c>
      <c r="BF269" s="153">
        <f>IF($B269=1,$H$44,IF(N(Vintage_Input!R220)&gt;0,IFERROR((Vintage_Input!J220+Vintage_Input!AX220)/$C269+Products!$F$14-(Products!$F$43+Products!$F$19+Products!$F$43*Products!$F$22+Products!$F$44),""),""))</f>
        <v/>
      </c>
      <c r="BG269" s="153">
        <f>IF($B269=1,$I$44,IF(N(Vintage_Input!S220)&gt;0,IFERROR((Vintage_Input!K220+Vintage_Input!AY220)/$C269+Products!$F$14-(Products!$F$43+Products!$F$19+Products!$F$43*Products!$F$22+Products!$F$44),""),""))</f>
        <v/>
      </c>
      <c r="BH269" s="81">
        <f>IF($B269=1,0,IF(Vintage_Input!$BH$220="","",Vintage_Input!$BH$220))</f>
        <v/>
      </c>
    </row>
    <row r="270">
      <c r="A270" s="23" t="n">
        <v>18</v>
      </c>
      <c r="B270" s="48">
        <f>Vintage_Input!$B$221</f>
        <v/>
      </c>
      <c r="C270" s="41">
        <f>IF(Vintage_Input!$C$221="",0,Vintage_Input!$C$221)</f>
        <v/>
      </c>
      <c r="D270" s="152">
        <f>IF($B270=1,$B$38,IF(N(Vintage_Input!L221)&gt;0,Vintage_Input!D221/Vintage_Input!L221,""))</f>
        <v/>
      </c>
      <c r="E270" s="152">
        <f>IF($B270=1,$C$38,IF(N(Vintage_Input!M221)&gt;0,Vintage_Input!E221/Vintage_Input!M221,""))</f>
        <v/>
      </c>
      <c r="F270" s="152">
        <f>IF($B270=1,$D$38,IF(N(Vintage_Input!N221)&gt;0,Vintage_Input!F221/Vintage_Input!N221,""))</f>
        <v/>
      </c>
      <c r="G270" s="152">
        <f>IF($B270=1,$E$38,IF(N(Vintage_Input!O221)&gt;0,Vintage_Input!G221/Vintage_Input!O221,""))</f>
        <v/>
      </c>
      <c r="H270" s="152">
        <f>IF($B270=1,$F$38,IF(N(Vintage_Input!P221)&gt;0,Vintage_Input!H221/Vintage_Input!P221,""))</f>
        <v/>
      </c>
      <c r="I270" s="152">
        <f>IF($B270=1,$G$38,IF(N(Vintage_Input!Q221)&gt;0,Vintage_Input!I221/Vintage_Input!Q221,""))</f>
        <v/>
      </c>
      <c r="J270" s="152">
        <f>IF($B270=1,$H$38,IF(N(Vintage_Input!R221)&gt;0,Vintage_Input!J221/Vintage_Input!R221,""))</f>
        <v/>
      </c>
      <c r="K270" s="152">
        <f>IF($B270=1,$I$38,IF(N(Vintage_Input!S221)&gt;0,Vintage_Input!K221/Vintage_Input!S221,""))</f>
        <v/>
      </c>
      <c r="L270" s="152">
        <f>IF($B270=1,$B$39,IF(N(Vintage_Input!L221)&gt;0,Vintage_Input!T221/Vintage_Input!L221,""))</f>
        <v/>
      </c>
      <c r="M270" s="152">
        <f>IF($B270=1,$C$39,IF(N(Vintage_Input!M221)&gt;0,Vintage_Input!U221/Vintage_Input!M221,""))</f>
        <v/>
      </c>
      <c r="N270" s="152">
        <f>IF($B270=1,$D$39,IF(N(Vintage_Input!N221)&gt;0,Vintage_Input!V221/Vintage_Input!N221,""))</f>
        <v/>
      </c>
      <c r="O270" s="152">
        <f>IF($B270=1,$E$39,IF(N(Vintage_Input!O221)&gt;0,Vintage_Input!W221/Vintage_Input!O221,""))</f>
        <v/>
      </c>
      <c r="P270" s="152">
        <f>IF($B270=1,$F$39,IF(N(Vintage_Input!P221)&gt;0,Vintage_Input!X221/Vintage_Input!P221,""))</f>
        <v/>
      </c>
      <c r="Q270" s="152">
        <f>IF($B270=1,$G$39,IF(N(Vintage_Input!Q221)&gt;0,Vintage_Input!Y221/Vintage_Input!Q221,""))</f>
        <v/>
      </c>
      <c r="R270" s="152">
        <f>IF($B270=1,$H$39,IF(N(Vintage_Input!R221)&gt;0,Vintage_Input!Z221/Vintage_Input!R221,""))</f>
        <v/>
      </c>
      <c r="S270" s="152">
        <f>IF($B270=1,$I$39,IF(N(Vintage_Input!S221)&gt;0,Vintage_Input!AA221/Vintage_Input!S221,""))</f>
        <v/>
      </c>
      <c r="T270" s="152">
        <f>IF($B270=1,$B$40,IF(N(Vintage_Input!L221)&gt;0,Vintage_Input!AB221/Vintage_Input!L221,""))</f>
        <v/>
      </c>
      <c r="U270" s="152">
        <f>IF($B270=1,$C$40,IF(N(Vintage_Input!M221)&gt;0,Vintage_Input!AC221/Vintage_Input!M221,""))</f>
        <v/>
      </c>
      <c r="V270" s="152">
        <f>IF($B270=1,$D$40,IF(N(Vintage_Input!N221)&gt;0,Vintage_Input!AD221/Vintage_Input!N221,""))</f>
        <v/>
      </c>
      <c r="W270" s="152">
        <f>IF($B270=1,$E$40,IF(N(Vintage_Input!O221)&gt;0,Vintage_Input!AE221/Vintage_Input!O221,""))</f>
        <v/>
      </c>
      <c r="X270" s="152">
        <f>IF($B270=1,$F$40,IF(N(Vintage_Input!P221)&gt;0,Vintage_Input!AF221/Vintage_Input!P221,""))</f>
        <v/>
      </c>
      <c r="Y270" s="152">
        <f>IF($B270=1,$G$40,IF(N(Vintage_Input!Q221)&gt;0,Vintage_Input!AG221/Vintage_Input!Q221,""))</f>
        <v/>
      </c>
      <c r="Z270" s="152">
        <f>IF($B270=1,$H$40,IF(N(Vintage_Input!R221)&gt;0,Vintage_Input!AH221/Vintage_Input!R221,""))</f>
        <v/>
      </c>
      <c r="AA270" s="152">
        <f>IF($B270=1,$I$40,IF(N(Vintage_Input!S221)&gt;0,Vintage_Input!AI221/Vintage_Input!S221,""))</f>
        <v/>
      </c>
      <c r="AB270" s="152">
        <f>IF($B270=1,$B$41,IF(N(Vintage_Input!L221)&gt;0,Vintage_Input!AJ221/Vintage_Input!L221,""))</f>
        <v/>
      </c>
      <c r="AC270" s="152">
        <f>IF($B270=1,$C$41,IF(N(Vintage_Input!M221)&gt;0,Vintage_Input!AK221/Vintage_Input!M221,""))</f>
        <v/>
      </c>
      <c r="AD270" s="152">
        <f>IF($B270=1,$D$41,IF(N(Vintage_Input!N221)&gt;0,Vintage_Input!AL221/Vintage_Input!N221,""))</f>
        <v/>
      </c>
      <c r="AE270" s="152">
        <f>IF($B270=1,$E$41,IF(N(Vintage_Input!O221)&gt;0,Vintage_Input!AM221/Vintage_Input!O221,""))</f>
        <v/>
      </c>
      <c r="AF270" s="152">
        <f>IF($B270=1,$F$41,IF(N(Vintage_Input!P221)&gt;0,Vintage_Input!AN221/Vintage_Input!P221,""))</f>
        <v/>
      </c>
      <c r="AG270" s="152">
        <f>IF($B270=1,$G$41,IF(N(Vintage_Input!Q221)&gt;0,Vintage_Input!AO221/Vintage_Input!Q221,""))</f>
        <v/>
      </c>
      <c r="AH270" s="152">
        <f>IF($B270=1,$H$41,IF(N(Vintage_Input!R221)&gt;0,Vintage_Input!AP221/Vintage_Input!R221,""))</f>
        <v/>
      </c>
      <c r="AI270" s="152">
        <f>IF($B270=1,$I$41,IF(N(Vintage_Input!S221)&gt;0,Vintage_Input!AQ221/Vintage_Input!S221,""))</f>
        <v/>
      </c>
      <c r="AJ270" s="152">
        <f>IF($B270=1,$B$42,IF(N(Vintage_Input!L221)&gt;0,IFERROR(Vintage_Input!AR221/Vintage_Input!AJ221,""),""))</f>
        <v/>
      </c>
      <c r="AK270" s="152">
        <f>IF($B270=1,$C$42,IF(N(Vintage_Input!M221)&gt;0,IFERROR(Vintage_Input!AS221/Vintage_Input!AK221,""),""))</f>
        <v/>
      </c>
      <c r="AL270" s="152">
        <f>IF($B270=1,$D$42,IF(N(Vintage_Input!N221)&gt;0,IFERROR(Vintage_Input!AT221/Vintage_Input!AL221,""),""))</f>
        <v/>
      </c>
      <c r="AM270" s="152">
        <f>IF($B270=1,$E$42,IF(N(Vintage_Input!O221)&gt;0,IFERROR(Vintage_Input!AU221/Vintage_Input!AM221,""),""))</f>
        <v/>
      </c>
      <c r="AN270" s="152">
        <f>IF($B270=1,$F$42,IF(N(Vintage_Input!P221)&gt;0,IFERROR(Vintage_Input!AV221/Vintage_Input!AN221,""),""))</f>
        <v/>
      </c>
      <c r="AO270" s="152">
        <f>IF($B270=1,$G$42,IF(N(Vintage_Input!Q221)&gt;0,IFERROR(Vintage_Input!AW221/Vintage_Input!AO221,""),""))</f>
        <v/>
      </c>
      <c r="AP270" s="152">
        <f>IF($B270=1,$H$42,IF(N(Vintage_Input!R221)&gt;0,IFERROR(Vintage_Input!AX221/Vintage_Input!AP221,""),""))</f>
        <v/>
      </c>
      <c r="AQ270" s="152">
        <f>IF($B270=1,$I$42,IF(N(Vintage_Input!S221)&gt;0,IFERROR(Vintage_Input!AY221/Vintage_Input!AQ221,""),""))</f>
        <v/>
      </c>
      <c r="AR270" s="152">
        <f>IF($B270=1,$B$43,IF(N(Vintage_Input!L221)&gt;0,IFERROR(Vintage_Input!AZ221/$C270,""),""))</f>
        <v/>
      </c>
      <c r="AS270" s="152">
        <f>IF($B270=1,$C$43,IF(N(Vintage_Input!M221)&gt;0,IFERROR(Vintage_Input!BA221/$C270,""),""))</f>
        <v/>
      </c>
      <c r="AT270" s="152">
        <f>IF($B270=1,$D$43,IF(N(Vintage_Input!N221)&gt;0,IFERROR(Vintage_Input!BB221/$C270,""),""))</f>
        <v/>
      </c>
      <c r="AU270" s="152">
        <f>IF($B270=1,$E$43,IF(N(Vintage_Input!O221)&gt;0,IFERROR(Vintage_Input!BC221/$C270,""),""))</f>
        <v/>
      </c>
      <c r="AV270" s="152">
        <f>IF($B270=1,$F$43,IF(N(Vintage_Input!P221)&gt;0,IFERROR(Vintage_Input!BD221/$C270,""),""))</f>
        <v/>
      </c>
      <c r="AW270" s="152">
        <f>IF($B270=1,$G$43,IF(N(Vintage_Input!Q221)&gt;0,IFERROR(Vintage_Input!BE221/$C270,""),""))</f>
        <v/>
      </c>
      <c r="AX270" s="152">
        <f>IF($B270=1,$H$43,IF(N(Vintage_Input!R221)&gt;0,IFERROR(Vintage_Input!BF221/$C270,""),""))</f>
        <v/>
      </c>
      <c r="AY270" s="152">
        <f>IF($B270=1,$I$43,IF(N(Vintage_Input!S221)&gt;0,IFERROR(Vintage_Input!BG221/$C270,""),""))</f>
        <v/>
      </c>
      <c r="AZ270" s="153">
        <f>IF($B270=1,$B$44,IF(N(Vintage_Input!L221)&gt;0,IFERROR((Vintage_Input!D221+Vintage_Input!AR221)/$C270+Products!$F$14-(Products!$F$43+Products!$F$19+Products!$F$43*Products!$F$22+Products!$F$44),""),""))</f>
        <v/>
      </c>
      <c r="BA270" s="153">
        <f>IF($B270=1,$C$44,IF(N(Vintage_Input!M221)&gt;0,IFERROR((Vintage_Input!E221+Vintage_Input!AS221)/$C270+Products!$F$14-(Products!$F$43+Products!$F$19+Products!$F$43*Products!$F$22+Products!$F$44),""),""))</f>
        <v/>
      </c>
      <c r="BB270" s="153">
        <f>IF($B270=1,$D$44,IF(N(Vintage_Input!N221)&gt;0,IFERROR((Vintage_Input!F221+Vintage_Input!AT221)/$C270+Products!$F$14-(Products!$F$43+Products!$F$19+Products!$F$43*Products!$F$22+Products!$F$44),""),""))</f>
        <v/>
      </c>
      <c r="BC270" s="153">
        <f>IF($B270=1,$E$44,IF(N(Vintage_Input!O221)&gt;0,IFERROR((Vintage_Input!G221+Vintage_Input!AU221)/$C270+Products!$F$14-(Products!$F$43+Products!$F$19+Products!$F$43*Products!$F$22+Products!$F$44),""),""))</f>
        <v/>
      </c>
      <c r="BD270" s="153">
        <f>IF($B270=1,$F$44,IF(N(Vintage_Input!P221)&gt;0,IFERROR((Vintage_Input!H221+Vintage_Input!AV221)/$C270+Products!$F$14-(Products!$F$43+Products!$F$19+Products!$F$43*Products!$F$22+Products!$F$44),""),""))</f>
        <v/>
      </c>
      <c r="BE270" s="153">
        <f>IF($B270=1,$G$44,IF(N(Vintage_Input!Q221)&gt;0,IFERROR((Vintage_Input!I221+Vintage_Input!AW221)/$C270+Products!$F$14-(Products!$F$43+Products!$F$19+Products!$F$43*Products!$F$22+Products!$F$44),""),""))</f>
        <v/>
      </c>
      <c r="BF270" s="153">
        <f>IF($B270=1,$H$44,IF(N(Vintage_Input!R221)&gt;0,IFERROR((Vintage_Input!J221+Vintage_Input!AX221)/$C270+Products!$F$14-(Products!$F$43+Products!$F$19+Products!$F$43*Products!$F$22+Products!$F$44),""),""))</f>
        <v/>
      </c>
      <c r="BG270" s="153">
        <f>IF($B270=1,$I$44,IF(N(Vintage_Input!S221)&gt;0,IFERROR((Vintage_Input!K221+Vintage_Input!AY221)/$C270+Products!$F$14-(Products!$F$43+Products!$F$19+Products!$F$43*Products!$F$22+Products!$F$44),""),""))</f>
        <v/>
      </c>
      <c r="BH270" s="81">
        <f>IF($B270=1,0,IF(Vintage_Input!$BH$221="","",Vintage_Input!$BH$221))</f>
        <v/>
      </c>
    </row>
    <row r="271">
      <c r="A271" s="23" t="n">
        <v>19</v>
      </c>
      <c r="B271" s="48">
        <f>Vintage_Input!$B$222</f>
        <v/>
      </c>
      <c r="C271" s="41">
        <f>IF(Vintage_Input!$C$222="",0,Vintage_Input!$C$222)</f>
        <v/>
      </c>
      <c r="D271" s="152">
        <f>IF($B271=1,$B$38,IF(N(Vintage_Input!L222)&gt;0,Vintage_Input!D222/Vintage_Input!L222,""))</f>
        <v/>
      </c>
      <c r="E271" s="152">
        <f>IF($B271=1,$C$38,IF(N(Vintage_Input!M222)&gt;0,Vintage_Input!E222/Vintage_Input!M222,""))</f>
        <v/>
      </c>
      <c r="F271" s="152">
        <f>IF($B271=1,$D$38,IF(N(Vintage_Input!N222)&gt;0,Vintage_Input!F222/Vintage_Input!N222,""))</f>
        <v/>
      </c>
      <c r="G271" s="152">
        <f>IF($B271=1,$E$38,IF(N(Vintage_Input!O222)&gt;0,Vintage_Input!G222/Vintage_Input!O222,""))</f>
        <v/>
      </c>
      <c r="H271" s="152">
        <f>IF($B271=1,$F$38,IF(N(Vintage_Input!P222)&gt;0,Vintage_Input!H222/Vintage_Input!P222,""))</f>
        <v/>
      </c>
      <c r="I271" s="152">
        <f>IF($B271=1,$G$38,IF(N(Vintage_Input!Q222)&gt;0,Vintage_Input!I222/Vintage_Input!Q222,""))</f>
        <v/>
      </c>
      <c r="J271" s="152">
        <f>IF($B271=1,$H$38,IF(N(Vintage_Input!R222)&gt;0,Vintage_Input!J222/Vintage_Input!R222,""))</f>
        <v/>
      </c>
      <c r="K271" s="152">
        <f>IF($B271=1,$I$38,IF(N(Vintage_Input!S222)&gt;0,Vintage_Input!K222/Vintage_Input!S222,""))</f>
        <v/>
      </c>
      <c r="L271" s="152">
        <f>IF($B271=1,$B$39,IF(N(Vintage_Input!L222)&gt;0,Vintage_Input!T222/Vintage_Input!L222,""))</f>
        <v/>
      </c>
      <c r="M271" s="152">
        <f>IF($B271=1,$C$39,IF(N(Vintage_Input!M222)&gt;0,Vintage_Input!U222/Vintage_Input!M222,""))</f>
        <v/>
      </c>
      <c r="N271" s="152">
        <f>IF($B271=1,$D$39,IF(N(Vintage_Input!N222)&gt;0,Vintage_Input!V222/Vintage_Input!N222,""))</f>
        <v/>
      </c>
      <c r="O271" s="152">
        <f>IF($B271=1,$E$39,IF(N(Vintage_Input!O222)&gt;0,Vintage_Input!W222/Vintage_Input!O222,""))</f>
        <v/>
      </c>
      <c r="P271" s="152">
        <f>IF($B271=1,$F$39,IF(N(Vintage_Input!P222)&gt;0,Vintage_Input!X222/Vintage_Input!P222,""))</f>
        <v/>
      </c>
      <c r="Q271" s="152">
        <f>IF($B271=1,$G$39,IF(N(Vintage_Input!Q222)&gt;0,Vintage_Input!Y222/Vintage_Input!Q222,""))</f>
        <v/>
      </c>
      <c r="R271" s="152">
        <f>IF($B271=1,$H$39,IF(N(Vintage_Input!R222)&gt;0,Vintage_Input!Z222/Vintage_Input!R222,""))</f>
        <v/>
      </c>
      <c r="S271" s="152">
        <f>IF($B271=1,$I$39,IF(N(Vintage_Input!S222)&gt;0,Vintage_Input!AA222/Vintage_Input!S222,""))</f>
        <v/>
      </c>
      <c r="T271" s="152">
        <f>IF($B271=1,$B$40,IF(N(Vintage_Input!L222)&gt;0,Vintage_Input!AB222/Vintage_Input!L222,""))</f>
        <v/>
      </c>
      <c r="U271" s="152">
        <f>IF($B271=1,$C$40,IF(N(Vintage_Input!M222)&gt;0,Vintage_Input!AC222/Vintage_Input!M222,""))</f>
        <v/>
      </c>
      <c r="V271" s="152">
        <f>IF($B271=1,$D$40,IF(N(Vintage_Input!N222)&gt;0,Vintage_Input!AD222/Vintage_Input!N222,""))</f>
        <v/>
      </c>
      <c r="W271" s="152">
        <f>IF($B271=1,$E$40,IF(N(Vintage_Input!O222)&gt;0,Vintage_Input!AE222/Vintage_Input!O222,""))</f>
        <v/>
      </c>
      <c r="X271" s="152">
        <f>IF($B271=1,$F$40,IF(N(Vintage_Input!P222)&gt;0,Vintage_Input!AF222/Vintage_Input!P222,""))</f>
        <v/>
      </c>
      <c r="Y271" s="152">
        <f>IF($B271=1,$G$40,IF(N(Vintage_Input!Q222)&gt;0,Vintage_Input!AG222/Vintage_Input!Q222,""))</f>
        <v/>
      </c>
      <c r="Z271" s="152">
        <f>IF($B271=1,$H$40,IF(N(Vintage_Input!R222)&gt;0,Vintage_Input!AH222/Vintage_Input!R222,""))</f>
        <v/>
      </c>
      <c r="AA271" s="152">
        <f>IF($B271=1,$I$40,IF(N(Vintage_Input!S222)&gt;0,Vintage_Input!AI222/Vintage_Input!S222,""))</f>
        <v/>
      </c>
      <c r="AB271" s="152">
        <f>IF($B271=1,$B$41,IF(N(Vintage_Input!L222)&gt;0,Vintage_Input!AJ222/Vintage_Input!L222,""))</f>
        <v/>
      </c>
      <c r="AC271" s="152">
        <f>IF($B271=1,$C$41,IF(N(Vintage_Input!M222)&gt;0,Vintage_Input!AK222/Vintage_Input!M222,""))</f>
        <v/>
      </c>
      <c r="AD271" s="152">
        <f>IF($B271=1,$D$41,IF(N(Vintage_Input!N222)&gt;0,Vintage_Input!AL222/Vintage_Input!N222,""))</f>
        <v/>
      </c>
      <c r="AE271" s="152">
        <f>IF($B271=1,$E$41,IF(N(Vintage_Input!O222)&gt;0,Vintage_Input!AM222/Vintage_Input!O222,""))</f>
        <v/>
      </c>
      <c r="AF271" s="152">
        <f>IF($B271=1,$F$41,IF(N(Vintage_Input!P222)&gt;0,Vintage_Input!AN222/Vintage_Input!P222,""))</f>
        <v/>
      </c>
      <c r="AG271" s="152">
        <f>IF($B271=1,$G$41,IF(N(Vintage_Input!Q222)&gt;0,Vintage_Input!AO222/Vintage_Input!Q222,""))</f>
        <v/>
      </c>
      <c r="AH271" s="152">
        <f>IF($B271=1,$H$41,IF(N(Vintage_Input!R222)&gt;0,Vintage_Input!AP222/Vintage_Input!R222,""))</f>
        <v/>
      </c>
      <c r="AI271" s="152">
        <f>IF($B271=1,$I$41,IF(N(Vintage_Input!S222)&gt;0,Vintage_Input!AQ222/Vintage_Input!S222,""))</f>
        <v/>
      </c>
      <c r="AJ271" s="152">
        <f>IF($B271=1,$B$42,IF(N(Vintage_Input!L222)&gt;0,IFERROR(Vintage_Input!AR222/Vintage_Input!AJ222,""),""))</f>
        <v/>
      </c>
      <c r="AK271" s="152">
        <f>IF($B271=1,$C$42,IF(N(Vintage_Input!M222)&gt;0,IFERROR(Vintage_Input!AS222/Vintage_Input!AK222,""),""))</f>
        <v/>
      </c>
      <c r="AL271" s="152">
        <f>IF($B271=1,$D$42,IF(N(Vintage_Input!N222)&gt;0,IFERROR(Vintage_Input!AT222/Vintage_Input!AL222,""),""))</f>
        <v/>
      </c>
      <c r="AM271" s="152">
        <f>IF($B271=1,$E$42,IF(N(Vintage_Input!O222)&gt;0,IFERROR(Vintage_Input!AU222/Vintage_Input!AM222,""),""))</f>
        <v/>
      </c>
      <c r="AN271" s="152">
        <f>IF($B271=1,$F$42,IF(N(Vintage_Input!P222)&gt;0,IFERROR(Vintage_Input!AV222/Vintage_Input!AN222,""),""))</f>
        <v/>
      </c>
      <c r="AO271" s="152">
        <f>IF($B271=1,$G$42,IF(N(Vintage_Input!Q222)&gt;0,IFERROR(Vintage_Input!AW222/Vintage_Input!AO222,""),""))</f>
        <v/>
      </c>
      <c r="AP271" s="152">
        <f>IF($B271=1,$H$42,IF(N(Vintage_Input!R222)&gt;0,IFERROR(Vintage_Input!AX222/Vintage_Input!AP222,""),""))</f>
        <v/>
      </c>
      <c r="AQ271" s="152">
        <f>IF($B271=1,$I$42,IF(N(Vintage_Input!S222)&gt;0,IFERROR(Vintage_Input!AY222/Vintage_Input!AQ222,""),""))</f>
        <v/>
      </c>
      <c r="AR271" s="152">
        <f>IF($B271=1,$B$43,IF(N(Vintage_Input!L222)&gt;0,IFERROR(Vintage_Input!AZ222/$C271,""),""))</f>
        <v/>
      </c>
      <c r="AS271" s="152">
        <f>IF($B271=1,$C$43,IF(N(Vintage_Input!M222)&gt;0,IFERROR(Vintage_Input!BA222/$C271,""),""))</f>
        <v/>
      </c>
      <c r="AT271" s="152">
        <f>IF($B271=1,$D$43,IF(N(Vintage_Input!N222)&gt;0,IFERROR(Vintage_Input!BB222/$C271,""),""))</f>
        <v/>
      </c>
      <c r="AU271" s="152">
        <f>IF($B271=1,$E$43,IF(N(Vintage_Input!O222)&gt;0,IFERROR(Vintage_Input!BC222/$C271,""),""))</f>
        <v/>
      </c>
      <c r="AV271" s="152">
        <f>IF($B271=1,$F$43,IF(N(Vintage_Input!P222)&gt;0,IFERROR(Vintage_Input!BD222/$C271,""),""))</f>
        <v/>
      </c>
      <c r="AW271" s="152">
        <f>IF($B271=1,$G$43,IF(N(Vintage_Input!Q222)&gt;0,IFERROR(Vintage_Input!BE222/$C271,""),""))</f>
        <v/>
      </c>
      <c r="AX271" s="152">
        <f>IF($B271=1,$H$43,IF(N(Vintage_Input!R222)&gt;0,IFERROR(Vintage_Input!BF222/$C271,""),""))</f>
        <v/>
      </c>
      <c r="AY271" s="152">
        <f>IF($B271=1,$I$43,IF(N(Vintage_Input!S222)&gt;0,IFERROR(Vintage_Input!BG222/$C271,""),""))</f>
        <v/>
      </c>
      <c r="AZ271" s="153">
        <f>IF($B271=1,$B$44,IF(N(Vintage_Input!L222)&gt;0,IFERROR((Vintage_Input!D222+Vintage_Input!AR222)/$C271+Products!$F$14-(Products!$F$43+Products!$F$19+Products!$F$43*Products!$F$22+Products!$F$44),""),""))</f>
        <v/>
      </c>
      <c r="BA271" s="153">
        <f>IF($B271=1,$C$44,IF(N(Vintage_Input!M222)&gt;0,IFERROR((Vintage_Input!E222+Vintage_Input!AS222)/$C271+Products!$F$14-(Products!$F$43+Products!$F$19+Products!$F$43*Products!$F$22+Products!$F$44),""),""))</f>
        <v/>
      </c>
      <c r="BB271" s="153">
        <f>IF($B271=1,$D$44,IF(N(Vintage_Input!N222)&gt;0,IFERROR((Vintage_Input!F222+Vintage_Input!AT222)/$C271+Products!$F$14-(Products!$F$43+Products!$F$19+Products!$F$43*Products!$F$22+Products!$F$44),""),""))</f>
        <v/>
      </c>
      <c r="BC271" s="153">
        <f>IF($B271=1,$E$44,IF(N(Vintage_Input!O222)&gt;0,IFERROR((Vintage_Input!G222+Vintage_Input!AU222)/$C271+Products!$F$14-(Products!$F$43+Products!$F$19+Products!$F$43*Products!$F$22+Products!$F$44),""),""))</f>
        <v/>
      </c>
      <c r="BD271" s="153">
        <f>IF($B271=1,$F$44,IF(N(Vintage_Input!P222)&gt;0,IFERROR((Vintage_Input!H222+Vintage_Input!AV222)/$C271+Products!$F$14-(Products!$F$43+Products!$F$19+Products!$F$43*Products!$F$22+Products!$F$44),""),""))</f>
        <v/>
      </c>
      <c r="BE271" s="153">
        <f>IF($B271=1,$G$44,IF(N(Vintage_Input!Q222)&gt;0,IFERROR((Vintage_Input!I222+Vintage_Input!AW222)/$C271+Products!$F$14-(Products!$F$43+Products!$F$19+Products!$F$43*Products!$F$22+Products!$F$44),""),""))</f>
        <v/>
      </c>
      <c r="BF271" s="153">
        <f>IF($B271=1,$H$44,IF(N(Vintage_Input!R222)&gt;0,IFERROR((Vintage_Input!J222+Vintage_Input!AX222)/$C271+Products!$F$14-(Products!$F$43+Products!$F$19+Products!$F$43*Products!$F$22+Products!$F$44),""),""))</f>
        <v/>
      </c>
      <c r="BG271" s="153">
        <f>IF($B271=1,$I$44,IF(N(Vintage_Input!S222)&gt;0,IFERROR((Vintage_Input!K222+Vintage_Input!AY222)/$C271+Products!$F$14-(Products!$F$43+Products!$F$19+Products!$F$43*Products!$F$22+Products!$F$44),""),""))</f>
        <v/>
      </c>
      <c r="BH271" s="81">
        <f>IF($B271=1,0,IF(Vintage_Input!$BH$222="","",Vintage_Input!$BH$222))</f>
        <v/>
      </c>
    </row>
    <row r="272">
      <c r="A272" s="23" t="n">
        <v>20</v>
      </c>
      <c r="B272" s="48">
        <f>Vintage_Input!$B$223</f>
        <v/>
      </c>
      <c r="C272" s="41">
        <f>IF(Vintage_Input!$C$223="",0,Vintage_Input!$C$223)</f>
        <v/>
      </c>
      <c r="D272" s="152">
        <f>IF($B272=1,$B$38,IF(N(Vintage_Input!L223)&gt;0,Vintage_Input!D223/Vintage_Input!L223,""))</f>
        <v/>
      </c>
      <c r="E272" s="152">
        <f>IF($B272=1,$C$38,IF(N(Vintage_Input!M223)&gt;0,Vintage_Input!E223/Vintage_Input!M223,""))</f>
        <v/>
      </c>
      <c r="F272" s="152">
        <f>IF($B272=1,$D$38,IF(N(Vintage_Input!N223)&gt;0,Vintage_Input!F223/Vintage_Input!N223,""))</f>
        <v/>
      </c>
      <c r="G272" s="152">
        <f>IF($B272=1,$E$38,IF(N(Vintage_Input!O223)&gt;0,Vintage_Input!G223/Vintage_Input!O223,""))</f>
        <v/>
      </c>
      <c r="H272" s="152">
        <f>IF($B272=1,$F$38,IF(N(Vintage_Input!P223)&gt;0,Vintage_Input!H223/Vintage_Input!P223,""))</f>
        <v/>
      </c>
      <c r="I272" s="152">
        <f>IF($B272=1,$G$38,IF(N(Vintage_Input!Q223)&gt;0,Vintage_Input!I223/Vintage_Input!Q223,""))</f>
        <v/>
      </c>
      <c r="J272" s="152">
        <f>IF($B272=1,$H$38,IF(N(Vintage_Input!R223)&gt;0,Vintage_Input!J223/Vintage_Input!R223,""))</f>
        <v/>
      </c>
      <c r="K272" s="152">
        <f>IF($B272=1,$I$38,IF(N(Vintage_Input!S223)&gt;0,Vintage_Input!K223/Vintage_Input!S223,""))</f>
        <v/>
      </c>
      <c r="L272" s="152">
        <f>IF($B272=1,$B$39,IF(N(Vintage_Input!L223)&gt;0,Vintage_Input!T223/Vintage_Input!L223,""))</f>
        <v/>
      </c>
      <c r="M272" s="152">
        <f>IF($B272=1,$C$39,IF(N(Vintage_Input!M223)&gt;0,Vintage_Input!U223/Vintage_Input!M223,""))</f>
        <v/>
      </c>
      <c r="N272" s="152">
        <f>IF($B272=1,$D$39,IF(N(Vintage_Input!N223)&gt;0,Vintage_Input!V223/Vintage_Input!N223,""))</f>
        <v/>
      </c>
      <c r="O272" s="152">
        <f>IF($B272=1,$E$39,IF(N(Vintage_Input!O223)&gt;0,Vintage_Input!W223/Vintage_Input!O223,""))</f>
        <v/>
      </c>
      <c r="P272" s="152">
        <f>IF($B272=1,$F$39,IF(N(Vintage_Input!P223)&gt;0,Vintage_Input!X223/Vintage_Input!P223,""))</f>
        <v/>
      </c>
      <c r="Q272" s="152">
        <f>IF($B272=1,$G$39,IF(N(Vintage_Input!Q223)&gt;0,Vintage_Input!Y223/Vintage_Input!Q223,""))</f>
        <v/>
      </c>
      <c r="R272" s="152">
        <f>IF($B272=1,$H$39,IF(N(Vintage_Input!R223)&gt;0,Vintage_Input!Z223/Vintage_Input!R223,""))</f>
        <v/>
      </c>
      <c r="S272" s="152">
        <f>IF($B272=1,$I$39,IF(N(Vintage_Input!S223)&gt;0,Vintage_Input!AA223/Vintage_Input!S223,""))</f>
        <v/>
      </c>
      <c r="T272" s="152">
        <f>IF($B272=1,$B$40,IF(N(Vintage_Input!L223)&gt;0,Vintage_Input!AB223/Vintage_Input!L223,""))</f>
        <v/>
      </c>
      <c r="U272" s="152">
        <f>IF($B272=1,$C$40,IF(N(Vintage_Input!M223)&gt;0,Vintage_Input!AC223/Vintage_Input!M223,""))</f>
        <v/>
      </c>
      <c r="V272" s="152">
        <f>IF($B272=1,$D$40,IF(N(Vintage_Input!N223)&gt;0,Vintage_Input!AD223/Vintage_Input!N223,""))</f>
        <v/>
      </c>
      <c r="W272" s="152">
        <f>IF($B272=1,$E$40,IF(N(Vintage_Input!O223)&gt;0,Vintage_Input!AE223/Vintage_Input!O223,""))</f>
        <v/>
      </c>
      <c r="X272" s="152">
        <f>IF($B272=1,$F$40,IF(N(Vintage_Input!P223)&gt;0,Vintage_Input!AF223/Vintage_Input!P223,""))</f>
        <v/>
      </c>
      <c r="Y272" s="152">
        <f>IF($B272=1,$G$40,IF(N(Vintage_Input!Q223)&gt;0,Vintage_Input!AG223/Vintage_Input!Q223,""))</f>
        <v/>
      </c>
      <c r="Z272" s="152">
        <f>IF($B272=1,$H$40,IF(N(Vintage_Input!R223)&gt;0,Vintage_Input!AH223/Vintage_Input!R223,""))</f>
        <v/>
      </c>
      <c r="AA272" s="152">
        <f>IF($B272=1,$I$40,IF(N(Vintage_Input!S223)&gt;0,Vintage_Input!AI223/Vintage_Input!S223,""))</f>
        <v/>
      </c>
      <c r="AB272" s="152">
        <f>IF($B272=1,$B$41,IF(N(Vintage_Input!L223)&gt;0,Vintage_Input!AJ223/Vintage_Input!L223,""))</f>
        <v/>
      </c>
      <c r="AC272" s="152">
        <f>IF($B272=1,$C$41,IF(N(Vintage_Input!M223)&gt;0,Vintage_Input!AK223/Vintage_Input!M223,""))</f>
        <v/>
      </c>
      <c r="AD272" s="152">
        <f>IF($B272=1,$D$41,IF(N(Vintage_Input!N223)&gt;0,Vintage_Input!AL223/Vintage_Input!N223,""))</f>
        <v/>
      </c>
      <c r="AE272" s="152">
        <f>IF($B272=1,$E$41,IF(N(Vintage_Input!O223)&gt;0,Vintage_Input!AM223/Vintage_Input!O223,""))</f>
        <v/>
      </c>
      <c r="AF272" s="152">
        <f>IF($B272=1,$F$41,IF(N(Vintage_Input!P223)&gt;0,Vintage_Input!AN223/Vintage_Input!P223,""))</f>
        <v/>
      </c>
      <c r="AG272" s="152">
        <f>IF($B272=1,$G$41,IF(N(Vintage_Input!Q223)&gt;0,Vintage_Input!AO223/Vintage_Input!Q223,""))</f>
        <v/>
      </c>
      <c r="AH272" s="152">
        <f>IF($B272=1,$H$41,IF(N(Vintage_Input!R223)&gt;0,Vintage_Input!AP223/Vintage_Input!R223,""))</f>
        <v/>
      </c>
      <c r="AI272" s="152">
        <f>IF($B272=1,$I$41,IF(N(Vintage_Input!S223)&gt;0,Vintage_Input!AQ223/Vintage_Input!S223,""))</f>
        <v/>
      </c>
      <c r="AJ272" s="152">
        <f>IF($B272=1,$B$42,IF(N(Vintage_Input!L223)&gt;0,IFERROR(Vintage_Input!AR223/Vintage_Input!AJ223,""),""))</f>
        <v/>
      </c>
      <c r="AK272" s="152">
        <f>IF($B272=1,$C$42,IF(N(Vintage_Input!M223)&gt;0,IFERROR(Vintage_Input!AS223/Vintage_Input!AK223,""),""))</f>
        <v/>
      </c>
      <c r="AL272" s="152">
        <f>IF($B272=1,$D$42,IF(N(Vintage_Input!N223)&gt;0,IFERROR(Vintage_Input!AT223/Vintage_Input!AL223,""),""))</f>
        <v/>
      </c>
      <c r="AM272" s="152">
        <f>IF($B272=1,$E$42,IF(N(Vintage_Input!O223)&gt;0,IFERROR(Vintage_Input!AU223/Vintage_Input!AM223,""),""))</f>
        <v/>
      </c>
      <c r="AN272" s="152">
        <f>IF($B272=1,$F$42,IF(N(Vintage_Input!P223)&gt;0,IFERROR(Vintage_Input!AV223/Vintage_Input!AN223,""),""))</f>
        <v/>
      </c>
      <c r="AO272" s="152">
        <f>IF($B272=1,$G$42,IF(N(Vintage_Input!Q223)&gt;0,IFERROR(Vintage_Input!AW223/Vintage_Input!AO223,""),""))</f>
        <v/>
      </c>
      <c r="AP272" s="152">
        <f>IF($B272=1,$H$42,IF(N(Vintage_Input!R223)&gt;0,IFERROR(Vintage_Input!AX223/Vintage_Input!AP223,""),""))</f>
        <v/>
      </c>
      <c r="AQ272" s="152">
        <f>IF($B272=1,$I$42,IF(N(Vintage_Input!S223)&gt;0,IFERROR(Vintage_Input!AY223/Vintage_Input!AQ223,""),""))</f>
        <v/>
      </c>
      <c r="AR272" s="152">
        <f>IF($B272=1,$B$43,IF(N(Vintage_Input!L223)&gt;0,IFERROR(Vintage_Input!AZ223/$C272,""),""))</f>
        <v/>
      </c>
      <c r="AS272" s="152">
        <f>IF($B272=1,$C$43,IF(N(Vintage_Input!M223)&gt;0,IFERROR(Vintage_Input!BA223/$C272,""),""))</f>
        <v/>
      </c>
      <c r="AT272" s="152">
        <f>IF($B272=1,$D$43,IF(N(Vintage_Input!N223)&gt;0,IFERROR(Vintage_Input!BB223/$C272,""),""))</f>
        <v/>
      </c>
      <c r="AU272" s="152">
        <f>IF($B272=1,$E$43,IF(N(Vintage_Input!O223)&gt;0,IFERROR(Vintage_Input!BC223/$C272,""),""))</f>
        <v/>
      </c>
      <c r="AV272" s="152">
        <f>IF($B272=1,$F$43,IF(N(Vintage_Input!P223)&gt;0,IFERROR(Vintage_Input!BD223/$C272,""),""))</f>
        <v/>
      </c>
      <c r="AW272" s="152">
        <f>IF($B272=1,$G$43,IF(N(Vintage_Input!Q223)&gt;0,IFERROR(Vintage_Input!BE223/$C272,""),""))</f>
        <v/>
      </c>
      <c r="AX272" s="152">
        <f>IF($B272=1,$H$43,IF(N(Vintage_Input!R223)&gt;0,IFERROR(Vintage_Input!BF223/$C272,""),""))</f>
        <v/>
      </c>
      <c r="AY272" s="152">
        <f>IF($B272=1,$I$43,IF(N(Vintage_Input!S223)&gt;0,IFERROR(Vintage_Input!BG223/$C272,""),""))</f>
        <v/>
      </c>
      <c r="AZ272" s="153">
        <f>IF($B272=1,$B$44,IF(N(Vintage_Input!L223)&gt;0,IFERROR((Vintage_Input!D223+Vintage_Input!AR223)/$C272+Products!$F$14-(Products!$F$43+Products!$F$19+Products!$F$43*Products!$F$22+Products!$F$44),""),""))</f>
        <v/>
      </c>
      <c r="BA272" s="153">
        <f>IF($B272=1,$C$44,IF(N(Vintage_Input!M223)&gt;0,IFERROR((Vintage_Input!E223+Vintage_Input!AS223)/$C272+Products!$F$14-(Products!$F$43+Products!$F$19+Products!$F$43*Products!$F$22+Products!$F$44),""),""))</f>
        <v/>
      </c>
      <c r="BB272" s="153">
        <f>IF($B272=1,$D$44,IF(N(Vintage_Input!N223)&gt;0,IFERROR((Vintage_Input!F223+Vintage_Input!AT223)/$C272+Products!$F$14-(Products!$F$43+Products!$F$19+Products!$F$43*Products!$F$22+Products!$F$44),""),""))</f>
        <v/>
      </c>
      <c r="BC272" s="153">
        <f>IF($B272=1,$E$44,IF(N(Vintage_Input!O223)&gt;0,IFERROR((Vintage_Input!G223+Vintage_Input!AU223)/$C272+Products!$F$14-(Products!$F$43+Products!$F$19+Products!$F$43*Products!$F$22+Products!$F$44),""),""))</f>
        <v/>
      </c>
      <c r="BD272" s="153">
        <f>IF($B272=1,$F$44,IF(N(Vintage_Input!P223)&gt;0,IFERROR((Vintage_Input!H223+Vintage_Input!AV223)/$C272+Products!$F$14-(Products!$F$43+Products!$F$19+Products!$F$43*Products!$F$22+Products!$F$44),""),""))</f>
        <v/>
      </c>
      <c r="BE272" s="153">
        <f>IF($B272=1,$G$44,IF(N(Vintage_Input!Q223)&gt;0,IFERROR((Vintage_Input!I223+Vintage_Input!AW223)/$C272+Products!$F$14-(Products!$F$43+Products!$F$19+Products!$F$43*Products!$F$22+Products!$F$44),""),""))</f>
        <v/>
      </c>
      <c r="BF272" s="153">
        <f>IF($B272=1,$H$44,IF(N(Vintage_Input!R223)&gt;0,IFERROR((Vintage_Input!J223+Vintage_Input!AX223)/$C272+Products!$F$14-(Products!$F$43+Products!$F$19+Products!$F$43*Products!$F$22+Products!$F$44),""),""))</f>
        <v/>
      </c>
      <c r="BG272" s="153">
        <f>IF($B272=1,$I$44,IF(N(Vintage_Input!S223)&gt;0,IFERROR((Vintage_Input!K223+Vintage_Input!AY223)/$C272+Products!$F$14-(Products!$F$43+Products!$F$19+Products!$F$43*Products!$F$22+Products!$F$44),""),""))</f>
        <v/>
      </c>
      <c r="BH272" s="81">
        <f>IF($B272=1,0,IF(Vintage_Input!$BH$223="","",Vintage_Input!$BH$223))</f>
        <v/>
      </c>
    </row>
    <row r="273">
      <c r="A273" s="23" t="n">
        <v>21</v>
      </c>
      <c r="B273" s="48">
        <f>Vintage_Input!$B$224</f>
        <v/>
      </c>
      <c r="C273" s="41">
        <f>IF(Vintage_Input!$C$224="",0,Vintage_Input!$C$224)</f>
        <v/>
      </c>
      <c r="D273" s="152">
        <f>IF($B273=1,$B$38,IF(N(Vintage_Input!L224)&gt;0,Vintage_Input!D224/Vintage_Input!L224,""))</f>
        <v/>
      </c>
      <c r="E273" s="152">
        <f>IF($B273=1,$C$38,IF(N(Vintage_Input!M224)&gt;0,Vintage_Input!E224/Vintage_Input!M224,""))</f>
        <v/>
      </c>
      <c r="F273" s="152">
        <f>IF($B273=1,$D$38,IF(N(Vintage_Input!N224)&gt;0,Vintage_Input!F224/Vintage_Input!N224,""))</f>
        <v/>
      </c>
      <c r="G273" s="152">
        <f>IF($B273=1,$E$38,IF(N(Vintage_Input!O224)&gt;0,Vintage_Input!G224/Vintage_Input!O224,""))</f>
        <v/>
      </c>
      <c r="H273" s="152">
        <f>IF($B273=1,$F$38,IF(N(Vintage_Input!P224)&gt;0,Vintage_Input!H224/Vintage_Input!P224,""))</f>
        <v/>
      </c>
      <c r="I273" s="152">
        <f>IF($B273=1,$G$38,IF(N(Vintage_Input!Q224)&gt;0,Vintage_Input!I224/Vintage_Input!Q224,""))</f>
        <v/>
      </c>
      <c r="J273" s="152">
        <f>IF($B273=1,$H$38,IF(N(Vintage_Input!R224)&gt;0,Vintage_Input!J224/Vintage_Input!R224,""))</f>
        <v/>
      </c>
      <c r="K273" s="152">
        <f>IF($B273=1,$I$38,IF(N(Vintage_Input!S224)&gt;0,Vintage_Input!K224/Vintage_Input!S224,""))</f>
        <v/>
      </c>
      <c r="L273" s="152">
        <f>IF($B273=1,$B$39,IF(N(Vintage_Input!L224)&gt;0,Vintage_Input!T224/Vintage_Input!L224,""))</f>
        <v/>
      </c>
      <c r="M273" s="152">
        <f>IF($B273=1,$C$39,IF(N(Vintage_Input!M224)&gt;0,Vintage_Input!U224/Vintage_Input!M224,""))</f>
        <v/>
      </c>
      <c r="N273" s="152">
        <f>IF($B273=1,$D$39,IF(N(Vintage_Input!N224)&gt;0,Vintage_Input!V224/Vintage_Input!N224,""))</f>
        <v/>
      </c>
      <c r="O273" s="152">
        <f>IF($B273=1,$E$39,IF(N(Vintage_Input!O224)&gt;0,Vintage_Input!W224/Vintage_Input!O224,""))</f>
        <v/>
      </c>
      <c r="P273" s="152">
        <f>IF($B273=1,$F$39,IF(N(Vintage_Input!P224)&gt;0,Vintage_Input!X224/Vintage_Input!P224,""))</f>
        <v/>
      </c>
      <c r="Q273" s="152">
        <f>IF($B273=1,$G$39,IF(N(Vintage_Input!Q224)&gt;0,Vintage_Input!Y224/Vintage_Input!Q224,""))</f>
        <v/>
      </c>
      <c r="R273" s="152">
        <f>IF($B273=1,$H$39,IF(N(Vintage_Input!R224)&gt;0,Vintage_Input!Z224/Vintage_Input!R224,""))</f>
        <v/>
      </c>
      <c r="S273" s="152">
        <f>IF($B273=1,$I$39,IF(N(Vintage_Input!S224)&gt;0,Vintage_Input!AA224/Vintage_Input!S224,""))</f>
        <v/>
      </c>
      <c r="T273" s="152">
        <f>IF($B273=1,$B$40,IF(N(Vintage_Input!L224)&gt;0,Vintage_Input!AB224/Vintage_Input!L224,""))</f>
        <v/>
      </c>
      <c r="U273" s="152">
        <f>IF($B273=1,$C$40,IF(N(Vintage_Input!M224)&gt;0,Vintage_Input!AC224/Vintage_Input!M224,""))</f>
        <v/>
      </c>
      <c r="V273" s="152">
        <f>IF($B273=1,$D$40,IF(N(Vintage_Input!N224)&gt;0,Vintage_Input!AD224/Vintage_Input!N224,""))</f>
        <v/>
      </c>
      <c r="W273" s="152">
        <f>IF($B273=1,$E$40,IF(N(Vintage_Input!O224)&gt;0,Vintage_Input!AE224/Vintage_Input!O224,""))</f>
        <v/>
      </c>
      <c r="X273" s="152">
        <f>IF($B273=1,$F$40,IF(N(Vintage_Input!P224)&gt;0,Vintage_Input!AF224/Vintage_Input!P224,""))</f>
        <v/>
      </c>
      <c r="Y273" s="152">
        <f>IF($B273=1,$G$40,IF(N(Vintage_Input!Q224)&gt;0,Vintage_Input!AG224/Vintage_Input!Q224,""))</f>
        <v/>
      </c>
      <c r="Z273" s="152">
        <f>IF($B273=1,$H$40,IF(N(Vintage_Input!R224)&gt;0,Vintage_Input!AH224/Vintage_Input!R224,""))</f>
        <v/>
      </c>
      <c r="AA273" s="152">
        <f>IF($B273=1,$I$40,IF(N(Vintage_Input!S224)&gt;0,Vintage_Input!AI224/Vintage_Input!S224,""))</f>
        <v/>
      </c>
      <c r="AB273" s="152">
        <f>IF($B273=1,$B$41,IF(N(Vintage_Input!L224)&gt;0,Vintage_Input!AJ224/Vintage_Input!L224,""))</f>
        <v/>
      </c>
      <c r="AC273" s="152">
        <f>IF($B273=1,$C$41,IF(N(Vintage_Input!M224)&gt;0,Vintage_Input!AK224/Vintage_Input!M224,""))</f>
        <v/>
      </c>
      <c r="AD273" s="152">
        <f>IF($B273=1,$D$41,IF(N(Vintage_Input!N224)&gt;0,Vintage_Input!AL224/Vintage_Input!N224,""))</f>
        <v/>
      </c>
      <c r="AE273" s="152">
        <f>IF($B273=1,$E$41,IF(N(Vintage_Input!O224)&gt;0,Vintage_Input!AM224/Vintage_Input!O224,""))</f>
        <v/>
      </c>
      <c r="AF273" s="152">
        <f>IF($B273=1,$F$41,IF(N(Vintage_Input!P224)&gt;0,Vintage_Input!AN224/Vintage_Input!P224,""))</f>
        <v/>
      </c>
      <c r="AG273" s="152">
        <f>IF($B273=1,$G$41,IF(N(Vintage_Input!Q224)&gt;0,Vintage_Input!AO224/Vintage_Input!Q224,""))</f>
        <v/>
      </c>
      <c r="AH273" s="152">
        <f>IF($B273=1,$H$41,IF(N(Vintage_Input!R224)&gt;0,Vintage_Input!AP224/Vintage_Input!R224,""))</f>
        <v/>
      </c>
      <c r="AI273" s="152">
        <f>IF($B273=1,$I$41,IF(N(Vintage_Input!S224)&gt;0,Vintage_Input!AQ224/Vintage_Input!S224,""))</f>
        <v/>
      </c>
      <c r="AJ273" s="152">
        <f>IF($B273=1,$B$42,IF(N(Vintage_Input!L224)&gt;0,IFERROR(Vintage_Input!AR224/Vintage_Input!AJ224,""),""))</f>
        <v/>
      </c>
      <c r="AK273" s="152">
        <f>IF($B273=1,$C$42,IF(N(Vintage_Input!M224)&gt;0,IFERROR(Vintage_Input!AS224/Vintage_Input!AK224,""),""))</f>
        <v/>
      </c>
      <c r="AL273" s="152">
        <f>IF($B273=1,$D$42,IF(N(Vintage_Input!N224)&gt;0,IFERROR(Vintage_Input!AT224/Vintage_Input!AL224,""),""))</f>
        <v/>
      </c>
      <c r="AM273" s="152">
        <f>IF($B273=1,$E$42,IF(N(Vintage_Input!O224)&gt;0,IFERROR(Vintage_Input!AU224/Vintage_Input!AM224,""),""))</f>
        <v/>
      </c>
      <c r="AN273" s="152">
        <f>IF($B273=1,$F$42,IF(N(Vintage_Input!P224)&gt;0,IFERROR(Vintage_Input!AV224/Vintage_Input!AN224,""),""))</f>
        <v/>
      </c>
      <c r="AO273" s="152">
        <f>IF($B273=1,$G$42,IF(N(Vintage_Input!Q224)&gt;0,IFERROR(Vintage_Input!AW224/Vintage_Input!AO224,""),""))</f>
        <v/>
      </c>
      <c r="AP273" s="152">
        <f>IF($B273=1,$H$42,IF(N(Vintage_Input!R224)&gt;0,IFERROR(Vintage_Input!AX224/Vintage_Input!AP224,""),""))</f>
        <v/>
      </c>
      <c r="AQ273" s="152">
        <f>IF($B273=1,$I$42,IF(N(Vintage_Input!S224)&gt;0,IFERROR(Vintage_Input!AY224/Vintage_Input!AQ224,""),""))</f>
        <v/>
      </c>
      <c r="AR273" s="152">
        <f>IF($B273=1,$B$43,IF(N(Vintage_Input!L224)&gt;0,IFERROR(Vintage_Input!AZ224/$C273,""),""))</f>
        <v/>
      </c>
      <c r="AS273" s="152">
        <f>IF($B273=1,$C$43,IF(N(Vintage_Input!M224)&gt;0,IFERROR(Vintage_Input!BA224/$C273,""),""))</f>
        <v/>
      </c>
      <c r="AT273" s="152">
        <f>IF($B273=1,$D$43,IF(N(Vintage_Input!N224)&gt;0,IFERROR(Vintage_Input!BB224/$C273,""),""))</f>
        <v/>
      </c>
      <c r="AU273" s="152">
        <f>IF($B273=1,$E$43,IF(N(Vintage_Input!O224)&gt;0,IFERROR(Vintage_Input!BC224/$C273,""),""))</f>
        <v/>
      </c>
      <c r="AV273" s="152">
        <f>IF($B273=1,$F$43,IF(N(Vintage_Input!P224)&gt;0,IFERROR(Vintage_Input!BD224/$C273,""),""))</f>
        <v/>
      </c>
      <c r="AW273" s="152">
        <f>IF($B273=1,$G$43,IF(N(Vintage_Input!Q224)&gt;0,IFERROR(Vintage_Input!BE224/$C273,""),""))</f>
        <v/>
      </c>
      <c r="AX273" s="152">
        <f>IF($B273=1,$H$43,IF(N(Vintage_Input!R224)&gt;0,IFERROR(Vintage_Input!BF224/$C273,""),""))</f>
        <v/>
      </c>
      <c r="AY273" s="152">
        <f>IF($B273=1,$I$43,IF(N(Vintage_Input!S224)&gt;0,IFERROR(Vintage_Input!BG224/$C273,""),""))</f>
        <v/>
      </c>
      <c r="AZ273" s="153">
        <f>IF($B273=1,$B$44,IF(N(Vintage_Input!L224)&gt;0,IFERROR((Vintage_Input!D224+Vintage_Input!AR224)/$C273+Products!$F$14-(Products!$F$43+Products!$F$19+Products!$F$43*Products!$F$22+Products!$F$44),""),""))</f>
        <v/>
      </c>
      <c r="BA273" s="153">
        <f>IF($B273=1,$C$44,IF(N(Vintage_Input!M224)&gt;0,IFERROR((Vintage_Input!E224+Vintage_Input!AS224)/$C273+Products!$F$14-(Products!$F$43+Products!$F$19+Products!$F$43*Products!$F$22+Products!$F$44),""),""))</f>
        <v/>
      </c>
      <c r="BB273" s="153">
        <f>IF($B273=1,$D$44,IF(N(Vintage_Input!N224)&gt;0,IFERROR((Vintage_Input!F224+Vintage_Input!AT224)/$C273+Products!$F$14-(Products!$F$43+Products!$F$19+Products!$F$43*Products!$F$22+Products!$F$44),""),""))</f>
        <v/>
      </c>
      <c r="BC273" s="153">
        <f>IF($B273=1,$E$44,IF(N(Vintage_Input!O224)&gt;0,IFERROR((Vintage_Input!G224+Vintage_Input!AU224)/$C273+Products!$F$14-(Products!$F$43+Products!$F$19+Products!$F$43*Products!$F$22+Products!$F$44),""),""))</f>
        <v/>
      </c>
      <c r="BD273" s="153">
        <f>IF($B273=1,$F$44,IF(N(Vintage_Input!P224)&gt;0,IFERROR((Vintage_Input!H224+Vintage_Input!AV224)/$C273+Products!$F$14-(Products!$F$43+Products!$F$19+Products!$F$43*Products!$F$22+Products!$F$44),""),""))</f>
        <v/>
      </c>
      <c r="BE273" s="153">
        <f>IF($B273=1,$G$44,IF(N(Vintage_Input!Q224)&gt;0,IFERROR((Vintage_Input!I224+Vintage_Input!AW224)/$C273+Products!$F$14-(Products!$F$43+Products!$F$19+Products!$F$43*Products!$F$22+Products!$F$44),""),""))</f>
        <v/>
      </c>
      <c r="BF273" s="153">
        <f>IF($B273=1,$H$44,IF(N(Vintage_Input!R224)&gt;0,IFERROR((Vintage_Input!J224+Vintage_Input!AX224)/$C273+Products!$F$14-(Products!$F$43+Products!$F$19+Products!$F$43*Products!$F$22+Products!$F$44),""),""))</f>
        <v/>
      </c>
      <c r="BG273" s="153">
        <f>IF($B273=1,$I$44,IF(N(Vintage_Input!S224)&gt;0,IFERROR((Vintage_Input!K224+Vintage_Input!AY224)/$C273+Products!$F$14-(Products!$F$43+Products!$F$19+Products!$F$43*Products!$F$22+Products!$F$44),""),""))</f>
        <v/>
      </c>
      <c r="BH273" s="81">
        <f>IF($B273=1,0,IF(Vintage_Input!$BH$224="","",Vintage_Input!$BH$224))</f>
        <v/>
      </c>
    </row>
    <row r="274">
      <c r="A274" s="23" t="n">
        <v>22</v>
      </c>
      <c r="B274" s="48">
        <f>Vintage_Input!$B$225</f>
        <v/>
      </c>
      <c r="C274" s="41">
        <f>IF(Vintage_Input!$C$225="",0,Vintage_Input!$C$225)</f>
        <v/>
      </c>
      <c r="D274" s="152">
        <f>IF($B274=1,$B$38,IF(N(Vintage_Input!L225)&gt;0,Vintage_Input!D225/Vintage_Input!L225,""))</f>
        <v/>
      </c>
      <c r="E274" s="152">
        <f>IF($B274=1,$C$38,IF(N(Vintage_Input!M225)&gt;0,Vintage_Input!E225/Vintage_Input!M225,""))</f>
        <v/>
      </c>
      <c r="F274" s="152">
        <f>IF($B274=1,$D$38,IF(N(Vintage_Input!N225)&gt;0,Vintage_Input!F225/Vintage_Input!N225,""))</f>
        <v/>
      </c>
      <c r="G274" s="152">
        <f>IF($B274=1,$E$38,IF(N(Vintage_Input!O225)&gt;0,Vintage_Input!G225/Vintage_Input!O225,""))</f>
        <v/>
      </c>
      <c r="H274" s="152">
        <f>IF($B274=1,$F$38,IF(N(Vintage_Input!P225)&gt;0,Vintage_Input!H225/Vintage_Input!P225,""))</f>
        <v/>
      </c>
      <c r="I274" s="152">
        <f>IF($B274=1,$G$38,IF(N(Vintage_Input!Q225)&gt;0,Vintage_Input!I225/Vintage_Input!Q225,""))</f>
        <v/>
      </c>
      <c r="J274" s="152">
        <f>IF($B274=1,$H$38,IF(N(Vintage_Input!R225)&gt;0,Vintage_Input!J225/Vintage_Input!R225,""))</f>
        <v/>
      </c>
      <c r="K274" s="152">
        <f>IF($B274=1,$I$38,IF(N(Vintage_Input!S225)&gt;0,Vintage_Input!K225/Vintage_Input!S225,""))</f>
        <v/>
      </c>
      <c r="L274" s="152">
        <f>IF($B274=1,$B$39,IF(N(Vintage_Input!L225)&gt;0,Vintage_Input!T225/Vintage_Input!L225,""))</f>
        <v/>
      </c>
      <c r="M274" s="152">
        <f>IF($B274=1,$C$39,IF(N(Vintage_Input!M225)&gt;0,Vintage_Input!U225/Vintage_Input!M225,""))</f>
        <v/>
      </c>
      <c r="N274" s="152">
        <f>IF($B274=1,$D$39,IF(N(Vintage_Input!N225)&gt;0,Vintage_Input!V225/Vintage_Input!N225,""))</f>
        <v/>
      </c>
      <c r="O274" s="152">
        <f>IF($B274=1,$E$39,IF(N(Vintage_Input!O225)&gt;0,Vintage_Input!W225/Vintage_Input!O225,""))</f>
        <v/>
      </c>
      <c r="P274" s="152">
        <f>IF($B274=1,$F$39,IF(N(Vintage_Input!P225)&gt;0,Vintage_Input!X225/Vintage_Input!P225,""))</f>
        <v/>
      </c>
      <c r="Q274" s="152">
        <f>IF($B274=1,$G$39,IF(N(Vintage_Input!Q225)&gt;0,Vintage_Input!Y225/Vintage_Input!Q225,""))</f>
        <v/>
      </c>
      <c r="R274" s="152">
        <f>IF($B274=1,$H$39,IF(N(Vintage_Input!R225)&gt;0,Vintage_Input!Z225/Vintage_Input!R225,""))</f>
        <v/>
      </c>
      <c r="S274" s="152">
        <f>IF($B274=1,$I$39,IF(N(Vintage_Input!S225)&gt;0,Vintage_Input!AA225/Vintage_Input!S225,""))</f>
        <v/>
      </c>
      <c r="T274" s="152">
        <f>IF($B274=1,$B$40,IF(N(Vintage_Input!L225)&gt;0,Vintage_Input!AB225/Vintage_Input!L225,""))</f>
        <v/>
      </c>
      <c r="U274" s="152">
        <f>IF($B274=1,$C$40,IF(N(Vintage_Input!M225)&gt;0,Vintage_Input!AC225/Vintage_Input!M225,""))</f>
        <v/>
      </c>
      <c r="V274" s="152">
        <f>IF($B274=1,$D$40,IF(N(Vintage_Input!N225)&gt;0,Vintage_Input!AD225/Vintage_Input!N225,""))</f>
        <v/>
      </c>
      <c r="W274" s="152">
        <f>IF($B274=1,$E$40,IF(N(Vintage_Input!O225)&gt;0,Vintage_Input!AE225/Vintage_Input!O225,""))</f>
        <v/>
      </c>
      <c r="X274" s="152">
        <f>IF($B274=1,$F$40,IF(N(Vintage_Input!P225)&gt;0,Vintage_Input!AF225/Vintage_Input!P225,""))</f>
        <v/>
      </c>
      <c r="Y274" s="152">
        <f>IF($B274=1,$G$40,IF(N(Vintage_Input!Q225)&gt;0,Vintage_Input!AG225/Vintage_Input!Q225,""))</f>
        <v/>
      </c>
      <c r="Z274" s="152">
        <f>IF($B274=1,$H$40,IF(N(Vintage_Input!R225)&gt;0,Vintage_Input!AH225/Vintage_Input!R225,""))</f>
        <v/>
      </c>
      <c r="AA274" s="152">
        <f>IF($B274=1,$I$40,IF(N(Vintage_Input!S225)&gt;0,Vintage_Input!AI225/Vintage_Input!S225,""))</f>
        <v/>
      </c>
      <c r="AB274" s="152">
        <f>IF($B274=1,$B$41,IF(N(Vintage_Input!L225)&gt;0,Vintage_Input!AJ225/Vintage_Input!L225,""))</f>
        <v/>
      </c>
      <c r="AC274" s="152">
        <f>IF($B274=1,$C$41,IF(N(Vintage_Input!M225)&gt;0,Vintage_Input!AK225/Vintage_Input!M225,""))</f>
        <v/>
      </c>
      <c r="AD274" s="152">
        <f>IF($B274=1,$D$41,IF(N(Vintage_Input!N225)&gt;0,Vintage_Input!AL225/Vintage_Input!N225,""))</f>
        <v/>
      </c>
      <c r="AE274" s="152">
        <f>IF($B274=1,$E$41,IF(N(Vintage_Input!O225)&gt;0,Vintage_Input!AM225/Vintage_Input!O225,""))</f>
        <v/>
      </c>
      <c r="AF274" s="152">
        <f>IF($B274=1,$F$41,IF(N(Vintage_Input!P225)&gt;0,Vintage_Input!AN225/Vintage_Input!P225,""))</f>
        <v/>
      </c>
      <c r="AG274" s="152">
        <f>IF($B274=1,$G$41,IF(N(Vintage_Input!Q225)&gt;0,Vintage_Input!AO225/Vintage_Input!Q225,""))</f>
        <v/>
      </c>
      <c r="AH274" s="152">
        <f>IF($B274=1,$H$41,IF(N(Vintage_Input!R225)&gt;0,Vintage_Input!AP225/Vintage_Input!R225,""))</f>
        <v/>
      </c>
      <c r="AI274" s="152">
        <f>IF($B274=1,$I$41,IF(N(Vintage_Input!S225)&gt;0,Vintage_Input!AQ225/Vintage_Input!S225,""))</f>
        <v/>
      </c>
      <c r="AJ274" s="152">
        <f>IF($B274=1,$B$42,IF(N(Vintage_Input!L225)&gt;0,IFERROR(Vintage_Input!AR225/Vintage_Input!AJ225,""),""))</f>
        <v/>
      </c>
      <c r="AK274" s="152">
        <f>IF($B274=1,$C$42,IF(N(Vintage_Input!M225)&gt;0,IFERROR(Vintage_Input!AS225/Vintage_Input!AK225,""),""))</f>
        <v/>
      </c>
      <c r="AL274" s="152">
        <f>IF($B274=1,$D$42,IF(N(Vintage_Input!N225)&gt;0,IFERROR(Vintage_Input!AT225/Vintage_Input!AL225,""),""))</f>
        <v/>
      </c>
      <c r="AM274" s="152">
        <f>IF($B274=1,$E$42,IF(N(Vintage_Input!O225)&gt;0,IFERROR(Vintage_Input!AU225/Vintage_Input!AM225,""),""))</f>
        <v/>
      </c>
      <c r="AN274" s="152">
        <f>IF($B274=1,$F$42,IF(N(Vintage_Input!P225)&gt;0,IFERROR(Vintage_Input!AV225/Vintage_Input!AN225,""),""))</f>
        <v/>
      </c>
      <c r="AO274" s="152">
        <f>IF($B274=1,$G$42,IF(N(Vintage_Input!Q225)&gt;0,IFERROR(Vintage_Input!AW225/Vintage_Input!AO225,""),""))</f>
        <v/>
      </c>
      <c r="AP274" s="152">
        <f>IF($B274=1,$H$42,IF(N(Vintage_Input!R225)&gt;0,IFERROR(Vintage_Input!AX225/Vintage_Input!AP225,""),""))</f>
        <v/>
      </c>
      <c r="AQ274" s="152">
        <f>IF($B274=1,$I$42,IF(N(Vintage_Input!S225)&gt;0,IFERROR(Vintage_Input!AY225/Vintage_Input!AQ225,""),""))</f>
        <v/>
      </c>
      <c r="AR274" s="152">
        <f>IF($B274=1,$B$43,IF(N(Vintage_Input!L225)&gt;0,IFERROR(Vintage_Input!AZ225/$C274,""),""))</f>
        <v/>
      </c>
      <c r="AS274" s="152">
        <f>IF($B274=1,$C$43,IF(N(Vintage_Input!M225)&gt;0,IFERROR(Vintage_Input!BA225/$C274,""),""))</f>
        <v/>
      </c>
      <c r="AT274" s="152">
        <f>IF($B274=1,$D$43,IF(N(Vintage_Input!N225)&gt;0,IFERROR(Vintage_Input!BB225/$C274,""),""))</f>
        <v/>
      </c>
      <c r="AU274" s="152">
        <f>IF($B274=1,$E$43,IF(N(Vintage_Input!O225)&gt;0,IFERROR(Vintage_Input!BC225/$C274,""),""))</f>
        <v/>
      </c>
      <c r="AV274" s="152">
        <f>IF($B274=1,$F$43,IF(N(Vintage_Input!P225)&gt;0,IFERROR(Vintage_Input!BD225/$C274,""),""))</f>
        <v/>
      </c>
      <c r="AW274" s="152">
        <f>IF($B274=1,$G$43,IF(N(Vintage_Input!Q225)&gt;0,IFERROR(Vintage_Input!BE225/$C274,""),""))</f>
        <v/>
      </c>
      <c r="AX274" s="152">
        <f>IF($B274=1,$H$43,IF(N(Vintage_Input!R225)&gt;0,IFERROR(Vintage_Input!BF225/$C274,""),""))</f>
        <v/>
      </c>
      <c r="AY274" s="152">
        <f>IF($B274=1,$I$43,IF(N(Vintage_Input!S225)&gt;0,IFERROR(Vintage_Input!BG225/$C274,""),""))</f>
        <v/>
      </c>
      <c r="AZ274" s="153">
        <f>IF($B274=1,$B$44,IF(N(Vintage_Input!L225)&gt;0,IFERROR((Vintage_Input!D225+Vintage_Input!AR225)/$C274+Products!$F$14-(Products!$F$43+Products!$F$19+Products!$F$43*Products!$F$22+Products!$F$44),""),""))</f>
        <v/>
      </c>
      <c r="BA274" s="153">
        <f>IF($B274=1,$C$44,IF(N(Vintage_Input!M225)&gt;0,IFERROR((Vintage_Input!E225+Vintage_Input!AS225)/$C274+Products!$F$14-(Products!$F$43+Products!$F$19+Products!$F$43*Products!$F$22+Products!$F$44),""),""))</f>
        <v/>
      </c>
      <c r="BB274" s="153">
        <f>IF($B274=1,$D$44,IF(N(Vintage_Input!N225)&gt;0,IFERROR((Vintage_Input!F225+Vintage_Input!AT225)/$C274+Products!$F$14-(Products!$F$43+Products!$F$19+Products!$F$43*Products!$F$22+Products!$F$44),""),""))</f>
        <v/>
      </c>
      <c r="BC274" s="153">
        <f>IF($B274=1,$E$44,IF(N(Vintage_Input!O225)&gt;0,IFERROR((Vintage_Input!G225+Vintage_Input!AU225)/$C274+Products!$F$14-(Products!$F$43+Products!$F$19+Products!$F$43*Products!$F$22+Products!$F$44),""),""))</f>
        <v/>
      </c>
      <c r="BD274" s="153">
        <f>IF($B274=1,$F$44,IF(N(Vintage_Input!P225)&gt;0,IFERROR((Vintage_Input!H225+Vintage_Input!AV225)/$C274+Products!$F$14-(Products!$F$43+Products!$F$19+Products!$F$43*Products!$F$22+Products!$F$44),""),""))</f>
        <v/>
      </c>
      <c r="BE274" s="153">
        <f>IF($B274=1,$G$44,IF(N(Vintage_Input!Q225)&gt;0,IFERROR((Vintage_Input!I225+Vintage_Input!AW225)/$C274+Products!$F$14-(Products!$F$43+Products!$F$19+Products!$F$43*Products!$F$22+Products!$F$44),""),""))</f>
        <v/>
      </c>
      <c r="BF274" s="153">
        <f>IF($B274=1,$H$44,IF(N(Vintage_Input!R225)&gt;0,IFERROR((Vintage_Input!J225+Vintage_Input!AX225)/$C274+Products!$F$14-(Products!$F$43+Products!$F$19+Products!$F$43*Products!$F$22+Products!$F$44),""),""))</f>
        <v/>
      </c>
      <c r="BG274" s="153">
        <f>IF($B274=1,$I$44,IF(N(Vintage_Input!S225)&gt;0,IFERROR((Vintage_Input!K225+Vintage_Input!AY225)/$C274+Products!$F$14-(Products!$F$43+Products!$F$19+Products!$F$43*Products!$F$22+Products!$F$44),""),""))</f>
        <v/>
      </c>
      <c r="BH274" s="81">
        <f>IF($B274=1,0,IF(Vintage_Input!$BH$225="","",Vintage_Input!$BH$225))</f>
        <v/>
      </c>
    </row>
    <row r="275">
      <c r="A275" s="23" t="n">
        <v>23</v>
      </c>
      <c r="B275" s="48">
        <f>Vintage_Input!$B$226</f>
        <v/>
      </c>
      <c r="C275" s="41">
        <f>IF(Vintage_Input!$C$226="",0,Vintage_Input!$C$226)</f>
        <v/>
      </c>
      <c r="D275" s="152">
        <f>IF($B275=1,$B$38,IF(N(Vintage_Input!L226)&gt;0,Vintage_Input!D226/Vintage_Input!L226,""))</f>
        <v/>
      </c>
      <c r="E275" s="152">
        <f>IF($B275=1,$C$38,IF(N(Vintage_Input!M226)&gt;0,Vintage_Input!E226/Vintage_Input!M226,""))</f>
        <v/>
      </c>
      <c r="F275" s="152">
        <f>IF($B275=1,$D$38,IF(N(Vintage_Input!N226)&gt;0,Vintage_Input!F226/Vintage_Input!N226,""))</f>
        <v/>
      </c>
      <c r="G275" s="152">
        <f>IF($B275=1,$E$38,IF(N(Vintage_Input!O226)&gt;0,Vintage_Input!G226/Vintage_Input!O226,""))</f>
        <v/>
      </c>
      <c r="H275" s="152">
        <f>IF($B275=1,$F$38,IF(N(Vintage_Input!P226)&gt;0,Vintage_Input!H226/Vintage_Input!P226,""))</f>
        <v/>
      </c>
      <c r="I275" s="152">
        <f>IF($B275=1,$G$38,IF(N(Vintage_Input!Q226)&gt;0,Vintage_Input!I226/Vintage_Input!Q226,""))</f>
        <v/>
      </c>
      <c r="J275" s="152">
        <f>IF($B275=1,$H$38,IF(N(Vintage_Input!R226)&gt;0,Vintage_Input!J226/Vintage_Input!R226,""))</f>
        <v/>
      </c>
      <c r="K275" s="152">
        <f>IF($B275=1,$I$38,IF(N(Vintage_Input!S226)&gt;0,Vintage_Input!K226/Vintage_Input!S226,""))</f>
        <v/>
      </c>
      <c r="L275" s="152">
        <f>IF($B275=1,$B$39,IF(N(Vintage_Input!L226)&gt;0,Vintage_Input!T226/Vintage_Input!L226,""))</f>
        <v/>
      </c>
      <c r="M275" s="152">
        <f>IF($B275=1,$C$39,IF(N(Vintage_Input!M226)&gt;0,Vintage_Input!U226/Vintage_Input!M226,""))</f>
        <v/>
      </c>
      <c r="N275" s="152">
        <f>IF($B275=1,$D$39,IF(N(Vintage_Input!N226)&gt;0,Vintage_Input!V226/Vintage_Input!N226,""))</f>
        <v/>
      </c>
      <c r="O275" s="152">
        <f>IF($B275=1,$E$39,IF(N(Vintage_Input!O226)&gt;0,Vintage_Input!W226/Vintage_Input!O226,""))</f>
        <v/>
      </c>
      <c r="P275" s="152">
        <f>IF($B275=1,$F$39,IF(N(Vintage_Input!P226)&gt;0,Vintage_Input!X226/Vintage_Input!P226,""))</f>
        <v/>
      </c>
      <c r="Q275" s="152">
        <f>IF($B275=1,$G$39,IF(N(Vintage_Input!Q226)&gt;0,Vintage_Input!Y226/Vintage_Input!Q226,""))</f>
        <v/>
      </c>
      <c r="R275" s="152">
        <f>IF($B275=1,$H$39,IF(N(Vintage_Input!R226)&gt;0,Vintage_Input!Z226/Vintage_Input!R226,""))</f>
        <v/>
      </c>
      <c r="S275" s="152">
        <f>IF($B275=1,$I$39,IF(N(Vintage_Input!S226)&gt;0,Vintage_Input!AA226/Vintage_Input!S226,""))</f>
        <v/>
      </c>
      <c r="T275" s="152">
        <f>IF($B275=1,$B$40,IF(N(Vintage_Input!L226)&gt;0,Vintage_Input!AB226/Vintage_Input!L226,""))</f>
        <v/>
      </c>
      <c r="U275" s="152">
        <f>IF($B275=1,$C$40,IF(N(Vintage_Input!M226)&gt;0,Vintage_Input!AC226/Vintage_Input!M226,""))</f>
        <v/>
      </c>
      <c r="V275" s="152">
        <f>IF($B275=1,$D$40,IF(N(Vintage_Input!N226)&gt;0,Vintage_Input!AD226/Vintage_Input!N226,""))</f>
        <v/>
      </c>
      <c r="W275" s="152">
        <f>IF($B275=1,$E$40,IF(N(Vintage_Input!O226)&gt;0,Vintage_Input!AE226/Vintage_Input!O226,""))</f>
        <v/>
      </c>
      <c r="X275" s="152">
        <f>IF($B275=1,$F$40,IF(N(Vintage_Input!P226)&gt;0,Vintage_Input!AF226/Vintage_Input!P226,""))</f>
        <v/>
      </c>
      <c r="Y275" s="152">
        <f>IF($B275=1,$G$40,IF(N(Vintage_Input!Q226)&gt;0,Vintage_Input!AG226/Vintage_Input!Q226,""))</f>
        <v/>
      </c>
      <c r="Z275" s="152">
        <f>IF($B275=1,$H$40,IF(N(Vintage_Input!R226)&gt;0,Vintage_Input!AH226/Vintage_Input!R226,""))</f>
        <v/>
      </c>
      <c r="AA275" s="152">
        <f>IF($B275=1,$I$40,IF(N(Vintage_Input!S226)&gt;0,Vintage_Input!AI226/Vintage_Input!S226,""))</f>
        <v/>
      </c>
      <c r="AB275" s="152">
        <f>IF($B275=1,$B$41,IF(N(Vintage_Input!L226)&gt;0,Vintage_Input!AJ226/Vintage_Input!L226,""))</f>
        <v/>
      </c>
      <c r="AC275" s="152">
        <f>IF($B275=1,$C$41,IF(N(Vintage_Input!M226)&gt;0,Vintage_Input!AK226/Vintage_Input!M226,""))</f>
        <v/>
      </c>
      <c r="AD275" s="152">
        <f>IF($B275=1,$D$41,IF(N(Vintage_Input!N226)&gt;0,Vintage_Input!AL226/Vintage_Input!N226,""))</f>
        <v/>
      </c>
      <c r="AE275" s="152">
        <f>IF($B275=1,$E$41,IF(N(Vintage_Input!O226)&gt;0,Vintage_Input!AM226/Vintage_Input!O226,""))</f>
        <v/>
      </c>
      <c r="AF275" s="152">
        <f>IF($B275=1,$F$41,IF(N(Vintage_Input!P226)&gt;0,Vintage_Input!AN226/Vintage_Input!P226,""))</f>
        <v/>
      </c>
      <c r="AG275" s="152">
        <f>IF($B275=1,$G$41,IF(N(Vintage_Input!Q226)&gt;0,Vintage_Input!AO226/Vintage_Input!Q226,""))</f>
        <v/>
      </c>
      <c r="AH275" s="152">
        <f>IF($B275=1,$H$41,IF(N(Vintage_Input!R226)&gt;0,Vintage_Input!AP226/Vintage_Input!R226,""))</f>
        <v/>
      </c>
      <c r="AI275" s="152">
        <f>IF($B275=1,$I$41,IF(N(Vintage_Input!S226)&gt;0,Vintage_Input!AQ226/Vintage_Input!S226,""))</f>
        <v/>
      </c>
      <c r="AJ275" s="152">
        <f>IF($B275=1,$B$42,IF(N(Vintage_Input!L226)&gt;0,IFERROR(Vintage_Input!AR226/Vintage_Input!AJ226,""),""))</f>
        <v/>
      </c>
      <c r="AK275" s="152">
        <f>IF($B275=1,$C$42,IF(N(Vintage_Input!M226)&gt;0,IFERROR(Vintage_Input!AS226/Vintage_Input!AK226,""),""))</f>
        <v/>
      </c>
      <c r="AL275" s="152">
        <f>IF($B275=1,$D$42,IF(N(Vintage_Input!N226)&gt;0,IFERROR(Vintage_Input!AT226/Vintage_Input!AL226,""),""))</f>
        <v/>
      </c>
      <c r="AM275" s="152">
        <f>IF($B275=1,$E$42,IF(N(Vintage_Input!O226)&gt;0,IFERROR(Vintage_Input!AU226/Vintage_Input!AM226,""),""))</f>
        <v/>
      </c>
      <c r="AN275" s="152">
        <f>IF($B275=1,$F$42,IF(N(Vintage_Input!P226)&gt;0,IFERROR(Vintage_Input!AV226/Vintage_Input!AN226,""),""))</f>
        <v/>
      </c>
      <c r="AO275" s="152">
        <f>IF($B275=1,$G$42,IF(N(Vintage_Input!Q226)&gt;0,IFERROR(Vintage_Input!AW226/Vintage_Input!AO226,""),""))</f>
        <v/>
      </c>
      <c r="AP275" s="152">
        <f>IF($B275=1,$H$42,IF(N(Vintage_Input!R226)&gt;0,IFERROR(Vintage_Input!AX226/Vintage_Input!AP226,""),""))</f>
        <v/>
      </c>
      <c r="AQ275" s="152">
        <f>IF($B275=1,$I$42,IF(N(Vintage_Input!S226)&gt;0,IFERROR(Vintage_Input!AY226/Vintage_Input!AQ226,""),""))</f>
        <v/>
      </c>
      <c r="AR275" s="152">
        <f>IF($B275=1,$B$43,IF(N(Vintage_Input!L226)&gt;0,IFERROR(Vintage_Input!AZ226/$C275,""),""))</f>
        <v/>
      </c>
      <c r="AS275" s="152">
        <f>IF($B275=1,$C$43,IF(N(Vintage_Input!M226)&gt;0,IFERROR(Vintage_Input!BA226/$C275,""),""))</f>
        <v/>
      </c>
      <c r="AT275" s="152">
        <f>IF($B275=1,$D$43,IF(N(Vintage_Input!N226)&gt;0,IFERROR(Vintage_Input!BB226/$C275,""),""))</f>
        <v/>
      </c>
      <c r="AU275" s="152">
        <f>IF($B275=1,$E$43,IF(N(Vintage_Input!O226)&gt;0,IFERROR(Vintage_Input!BC226/$C275,""),""))</f>
        <v/>
      </c>
      <c r="AV275" s="152">
        <f>IF($B275=1,$F$43,IF(N(Vintage_Input!P226)&gt;0,IFERROR(Vintage_Input!BD226/$C275,""),""))</f>
        <v/>
      </c>
      <c r="AW275" s="152">
        <f>IF($B275=1,$G$43,IF(N(Vintage_Input!Q226)&gt;0,IFERROR(Vintage_Input!BE226/$C275,""),""))</f>
        <v/>
      </c>
      <c r="AX275" s="152">
        <f>IF($B275=1,$H$43,IF(N(Vintage_Input!R226)&gt;0,IFERROR(Vintage_Input!BF226/$C275,""),""))</f>
        <v/>
      </c>
      <c r="AY275" s="152">
        <f>IF($B275=1,$I$43,IF(N(Vintage_Input!S226)&gt;0,IFERROR(Vintage_Input!BG226/$C275,""),""))</f>
        <v/>
      </c>
      <c r="AZ275" s="153">
        <f>IF($B275=1,$B$44,IF(N(Vintage_Input!L226)&gt;0,IFERROR((Vintage_Input!D226+Vintage_Input!AR226)/$C275+Products!$F$14-(Products!$F$43+Products!$F$19+Products!$F$43*Products!$F$22+Products!$F$44),""),""))</f>
        <v/>
      </c>
      <c r="BA275" s="153">
        <f>IF($B275=1,$C$44,IF(N(Vintage_Input!M226)&gt;0,IFERROR((Vintage_Input!E226+Vintage_Input!AS226)/$C275+Products!$F$14-(Products!$F$43+Products!$F$19+Products!$F$43*Products!$F$22+Products!$F$44),""),""))</f>
        <v/>
      </c>
      <c r="BB275" s="153">
        <f>IF($B275=1,$D$44,IF(N(Vintage_Input!N226)&gt;0,IFERROR((Vintage_Input!F226+Vintage_Input!AT226)/$C275+Products!$F$14-(Products!$F$43+Products!$F$19+Products!$F$43*Products!$F$22+Products!$F$44),""),""))</f>
        <v/>
      </c>
      <c r="BC275" s="153">
        <f>IF($B275=1,$E$44,IF(N(Vintage_Input!O226)&gt;0,IFERROR((Vintage_Input!G226+Vintage_Input!AU226)/$C275+Products!$F$14-(Products!$F$43+Products!$F$19+Products!$F$43*Products!$F$22+Products!$F$44),""),""))</f>
        <v/>
      </c>
      <c r="BD275" s="153">
        <f>IF($B275=1,$F$44,IF(N(Vintage_Input!P226)&gt;0,IFERROR((Vintage_Input!H226+Vintage_Input!AV226)/$C275+Products!$F$14-(Products!$F$43+Products!$F$19+Products!$F$43*Products!$F$22+Products!$F$44),""),""))</f>
        <v/>
      </c>
      <c r="BE275" s="153">
        <f>IF($B275=1,$G$44,IF(N(Vintage_Input!Q226)&gt;0,IFERROR((Vintage_Input!I226+Vintage_Input!AW226)/$C275+Products!$F$14-(Products!$F$43+Products!$F$19+Products!$F$43*Products!$F$22+Products!$F$44),""),""))</f>
        <v/>
      </c>
      <c r="BF275" s="153">
        <f>IF($B275=1,$H$44,IF(N(Vintage_Input!R226)&gt;0,IFERROR((Vintage_Input!J226+Vintage_Input!AX226)/$C275+Products!$F$14-(Products!$F$43+Products!$F$19+Products!$F$43*Products!$F$22+Products!$F$44),""),""))</f>
        <v/>
      </c>
      <c r="BG275" s="153">
        <f>IF($B275=1,$I$44,IF(N(Vintage_Input!S226)&gt;0,IFERROR((Vintage_Input!K226+Vintage_Input!AY226)/$C275+Products!$F$14-(Products!$F$43+Products!$F$19+Products!$F$43*Products!$F$22+Products!$F$44),""),""))</f>
        <v/>
      </c>
      <c r="BH275" s="81">
        <f>IF($B275=1,0,IF(Vintage_Input!$BH$226="","",Vintage_Input!$BH$226))</f>
        <v/>
      </c>
    </row>
    <row r="276">
      <c r="A276" s="23" t="n">
        <v>24</v>
      </c>
      <c r="B276" s="48">
        <f>Vintage_Input!$B$227</f>
        <v/>
      </c>
      <c r="C276" s="41">
        <f>IF(Vintage_Input!$C$227="",0,Vintage_Input!$C$227)</f>
        <v/>
      </c>
      <c r="D276" s="152">
        <f>IF($B276=1,$B$38,IF(N(Vintage_Input!L227)&gt;0,Vintage_Input!D227/Vintage_Input!L227,""))</f>
        <v/>
      </c>
      <c r="E276" s="152">
        <f>IF($B276=1,$C$38,IF(N(Vintage_Input!M227)&gt;0,Vintage_Input!E227/Vintage_Input!M227,""))</f>
        <v/>
      </c>
      <c r="F276" s="152">
        <f>IF($B276=1,$D$38,IF(N(Vintage_Input!N227)&gt;0,Vintage_Input!F227/Vintage_Input!N227,""))</f>
        <v/>
      </c>
      <c r="G276" s="152">
        <f>IF($B276=1,$E$38,IF(N(Vintage_Input!O227)&gt;0,Vintage_Input!G227/Vintage_Input!O227,""))</f>
        <v/>
      </c>
      <c r="H276" s="152">
        <f>IF($B276=1,$F$38,IF(N(Vintage_Input!P227)&gt;0,Vintage_Input!H227/Vintage_Input!P227,""))</f>
        <v/>
      </c>
      <c r="I276" s="152">
        <f>IF($B276=1,$G$38,IF(N(Vintage_Input!Q227)&gt;0,Vintage_Input!I227/Vintage_Input!Q227,""))</f>
        <v/>
      </c>
      <c r="J276" s="152">
        <f>IF($B276=1,$H$38,IF(N(Vintage_Input!R227)&gt;0,Vintage_Input!J227/Vintage_Input!R227,""))</f>
        <v/>
      </c>
      <c r="K276" s="152">
        <f>IF($B276=1,$I$38,IF(N(Vintage_Input!S227)&gt;0,Vintage_Input!K227/Vintage_Input!S227,""))</f>
        <v/>
      </c>
      <c r="L276" s="152">
        <f>IF($B276=1,$B$39,IF(N(Vintage_Input!L227)&gt;0,Vintage_Input!T227/Vintage_Input!L227,""))</f>
        <v/>
      </c>
      <c r="M276" s="152">
        <f>IF($B276=1,$C$39,IF(N(Vintage_Input!M227)&gt;0,Vintage_Input!U227/Vintage_Input!M227,""))</f>
        <v/>
      </c>
      <c r="N276" s="152">
        <f>IF($B276=1,$D$39,IF(N(Vintage_Input!N227)&gt;0,Vintage_Input!V227/Vintage_Input!N227,""))</f>
        <v/>
      </c>
      <c r="O276" s="152">
        <f>IF($B276=1,$E$39,IF(N(Vintage_Input!O227)&gt;0,Vintage_Input!W227/Vintage_Input!O227,""))</f>
        <v/>
      </c>
      <c r="P276" s="152">
        <f>IF($B276=1,$F$39,IF(N(Vintage_Input!P227)&gt;0,Vintage_Input!X227/Vintage_Input!P227,""))</f>
        <v/>
      </c>
      <c r="Q276" s="152">
        <f>IF($B276=1,$G$39,IF(N(Vintage_Input!Q227)&gt;0,Vintage_Input!Y227/Vintage_Input!Q227,""))</f>
        <v/>
      </c>
      <c r="R276" s="152">
        <f>IF($B276=1,$H$39,IF(N(Vintage_Input!R227)&gt;0,Vintage_Input!Z227/Vintage_Input!R227,""))</f>
        <v/>
      </c>
      <c r="S276" s="152">
        <f>IF($B276=1,$I$39,IF(N(Vintage_Input!S227)&gt;0,Vintage_Input!AA227/Vintage_Input!S227,""))</f>
        <v/>
      </c>
      <c r="T276" s="152">
        <f>IF($B276=1,$B$40,IF(N(Vintage_Input!L227)&gt;0,Vintage_Input!AB227/Vintage_Input!L227,""))</f>
        <v/>
      </c>
      <c r="U276" s="152">
        <f>IF($B276=1,$C$40,IF(N(Vintage_Input!M227)&gt;0,Vintage_Input!AC227/Vintage_Input!M227,""))</f>
        <v/>
      </c>
      <c r="V276" s="152">
        <f>IF($B276=1,$D$40,IF(N(Vintage_Input!N227)&gt;0,Vintage_Input!AD227/Vintage_Input!N227,""))</f>
        <v/>
      </c>
      <c r="W276" s="152">
        <f>IF($B276=1,$E$40,IF(N(Vintage_Input!O227)&gt;0,Vintage_Input!AE227/Vintage_Input!O227,""))</f>
        <v/>
      </c>
      <c r="X276" s="152">
        <f>IF($B276=1,$F$40,IF(N(Vintage_Input!P227)&gt;0,Vintage_Input!AF227/Vintage_Input!P227,""))</f>
        <v/>
      </c>
      <c r="Y276" s="152">
        <f>IF($B276=1,$G$40,IF(N(Vintage_Input!Q227)&gt;0,Vintage_Input!AG227/Vintage_Input!Q227,""))</f>
        <v/>
      </c>
      <c r="Z276" s="152">
        <f>IF($B276=1,$H$40,IF(N(Vintage_Input!R227)&gt;0,Vintage_Input!AH227/Vintage_Input!R227,""))</f>
        <v/>
      </c>
      <c r="AA276" s="152">
        <f>IF($B276=1,$I$40,IF(N(Vintage_Input!S227)&gt;0,Vintage_Input!AI227/Vintage_Input!S227,""))</f>
        <v/>
      </c>
      <c r="AB276" s="152">
        <f>IF($B276=1,$B$41,IF(N(Vintage_Input!L227)&gt;0,Vintage_Input!AJ227/Vintage_Input!L227,""))</f>
        <v/>
      </c>
      <c r="AC276" s="152">
        <f>IF($B276=1,$C$41,IF(N(Vintage_Input!M227)&gt;0,Vintage_Input!AK227/Vintage_Input!M227,""))</f>
        <v/>
      </c>
      <c r="AD276" s="152">
        <f>IF($B276=1,$D$41,IF(N(Vintage_Input!N227)&gt;0,Vintage_Input!AL227/Vintage_Input!N227,""))</f>
        <v/>
      </c>
      <c r="AE276" s="152">
        <f>IF($B276=1,$E$41,IF(N(Vintage_Input!O227)&gt;0,Vintage_Input!AM227/Vintage_Input!O227,""))</f>
        <v/>
      </c>
      <c r="AF276" s="152">
        <f>IF($B276=1,$F$41,IF(N(Vintage_Input!P227)&gt;0,Vintage_Input!AN227/Vintage_Input!P227,""))</f>
        <v/>
      </c>
      <c r="AG276" s="152">
        <f>IF($B276=1,$G$41,IF(N(Vintage_Input!Q227)&gt;0,Vintage_Input!AO227/Vintage_Input!Q227,""))</f>
        <v/>
      </c>
      <c r="AH276" s="152">
        <f>IF($B276=1,$H$41,IF(N(Vintage_Input!R227)&gt;0,Vintage_Input!AP227/Vintage_Input!R227,""))</f>
        <v/>
      </c>
      <c r="AI276" s="152">
        <f>IF($B276=1,$I$41,IF(N(Vintage_Input!S227)&gt;0,Vintage_Input!AQ227/Vintage_Input!S227,""))</f>
        <v/>
      </c>
      <c r="AJ276" s="152">
        <f>IF($B276=1,$B$42,IF(N(Vintage_Input!L227)&gt;0,IFERROR(Vintage_Input!AR227/Vintage_Input!AJ227,""),""))</f>
        <v/>
      </c>
      <c r="AK276" s="152">
        <f>IF($B276=1,$C$42,IF(N(Vintage_Input!M227)&gt;0,IFERROR(Vintage_Input!AS227/Vintage_Input!AK227,""),""))</f>
        <v/>
      </c>
      <c r="AL276" s="152">
        <f>IF($B276=1,$D$42,IF(N(Vintage_Input!N227)&gt;0,IFERROR(Vintage_Input!AT227/Vintage_Input!AL227,""),""))</f>
        <v/>
      </c>
      <c r="AM276" s="152">
        <f>IF($B276=1,$E$42,IF(N(Vintage_Input!O227)&gt;0,IFERROR(Vintage_Input!AU227/Vintage_Input!AM227,""),""))</f>
        <v/>
      </c>
      <c r="AN276" s="152">
        <f>IF($B276=1,$F$42,IF(N(Vintage_Input!P227)&gt;0,IFERROR(Vintage_Input!AV227/Vintage_Input!AN227,""),""))</f>
        <v/>
      </c>
      <c r="AO276" s="152">
        <f>IF($B276=1,$G$42,IF(N(Vintage_Input!Q227)&gt;0,IFERROR(Vintage_Input!AW227/Vintage_Input!AO227,""),""))</f>
        <v/>
      </c>
      <c r="AP276" s="152">
        <f>IF($B276=1,$H$42,IF(N(Vintage_Input!R227)&gt;0,IFERROR(Vintage_Input!AX227/Vintage_Input!AP227,""),""))</f>
        <v/>
      </c>
      <c r="AQ276" s="152">
        <f>IF($B276=1,$I$42,IF(N(Vintage_Input!S227)&gt;0,IFERROR(Vintage_Input!AY227/Vintage_Input!AQ227,""),""))</f>
        <v/>
      </c>
      <c r="AR276" s="152">
        <f>IF($B276=1,$B$43,IF(N(Vintage_Input!L227)&gt;0,IFERROR(Vintage_Input!AZ227/$C276,""),""))</f>
        <v/>
      </c>
      <c r="AS276" s="152">
        <f>IF($B276=1,$C$43,IF(N(Vintage_Input!M227)&gt;0,IFERROR(Vintage_Input!BA227/$C276,""),""))</f>
        <v/>
      </c>
      <c r="AT276" s="152">
        <f>IF($B276=1,$D$43,IF(N(Vintage_Input!N227)&gt;0,IFERROR(Vintage_Input!BB227/$C276,""),""))</f>
        <v/>
      </c>
      <c r="AU276" s="152">
        <f>IF($B276=1,$E$43,IF(N(Vintage_Input!O227)&gt;0,IFERROR(Vintage_Input!BC227/$C276,""),""))</f>
        <v/>
      </c>
      <c r="AV276" s="152">
        <f>IF($B276=1,$F$43,IF(N(Vintage_Input!P227)&gt;0,IFERROR(Vintage_Input!BD227/$C276,""),""))</f>
        <v/>
      </c>
      <c r="AW276" s="152">
        <f>IF($B276=1,$G$43,IF(N(Vintage_Input!Q227)&gt;0,IFERROR(Vintage_Input!BE227/$C276,""),""))</f>
        <v/>
      </c>
      <c r="AX276" s="152">
        <f>IF($B276=1,$H$43,IF(N(Vintage_Input!R227)&gt;0,IFERROR(Vintage_Input!BF227/$C276,""),""))</f>
        <v/>
      </c>
      <c r="AY276" s="152">
        <f>IF($B276=1,$I$43,IF(N(Vintage_Input!S227)&gt;0,IFERROR(Vintage_Input!BG227/$C276,""),""))</f>
        <v/>
      </c>
      <c r="AZ276" s="153">
        <f>IF($B276=1,$B$44,IF(N(Vintage_Input!L227)&gt;0,IFERROR((Vintage_Input!D227+Vintage_Input!AR227)/$C276+Products!$F$14-(Products!$F$43+Products!$F$19+Products!$F$43*Products!$F$22+Products!$F$44),""),""))</f>
        <v/>
      </c>
      <c r="BA276" s="153">
        <f>IF($B276=1,$C$44,IF(N(Vintage_Input!M227)&gt;0,IFERROR((Vintage_Input!E227+Vintage_Input!AS227)/$C276+Products!$F$14-(Products!$F$43+Products!$F$19+Products!$F$43*Products!$F$22+Products!$F$44),""),""))</f>
        <v/>
      </c>
      <c r="BB276" s="153">
        <f>IF($B276=1,$D$44,IF(N(Vintage_Input!N227)&gt;0,IFERROR((Vintage_Input!F227+Vintage_Input!AT227)/$C276+Products!$F$14-(Products!$F$43+Products!$F$19+Products!$F$43*Products!$F$22+Products!$F$44),""),""))</f>
        <v/>
      </c>
      <c r="BC276" s="153">
        <f>IF($B276=1,$E$44,IF(N(Vintage_Input!O227)&gt;0,IFERROR((Vintage_Input!G227+Vintage_Input!AU227)/$C276+Products!$F$14-(Products!$F$43+Products!$F$19+Products!$F$43*Products!$F$22+Products!$F$44),""),""))</f>
        <v/>
      </c>
      <c r="BD276" s="153">
        <f>IF($B276=1,$F$44,IF(N(Vintage_Input!P227)&gt;0,IFERROR((Vintage_Input!H227+Vintage_Input!AV227)/$C276+Products!$F$14-(Products!$F$43+Products!$F$19+Products!$F$43*Products!$F$22+Products!$F$44),""),""))</f>
        <v/>
      </c>
      <c r="BE276" s="153">
        <f>IF($B276=1,$G$44,IF(N(Vintage_Input!Q227)&gt;0,IFERROR((Vintage_Input!I227+Vintage_Input!AW227)/$C276+Products!$F$14-(Products!$F$43+Products!$F$19+Products!$F$43*Products!$F$22+Products!$F$44),""),""))</f>
        <v/>
      </c>
      <c r="BF276" s="153">
        <f>IF($B276=1,$H$44,IF(N(Vintage_Input!R227)&gt;0,IFERROR((Vintage_Input!J227+Vintage_Input!AX227)/$C276+Products!$F$14-(Products!$F$43+Products!$F$19+Products!$F$43*Products!$F$22+Products!$F$44),""),""))</f>
        <v/>
      </c>
      <c r="BG276" s="153">
        <f>IF($B276=1,$I$44,IF(N(Vintage_Input!S227)&gt;0,IFERROR((Vintage_Input!K227+Vintage_Input!AY227)/$C276+Products!$F$14-(Products!$F$43+Products!$F$19+Products!$F$43*Products!$F$22+Products!$F$44),""),""))</f>
        <v/>
      </c>
      <c r="BH276" s="81">
        <f>IF($B276=1,0,IF(Vintage_Input!$BH$227="","",Vintage_Input!$BH$227))</f>
        <v/>
      </c>
    </row>
    <row r="277">
      <c r="A277" s="23" t="n">
        <v>25</v>
      </c>
      <c r="B277" s="48">
        <f>Vintage_Input!$B$228</f>
        <v/>
      </c>
      <c r="C277" s="41">
        <f>IF(Vintage_Input!$C$228="",0,Vintage_Input!$C$228)</f>
        <v/>
      </c>
      <c r="D277" s="152">
        <f>IF($B277=1,$B$38,IF(N(Vintage_Input!L228)&gt;0,Vintage_Input!D228/Vintage_Input!L228,""))</f>
        <v/>
      </c>
      <c r="E277" s="152">
        <f>IF($B277=1,$C$38,IF(N(Vintage_Input!M228)&gt;0,Vintage_Input!E228/Vintage_Input!M228,""))</f>
        <v/>
      </c>
      <c r="F277" s="152">
        <f>IF($B277=1,$D$38,IF(N(Vintage_Input!N228)&gt;0,Vintage_Input!F228/Vintage_Input!N228,""))</f>
        <v/>
      </c>
      <c r="G277" s="152">
        <f>IF($B277=1,$E$38,IF(N(Vintage_Input!O228)&gt;0,Vintage_Input!G228/Vintage_Input!O228,""))</f>
        <v/>
      </c>
      <c r="H277" s="152">
        <f>IF($B277=1,$F$38,IF(N(Vintage_Input!P228)&gt;0,Vintage_Input!H228/Vintage_Input!P228,""))</f>
        <v/>
      </c>
      <c r="I277" s="152">
        <f>IF($B277=1,$G$38,IF(N(Vintage_Input!Q228)&gt;0,Vintage_Input!I228/Vintage_Input!Q228,""))</f>
        <v/>
      </c>
      <c r="J277" s="152">
        <f>IF($B277=1,$H$38,IF(N(Vintage_Input!R228)&gt;0,Vintage_Input!J228/Vintage_Input!R228,""))</f>
        <v/>
      </c>
      <c r="K277" s="152">
        <f>IF($B277=1,$I$38,IF(N(Vintage_Input!S228)&gt;0,Vintage_Input!K228/Vintage_Input!S228,""))</f>
        <v/>
      </c>
      <c r="L277" s="152">
        <f>IF($B277=1,$B$39,IF(N(Vintage_Input!L228)&gt;0,Vintage_Input!T228/Vintage_Input!L228,""))</f>
        <v/>
      </c>
      <c r="M277" s="152">
        <f>IF($B277=1,$C$39,IF(N(Vintage_Input!M228)&gt;0,Vintage_Input!U228/Vintage_Input!M228,""))</f>
        <v/>
      </c>
      <c r="N277" s="152">
        <f>IF($B277=1,$D$39,IF(N(Vintage_Input!N228)&gt;0,Vintage_Input!V228/Vintage_Input!N228,""))</f>
        <v/>
      </c>
      <c r="O277" s="152">
        <f>IF($B277=1,$E$39,IF(N(Vintage_Input!O228)&gt;0,Vintage_Input!W228/Vintage_Input!O228,""))</f>
        <v/>
      </c>
      <c r="P277" s="152">
        <f>IF($B277=1,$F$39,IF(N(Vintage_Input!P228)&gt;0,Vintage_Input!X228/Vintage_Input!P228,""))</f>
        <v/>
      </c>
      <c r="Q277" s="152">
        <f>IF($B277=1,$G$39,IF(N(Vintage_Input!Q228)&gt;0,Vintage_Input!Y228/Vintage_Input!Q228,""))</f>
        <v/>
      </c>
      <c r="R277" s="152">
        <f>IF($B277=1,$H$39,IF(N(Vintage_Input!R228)&gt;0,Vintage_Input!Z228/Vintage_Input!R228,""))</f>
        <v/>
      </c>
      <c r="S277" s="152">
        <f>IF($B277=1,$I$39,IF(N(Vintage_Input!S228)&gt;0,Vintage_Input!AA228/Vintage_Input!S228,""))</f>
        <v/>
      </c>
      <c r="T277" s="152">
        <f>IF($B277=1,$B$40,IF(N(Vintage_Input!L228)&gt;0,Vintage_Input!AB228/Vintage_Input!L228,""))</f>
        <v/>
      </c>
      <c r="U277" s="152">
        <f>IF($B277=1,$C$40,IF(N(Vintage_Input!M228)&gt;0,Vintage_Input!AC228/Vintage_Input!M228,""))</f>
        <v/>
      </c>
      <c r="V277" s="152">
        <f>IF($B277=1,$D$40,IF(N(Vintage_Input!N228)&gt;0,Vintage_Input!AD228/Vintage_Input!N228,""))</f>
        <v/>
      </c>
      <c r="W277" s="152">
        <f>IF($B277=1,$E$40,IF(N(Vintage_Input!O228)&gt;0,Vintage_Input!AE228/Vintage_Input!O228,""))</f>
        <v/>
      </c>
      <c r="X277" s="152">
        <f>IF($B277=1,$F$40,IF(N(Vintage_Input!P228)&gt;0,Vintage_Input!AF228/Vintage_Input!P228,""))</f>
        <v/>
      </c>
      <c r="Y277" s="152">
        <f>IF($B277=1,$G$40,IF(N(Vintage_Input!Q228)&gt;0,Vintage_Input!AG228/Vintage_Input!Q228,""))</f>
        <v/>
      </c>
      <c r="Z277" s="152">
        <f>IF($B277=1,$H$40,IF(N(Vintage_Input!R228)&gt;0,Vintage_Input!AH228/Vintage_Input!R228,""))</f>
        <v/>
      </c>
      <c r="AA277" s="152">
        <f>IF($B277=1,$I$40,IF(N(Vintage_Input!S228)&gt;0,Vintage_Input!AI228/Vintage_Input!S228,""))</f>
        <v/>
      </c>
      <c r="AB277" s="152">
        <f>IF($B277=1,$B$41,IF(N(Vintage_Input!L228)&gt;0,Vintage_Input!AJ228/Vintage_Input!L228,""))</f>
        <v/>
      </c>
      <c r="AC277" s="152">
        <f>IF($B277=1,$C$41,IF(N(Vintage_Input!M228)&gt;0,Vintage_Input!AK228/Vintage_Input!M228,""))</f>
        <v/>
      </c>
      <c r="AD277" s="152">
        <f>IF($B277=1,$D$41,IF(N(Vintage_Input!N228)&gt;0,Vintage_Input!AL228/Vintage_Input!N228,""))</f>
        <v/>
      </c>
      <c r="AE277" s="152">
        <f>IF($B277=1,$E$41,IF(N(Vintage_Input!O228)&gt;0,Vintage_Input!AM228/Vintage_Input!O228,""))</f>
        <v/>
      </c>
      <c r="AF277" s="152">
        <f>IF($B277=1,$F$41,IF(N(Vintage_Input!P228)&gt;0,Vintage_Input!AN228/Vintage_Input!P228,""))</f>
        <v/>
      </c>
      <c r="AG277" s="152">
        <f>IF($B277=1,$G$41,IF(N(Vintage_Input!Q228)&gt;0,Vintage_Input!AO228/Vintage_Input!Q228,""))</f>
        <v/>
      </c>
      <c r="AH277" s="152">
        <f>IF($B277=1,$H$41,IF(N(Vintage_Input!R228)&gt;0,Vintage_Input!AP228/Vintage_Input!R228,""))</f>
        <v/>
      </c>
      <c r="AI277" s="152">
        <f>IF($B277=1,$I$41,IF(N(Vintage_Input!S228)&gt;0,Vintage_Input!AQ228/Vintage_Input!S228,""))</f>
        <v/>
      </c>
      <c r="AJ277" s="152">
        <f>IF($B277=1,$B$42,IF(N(Vintage_Input!L228)&gt;0,IFERROR(Vintage_Input!AR228/Vintage_Input!AJ228,""),""))</f>
        <v/>
      </c>
      <c r="AK277" s="152">
        <f>IF($B277=1,$C$42,IF(N(Vintage_Input!M228)&gt;0,IFERROR(Vintage_Input!AS228/Vintage_Input!AK228,""),""))</f>
        <v/>
      </c>
      <c r="AL277" s="152">
        <f>IF($B277=1,$D$42,IF(N(Vintage_Input!N228)&gt;0,IFERROR(Vintage_Input!AT228/Vintage_Input!AL228,""),""))</f>
        <v/>
      </c>
      <c r="AM277" s="152">
        <f>IF($B277=1,$E$42,IF(N(Vintage_Input!O228)&gt;0,IFERROR(Vintage_Input!AU228/Vintage_Input!AM228,""),""))</f>
        <v/>
      </c>
      <c r="AN277" s="152">
        <f>IF($B277=1,$F$42,IF(N(Vintage_Input!P228)&gt;0,IFERROR(Vintage_Input!AV228/Vintage_Input!AN228,""),""))</f>
        <v/>
      </c>
      <c r="AO277" s="152">
        <f>IF($B277=1,$G$42,IF(N(Vintage_Input!Q228)&gt;0,IFERROR(Vintage_Input!AW228/Vintage_Input!AO228,""),""))</f>
        <v/>
      </c>
      <c r="AP277" s="152">
        <f>IF($B277=1,$H$42,IF(N(Vintage_Input!R228)&gt;0,IFERROR(Vintage_Input!AX228/Vintage_Input!AP228,""),""))</f>
        <v/>
      </c>
      <c r="AQ277" s="152">
        <f>IF($B277=1,$I$42,IF(N(Vintage_Input!S228)&gt;0,IFERROR(Vintage_Input!AY228/Vintage_Input!AQ228,""),""))</f>
        <v/>
      </c>
      <c r="AR277" s="152">
        <f>IF($B277=1,$B$43,IF(N(Vintage_Input!L228)&gt;0,IFERROR(Vintage_Input!AZ228/$C277,""),""))</f>
        <v/>
      </c>
      <c r="AS277" s="152">
        <f>IF($B277=1,$C$43,IF(N(Vintage_Input!M228)&gt;0,IFERROR(Vintage_Input!BA228/$C277,""),""))</f>
        <v/>
      </c>
      <c r="AT277" s="152">
        <f>IF($B277=1,$D$43,IF(N(Vintage_Input!N228)&gt;0,IFERROR(Vintage_Input!BB228/$C277,""),""))</f>
        <v/>
      </c>
      <c r="AU277" s="152">
        <f>IF($B277=1,$E$43,IF(N(Vintage_Input!O228)&gt;0,IFERROR(Vintage_Input!BC228/$C277,""),""))</f>
        <v/>
      </c>
      <c r="AV277" s="152">
        <f>IF($B277=1,$F$43,IF(N(Vintage_Input!P228)&gt;0,IFERROR(Vintage_Input!BD228/$C277,""),""))</f>
        <v/>
      </c>
      <c r="AW277" s="152">
        <f>IF($B277=1,$G$43,IF(N(Vintage_Input!Q228)&gt;0,IFERROR(Vintage_Input!BE228/$C277,""),""))</f>
        <v/>
      </c>
      <c r="AX277" s="152">
        <f>IF($B277=1,$H$43,IF(N(Vintage_Input!R228)&gt;0,IFERROR(Vintage_Input!BF228/$C277,""),""))</f>
        <v/>
      </c>
      <c r="AY277" s="152">
        <f>IF($B277=1,$I$43,IF(N(Vintage_Input!S228)&gt;0,IFERROR(Vintage_Input!BG228/$C277,""),""))</f>
        <v/>
      </c>
      <c r="AZ277" s="153">
        <f>IF($B277=1,$B$44,IF(N(Vintage_Input!L228)&gt;0,IFERROR((Vintage_Input!D228+Vintage_Input!AR228)/$C277+Products!$F$14-(Products!$F$43+Products!$F$19+Products!$F$43*Products!$F$22+Products!$F$44),""),""))</f>
        <v/>
      </c>
      <c r="BA277" s="153">
        <f>IF($B277=1,$C$44,IF(N(Vintage_Input!M228)&gt;0,IFERROR((Vintage_Input!E228+Vintage_Input!AS228)/$C277+Products!$F$14-(Products!$F$43+Products!$F$19+Products!$F$43*Products!$F$22+Products!$F$44),""),""))</f>
        <v/>
      </c>
      <c r="BB277" s="153">
        <f>IF($B277=1,$D$44,IF(N(Vintage_Input!N228)&gt;0,IFERROR((Vintage_Input!F228+Vintage_Input!AT228)/$C277+Products!$F$14-(Products!$F$43+Products!$F$19+Products!$F$43*Products!$F$22+Products!$F$44),""),""))</f>
        <v/>
      </c>
      <c r="BC277" s="153">
        <f>IF($B277=1,$E$44,IF(N(Vintage_Input!O228)&gt;0,IFERROR((Vintage_Input!G228+Vintage_Input!AU228)/$C277+Products!$F$14-(Products!$F$43+Products!$F$19+Products!$F$43*Products!$F$22+Products!$F$44),""),""))</f>
        <v/>
      </c>
      <c r="BD277" s="153">
        <f>IF($B277=1,$F$44,IF(N(Vintage_Input!P228)&gt;0,IFERROR((Vintage_Input!H228+Vintage_Input!AV228)/$C277+Products!$F$14-(Products!$F$43+Products!$F$19+Products!$F$43*Products!$F$22+Products!$F$44),""),""))</f>
        <v/>
      </c>
      <c r="BE277" s="153">
        <f>IF($B277=1,$G$44,IF(N(Vintage_Input!Q228)&gt;0,IFERROR((Vintage_Input!I228+Vintage_Input!AW228)/$C277+Products!$F$14-(Products!$F$43+Products!$F$19+Products!$F$43*Products!$F$22+Products!$F$44),""),""))</f>
        <v/>
      </c>
      <c r="BF277" s="153">
        <f>IF($B277=1,$H$44,IF(N(Vintage_Input!R228)&gt;0,IFERROR((Vintage_Input!J228+Vintage_Input!AX228)/$C277+Products!$F$14-(Products!$F$43+Products!$F$19+Products!$F$43*Products!$F$22+Products!$F$44),""),""))</f>
        <v/>
      </c>
      <c r="BG277" s="153">
        <f>IF($B277=1,$I$44,IF(N(Vintage_Input!S228)&gt;0,IFERROR((Vintage_Input!K228+Vintage_Input!AY228)/$C277+Products!$F$14-(Products!$F$43+Products!$F$19+Products!$F$43*Products!$F$22+Products!$F$44),""),""))</f>
        <v/>
      </c>
      <c r="BH277" s="81">
        <f>IF($B277=1,0,IF(Vintage_Input!$BH$228="","",Vintage_Input!$BH$228))</f>
        <v/>
      </c>
    </row>
    <row r="278">
      <c r="A278" s="23" t="n">
        <v>26</v>
      </c>
      <c r="B278" s="48">
        <f>Vintage_Input!$B$229</f>
        <v/>
      </c>
      <c r="C278" s="41">
        <f>IF(Vintage_Input!$C$229="",0,Vintage_Input!$C$229)</f>
        <v/>
      </c>
      <c r="D278" s="152">
        <f>IF($B278=1,$B$38,IF(N(Vintage_Input!L229)&gt;0,Vintage_Input!D229/Vintage_Input!L229,""))</f>
        <v/>
      </c>
      <c r="E278" s="152">
        <f>IF($B278=1,$C$38,IF(N(Vintage_Input!M229)&gt;0,Vintage_Input!E229/Vintage_Input!M229,""))</f>
        <v/>
      </c>
      <c r="F278" s="152">
        <f>IF($B278=1,$D$38,IF(N(Vintage_Input!N229)&gt;0,Vintage_Input!F229/Vintage_Input!N229,""))</f>
        <v/>
      </c>
      <c r="G278" s="152">
        <f>IF($B278=1,$E$38,IF(N(Vintage_Input!O229)&gt;0,Vintage_Input!G229/Vintage_Input!O229,""))</f>
        <v/>
      </c>
      <c r="H278" s="152">
        <f>IF($B278=1,$F$38,IF(N(Vintage_Input!P229)&gt;0,Vintage_Input!H229/Vintage_Input!P229,""))</f>
        <v/>
      </c>
      <c r="I278" s="152">
        <f>IF($B278=1,$G$38,IF(N(Vintage_Input!Q229)&gt;0,Vintage_Input!I229/Vintage_Input!Q229,""))</f>
        <v/>
      </c>
      <c r="J278" s="152">
        <f>IF($B278=1,$H$38,IF(N(Vintage_Input!R229)&gt;0,Vintage_Input!J229/Vintage_Input!R229,""))</f>
        <v/>
      </c>
      <c r="K278" s="152">
        <f>IF($B278=1,$I$38,IF(N(Vintage_Input!S229)&gt;0,Vintage_Input!K229/Vintage_Input!S229,""))</f>
        <v/>
      </c>
      <c r="L278" s="152">
        <f>IF($B278=1,$B$39,IF(N(Vintage_Input!L229)&gt;0,Vintage_Input!T229/Vintage_Input!L229,""))</f>
        <v/>
      </c>
      <c r="M278" s="152">
        <f>IF($B278=1,$C$39,IF(N(Vintage_Input!M229)&gt;0,Vintage_Input!U229/Vintage_Input!M229,""))</f>
        <v/>
      </c>
      <c r="N278" s="152">
        <f>IF($B278=1,$D$39,IF(N(Vintage_Input!N229)&gt;0,Vintage_Input!V229/Vintage_Input!N229,""))</f>
        <v/>
      </c>
      <c r="O278" s="152">
        <f>IF($B278=1,$E$39,IF(N(Vintage_Input!O229)&gt;0,Vintage_Input!W229/Vintage_Input!O229,""))</f>
        <v/>
      </c>
      <c r="P278" s="152">
        <f>IF($B278=1,$F$39,IF(N(Vintage_Input!P229)&gt;0,Vintage_Input!X229/Vintage_Input!P229,""))</f>
        <v/>
      </c>
      <c r="Q278" s="152">
        <f>IF($B278=1,$G$39,IF(N(Vintage_Input!Q229)&gt;0,Vintage_Input!Y229/Vintage_Input!Q229,""))</f>
        <v/>
      </c>
      <c r="R278" s="152">
        <f>IF($B278=1,$H$39,IF(N(Vintage_Input!R229)&gt;0,Vintage_Input!Z229/Vintage_Input!R229,""))</f>
        <v/>
      </c>
      <c r="S278" s="152">
        <f>IF($B278=1,$I$39,IF(N(Vintage_Input!S229)&gt;0,Vintage_Input!AA229/Vintage_Input!S229,""))</f>
        <v/>
      </c>
      <c r="T278" s="152">
        <f>IF($B278=1,$B$40,IF(N(Vintage_Input!L229)&gt;0,Vintage_Input!AB229/Vintage_Input!L229,""))</f>
        <v/>
      </c>
      <c r="U278" s="152">
        <f>IF($B278=1,$C$40,IF(N(Vintage_Input!M229)&gt;0,Vintage_Input!AC229/Vintage_Input!M229,""))</f>
        <v/>
      </c>
      <c r="V278" s="152">
        <f>IF($B278=1,$D$40,IF(N(Vintage_Input!N229)&gt;0,Vintage_Input!AD229/Vintage_Input!N229,""))</f>
        <v/>
      </c>
      <c r="W278" s="152">
        <f>IF($B278=1,$E$40,IF(N(Vintage_Input!O229)&gt;0,Vintage_Input!AE229/Vintage_Input!O229,""))</f>
        <v/>
      </c>
      <c r="X278" s="152">
        <f>IF($B278=1,$F$40,IF(N(Vintage_Input!P229)&gt;0,Vintage_Input!AF229/Vintage_Input!P229,""))</f>
        <v/>
      </c>
      <c r="Y278" s="152">
        <f>IF($B278=1,$G$40,IF(N(Vintage_Input!Q229)&gt;0,Vintage_Input!AG229/Vintage_Input!Q229,""))</f>
        <v/>
      </c>
      <c r="Z278" s="152">
        <f>IF($B278=1,$H$40,IF(N(Vintage_Input!R229)&gt;0,Vintage_Input!AH229/Vintage_Input!R229,""))</f>
        <v/>
      </c>
      <c r="AA278" s="152">
        <f>IF($B278=1,$I$40,IF(N(Vintage_Input!S229)&gt;0,Vintage_Input!AI229/Vintage_Input!S229,""))</f>
        <v/>
      </c>
      <c r="AB278" s="152">
        <f>IF($B278=1,$B$41,IF(N(Vintage_Input!L229)&gt;0,Vintage_Input!AJ229/Vintage_Input!L229,""))</f>
        <v/>
      </c>
      <c r="AC278" s="152">
        <f>IF($B278=1,$C$41,IF(N(Vintage_Input!M229)&gt;0,Vintage_Input!AK229/Vintage_Input!M229,""))</f>
        <v/>
      </c>
      <c r="AD278" s="152">
        <f>IF($B278=1,$D$41,IF(N(Vintage_Input!N229)&gt;0,Vintage_Input!AL229/Vintage_Input!N229,""))</f>
        <v/>
      </c>
      <c r="AE278" s="152">
        <f>IF($B278=1,$E$41,IF(N(Vintage_Input!O229)&gt;0,Vintage_Input!AM229/Vintage_Input!O229,""))</f>
        <v/>
      </c>
      <c r="AF278" s="152">
        <f>IF($B278=1,$F$41,IF(N(Vintage_Input!P229)&gt;0,Vintage_Input!AN229/Vintage_Input!P229,""))</f>
        <v/>
      </c>
      <c r="AG278" s="152">
        <f>IF($B278=1,$G$41,IF(N(Vintage_Input!Q229)&gt;0,Vintage_Input!AO229/Vintage_Input!Q229,""))</f>
        <v/>
      </c>
      <c r="AH278" s="152">
        <f>IF($B278=1,$H$41,IF(N(Vintage_Input!R229)&gt;0,Vintage_Input!AP229/Vintage_Input!R229,""))</f>
        <v/>
      </c>
      <c r="AI278" s="152">
        <f>IF($B278=1,$I$41,IF(N(Vintage_Input!S229)&gt;0,Vintage_Input!AQ229/Vintage_Input!S229,""))</f>
        <v/>
      </c>
      <c r="AJ278" s="152">
        <f>IF($B278=1,$B$42,IF(N(Vintage_Input!L229)&gt;0,IFERROR(Vintage_Input!AR229/Vintage_Input!AJ229,""),""))</f>
        <v/>
      </c>
      <c r="AK278" s="152">
        <f>IF($B278=1,$C$42,IF(N(Vintage_Input!M229)&gt;0,IFERROR(Vintage_Input!AS229/Vintage_Input!AK229,""),""))</f>
        <v/>
      </c>
      <c r="AL278" s="152">
        <f>IF($B278=1,$D$42,IF(N(Vintage_Input!N229)&gt;0,IFERROR(Vintage_Input!AT229/Vintage_Input!AL229,""),""))</f>
        <v/>
      </c>
      <c r="AM278" s="152">
        <f>IF($B278=1,$E$42,IF(N(Vintage_Input!O229)&gt;0,IFERROR(Vintage_Input!AU229/Vintage_Input!AM229,""),""))</f>
        <v/>
      </c>
      <c r="AN278" s="152">
        <f>IF($B278=1,$F$42,IF(N(Vintage_Input!P229)&gt;0,IFERROR(Vintage_Input!AV229/Vintage_Input!AN229,""),""))</f>
        <v/>
      </c>
      <c r="AO278" s="152">
        <f>IF($B278=1,$G$42,IF(N(Vintage_Input!Q229)&gt;0,IFERROR(Vintage_Input!AW229/Vintage_Input!AO229,""),""))</f>
        <v/>
      </c>
      <c r="AP278" s="152">
        <f>IF($B278=1,$H$42,IF(N(Vintage_Input!R229)&gt;0,IFERROR(Vintage_Input!AX229/Vintage_Input!AP229,""),""))</f>
        <v/>
      </c>
      <c r="AQ278" s="152">
        <f>IF($B278=1,$I$42,IF(N(Vintage_Input!S229)&gt;0,IFERROR(Vintage_Input!AY229/Vintage_Input!AQ229,""),""))</f>
        <v/>
      </c>
      <c r="AR278" s="152">
        <f>IF($B278=1,$B$43,IF(N(Vintage_Input!L229)&gt;0,IFERROR(Vintage_Input!AZ229/$C278,""),""))</f>
        <v/>
      </c>
      <c r="AS278" s="152">
        <f>IF($B278=1,$C$43,IF(N(Vintage_Input!M229)&gt;0,IFERROR(Vintage_Input!BA229/$C278,""),""))</f>
        <v/>
      </c>
      <c r="AT278" s="152">
        <f>IF($B278=1,$D$43,IF(N(Vintage_Input!N229)&gt;0,IFERROR(Vintage_Input!BB229/$C278,""),""))</f>
        <v/>
      </c>
      <c r="AU278" s="152">
        <f>IF($B278=1,$E$43,IF(N(Vintage_Input!O229)&gt;0,IFERROR(Vintage_Input!BC229/$C278,""),""))</f>
        <v/>
      </c>
      <c r="AV278" s="152">
        <f>IF($B278=1,$F$43,IF(N(Vintage_Input!P229)&gt;0,IFERROR(Vintage_Input!BD229/$C278,""),""))</f>
        <v/>
      </c>
      <c r="AW278" s="152">
        <f>IF($B278=1,$G$43,IF(N(Vintage_Input!Q229)&gt;0,IFERROR(Vintage_Input!BE229/$C278,""),""))</f>
        <v/>
      </c>
      <c r="AX278" s="152">
        <f>IF($B278=1,$H$43,IF(N(Vintage_Input!R229)&gt;0,IFERROR(Vintage_Input!BF229/$C278,""),""))</f>
        <v/>
      </c>
      <c r="AY278" s="152">
        <f>IF($B278=1,$I$43,IF(N(Vintage_Input!S229)&gt;0,IFERROR(Vintage_Input!BG229/$C278,""),""))</f>
        <v/>
      </c>
      <c r="AZ278" s="153">
        <f>IF($B278=1,$B$44,IF(N(Vintage_Input!L229)&gt;0,IFERROR((Vintage_Input!D229+Vintage_Input!AR229)/$C278+Products!$F$14-(Products!$F$43+Products!$F$19+Products!$F$43*Products!$F$22+Products!$F$44),""),""))</f>
        <v/>
      </c>
      <c r="BA278" s="153">
        <f>IF($B278=1,$C$44,IF(N(Vintage_Input!M229)&gt;0,IFERROR((Vintage_Input!E229+Vintage_Input!AS229)/$C278+Products!$F$14-(Products!$F$43+Products!$F$19+Products!$F$43*Products!$F$22+Products!$F$44),""),""))</f>
        <v/>
      </c>
      <c r="BB278" s="153">
        <f>IF($B278=1,$D$44,IF(N(Vintage_Input!N229)&gt;0,IFERROR((Vintage_Input!F229+Vintage_Input!AT229)/$C278+Products!$F$14-(Products!$F$43+Products!$F$19+Products!$F$43*Products!$F$22+Products!$F$44),""),""))</f>
        <v/>
      </c>
      <c r="BC278" s="153">
        <f>IF($B278=1,$E$44,IF(N(Vintage_Input!O229)&gt;0,IFERROR((Vintage_Input!G229+Vintage_Input!AU229)/$C278+Products!$F$14-(Products!$F$43+Products!$F$19+Products!$F$43*Products!$F$22+Products!$F$44),""),""))</f>
        <v/>
      </c>
      <c r="BD278" s="153">
        <f>IF($B278=1,$F$44,IF(N(Vintage_Input!P229)&gt;0,IFERROR((Vintage_Input!H229+Vintage_Input!AV229)/$C278+Products!$F$14-(Products!$F$43+Products!$F$19+Products!$F$43*Products!$F$22+Products!$F$44),""),""))</f>
        <v/>
      </c>
      <c r="BE278" s="153">
        <f>IF($B278=1,$G$44,IF(N(Vintage_Input!Q229)&gt;0,IFERROR((Vintage_Input!I229+Vintage_Input!AW229)/$C278+Products!$F$14-(Products!$F$43+Products!$F$19+Products!$F$43*Products!$F$22+Products!$F$44),""),""))</f>
        <v/>
      </c>
      <c r="BF278" s="153">
        <f>IF($B278=1,$H$44,IF(N(Vintage_Input!R229)&gt;0,IFERROR((Vintage_Input!J229+Vintage_Input!AX229)/$C278+Products!$F$14-(Products!$F$43+Products!$F$19+Products!$F$43*Products!$F$22+Products!$F$44),""),""))</f>
        <v/>
      </c>
      <c r="BG278" s="153">
        <f>IF($B278=1,$I$44,IF(N(Vintage_Input!S229)&gt;0,IFERROR((Vintage_Input!K229+Vintage_Input!AY229)/$C278+Products!$F$14-(Products!$F$43+Products!$F$19+Products!$F$43*Products!$F$22+Products!$F$44),""),""))</f>
        <v/>
      </c>
      <c r="BH278" s="81">
        <f>IF($B278=1,0,IF(Vintage_Input!$BH$229="","",Vintage_Input!$BH$229))</f>
        <v/>
      </c>
    </row>
    <row r="279">
      <c r="A279" s="23" t="n">
        <v>27</v>
      </c>
      <c r="B279" s="48">
        <f>Vintage_Input!$B$230</f>
        <v/>
      </c>
      <c r="C279" s="41">
        <f>IF(Vintage_Input!$C$230="",0,Vintage_Input!$C$230)</f>
        <v/>
      </c>
      <c r="D279" s="152">
        <f>IF($B279=1,$B$38,IF(N(Vintage_Input!L230)&gt;0,Vintage_Input!D230/Vintage_Input!L230,""))</f>
        <v/>
      </c>
      <c r="E279" s="152">
        <f>IF($B279=1,$C$38,IF(N(Vintage_Input!M230)&gt;0,Vintage_Input!E230/Vintage_Input!M230,""))</f>
        <v/>
      </c>
      <c r="F279" s="152">
        <f>IF($B279=1,$D$38,IF(N(Vintage_Input!N230)&gt;0,Vintage_Input!F230/Vintage_Input!N230,""))</f>
        <v/>
      </c>
      <c r="G279" s="152">
        <f>IF($B279=1,$E$38,IF(N(Vintage_Input!O230)&gt;0,Vintage_Input!G230/Vintage_Input!O230,""))</f>
        <v/>
      </c>
      <c r="H279" s="152">
        <f>IF($B279=1,$F$38,IF(N(Vintage_Input!P230)&gt;0,Vintage_Input!H230/Vintage_Input!P230,""))</f>
        <v/>
      </c>
      <c r="I279" s="152">
        <f>IF($B279=1,$G$38,IF(N(Vintage_Input!Q230)&gt;0,Vintage_Input!I230/Vintage_Input!Q230,""))</f>
        <v/>
      </c>
      <c r="J279" s="152">
        <f>IF($B279=1,$H$38,IF(N(Vintage_Input!R230)&gt;0,Vintage_Input!J230/Vintage_Input!R230,""))</f>
        <v/>
      </c>
      <c r="K279" s="152">
        <f>IF($B279=1,$I$38,IF(N(Vintage_Input!S230)&gt;0,Vintage_Input!K230/Vintage_Input!S230,""))</f>
        <v/>
      </c>
      <c r="L279" s="152">
        <f>IF($B279=1,$B$39,IF(N(Vintage_Input!L230)&gt;0,Vintage_Input!T230/Vintage_Input!L230,""))</f>
        <v/>
      </c>
      <c r="M279" s="152">
        <f>IF($B279=1,$C$39,IF(N(Vintage_Input!M230)&gt;0,Vintage_Input!U230/Vintage_Input!M230,""))</f>
        <v/>
      </c>
      <c r="N279" s="152">
        <f>IF($B279=1,$D$39,IF(N(Vintage_Input!N230)&gt;0,Vintage_Input!V230/Vintage_Input!N230,""))</f>
        <v/>
      </c>
      <c r="O279" s="152">
        <f>IF($B279=1,$E$39,IF(N(Vintage_Input!O230)&gt;0,Vintage_Input!W230/Vintage_Input!O230,""))</f>
        <v/>
      </c>
      <c r="P279" s="152">
        <f>IF($B279=1,$F$39,IF(N(Vintage_Input!P230)&gt;0,Vintage_Input!X230/Vintage_Input!P230,""))</f>
        <v/>
      </c>
      <c r="Q279" s="152">
        <f>IF($B279=1,$G$39,IF(N(Vintage_Input!Q230)&gt;0,Vintage_Input!Y230/Vintage_Input!Q230,""))</f>
        <v/>
      </c>
      <c r="R279" s="152">
        <f>IF($B279=1,$H$39,IF(N(Vintage_Input!R230)&gt;0,Vintage_Input!Z230/Vintage_Input!R230,""))</f>
        <v/>
      </c>
      <c r="S279" s="152">
        <f>IF($B279=1,$I$39,IF(N(Vintage_Input!S230)&gt;0,Vintage_Input!AA230/Vintage_Input!S230,""))</f>
        <v/>
      </c>
      <c r="T279" s="152">
        <f>IF($B279=1,$B$40,IF(N(Vintage_Input!L230)&gt;0,Vintage_Input!AB230/Vintage_Input!L230,""))</f>
        <v/>
      </c>
      <c r="U279" s="152">
        <f>IF($B279=1,$C$40,IF(N(Vintage_Input!M230)&gt;0,Vintage_Input!AC230/Vintage_Input!M230,""))</f>
        <v/>
      </c>
      <c r="V279" s="152">
        <f>IF($B279=1,$D$40,IF(N(Vintage_Input!N230)&gt;0,Vintage_Input!AD230/Vintage_Input!N230,""))</f>
        <v/>
      </c>
      <c r="W279" s="152">
        <f>IF($B279=1,$E$40,IF(N(Vintage_Input!O230)&gt;0,Vintage_Input!AE230/Vintage_Input!O230,""))</f>
        <v/>
      </c>
      <c r="X279" s="152">
        <f>IF($B279=1,$F$40,IF(N(Vintage_Input!P230)&gt;0,Vintage_Input!AF230/Vintage_Input!P230,""))</f>
        <v/>
      </c>
      <c r="Y279" s="152">
        <f>IF($B279=1,$G$40,IF(N(Vintage_Input!Q230)&gt;0,Vintage_Input!AG230/Vintage_Input!Q230,""))</f>
        <v/>
      </c>
      <c r="Z279" s="152">
        <f>IF($B279=1,$H$40,IF(N(Vintage_Input!R230)&gt;0,Vintage_Input!AH230/Vintage_Input!R230,""))</f>
        <v/>
      </c>
      <c r="AA279" s="152">
        <f>IF($B279=1,$I$40,IF(N(Vintage_Input!S230)&gt;0,Vintage_Input!AI230/Vintage_Input!S230,""))</f>
        <v/>
      </c>
      <c r="AB279" s="152">
        <f>IF($B279=1,$B$41,IF(N(Vintage_Input!L230)&gt;0,Vintage_Input!AJ230/Vintage_Input!L230,""))</f>
        <v/>
      </c>
      <c r="AC279" s="152">
        <f>IF($B279=1,$C$41,IF(N(Vintage_Input!M230)&gt;0,Vintage_Input!AK230/Vintage_Input!M230,""))</f>
        <v/>
      </c>
      <c r="AD279" s="152">
        <f>IF($B279=1,$D$41,IF(N(Vintage_Input!N230)&gt;0,Vintage_Input!AL230/Vintage_Input!N230,""))</f>
        <v/>
      </c>
      <c r="AE279" s="152">
        <f>IF($B279=1,$E$41,IF(N(Vintage_Input!O230)&gt;0,Vintage_Input!AM230/Vintage_Input!O230,""))</f>
        <v/>
      </c>
      <c r="AF279" s="152">
        <f>IF($B279=1,$F$41,IF(N(Vintage_Input!P230)&gt;0,Vintage_Input!AN230/Vintage_Input!P230,""))</f>
        <v/>
      </c>
      <c r="AG279" s="152">
        <f>IF($B279=1,$G$41,IF(N(Vintage_Input!Q230)&gt;0,Vintage_Input!AO230/Vintage_Input!Q230,""))</f>
        <v/>
      </c>
      <c r="AH279" s="152">
        <f>IF($B279=1,$H$41,IF(N(Vintage_Input!R230)&gt;0,Vintage_Input!AP230/Vintage_Input!R230,""))</f>
        <v/>
      </c>
      <c r="AI279" s="152">
        <f>IF($B279=1,$I$41,IF(N(Vintage_Input!S230)&gt;0,Vintage_Input!AQ230/Vintage_Input!S230,""))</f>
        <v/>
      </c>
      <c r="AJ279" s="152">
        <f>IF($B279=1,$B$42,IF(N(Vintage_Input!L230)&gt;0,IFERROR(Vintage_Input!AR230/Vintage_Input!AJ230,""),""))</f>
        <v/>
      </c>
      <c r="AK279" s="152">
        <f>IF($B279=1,$C$42,IF(N(Vintage_Input!M230)&gt;0,IFERROR(Vintage_Input!AS230/Vintage_Input!AK230,""),""))</f>
        <v/>
      </c>
      <c r="AL279" s="152">
        <f>IF($B279=1,$D$42,IF(N(Vintage_Input!N230)&gt;0,IFERROR(Vintage_Input!AT230/Vintage_Input!AL230,""),""))</f>
        <v/>
      </c>
      <c r="AM279" s="152">
        <f>IF($B279=1,$E$42,IF(N(Vintage_Input!O230)&gt;0,IFERROR(Vintage_Input!AU230/Vintage_Input!AM230,""),""))</f>
        <v/>
      </c>
      <c r="AN279" s="152">
        <f>IF($B279=1,$F$42,IF(N(Vintage_Input!P230)&gt;0,IFERROR(Vintage_Input!AV230/Vintage_Input!AN230,""),""))</f>
        <v/>
      </c>
      <c r="AO279" s="152">
        <f>IF($B279=1,$G$42,IF(N(Vintage_Input!Q230)&gt;0,IFERROR(Vintage_Input!AW230/Vintage_Input!AO230,""),""))</f>
        <v/>
      </c>
      <c r="AP279" s="152">
        <f>IF($B279=1,$H$42,IF(N(Vintage_Input!R230)&gt;0,IFERROR(Vintage_Input!AX230/Vintage_Input!AP230,""),""))</f>
        <v/>
      </c>
      <c r="AQ279" s="152">
        <f>IF($B279=1,$I$42,IF(N(Vintage_Input!S230)&gt;0,IFERROR(Vintage_Input!AY230/Vintage_Input!AQ230,""),""))</f>
        <v/>
      </c>
      <c r="AR279" s="152">
        <f>IF($B279=1,$B$43,IF(N(Vintage_Input!L230)&gt;0,IFERROR(Vintage_Input!AZ230/$C279,""),""))</f>
        <v/>
      </c>
      <c r="AS279" s="152">
        <f>IF($B279=1,$C$43,IF(N(Vintage_Input!M230)&gt;0,IFERROR(Vintage_Input!BA230/$C279,""),""))</f>
        <v/>
      </c>
      <c r="AT279" s="152">
        <f>IF($B279=1,$D$43,IF(N(Vintage_Input!N230)&gt;0,IFERROR(Vintage_Input!BB230/$C279,""),""))</f>
        <v/>
      </c>
      <c r="AU279" s="152">
        <f>IF($B279=1,$E$43,IF(N(Vintage_Input!O230)&gt;0,IFERROR(Vintage_Input!BC230/$C279,""),""))</f>
        <v/>
      </c>
      <c r="AV279" s="152">
        <f>IF($B279=1,$F$43,IF(N(Vintage_Input!P230)&gt;0,IFERROR(Vintage_Input!BD230/$C279,""),""))</f>
        <v/>
      </c>
      <c r="AW279" s="152">
        <f>IF($B279=1,$G$43,IF(N(Vintage_Input!Q230)&gt;0,IFERROR(Vintage_Input!BE230/$C279,""),""))</f>
        <v/>
      </c>
      <c r="AX279" s="152">
        <f>IF($B279=1,$H$43,IF(N(Vintage_Input!R230)&gt;0,IFERROR(Vintage_Input!BF230/$C279,""),""))</f>
        <v/>
      </c>
      <c r="AY279" s="152">
        <f>IF($B279=1,$I$43,IF(N(Vintage_Input!S230)&gt;0,IFERROR(Vintage_Input!BG230/$C279,""),""))</f>
        <v/>
      </c>
      <c r="AZ279" s="153">
        <f>IF($B279=1,$B$44,IF(N(Vintage_Input!L230)&gt;0,IFERROR((Vintage_Input!D230+Vintage_Input!AR230)/$C279+Products!$F$14-(Products!$F$43+Products!$F$19+Products!$F$43*Products!$F$22+Products!$F$44),""),""))</f>
        <v/>
      </c>
      <c r="BA279" s="153">
        <f>IF($B279=1,$C$44,IF(N(Vintage_Input!M230)&gt;0,IFERROR((Vintage_Input!E230+Vintage_Input!AS230)/$C279+Products!$F$14-(Products!$F$43+Products!$F$19+Products!$F$43*Products!$F$22+Products!$F$44),""),""))</f>
        <v/>
      </c>
      <c r="BB279" s="153">
        <f>IF($B279=1,$D$44,IF(N(Vintage_Input!N230)&gt;0,IFERROR((Vintage_Input!F230+Vintage_Input!AT230)/$C279+Products!$F$14-(Products!$F$43+Products!$F$19+Products!$F$43*Products!$F$22+Products!$F$44),""),""))</f>
        <v/>
      </c>
      <c r="BC279" s="153">
        <f>IF($B279=1,$E$44,IF(N(Vintage_Input!O230)&gt;0,IFERROR((Vintage_Input!G230+Vintage_Input!AU230)/$C279+Products!$F$14-(Products!$F$43+Products!$F$19+Products!$F$43*Products!$F$22+Products!$F$44),""),""))</f>
        <v/>
      </c>
      <c r="BD279" s="153">
        <f>IF($B279=1,$F$44,IF(N(Vintage_Input!P230)&gt;0,IFERROR((Vintage_Input!H230+Vintage_Input!AV230)/$C279+Products!$F$14-(Products!$F$43+Products!$F$19+Products!$F$43*Products!$F$22+Products!$F$44),""),""))</f>
        <v/>
      </c>
      <c r="BE279" s="153">
        <f>IF($B279=1,$G$44,IF(N(Vintage_Input!Q230)&gt;0,IFERROR((Vintage_Input!I230+Vintage_Input!AW230)/$C279+Products!$F$14-(Products!$F$43+Products!$F$19+Products!$F$43*Products!$F$22+Products!$F$44),""),""))</f>
        <v/>
      </c>
      <c r="BF279" s="153">
        <f>IF($B279=1,$H$44,IF(N(Vintage_Input!R230)&gt;0,IFERROR((Vintage_Input!J230+Vintage_Input!AX230)/$C279+Products!$F$14-(Products!$F$43+Products!$F$19+Products!$F$43*Products!$F$22+Products!$F$44),""),""))</f>
        <v/>
      </c>
      <c r="BG279" s="153">
        <f>IF($B279=1,$I$44,IF(N(Vintage_Input!S230)&gt;0,IFERROR((Vintage_Input!K230+Vintage_Input!AY230)/$C279+Products!$F$14-(Products!$F$43+Products!$F$19+Products!$F$43*Products!$F$22+Products!$F$44),""),""))</f>
        <v/>
      </c>
      <c r="BH279" s="81">
        <f>IF($B279=1,0,IF(Vintage_Input!$BH$230="","",Vintage_Input!$BH$230))</f>
        <v/>
      </c>
    </row>
    <row r="280">
      <c r="A280" s="23" t="n">
        <v>28</v>
      </c>
      <c r="B280" s="48">
        <f>Vintage_Input!$B$231</f>
        <v/>
      </c>
      <c r="C280" s="41">
        <f>IF(Vintage_Input!$C$231="",0,Vintage_Input!$C$231)</f>
        <v/>
      </c>
      <c r="D280" s="152">
        <f>IF($B280=1,$B$38,IF(N(Vintage_Input!L231)&gt;0,Vintage_Input!D231/Vintage_Input!L231,""))</f>
        <v/>
      </c>
      <c r="E280" s="152">
        <f>IF($B280=1,$C$38,IF(N(Vintage_Input!M231)&gt;0,Vintage_Input!E231/Vintage_Input!M231,""))</f>
        <v/>
      </c>
      <c r="F280" s="152">
        <f>IF($B280=1,$D$38,IF(N(Vintage_Input!N231)&gt;0,Vintage_Input!F231/Vintage_Input!N231,""))</f>
        <v/>
      </c>
      <c r="G280" s="152">
        <f>IF($B280=1,$E$38,IF(N(Vintage_Input!O231)&gt;0,Vintage_Input!G231/Vintage_Input!O231,""))</f>
        <v/>
      </c>
      <c r="H280" s="152">
        <f>IF($B280=1,$F$38,IF(N(Vintage_Input!P231)&gt;0,Vintage_Input!H231/Vintage_Input!P231,""))</f>
        <v/>
      </c>
      <c r="I280" s="152">
        <f>IF($B280=1,$G$38,IF(N(Vintage_Input!Q231)&gt;0,Vintage_Input!I231/Vintage_Input!Q231,""))</f>
        <v/>
      </c>
      <c r="J280" s="152">
        <f>IF($B280=1,$H$38,IF(N(Vintage_Input!R231)&gt;0,Vintage_Input!J231/Vintage_Input!R231,""))</f>
        <v/>
      </c>
      <c r="K280" s="152">
        <f>IF($B280=1,$I$38,IF(N(Vintage_Input!S231)&gt;0,Vintage_Input!K231/Vintage_Input!S231,""))</f>
        <v/>
      </c>
      <c r="L280" s="152">
        <f>IF($B280=1,$B$39,IF(N(Vintage_Input!L231)&gt;0,Vintage_Input!T231/Vintage_Input!L231,""))</f>
        <v/>
      </c>
      <c r="M280" s="152">
        <f>IF($B280=1,$C$39,IF(N(Vintage_Input!M231)&gt;0,Vintage_Input!U231/Vintage_Input!M231,""))</f>
        <v/>
      </c>
      <c r="N280" s="152">
        <f>IF($B280=1,$D$39,IF(N(Vintage_Input!N231)&gt;0,Vintage_Input!V231/Vintage_Input!N231,""))</f>
        <v/>
      </c>
      <c r="O280" s="152">
        <f>IF($B280=1,$E$39,IF(N(Vintage_Input!O231)&gt;0,Vintage_Input!W231/Vintage_Input!O231,""))</f>
        <v/>
      </c>
      <c r="P280" s="152">
        <f>IF($B280=1,$F$39,IF(N(Vintage_Input!P231)&gt;0,Vintage_Input!X231/Vintage_Input!P231,""))</f>
        <v/>
      </c>
      <c r="Q280" s="152">
        <f>IF($B280=1,$G$39,IF(N(Vintage_Input!Q231)&gt;0,Vintage_Input!Y231/Vintage_Input!Q231,""))</f>
        <v/>
      </c>
      <c r="R280" s="152">
        <f>IF($B280=1,$H$39,IF(N(Vintage_Input!R231)&gt;0,Vintage_Input!Z231/Vintage_Input!R231,""))</f>
        <v/>
      </c>
      <c r="S280" s="152">
        <f>IF($B280=1,$I$39,IF(N(Vintage_Input!S231)&gt;0,Vintage_Input!AA231/Vintage_Input!S231,""))</f>
        <v/>
      </c>
      <c r="T280" s="152">
        <f>IF($B280=1,$B$40,IF(N(Vintage_Input!L231)&gt;0,Vintage_Input!AB231/Vintage_Input!L231,""))</f>
        <v/>
      </c>
      <c r="U280" s="152">
        <f>IF($B280=1,$C$40,IF(N(Vintage_Input!M231)&gt;0,Vintage_Input!AC231/Vintage_Input!M231,""))</f>
        <v/>
      </c>
      <c r="V280" s="152">
        <f>IF($B280=1,$D$40,IF(N(Vintage_Input!N231)&gt;0,Vintage_Input!AD231/Vintage_Input!N231,""))</f>
        <v/>
      </c>
      <c r="W280" s="152">
        <f>IF($B280=1,$E$40,IF(N(Vintage_Input!O231)&gt;0,Vintage_Input!AE231/Vintage_Input!O231,""))</f>
        <v/>
      </c>
      <c r="X280" s="152">
        <f>IF($B280=1,$F$40,IF(N(Vintage_Input!P231)&gt;0,Vintage_Input!AF231/Vintage_Input!P231,""))</f>
        <v/>
      </c>
      <c r="Y280" s="152">
        <f>IF($B280=1,$G$40,IF(N(Vintage_Input!Q231)&gt;0,Vintage_Input!AG231/Vintage_Input!Q231,""))</f>
        <v/>
      </c>
      <c r="Z280" s="152">
        <f>IF($B280=1,$H$40,IF(N(Vintage_Input!R231)&gt;0,Vintage_Input!AH231/Vintage_Input!R231,""))</f>
        <v/>
      </c>
      <c r="AA280" s="152">
        <f>IF($B280=1,$I$40,IF(N(Vintage_Input!S231)&gt;0,Vintage_Input!AI231/Vintage_Input!S231,""))</f>
        <v/>
      </c>
      <c r="AB280" s="152">
        <f>IF($B280=1,$B$41,IF(N(Vintage_Input!L231)&gt;0,Vintage_Input!AJ231/Vintage_Input!L231,""))</f>
        <v/>
      </c>
      <c r="AC280" s="152">
        <f>IF($B280=1,$C$41,IF(N(Vintage_Input!M231)&gt;0,Vintage_Input!AK231/Vintage_Input!M231,""))</f>
        <v/>
      </c>
      <c r="AD280" s="152">
        <f>IF($B280=1,$D$41,IF(N(Vintage_Input!N231)&gt;0,Vintage_Input!AL231/Vintage_Input!N231,""))</f>
        <v/>
      </c>
      <c r="AE280" s="152">
        <f>IF($B280=1,$E$41,IF(N(Vintage_Input!O231)&gt;0,Vintage_Input!AM231/Vintage_Input!O231,""))</f>
        <v/>
      </c>
      <c r="AF280" s="152">
        <f>IF($B280=1,$F$41,IF(N(Vintage_Input!P231)&gt;0,Vintage_Input!AN231/Vintage_Input!P231,""))</f>
        <v/>
      </c>
      <c r="AG280" s="152">
        <f>IF($B280=1,$G$41,IF(N(Vintage_Input!Q231)&gt;0,Vintage_Input!AO231/Vintage_Input!Q231,""))</f>
        <v/>
      </c>
      <c r="AH280" s="152">
        <f>IF($B280=1,$H$41,IF(N(Vintage_Input!R231)&gt;0,Vintage_Input!AP231/Vintage_Input!R231,""))</f>
        <v/>
      </c>
      <c r="AI280" s="152">
        <f>IF($B280=1,$I$41,IF(N(Vintage_Input!S231)&gt;0,Vintage_Input!AQ231/Vintage_Input!S231,""))</f>
        <v/>
      </c>
      <c r="AJ280" s="152">
        <f>IF($B280=1,$B$42,IF(N(Vintage_Input!L231)&gt;0,IFERROR(Vintage_Input!AR231/Vintage_Input!AJ231,""),""))</f>
        <v/>
      </c>
      <c r="AK280" s="152">
        <f>IF($B280=1,$C$42,IF(N(Vintage_Input!M231)&gt;0,IFERROR(Vintage_Input!AS231/Vintage_Input!AK231,""),""))</f>
        <v/>
      </c>
      <c r="AL280" s="152">
        <f>IF($B280=1,$D$42,IF(N(Vintage_Input!N231)&gt;0,IFERROR(Vintage_Input!AT231/Vintage_Input!AL231,""),""))</f>
        <v/>
      </c>
      <c r="AM280" s="152">
        <f>IF($B280=1,$E$42,IF(N(Vintage_Input!O231)&gt;0,IFERROR(Vintage_Input!AU231/Vintage_Input!AM231,""),""))</f>
        <v/>
      </c>
      <c r="AN280" s="152">
        <f>IF($B280=1,$F$42,IF(N(Vintage_Input!P231)&gt;0,IFERROR(Vintage_Input!AV231/Vintage_Input!AN231,""),""))</f>
        <v/>
      </c>
      <c r="AO280" s="152">
        <f>IF($B280=1,$G$42,IF(N(Vintage_Input!Q231)&gt;0,IFERROR(Vintage_Input!AW231/Vintage_Input!AO231,""),""))</f>
        <v/>
      </c>
      <c r="AP280" s="152">
        <f>IF($B280=1,$H$42,IF(N(Vintage_Input!R231)&gt;0,IFERROR(Vintage_Input!AX231/Vintage_Input!AP231,""),""))</f>
        <v/>
      </c>
      <c r="AQ280" s="152">
        <f>IF($B280=1,$I$42,IF(N(Vintage_Input!S231)&gt;0,IFERROR(Vintage_Input!AY231/Vintage_Input!AQ231,""),""))</f>
        <v/>
      </c>
      <c r="AR280" s="152">
        <f>IF($B280=1,$B$43,IF(N(Vintage_Input!L231)&gt;0,IFERROR(Vintage_Input!AZ231/$C280,""),""))</f>
        <v/>
      </c>
      <c r="AS280" s="152">
        <f>IF($B280=1,$C$43,IF(N(Vintage_Input!M231)&gt;0,IFERROR(Vintage_Input!BA231/$C280,""),""))</f>
        <v/>
      </c>
      <c r="AT280" s="152">
        <f>IF($B280=1,$D$43,IF(N(Vintage_Input!N231)&gt;0,IFERROR(Vintage_Input!BB231/$C280,""),""))</f>
        <v/>
      </c>
      <c r="AU280" s="152">
        <f>IF($B280=1,$E$43,IF(N(Vintage_Input!O231)&gt;0,IFERROR(Vintage_Input!BC231/$C280,""),""))</f>
        <v/>
      </c>
      <c r="AV280" s="152">
        <f>IF($B280=1,$F$43,IF(N(Vintage_Input!P231)&gt;0,IFERROR(Vintage_Input!BD231/$C280,""),""))</f>
        <v/>
      </c>
      <c r="AW280" s="152">
        <f>IF($B280=1,$G$43,IF(N(Vintage_Input!Q231)&gt;0,IFERROR(Vintage_Input!BE231/$C280,""),""))</f>
        <v/>
      </c>
      <c r="AX280" s="152">
        <f>IF($B280=1,$H$43,IF(N(Vintage_Input!R231)&gt;0,IFERROR(Vintage_Input!BF231/$C280,""),""))</f>
        <v/>
      </c>
      <c r="AY280" s="152">
        <f>IF($B280=1,$I$43,IF(N(Vintage_Input!S231)&gt;0,IFERROR(Vintage_Input!BG231/$C280,""),""))</f>
        <v/>
      </c>
      <c r="AZ280" s="153">
        <f>IF($B280=1,$B$44,IF(N(Vintage_Input!L231)&gt;0,IFERROR((Vintage_Input!D231+Vintage_Input!AR231)/$C280+Products!$F$14-(Products!$F$43+Products!$F$19+Products!$F$43*Products!$F$22+Products!$F$44),""),""))</f>
        <v/>
      </c>
      <c r="BA280" s="153">
        <f>IF($B280=1,$C$44,IF(N(Vintage_Input!M231)&gt;0,IFERROR((Vintage_Input!E231+Vintage_Input!AS231)/$C280+Products!$F$14-(Products!$F$43+Products!$F$19+Products!$F$43*Products!$F$22+Products!$F$44),""),""))</f>
        <v/>
      </c>
      <c r="BB280" s="153">
        <f>IF($B280=1,$D$44,IF(N(Vintage_Input!N231)&gt;0,IFERROR((Vintage_Input!F231+Vintage_Input!AT231)/$C280+Products!$F$14-(Products!$F$43+Products!$F$19+Products!$F$43*Products!$F$22+Products!$F$44),""),""))</f>
        <v/>
      </c>
      <c r="BC280" s="153">
        <f>IF($B280=1,$E$44,IF(N(Vintage_Input!O231)&gt;0,IFERROR((Vintage_Input!G231+Vintage_Input!AU231)/$C280+Products!$F$14-(Products!$F$43+Products!$F$19+Products!$F$43*Products!$F$22+Products!$F$44),""),""))</f>
        <v/>
      </c>
      <c r="BD280" s="153">
        <f>IF($B280=1,$F$44,IF(N(Vintage_Input!P231)&gt;0,IFERROR((Vintage_Input!H231+Vintage_Input!AV231)/$C280+Products!$F$14-(Products!$F$43+Products!$F$19+Products!$F$43*Products!$F$22+Products!$F$44),""),""))</f>
        <v/>
      </c>
      <c r="BE280" s="153">
        <f>IF($B280=1,$G$44,IF(N(Vintage_Input!Q231)&gt;0,IFERROR((Vintage_Input!I231+Vintage_Input!AW231)/$C280+Products!$F$14-(Products!$F$43+Products!$F$19+Products!$F$43*Products!$F$22+Products!$F$44),""),""))</f>
        <v/>
      </c>
      <c r="BF280" s="153">
        <f>IF($B280=1,$H$44,IF(N(Vintage_Input!R231)&gt;0,IFERROR((Vintage_Input!J231+Vintage_Input!AX231)/$C280+Products!$F$14-(Products!$F$43+Products!$F$19+Products!$F$43*Products!$F$22+Products!$F$44),""),""))</f>
        <v/>
      </c>
      <c r="BG280" s="153">
        <f>IF($B280=1,$I$44,IF(N(Vintage_Input!S231)&gt;0,IFERROR((Vintage_Input!K231+Vintage_Input!AY231)/$C280+Products!$F$14-(Products!$F$43+Products!$F$19+Products!$F$43*Products!$F$22+Products!$F$44),""),""))</f>
        <v/>
      </c>
      <c r="BH280" s="81">
        <f>IF($B280=1,0,IF(Vintage_Input!$BH$231="","",Vintage_Input!$BH$231))</f>
        <v/>
      </c>
    </row>
    <row r="281">
      <c r="A281" s="23" t="n">
        <v>29</v>
      </c>
      <c r="B281" s="48">
        <f>Vintage_Input!$B$232</f>
        <v/>
      </c>
      <c r="C281" s="41">
        <f>IF(Vintage_Input!$C$232="",0,Vintage_Input!$C$232)</f>
        <v/>
      </c>
      <c r="D281" s="152">
        <f>IF($B281=1,$B$38,IF(N(Vintage_Input!L232)&gt;0,Vintage_Input!D232/Vintage_Input!L232,""))</f>
        <v/>
      </c>
      <c r="E281" s="152">
        <f>IF($B281=1,$C$38,IF(N(Vintage_Input!M232)&gt;0,Vintage_Input!E232/Vintage_Input!M232,""))</f>
        <v/>
      </c>
      <c r="F281" s="152">
        <f>IF($B281=1,$D$38,IF(N(Vintage_Input!N232)&gt;0,Vintage_Input!F232/Vintage_Input!N232,""))</f>
        <v/>
      </c>
      <c r="G281" s="152">
        <f>IF($B281=1,$E$38,IF(N(Vintage_Input!O232)&gt;0,Vintage_Input!G232/Vintage_Input!O232,""))</f>
        <v/>
      </c>
      <c r="H281" s="152">
        <f>IF($B281=1,$F$38,IF(N(Vintage_Input!P232)&gt;0,Vintage_Input!H232/Vintage_Input!P232,""))</f>
        <v/>
      </c>
      <c r="I281" s="152">
        <f>IF($B281=1,$G$38,IF(N(Vintage_Input!Q232)&gt;0,Vintage_Input!I232/Vintage_Input!Q232,""))</f>
        <v/>
      </c>
      <c r="J281" s="152">
        <f>IF($B281=1,$H$38,IF(N(Vintage_Input!R232)&gt;0,Vintage_Input!J232/Vintage_Input!R232,""))</f>
        <v/>
      </c>
      <c r="K281" s="152">
        <f>IF($B281=1,$I$38,IF(N(Vintage_Input!S232)&gt;0,Vintage_Input!K232/Vintage_Input!S232,""))</f>
        <v/>
      </c>
      <c r="L281" s="152">
        <f>IF($B281=1,$B$39,IF(N(Vintage_Input!L232)&gt;0,Vintage_Input!T232/Vintage_Input!L232,""))</f>
        <v/>
      </c>
      <c r="M281" s="152">
        <f>IF($B281=1,$C$39,IF(N(Vintage_Input!M232)&gt;0,Vintage_Input!U232/Vintage_Input!M232,""))</f>
        <v/>
      </c>
      <c r="N281" s="152">
        <f>IF($B281=1,$D$39,IF(N(Vintage_Input!N232)&gt;0,Vintage_Input!V232/Vintage_Input!N232,""))</f>
        <v/>
      </c>
      <c r="O281" s="152">
        <f>IF($B281=1,$E$39,IF(N(Vintage_Input!O232)&gt;0,Vintage_Input!W232/Vintage_Input!O232,""))</f>
        <v/>
      </c>
      <c r="P281" s="152">
        <f>IF($B281=1,$F$39,IF(N(Vintage_Input!P232)&gt;0,Vintage_Input!X232/Vintage_Input!P232,""))</f>
        <v/>
      </c>
      <c r="Q281" s="152">
        <f>IF($B281=1,$G$39,IF(N(Vintage_Input!Q232)&gt;0,Vintage_Input!Y232/Vintage_Input!Q232,""))</f>
        <v/>
      </c>
      <c r="R281" s="152">
        <f>IF($B281=1,$H$39,IF(N(Vintage_Input!R232)&gt;0,Vintage_Input!Z232/Vintage_Input!R232,""))</f>
        <v/>
      </c>
      <c r="S281" s="152">
        <f>IF($B281=1,$I$39,IF(N(Vintage_Input!S232)&gt;0,Vintage_Input!AA232/Vintage_Input!S232,""))</f>
        <v/>
      </c>
      <c r="T281" s="152">
        <f>IF($B281=1,$B$40,IF(N(Vintage_Input!L232)&gt;0,Vintage_Input!AB232/Vintage_Input!L232,""))</f>
        <v/>
      </c>
      <c r="U281" s="152">
        <f>IF($B281=1,$C$40,IF(N(Vintage_Input!M232)&gt;0,Vintage_Input!AC232/Vintage_Input!M232,""))</f>
        <v/>
      </c>
      <c r="V281" s="152">
        <f>IF($B281=1,$D$40,IF(N(Vintage_Input!N232)&gt;0,Vintage_Input!AD232/Vintage_Input!N232,""))</f>
        <v/>
      </c>
      <c r="W281" s="152">
        <f>IF($B281=1,$E$40,IF(N(Vintage_Input!O232)&gt;0,Vintage_Input!AE232/Vintage_Input!O232,""))</f>
        <v/>
      </c>
      <c r="X281" s="152">
        <f>IF($B281=1,$F$40,IF(N(Vintage_Input!P232)&gt;0,Vintage_Input!AF232/Vintage_Input!P232,""))</f>
        <v/>
      </c>
      <c r="Y281" s="152">
        <f>IF($B281=1,$G$40,IF(N(Vintage_Input!Q232)&gt;0,Vintage_Input!AG232/Vintage_Input!Q232,""))</f>
        <v/>
      </c>
      <c r="Z281" s="152">
        <f>IF($B281=1,$H$40,IF(N(Vintage_Input!R232)&gt;0,Vintage_Input!AH232/Vintage_Input!R232,""))</f>
        <v/>
      </c>
      <c r="AA281" s="152">
        <f>IF($B281=1,$I$40,IF(N(Vintage_Input!S232)&gt;0,Vintage_Input!AI232/Vintage_Input!S232,""))</f>
        <v/>
      </c>
      <c r="AB281" s="152">
        <f>IF($B281=1,$B$41,IF(N(Vintage_Input!L232)&gt;0,Vintage_Input!AJ232/Vintage_Input!L232,""))</f>
        <v/>
      </c>
      <c r="AC281" s="152">
        <f>IF($B281=1,$C$41,IF(N(Vintage_Input!M232)&gt;0,Vintage_Input!AK232/Vintage_Input!M232,""))</f>
        <v/>
      </c>
      <c r="AD281" s="152">
        <f>IF($B281=1,$D$41,IF(N(Vintage_Input!N232)&gt;0,Vintage_Input!AL232/Vintage_Input!N232,""))</f>
        <v/>
      </c>
      <c r="AE281" s="152">
        <f>IF($B281=1,$E$41,IF(N(Vintage_Input!O232)&gt;0,Vintage_Input!AM232/Vintage_Input!O232,""))</f>
        <v/>
      </c>
      <c r="AF281" s="152">
        <f>IF($B281=1,$F$41,IF(N(Vintage_Input!P232)&gt;0,Vintage_Input!AN232/Vintage_Input!P232,""))</f>
        <v/>
      </c>
      <c r="AG281" s="152">
        <f>IF($B281=1,$G$41,IF(N(Vintage_Input!Q232)&gt;0,Vintage_Input!AO232/Vintage_Input!Q232,""))</f>
        <v/>
      </c>
      <c r="AH281" s="152">
        <f>IF($B281=1,$H$41,IF(N(Vintage_Input!R232)&gt;0,Vintage_Input!AP232/Vintage_Input!R232,""))</f>
        <v/>
      </c>
      <c r="AI281" s="152">
        <f>IF($B281=1,$I$41,IF(N(Vintage_Input!S232)&gt;0,Vintage_Input!AQ232/Vintage_Input!S232,""))</f>
        <v/>
      </c>
      <c r="AJ281" s="152">
        <f>IF($B281=1,$B$42,IF(N(Vintage_Input!L232)&gt;0,IFERROR(Vintage_Input!AR232/Vintage_Input!AJ232,""),""))</f>
        <v/>
      </c>
      <c r="AK281" s="152">
        <f>IF($B281=1,$C$42,IF(N(Vintage_Input!M232)&gt;0,IFERROR(Vintage_Input!AS232/Vintage_Input!AK232,""),""))</f>
        <v/>
      </c>
      <c r="AL281" s="152">
        <f>IF($B281=1,$D$42,IF(N(Vintage_Input!N232)&gt;0,IFERROR(Vintage_Input!AT232/Vintage_Input!AL232,""),""))</f>
        <v/>
      </c>
      <c r="AM281" s="152">
        <f>IF($B281=1,$E$42,IF(N(Vintage_Input!O232)&gt;0,IFERROR(Vintage_Input!AU232/Vintage_Input!AM232,""),""))</f>
        <v/>
      </c>
      <c r="AN281" s="152">
        <f>IF($B281=1,$F$42,IF(N(Vintage_Input!P232)&gt;0,IFERROR(Vintage_Input!AV232/Vintage_Input!AN232,""),""))</f>
        <v/>
      </c>
      <c r="AO281" s="152">
        <f>IF($B281=1,$G$42,IF(N(Vintage_Input!Q232)&gt;0,IFERROR(Vintage_Input!AW232/Vintage_Input!AO232,""),""))</f>
        <v/>
      </c>
      <c r="AP281" s="152">
        <f>IF($B281=1,$H$42,IF(N(Vintage_Input!R232)&gt;0,IFERROR(Vintage_Input!AX232/Vintage_Input!AP232,""),""))</f>
        <v/>
      </c>
      <c r="AQ281" s="152">
        <f>IF($B281=1,$I$42,IF(N(Vintage_Input!S232)&gt;0,IFERROR(Vintage_Input!AY232/Vintage_Input!AQ232,""),""))</f>
        <v/>
      </c>
      <c r="AR281" s="152">
        <f>IF($B281=1,$B$43,IF(N(Vintage_Input!L232)&gt;0,IFERROR(Vintage_Input!AZ232/$C281,""),""))</f>
        <v/>
      </c>
      <c r="AS281" s="152">
        <f>IF($B281=1,$C$43,IF(N(Vintage_Input!M232)&gt;0,IFERROR(Vintage_Input!BA232/$C281,""),""))</f>
        <v/>
      </c>
      <c r="AT281" s="152">
        <f>IF($B281=1,$D$43,IF(N(Vintage_Input!N232)&gt;0,IFERROR(Vintage_Input!BB232/$C281,""),""))</f>
        <v/>
      </c>
      <c r="AU281" s="152">
        <f>IF($B281=1,$E$43,IF(N(Vintage_Input!O232)&gt;0,IFERROR(Vintage_Input!BC232/$C281,""),""))</f>
        <v/>
      </c>
      <c r="AV281" s="152">
        <f>IF($B281=1,$F$43,IF(N(Vintage_Input!P232)&gt;0,IFERROR(Vintage_Input!BD232/$C281,""),""))</f>
        <v/>
      </c>
      <c r="AW281" s="152">
        <f>IF($B281=1,$G$43,IF(N(Vintage_Input!Q232)&gt;0,IFERROR(Vintage_Input!BE232/$C281,""),""))</f>
        <v/>
      </c>
      <c r="AX281" s="152">
        <f>IF($B281=1,$H$43,IF(N(Vintage_Input!R232)&gt;0,IFERROR(Vintage_Input!BF232/$C281,""),""))</f>
        <v/>
      </c>
      <c r="AY281" s="152">
        <f>IF($B281=1,$I$43,IF(N(Vintage_Input!S232)&gt;0,IFERROR(Vintage_Input!BG232/$C281,""),""))</f>
        <v/>
      </c>
      <c r="AZ281" s="153">
        <f>IF($B281=1,$B$44,IF(N(Vintage_Input!L232)&gt;0,IFERROR((Vintage_Input!D232+Vintage_Input!AR232)/$C281+Products!$F$14-(Products!$F$43+Products!$F$19+Products!$F$43*Products!$F$22+Products!$F$44),""),""))</f>
        <v/>
      </c>
      <c r="BA281" s="153">
        <f>IF($B281=1,$C$44,IF(N(Vintage_Input!M232)&gt;0,IFERROR((Vintage_Input!E232+Vintage_Input!AS232)/$C281+Products!$F$14-(Products!$F$43+Products!$F$19+Products!$F$43*Products!$F$22+Products!$F$44),""),""))</f>
        <v/>
      </c>
      <c r="BB281" s="153">
        <f>IF($B281=1,$D$44,IF(N(Vintage_Input!N232)&gt;0,IFERROR((Vintage_Input!F232+Vintage_Input!AT232)/$C281+Products!$F$14-(Products!$F$43+Products!$F$19+Products!$F$43*Products!$F$22+Products!$F$44),""),""))</f>
        <v/>
      </c>
      <c r="BC281" s="153">
        <f>IF($B281=1,$E$44,IF(N(Vintage_Input!O232)&gt;0,IFERROR((Vintage_Input!G232+Vintage_Input!AU232)/$C281+Products!$F$14-(Products!$F$43+Products!$F$19+Products!$F$43*Products!$F$22+Products!$F$44),""),""))</f>
        <v/>
      </c>
      <c r="BD281" s="153">
        <f>IF($B281=1,$F$44,IF(N(Vintage_Input!P232)&gt;0,IFERROR((Vintage_Input!H232+Vintage_Input!AV232)/$C281+Products!$F$14-(Products!$F$43+Products!$F$19+Products!$F$43*Products!$F$22+Products!$F$44),""),""))</f>
        <v/>
      </c>
      <c r="BE281" s="153">
        <f>IF($B281=1,$G$44,IF(N(Vintage_Input!Q232)&gt;0,IFERROR((Vintage_Input!I232+Vintage_Input!AW232)/$C281+Products!$F$14-(Products!$F$43+Products!$F$19+Products!$F$43*Products!$F$22+Products!$F$44),""),""))</f>
        <v/>
      </c>
      <c r="BF281" s="153">
        <f>IF($B281=1,$H$44,IF(N(Vintage_Input!R232)&gt;0,IFERROR((Vintage_Input!J232+Vintage_Input!AX232)/$C281+Products!$F$14-(Products!$F$43+Products!$F$19+Products!$F$43*Products!$F$22+Products!$F$44),""),""))</f>
        <v/>
      </c>
      <c r="BG281" s="153">
        <f>IF($B281=1,$I$44,IF(N(Vintage_Input!S232)&gt;0,IFERROR((Vintage_Input!K232+Vintage_Input!AY232)/$C281+Products!$F$14-(Products!$F$43+Products!$F$19+Products!$F$43*Products!$F$22+Products!$F$44),""),""))</f>
        <v/>
      </c>
      <c r="BH281" s="81">
        <f>IF($B281=1,0,IF(Vintage_Input!$BH$232="","",Vintage_Input!$BH$232))</f>
        <v/>
      </c>
    </row>
    <row r="282">
      <c r="A282" s="23" t="n">
        <v>30</v>
      </c>
      <c r="B282" s="48">
        <f>Vintage_Input!$B$233</f>
        <v/>
      </c>
      <c r="C282" s="41">
        <f>IF(Vintage_Input!$C$233="",0,Vintage_Input!$C$233)</f>
        <v/>
      </c>
      <c r="D282" s="152">
        <f>IF($B282=1,$B$38,IF(N(Vintage_Input!L233)&gt;0,Vintage_Input!D233/Vintage_Input!L233,""))</f>
        <v/>
      </c>
      <c r="E282" s="152">
        <f>IF($B282=1,$C$38,IF(N(Vintage_Input!M233)&gt;0,Vintage_Input!E233/Vintage_Input!M233,""))</f>
        <v/>
      </c>
      <c r="F282" s="152">
        <f>IF($B282=1,$D$38,IF(N(Vintage_Input!N233)&gt;0,Vintage_Input!F233/Vintage_Input!N233,""))</f>
        <v/>
      </c>
      <c r="G282" s="152">
        <f>IF($B282=1,$E$38,IF(N(Vintage_Input!O233)&gt;0,Vintage_Input!G233/Vintage_Input!O233,""))</f>
        <v/>
      </c>
      <c r="H282" s="152">
        <f>IF($B282=1,$F$38,IF(N(Vintage_Input!P233)&gt;0,Vintage_Input!H233/Vintage_Input!P233,""))</f>
        <v/>
      </c>
      <c r="I282" s="152">
        <f>IF($B282=1,$G$38,IF(N(Vintage_Input!Q233)&gt;0,Vintage_Input!I233/Vintage_Input!Q233,""))</f>
        <v/>
      </c>
      <c r="J282" s="152">
        <f>IF($B282=1,$H$38,IF(N(Vintage_Input!R233)&gt;0,Vintage_Input!J233/Vintage_Input!R233,""))</f>
        <v/>
      </c>
      <c r="K282" s="152">
        <f>IF($B282=1,$I$38,IF(N(Vintage_Input!S233)&gt;0,Vintage_Input!K233/Vintage_Input!S233,""))</f>
        <v/>
      </c>
      <c r="L282" s="152">
        <f>IF($B282=1,$B$39,IF(N(Vintage_Input!L233)&gt;0,Vintage_Input!T233/Vintage_Input!L233,""))</f>
        <v/>
      </c>
      <c r="M282" s="152">
        <f>IF($B282=1,$C$39,IF(N(Vintage_Input!M233)&gt;0,Vintage_Input!U233/Vintage_Input!M233,""))</f>
        <v/>
      </c>
      <c r="N282" s="152">
        <f>IF($B282=1,$D$39,IF(N(Vintage_Input!N233)&gt;0,Vintage_Input!V233/Vintage_Input!N233,""))</f>
        <v/>
      </c>
      <c r="O282" s="152">
        <f>IF($B282=1,$E$39,IF(N(Vintage_Input!O233)&gt;0,Vintage_Input!W233/Vintage_Input!O233,""))</f>
        <v/>
      </c>
      <c r="P282" s="152">
        <f>IF($B282=1,$F$39,IF(N(Vintage_Input!P233)&gt;0,Vintage_Input!X233/Vintage_Input!P233,""))</f>
        <v/>
      </c>
      <c r="Q282" s="152">
        <f>IF($B282=1,$G$39,IF(N(Vintage_Input!Q233)&gt;0,Vintage_Input!Y233/Vintage_Input!Q233,""))</f>
        <v/>
      </c>
      <c r="R282" s="152">
        <f>IF($B282=1,$H$39,IF(N(Vintage_Input!R233)&gt;0,Vintage_Input!Z233/Vintage_Input!R233,""))</f>
        <v/>
      </c>
      <c r="S282" s="152">
        <f>IF($B282=1,$I$39,IF(N(Vintage_Input!S233)&gt;0,Vintage_Input!AA233/Vintage_Input!S233,""))</f>
        <v/>
      </c>
      <c r="T282" s="152">
        <f>IF($B282=1,$B$40,IF(N(Vintage_Input!L233)&gt;0,Vintage_Input!AB233/Vintage_Input!L233,""))</f>
        <v/>
      </c>
      <c r="U282" s="152">
        <f>IF($B282=1,$C$40,IF(N(Vintage_Input!M233)&gt;0,Vintage_Input!AC233/Vintage_Input!M233,""))</f>
        <v/>
      </c>
      <c r="V282" s="152">
        <f>IF($B282=1,$D$40,IF(N(Vintage_Input!N233)&gt;0,Vintage_Input!AD233/Vintage_Input!N233,""))</f>
        <v/>
      </c>
      <c r="W282" s="152">
        <f>IF($B282=1,$E$40,IF(N(Vintage_Input!O233)&gt;0,Vintage_Input!AE233/Vintage_Input!O233,""))</f>
        <v/>
      </c>
      <c r="X282" s="152">
        <f>IF($B282=1,$F$40,IF(N(Vintage_Input!P233)&gt;0,Vintage_Input!AF233/Vintage_Input!P233,""))</f>
        <v/>
      </c>
      <c r="Y282" s="152">
        <f>IF($B282=1,$G$40,IF(N(Vintage_Input!Q233)&gt;0,Vintage_Input!AG233/Vintage_Input!Q233,""))</f>
        <v/>
      </c>
      <c r="Z282" s="152">
        <f>IF($B282=1,$H$40,IF(N(Vintage_Input!R233)&gt;0,Vintage_Input!AH233/Vintage_Input!R233,""))</f>
        <v/>
      </c>
      <c r="AA282" s="152">
        <f>IF($B282=1,$I$40,IF(N(Vintage_Input!S233)&gt;0,Vintage_Input!AI233/Vintage_Input!S233,""))</f>
        <v/>
      </c>
      <c r="AB282" s="152">
        <f>IF($B282=1,$B$41,IF(N(Vintage_Input!L233)&gt;0,Vintage_Input!AJ233/Vintage_Input!L233,""))</f>
        <v/>
      </c>
      <c r="AC282" s="152">
        <f>IF($B282=1,$C$41,IF(N(Vintage_Input!M233)&gt;0,Vintage_Input!AK233/Vintage_Input!M233,""))</f>
        <v/>
      </c>
      <c r="AD282" s="152">
        <f>IF($B282=1,$D$41,IF(N(Vintage_Input!N233)&gt;0,Vintage_Input!AL233/Vintage_Input!N233,""))</f>
        <v/>
      </c>
      <c r="AE282" s="152">
        <f>IF($B282=1,$E$41,IF(N(Vintage_Input!O233)&gt;0,Vintage_Input!AM233/Vintage_Input!O233,""))</f>
        <v/>
      </c>
      <c r="AF282" s="152">
        <f>IF($B282=1,$F$41,IF(N(Vintage_Input!P233)&gt;0,Vintage_Input!AN233/Vintage_Input!P233,""))</f>
        <v/>
      </c>
      <c r="AG282" s="152">
        <f>IF($B282=1,$G$41,IF(N(Vintage_Input!Q233)&gt;0,Vintage_Input!AO233/Vintage_Input!Q233,""))</f>
        <v/>
      </c>
      <c r="AH282" s="152">
        <f>IF($B282=1,$H$41,IF(N(Vintage_Input!R233)&gt;0,Vintage_Input!AP233/Vintage_Input!R233,""))</f>
        <v/>
      </c>
      <c r="AI282" s="152">
        <f>IF($B282=1,$I$41,IF(N(Vintage_Input!S233)&gt;0,Vintage_Input!AQ233/Vintage_Input!S233,""))</f>
        <v/>
      </c>
      <c r="AJ282" s="152">
        <f>IF($B282=1,$B$42,IF(N(Vintage_Input!L233)&gt;0,IFERROR(Vintage_Input!AR233/Vintage_Input!AJ233,""),""))</f>
        <v/>
      </c>
      <c r="AK282" s="152">
        <f>IF($B282=1,$C$42,IF(N(Vintage_Input!M233)&gt;0,IFERROR(Vintage_Input!AS233/Vintage_Input!AK233,""),""))</f>
        <v/>
      </c>
      <c r="AL282" s="152">
        <f>IF($B282=1,$D$42,IF(N(Vintage_Input!N233)&gt;0,IFERROR(Vintage_Input!AT233/Vintage_Input!AL233,""),""))</f>
        <v/>
      </c>
      <c r="AM282" s="152">
        <f>IF($B282=1,$E$42,IF(N(Vintage_Input!O233)&gt;0,IFERROR(Vintage_Input!AU233/Vintage_Input!AM233,""),""))</f>
        <v/>
      </c>
      <c r="AN282" s="152">
        <f>IF($B282=1,$F$42,IF(N(Vintage_Input!P233)&gt;0,IFERROR(Vintage_Input!AV233/Vintage_Input!AN233,""),""))</f>
        <v/>
      </c>
      <c r="AO282" s="152">
        <f>IF($B282=1,$G$42,IF(N(Vintage_Input!Q233)&gt;0,IFERROR(Vintage_Input!AW233/Vintage_Input!AO233,""),""))</f>
        <v/>
      </c>
      <c r="AP282" s="152">
        <f>IF($B282=1,$H$42,IF(N(Vintage_Input!R233)&gt;0,IFERROR(Vintage_Input!AX233/Vintage_Input!AP233,""),""))</f>
        <v/>
      </c>
      <c r="AQ282" s="152">
        <f>IF($B282=1,$I$42,IF(N(Vintage_Input!S233)&gt;0,IFERROR(Vintage_Input!AY233/Vintage_Input!AQ233,""),""))</f>
        <v/>
      </c>
      <c r="AR282" s="152">
        <f>IF($B282=1,$B$43,IF(N(Vintage_Input!L233)&gt;0,IFERROR(Vintage_Input!AZ233/$C282,""),""))</f>
        <v/>
      </c>
      <c r="AS282" s="152">
        <f>IF($B282=1,$C$43,IF(N(Vintage_Input!M233)&gt;0,IFERROR(Vintage_Input!BA233/$C282,""),""))</f>
        <v/>
      </c>
      <c r="AT282" s="152">
        <f>IF($B282=1,$D$43,IF(N(Vintage_Input!N233)&gt;0,IFERROR(Vintage_Input!BB233/$C282,""),""))</f>
        <v/>
      </c>
      <c r="AU282" s="152">
        <f>IF($B282=1,$E$43,IF(N(Vintage_Input!O233)&gt;0,IFERROR(Vintage_Input!BC233/$C282,""),""))</f>
        <v/>
      </c>
      <c r="AV282" s="152">
        <f>IF($B282=1,$F$43,IF(N(Vintage_Input!P233)&gt;0,IFERROR(Vintage_Input!BD233/$C282,""),""))</f>
        <v/>
      </c>
      <c r="AW282" s="152">
        <f>IF($B282=1,$G$43,IF(N(Vintage_Input!Q233)&gt;0,IFERROR(Vintage_Input!BE233/$C282,""),""))</f>
        <v/>
      </c>
      <c r="AX282" s="152">
        <f>IF($B282=1,$H$43,IF(N(Vintage_Input!R233)&gt;0,IFERROR(Vintage_Input!BF233/$C282,""),""))</f>
        <v/>
      </c>
      <c r="AY282" s="152">
        <f>IF($B282=1,$I$43,IF(N(Vintage_Input!S233)&gt;0,IFERROR(Vintage_Input!BG233/$C282,""),""))</f>
        <v/>
      </c>
      <c r="AZ282" s="153">
        <f>IF($B282=1,$B$44,IF(N(Vintage_Input!L233)&gt;0,IFERROR((Vintage_Input!D233+Vintage_Input!AR233)/$C282+Products!$F$14-(Products!$F$43+Products!$F$19+Products!$F$43*Products!$F$22+Products!$F$44),""),""))</f>
        <v/>
      </c>
      <c r="BA282" s="153">
        <f>IF($B282=1,$C$44,IF(N(Vintage_Input!M233)&gt;0,IFERROR((Vintage_Input!E233+Vintage_Input!AS233)/$C282+Products!$F$14-(Products!$F$43+Products!$F$19+Products!$F$43*Products!$F$22+Products!$F$44),""),""))</f>
        <v/>
      </c>
      <c r="BB282" s="153">
        <f>IF($B282=1,$D$44,IF(N(Vintage_Input!N233)&gt;0,IFERROR((Vintage_Input!F233+Vintage_Input!AT233)/$C282+Products!$F$14-(Products!$F$43+Products!$F$19+Products!$F$43*Products!$F$22+Products!$F$44),""),""))</f>
        <v/>
      </c>
      <c r="BC282" s="153">
        <f>IF($B282=1,$E$44,IF(N(Vintage_Input!O233)&gt;0,IFERROR((Vintage_Input!G233+Vintage_Input!AU233)/$C282+Products!$F$14-(Products!$F$43+Products!$F$19+Products!$F$43*Products!$F$22+Products!$F$44),""),""))</f>
        <v/>
      </c>
      <c r="BD282" s="153">
        <f>IF($B282=1,$F$44,IF(N(Vintage_Input!P233)&gt;0,IFERROR((Vintage_Input!H233+Vintage_Input!AV233)/$C282+Products!$F$14-(Products!$F$43+Products!$F$19+Products!$F$43*Products!$F$22+Products!$F$44),""),""))</f>
        <v/>
      </c>
      <c r="BE282" s="153">
        <f>IF($B282=1,$G$44,IF(N(Vintage_Input!Q233)&gt;0,IFERROR((Vintage_Input!I233+Vintage_Input!AW233)/$C282+Products!$F$14-(Products!$F$43+Products!$F$19+Products!$F$43*Products!$F$22+Products!$F$44),""),""))</f>
        <v/>
      </c>
      <c r="BF282" s="153">
        <f>IF($B282=1,$H$44,IF(N(Vintage_Input!R233)&gt;0,IFERROR((Vintage_Input!J233+Vintage_Input!AX233)/$C282+Products!$F$14-(Products!$F$43+Products!$F$19+Products!$F$43*Products!$F$22+Products!$F$44),""),""))</f>
        <v/>
      </c>
      <c r="BG282" s="153">
        <f>IF($B282=1,$I$44,IF(N(Vintage_Input!S233)&gt;0,IFERROR((Vintage_Input!K233+Vintage_Input!AY233)/$C282+Products!$F$14-(Products!$F$43+Products!$F$19+Products!$F$43*Products!$F$22+Products!$F$44),""),""))</f>
        <v/>
      </c>
      <c r="BH282" s="81">
        <f>IF($B282=1,0,IF(Vintage_Input!$BH$233="","",Vintage_Input!$BH$233))</f>
        <v/>
      </c>
    </row>
    <row r="283">
      <c r="A283" s="23" t="n">
        <v>31</v>
      </c>
      <c r="B283" s="48">
        <f>Vintage_Input!$B$234</f>
        <v/>
      </c>
      <c r="C283" s="41">
        <f>IF(Vintage_Input!$C$234="",0,Vintage_Input!$C$234)</f>
        <v/>
      </c>
      <c r="D283" s="152">
        <f>IF($B283=1,$B$38,IF(N(Vintage_Input!L234)&gt;0,Vintage_Input!D234/Vintage_Input!L234,""))</f>
        <v/>
      </c>
      <c r="E283" s="152">
        <f>IF($B283=1,$C$38,IF(N(Vintage_Input!M234)&gt;0,Vintage_Input!E234/Vintage_Input!M234,""))</f>
        <v/>
      </c>
      <c r="F283" s="152">
        <f>IF($B283=1,$D$38,IF(N(Vintage_Input!N234)&gt;0,Vintage_Input!F234/Vintage_Input!N234,""))</f>
        <v/>
      </c>
      <c r="G283" s="152">
        <f>IF($B283=1,$E$38,IF(N(Vintage_Input!O234)&gt;0,Vintage_Input!G234/Vintage_Input!O234,""))</f>
        <v/>
      </c>
      <c r="H283" s="152">
        <f>IF($B283=1,$F$38,IF(N(Vintage_Input!P234)&gt;0,Vintage_Input!H234/Vintage_Input!P234,""))</f>
        <v/>
      </c>
      <c r="I283" s="152">
        <f>IF($B283=1,$G$38,IF(N(Vintage_Input!Q234)&gt;0,Vintage_Input!I234/Vintage_Input!Q234,""))</f>
        <v/>
      </c>
      <c r="J283" s="152">
        <f>IF($B283=1,$H$38,IF(N(Vintage_Input!R234)&gt;0,Vintage_Input!J234/Vintage_Input!R234,""))</f>
        <v/>
      </c>
      <c r="K283" s="152">
        <f>IF($B283=1,$I$38,IF(N(Vintage_Input!S234)&gt;0,Vintage_Input!K234/Vintage_Input!S234,""))</f>
        <v/>
      </c>
      <c r="L283" s="152">
        <f>IF($B283=1,$B$39,IF(N(Vintage_Input!L234)&gt;0,Vintage_Input!T234/Vintage_Input!L234,""))</f>
        <v/>
      </c>
      <c r="M283" s="152">
        <f>IF($B283=1,$C$39,IF(N(Vintage_Input!M234)&gt;0,Vintage_Input!U234/Vintage_Input!M234,""))</f>
        <v/>
      </c>
      <c r="N283" s="152">
        <f>IF($B283=1,$D$39,IF(N(Vintage_Input!N234)&gt;0,Vintage_Input!V234/Vintage_Input!N234,""))</f>
        <v/>
      </c>
      <c r="O283" s="152">
        <f>IF($B283=1,$E$39,IF(N(Vintage_Input!O234)&gt;0,Vintage_Input!W234/Vintage_Input!O234,""))</f>
        <v/>
      </c>
      <c r="P283" s="152">
        <f>IF($B283=1,$F$39,IF(N(Vintage_Input!P234)&gt;0,Vintage_Input!X234/Vintage_Input!P234,""))</f>
        <v/>
      </c>
      <c r="Q283" s="152">
        <f>IF($B283=1,$G$39,IF(N(Vintage_Input!Q234)&gt;0,Vintage_Input!Y234/Vintage_Input!Q234,""))</f>
        <v/>
      </c>
      <c r="R283" s="152">
        <f>IF($B283=1,$H$39,IF(N(Vintage_Input!R234)&gt;0,Vintage_Input!Z234/Vintage_Input!R234,""))</f>
        <v/>
      </c>
      <c r="S283" s="152">
        <f>IF($B283=1,$I$39,IF(N(Vintage_Input!S234)&gt;0,Vintage_Input!AA234/Vintage_Input!S234,""))</f>
        <v/>
      </c>
      <c r="T283" s="152">
        <f>IF($B283=1,$B$40,IF(N(Vintage_Input!L234)&gt;0,Vintage_Input!AB234/Vintage_Input!L234,""))</f>
        <v/>
      </c>
      <c r="U283" s="152">
        <f>IF($B283=1,$C$40,IF(N(Vintage_Input!M234)&gt;0,Vintage_Input!AC234/Vintage_Input!M234,""))</f>
        <v/>
      </c>
      <c r="V283" s="152">
        <f>IF($B283=1,$D$40,IF(N(Vintage_Input!N234)&gt;0,Vintage_Input!AD234/Vintage_Input!N234,""))</f>
        <v/>
      </c>
      <c r="W283" s="152">
        <f>IF($B283=1,$E$40,IF(N(Vintage_Input!O234)&gt;0,Vintage_Input!AE234/Vintage_Input!O234,""))</f>
        <v/>
      </c>
      <c r="X283" s="152">
        <f>IF($B283=1,$F$40,IF(N(Vintage_Input!P234)&gt;0,Vintage_Input!AF234/Vintage_Input!P234,""))</f>
        <v/>
      </c>
      <c r="Y283" s="152">
        <f>IF($B283=1,$G$40,IF(N(Vintage_Input!Q234)&gt;0,Vintage_Input!AG234/Vintage_Input!Q234,""))</f>
        <v/>
      </c>
      <c r="Z283" s="152">
        <f>IF($B283=1,$H$40,IF(N(Vintage_Input!R234)&gt;0,Vintage_Input!AH234/Vintage_Input!R234,""))</f>
        <v/>
      </c>
      <c r="AA283" s="152">
        <f>IF($B283=1,$I$40,IF(N(Vintage_Input!S234)&gt;0,Vintage_Input!AI234/Vintage_Input!S234,""))</f>
        <v/>
      </c>
      <c r="AB283" s="152">
        <f>IF($B283=1,$B$41,IF(N(Vintage_Input!L234)&gt;0,Vintage_Input!AJ234/Vintage_Input!L234,""))</f>
        <v/>
      </c>
      <c r="AC283" s="152">
        <f>IF($B283=1,$C$41,IF(N(Vintage_Input!M234)&gt;0,Vintage_Input!AK234/Vintage_Input!M234,""))</f>
        <v/>
      </c>
      <c r="AD283" s="152">
        <f>IF($B283=1,$D$41,IF(N(Vintage_Input!N234)&gt;0,Vintage_Input!AL234/Vintage_Input!N234,""))</f>
        <v/>
      </c>
      <c r="AE283" s="152">
        <f>IF($B283=1,$E$41,IF(N(Vintage_Input!O234)&gt;0,Vintage_Input!AM234/Vintage_Input!O234,""))</f>
        <v/>
      </c>
      <c r="AF283" s="152">
        <f>IF($B283=1,$F$41,IF(N(Vintage_Input!P234)&gt;0,Vintage_Input!AN234/Vintage_Input!P234,""))</f>
        <v/>
      </c>
      <c r="AG283" s="152">
        <f>IF($B283=1,$G$41,IF(N(Vintage_Input!Q234)&gt;0,Vintage_Input!AO234/Vintage_Input!Q234,""))</f>
        <v/>
      </c>
      <c r="AH283" s="152">
        <f>IF($B283=1,$H$41,IF(N(Vintage_Input!R234)&gt;0,Vintage_Input!AP234/Vintage_Input!R234,""))</f>
        <v/>
      </c>
      <c r="AI283" s="152">
        <f>IF($B283=1,$I$41,IF(N(Vintage_Input!S234)&gt;0,Vintage_Input!AQ234/Vintage_Input!S234,""))</f>
        <v/>
      </c>
      <c r="AJ283" s="152">
        <f>IF($B283=1,$B$42,IF(N(Vintage_Input!L234)&gt;0,IFERROR(Vintage_Input!AR234/Vintage_Input!AJ234,""),""))</f>
        <v/>
      </c>
      <c r="AK283" s="152">
        <f>IF($B283=1,$C$42,IF(N(Vintage_Input!M234)&gt;0,IFERROR(Vintage_Input!AS234/Vintage_Input!AK234,""),""))</f>
        <v/>
      </c>
      <c r="AL283" s="152">
        <f>IF($B283=1,$D$42,IF(N(Vintage_Input!N234)&gt;0,IFERROR(Vintage_Input!AT234/Vintage_Input!AL234,""),""))</f>
        <v/>
      </c>
      <c r="AM283" s="152">
        <f>IF($B283=1,$E$42,IF(N(Vintage_Input!O234)&gt;0,IFERROR(Vintage_Input!AU234/Vintage_Input!AM234,""),""))</f>
        <v/>
      </c>
      <c r="AN283" s="152">
        <f>IF($B283=1,$F$42,IF(N(Vintage_Input!P234)&gt;0,IFERROR(Vintage_Input!AV234/Vintage_Input!AN234,""),""))</f>
        <v/>
      </c>
      <c r="AO283" s="152">
        <f>IF($B283=1,$G$42,IF(N(Vintage_Input!Q234)&gt;0,IFERROR(Vintage_Input!AW234/Vintage_Input!AO234,""),""))</f>
        <v/>
      </c>
      <c r="AP283" s="152">
        <f>IF($B283=1,$H$42,IF(N(Vintage_Input!R234)&gt;0,IFERROR(Vintage_Input!AX234/Vintage_Input!AP234,""),""))</f>
        <v/>
      </c>
      <c r="AQ283" s="152">
        <f>IF($B283=1,$I$42,IF(N(Vintage_Input!S234)&gt;0,IFERROR(Vintage_Input!AY234/Vintage_Input!AQ234,""),""))</f>
        <v/>
      </c>
      <c r="AR283" s="152">
        <f>IF($B283=1,$B$43,IF(N(Vintage_Input!L234)&gt;0,IFERROR(Vintage_Input!AZ234/$C283,""),""))</f>
        <v/>
      </c>
      <c r="AS283" s="152">
        <f>IF($B283=1,$C$43,IF(N(Vintage_Input!M234)&gt;0,IFERROR(Vintage_Input!BA234/$C283,""),""))</f>
        <v/>
      </c>
      <c r="AT283" s="152">
        <f>IF($B283=1,$D$43,IF(N(Vintage_Input!N234)&gt;0,IFERROR(Vintage_Input!BB234/$C283,""),""))</f>
        <v/>
      </c>
      <c r="AU283" s="152">
        <f>IF($B283=1,$E$43,IF(N(Vintage_Input!O234)&gt;0,IFERROR(Vintage_Input!BC234/$C283,""),""))</f>
        <v/>
      </c>
      <c r="AV283" s="152">
        <f>IF($B283=1,$F$43,IF(N(Vintage_Input!P234)&gt;0,IFERROR(Vintage_Input!BD234/$C283,""),""))</f>
        <v/>
      </c>
      <c r="AW283" s="152">
        <f>IF($B283=1,$G$43,IF(N(Vintage_Input!Q234)&gt;0,IFERROR(Vintage_Input!BE234/$C283,""),""))</f>
        <v/>
      </c>
      <c r="AX283" s="152">
        <f>IF($B283=1,$H$43,IF(N(Vintage_Input!R234)&gt;0,IFERROR(Vintage_Input!BF234/$C283,""),""))</f>
        <v/>
      </c>
      <c r="AY283" s="152">
        <f>IF($B283=1,$I$43,IF(N(Vintage_Input!S234)&gt;0,IFERROR(Vintage_Input!BG234/$C283,""),""))</f>
        <v/>
      </c>
      <c r="AZ283" s="153">
        <f>IF($B283=1,$B$44,IF(N(Vintage_Input!L234)&gt;0,IFERROR((Vintage_Input!D234+Vintage_Input!AR234)/$C283+Products!$F$14-(Products!$F$43+Products!$F$19+Products!$F$43*Products!$F$22+Products!$F$44),""),""))</f>
        <v/>
      </c>
      <c r="BA283" s="153">
        <f>IF($B283=1,$C$44,IF(N(Vintage_Input!M234)&gt;0,IFERROR((Vintage_Input!E234+Vintage_Input!AS234)/$C283+Products!$F$14-(Products!$F$43+Products!$F$19+Products!$F$43*Products!$F$22+Products!$F$44),""),""))</f>
        <v/>
      </c>
      <c r="BB283" s="153">
        <f>IF($B283=1,$D$44,IF(N(Vintage_Input!N234)&gt;0,IFERROR((Vintage_Input!F234+Vintage_Input!AT234)/$C283+Products!$F$14-(Products!$F$43+Products!$F$19+Products!$F$43*Products!$F$22+Products!$F$44),""),""))</f>
        <v/>
      </c>
      <c r="BC283" s="153">
        <f>IF($B283=1,$E$44,IF(N(Vintage_Input!O234)&gt;0,IFERROR((Vintage_Input!G234+Vintage_Input!AU234)/$C283+Products!$F$14-(Products!$F$43+Products!$F$19+Products!$F$43*Products!$F$22+Products!$F$44),""),""))</f>
        <v/>
      </c>
      <c r="BD283" s="153">
        <f>IF($B283=1,$F$44,IF(N(Vintage_Input!P234)&gt;0,IFERROR((Vintage_Input!H234+Vintage_Input!AV234)/$C283+Products!$F$14-(Products!$F$43+Products!$F$19+Products!$F$43*Products!$F$22+Products!$F$44),""),""))</f>
        <v/>
      </c>
      <c r="BE283" s="153">
        <f>IF($B283=1,$G$44,IF(N(Vintage_Input!Q234)&gt;0,IFERROR((Vintage_Input!I234+Vintage_Input!AW234)/$C283+Products!$F$14-(Products!$F$43+Products!$F$19+Products!$F$43*Products!$F$22+Products!$F$44),""),""))</f>
        <v/>
      </c>
      <c r="BF283" s="153">
        <f>IF($B283=1,$H$44,IF(N(Vintage_Input!R234)&gt;0,IFERROR((Vintage_Input!J234+Vintage_Input!AX234)/$C283+Products!$F$14-(Products!$F$43+Products!$F$19+Products!$F$43*Products!$F$22+Products!$F$44),""),""))</f>
        <v/>
      </c>
      <c r="BG283" s="153">
        <f>IF($B283=1,$I$44,IF(N(Vintage_Input!S234)&gt;0,IFERROR((Vintage_Input!K234+Vintage_Input!AY234)/$C283+Products!$F$14-(Products!$F$43+Products!$F$19+Products!$F$43*Products!$F$22+Products!$F$44),""),""))</f>
        <v/>
      </c>
      <c r="BH283" s="81">
        <f>IF($B283=1,0,IF(Vintage_Input!$BH$234="","",Vintage_Input!$BH$234))</f>
        <v/>
      </c>
    </row>
    <row r="284">
      <c r="A284" s="23" t="n">
        <v>32</v>
      </c>
      <c r="B284" s="48">
        <f>Vintage_Input!$B$235</f>
        <v/>
      </c>
      <c r="C284" s="41">
        <f>IF(Vintage_Input!$C$235="",0,Vintage_Input!$C$235)</f>
        <v/>
      </c>
      <c r="D284" s="152">
        <f>IF($B284=1,$B$38,IF(N(Vintage_Input!L235)&gt;0,Vintage_Input!D235/Vintage_Input!L235,""))</f>
        <v/>
      </c>
      <c r="E284" s="152">
        <f>IF($B284=1,$C$38,IF(N(Vintage_Input!M235)&gt;0,Vintage_Input!E235/Vintage_Input!M235,""))</f>
        <v/>
      </c>
      <c r="F284" s="152">
        <f>IF($B284=1,$D$38,IF(N(Vintage_Input!N235)&gt;0,Vintage_Input!F235/Vintage_Input!N235,""))</f>
        <v/>
      </c>
      <c r="G284" s="152">
        <f>IF($B284=1,$E$38,IF(N(Vintage_Input!O235)&gt;0,Vintage_Input!G235/Vintage_Input!O235,""))</f>
        <v/>
      </c>
      <c r="H284" s="152">
        <f>IF($B284=1,$F$38,IF(N(Vintage_Input!P235)&gt;0,Vintage_Input!H235/Vintage_Input!P235,""))</f>
        <v/>
      </c>
      <c r="I284" s="152">
        <f>IF($B284=1,$G$38,IF(N(Vintage_Input!Q235)&gt;0,Vintage_Input!I235/Vintage_Input!Q235,""))</f>
        <v/>
      </c>
      <c r="J284" s="152">
        <f>IF($B284=1,$H$38,IF(N(Vintage_Input!R235)&gt;0,Vintage_Input!J235/Vintage_Input!R235,""))</f>
        <v/>
      </c>
      <c r="K284" s="152">
        <f>IF($B284=1,$I$38,IF(N(Vintage_Input!S235)&gt;0,Vintage_Input!K235/Vintage_Input!S235,""))</f>
        <v/>
      </c>
      <c r="L284" s="152">
        <f>IF($B284=1,$B$39,IF(N(Vintage_Input!L235)&gt;0,Vintage_Input!T235/Vintage_Input!L235,""))</f>
        <v/>
      </c>
      <c r="M284" s="152">
        <f>IF($B284=1,$C$39,IF(N(Vintage_Input!M235)&gt;0,Vintage_Input!U235/Vintage_Input!M235,""))</f>
        <v/>
      </c>
      <c r="N284" s="152">
        <f>IF($B284=1,$D$39,IF(N(Vintage_Input!N235)&gt;0,Vintage_Input!V235/Vintage_Input!N235,""))</f>
        <v/>
      </c>
      <c r="O284" s="152">
        <f>IF($B284=1,$E$39,IF(N(Vintage_Input!O235)&gt;0,Vintage_Input!W235/Vintage_Input!O235,""))</f>
        <v/>
      </c>
      <c r="P284" s="152">
        <f>IF($B284=1,$F$39,IF(N(Vintage_Input!P235)&gt;0,Vintage_Input!X235/Vintage_Input!P235,""))</f>
        <v/>
      </c>
      <c r="Q284" s="152">
        <f>IF($B284=1,$G$39,IF(N(Vintage_Input!Q235)&gt;0,Vintage_Input!Y235/Vintage_Input!Q235,""))</f>
        <v/>
      </c>
      <c r="R284" s="152">
        <f>IF($B284=1,$H$39,IF(N(Vintage_Input!R235)&gt;0,Vintage_Input!Z235/Vintage_Input!R235,""))</f>
        <v/>
      </c>
      <c r="S284" s="152">
        <f>IF($B284=1,$I$39,IF(N(Vintage_Input!S235)&gt;0,Vintage_Input!AA235/Vintage_Input!S235,""))</f>
        <v/>
      </c>
      <c r="T284" s="152">
        <f>IF($B284=1,$B$40,IF(N(Vintage_Input!L235)&gt;0,Vintage_Input!AB235/Vintage_Input!L235,""))</f>
        <v/>
      </c>
      <c r="U284" s="152">
        <f>IF($B284=1,$C$40,IF(N(Vintage_Input!M235)&gt;0,Vintage_Input!AC235/Vintage_Input!M235,""))</f>
        <v/>
      </c>
      <c r="V284" s="152">
        <f>IF($B284=1,$D$40,IF(N(Vintage_Input!N235)&gt;0,Vintage_Input!AD235/Vintage_Input!N235,""))</f>
        <v/>
      </c>
      <c r="W284" s="152">
        <f>IF($B284=1,$E$40,IF(N(Vintage_Input!O235)&gt;0,Vintage_Input!AE235/Vintage_Input!O235,""))</f>
        <v/>
      </c>
      <c r="X284" s="152">
        <f>IF($B284=1,$F$40,IF(N(Vintage_Input!P235)&gt;0,Vintage_Input!AF235/Vintage_Input!P235,""))</f>
        <v/>
      </c>
      <c r="Y284" s="152">
        <f>IF($B284=1,$G$40,IF(N(Vintage_Input!Q235)&gt;0,Vintage_Input!AG235/Vintage_Input!Q235,""))</f>
        <v/>
      </c>
      <c r="Z284" s="152">
        <f>IF($B284=1,$H$40,IF(N(Vintage_Input!R235)&gt;0,Vintage_Input!AH235/Vintage_Input!R235,""))</f>
        <v/>
      </c>
      <c r="AA284" s="152">
        <f>IF($B284=1,$I$40,IF(N(Vintage_Input!S235)&gt;0,Vintage_Input!AI235/Vintage_Input!S235,""))</f>
        <v/>
      </c>
      <c r="AB284" s="152">
        <f>IF($B284=1,$B$41,IF(N(Vintage_Input!L235)&gt;0,Vintage_Input!AJ235/Vintage_Input!L235,""))</f>
        <v/>
      </c>
      <c r="AC284" s="152">
        <f>IF($B284=1,$C$41,IF(N(Vintage_Input!M235)&gt;0,Vintage_Input!AK235/Vintage_Input!M235,""))</f>
        <v/>
      </c>
      <c r="AD284" s="152">
        <f>IF($B284=1,$D$41,IF(N(Vintage_Input!N235)&gt;0,Vintage_Input!AL235/Vintage_Input!N235,""))</f>
        <v/>
      </c>
      <c r="AE284" s="152">
        <f>IF($B284=1,$E$41,IF(N(Vintage_Input!O235)&gt;0,Vintage_Input!AM235/Vintage_Input!O235,""))</f>
        <v/>
      </c>
      <c r="AF284" s="152">
        <f>IF($B284=1,$F$41,IF(N(Vintage_Input!P235)&gt;0,Vintage_Input!AN235/Vintage_Input!P235,""))</f>
        <v/>
      </c>
      <c r="AG284" s="152">
        <f>IF($B284=1,$G$41,IF(N(Vintage_Input!Q235)&gt;0,Vintage_Input!AO235/Vintage_Input!Q235,""))</f>
        <v/>
      </c>
      <c r="AH284" s="152">
        <f>IF($B284=1,$H$41,IF(N(Vintage_Input!R235)&gt;0,Vintage_Input!AP235/Vintage_Input!R235,""))</f>
        <v/>
      </c>
      <c r="AI284" s="152">
        <f>IF($B284=1,$I$41,IF(N(Vintage_Input!S235)&gt;0,Vintage_Input!AQ235/Vintage_Input!S235,""))</f>
        <v/>
      </c>
      <c r="AJ284" s="152">
        <f>IF($B284=1,$B$42,IF(N(Vintage_Input!L235)&gt;0,IFERROR(Vintage_Input!AR235/Vintage_Input!AJ235,""),""))</f>
        <v/>
      </c>
      <c r="AK284" s="152">
        <f>IF($B284=1,$C$42,IF(N(Vintage_Input!M235)&gt;0,IFERROR(Vintage_Input!AS235/Vintage_Input!AK235,""),""))</f>
        <v/>
      </c>
      <c r="AL284" s="152">
        <f>IF($B284=1,$D$42,IF(N(Vintage_Input!N235)&gt;0,IFERROR(Vintage_Input!AT235/Vintage_Input!AL235,""),""))</f>
        <v/>
      </c>
      <c r="AM284" s="152">
        <f>IF($B284=1,$E$42,IF(N(Vintage_Input!O235)&gt;0,IFERROR(Vintage_Input!AU235/Vintage_Input!AM235,""),""))</f>
        <v/>
      </c>
      <c r="AN284" s="152">
        <f>IF($B284=1,$F$42,IF(N(Vintage_Input!P235)&gt;0,IFERROR(Vintage_Input!AV235/Vintage_Input!AN235,""),""))</f>
        <v/>
      </c>
      <c r="AO284" s="152">
        <f>IF($B284=1,$G$42,IF(N(Vintage_Input!Q235)&gt;0,IFERROR(Vintage_Input!AW235/Vintage_Input!AO235,""),""))</f>
        <v/>
      </c>
      <c r="AP284" s="152">
        <f>IF($B284=1,$H$42,IF(N(Vintage_Input!R235)&gt;0,IFERROR(Vintage_Input!AX235/Vintage_Input!AP235,""),""))</f>
        <v/>
      </c>
      <c r="AQ284" s="152">
        <f>IF($B284=1,$I$42,IF(N(Vintage_Input!S235)&gt;0,IFERROR(Vintage_Input!AY235/Vintage_Input!AQ235,""),""))</f>
        <v/>
      </c>
      <c r="AR284" s="152">
        <f>IF($B284=1,$B$43,IF(N(Vintage_Input!L235)&gt;0,IFERROR(Vintage_Input!AZ235/$C284,""),""))</f>
        <v/>
      </c>
      <c r="AS284" s="152">
        <f>IF($B284=1,$C$43,IF(N(Vintage_Input!M235)&gt;0,IFERROR(Vintage_Input!BA235/$C284,""),""))</f>
        <v/>
      </c>
      <c r="AT284" s="152">
        <f>IF($B284=1,$D$43,IF(N(Vintage_Input!N235)&gt;0,IFERROR(Vintage_Input!BB235/$C284,""),""))</f>
        <v/>
      </c>
      <c r="AU284" s="152">
        <f>IF($B284=1,$E$43,IF(N(Vintage_Input!O235)&gt;0,IFERROR(Vintage_Input!BC235/$C284,""),""))</f>
        <v/>
      </c>
      <c r="AV284" s="152">
        <f>IF($B284=1,$F$43,IF(N(Vintage_Input!P235)&gt;0,IFERROR(Vintage_Input!BD235/$C284,""),""))</f>
        <v/>
      </c>
      <c r="AW284" s="152">
        <f>IF($B284=1,$G$43,IF(N(Vintage_Input!Q235)&gt;0,IFERROR(Vintage_Input!BE235/$C284,""),""))</f>
        <v/>
      </c>
      <c r="AX284" s="152">
        <f>IF($B284=1,$H$43,IF(N(Vintage_Input!R235)&gt;0,IFERROR(Vintage_Input!BF235/$C284,""),""))</f>
        <v/>
      </c>
      <c r="AY284" s="152">
        <f>IF($B284=1,$I$43,IF(N(Vintage_Input!S235)&gt;0,IFERROR(Vintage_Input!BG235/$C284,""),""))</f>
        <v/>
      </c>
      <c r="AZ284" s="153">
        <f>IF($B284=1,$B$44,IF(N(Vintage_Input!L235)&gt;0,IFERROR((Vintage_Input!D235+Vintage_Input!AR235)/$C284+Products!$F$14-(Products!$F$43+Products!$F$19+Products!$F$43*Products!$F$22+Products!$F$44),""),""))</f>
        <v/>
      </c>
      <c r="BA284" s="153">
        <f>IF($B284=1,$C$44,IF(N(Vintage_Input!M235)&gt;0,IFERROR((Vintage_Input!E235+Vintage_Input!AS235)/$C284+Products!$F$14-(Products!$F$43+Products!$F$19+Products!$F$43*Products!$F$22+Products!$F$44),""),""))</f>
        <v/>
      </c>
      <c r="BB284" s="153">
        <f>IF($B284=1,$D$44,IF(N(Vintage_Input!N235)&gt;0,IFERROR((Vintage_Input!F235+Vintage_Input!AT235)/$C284+Products!$F$14-(Products!$F$43+Products!$F$19+Products!$F$43*Products!$F$22+Products!$F$44),""),""))</f>
        <v/>
      </c>
      <c r="BC284" s="153">
        <f>IF($B284=1,$E$44,IF(N(Vintage_Input!O235)&gt;0,IFERROR((Vintage_Input!G235+Vintage_Input!AU235)/$C284+Products!$F$14-(Products!$F$43+Products!$F$19+Products!$F$43*Products!$F$22+Products!$F$44),""),""))</f>
        <v/>
      </c>
      <c r="BD284" s="153">
        <f>IF($B284=1,$F$44,IF(N(Vintage_Input!P235)&gt;0,IFERROR((Vintage_Input!H235+Vintage_Input!AV235)/$C284+Products!$F$14-(Products!$F$43+Products!$F$19+Products!$F$43*Products!$F$22+Products!$F$44),""),""))</f>
        <v/>
      </c>
      <c r="BE284" s="153">
        <f>IF($B284=1,$G$44,IF(N(Vintage_Input!Q235)&gt;0,IFERROR((Vintage_Input!I235+Vintage_Input!AW235)/$C284+Products!$F$14-(Products!$F$43+Products!$F$19+Products!$F$43*Products!$F$22+Products!$F$44),""),""))</f>
        <v/>
      </c>
      <c r="BF284" s="153">
        <f>IF($B284=1,$H$44,IF(N(Vintage_Input!R235)&gt;0,IFERROR((Vintage_Input!J235+Vintage_Input!AX235)/$C284+Products!$F$14-(Products!$F$43+Products!$F$19+Products!$F$43*Products!$F$22+Products!$F$44),""),""))</f>
        <v/>
      </c>
      <c r="BG284" s="153">
        <f>IF($B284=1,$I$44,IF(N(Vintage_Input!S235)&gt;0,IFERROR((Vintage_Input!K235+Vintage_Input!AY235)/$C284+Products!$F$14-(Products!$F$43+Products!$F$19+Products!$F$43*Products!$F$22+Products!$F$44),""),""))</f>
        <v/>
      </c>
      <c r="BH284" s="81">
        <f>IF($B284=1,0,IF(Vintage_Input!$BH$235="","",Vintage_Input!$BH$235))</f>
        <v/>
      </c>
    </row>
    <row r="285">
      <c r="A285" s="23" t="n">
        <v>33</v>
      </c>
      <c r="B285" s="48">
        <f>Vintage_Input!$B$236</f>
        <v/>
      </c>
      <c r="C285" s="41">
        <f>IF(Vintage_Input!$C$236="",0,Vintage_Input!$C$236)</f>
        <v/>
      </c>
      <c r="D285" s="152">
        <f>IF($B285=1,$B$38,IF(N(Vintage_Input!L236)&gt;0,Vintage_Input!D236/Vintage_Input!L236,""))</f>
        <v/>
      </c>
      <c r="E285" s="152">
        <f>IF($B285=1,$C$38,IF(N(Vintage_Input!M236)&gt;0,Vintage_Input!E236/Vintage_Input!M236,""))</f>
        <v/>
      </c>
      <c r="F285" s="152">
        <f>IF($B285=1,$D$38,IF(N(Vintage_Input!N236)&gt;0,Vintage_Input!F236/Vintage_Input!N236,""))</f>
        <v/>
      </c>
      <c r="G285" s="152">
        <f>IF($B285=1,$E$38,IF(N(Vintage_Input!O236)&gt;0,Vintage_Input!G236/Vintage_Input!O236,""))</f>
        <v/>
      </c>
      <c r="H285" s="152">
        <f>IF($B285=1,$F$38,IF(N(Vintage_Input!P236)&gt;0,Vintage_Input!H236/Vintage_Input!P236,""))</f>
        <v/>
      </c>
      <c r="I285" s="152">
        <f>IF($B285=1,$G$38,IF(N(Vintage_Input!Q236)&gt;0,Vintage_Input!I236/Vintage_Input!Q236,""))</f>
        <v/>
      </c>
      <c r="J285" s="152">
        <f>IF($B285=1,$H$38,IF(N(Vintage_Input!R236)&gt;0,Vintage_Input!J236/Vintage_Input!R236,""))</f>
        <v/>
      </c>
      <c r="K285" s="152">
        <f>IF($B285=1,$I$38,IF(N(Vintage_Input!S236)&gt;0,Vintage_Input!K236/Vintage_Input!S236,""))</f>
        <v/>
      </c>
      <c r="L285" s="152">
        <f>IF($B285=1,$B$39,IF(N(Vintage_Input!L236)&gt;0,Vintage_Input!T236/Vintage_Input!L236,""))</f>
        <v/>
      </c>
      <c r="M285" s="152">
        <f>IF($B285=1,$C$39,IF(N(Vintage_Input!M236)&gt;0,Vintage_Input!U236/Vintage_Input!M236,""))</f>
        <v/>
      </c>
      <c r="N285" s="152">
        <f>IF($B285=1,$D$39,IF(N(Vintage_Input!N236)&gt;0,Vintage_Input!V236/Vintage_Input!N236,""))</f>
        <v/>
      </c>
      <c r="O285" s="152">
        <f>IF($B285=1,$E$39,IF(N(Vintage_Input!O236)&gt;0,Vintage_Input!W236/Vintage_Input!O236,""))</f>
        <v/>
      </c>
      <c r="P285" s="152">
        <f>IF($B285=1,$F$39,IF(N(Vintage_Input!P236)&gt;0,Vintage_Input!X236/Vintage_Input!P236,""))</f>
        <v/>
      </c>
      <c r="Q285" s="152">
        <f>IF($B285=1,$G$39,IF(N(Vintage_Input!Q236)&gt;0,Vintage_Input!Y236/Vintage_Input!Q236,""))</f>
        <v/>
      </c>
      <c r="R285" s="152">
        <f>IF($B285=1,$H$39,IF(N(Vintage_Input!R236)&gt;0,Vintage_Input!Z236/Vintage_Input!R236,""))</f>
        <v/>
      </c>
      <c r="S285" s="152">
        <f>IF($B285=1,$I$39,IF(N(Vintage_Input!S236)&gt;0,Vintage_Input!AA236/Vintage_Input!S236,""))</f>
        <v/>
      </c>
      <c r="T285" s="152">
        <f>IF($B285=1,$B$40,IF(N(Vintage_Input!L236)&gt;0,Vintage_Input!AB236/Vintage_Input!L236,""))</f>
        <v/>
      </c>
      <c r="U285" s="152">
        <f>IF($B285=1,$C$40,IF(N(Vintage_Input!M236)&gt;0,Vintage_Input!AC236/Vintage_Input!M236,""))</f>
        <v/>
      </c>
      <c r="V285" s="152">
        <f>IF($B285=1,$D$40,IF(N(Vintage_Input!N236)&gt;0,Vintage_Input!AD236/Vintage_Input!N236,""))</f>
        <v/>
      </c>
      <c r="W285" s="152">
        <f>IF($B285=1,$E$40,IF(N(Vintage_Input!O236)&gt;0,Vintage_Input!AE236/Vintage_Input!O236,""))</f>
        <v/>
      </c>
      <c r="X285" s="152">
        <f>IF($B285=1,$F$40,IF(N(Vintage_Input!P236)&gt;0,Vintage_Input!AF236/Vintage_Input!P236,""))</f>
        <v/>
      </c>
      <c r="Y285" s="152">
        <f>IF($B285=1,$G$40,IF(N(Vintage_Input!Q236)&gt;0,Vintage_Input!AG236/Vintage_Input!Q236,""))</f>
        <v/>
      </c>
      <c r="Z285" s="152">
        <f>IF($B285=1,$H$40,IF(N(Vintage_Input!R236)&gt;0,Vintage_Input!AH236/Vintage_Input!R236,""))</f>
        <v/>
      </c>
      <c r="AA285" s="152">
        <f>IF($B285=1,$I$40,IF(N(Vintage_Input!S236)&gt;0,Vintage_Input!AI236/Vintage_Input!S236,""))</f>
        <v/>
      </c>
      <c r="AB285" s="152">
        <f>IF($B285=1,$B$41,IF(N(Vintage_Input!L236)&gt;0,Vintage_Input!AJ236/Vintage_Input!L236,""))</f>
        <v/>
      </c>
      <c r="AC285" s="152">
        <f>IF($B285=1,$C$41,IF(N(Vintage_Input!M236)&gt;0,Vintage_Input!AK236/Vintage_Input!M236,""))</f>
        <v/>
      </c>
      <c r="AD285" s="152">
        <f>IF($B285=1,$D$41,IF(N(Vintage_Input!N236)&gt;0,Vintage_Input!AL236/Vintage_Input!N236,""))</f>
        <v/>
      </c>
      <c r="AE285" s="152">
        <f>IF($B285=1,$E$41,IF(N(Vintage_Input!O236)&gt;0,Vintage_Input!AM236/Vintage_Input!O236,""))</f>
        <v/>
      </c>
      <c r="AF285" s="152">
        <f>IF($B285=1,$F$41,IF(N(Vintage_Input!P236)&gt;0,Vintage_Input!AN236/Vintage_Input!P236,""))</f>
        <v/>
      </c>
      <c r="AG285" s="152">
        <f>IF($B285=1,$G$41,IF(N(Vintage_Input!Q236)&gt;0,Vintage_Input!AO236/Vintage_Input!Q236,""))</f>
        <v/>
      </c>
      <c r="AH285" s="152">
        <f>IF($B285=1,$H$41,IF(N(Vintage_Input!R236)&gt;0,Vintage_Input!AP236/Vintage_Input!R236,""))</f>
        <v/>
      </c>
      <c r="AI285" s="152">
        <f>IF($B285=1,$I$41,IF(N(Vintage_Input!S236)&gt;0,Vintage_Input!AQ236/Vintage_Input!S236,""))</f>
        <v/>
      </c>
      <c r="AJ285" s="152">
        <f>IF($B285=1,$B$42,IF(N(Vintage_Input!L236)&gt;0,IFERROR(Vintage_Input!AR236/Vintage_Input!AJ236,""),""))</f>
        <v/>
      </c>
      <c r="AK285" s="152">
        <f>IF($B285=1,$C$42,IF(N(Vintage_Input!M236)&gt;0,IFERROR(Vintage_Input!AS236/Vintage_Input!AK236,""),""))</f>
        <v/>
      </c>
      <c r="AL285" s="152">
        <f>IF($B285=1,$D$42,IF(N(Vintage_Input!N236)&gt;0,IFERROR(Vintage_Input!AT236/Vintage_Input!AL236,""),""))</f>
        <v/>
      </c>
      <c r="AM285" s="152">
        <f>IF($B285=1,$E$42,IF(N(Vintage_Input!O236)&gt;0,IFERROR(Vintage_Input!AU236/Vintage_Input!AM236,""),""))</f>
        <v/>
      </c>
      <c r="AN285" s="152">
        <f>IF($B285=1,$F$42,IF(N(Vintage_Input!P236)&gt;0,IFERROR(Vintage_Input!AV236/Vintage_Input!AN236,""),""))</f>
        <v/>
      </c>
      <c r="AO285" s="152">
        <f>IF($B285=1,$G$42,IF(N(Vintage_Input!Q236)&gt;0,IFERROR(Vintage_Input!AW236/Vintage_Input!AO236,""),""))</f>
        <v/>
      </c>
      <c r="AP285" s="152">
        <f>IF($B285=1,$H$42,IF(N(Vintage_Input!R236)&gt;0,IFERROR(Vintage_Input!AX236/Vintage_Input!AP236,""),""))</f>
        <v/>
      </c>
      <c r="AQ285" s="152">
        <f>IF($B285=1,$I$42,IF(N(Vintage_Input!S236)&gt;0,IFERROR(Vintage_Input!AY236/Vintage_Input!AQ236,""),""))</f>
        <v/>
      </c>
      <c r="AR285" s="152">
        <f>IF($B285=1,$B$43,IF(N(Vintage_Input!L236)&gt;0,IFERROR(Vintage_Input!AZ236/$C285,""),""))</f>
        <v/>
      </c>
      <c r="AS285" s="152">
        <f>IF($B285=1,$C$43,IF(N(Vintage_Input!M236)&gt;0,IFERROR(Vintage_Input!BA236/$C285,""),""))</f>
        <v/>
      </c>
      <c r="AT285" s="152">
        <f>IF($B285=1,$D$43,IF(N(Vintage_Input!N236)&gt;0,IFERROR(Vintage_Input!BB236/$C285,""),""))</f>
        <v/>
      </c>
      <c r="AU285" s="152">
        <f>IF($B285=1,$E$43,IF(N(Vintage_Input!O236)&gt;0,IFERROR(Vintage_Input!BC236/$C285,""),""))</f>
        <v/>
      </c>
      <c r="AV285" s="152">
        <f>IF($B285=1,$F$43,IF(N(Vintage_Input!P236)&gt;0,IFERROR(Vintage_Input!BD236/$C285,""),""))</f>
        <v/>
      </c>
      <c r="AW285" s="152">
        <f>IF($B285=1,$G$43,IF(N(Vintage_Input!Q236)&gt;0,IFERROR(Vintage_Input!BE236/$C285,""),""))</f>
        <v/>
      </c>
      <c r="AX285" s="152">
        <f>IF($B285=1,$H$43,IF(N(Vintage_Input!R236)&gt;0,IFERROR(Vintage_Input!BF236/$C285,""),""))</f>
        <v/>
      </c>
      <c r="AY285" s="152">
        <f>IF($B285=1,$I$43,IF(N(Vintage_Input!S236)&gt;0,IFERROR(Vintage_Input!BG236/$C285,""),""))</f>
        <v/>
      </c>
      <c r="AZ285" s="153">
        <f>IF($B285=1,$B$44,IF(N(Vintage_Input!L236)&gt;0,IFERROR((Vintage_Input!D236+Vintage_Input!AR236)/$C285+Products!$F$14-(Products!$F$43+Products!$F$19+Products!$F$43*Products!$F$22+Products!$F$44),""),""))</f>
        <v/>
      </c>
      <c r="BA285" s="153">
        <f>IF($B285=1,$C$44,IF(N(Vintage_Input!M236)&gt;0,IFERROR((Vintage_Input!E236+Vintage_Input!AS236)/$C285+Products!$F$14-(Products!$F$43+Products!$F$19+Products!$F$43*Products!$F$22+Products!$F$44),""),""))</f>
        <v/>
      </c>
      <c r="BB285" s="153">
        <f>IF($B285=1,$D$44,IF(N(Vintage_Input!N236)&gt;0,IFERROR((Vintage_Input!F236+Vintage_Input!AT236)/$C285+Products!$F$14-(Products!$F$43+Products!$F$19+Products!$F$43*Products!$F$22+Products!$F$44),""),""))</f>
        <v/>
      </c>
      <c r="BC285" s="153">
        <f>IF($B285=1,$E$44,IF(N(Vintage_Input!O236)&gt;0,IFERROR((Vintage_Input!G236+Vintage_Input!AU236)/$C285+Products!$F$14-(Products!$F$43+Products!$F$19+Products!$F$43*Products!$F$22+Products!$F$44),""),""))</f>
        <v/>
      </c>
      <c r="BD285" s="153">
        <f>IF($B285=1,$F$44,IF(N(Vintage_Input!P236)&gt;0,IFERROR((Vintage_Input!H236+Vintage_Input!AV236)/$C285+Products!$F$14-(Products!$F$43+Products!$F$19+Products!$F$43*Products!$F$22+Products!$F$44),""),""))</f>
        <v/>
      </c>
      <c r="BE285" s="153">
        <f>IF($B285=1,$G$44,IF(N(Vintage_Input!Q236)&gt;0,IFERROR((Vintage_Input!I236+Vintage_Input!AW236)/$C285+Products!$F$14-(Products!$F$43+Products!$F$19+Products!$F$43*Products!$F$22+Products!$F$44),""),""))</f>
        <v/>
      </c>
      <c r="BF285" s="153">
        <f>IF($B285=1,$H$44,IF(N(Vintage_Input!R236)&gt;0,IFERROR((Vintage_Input!J236+Vintage_Input!AX236)/$C285+Products!$F$14-(Products!$F$43+Products!$F$19+Products!$F$43*Products!$F$22+Products!$F$44),""),""))</f>
        <v/>
      </c>
      <c r="BG285" s="153">
        <f>IF($B285=1,$I$44,IF(N(Vintage_Input!S236)&gt;0,IFERROR((Vintage_Input!K236+Vintage_Input!AY236)/$C285+Products!$F$14-(Products!$F$43+Products!$F$19+Products!$F$43*Products!$F$22+Products!$F$44),""),""))</f>
        <v/>
      </c>
      <c r="BH285" s="81">
        <f>IF($B285=1,0,IF(Vintage_Input!$BH$236="","",Vintage_Input!$BH$236))</f>
        <v/>
      </c>
    </row>
    <row r="286">
      <c r="A286" s="23" t="n">
        <v>34</v>
      </c>
      <c r="B286" s="48">
        <f>Vintage_Input!$B$237</f>
        <v/>
      </c>
      <c r="C286" s="41">
        <f>IF(Vintage_Input!$C$237="",0,Vintage_Input!$C$237)</f>
        <v/>
      </c>
      <c r="D286" s="152">
        <f>IF($B286=1,$B$38,IF(N(Vintage_Input!L237)&gt;0,Vintage_Input!D237/Vintage_Input!L237,""))</f>
        <v/>
      </c>
      <c r="E286" s="152">
        <f>IF($B286=1,$C$38,IF(N(Vintage_Input!M237)&gt;0,Vintage_Input!E237/Vintage_Input!M237,""))</f>
        <v/>
      </c>
      <c r="F286" s="152">
        <f>IF($B286=1,$D$38,IF(N(Vintage_Input!N237)&gt;0,Vintage_Input!F237/Vintage_Input!N237,""))</f>
        <v/>
      </c>
      <c r="G286" s="152">
        <f>IF($B286=1,$E$38,IF(N(Vintage_Input!O237)&gt;0,Vintage_Input!G237/Vintage_Input!O237,""))</f>
        <v/>
      </c>
      <c r="H286" s="152">
        <f>IF($B286=1,$F$38,IF(N(Vintage_Input!P237)&gt;0,Vintage_Input!H237/Vintage_Input!P237,""))</f>
        <v/>
      </c>
      <c r="I286" s="152">
        <f>IF($B286=1,$G$38,IF(N(Vintage_Input!Q237)&gt;0,Vintage_Input!I237/Vintage_Input!Q237,""))</f>
        <v/>
      </c>
      <c r="J286" s="152">
        <f>IF($B286=1,$H$38,IF(N(Vintage_Input!R237)&gt;0,Vintage_Input!J237/Vintage_Input!R237,""))</f>
        <v/>
      </c>
      <c r="K286" s="152">
        <f>IF($B286=1,$I$38,IF(N(Vintage_Input!S237)&gt;0,Vintage_Input!K237/Vintage_Input!S237,""))</f>
        <v/>
      </c>
      <c r="L286" s="152">
        <f>IF($B286=1,$B$39,IF(N(Vintage_Input!L237)&gt;0,Vintage_Input!T237/Vintage_Input!L237,""))</f>
        <v/>
      </c>
      <c r="M286" s="152">
        <f>IF($B286=1,$C$39,IF(N(Vintage_Input!M237)&gt;0,Vintage_Input!U237/Vintage_Input!M237,""))</f>
        <v/>
      </c>
      <c r="N286" s="152">
        <f>IF($B286=1,$D$39,IF(N(Vintage_Input!N237)&gt;0,Vintage_Input!V237/Vintage_Input!N237,""))</f>
        <v/>
      </c>
      <c r="O286" s="152">
        <f>IF($B286=1,$E$39,IF(N(Vintage_Input!O237)&gt;0,Vintage_Input!W237/Vintage_Input!O237,""))</f>
        <v/>
      </c>
      <c r="P286" s="152">
        <f>IF($B286=1,$F$39,IF(N(Vintage_Input!P237)&gt;0,Vintage_Input!X237/Vintage_Input!P237,""))</f>
        <v/>
      </c>
      <c r="Q286" s="152">
        <f>IF($B286=1,$G$39,IF(N(Vintage_Input!Q237)&gt;0,Vintage_Input!Y237/Vintage_Input!Q237,""))</f>
        <v/>
      </c>
      <c r="R286" s="152">
        <f>IF($B286=1,$H$39,IF(N(Vintage_Input!R237)&gt;0,Vintage_Input!Z237/Vintage_Input!R237,""))</f>
        <v/>
      </c>
      <c r="S286" s="152">
        <f>IF($B286=1,$I$39,IF(N(Vintage_Input!S237)&gt;0,Vintage_Input!AA237/Vintage_Input!S237,""))</f>
        <v/>
      </c>
      <c r="T286" s="152">
        <f>IF($B286=1,$B$40,IF(N(Vintage_Input!L237)&gt;0,Vintage_Input!AB237/Vintage_Input!L237,""))</f>
        <v/>
      </c>
      <c r="U286" s="152">
        <f>IF($B286=1,$C$40,IF(N(Vintage_Input!M237)&gt;0,Vintage_Input!AC237/Vintage_Input!M237,""))</f>
        <v/>
      </c>
      <c r="V286" s="152">
        <f>IF($B286=1,$D$40,IF(N(Vintage_Input!N237)&gt;0,Vintage_Input!AD237/Vintage_Input!N237,""))</f>
        <v/>
      </c>
      <c r="W286" s="152">
        <f>IF($B286=1,$E$40,IF(N(Vintage_Input!O237)&gt;0,Vintage_Input!AE237/Vintage_Input!O237,""))</f>
        <v/>
      </c>
      <c r="X286" s="152">
        <f>IF($B286=1,$F$40,IF(N(Vintage_Input!P237)&gt;0,Vintage_Input!AF237/Vintage_Input!P237,""))</f>
        <v/>
      </c>
      <c r="Y286" s="152">
        <f>IF($B286=1,$G$40,IF(N(Vintage_Input!Q237)&gt;0,Vintage_Input!AG237/Vintage_Input!Q237,""))</f>
        <v/>
      </c>
      <c r="Z286" s="152">
        <f>IF($B286=1,$H$40,IF(N(Vintage_Input!R237)&gt;0,Vintage_Input!AH237/Vintage_Input!R237,""))</f>
        <v/>
      </c>
      <c r="AA286" s="152">
        <f>IF($B286=1,$I$40,IF(N(Vintage_Input!S237)&gt;0,Vintage_Input!AI237/Vintage_Input!S237,""))</f>
        <v/>
      </c>
      <c r="AB286" s="152">
        <f>IF($B286=1,$B$41,IF(N(Vintage_Input!L237)&gt;0,Vintage_Input!AJ237/Vintage_Input!L237,""))</f>
        <v/>
      </c>
      <c r="AC286" s="152">
        <f>IF($B286=1,$C$41,IF(N(Vintage_Input!M237)&gt;0,Vintage_Input!AK237/Vintage_Input!M237,""))</f>
        <v/>
      </c>
      <c r="AD286" s="152">
        <f>IF($B286=1,$D$41,IF(N(Vintage_Input!N237)&gt;0,Vintage_Input!AL237/Vintage_Input!N237,""))</f>
        <v/>
      </c>
      <c r="AE286" s="152">
        <f>IF($B286=1,$E$41,IF(N(Vintage_Input!O237)&gt;0,Vintage_Input!AM237/Vintage_Input!O237,""))</f>
        <v/>
      </c>
      <c r="AF286" s="152">
        <f>IF($B286=1,$F$41,IF(N(Vintage_Input!P237)&gt;0,Vintage_Input!AN237/Vintage_Input!P237,""))</f>
        <v/>
      </c>
      <c r="AG286" s="152">
        <f>IF($B286=1,$G$41,IF(N(Vintage_Input!Q237)&gt;0,Vintage_Input!AO237/Vintage_Input!Q237,""))</f>
        <v/>
      </c>
      <c r="AH286" s="152">
        <f>IF($B286=1,$H$41,IF(N(Vintage_Input!R237)&gt;0,Vintage_Input!AP237/Vintage_Input!R237,""))</f>
        <v/>
      </c>
      <c r="AI286" s="152">
        <f>IF($B286=1,$I$41,IF(N(Vintage_Input!S237)&gt;0,Vintage_Input!AQ237/Vintage_Input!S237,""))</f>
        <v/>
      </c>
      <c r="AJ286" s="152">
        <f>IF($B286=1,$B$42,IF(N(Vintage_Input!L237)&gt;0,IFERROR(Vintage_Input!AR237/Vintage_Input!AJ237,""),""))</f>
        <v/>
      </c>
      <c r="AK286" s="152">
        <f>IF($B286=1,$C$42,IF(N(Vintage_Input!M237)&gt;0,IFERROR(Vintage_Input!AS237/Vintage_Input!AK237,""),""))</f>
        <v/>
      </c>
      <c r="AL286" s="152">
        <f>IF($B286=1,$D$42,IF(N(Vintage_Input!N237)&gt;0,IFERROR(Vintage_Input!AT237/Vintage_Input!AL237,""),""))</f>
        <v/>
      </c>
      <c r="AM286" s="152">
        <f>IF($B286=1,$E$42,IF(N(Vintage_Input!O237)&gt;0,IFERROR(Vintage_Input!AU237/Vintage_Input!AM237,""),""))</f>
        <v/>
      </c>
      <c r="AN286" s="152">
        <f>IF($B286=1,$F$42,IF(N(Vintage_Input!P237)&gt;0,IFERROR(Vintage_Input!AV237/Vintage_Input!AN237,""),""))</f>
        <v/>
      </c>
      <c r="AO286" s="152">
        <f>IF($B286=1,$G$42,IF(N(Vintage_Input!Q237)&gt;0,IFERROR(Vintage_Input!AW237/Vintage_Input!AO237,""),""))</f>
        <v/>
      </c>
      <c r="AP286" s="152">
        <f>IF($B286=1,$H$42,IF(N(Vintage_Input!R237)&gt;0,IFERROR(Vintage_Input!AX237/Vintage_Input!AP237,""),""))</f>
        <v/>
      </c>
      <c r="AQ286" s="152">
        <f>IF($B286=1,$I$42,IF(N(Vintage_Input!S237)&gt;0,IFERROR(Vintage_Input!AY237/Vintage_Input!AQ237,""),""))</f>
        <v/>
      </c>
      <c r="AR286" s="152">
        <f>IF($B286=1,$B$43,IF(N(Vintage_Input!L237)&gt;0,IFERROR(Vintage_Input!AZ237/$C286,""),""))</f>
        <v/>
      </c>
      <c r="AS286" s="152">
        <f>IF($B286=1,$C$43,IF(N(Vintage_Input!M237)&gt;0,IFERROR(Vintage_Input!BA237/$C286,""),""))</f>
        <v/>
      </c>
      <c r="AT286" s="152">
        <f>IF($B286=1,$D$43,IF(N(Vintage_Input!N237)&gt;0,IFERROR(Vintage_Input!BB237/$C286,""),""))</f>
        <v/>
      </c>
      <c r="AU286" s="152">
        <f>IF($B286=1,$E$43,IF(N(Vintage_Input!O237)&gt;0,IFERROR(Vintage_Input!BC237/$C286,""),""))</f>
        <v/>
      </c>
      <c r="AV286" s="152">
        <f>IF($B286=1,$F$43,IF(N(Vintage_Input!P237)&gt;0,IFERROR(Vintage_Input!BD237/$C286,""),""))</f>
        <v/>
      </c>
      <c r="AW286" s="152">
        <f>IF($B286=1,$G$43,IF(N(Vintage_Input!Q237)&gt;0,IFERROR(Vintage_Input!BE237/$C286,""),""))</f>
        <v/>
      </c>
      <c r="AX286" s="152">
        <f>IF($B286=1,$H$43,IF(N(Vintage_Input!R237)&gt;0,IFERROR(Vintage_Input!BF237/$C286,""),""))</f>
        <v/>
      </c>
      <c r="AY286" s="152">
        <f>IF($B286=1,$I$43,IF(N(Vintage_Input!S237)&gt;0,IFERROR(Vintage_Input!BG237/$C286,""),""))</f>
        <v/>
      </c>
      <c r="AZ286" s="153">
        <f>IF($B286=1,$B$44,IF(N(Vintage_Input!L237)&gt;0,IFERROR((Vintage_Input!D237+Vintage_Input!AR237)/$C286+Products!$F$14-(Products!$F$43+Products!$F$19+Products!$F$43*Products!$F$22+Products!$F$44),""),""))</f>
        <v/>
      </c>
      <c r="BA286" s="153">
        <f>IF($B286=1,$C$44,IF(N(Vintage_Input!M237)&gt;0,IFERROR((Vintage_Input!E237+Vintage_Input!AS237)/$C286+Products!$F$14-(Products!$F$43+Products!$F$19+Products!$F$43*Products!$F$22+Products!$F$44),""),""))</f>
        <v/>
      </c>
      <c r="BB286" s="153">
        <f>IF($B286=1,$D$44,IF(N(Vintage_Input!N237)&gt;0,IFERROR((Vintage_Input!F237+Vintage_Input!AT237)/$C286+Products!$F$14-(Products!$F$43+Products!$F$19+Products!$F$43*Products!$F$22+Products!$F$44),""),""))</f>
        <v/>
      </c>
      <c r="BC286" s="153">
        <f>IF($B286=1,$E$44,IF(N(Vintage_Input!O237)&gt;0,IFERROR((Vintage_Input!G237+Vintage_Input!AU237)/$C286+Products!$F$14-(Products!$F$43+Products!$F$19+Products!$F$43*Products!$F$22+Products!$F$44),""),""))</f>
        <v/>
      </c>
      <c r="BD286" s="153">
        <f>IF($B286=1,$F$44,IF(N(Vintage_Input!P237)&gt;0,IFERROR((Vintage_Input!H237+Vintage_Input!AV237)/$C286+Products!$F$14-(Products!$F$43+Products!$F$19+Products!$F$43*Products!$F$22+Products!$F$44),""),""))</f>
        <v/>
      </c>
      <c r="BE286" s="153">
        <f>IF($B286=1,$G$44,IF(N(Vintage_Input!Q237)&gt;0,IFERROR((Vintage_Input!I237+Vintage_Input!AW237)/$C286+Products!$F$14-(Products!$F$43+Products!$F$19+Products!$F$43*Products!$F$22+Products!$F$44),""),""))</f>
        <v/>
      </c>
      <c r="BF286" s="153">
        <f>IF($B286=1,$H$44,IF(N(Vintage_Input!R237)&gt;0,IFERROR((Vintage_Input!J237+Vintage_Input!AX237)/$C286+Products!$F$14-(Products!$F$43+Products!$F$19+Products!$F$43*Products!$F$22+Products!$F$44),""),""))</f>
        <v/>
      </c>
      <c r="BG286" s="153">
        <f>IF($B286=1,$I$44,IF(N(Vintage_Input!S237)&gt;0,IFERROR((Vintage_Input!K237+Vintage_Input!AY237)/$C286+Products!$F$14-(Products!$F$43+Products!$F$19+Products!$F$43*Products!$F$22+Products!$F$44),""),""))</f>
        <v/>
      </c>
      <c r="BH286" s="81">
        <f>IF($B286=1,0,IF(Vintage_Input!$BH$237="","",Vintage_Input!$BH$237))</f>
        <v/>
      </c>
    </row>
    <row r="287">
      <c r="A287" s="23" t="n">
        <v>35</v>
      </c>
      <c r="B287" s="48">
        <f>Vintage_Input!$B$238</f>
        <v/>
      </c>
      <c r="C287" s="41">
        <f>IF(Vintage_Input!$C$238="",0,Vintage_Input!$C$238)</f>
        <v/>
      </c>
      <c r="D287" s="152">
        <f>IF($B287=1,$B$38,IF(N(Vintage_Input!L238)&gt;0,Vintage_Input!D238/Vintage_Input!L238,""))</f>
        <v/>
      </c>
      <c r="E287" s="152">
        <f>IF($B287=1,$C$38,IF(N(Vintage_Input!M238)&gt;0,Vintage_Input!E238/Vintage_Input!M238,""))</f>
        <v/>
      </c>
      <c r="F287" s="152">
        <f>IF($B287=1,$D$38,IF(N(Vintage_Input!N238)&gt;0,Vintage_Input!F238/Vintage_Input!N238,""))</f>
        <v/>
      </c>
      <c r="G287" s="152">
        <f>IF($B287=1,$E$38,IF(N(Vintage_Input!O238)&gt;0,Vintage_Input!G238/Vintage_Input!O238,""))</f>
        <v/>
      </c>
      <c r="H287" s="152">
        <f>IF($B287=1,$F$38,IF(N(Vintage_Input!P238)&gt;0,Vintage_Input!H238/Vintage_Input!P238,""))</f>
        <v/>
      </c>
      <c r="I287" s="152">
        <f>IF($B287=1,$G$38,IF(N(Vintage_Input!Q238)&gt;0,Vintage_Input!I238/Vintage_Input!Q238,""))</f>
        <v/>
      </c>
      <c r="J287" s="152">
        <f>IF($B287=1,$H$38,IF(N(Vintage_Input!R238)&gt;0,Vintage_Input!J238/Vintage_Input!R238,""))</f>
        <v/>
      </c>
      <c r="K287" s="152">
        <f>IF($B287=1,$I$38,IF(N(Vintage_Input!S238)&gt;0,Vintage_Input!K238/Vintage_Input!S238,""))</f>
        <v/>
      </c>
      <c r="L287" s="152">
        <f>IF($B287=1,$B$39,IF(N(Vintage_Input!L238)&gt;0,Vintage_Input!T238/Vintage_Input!L238,""))</f>
        <v/>
      </c>
      <c r="M287" s="152">
        <f>IF($B287=1,$C$39,IF(N(Vintage_Input!M238)&gt;0,Vintage_Input!U238/Vintage_Input!M238,""))</f>
        <v/>
      </c>
      <c r="N287" s="152">
        <f>IF($B287=1,$D$39,IF(N(Vintage_Input!N238)&gt;0,Vintage_Input!V238/Vintage_Input!N238,""))</f>
        <v/>
      </c>
      <c r="O287" s="152">
        <f>IF($B287=1,$E$39,IF(N(Vintage_Input!O238)&gt;0,Vintage_Input!W238/Vintage_Input!O238,""))</f>
        <v/>
      </c>
      <c r="P287" s="152">
        <f>IF($B287=1,$F$39,IF(N(Vintage_Input!P238)&gt;0,Vintage_Input!X238/Vintage_Input!P238,""))</f>
        <v/>
      </c>
      <c r="Q287" s="152">
        <f>IF($B287=1,$G$39,IF(N(Vintage_Input!Q238)&gt;0,Vintage_Input!Y238/Vintage_Input!Q238,""))</f>
        <v/>
      </c>
      <c r="R287" s="152">
        <f>IF($B287=1,$H$39,IF(N(Vintage_Input!R238)&gt;0,Vintage_Input!Z238/Vintage_Input!R238,""))</f>
        <v/>
      </c>
      <c r="S287" s="152">
        <f>IF($B287=1,$I$39,IF(N(Vintage_Input!S238)&gt;0,Vintage_Input!AA238/Vintage_Input!S238,""))</f>
        <v/>
      </c>
      <c r="T287" s="152">
        <f>IF($B287=1,$B$40,IF(N(Vintage_Input!L238)&gt;0,Vintage_Input!AB238/Vintage_Input!L238,""))</f>
        <v/>
      </c>
      <c r="U287" s="152">
        <f>IF($B287=1,$C$40,IF(N(Vintage_Input!M238)&gt;0,Vintage_Input!AC238/Vintage_Input!M238,""))</f>
        <v/>
      </c>
      <c r="V287" s="152">
        <f>IF($B287=1,$D$40,IF(N(Vintage_Input!N238)&gt;0,Vintage_Input!AD238/Vintage_Input!N238,""))</f>
        <v/>
      </c>
      <c r="W287" s="152">
        <f>IF($B287=1,$E$40,IF(N(Vintage_Input!O238)&gt;0,Vintage_Input!AE238/Vintage_Input!O238,""))</f>
        <v/>
      </c>
      <c r="X287" s="152">
        <f>IF($B287=1,$F$40,IF(N(Vintage_Input!P238)&gt;0,Vintage_Input!AF238/Vintage_Input!P238,""))</f>
        <v/>
      </c>
      <c r="Y287" s="152">
        <f>IF($B287=1,$G$40,IF(N(Vintage_Input!Q238)&gt;0,Vintage_Input!AG238/Vintage_Input!Q238,""))</f>
        <v/>
      </c>
      <c r="Z287" s="152">
        <f>IF($B287=1,$H$40,IF(N(Vintage_Input!R238)&gt;0,Vintage_Input!AH238/Vintage_Input!R238,""))</f>
        <v/>
      </c>
      <c r="AA287" s="152">
        <f>IF($B287=1,$I$40,IF(N(Vintage_Input!S238)&gt;0,Vintage_Input!AI238/Vintage_Input!S238,""))</f>
        <v/>
      </c>
      <c r="AB287" s="152">
        <f>IF($B287=1,$B$41,IF(N(Vintage_Input!L238)&gt;0,Vintage_Input!AJ238/Vintage_Input!L238,""))</f>
        <v/>
      </c>
      <c r="AC287" s="152">
        <f>IF($B287=1,$C$41,IF(N(Vintage_Input!M238)&gt;0,Vintage_Input!AK238/Vintage_Input!M238,""))</f>
        <v/>
      </c>
      <c r="AD287" s="152">
        <f>IF($B287=1,$D$41,IF(N(Vintage_Input!N238)&gt;0,Vintage_Input!AL238/Vintage_Input!N238,""))</f>
        <v/>
      </c>
      <c r="AE287" s="152">
        <f>IF($B287=1,$E$41,IF(N(Vintage_Input!O238)&gt;0,Vintage_Input!AM238/Vintage_Input!O238,""))</f>
        <v/>
      </c>
      <c r="AF287" s="152">
        <f>IF($B287=1,$F$41,IF(N(Vintage_Input!P238)&gt;0,Vintage_Input!AN238/Vintage_Input!P238,""))</f>
        <v/>
      </c>
      <c r="AG287" s="152">
        <f>IF($B287=1,$G$41,IF(N(Vintage_Input!Q238)&gt;0,Vintage_Input!AO238/Vintage_Input!Q238,""))</f>
        <v/>
      </c>
      <c r="AH287" s="152">
        <f>IF($B287=1,$H$41,IF(N(Vintage_Input!R238)&gt;0,Vintage_Input!AP238/Vintage_Input!R238,""))</f>
        <v/>
      </c>
      <c r="AI287" s="152">
        <f>IF($B287=1,$I$41,IF(N(Vintage_Input!S238)&gt;0,Vintage_Input!AQ238/Vintage_Input!S238,""))</f>
        <v/>
      </c>
      <c r="AJ287" s="152">
        <f>IF($B287=1,$B$42,IF(N(Vintage_Input!L238)&gt;0,IFERROR(Vintage_Input!AR238/Vintage_Input!AJ238,""),""))</f>
        <v/>
      </c>
      <c r="AK287" s="152">
        <f>IF($B287=1,$C$42,IF(N(Vintage_Input!M238)&gt;0,IFERROR(Vintage_Input!AS238/Vintage_Input!AK238,""),""))</f>
        <v/>
      </c>
      <c r="AL287" s="152">
        <f>IF($B287=1,$D$42,IF(N(Vintage_Input!N238)&gt;0,IFERROR(Vintage_Input!AT238/Vintage_Input!AL238,""),""))</f>
        <v/>
      </c>
      <c r="AM287" s="152">
        <f>IF($B287=1,$E$42,IF(N(Vintage_Input!O238)&gt;0,IFERROR(Vintage_Input!AU238/Vintage_Input!AM238,""),""))</f>
        <v/>
      </c>
      <c r="AN287" s="152">
        <f>IF($B287=1,$F$42,IF(N(Vintage_Input!P238)&gt;0,IFERROR(Vintage_Input!AV238/Vintage_Input!AN238,""),""))</f>
        <v/>
      </c>
      <c r="AO287" s="152">
        <f>IF($B287=1,$G$42,IF(N(Vintage_Input!Q238)&gt;0,IFERROR(Vintage_Input!AW238/Vintage_Input!AO238,""),""))</f>
        <v/>
      </c>
      <c r="AP287" s="152">
        <f>IF($B287=1,$H$42,IF(N(Vintage_Input!R238)&gt;0,IFERROR(Vintage_Input!AX238/Vintage_Input!AP238,""),""))</f>
        <v/>
      </c>
      <c r="AQ287" s="152">
        <f>IF($B287=1,$I$42,IF(N(Vintage_Input!S238)&gt;0,IFERROR(Vintage_Input!AY238/Vintage_Input!AQ238,""),""))</f>
        <v/>
      </c>
      <c r="AR287" s="152">
        <f>IF($B287=1,$B$43,IF(N(Vintage_Input!L238)&gt;0,IFERROR(Vintage_Input!AZ238/$C287,""),""))</f>
        <v/>
      </c>
      <c r="AS287" s="152">
        <f>IF($B287=1,$C$43,IF(N(Vintage_Input!M238)&gt;0,IFERROR(Vintage_Input!BA238/$C287,""),""))</f>
        <v/>
      </c>
      <c r="AT287" s="152">
        <f>IF($B287=1,$D$43,IF(N(Vintage_Input!N238)&gt;0,IFERROR(Vintage_Input!BB238/$C287,""),""))</f>
        <v/>
      </c>
      <c r="AU287" s="152">
        <f>IF($B287=1,$E$43,IF(N(Vintage_Input!O238)&gt;0,IFERROR(Vintage_Input!BC238/$C287,""),""))</f>
        <v/>
      </c>
      <c r="AV287" s="152">
        <f>IF($B287=1,$F$43,IF(N(Vintage_Input!P238)&gt;0,IFERROR(Vintage_Input!BD238/$C287,""),""))</f>
        <v/>
      </c>
      <c r="AW287" s="152">
        <f>IF($B287=1,$G$43,IF(N(Vintage_Input!Q238)&gt;0,IFERROR(Vintage_Input!BE238/$C287,""),""))</f>
        <v/>
      </c>
      <c r="AX287" s="152">
        <f>IF($B287=1,$H$43,IF(N(Vintage_Input!R238)&gt;0,IFERROR(Vintage_Input!BF238/$C287,""),""))</f>
        <v/>
      </c>
      <c r="AY287" s="152">
        <f>IF($B287=1,$I$43,IF(N(Vintage_Input!S238)&gt;0,IFERROR(Vintage_Input!BG238/$C287,""),""))</f>
        <v/>
      </c>
      <c r="AZ287" s="153">
        <f>IF($B287=1,$B$44,IF(N(Vintage_Input!L238)&gt;0,IFERROR((Vintage_Input!D238+Vintage_Input!AR238)/$C287+Products!$F$14-(Products!$F$43+Products!$F$19+Products!$F$43*Products!$F$22+Products!$F$44),""),""))</f>
        <v/>
      </c>
      <c r="BA287" s="153">
        <f>IF($B287=1,$C$44,IF(N(Vintage_Input!M238)&gt;0,IFERROR((Vintage_Input!E238+Vintage_Input!AS238)/$C287+Products!$F$14-(Products!$F$43+Products!$F$19+Products!$F$43*Products!$F$22+Products!$F$44),""),""))</f>
        <v/>
      </c>
      <c r="BB287" s="153">
        <f>IF($B287=1,$D$44,IF(N(Vintage_Input!N238)&gt;0,IFERROR((Vintage_Input!F238+Vintage_Input!AT238)/$C287+Products!$F$14-(Products!$F$43+Products!$F$19+Products!$F$43*Products!$F$22+Products!$F$44),""),""))</f>
        <v/>
      </c>
      <c r="BC287" s="153">
        <f>IF($B287=1,$E$44,IF(N(Vintage_Input!O238)&gt;0,IFERROR((Vintage_Input!G238+Vintage_Input!AU238)/$C287+Products!$F$14-(Products!$F$43+Products!$F$19+Products!$F$43*Products!$F$22+Products!$F$44),""),""))</f>
        <v/>
      </c>
      <c r="BD287" s="153">
        <f>IF($B287=1,$F$44,IF(N(Vintage_Input!P238)&gt;0,IFERROR((Vintage_Input!H238+Vintage_Input!AV238)/$C287+Products!$F$14-(Products!$F$43+Products!$F$19+Products!$F$43*Products!$F$22+Products!$F$44),""),""))</f>
        <v/>
      </c>
      <c r="BE287" s="153">
        <f>IF($B287=1,$G$44,IF(N(Vintage_Input!Q238)&gt;0,IFERROR((Vintage_Input!I238+Vintage_Input!AW238)/$C287+Products!$F$14-(Products!$F$43+Products!$F$19+Products!$F$43*Products!$F$22+Products!$F$44),""),""))</f>
        <v/>
      </c>
      <c r="BF287" s="153">
        <f>IF($B287=1,$H$44,IF(N(Vintage_Input!R238)&gt;0,IFERROR((Vintage_Input!J238+Vintage_Input!AX238)/$C287+Products!$F$14-(Products!$F$43+Products!$F$19+Products!$F$43*Products!$F$22+Products!$F$44),""),""))</f>
        <v/>
      </c>
      <c r="BG287" s="153">
        <f>IF($B287=1,$I$44,IF(N(Vintage_Input!S238)&gt;0,IFERROR((Vintage_Input!K238+Vintage_Input!AY238)/$C287+Products!$F$14-(Products!$F$43+Products!$F$19+Products!$F$43*Products!$F$22+Products!$F$44),""),""))</f>
        <v/>
      </c>
      <c r="BH287" s="81">
        <f>IF($B287=1,0,IF(Vintage_Input!$BH$238="","",Vintage_Input!$BH$238))</f>
        <v/>
      </c>
    </row>
    <row r="288">
      <c r="A288" s="23" t="n">
        <v>36</v>
      </c>
      <c r="B288" s="48">
        <f>Vintage_Input!$B$239</f>
        <v/>
      </c>
      <c r="C288" s="41">
        <f>IF(Vintage_Input!$C$239="",0,Vintage_Input!$C$239)</f>
        <v/>
      </c>
      <c r="D288" s="152">
        <f>IF($B288=1,$B$38,IF(N(Vintage_Input!L239)&gt;0,Vintage_Input!D239/Vintage_Input!L239,""))</f>
        <v/>
      </c>
      <c r="E288" s="152">
        <f>IF($B288=1,$C$38,IF(N(Vintage_Input!M239)&gt;0,Vintage_Input!E239/Vintage_Input!M239,""))</f>
        <v/>
      </c>
      <c r="F288" s="152">
        <f>IF($B288=1,$D$38,IF(N(Vintage_Input!N239)&gt;0,Vintage_Input!F239/Vintage_Input!N239,""))</f>
        <v/>
      </c>
      <c r="G288" s="152">
        <f>IF($B288=1,$E$38,IF(N(Vintage_Input!O239)&gt;0,Vintage_Input!G239/Vintage_Input!O239,""))</f>
        <v/>
      </c>
      <c r="H288" s="152">
        <f>IF($B288=1,$F$38,IF(N(Vintage_Input!P239)&gt;0,Vintage_Input!H239/Vintage_Input!P239,""))</f>
        <v/>
      </c>
      <c r="I288" s="152">
        <f>IF($B288=1,$G$38,IF(N(Vintage_Input!Q239)&gt;0,Vintage_Input!I239/Vintage_Input!Q239,""))</f>
        <v/>
      </c>
      <c r="J288" s="152">
        <f>IF($B288=1,$H$38,IF(N(Vintage_Input!R239)&gt;0,Vintage_Input!J239/Vintage_Input!R239,""))</f>
        <v/>
      </c>
      <c r="K288" s="152">
        <f>IF($B288=1,$I$38,IF(N(Vintage_Input!S239)&gt;0,Vintage_Input!K239/Vintage_Input!S239,""))</f>
        <v/>
      </c>
      <c r="L288" s="152">
        <f>IF($B288=1,$B$39,IF(N(Vintage_Input!L239)&gt;0,Vintage_Input!T239/Vintage_Input!L239,""))</f>
        <v/>
      </c>
      <c r="M288" s="152">
        <f>IF($B288=1,$C$39,IF(N(Vintage_Input!M239)&gt;0,Vintage_Input!U239/Vintage_Input!M239,""))</f>
        <v/>
      </c>
      <c r="N288" s="152">
        <f>IF($B288=1,$D$39,IF(N(Vintage_Input!N239)&gt;0,Vintage_Input!V239/Vintage_Input!N239,""))</f>
        <v/>
      </c>
      <c r="O288" s="152">
        <f>IF($B288=1,$E$39,IF(N(Vintage_Input!O239)&gt;0,Vintage_Input!W239/Vintage_Input!O239,""))</f>
        <v/>
      </c>
      <c r="P288" s="152">
        <f>IF($B288=1,$F$39,IF(N(Vintage_Input!P239)&gt;0,Vintage_Input!X239/Vintage_Input!P239,""))</f>
        <v/>
      </c>
      <c r="Q288" s="152">
        <f>IF($B288=1,$G$39,IF(N(Vintage_Input!Q239)&gt;0,Vintage_Input!Y239/Vintage_Input!Q239,""))</f>
        <v/>
      </c>
      <c r="R288" s="152">
        <f>IF($B288=1,$H$39,IF(N(Vintage_Input!R239)&gt;0,Vintage_Input!Z239/Vintage_Input!R239,""))</f>
        <v/>
      </c>
      <c r="S288" s="152">
        <f>IF($B288=1,$I$39,IF(N(Vintage_Input!S239)&gt;0,Vintage_Input!AA239/Vintage_Input!S239,""))</f>
        <v/>
      </c>
      <c r="T288" s="152">
        <f>IF($B288=1,$B$40,IF(N(Vintage_Input!L239)&gt;0,Vintage_Input!AB239/Vintage_Input!L239,""))</f>
        <v/>
      </c>
      <c r="U288" s="152">
        <f>IF($B288=1,$C$40,IF(N(Vintage_Input!M239)&gt;0,Vintage_Input!AC239/Vintage_Input!M239,""))</f>
        <v/>
      </c>
      <c r="V288" s="152">
        <f>IF($B288=1,$D$40,IF(N(Vintage_Input!N239)&gt;0,Vintage_Input!AD239/Vintage_Input!N239,""))</f>
        <v/>
      </c>
      <c r="W288" s="152">
        <f>IF($B288=1,$E$40,IF(N(Vintage_Input!O239)&gt;0,Vintage_Input!AE239/Vintage_Input!O239,""))</f>
        <v/>
      </c>
      <c r="X288" s="152">
        <f>IF($B288=1,$F$40,IF(N(Vintage_Input!P239)&gt;0,Vintage_Input!AF239/Vintage_Input!P239,""))</f>
        <v/>
      </c>
      <c r="Y288" s="152">
        <f>IF($B288=1,$G$40,IF(N(Vintage_Input!Q239)&gt;0,Vintage_Input!AG239/Vintage_Input!Q239,""))</f>
        <v/>
      </c>
      <c r="Z288" s="152">
        <f>IF($B288=1,$H$40,IF(N(Vintage_Input!R239)&gt;0,Vintage_Input!AH239/Vintage_Input!R239,""))</f>
        <v/>
      </c>
      <c r="AA288" s="152">
        <f>IF($B288=1,$I$40,IF(N(Vintage_Input!S239)&gt;0,Vintage_Input!AI239/Vintage_Input!S239,""))</f>
        <v/>
      </c>
      <c r="AB288" s="152">
        <f>IF($B288=1,$B$41,IF(N(Vintage_Input!L239)&gt;0,Vintage_Input!AJ239/Vintage_Input!L239,""))</f>
        <v/>
      </c>
      <c r="AC288" s="152">
        <f>IF($B288=1,$C$41,IF(N(Vintage_Input!M239)&gt;0,Vintage_Input!AK239/Vintage_Input!M239,""))</f>
        <v/>
      </c>
      <c r="AD288" s="152">
        <f>IF($B288=1,$D$41,IF(N(Vintage_Input!N239)&gt;0,Vintage_Input!AL239/Vintage_Input!N239,""))</f>
        <v/>
      </c>
      <c r="AE288" s="152">
        <f>IF($B288=1,$E$41,IF(N(Vintage_Input!O239)&gt;0,Vintage_Input!AM239/Vintage_Input!O239,""))</f>
        <v/>
      </c>
      <c r="AF288" s="152">
        <f>IF($B288=1,$F$41,IF(N(Vintage_Input!P239)&gt;0,Vintage_Input!AN239/Vintage_Input!P239,""))</f>
        <v/>
      </c>
      <c r="AG288" s="152">
        <f>IF($B288=1,$G$41,IF(N(Vintage_Input!Q239)&gt;0,Vintage_Input!AO239/Vintage_Input!Q239,""))</f>
        <v/>
      </c>
      <c r="AH288" s="152">
        <f>IF($B288=1,$H$41,IF(N(Vintage_Input!R239)&gt;0,Vintage_Input!AP239/Vintage_Input!R239,""))</f>
        <v/>
      </c>
      <c r="AI288" s="152">
        <f>IF($B288=1,$I$41,IF(N(Vintage_Input!S239)&gt;0,Vintage_Input!AQ239/Vintage_Input!S239,""))</f>
        <v/>
      </c>
      <c r="AJ288" s="152">
        <f>IF($B288=1,$B$42,IF(N(Vintage_Input!L239)&gt;0,IFERROR(Vintage_Input!AR239/Vintage_Input!AJ239,""),""))</f>
        <v/>
      </c>
      <c r="AK288" s="152">
        <f>IF($B288=1,$C$42,IF(N(Vintage_Input!M239)&gt;0,IFERROR(Vintage_Input!AS239/Vintage_Input!AK239,""),""))</f>
        <v/>
      </c>
      <c r="AL288" s="152">
        <f>IF($B288=1,$D$42,IF(N(Vintage_Input!N239)&gt;0,IFERROR(Vintage_Input!AT239/Vintage_Input!AL239,""),""))</f>
        <v/>
      </c>
      <c r="AM288" s="152">
        <f>IF($B288=1,$E$42,IF(N(Vintage_Input!O239)&gt;0,IFERROR(Vintage_Input!AU239/Vintage_Input!AM239,""),""))</f>
        <v/>
      </c>
      <c r="AN288" s="152">
        <f>IF($B288=1,$F$42,IF(N(Vintage_Input!P239)&gt;0,IFERROR(Vintage_Input!AV239/Vintage_Input!AN239,""),""))</f>
        <v/>
      </c>
      <c r="AO288" s="152">
        <f>IF($B288=1,$G$42,IF(N(Vintage_Input!Q239)&gt;0,IFERROR(Vintage_Input!AW239/Vintage_Input!AO239,""),""))</f>
        <v/>
      </c>
      <c r="AP288" s="152">
        <f>IF($B288=1,$H$42,IF(N(Vintage_Input!R239)&gt;0,IFERROR(Vintage_Input!AX239/Vintage_Input!AP239,""),""))</f>
        <v/>
      </c>
      <c r="AQ288" s="152">
        <f>IF($B288=1,$I$42,IF(N(Vintage_Input!S239)&gt;0,IFERROR(Vintage_Input!AY239/Vintage_Input!AQ239,""),""))</f>
        <v/>
      </c>
      <c r="AR288" s="152">
        <f>IF($B288=1,$B$43,IF(N(Vintage_Input!L239)&gt;0,IFERROR(Vintage_Input!AZ239/$C288,""),""))</f>
        <v/>
      </c>
      <c r="AS288" s="152">
        <f>IF($B288=1,$C$43,IF(N(Vintage_Input!M239)&gt;0,IFERROR(Vintage_Input!BA239/$C288,""),""))</f>
        <v/>
      </c>
      <c r="AT288" s="152">
        <f>IF($B288=1,$D$43,IF(N(Vintage_Input!N239)&gt;0,IFERROR(Vintage_Input!BB239/$C288,""),""))</f>
        <v/>
      </c>
      <c r="AU288" s="152">
        <f>IF($B288=1,$E$43,IF(N(Vintage_Input!O239)&gt;0,IFERROR(Vintage_Input!BC239/$C288,""),""))</f>
        <v/>
      </c>
      <c r="AV288" s="152">
        <f>IF($B288=1,$F$43,IF(N(Vintage_Input!P239)&gt;0,IFERROR(Vintage_Input!BD239/$C288,""),""))</f>
        <v/>
      </c>
      <c r="AW288" s="152">
        <f>IF($B288=1,$G$43,IF(N(Vintage_Input!Q239)&gt;0,IFERROR(Vintage_Input!BE239/$C288,""),""))</f>
        <v/>
      </c>
      <c r="AX288" s="152">
        <f>IF($B288=1,$H$43,IF(N(Vintage_Input!R239)&gt;0,IFERROR(Vintage_Input!BF239/$C288,""),""))</f>
        <v/>
      </c>
      <c r="AY288" s="152">
        <f>IF($B288=1,$I$43,IF(N(Vintage_Input!S239)&gt;0,IFERROR(Vintage_Input!BG239/$C288,""),""))</f>
        <v/>
      </c>
      <c r="AZ288" s="153">
        <f>IF($B288=1,$B$44,IF(N(Vintage_Input!L239)&gt;0,IFERROR((Vintage_Input!D239+Vintage_Input!AR239)/$C288+Products!$F$14-(Products!$F$43+Products!$F$19+Products!$F$43*Products!$F$22+Products!$F$44),""),""))</f>
        <v/>
      </c>
      <c r="BA288" s="153">
        <f>IF($B288=1,$C$44,IF(N(Vintage_Input!M239)&gt;0,IFERROR((Vintage_Input!E239+Vintage_Input!AS239)/$C288+Products!$F$14-(Products!$F$43+Products!$F$19+Products!$F$43*Products!$F$22+Products!$F$44),""),""))</f>
        <v/>
      </c>
      <c r="BB288" s="153">
        <f>IF($B288=1,$D$44,IF(N(Vintage_Input!N239)&gt;0,IFERROR((Vintage_Input!F239+Vintage_Input!AT239)/$C288+Products!$F$14-(Products!$F$43+Products!$F$19+Products!$F$43*Products!$F$22+Products!$F$44),""),""))</f>
        <v/>
      </c>
      <c r="BC288" s="153">
        <f>IF($B288=1,$E$44,IF(N(Vintage_Input!O239)&gt;0,IFERROR((Vintage_Input!G239+Vintage_Input!AU239)/$C288+Products!$F$14-(Products!$F$43+Products!$F$19+Products!$F$43*Products!$F$22+Products!$F$44),""),""))</f>
        <v/>
      </c>
      <c r="BD288" s="153">
        <f>IF($B288=1,$F$44,IF(N(Vintage_Input!P239)&gt;0,IFERROR((Vintage_Input!H239+Vintage_Input!AV239)/$C288+Products!$F$14-(Products!$F$43+Products!$F$19+Products!$F$43*Products!$F$22+Products!$F$44),""),""))</f>
        <v/>
      </c>
      <c r="BE288" s="153">
        <f>IF($B288=1,$G$44,IF(N(Vintage_Input!Q239)&gt;0,IFERROR((Vintage_Input!I239+Vintage_Input!AW239)/$C288+Products!$F$14-(Products!$F$43+Products!$F$19+Products!$F$43*Products!$F$22+Products!$F$44),""),""))</f>
        <v/>
      </c>
      <c r="BF288" s="153">
        <f>IF($B288=1,$H$44,IF(N(Vintage_Input!R239)&gt;0,IFERROR((Vintage_Input!J239+Vintage_Input!AX239)/$C288+Products!$F$14-(Products!$F$43+Products!$F$19+Products!$F$43*Products!$F$22+Products!$F$44),""),""))</f>
        <v/>
      </c>
      <c r="BG288" s="153">
        <f>IF($B288=1,$I$44,IF(N(Vintage_Input!S239)&gt;0,IFERROR((Vintage_Input!K239+Vintage_Input!AY239)/$C288+Products!$F$14-(Products!$F$43+Products!$F$19+Products!$F$43*Products!$F$22+Products!$F$44),""),""))</f>
        <v/>
      </c>
      <c r="BH288" s="81">
        <f>IF($B288=1,0,IF(Vintage_Input!$BH$239="","",Vintage_Input!$BH$239))</f>
        <v/>
      </c>
    </row>
    <row r="289">
      <c r="A289" s="23" t="n">
        <v>37</v>
      </c>
      <c r="B289" s="48">
        <f>Vintage_Input!$B$240</f>
        <v/>
      </c>
      <c r="C289" s="41">
        <f>IF(Vintage_Input!$C$240="",0,Vintage_Input!$C$240)</f>
        <v/>
      </c>
      <c r="D289" s="152">
        <f>IF($B289=1,$B$38,IF(N(Vintage_Input!L240)&gt;0,Vintage_Input!D240/Vintage_Input!L240,""))</f>
        <v/>
      </c>
      <c r="E289" s="152">
        <f>IF($B289=1,$C$38,IF(N(Vintage_Input!M240)&gt;0,Vintage_Input!E240/Vintage_Input!M240,""))</f>
        <v/>
      </c>
      <c r="F289" s="152">
        <f>IF($B289=1,$D$38,IF(N(Vintage_Input!N240)&gt;0,Vintage_Input!F240/Vintage_Input!N240,""))</f>
        <v/>
      </c>
      <c r="G289" s="152">
        <f>IF($B289=1,$E$38,IF(N(Vintage_Input!O240)&gt;0,Vintage_Input!G240/Vintage_Input!O240,""))</f>
        <v/>
      </c>
      <c r="H289" s="152">
        <f>IF($B289=1,$F$38,IF(N(Vintage_Input!P240)&gt;0,Vintage_Input!H240/Vintage_Input!P240,""))</f>
        <v/>
      </c>
      <c r="I289" s="152">
        <f>IF($B289=1,$G$38,IF(N(Vintage_Input!Q240)&gt;0,Vintage_Input!I240/Vintage_Input!Q240,""))</f>
        <v/>
      </c>
      <c r="J289" s="152">
        <f>IF($B289=1,$H$38,IF(N(Vintage_Input!R240)&gt;0,Vintage_Input!J240/Vintage_Input!R240,""))</f>
        <v/>
      </c>
      <c r="K289" s="152">
        <f>IF($B289=1,$I$38,IF(N(Vintage_Input!S240)&gt;0,Vintage_Input!K240/Vintage_Input!S240,""))</f>
        <v/>
      </c>
      <c r="L289" s="152">
        <f>IF($B289=1,$B$39,IF(N(Vintage_Input!L240)&gt;0,Vintage_Input!T240/Vintage_Input!L240,""))</f>
        <v/>
      </c>
      <c r="M289" s="152">
        <f>IF($B289=1,$C$39,IF(N(Vintage_Input!M240)&gt;0,Vintage_Input!U240/Vintage_Input!M240,""))</f>
        <v/>
      </c>
      <c r="N289" s="152">
        <f>IF($B289=1,$D$39,IF(N(Vintage_Input!N240)&gt;0,Vintage_Input!V240/Vintage_Input!N240,""))</f>
        <v/>
      </c>
      <c r="O289" s="152">
        <f>IF($B289=1,$E$39,IF(N(Vintage_Input!O240)&gt;0,Vintage_Input!W240/Vintage_Input!O240,""))</f>
        <v/>
      </c>
      <c r="P289" s="152">
        <f>IF($B289=1,$F$39,IF(N(Vintage_Input!P240)&gt;0,Vintage_Input!X240/Vintage_Input!P240,""))</f>
        <v/>
      </c>
      <c r="Q289" s="152">
        <f>IF($B289=1,$G$39,IF(N(Vintage_Input!Q240)&gt;0,Vintage_Input!Y240/Vintage_Input!Q240,""))</f>
        <v/>
      </c>
      <c r="R289" s="152">
        <f>IF($B289=1,$H$39,IF(N(Vintage_Input!R240)&gt;0,Vintage_Input!Z240/Vintage_Input!R240,""))</f>
        <v/>
      </c>
      <c r="S289" s="152">
        <f>IF($B289=1,$I$39,IF(N(Vintage_Input!S240)&gt;0,Vintage_Input!AA240/Vintage_Input!S240,""))</f>
        <v/>
      </c>
      <c r="T289" s="152">
        <f>IF($B289=1,$B$40,IF(N(Vintage_Input!L240)&gt;0,Vintage_Input!AB240/Vintage_Input!L240,""))</f>
        <v/>
      </c>
      <c r="U289" s="152">
        <f>IF($B289=1,$C$40,IF(N(Vintage_Input!M240)&gt;0,Vintage_Input!AC240/Vintage_Input!M240,""))</f>
        <v/>
      </c>
      <c r="V289" s="152">
        <f>IF($B289=1,$D$40,IF(N(Vintage_Input!N240)&gt;0,Vintage_Input!AD240/Vintage_Input!N240,""))</f>
        <v/>
      </c>
      <c r="W289" s="152">
        <f>IF($B289=1,$E$40,IF(N(Vintage_Input!O240)&gt;0,Vintage_Input!AE240/Vintage_Input!O240,""))</f>
        <v/>
      </c>
      <c r="X289" s="152">
        <f>IF($B289=1,$F$40,IF(N(Vintage_Input!P240)&gt;0,Vintage_Input!AF240/Vintage_Input!P240,""))</f>
        <v/>
      </c>
      <c r="Y289" s="152">
        <f>IF($B289=1,$G$40,IF(N(Vintage_Input!Q240)&gt;0,Vintage_Input!AG240/Vintage_Input!Q240,""))</f>
        <v/>
      </c>
      <c r="Z289" s="152">
        <f>IF($B289=1,$H$40,IF(N(Vintage_Input!R240)&gt;0,Vintage_Input!AH240/Vintage_Input!R240,""))</f>
        <v/>
      </c>
      <c r="AA289" s="152">
        <f>IF($B289=1,$I$40,IF(N(Vintage_Input!S240)&gt;0,Vintage_Input!AI240/Vintage_Input!S240,""))</f>
        <v/>
      </c>
      <c r="AB289" s="152">
        <f>IF($B289=1,$B$41,IF(N(Vintage_Input!L240)&gt;0,Vintage_Input!AJ240/Vintage_Input!L240,""))</f>
        <v/>
      </c>
      <c r="AC289" s="152">
        <f>IF($B289=1,$C$41,IF(N(Vintage_Input!M240)&gt;0,Vintage_Input!AK240/Vintage_Input!M240,""))</f>
        <v/>
      </c>
      <c r="AD289" s="152">
        <f>IF($B289=1,$D$41,IF(N(Vintage_Input!N240)&gt;0,Vintage_Input!AL240/Vintage_Input!N240,""))</f>
        <v/>
      </c>
      <c r="AE289" s="152">
        <f>IF($B289=1,$E$41,IF(N(Vintage_Input!O240)&gt;0,Vintage_Input!AM240/Vintage_Input!O240,""))</f>
        <v/>
      </c>
      <c r="AF289" s="152">
        <f>IF($B289=1,$F$41,IF(N(Vintage_Input!P240)&gt;0,Vintage_Input!AN240/Vintage_Input!P240,""))</f>
        <v/>
      </c>
      <c r="AG289" s="152">
        <f>IF($B289=1,$G$41,IF(N(Vintage_Input!Q240)&gt;0,Vintage_Input!AO240/Vintage_Input!Q240,""))</f>
        <v/>
      </c>
      <c r="AH289" s="152">
        <f>IF($B289=1,$H$41,IF(N(Vintage_Input!R240)&gt;0,Vintage_Input!AP240/Vintage_Input!R240,""))</f>
        <v/>
      </c>
      <c r="AI289" s="152">
        <f>IF($B289=1,$I$41,IF(N(Vintage_Input!S240)&gt;0,Vintage_Input!AQ240/Vintage_Input!S240,""))</f>
        <v/>
      </c>
      <c r="AJ289" s="152">
        <f>IF($B289=1,$B$42,IF(N(Vintage_Input!L240)&gt;0,IFERROR(Vintage_Input!AR240/Vintage_Input!AJ240,""),""))</f>
        <v/>
      </c>
      <c r="AK289" s="152">
        <f>IF($B289=1,$C$42,IF(N(Vintage_Input!M240)&gt;0,IFERROR(Vintage_Input!AS240/Vintage_Input!AK240,""),""))</f>
        <v/>
      </c>
      <c r="AL289" s="152">
        <f>IF($B289=1,$D$42,IF(N(Vintage_Input!N240)&gt;0,IFERROR(Vintage_Input!AT240/Vintage_Input!AL240,""),""))</f>
        <v/>
      </c>
      <c r="AM289" s="152">
        <f>IF($B289=1,$E$42,IF(N(Vintage_Input!O240)&gt;0,IFERROR(Vintage_Input!AU240/Vintage_Input!AM240,""),""))</f>
        <v/>
      </c>
      <c r="AN289" s="152">
        <f>IF($B289=1,$F$42,IF(N(Vintage_Input!P240)&gt;0,IFERROR(Vintage_Input!AV240/Vintage_Input!AN240,""),""))</f>
        <v/>
      </c>
      <c r="AO289" s="152">
        <f>IF($B289=1,$G$42,IF(N(Vintage_Input!Q240)&gt;0,IFERROR(Vintage_Input!AW240/Vintage_Input!AO240,""),""))</f>
        <v/>
      </c>
      <c r="AP289" s="152">
        <f>IF($B289=1,$H$42,IF(N(Vintage_Input!R240)&gt;0,IFERROR(Vintage_Input!AX240/Vintage_Input!AP240,""),""))</f>
        <v/>
      </c>
      <c r="AQ289" s="152">
        <f>IF($B289=1,$I$42,IF(N(Vintage_Input!S240)&gt;0,IFERROR(Vintage_Input!AY240/Vintage_Input!AQ240,""),""))</f>
        <v/>
      </c>
      <c r="AR289" s="152">
        <f>IF($B289=1,$B$43,IF(N(Vintage_Input!L240)&gt;0,IFERROR(Vintage_Input!AZ240/$C289,""),""))</f>
        <v/>
      </c>
      <c r="AS289" s="152">
        <f>IF($B289=1,$C$43,IF(N(Vintage_Input!M240)&gt;0,IFERROR(Vintage_Input!BA240/$C289,""),""))</f>
        <v/>
      </c>
      <c r="AT289" s="152">
        <f>IF($B289=1,$D$43,IF(N(Vintage_Input!N240)&gt;0,IFERROR(Vintage_Input!BB240/$C289,""),""))</f>
        <v/>
      </c>
      <c r="AU289" s="152">
        <f>IF($B289=1,$E$43,IF(N(Vintage_Input!O240)&gt;0,IFERROR(Vintage_Input!BC240/$C289,""),""))</f>
        <v/>
      </c>
      <c r="AV289" s="152">
        <f>IF($B289=1,$F$43,IF(N(Vintage_Input!P240)&gt;0,IFERROR(Vintage_Input!BD240/$C289,""),""))</f>
        <v/>
      </c>
      <c r="AW289" s="152">
        <f>IF($B289=1,$G$43,IF(N(Vintage_Input!Q240)&gt;0,IFERROR(Vintage_Input!BE240/$C289,""),""))</f>
        <v/>
      </c>
      <c r="AX289" s="152">
        <f>IF($B289=1,$H$43,IF(N(Vintage_Input!R240)&gt;0,IFERROR(Vintage_Input!BF240/$C289,""),""))</f>
        <v/>
      </c>
      <c r="AY289" s="152">
        <f>IF($B289=1,$I$43,IF(N(Vintage_Input!S240)&gt;0,IFERROR(Vintage_Input!BG240/$C289,""),""))</f>
        <v/>
      </c>
      <c r="AZ289" s="153">
        <f>IF($B289=1,$B$44,IF(N(Vintage_Input!L240)&gt;0,IFERROR((Vintage_Input!D240+Vintage_Input!AR240)/$C289+Products!$F$14-(Products!$F$43+Products!$F$19+Products!$F$43*Products!$F$22+Products!$F$44),""),""))</f>
        <v/>
      </c>
      <c r="BA289" s="153">
        <f>IF($B289=1,$C$44,IF(N(Vintage_Input!M240)&gt;0,IFERROR((Vintage_Input!E240+Vintage_Input!AS240)/$C289+Products!$F$14-(Products!$F$43+Products!$F$19+Products!$F$43*Products!$F$22+Products!$F$44),""),""))</f>
        <v/>
      </c>
      <c r="BB289" s="153">
        <f>IF($B289=1,$D$44,IF(N(Vintage_Input!N240)&gt;0,IFERROR((Vintage_Input!F240+Vintage_Input!AT240)/$C289+Products!$F$14-(Products!$F$43+Products!$F$19+Products!$F$43*Products!$F$22+Products!$F$44),""),""))</f>
        <v/>
      </c>
      <c r="BC289" s="153">
        <f>IF($B289=1,$E$44,IF(N(Vintage_Input!O240)&gt;0,IFERROR((Vintage_Input!G240+Vintage_Input!AU240)/$C289+Products!$F$14-(Products!$F$43+Products!$F$19+Products!$F$43*Products!$F$22+Products!$F$44),""),""))</f>
        <v/>
      </c>
      <c r="BD289" s="153">
        <f>IF($B289=1,$F$44,IF(N(Vintage_Input!P240)&gt;0,IFERROR((Vintage_Input!H240+Vintage_Input!AV240)/$C289+Products!$F$14-(Products!$F$43+Products!$F$19+Products!$F$43*Products!$F$22+Products!$F$44),""),""))</f>
        <v/>
      </c>
      <c r="BE289" s="153">
        <f>IF($B289=1,$G$44,IF(N(Vintage_Input!Q240)&gt;0,IFERROR((Vintage_Input!I240+Vintage_Input!AW240)/$C289+Products!$F$14-(Products!$F$43+Products!$F$19+Products!$F$43*Products!$F$22+Products!$F$44),""),""))</f>
        <v/>
      </c>
      <c r="BF289" s="153">
        <f>IF($B289=1,$H$44,IF(N(Vintage_Input!R240)&gt;0,IFERROR((Vintage_Input!J240+Vintage_Input!AX240)/$C289+Products!$F$14-(Products!$F$43+Products!$F$19+Products!$F$43*Products!$F$22+Products!$F$44),""),""))</f>
        <v/>
      </c>
      <c r="BG289" s="153">
        <f>IF($B289=1,$I$44,IF(N(Vintage_Input!S240)&gt;0,IFERROR((Vintage_Input!K240+Vintage_Input!AY240)/$C289+Products!$F$14-(Products!$F$43+Products!$F$19+Products!$F$43*Products!$F$22+Products!$F$44),""),""))</f>
        <v/>
      </c>
      <c r="BH289" s="81">
        <f>IF($B289=1,0,IF(Vintage_Input!$BH$240="","",Vintage_Input!$BH$240))</f>
        <v/>
      </c>
    </row>
    <row r="290">
      <c r="A290" s="23" t="n">
        <v>38</v>
      </c>
      <c r="B290" s="48">
        <f>Vintage_Input!$B$241</f>
        <v/>
      </c>
      <c r="C290" s="41">
        <f>IF(Vintage_Input!$C$241="",0,Vintage_Input!$C$241)</f>
        <v/>
      </c>
      <c r="D290" s="152">
        <f>IF($B290=1,$B$38,IF(N(Vintage_Input!L241)&gt;0,Vintage_Input!D241/Vintage_Input!L241,""))</f>
        <v/>
      </c>
      <c r="E290" s="152">
        <f>IF($B290=1,$C$38,IF(N(Vintage_Input!M241)&gt;0,Vintage_Input!E241/Vintage_Input!M241,""))</f>
        <v/>
      </c>
      <c r="F290" s="152">
        <f>IF($B290=1,$D$38,IF(N(Vintage_Input!N241)&gt;0,Vintage_Input!F241/Vintage_Input!N241,""))</f>
        <v/>
      </c>
      <c r="G290" s="152">
        <f>IF($B290=1,$E$38,IF(N(Vintage_Input!O241)&gt;0,Vintage_Input!G241/Vintage_Input!O241,""))</f>
        <v/>
      </c>
      <c r="H290" s="152">
        <f>IF($B290=1,$F$38,IF(N(Vintage_Input!P241)&gt;0,Vintage_Input!H241/Vintage_Input!P241,""))</f>
        <v/>
      </c>
      <c r="I290" s="152">
        <f>IF($B290=1,$G$38,IF(N(Vintage_Input!Q241)&gt;0,Vintage_Input!I241/Vintage_Input!Q241,""))</f>
        <v/>
      </c>
      <c r="J290" s="152">
        <f>IF($B290=1,$H$38,IF(N(Vintage_Input!R241)&gt;0,Vintage_Input!J241/Vintage_Input!R241,""))</f>
        <v/>
      </c>
      <c r="K290" s="152">
        <f>IF($B290=1,$I$38,IF(N(Vintage_Input!S241)&gt;0,Vintage_Input!K241/Vintage_Input!S241,""))</f>
        <v/>
      </c>
      <c r="L290" s="152">
        <f>IF($B290=1,$B$39,IF(N(Vintage_Input!L241)&gt;0,Vintage_Input!T241/Vintage_Input!L241,""))</f>
        <v/>
      </c>
      <c r="M290" s="152">
        <f>IF($B290=1,$C$39,IF(N(Vintage_Input!M241)&gt;0,Vintage_Input!U241/Vintage_Input!M241,""))</f>
        <v/>
      </c>
      <c r="N290" s="152">
        <f>IF($B290=1,$D$39,IF(N(Vintage_Input!N241)&gt;0,Vintage_Input!V241/Vintage_Input!N241,""))</f>
        <v/>
      </c>
      <c r="O290" s="152">
        <f>IF($B290=1,$E$39,IF(N(Vintage_Input!O241)&gt;0,Vintage_Input!W241/Vintage_Input!O241,""))</f>
        <v/>
      </c>
      <c r="P290" s="152">
        <f>IF($B290=1,$F$39,IF(N(Vintage_Input!P241)&gt;0,Vintage_Input!X241/Vintage_Input!P241,""))</f>
        <v/>
      </c>
      <c r="Q290" s="152">
        <f>IF($B290=1,$G$39,IF(N(Vintage_Input!Q241)&gt;0,Vintage_Input!Y241/Vintage_Input!Q241,""))</f>
        <v/>
      </c>
      <c r="R290" s="152">
        <f>IF($B290=1,$H$39,IF(N(Vintage_Input!R241)&gt;0,Vintage_Input!Z241/Vintage_Input!R241,""))</f>
        <v/>
      </c>
      <c r="S290" s="152">
        <f>IF($B290=1,$I$39,IF(N(Vintage_Input!S241)&gt;0,Vintage_Input!AA241/Vintage_Input!S241,""))</f>
        <v/>
      </c>
      <c r="T290" s="152">
        <f>IF($B290=1,$B$40,IF(N(Vintage_Input!L241)&gt;0,Vintage_Input!AB241/Vintage_Input!L241,""))</f>
        <v/>
      </c>
      <c r="U290" s="152">
        <f>IF($B290=1,$C$40,IF(N(Vintage_Input!M241)&gt;0,Vintage_Input!AC241/Vintage_Input!M241,""))</f>
        <v/>
      </c>
      <c r="V290" s="152">
        <f>IF($B290=1,$D$40,IF(N(Vintage_Input!N241)&gt;0,Vintage_Input!AD241/Vintage_Input!N241,""))</f>
        <v/>
      </c>
      <c r="W290" s="152">
        <f>IF($B290=1,$E$40,IF(N(Vintage_Input!O241)&gt;0,Vintage_Input!AE241/Vintage_Input!O241,""))</f>
        <v/>
      </c>
      <c r="X290" s="152">
        <f>IF($B290=1,$F$40,IF(N(Vintage_Input!P241)&gt;0,Vintage_Input!AF241/Vintage_Input!P241,""))</f>
        <v/>
      </c>
      <c r="Y290" s="152">
        <f>IF($B290=1,$G$40,IF(N(Vintage_Input!Q241)&gt;0,Vintage_Input!AG241/Vintage_Input!Q241,""))</f>
        <v/>
      </c>
      <c r="Z290" s="152">
        <f>IF($B290=1,$H$40,IF(N(Vintage_Input!R241)&gt;0,Vintage_Input!AH241/Vintage_Input!R241,""))</f>
        <v/>
      </c>
      <c r="AA290" s="152">
        <f>IF($B290=1,$I$40,IF(N(Vintage_Input!S241)&gt;0,Vintage_Input!AI241/Vintage_Input!S241,""))</f>
        <v/>
      </c>
      <c r="AB290" s="152">
        <f>IF($B290=1,$B$41,IF(N(Vintage_Input!L241)&gt;0,Vintage_Input!AJ241/Vintage_Input!L241,""))</f>
        <v/>
      </c>
      <c r="AC290" s="152">
        <f>IF($B290=1,$C$41,IF(N(Vintage_Input!M241)&gt;0,Vintage_Input!AK241/Vintage_Input!M241,""))</f>
        <v/>
      </c>
      <c r="AD290" s="152">
        <f>IF($B290=1,$D$41,IF(N(Vintage_Input!N241)&gt;0,Vintage_Input!AL241/Vintage_Input!N241,""))</f>
        <v/>
      </c>
      <c r="AE290" s="152">
        <f>IF($B290=1,$E$41,IF(N(Vintage_Input!O241)&gt;0,Vintage_Input!AM241/Vintage_Input!O241,""))</f>
        <v/>
      </c>
      <c r="AF290" s="152">
        <f>IF($B290=1,$F$41,IF(N(Vintage_Input!P241)&gt;0,Vintage_Input!AN241/Vintage_Input!P241,""))</f>
        <v/>
      </c>
      <c r="AG290" s="152">
        <f>IF($B290=1,$G$41,IF(N(Vintage_Input!Q241)&gt;0,Vintage_Input!AO241/Vintage_Input!Q241,""))</f>
        <v/>
      </c>
      <c r="AH290" s="152">
        <f>IF($B290=1,$H$41,IF(N(Vintage_Input!R241)&gt;0,Vintage_Input!AP241/Vintage_Input!R241,""))</f>
        <v/>
      </c>
      <c r="AI290" s="152">
        <f>IF($B290=1,$I$41,IF(N(Vintage_Input!S241)&gt;0,Vintage_Input!AQ241/Vintage_Input!S241,""))</f>
        <v/>
      </c>
      <c r="AJ290" s="152">
        <f>IF($B290=1,$B$42,IF(N(Vintage_Input!L241)&gt;0,IFERROR(Vintage_Input!AR241/Vintage_Input!AJ241,""),""))</f>
        <v/>
      </c>
      <c r="AK290" s="152">
        <f>IF($B290=1,$C$42,IF(N(Vintage_Input!M241)&gt;0,IFERROR(Vintage_Input!AS241/Vintage_Input!AK241,""),""))</f>
        <v/>
      </c>
      <c r="AL290" s="152">
        <f>IF($B290=1,$D$42,IF(N(Vintage_Input!N241)&gt;0,IFERROR(Vintage_Input!AT241/Vintage_Input!AL241,""),""))</f>
        <v/>
      </c>
      <c r="AM290" s="152">
        <f>IF($B290=1,$E$42,IF(N(Vintage_Input!O241)&gt;0,IFERROR(Vintage_Input!AU241/Vintage_Input!AM241,""),""))</f>
        <v/>
      </c>
      <c r="AN290" s="152">
        <f>IF($B290=1,$F$42,IF(N(Vintage_Input!P241)&gt;0,IFERROR(Vintage_Input!AV241/Vintage_Input!AN241,""),""))</f>
        <v/>
      </c>
      <c r="AO290" s="152">
        <f>IF($B290=1,$G$42,IF(N(Vintage_Input!Q241)&gt;0,IFERROR(Vintage_Input!AW241/Vintage_Input!AO241,""),""))</f>
        <v/>
      </c>
      <c r="AP290" s="152">
        <f>IF($B290=1,$H$42,IF(N(Vintage_Input!R241)&gt;0,IFERROR(Vintage_Input!AX241/Vintage_Input!AP241,""),""))</f>
        <v/>
      </c>
      <c r="AQ290" s="152">
        <f>IF($B290=1,$I$42,IF(N(Vintage_Input!S241)&gt;0,IFERROR(Vintage_Input!AY241/Vintage_Input!AQ241,""),""))</f>
        <v/>
      </c>
      <c r="AR290" s="152">
        <f>IF($B290=1,$B$43,IF(N(Vintage_Input!L241)&gt;0,IFERROR(Vintage_Input!AZ241/$C290,""),""))</f>
        <v/>
      </c>
      <c r="AS290" s="152">
        <f>IF($B290=1,$C$43,IF(N(Vintage_Input!M241)&gt;0,IFERROR(Vintage_Input!BA241/$C290,""),""))</f>
        <v/>
      </c>
      <c r="AT290" s="152">
        <f>IF($B290=1,$D$43,IF(N(Vintage_Input!N241)&gt;0,IFERROR(Vintage_Input!BB241/$C290,""),""))</f>
        <v/>
      </c>
      <c r="AU290" s="152">
        <f>IF($B290=1,$E$43,IF(N(Vintage_Input!O241)&gt;0,IFERROR(Vintage_Input!BC241/$C290,""),""))</f>
        <v/>
      </c>
      <c r="AV290" s="152">
        <f>IF($B290=1,$F$43,IF(N(Vintage_Input!P241)&gt;0,IFERROR(Vintage_Input!BD241/$C290,""),""))</f>
        <v/>
      </c>
      <c r="AW290" s="152">
        <f>IF($B290=1,$G$43,IF(N(Vintage_Input!Q241)&gt;0,IFERROR(Vintage_Input!BE241/$C290,""),""))</f>
        <v/>
      </c>
      <c r="AX290" s="152">
        <f>IF($B290=1,$H$43,IF(N(Vintage_Input!R241)&gt;0,IFERROR(Vintage_Input!BF241/$C290,""),""))</f>
        <v/>
      </c>
      <c r="AY290" s="152">
        <f>IF($B290=1,$I$43,IF(N(Vintage_Input!S241)&gt;0,IFERROR(Vintage_Input!BG241/$C290,""),""))</f>
        <v/>
      </c>
      <c r="AZ290" s="153">
        <f>IF($B290=1,$B$44,IF(N(Vintage_Input!L241)&gt;0,IFERROR((Vintage_Input!D241+Vintage_Input!AR241)/$C290+Products!$F$14-(Products!$F$43+Products!$F$19+Products!$F$43*Products!$F$22+Products!$F$44),""),""))</f>
        <v/>
      </c>
      <c r="BA290" s="153">
        <f>IF($B290=1,$C$44,IF(N(Vintage_Input!M241)&gt;0,IFERROR((Vintage_Input!E241+Vintage_Input!AS241)/$C290+Products!$F$14-(Products!$F$43+Products!$F$19+Products!$F$43*Products!$F$22+Products!$F$44),""),""))</f>
        <v/>
      </c>
      <c r="BB290" s="153">
        <f>IF($B290=1,$D$44,IF(N(Vintage_Input!N241)&gt;0,IFERROR((Vintage_Input!F241+Vintage_Input!AT241)/$C290+Products!$F$14-(Products!$F$43+Products!$F$19+Products!$F$43*Products!$F$22+Products!$F$44),""),""))</f>
        <v/>
      </c>
      <c r="BC290" s="153">
        <f>IF($B290=1,$E$44,IF(N(Vintage_Input!O241)&gt;0,IFERROR((Vintage_Input!G241+Vintage_Input!AU241)/$C290+Products!$F$14-(Products!$F$43+Products!$F$19+Products!$F$43*Products!$F$22+Products!$F$44),""),""))</f>
        <v/>
      </c>
      <c r="BD290" s="153">
        <f>IF($B290=1,$F$44,IF(N(Vintage_Input!P241)&gt;0,IFERROR((Vintage_Input!H241+Vintage_Input!AV241)/$C290+Products!$F$14-(Products!$F$43+Products!$F$19+Products!$F$43*Products!$F$22+Products!$F$44),""),""))</f>
        <v/>
      </c>
      <c r="BE290" s="153">
        <f>IF($B290=1,$G$44,IF(N(Vintage_Input!Q241)&gt;0,IFERROR((Vintage_Input!I241+Vintage_Input!AW241)/$C290+Products!$F$14-(Products!$F$43+Products!$F$19+Products!$F$43*Products!$F$22+Products!$F$44),""),""))</f>
        <v/>
      </c>
      <c r="BF290" s="153">
        <f>IF($B290=1,$H$44,IF(N(Vintage_Input!R241)&gt;0,IFERROR((Vintage_Input!J241+Vintage_Input!AX241)/$C290+Products!$F$14-(Products!$F$43+Products!$F$19+Products!$F$43*Products!$F$22+Products!$F$44),""),""))</f>
        <v/>
      </c>
      <c r="BG290" s="153">
        <f>IF($B290=1,$I$44,IF(N(Vintage_Input!S241)&gt;0,IFERROR((Vintage_Input!K241+Vintage_Input!AY241)/$C290+Products!$F$14-(Products!$F$43+Products!$F$19+Products!$F$43*Products!$F$22+Products!$F$44),""),""))</f>
        <v/>
      </c>
      <c r="BH290" s="81">
        <f>IF($B290=1,0,IF(Vintage_Input!$BH$241="","",Vintage_Input!$BH$241))</f>
        <v/>
      </c>
    </row>
    <row r="291">
      <c r="A291" s="23" t="n">
        <v>39</v>
      </c>
      <c r="B291" s="48">
        <f>Vintage_Input!$B$242</f>
        <v/>
      </c>
      <c r="C291" s="41">
        <f>IF(Vintage_Input!$C$242="",0,Vintage_Input!$C$242)</f>
        <v/>
      </c>
      <c r="D291" s="152">
        <f>IF($B291=1,$B$38,IF(N(Vintage_Input!L242)&gt;0,Vintage_Input!D242/Vintage_Input!L242,""))</f>
        <v/>
      </c>
      <c r="E291" s="152">
        <f>IF($B291=1,$C$38,IF(N(Vintage_Input!M242)&gt;0,Vintage_Input!E242/Vintage_Input!M242,""))</f>
        <v/>
      </c>
      <c r="F291" s="152">
        <f>IF($B291=1,$D$38,IF(N(Vintage_Input!N242)&gt;0,Vintage_Input!F242/Vintage_Input!N242,""))</f>
        <v/>
      </c>
      <c r="G291" s="152">
        <f>IF($B291=1,$E$38,IF(N(Vintage_Input!O242)&gt;0,Vintage_Input!G242/Vintage_Input!O242,""))</f>
        <v/>
      </c>
      <c r="H291" s="152">
        <f>IF($B291=1,$F$38,IF(N(Vintage_Input!P242)&gt;0,Vintage_Input!H242/Vintage_Input!P242,""))</f>
        <v/>
      </c>
      <c r="I291" s="152">
        <f>IF($B291=1,$G$38,IF(N(Vintage_Input!Q242)&gt;0,Vintage_Input!I242/Vintage_Input!Q242,""))</f>
        <v/>
      </c>
      <c r="J291" s="152">
        <f>IF($B291=1,$H$38,IF(N(Vintage_Input!R242)&gt;0,Vintage_Input!J242/Vintage_Input!R242,""))</f>
        <v/>
      </c>
      <c r="K291" s="152">
        <f>IF($B291=1,$I$38,IF(N(Vintage_Input!S242)&gt;0,Vintage_Input!K242/Vintage_Input!S242,""))</f>
        <v/>
      </c>
      <c r="L291" s="152">
        <f>IF($B291=1,$B$39,IF(N(Vintage_Input!L242)&gt;0,Vintage_Input!T242/Vintage_Input!L242,""))</f>
        <v/>
      </c>
      <c r="M291" s="152">
        <f>IF($B291=1,$C$39,IF(N(Vintage_Input!M242)&gt;0,Vintage_Input!U242/Vintage_Input!M242,""))</f>
        <v/>
      </c>
      <c r="N291" s="152">
        <f>IF($B291=1,$D$39,IF(N(Vintage_Input!N242)&gt;0,Vintage_Input!V242/Vintage_Input!N242,""))</f>
        <v/>
      </c>
      <c r="O291" s="152">
        <f>IF($B291=1,$E$39,IF(N(Vintage_Input!O242)&gt;0,Vintage_Input!W242/Vintage_Input!O242,""))</f>
        <v/>
      </c>
      <c r="P291" s="152">
        <f>IF($B291=1,$F$39,IF(N(Vintage_Input!P242)&gt;0,Vintage_Input!X242/Vintage_Input!P242,""))</f>
        <v/>
      </c>
      <c r="Q291" s="152">
        <f>IF($B291=1,$G$39,IF(N(Vintage_Input!Q242)&gt;0,Vintage_Input!Y242/Vintage_Input!Q242,""))</f>
        <v/>
      </c>
      <c r="R291" s="152">
        <f>IF($B291=1,$H$39,IF(N(Vintage_Input!R242)&gt;0,Vintage_Input!Z242/Vintage_Input!R242,""))</f>
        <v/>
      </c>
      <c r="S291" s="152">
        <f>IF($B291=1,$I$39,IF(N(Vintage_Input!S242)&gt;0,Vintage_Input!AA242/Vintage_Input!S242,""))</f>
        <v/>
      </c>
      <c r="T291" s="152">
        <f>IF($B291=1,$B$40,IF(N(Vintage_Input!L242)&gt;0,Vintage_Input!AB242/Vintage_Input!L242,""))</f>
        <v/>
      </c>
      <c r="U291" s="152">
        <f>IF($B291=1,$C$40,IF(N(Vintage_Input!M242)&gt;0,Vintage_Input!AC242/Vintage_Input!M242,""))</f>
        <v/>
      </c>
      <c r="V291" s="152">
        <f>IF($B291=1,$D$40,IF(N(Vintage_Input!N242)&gt;0,Vintage_Input!AD242/Vintage_Input!N242,""))</f>
        <v/>
      </c>
      <c r="W291" s="152">
        <f>IF($B291=1,$E$40,IF(N(Vintage_Input!O242)&gt;0,Vintage_Input!AE242/Vintage_Input!O242,""))</f>
        <v/>
      </c>
      <c r="X291" s="152">
        <f>IF($B291=1,$F$40,IF(N(Vintage_Input!P242)&gt;0,Vintage_Input!AF242/Vintage_Input!P242,""))</f>
        <v/>
      </c>
      <c r="Y291" s="152">
        <f>IF($B291=1,$G$40,IF(N(Vintage_Input!Q242)&gt;0,Vintage_Input!AG242/Vintage_Input!Q242,""))</f>
        <v/>
      </c>
      <c r="Z291" s="152">
        <f>IF($B291=1,$H$40,IF(N(Vintage_Input!R242)&gt;0,Vintage_Input!AH242/Vintage_Input!R242,""))</f>
        <v/>
      </c>
      <c r="AA291" s="152">
        <f>IF($B291=1,$I$40,IF(N(Vintage_Input!S242)&gt;0,Vintage_Input!AI242/Vintage_Input!S242,""))</f>
        <v/>
      </c>
      <c r="AB291" s="152">
        <f>IF($B291=1,$B$41,IF(N(Vintage_Input!L242)&gt;0,Vintage_Input!AJ242/Vintage_Input!L242,""))</f>
        <v/>
      </c>
      <c r="AC291" s="152">
        <f>IF($B291=1,$C$41,IF(N(Vintage_Input!M242)&gt;0,Vintage_Input!AK242/Vintage_Input!M242,""))</f>
        <v/>
      </c>
      <c r="AD291" s="152">
        <f>IF($B291=1,$D$41,IF(N(Vintage_Input!N242)&gt;0,Vintage_Input!AL242/Vintage_Input!N242,""))</f>
        <v/>
      </c>
      <c r="AE291" s="152">
        <f>IF($B291=1,$E$41,IF(N(Vintage_Input!O242)&gt;0,Vintage_Input!AM242/Vintage_Input!O242,""))</f>
        <v/>
      </c>
      <c r="AF291" s="152">
        <f>IF($B291=1,$F$41,IF(N(Vintage_Input!P242)&gt;0,Vintage_Input!AN242/Vintage_Input!P242,""))</f>
        <v/>
      </c>
      <c r="AG291" s="152">
        <f>IF($B291=1,$G$41,IF(N(Vintage_Input!Q242)&gt;0,Vintage_Input!AO242/Vintage_Input!Q242,""))</f>
        <v/>
      </c>
      <c r="AH291" s="152">
        <f>IF($B291=1,$H$41,IF(N(Vintage_Input!R242)&gt;0,Vintage_Input!AP242/Vintage_Input!R242,""))</f>
        <v/>
      </c>
      <c r="AI291" s="152">
        <f>IF($B291=1,$I$41,IF(N(Vintage_Input!S242)&gt;0,Vintage_Input!AQ242/Vintage_Input!S242,""))</f>
        <v/>
      </c>
      <c r="AJ291" s="152">
        <f>IF($B291=1,$B$42,IF(N(Vintage_Input!L242)&gt;0,IFERROR(Vintage_Input!AR242/Vintage_Input!AJ242,""),""))</f>
        <v/>
      </c>
      <c r="AK291" s="152">
        <f>IF($B291=1,$C$42,IF(N(Vintage_Input!M242)&gt;0,IFERROR(Vintage_Input!AS242/Vintage_Input!AK242,""),""))</f>
        <v/>
      </c>
      <c r="AL291" s="152">
        <f>IF($B291=1,$D$42,IF(N(Vintage_Input!N242)&gt;0,IFERROR(Vintage_Input!AT242/Vintage_Input!AL242,""),""))</f>
        <v/>
      </c>
      <c r="AM291" s="152">
        <f>IF($B291=1,$E$42,IF(N(Vintage_Input!O242)&gt;0,IFERROR(Vintage_Input!AU242/Vintage_Input!AM242,""),""))</f>
        <v/>
      </c>
      <c r="AN291" s="152">
        <f>IF($B291=1,$F$42,IF(N(Vintage_Input!P242)&gt;0,IFERROR(Vintage_Input!AV242/Vintage_Input!AN242,""),""))</f>
        <v/>
      </c>
      <c r="AO291" s="152">
        <f>IF($B291=1,$G$42,IF(N(Vintage_Input!Q242)&gt;0,IFERROR(Vintage_Input!AW242/Vintage_Input!AO242,""),""))</f>
        <v/>
      </c>
      <c r="AP291" s="152">
        <f>IF($B291=1,$H$42,IF(N(Vintage_Input!R242)&gt;0,IFERROR(Vintage_Input!AX242/Vintage_Input!AP242,""),""))</f>
        <v/>
      </c>
      <c r="AQ291" s="152">
        <f>IF($B291=1,$I$42,IF(N(Vintage_Input!S242)&gt;0,IFERROR(Vintage_Input!AY242/Vintage_Input!AQ242,""),""))</f>
        <v/>
      </c>
      <c r="AR291" s="152">
        <f>IF($B291=1,$B$43,IF(N(Vintage_Input!L242)&gt;0,IFERROR(Vintage_Input!AZ242/$C291,""),""))</f>
        <v/>
      </c>
      <c r="AS291" s="152">
        <f>IF($B291=1,$C$43,IF(N(Vintage_Input!M242)&gt;0,IFERROR(Vintage_Input!BA242/$C291,""),""))</f>
        <v/>
      </c>
      <c r="AT291" s="152">
        <f>IF($B291=1,$D$43,IF(N(Vintage_Input!N242)&gt;0,IFERROR(Vintage_Input!BB242/$C291,""),""))</f>
        <v/>
      </c>
      <c r="AU291" s="152">
        <f>IF($B291=1,$E$43,IF(N(Vintage_Input!O242)&gt;0,IFERROR(Vintage_Input!BC242/$C291,""),""))</f>
        <v/>
      </c>
      <c r="AV291" s="152">
        <f>IF($B291=1,$F$43,IF(N(Vintage_Input!P242)&gt;0,IFERROR(Vintage_Input!BD242/$C291,""),""))</f>
        <v/>
      </c>
      <c r="AW291" s="152">
        <f>IF($B291=1,$G$43,IF(N(Vintage_Input!Q242)&gt;0,IFERROR(Vintage_Input!BE242/$C291,""),""))</f>
        <v/>
      </c>
      <c r="AX291" s="152">
        <f>IF($B291=1,$H$43,IF(N(Vintage_Input!R242)&gt;0,IFERROR(Vintage_Input!BF242/$C291,""),""))</f>
        <v/>
      </c>
      <c r="AY291" s="152">
        <f>IF($B291=1,$I$43,IF(N(Vintage_Input!S242)&gt;0,IFERROR(Vintage_Input!BG242/$C291,""),""))</f>
        <v/>
      </c>
      <c r="AZ291" s="153">
        <f>IF($B291=1,$B$44,IF(N(Vintage_Input!L242)&gt;0,IFERROR((Vintage_Input!D242+Vintage_Input!AR242)/$C291+Products!$F$14-(Products!$F$43+Products!$F$19+Products!$F$43*Products!$F$22+Products!$F$44),""),""))</f>
        <v/>
      </c>
      <c r="BA291" s="153">
        <f>IF($B291=1,$C$44,IF(N(Vintage_Input!M242)&gt;0,IFERROR((Vintage_Input!E242+Vintage_Input!AS242)/$C291+Products!$F$14-(Products!$F$43+Products!$F$19+Products!$F$43*Products!$F$22+Products!$F$44),""),""))</f>
        <v/>
      </c>
      <c r="BB291" s="153">
        <f>IF($B291=1,$D$44,IF(N(Vintage_Input!N242)&gt;0,IFERROR((Vintage_Input!F242+Vintage_Input!AT242)/$C291+Products!$F$14-(Products!$F$43+Products!$F$19+Products!$F$43*Products!$F$22+Products!$F$44),""),""))</f>
        <v/>
      </c>
      <c r="BC291" s="153">
        <f>IF($B291=1,$E$44,IF(N(Vintage_Input!O242)&gt;0,IFERROR((Vintage_Input!G242+Vintage_Input!AU242)/$C291+Products!$F$14-(Products!$F$43+Products!$F$19+Products!$F$43*Products!$F$22+Products!$F$44),""),""))</f>
        <v/>
      </c>
      <c r="BD291" s="153">
        <f>IF($B291=1,$F$44,IF(N(Vintage_Input!P242)&gt;0,IFERROR((Vintage_Input!H242+Vintage_Input!AV242)/$C291+Products!$F$14-(Products!$F$43+Products!$F$19+Products!$F$43*Products!$F$22+Products!$F$44),""),""))</f>
        <v/>
      </c>
      <c r="BE291" s="153">
        <f>IF($B291=1,$G$44,IF(N(Vintage_Input!Q242)&gt;0,IFERROR((Vintage_Input!I242+Vintage_Input!AW242)/$C291+Products!$F$14-(Products!$F$43+Products!$F$19+Products!$F$43*Products!$F$22+Products!$F$44),""),""))</f>
        <v/>
      </c>
      <c r="BF291" s="153">
        <f>IF($B291=1,$H$44,IF(N(Vintage_Input!R242)&gt;0,IFERROR((Vintage_Input!J242+Vintage_Input!AX242)/$C291+Products!$F$14-(Products!$F$43+Products!$F$19+Products!$F$43*Products!$F$22+Products!$F$44),""),""))</f>
        <v/>
      </c>
      <c r="BG291" s="153">
        <f>IF($B291=1,$I$44,IF(N(Vintage_Input!S242)&gt;0,IFERROR((Vintage_Input!K242+Vintage_Input!AY242)/$C291+Products!$F$14-(Products!$F$43+Products!$F$19+Products!$F$43*Products!$F$22+Products!$F$44),""),""))</f>
        <v/>
      </c>
      <c r="BH291" s="81">
        <f>IF($B291=1,0,IF(Vintage_Input!$BH$242="","",Vintage_Input!$BH$242))</f>
        <v/>
      </c>
    </row>
    <row r="292">
      <c r="A292" s="23" t="n">
        <v>40</v>
      </c>
      <c r="B292" s="48">
        <f>Vintage_Input!$B$243</f>
        <v/>
      </c>
      <c r="C292" s="41">
        <f>IF(Vintage_Input!$C$243="",0,Vintage_Input!$C$243)</f>
        <v/>
      </c>
      <c r="D292" s="152">
        <f>IF($B292=1,$B$38,IF(N(Vintage_Input!L243)&gt;0,Vintage_Input!D243/Vintage_Input!L243,""))</f>
        <v/>
      </c>
      <c r="E292" s="152">
        <f>IF($B292=1,$C$38,IF(N(Vintage_Input!M243)&gt;0,Vintage_Input!E243/Vintage_Input!M243,""))</f>
        <v/>
      </c>
      <c r="F292" s="152">
        <f>IF($B292=1,$D$38,IF(N(Vintage_Input!N243)&gt;0,Vintage_Input!F243/Vintage_Input!N243,""))</f>
        <v/>
      </c>
      <c r="G292" s="152">
        <f>IF($B292=1,$E$38,IF(N(Vintage_Input!O243)&gt;0,Vintage_Input!G243/Vintage_Input!O243,""))</f>
        <v/>
      </c>
      <c r="H292" s="152">
        <f>IF($B292=1,$F$38,IF(N(Vintage_Input!P243)&gt;0,Vintage_Input!H243/Vintage_Input!P243,""))</f>
        <v/>
      </c>
      <c r="I292" s="152">
        <f>IF($B292=1,$G$38,IF(N(Vintage_Input!Q243)&gt;0,Vintage_Input!I243/Vintage_Input!Q243,""))</f>
        <v/>
      </c>
      <c r="J292" s="152">
        <f>IF($B292=1,$H$38,IF(N(Vintage_Input!R243)&gt;0,Vintage_Input!J243/Vintage_Input!R243,""))</f>
        <v/>
      </c>
      <c r="K292" s="152">
        <f>IF($B292=1,$I$38,IF(N(Vintage_Input!S243)&gt;0,Vintage_Input!K243/Vintage_Input!S243,""))</f>
        <v/>
      </c>
      <c r="L292" s="152">
        <f>IF($B292=1,$B$39,IF(N(Vintage_Input!L243)&gt;0,Vintage_Input!T243/Vintage_Input!L243,""))</f>
        <v/>
      </c>
      <c r="M292" s="152">
        <f>IF($B292=1,$C$39,IF(N(Vintage_Input!M243)&gt;0,Vintage_Input!U243/Vintage_Input!M243,""))</f>
        <v/>
      </c>
      <c r="N292" s="152">
        <f>IF($B292=1,$D$39,IF(N(Vintage_Input!N243)&gt;0,Vintage_Input!V243/Vintage_Input!N243,""))</f>
        <v/>
      </c>
      <c r="O292" s="152">
        <f>IF($B292=1,$E$39,IF(N(Vintage_Input!O243)&gt;0,Vintage_Input!W243/Vintage_Input!O243,""))</f>
        <v/>
      </c>
      <c r="P292" s="152">
        <f>IF($B292=1,$F$39,IF(N(Vintage_Input!P243)&gt;0,Vintage_Input!X243/Vintage_Input!P243,""))</f>
        <v/>
      </c>
      <c r="Q292" s="152">
        <f>IF($B292=1,$G$39,IF(N(Vintage_Input!Q243)&gt;0,Vintage_Input!Y243/Vintage_Input!Q243,""))</f>
        <v/>
      </c>
      <c r="R292" s="152">
        <f>IF($B292=1,$H$39,IF(N(Vintage_Input!R243)&gt;0,Vintage_Input!Z243/Vintage_Input!R243,""))</f>
        <v/>
      </c>
      <c r="S292" s="152">
        <f>IF($B292=1,$I$39,IF(N(Vintage_Input!S243)&gt;0,Vintage_Input!AA243/Vintage_Input!S243,""))</f>
        <v/>
      </c>
      <c r="T292" s="152">
        <f>IF($B292=1,$B$40,IF(N(Vintage_Input!L243)&gt;0,Vintage_Input!AB243/Vintage_Input!L243,""))</f>
        <v/>
      </c>
      <c r="U292" s="152">
        <f>IF($B292=1,$C$40,IF(N(Vintage_Input!M243)&gt;0,Vintage_Input!AC243/Vintage_Input!M243,""))</f>
        <v/>
      </c>
      <c r="V292" s="152">
        <f>IF($B292=1,$D$40,IF(N(Vintage_Input!N243)&gt;0,Vintage_Input!AD243/Vintage_Input!N243,""))</f>
        <v/>
      </c>
      <c r="W292" s="152">
        <f>IF($B292=1,$E$40,IF(N(Vintage_Input!O243)&gt;0,Vintage_Input!AE243/Vintage_Input!O243,""))</f>
        <v/>
      </c>
      <c r="X292" s="152">
        <f>IF($B292=1,$F$40,IF(N(Vintage_Input!P243)&gt;0,Vintage_Input!AF243/Vintage_Input!P243,""))</f>
        <v/>
      </c>
      <c r="Y292" s="152">
        <f>IF($B292=1,$G$40,IF(N(Vintage_Input!Q243)&gt;0,Vintage_Input!AG243/Vintage_Input!Q243,""))</f>
        <v/>
      </c>
      <c r="Z292" s="152">
        <f>IF($B292=1,$H$40,IF(N(Vintage_Input!R243)&gt;0,Vintage_Input!AH243/Vintage_Input!R243,""))</f>
        <v/>
      </c>
      <c r="AA292" s="152">
        <f>IF($B292=1,$I$40,IF(N(Vintage_Input!S243)&gt;0,Vintage_Input!AI243/Vintage_Input!S243,""))</f>
        <v/>
      </c>
      <c r="AB292" s="152">
        <f>IF($B292=1,$B$41,IF(N(Vintage_Input!L243)&gt;0,Vintage_Input!AJ243/Vintage_Input!L243,""))</f>
        <v/>
      </c>
      <c r="AC292" s="152">
        <f>IF($B292=1,$C$41,IF(N(Vintage_Input!M243)&gt;0,Vintage_Input!AK243/Vintage_Input!M243,""))</f>
        <v/>
      </c>
      <c r="AD292" s="152">
        <f>IF($B292=1,$D$41,IF(N(Vintage_Input!N243)&gt;0,Vintage_Input!AL243/Vintage_Input!N243,""))</f>
        <v/>
      </c>
      <c r="AE292" s="152">
        <f>IF($B292=1,$E$41,IF(N(Vintage_Input!O243)&gt;0,Vintage_Input!AM243/Vintage_Input!O243,""))</f>
        <v/>
      </c>
      <c r="AF292" s="152">
        <f>IF($B292=1,$F$41,IF(N(Vintage_Input!P243)&gt;0,Vintage_Input!AN243/Vintage_Input!P243,""))</f>
        <v/>
      </c>
      <c r="AG292" s="152">
        <f>IF($B292=1,$G$41,IF(N(Vintage_Input!Q243)&gt;0,Vintage_Input!AO243/Vintage_Input!Q243,""))</f>
        <v/>
      </c>
      <c r="AH292" s="152">
        <f>IF($B292=1,$H$41,IF(N(Vintage_Input!R243)&gt;0,Vintage_Input!AP243/Vintage_Input!R243,""))</f>
        <v/>
      </c>
      <c r="AI292" s="152">
        <f>IF($B292=1,$I$41,IF(N(Vintage_Input!S243)&gt;0,Vintage_Input!AQ243/Vintage_Input!S243,""))</f>
        <v/>
      </c>
      <c r="AJ292" s="152">
        <f>IF($B292=1,$B$42,IF(N(Vintage_Input!L243)&gt;0,IFERROR(Vintage_Input!AR243/Vintage_Input!AJ243,""),""))</f>
        <v/>
      </c>
      <c r="AK292" s="152">
        <f>IF($B292=1,$C$42,IF(N(Vintage_Input!M243)&gt;0,IFERROR(Vintage_Input!AS243/Vintage_Input!AK243,""),""))</f>
        <v/>
      </c>
      <c r="AL292" s="152">
        <f>IF($B292=1,$D$42,IF(N(Vintage_Input!N243)&gt;0,IFERROR(Vintage_Input!AT243/Vintage_Input!AL243,""),""))</f>
        <v/>
      </c>
      <c r="AM292" s="152">
        <f>IF($B292=1,$E$42,IF(N(Vintage_Input!O243)&gt;0,IFERROR(Vintage_Input!AU243/Vintage_Input!AM243,""),""))</f>
        <v/>
      </c>
      <c r="AN292" s="152">
        <f>IF($B292=1,$F$42,IF(N(Vintage_Input!P243)&gt;0,IFERROR(Vintage_Input!AV243/Vintage_Input!AN243,""),""))</f>
        <v/>
      </c>
      <c r="AO292" s="152">
        <f>IF($B292=1,$G$42,IF(N(Vintage_Input!Q243)&gt;0,IFERROR(Vintage_Input!AW243/Vintage_Input!AO243,""),""))</f>
        <v/>
      </c>
      <c r="AP292" s="152">
        <f>IF($B292=1,$H$42,IF(N(Vintage_Input!R243)&gt;0,IFERROR(Vintage_Input!AX243/Vintage_Input!AP243,""),""))</f>
        <v/>
      </c>
      <c r="AQ292" s="152">
        <f>IF($B292=1,$I$42,IF(N(Vintage_Input!S243)&gt;0,IFERROR(Vintage_Input!AY243/Vintage_Input!AQ243,""),""))</f>
        <v/>
      </c>
      <c r="AR292" s="152">
        <f>IF($B292=1,$B$43,IF(N(Vintage_Input!L243)&gt;0,IFERROR(Vintage_Input!AZ243/$C292,""),""))</f>
        <v/>
      </c>
      <c r="AS292" s="152">
        <f>IF($B292=1,$C$43,IF(N(Vintage_Input!M243)&gt;0,IFERROR(Vintage_Input!BA243/$C292,""),""))</f>
        <v/>
      </c>
      <c r="AT292" s="152">
        <f>IF($B292=1,$D$43,IF(N(Vintage_Input!N243)&gt;0,IFERROR(Vintage_Input!BB243/$C292,""),""))</f>
        <v/>
      </c>
      <c r="AU292" s="152">
        <f>IF($B292=1,$E$43,IF(N(Vintage_Input!O243)&gt;0,IFERROR(Vintage_Input!BC243/$C292,""),""))</f>
        <v/>
      </c>
      <c r="AV292" s="152">
        <f>IF($B292=1,$F$43,IF(N(Vintage_Input!P243)&gt;0,IFERROR(Vintage_Input!BD243/$C292,""),""))</f>
        <v/>
      </c>
      <c r="AW292" s="152">
        <f>IF($B292=1,$G$43,IF(N(Vintage_Input!Q243)&gt;0,IFERROR(Vintage_Input!BE243/$C292,""),""))</f>
        <v/>
      </c>
      <c r="AX292" s="152">
        <f>IF($B292=1,$H$43,IF(N(Vintage_Input!R243)&gt;0,IFERROR(Vintage_Input!BF243/$C292,""),""))</f>
        <v/>
      </c>
      <c r="AY292" s="152">
        <f>IF($B292=1,$I$43,IF(N(Vintage_Input!S243)&gt;0,IFERROR(Vintage_Input!BG243/$C292,""),""))</f>
        <v/>
      </c>
      <c r="AZ292" s="153">
        <f>IF($B292=1,$B$44,IF(N(Vintage_Input!L243)&gt;0,IFERROR((Vintage_Input!D243+Vintage_Input!AR243)/$C292+Products!$F$14-(Products!$F$43+Products!$F$19+Products!$F$43*Products!$F$22+Products!$F$44),""),""))</f>
        <v/>
      </c>
      <c r="BA292" s="153">
        <f>IF($B292=1,$C$44,IF(N(Vintage_Input!M243)&gt;0,IFERROR((Vintage_Input!E243+Vintage_Input!AS243)/$C292+Products!$F$14-(Products!$F$43+Products!$F$19+Products!$F$43*Products!$F$22+Products!$F$44),""),""))</f>
        <v/>
      </c>
      <c r="BB292" s="153">
        <f>IF($B292=1,$D$44,IF(N(Vintage_Input!N243)&gt;0,IFERROR((Vintage_Input!F243+Vintage_Input!AT243)/$C292+Products!$F$14-(Products!$F$43+Products!$F$19+Products!$F$43*Products!$F$22+Products!$F$44),""),""))</f>
        <v/>
      </c>
      <c r="BC292" s="153">
        <f>IF($B292=1,$E$44,IF(N(Vintage_Input!O243)&gt;0,IFERROR((Vintage_Input!G243+Vintage_Input!AU243)/$C292+Products!$F$14-(Products!$F$43+Products!$F$19+Products!$F$43*Products!$F$22+Products!$F$44),""),""))</f>
        <v/>
      </c>
      <c r="BD292" s="153">
        <f>IF($B292=1,$F$44,IF(N(Vintage_Input!P243)&gt;0,IFERROR((Vintage_Input!H243+Vintage_Input!AV243)/$C292+Products!$F$14-(Products!$F$43+Products!$F$19+Products!$F$43*Products!$F$22+Products!$F$44),""),""))</f>
        <v/>
      </c>
      <c r="BE292" s="153">
        <f>IF($B292=1,$G$44,IF(N(Vintage_Input!Q243)&gt;0,IFERROR((Vintage_Input!I243+Vintage_Input!AW243)/$C292+Products!$F$14-(Products!$F$43+Products!$F$19+Products!$F$43*Products!$F$22+Products!$F$44),""),""))</f>
        <v/>
      </c>
      <c r="BF292" s="153">
        <f>IF($B292=1,$H$44,IF(N(Vintage_Input!R243)&gt;0,IFERROR((Vintage_Input!J243+Vintage_Input!AX243)/$C292+Products!$F$14-(Products!$F$43+Products!$F$19+Products!$F$43*Products!$F$22+Products!$F$44),""),""))</f>
        <v/>
      </c>
      <c r="BG292" s="153">
        <f>IF($B292=1,$I$44,IF(N(Vintage_Input!S243)&gt;0,IFERROR((Vintage_Input!K243+Vintage_Input!AY243)/$C292+Products!$F$14-(Products!$F$43+Products!$F$19+Products!$F$43*Products!$F$22+Products!$F$44),""),""))</f>
        <v/>
      </c>
      <c r="BH292" s="81">
        <f>IF($B292=1,0,IF(Vintage_Input!$BH$243="","",Vintage_Input!$BH$243))</f>
        <v/>
      </c>
    </row>
    <row r="293">
      <c r="A293" s="23" t="n">
        <v>41</v>
      </c>
      <c r="B293" s="48">
        <f>Vintage_Input!$B$244</f>
        <v/>
      </c>
      <c r="C293" s="41">
        <f>IF(Vintage_Input!$C$244="",0,Vintage_Input!$C$244)</f>
        <v/>
      </c>
      <c r="D293" s="152">
        <f>IF($B293=1,$B$38,IF(N(Vintage_Input!L244)&gt;0,Vintage_Input!D244/Vintage_Input!L244,""))</f>
        <v/>
      </c>
      <c r="E293" s="152">
        <f>IF($B293=1,$C$38,IF(N(Vintage_Input!M244)&gt;0,Vintage_Input!E244/Vintage_Input!M244,""))</f>
        <v/>
      </c>
      <c r="F293" s="152">
        <f>IF($B293=1,$D$38,IF(N(Vintage_Input!N244)&gt;0,Vintage_Input!F244/Vintage_Input!N244,""))</f>
        <v/>
      </c>
      <c r="G293" s="152">
        <f>IF($B293=1,$E$38,IF(N(Vintage_Input!O244)&gt;0,Vintage_Input!G244/Vintage_Input!O244,""))</f>
        <v/>
      </c>
      <c r="H293" s="152">
        <f>IF($B293=1,$F$38,IF(N(Vintage_Input!P244)&gt;0,Vintage_Input!H244/Vintage_Input!P244,""))</f>
        <v/>
      </c>
      <c r="I293" s="152">
        <f>IF($B293=1,$G$38,IF(N(Vintage_Input!Q244)&gt;0,Vintage_Input!I244/Vintage_Input!Q244,""))</f>
        <v/>
      </c>
      <c r="J293" s="152">
        <f>IF($B293=1,$H$38,IF(N(Vintage_Input!R244)&gt;0,Vintage_Input!J244/Vintage_Input!R244,""))</f>
        <v/>
      </c>
      <c r="K293" s="152">
        <f>IF($B293=1,$I$38,IF(N(Vintage_Input!S244)&gt;0,Vintage_Input!K244/Vintage_Input!S244,""))</f>
        <v/>
      </c>
      <c r="L293" s="152">
        <f>IF($B293=1,$B$39,IF(N(Vintage_Input!L244)&gt;0,Vintage_Input!T244/Vintage_Input!L244,""))</f>
        <v/>
      </c>
      <c r="M293" s="152">
        <f>IF($B293=1,$C$39,IF(N(Vintage_Input!M244)&gt;0,Vintage_Input!U244/Vintage_Input!M244,""))</f>
        <v/>
      </c>
      <c r="N293" s="152">
        <f>IF($B293=1,$D$39,IF(N(Vintage_Input!N244)&gt;0,Vintage_Input!V244/Vintage_Input!N244,""))</f>
        <v/>
      </c>
      <c r="O293" s="152">
        <f>IF($B293=1,$E$39,IF(N(Vintage_Input!O244)&gt;0,Vintage_Input!W244/Vintage_Input!O244,""))</f>
        <v/>
      </c>
      <c r="P293" s="152">
        <f>IF($B293=1,$F$39,IF(N(Vintage_Input!P244)&gt;0,Vintage_Input!X244/Vintage_Input!P244,""))</f>
        <v/>
      </c>
      <c r="Q293" s="152">
        <f>IF($B293=1,$G$39,IF(N(Vintage_Input!Q244)&gt;0,Vintage_Input!Y244/Vintage_Input!Q244,""))</f>
        <v/>
      </c>
      <c r="R293" s="152">
        <f>IF($B293=1,$H$39,IF(N(Vintage_Input!R244)&gt;0,Vintage_Input!Z244/Vintage_Input!R244,""))</f>
        <v/>
      </c>
      <c r="S293" s="152">
        <f>IF($B293=1,$I$39,IF(N(Vintage_Input!S244)&gt;0,Vintage_Input!AA244/Vintage_Input!S244,""))</f>
        <v/>
      </c>
      <c r="T293" s="152">
        <f>IF($B293=1,$B$40,IF(N(Vintage_Input!L244)&gt;0,Vintage_Input!AB244/Vintage_Input!L244,""))</f>
        <v/>
      </c>
      <c r="U293" s="152">
        <f>IF($B293=1,$C$40,IF(N(Vintage_Input!M244)&gt;0,Vintage_Input!AC244/Vintage_Input!M244,""))</f>
        <v/>
      </c>
      <c r="V293" s="152">
        <f>IF($B293=1,$D$40,IF(N(Vintage_Input!N244)&gt;0,Vintage_Input!AD244/Vintage_Input!N244,""))</f>
        <v/>
      </c>
      <c r="W293" s="152">
        <f>IF($B293=1,$E$40,IF(N(Vintage_Input!O244)&gt;0,Vintage_Input!AE244/Vintage_Input!O244,""))</f>
        <v/>
      </c>
      <c r="X293" s="152">
        <f>IF($B293=1,$F$40,IF(N(Vintage_Input!P244)&gt;0,Vintage_Input!AF244/Vintage_Input!P244,""))</f>
        <v/>
      </c>
      <c r="Y293" s="152">
        <f>IF($B293=1,$G$40,IF(N(Vintage_Input!Q244)&gt;0,Vintage_Input!AG244/Vintage_Input!Q244,""))</f>
        <v/>
      </c>
      <c r="Z293" s="152">
        <f>IF($B293=1,$H$40,IF(N(Vintage_Input!R244)&gt;0,Vintage_Input!AH244/Vintage_Input!R244,""))</f>
        <v/>
      </c>
      <c r="AA293" s="152">
        <f>IF($B293=1,$I$40,IF(N(Vintage_Input!S244)&gt;0,Vintage_Input!AI244/Vintage_Input!S244,""))</f>
        <v/>
      </c>
      <c r="AB293" s="152">
        <f>IF($B293=1,$B$41,IF(N(Vintage_Input!L244)&gt;0,Vintage_Input!AJ244/Vintage_Input!L244,""))</f>
        <v/>
      </c>
      <c r="AC293" s="152">
        <f>IF($B293=1,$C$41,IF(N(Vintage_Input!M244)&gt;0,Vintage_Input!AK244/Vintage_Input!M244,""))</f>
        <v/>
      </c>
      <c r="AD293" s="152">
        <f>IF($B293=1,$D$41,IF(N(Vintage_Input!N244)&gt;0,Vintage_Input!AL244/Vintage_Input!N244,""))</f>
        <v/>
      </c>
      <c r="AE293" s="152">
        <f>IF($B293=1,$E$41,IF(N(Vintage_Input!O244)&gt;0,Vintage_Input!AM244/Vintage_Input!O244,""))</f>
        <v/>
      </c>
      <c r="AF293" s="152">
        <f>IF($B293=1,$F$41,IF(N(Vintage_Input!P244)&gt;0,Vintage_Input!AN244/Vintage_Input!P244,""))</f>
        <v/>
      </c>
      <c r="AG293" s="152">
        <f>IF($B293=1,$G$41,IF(N(Vintage_Input!Q244)&gt;0,Vintage_Input!AO244/Vintage_Input!Q244,""))</f>
        <v/>
      </c>
      <c r="AH293" s="152">
        <f>IF($B293=1,$H$41,IF(N(Vintage_Input!R244)&gt;0,Vintage_Input!AP244/Vintage_Input!R244,""))</f>
        <v/>
      </c>
      <c r="AI293" s="152">
        <f>IF($B293=1,$I$41,IF(N(Vintage_Input!S244)&gt;0,Vintage_Input!AQ244/Vintage_Input!S244,""))</f>
        <v/>
      </c>
      <c r="AJ293" s="152">
        <f>IF($B293=1,$B$42,IF(N(Vintage_Input!L244)&gt;0,IFERROR(Vintage_Input!AR244/Vintage_Input!AJ244,""),""))</f>
        <v/>
      </c>
      <c r="AK293" s="152">
        <f>IF($B293=1,$C$42,IF(N(Vintage_Input!M244)&gt;0,IFERROR(Vintage_Input!AS244/Vintage_Input!AK244,""),""))</f>
        <v/>
      </c>
      <c r="AL293" s="152">
        <f>IF($B293=1,$D$42,IF(N(Vintage_Input!N244)&gt;0,IFERROR(Vintage_Input!AT244/Vintage_Input!AL244,""),""))</f>
        <v/>
      </c>
      <c r="AM293" s="152">
        <f>IF($B293=1,$E$42,IF(N(Vintage_Input!O244)&gt;0,IFERROR(Vintage_Input!AU244/Vintage_Input!AM244,""),""))</f>
        <v/>
      </c>
      <c r="AN293" s="152">
        <f>IF($B293=1,$F$42,IF(N(Vintage_Input!P244)&gt;0,IFERROR(Vintage_Input!AV244/Vintage_Input!AN244,""),""))</f>
        <v/>
      </c>
      <c r="AO293" s="152">
        <f>IF($B293=1,$G$42,IF(N(Vintage_Input!Q244)&gt;0,IFERROR(Vintage_Input!AW244/Vintage_Input!AO244,""),""))</f>
        <v/>
      </c>
      <c r="AP293" s="152">
        <f>IF($B293=1,$H$42,IF(N(Vintage_Input!R244)&gt;0,IFERROR(Vintage_Input!AX244/Vintage_Input!AP244,""),""))</f>
        <v/>
      </c>
      <c r="AQ293" s="152">
        <f>IF($B293=1,$I$42,IF(N(Vintage_Input!S244)&gt;0,IFERROR(Vintage_Input!AY244/Vintage_Input!AQ244,""),""))</f>
        <v/>
      </c>
      <c r="AR293" s="152">
        <f>IF($B293=1,$B$43,IF(N(Vintage_Input!L244)&gt;0,IFERROR(Vintage_Input!AZ244/$C293,""),""))</f>
        <v/>
      </c>
      <c r="AS293" s="152">
        <f>IF($B293=1,$C$43,IF(N(Vintage_Input!M244)&gt;0,IFERROR(Vintage_Input!BA244/$C293,""),""))</f>
        <v/>
      </c>
      <c r="AT293" s="152">
        <f>IF($B293=1,$D$43,IF(N(Vintage_Input!N244)&gt;0,IFERROR(Vintage_Input!BB244/$C293,""),""))</f>
        <v/>
      </c>
      <c r="AU293" s="152">
        <f>IF($B293=1,$E$43,IF(N(Vintage_Input!O244)&gt;0,IFERROR(Vintage_Input!BC244/$C293,""),""))</f>
        <v/>
      </c>
      <c r="AV293" s="152">
        <f>IF($B293=1,$F$43,IF(N(Vintage_Input!P244)&gt;0,IFERROR(Vintage_Input!BD244/$C293,""),""))</f>
        <v/>
      </c>
      <c r="AW293" s="152">
        <f>IF($B293=1,$G$43,IF(N(Vintage_Input!Q244)&gt;0,IFERROR(Vintage_Input!BE244/$C293,""),""))</f>
        <v/>
      </c>
      <c r="AX293" s="152">
        <f>IF($B293=1,$H$43,IF(N(Vintage_Input!R244)&gt;0,IFERROR(Vintage_Input!BF244/$C293,""),""))</f>
        <v/>
      </c>
      <c r="AY293" s="152">
        <f>IF($B293=1,$I$43,IF(N(Vintage_Input!S244)&gt;0,IFERROR(Vintage_Input!BG244/$C293,""),""))</f>
        <v/>
      </c>
      <c r="AZ293" s="153">
        <f>IF($B293=1,$B$44,IF(N(Vintage_Input!L244)&gt;0,IFERROR((Vintage_Input!D244+Vintage_Input!AR244)/$C293+Products!$F$14-(Products!$F$43+Products!$F$19+Products!$F$43*Products!$F$22+Products!$F$44),""),""))</f>
        <v/>
      </c>
      <c r="BA293" s="153">
        <f>IF($B293=1,$C$44,IF(N(Vintage_Input!M244)&gt;0,IFERROR((Vintage_Input!E244+Vintage_Input!AS244)/$C293+Products!$F$14-(Products!$F$43+Products!$F$19+Products!$F$43*Products!$F$22+Products!$F$44),""),""))</f>
        <v/>
      </c>
      <c r="BB293" s="153">
        <f>IF($B293=1,$D$44,IF(N(Vintage_Input!N244)&gt;0,IFERROR((Vintage_Input!F244+Vintage_Input!AT244)/$C293+Products!$F$14-(Products!$F$43+Products!$F$19+Products!$F$43*Products!$F$22+Products!$F$44),""),""))</f>
        <v/>
      </c>
      <c r="BC293" s="153">
        <f>IF($B293=1,$E$44,IF(N(Vintage_Input!O244)&gt;0,IFERROR((Vintage_Input!G244+Vintage_Input!AU244)/$C293+Products!$F$14-(Products!$F$43+Products!$F$19+Products!$F$43*Products!$F$22+Products!$F$44),""),""))</f>
        <v/>
      </c>
      <c r="BD293" s="153">
        <f>IF($B293=1,$F$44,IF(N(Vintage_Input!P244)&gt;0,IFERROR((Vintage_Input!H244+Vintage_Input!AV244)/$C293+Products!$F$14-(Products!$F$43+Products!$F$19+Products!$F$43*Products!$F$22+Products!$F$44),""),""))</f>
        <v/>
      </c>
      <c r="BE293" s="153">
        <f>IF($B293=1,$G$44,IF(N(Vintage_Input!Q244)&gt;0,IFERROR((Vintage_Input!I244+Vintage_Input!AW244)/$C293+Products!$F$14-(Products!$F$43+Products!$F$19+Products!$F$43*Products!$F$22+Products!$F$44),""),""))</f>
        <v/>
      </c>
      <c r="BF293" s="153">
        <f>IF($B293=1,$H$44,IF(N(Vintage_Input!R244)&gt;0,IFERROR((Vintage_Input!J244+Vintage_Input!AX244)/$C293+Products!$F$14-(Products!$F$43+Products!$F$19+Products!$F$43*Products!$F$22+Products!$F$44),""),""))</f>
        <v/>
      </c>
      <c r="BG293" s="153">
        <f>IF($B293=1,$I$44,IF(N(Vintage_Input!S244)&gt;0,IFERROR((Vintage_Input!K244+Vintage_Input!AY244)/$C293+Products!$F$14-(Products!$F$43+Products!$F$19+Products!$F$43*Products!$F$22+Products!$F$44),""),""))</f>
        <v/>
      </c>
      <c r="BH293" s="81">
        <f>IF($B293=1,0,IF(Vintage_Input!$BH$244="","",Vintage_Input!$BH$244))</f>
        <v/>
      </c>
    </row>
    <row r="294">
      <c r="A294" s="23" t="n">
        <v>42</v>
      </c>
      <c r="B294" s="48">
        <f>Vintage_Input!$B$245</f>
        <v/>
      </c>
      <c r="C294" s="41">
        <f>IF(Vintage_Input!$C$245="",0,Vintage_Input!$C$245)</f>
        <v/>
      </c>
      <c r="D294" s="152">
        <f>IF($B294=1,$B$38,IF(N(Vintage_Input!L245)&gt;0,Vintage_Input!D245/Vintage_Input!L245,""))</f>
        <v/>
      </c>
      <c r="E294" s="152">
        <f>IF($B294=1,$C$38,IF(N(Vintage_Input!M245)&gt;0,Vintage_Input!E245/Vintage_Input!M245,""))</f>
        <v/>
      </c>
      <c r="F294" s="152">
        <f>IF($B294=1,$D$38,IF(N(Vintage_Input!N245)&gt;0,Vintage_Input!F245/Vintage_Input!N245,""))</f>
        <v/>
      </c>
      <c r="G294" s="152">
        <f>IF($B294=1,$E$38,IF(N(Vintage_Input!O245)&gt;0,Vintage_Input!G245/Vintage_Input!O245,""))</f>
        <v/>
      </c>
      <c r="H294" s="152">
        <f>IF($B294=1,$F$38,IF(N(Vintage_Input!P245)&gt;0,Vintage_Input!H245/Vintage_Input!P245,""))</f>
        <v/>
      </c>
      <c r="I294" s="152">
        <f>IF($B294=1,$G$38,IF(N(Vintage_Input!Q245)&gt;0,Vintage_Input!I245/Vintage_Input!Q245,""))</f>
        <v/>
      </c>
      <c r="J294" s="152">
        <f>IF($B294=1,$H$38,IF(N(Vintage_Input!R245)&gt;0,Vintage_Input!J245/Vintage_Input!R245,""))</f>
        <v/>
      </c>
      <c r="K294" s="152">
        <f>IF($B294=1,$I$38,IF(N(Vintage_Input!S245)&gt;0,Vintage_Input!K245/Vintage_Input!S245,""))</f>
        <v/>
      </c>
      <c r="L294" s="152">
        <f>IF($B294=1,$B$39,IF(N(Vintage_Input!L245)&gt;0,Vintage_Input!T245/Vintage_Input!L245,""))</f>
        <v/>
      </c>
      <c r="M294" s="152">
        <f>IF($B294=1,$C$39,IF(N(Vintage_Input!M245)&gt;0,Vintage_Input!U245/Vintage_Input!M245,""))</f>
        <v/>
      </c>
      <c r="N294" s="152">
        <f>IF($B294=1,$D$39,IF(N(Vintage_Input!N245)&gt;0,Vintage_Input!V245/Vintage_Input!N245,""))</f>
        <v/>
      </c>
      <c r="O294" s="152">
        <f>IF($B294=1,$E$39,IF(N(Vintage_Input!O245)&gt;0,Vintage_Input!W245/Vintage_Input!O245,""))</f>
        <v/>
      </c>
      <c r="P294" s="152">
        <f>IF($B294=1,$F$39,IF(N(Vintage_Input!P245)&gt;0,Vintage_Input!X245/Vintage_Input!P245,""))</f>
        <v/>
      </c>
      <c r="Q294" s="152">
        <f>IF($B294=1,$G$39,IF(N(Vintage_Input!Q245)&gt;0,Vintage_Input!Y245/Vintage_Input!Q245,""))</f>
        <v/>
      </c>
      <c r="R294" s="152">
        <f>IF($B294=1,$H$39,IF(N(Vintage_Input!R245)&gt;0,Vintage_Input!Z245/Vintage_Input!R245,""))</f>
        <v/>
      </c>
      <c r="S294" s="152">
        <f>IF($B294=1,$I$39,IF(N(Vintage_Input!S245)&gt;0,Vintage_Input!AA245/Vintage_Input!S245,""))</f>
        <v/>
      </c>
      <c r="T294" s="152">
        <f>IF($B294=1,$B$40,IF(N(Vintage_Input!L245)&gt;0,Vintage_Input!AB245/Vintage_Input!L245,""))</f>
        <v/>
      </c>
      <c r="U294" s="152">
        <f>IF($B294=1,$C$40,IF(N(Vintage_Input!M245)&gt;0,Vintage_Input!AC245/Vintage_Input!M245,""))</f>
        <v/>
      </c>
      <c r="V294" s="152">
        <f>IF($B294=1,$D$40,IF(N(Vintage_Input!N245)&gt;0,Vintage_Input!AD245/Vintage_Input!N245,""))</f>
        <v/>
      </c>
      <c r="W294" s="152">
        <f>IF($B294=1,$E$40,IF(N(Vintage_Input!O245)&gt;0,Vintage_Input!AE245/Vintage_Input!O245,""))</f>
        <v/>
      </c>
      <c r="X294" s="152">
        <f>IF($B294=1,$F$40,IF(N(Vintage_Input!P245)&gt;0,Vintage_Input!AF245/Vintage_Input!P245,""))</f>
        <v/>
      </c>
      <c r="Y294" s="152">
        <f>IF($B294=1,$G$40,IF(N(Vintage_Input!Q245)&gt;0,Vintage_Input!AG245/Vintage_Input!Q245,""))</f>
        <v/>
      </c>
      <c r="Z294" s="152">
        <f>IF($B294=1,$H$40,IF(N(Vintage_Input!R245)&gt;0,Vintage_Input!AH245/Vintage_Input!R245,""))</f>
        <v/>
      </c>
      <c r="AA294" s="152">
        <f>IF($B294=1,$I$40,IF(N(Vintage_Input!S245)&gt;0,Vintage_Input!AI245/Vintage_Input!S245,""))</f>
        <v/>
      </c>
      <c r="AB294" s="152">
        <f>IF($B294=1,$B$41,IF(N(Vintage_Input!L245)&gt;0,Vintage_Input!AJ245/Vintage_Input!L245,""))</f>
        <v/>
      </c>
      <c r="AC294" s="152">
        <f>IF($B294=1,$C$41,IF(N(Vintage_Input!M245)&gt;0,Vintage_Input!AK245/Vintage_Input!M245,""))</f>
        <v/>
      </c>
      <c r="AD294" s="152">
        <f>IF($B294=1,$D$41,IF(N(Vintage_Input!N245)&gt;0,Vintage_Input!AL245/Vintage_Input!N245,""))</f>
        <v/>
      </c>
      <c r="AE294" s="152">
        <f>IF($B294=1,$E$41,IF(N(Vintage_Input!O245)&gt;0,Vintage_Input!AM245/Vintage_Input!O245,""))</f>
        <v/>
      </c>
      <c r="AF294" s="152">
        <f>IF($B294=1,$F$41,IF(N(Vintage_Input!P245)&gt;0,Vintage_Input!AN245/Vintage_Input!P245,""))</f>
        <v/>
      </c>
      <c r="AG294" s="152">
        <f>IF($B294=1,$G$41,IF(N(Vintage_Input!Q245)&gt;0,Vintage_Input!AO245/Vintage_Input!Q245,""))</f>
        <v/>
      </c>
      <c r="AH294" s="152">
        <f>IF($B294=1,$H$41,IF(N(Vintage_Input!R245)&gt;0,Vintage_Input!AP245/Vintage_Input!R245,""))</f>
        <v/>
      </c>
      <c r="AI294" s="152">
        <f>IF($B294=1,$I$41,IF(N(Vintage_Input!S245)&gt;0,Vintage_Input!AQ245/Vintage_Input!S245,""))</f>
        <v/>
      </c>
      <c r="AJ294" s="152">
        <f>IF($B294=1,$B$42,IF(N(Vintage_Input!L245)&gt;0,IFERROR(Vintage_Input!AR245/Vintage_Input!AJ245,""),""))</f>
        <v/>
      </c>
      <c r="AK294" s="152">
        <f>IF($B294=1,$C$42,IF(N(Vintage_Input!M245)&gt;0,IFERROR(Vintage_Input!AS245/Vintage_Input!AK245,""),""))</f>
        <v/>
      </c>
      <c r="AL294" s="152">
        <f>IF($B294=1,$D$42,IF(N(Vintage_Input!N245)&gt;0,IFERROR(Vintage_Input!AT245/Vintage_Input!AL245,""),""))</f>
        <v/>
      </c>
      <c r="AM294" s="152">
        <f>IF($B294=1,$E$42,IF(N(Vintage_Input!O245)&gt;0,IFERROR(Vintage_Input!AU245/Vintage_Input!AM245,""),""))</f>
        <v/>
      </c>
      <c r="AN294" s="152">
        <f>IF($B294=1,$F$42,IF(N(Vintage_Input!P245)&gt;0,IFERROR(Vintage_Input!AV245/Vintage_Input!AN245,""),""))</f>
        <v/>
      </c>
      <c r="AO294" s="152">
        <f>IF($B294=1,$G$42,IF(N(Vintage_Input!Q245)&gt;0,IFERROR(Vintage_Input!AW245/Vintage_Input!AO245,""),""))</f>
        <v/>
      </c>
      <c r="AP294" s="152">
        <f>IF($B294=1,$H$42,IF(N(Vintage_Input!R245)&gt;0,IFERROR(Vintage_Input!AX245/Vintage_Input!AP245,""),""))</f>
        <v/>
      </c>
      <c r="AQ294" s="152">
        <f>IF($B294=1,$I$42,IF(N(Vintage_Input!S245)&gt;0,IFERROR(Vintage_Input!AY245/Vintage_Input!AQ245,""),""))</f>
        <v/>
      </c>
      <c r="AR294" s="152">
        <f>IF($B294=1,$B$43,IF(N(Vintage_Input!L245)&gt;0,IFERROR(Vintage_Input!AZ245/$C294,""),""))</f>
        <v/>
      </c>
      <c r="AS294" s="152">
        <f>IF($B294=1,$C$43,IF(N(Vintage_Input!M245)&gt;0,IFERROR(Vintage_Input!BA245/$C294,""),""))</f>
        <v/>
      </c>
      <c r="AT294" s="152">
        <f>IF($B294=1,$D$43,IF(N(Vintage_Input!N245)&gt;0,IFERROR(Vintage_Input!BB245/$C294,""),""))</f>
        <v/>
      </c>
      <c r="AU294" s="152">
        <f>IF($B294=1,$E$43,IF(N(Vintage_Input!O245)&gt;0,IFERROR(Vintage_Input!BC245/$C294,""),""))</f>
        <v/>
      </c>
      <c r="AV294" s="152">
        <f>IF($B294=1,$F$43,IF(N(Vintage_Input!P245)&gt;0,IFERROR(Vintage_Input!BD245/$C294,""),""))</f>
        <v/>
      </c>
      <c r="AW294" s="152">
        <f>IF($B294=1,$G$43,IF(N(Vintage_Input!Q245)&gt;0,IFERROR(Vintage_Input!BE245/$C294,""),""))</f>
        <v/>
      </c>
      <c r="AX294" s="152">
        <f>IF($B294=1,$H$43,IF(N(Vintage_Input!R245)&gt;0,IFERROR(Vintage_Input!BF245/$C294,""),""))</f>
        <v/>
      </c>
      <c r="AY294" s="152">
        <f>IF($B294=1,$I$43,IF(N(Vintage_Input!S245)&gt;0,IFERROR(Vintage_Input!BG245/$C294,""),""))</f>
        <v/>
      </c>
      <c r="AZ294" s="153">
        <f>IF($B294=1,$B$44,IF(N(Vintage_Input!L245)&gt;0,IFERROR((Vintage_Input!D245+Vintage_Input!AR245)/$C294+Products!$F$14-(Products!$F$43+Products!$F$19+Products!$F$43*Products!$F$22+Products!$F$44),""),""))</f>
        <v/>
      </c>
      <c r="BA294" s="153">
        <f>IF($B294=1,$C$44,IF(N(Vintage_Input!M245)&gt;0,IFERROR((Vintage_Input!E245+Vintage_Input!AS245)/$C294+Products!$F$14-(Products!$F$43+Products!$F$19+Products!$F$43*Products!$F$22+Products!$F$44),""),""))</f>
        <v/>
      </c>
      <c r="BB294" s="153">
        <f>IF($B294=1,$D$44,IF(N(Vintage_Input!N245)&gt;0,IFERROR((Vintage_Input!F245+Vintage_Input!AT245)/$C294+Products!$F$14-(Products!$F$43+Products!$F$19+Products!$F$43*Products!$F$22+Products!$F$44),""),""))</f>
        <v/>
      </c>
      <c r="BC294" s="153">
        <f>IF($B294=1,$E$44,IF(N(Vintage_Input!O245)&gt;0,IFERROR((Vintage_Input!G245+Vintage_Input!AU245)/$C294+Products!$F$14-(Products!$F$43+Products!$F$19+Products!$F$43*Products!$F$22+Products!$F$44),""),""))</f>
        <v/>
      </c>
      <c r="BD294" s="153">
        <f>IF($B294=1,$F$44,IF(N(Vintage_Input!P245)&gt;0,IFERROR((Vintage_Input!H245+Vintage_Input!AV245)/$C294+Products!$F$14-(Products!$F$43+Products!$F$19+Products!$F$43*Products!$F$22+Products!$F$44),""),""))</f>
        <v/>
      </c>
      <c r="BE294" s="153">
        <f>IF($B294=1,$G$44,IF(N(Vintage_Input!Q245)&gt;0,IFERROR((Vintage_Input!I245+Vintage_Input!AW245)/$C294+Products!$F$14-(Products!$F$43+Products!$F$19+Products!$F$43*Products!$F$22+Products!$F$44),""),""))</f>
        <v/>
      </c>
      <c r="BF294" s="153">
        <f>IF($B294=1,$H$44,IF(N(Vintage_Input!R245)&gt;0,IFERROR((Vintage_Input!J245+Vintage_Input!AX245)/$C294+Products!$F$14-(Products!$F$43+Products!$F$19+Products!$F$43*Products!$F$22+Products!$F$44),""),""))</f>
        <v/>
      </c>
      <c r="BG294" s="153">
        <f>IF($B294=1,$I$44,IF(N(Vintage_Input!S245)&gt;0,IFERROR((Vintage_Input!K245+Vintage_Input!AY245)/$C294+Products!$F$14-(Products!$F$43+Products!$F$19+Products!$F$43*Products!$F$22+Products!$F$44),""),""))</f>
        <v/>
      </c>
      <c r="BH294" s="81">
        <f>IF($B294=1,0,IF(Vintage_Input!$BH$245="","",Vintage_Input!$BH$245))</f>
        <v/>
      </c>
    </row>
    <row r="295">
      <c r="A295" s="23" t="n">
        <v>43</v>
      </c>
      <c r="B295" s="48">
        <f>Vintage_Input!$B$246</f>
        <v/>
      </c>
      <c r="C295" s="41">
        <f>IF(Vintage_Input!$C$246="",0,Vintage_Input!$C$246)</f>
        <v/>
      </c>
      <c r="D295" s="152">
        <f>IF($B295=1,$B$38,IF(N(Vintage_Input!L246)&gt;0,Vintage_Input!D246/Vintage_Input!L246,""))</f>
        <v/>
      </c>
      <c r="E295" s="152">
        <f>IF($B295=1,$C$38,IF(N(Vintage_Input!M246)&gt;0,Vintage_Input!E246/Vintage_Input!M246,""))</f>
        <v/>
      </c>
      <c r="F295" s="152">
        <f>IF($B295=1,$D$38,IF(N(Vintage_Input!N246)&gt;0,Vintage_Input!F246/Vintage_Input!N246,""))</f>
        <v/>
      </c>
      <c r="G295" s="152">
        <f>IF($B295=1,$E$38,IF(N(Vintage_Input!O246)&gt;0,Vintage_Input!G246/Vintage_Input!O246,""))</f>
        <v/>
      </c>
      <c r="H295" s="152">
        <f>IF($B295=1,$F$38,IF(N(Vintage_Input!P246)&gt;0,Vintage_Input!H246/Vintage_Input!P246,""))</f>
        <v/>
      </c>
      <c r="I295" s="152">
        <f>IF($B295=1,$G$38,IF(N(Vintage_Input!Q246)&gt;0,Vintage_Input!I246/Vintage_Input!Q246,""))</f>
        <v/>
      </c>
      <c r="J295" s="152">
        <f>IF($B295=1,$H$38,IF(N(Vintage_Input!R246)&gt;0,Vintage_Input!J246/Vintage_Input!R246,""))</f>
        <v/>
      </c>
      <c r="K295" s="152">
        <f>IF($B295=1,$I$38,IF(N(Vintage_Input!S246)&gt;0,Vintage_Input!K246/Vintage_Input!S246,""))</f>
        <v/>
      </c>
      <c r="L295" s="152">
        <f>IF($B295=1,$B$39,IF(N(Vintage_Input!L246)&gt;0,Vintage_Input!T246/Vintage_Input!L246,""))</f>
        <v/>
      </c>
      <c r="M295" s="152">
        <f>IF($B295=1,$C$39,IF(N(Vintage_Input!M246)&gt;0,Vintage_Input!U246/Vintage_Input!M246,""))</f>
        <v/>
      </c>
      <c r="N295" s="152">
        <f>IF($B295=1,$D$39,IF(N(Vintage_Input!N246)&gt;0,Vintage_Input!V246/Vintage_Input!N246,""))</f>
        <v/>
      </c>
      <c r="O295" s="152">
        <f>IF($B295=1,$E$39,IF(N(Vintage_Input!O246)&gt;0,Vintage_Input!W246/Vintage_Input!O246,""))</f>
        <v/>
      </c>
      <c r="P295" s="152">
        <f>IF($B295=1,$F$39,IF(N(Vintage_Input!P246)&gt;0,Vintage_Input!X246/Vintage_Input!P246,""))</f>
        <v/>
      </c>
      <c r="Q295" s="152">
        <f>IF($B295=1,$G$39,IF(N(Vintage_Input!Q246)&gt;0,Vintage_Input!Y246/Vintage_Input!Q246,""))</f>
        <v/>
      </c>
      <c r="R295" s="152">
        <f>IF($B295=1,$H$39,IF(N(Vintage_Input!R246)&gt;0,Vintage_Input!Z246/Vintage_Input!R246,""))</f>
        <v/>
      </c>
      <c r="S295" s="152">
        <f>IF($B295=1,$I$39,IF(N(Vintage_Input!S246)&gt;0,Vintage_Input!AA246/Vintage_Input!S246,""))</f>
        <v/>
      </c>
      <c r="T295" s="152">
        <f>IF($B295=1,$B$40,IF(N(Vintage_Input!L246)&gt;0,Vintage_Input!AB246/Vintage_Input!L246,""))</f>
        <v/>
      </c>
      <c r="U295" s="152">
        <f>IF($B295=1,$C$40,IF(N(Vintage_Input!M246)&gt;0,Vintage_Input!AC246/Vintage_Input!M246,""))</f>
        <v/>
      </c>
      <c r="V295" s="152">
        <f>IF($B295=1,$D$40,IF(N(Vintage_Input!N246)&gt;0,Vintage_Input!AD246/Vintage_Input!N246,""))</f>
        <v/>
      </c>
      <c r="W295" s="152">
        <f>IF($B295=1,$E$40,IF(N(Vintage_Input!O246)&gt;0,Vintage_Input!AE246/Vintage_Input!O246,""))</f>
        <v/>
      </c>
      <c r="X295" s="152">
        <f>IF($B295=1,$F$40,IF(N(Vintage_Input!P246)&gt;0,Vintage_Input!AF246/Vintage_Input!P246,""))</f>
        <v/>
      </c>
      <c r="Y295" s="152">
        <f>IF($B295=1,$G$40,IF(N(Vintage_Input!Q246)&gt;0,Vintage_Input!AG246/Vintage_Input!Q246,""))</f>
        <v/>
      </c>
      <c r="Z295" s="152">
        <f>IF($B295=1,$H$40,IF(N(Vintage_Input!R246)&gt;0,Vintage_Input!AH246/Vintage_Input!R246,""))</f>
        <v/>
      </c>
      <c r="AA295" s="152">
        <f>IF($B295=1,$I$40,IF(N(Vintage_Input!S246)&gt;0,Vintage_Input!AI246/Vintage_Input!S246,""))</f>
        <v/>
      </c>
      <c r="AB295" s="152">
        <f>IF($B295=1,$B$41,IF(N(Vintage_Input!L246)&gt;0,Vintage_Input!AJ246/Vintage_Input!L246,""))</f>
        <v/>
      </c>
      <c r="AC295" s="152">
        <f>IF($B295=1,$C$41,IF(N(Vintage_Input!M246)&gt;0,Vintage_Input!AK246/Vintage_Input!M246,""))</f>
        <v/>
      </c>
      <c r="AD295" s="152">
        <f>IF($B295=1,$D$41,IF(N(Vintage_Input!N246)&gt;0,Vintage_Input!AL246/Vintage_Input!N246,""))</f>
        <v/>
      </c>
      <c r="AE295" s="152">
        <f>IF($B295=1,$E$41,IF(N(Vintage_Input!O246)&gt;0,Vintage_Input!AM246/Vintage_Input!O246,""))</f>
        <v/>
      </c>
      <c r="AF295" s="152">
        <f>IF($B295=1,$F$41,IF(N(Vintage_Input!P246)&gt;0,Vintage_Input!AN246/Vintage_Input!P246,""))</f>
        <v/>
      </c>
      <c r="AG295" s="152">
        <f>IF($B295=1,$G$41,IF(N(Vintage_Input!Q246)&gt;0,Vintage_Input!AO246/Vintage_Input!Q246,""))</f>
        <v/>
      </c>
      <c r="AH295" s="152">
        <f>IF($B295=1,$H$41,IF(N(Vintage_Input!R246)&gt;0,Vintage_Input!AP246/Vintage_Input!R246,""))</f>
        <v/>
      </c>
      <c r="AI295" s="152">
        <f>IF($B295=1,$I$41,IF(N(Vintage_Input!S246)&gt;0,Vintage_Input!AQ246/Vintage_Input!S246,""))</f>
        <v/>
      </c>
      <c r="AJ295" s="152">
        <f>IF($B295=1,$B$42,IF(N(Vintage_Input!L246)&gt;0,IFERROR(Vintage_Input!AR246/Vintage_Input!AJ246,""),""))</f>
        <v/>
      </c>
      <c r="AK295" s="152">
        <f>IF($B295=1,$C$42,IF(N(Vintage_Input!M246)&gt;0,IFERROR(Vintage_Input!AS246/Vintage_Input!AK246,""),""))</f>
        <v/>
      </c>
      <c r="AL295" s="152">
        <f>IF($B295=1,$D$42,IF(N(Vintage_Input!N246)&gt;0,IFERROR(Vintage_Input!AT246/Vintage_Input!AL246,""),""))</f>
        <v/>
      </c>
      <c r="AM295" s="152">
        <f>IF($B295=1,$E$42,IF(N(Vintage_Input!O246)&gt;0,IFERROR(Vintage_Input!AU246/Vintage_Input!AM246,""),""))</f>
        <v/>
      </c>
      <c r="AN295" s="152">
        <f>IF($B295=1,$F$42,IF(N(Vintage_Input!P246)&gt;0,IFERROR(Vintage_Input!AV246/Vintage_Input!AN246,""),""))</f>
        <v/>
      </c>
      <c r="AO295" s="152">
        <f>IF($B295=1,$G$42,IF(N(Vintage_Input!Q246)&gt;0,IFERROR(Vintage_Input!AW246/Vintage_Input!AO246,""),""))</f>
        <v/>
      </c>
      <c r="AP295" s="152">
        <f>IF($B295=1,$H$42,IF(N(Vintage_Input!R246)&gt;0,IFERROR(Vintage_Input!AX246/Vintage_Input!AP246,""),""))</f>
        <v/>
      </c>
      <c r="AQ295" s="152">
        <f>IF($B295=1,$I$42,IF(N(Vintage_Input!S246)&gt;0,IFERROR(Vintage_Input!AY246/Vintage_Input!AQ246,""),""))</f>
        <v/>
      </c>
      <c r="AR295" s="152">
        <f>IF($B295=1,$B$43,IF(N(Vintage_Input!L246)&gt;0,IFERROR(Vintage_Input!AZ246/$C295,""),""))</f>
        <v/>
      </c>
      <c r="AS295" s="152">
        <f>IF($B295=1,$C$43,IF(N(Vintage_Input!M246)&gt;0,IFERROR(Vintage_Input!BA246/$C295,""),""))</f>
        <v/>
      </c>
      <c r="AT295" s="152">
        <f>IF($B295=1,$D$43,IF(N(Vintage_Input!N246)&gt;0,IFERROR(Vintage_Input!BB246/$C295,""),""))</f>
        <v/>
      </c>
      <c r="AU295" s="152">
        <f>IF($B295=1,$E$43,IF(N(Vintage_Input!O246)&gt;0,IFERROR(Vintage_Input!BC246/$C295,""),""))</f>
        <v/>
      </c>
      <c r="AV295" s="152">
        <f>IF($B295=1,$F$43,IF(N(Vintage_Input!P246)&gt;0,IFERROR(Vintage_Input!BD246/$C295,""),""))</f>
        <v/>
      </c>
      <c r="AW295" s="152">
        <f>IF($B295=1,$G$43,IF(N(Vintage_Input!Q246)&gt;0,IFERROR(Vintage_Input!BE246/$C295,""),""))</f>
        <v/>
      </c>
      <c r="AX295" s="152">
        <f>IF($B295=1,$H$43,IF(N(Vintage_Input!R246)&gt;0,IFERROR(Vintage_Input!BF246/$C295,""),""))</f>
        <v/>
      </c>
      <c r="AY295" s="152">
        <f>IF($B295=1,$I$43,IF(N(Vintage_Input!S246)&gt;0,IFERROR(Vintage_Input!BG246/$C295,""),""))</f>
        <v/>
      </c>
      <c r="AZ295" s="153">
        <f>IF($B295=1,$B$44,IF(N(Vintage_Input!L246)&gt;0,IFERROR((Vintage_Input!D246+Vintage_Input!AR246)/$C295+Products!$F$14-(Products!$F$43+Products!$F$19+Products!$F$43*Products!$F$22+Products!$F$44),""),""))</f>
        <v/>
      </c>
      <c r="BA295" s="153">
        <f>IF($B295=1,$C$44,IF(N(Vintage_Input!M246)&gt;0,IFERROR((Vintage_Input!E246+Vintage_Input!AS246)/$C295+Products!$F$14-(Products!$F$43+Products!$F$19+Products!$F$43*Products!$F$22+Products!$F$44),""),""))</f>
        <v/>
      </c>
      <c r="BB295" s="153">
        <f>IF($B295=1,$D$44,IF(N(Vintage_Input!N246)&gt;0,IFERROR((Vintage_Input!F246+Vintage_Input!AT246)/$C295+Products!$F$14-(Products!$F$43+Products!$F$19+Products!$F$43*Products!$F$22+Products!$F$44),""),""))</f>
        <v/>
      </c>
      <c r="BC295" s="153">
        <f>IF($B295=1,$E$44,IF(N(Vintage_Input!O246)&gt;0,IFERROR((Vintage_Input!G246+Vintage_Input!AU246)/$C295+Products!$F$14-(Products!$F$43+Products!$F$19+Products!$F$43*Products!$F$22+Products!$F$44),""),""))</f>
        <v/>
      </c>
      <c r="BD295" s="153">
        <f>IF($B295=1,$F$44,IF(N(Vintage_Input!P246)&gt;0,IFERROR((Vintage_Input!H246+Vintage_Input!AV246)/$C295+Products!$F$14-(Products!$F$43+Products!$F$19+Products!$F$43*Products!$F$22+Products!$F$44),""),""))</f>
        <v/>
      </c>
      <c r="BE295" s="153">
        <f>IF($B295=1,$G$44,IF(N(Vintage_Input!Q246)&gt;0,IFERROR((Vintage_Input!I246+Vintage_Input!AW246)/$C295+Products!$F$14-(Products!$F$43+Products!$F$19+Products!$F$43*Products!$F$22+Products!$F$44),""),""))</f>
        <v/>
      </c>
      <c r="BF295" s="153">
        <f>IF($B295=1,$H$44,IF(N(Vintage_Input!R246)&gt;0,IFERROR((Vintage_Input!J246+Vintage_Input!AX246)/$C295+Products!$F$14-(Products!$F$43+Products!$F$19+Products!$F$43*Products!$F$22+Products!$F$44),""),""))</f>
        <v/>
      </c>
      <c r="BG295" s="153">
        <f>IF($B295=1,$I$44,IF(N(Vintage_Input!S246)&gt;0,IFERROR((Vintage_Input!K246+Vintage_Input!AY246)/$C295+Products!$F$14-(Products!$F$43+Products!$F$19+Products!$F$43*Products!$F$22+Products!$F$44),""),""))</f>
        <v/>
      </c>
      <c r="BH295" s="81">
        <f>IF($B295=1,0,IF(Vintage_Input!$BH$246="","",Vintage_Input!$BH$246))</f>
        <v/>
      </c>
    </row>
    <row r="296">
      <c r="A296" s="23" t="n">
        <v>44</v>
      </c>
      <c r="B296" s="48">
        <f>Vintage_Input!$B$247</f>
        <v/>
      </c>
      <c r="C296" s="41">
        <f>IF(Vintage_Input!$C$247="",0,Vintage_Input!$C$247)</f>
        <v/>
      </c>
      <c r="D296" s="152">
        <f>IF($B296=1,$B$38,IF(N(Vintage_Input!L247)&gt;0,Vintage_Input!D247/Vintage_Input!L247,""))</f>
        <v/>
      </c>
      <c r="E296" s="152">
        <f>IF($B296=1,$C$38,IF(N(Vintage_Input!M247)&gt;0,Vintage_Input!E247/Vintage_Input!M247,""))</f>
        <v/>
      </c>
      <c r="F296" s="152">
        <f>IF($B296=1,$D$38,IF(N(Vintage_Input!N247)&gt;0,Vintage_Input!F247/Vintage_Input!N247,""))</f>
        <v/>
      </c>
      <c r="G296" s="152">
        <f>IF($B296=1,$E$38,IF(N(Vintage_Input!O247)&gt;0,Vintage_Input!G247/Vintage_Input!O247,""))</f>
        <v/>
      </c>
      <c r="H296" s="152">
        <f>IF($B296=1,$F$38,IF(N(Vintage_Input!P247)&gt;0,Vintage_Input!H247/Vintage_Input!P247,""))</f>
        <v/>
      </c>
      <c r="I296" s="152">
        <f>IF($B296=1,$G$38,IF(N(Vintage_Input!Q247)&gt;0,Vintage_Input!I247/Vintage_Input!Q247,""))</f>
        <v/>
      </c>
      <c r="J296" s="152">
        <f>IF($B296=1,$H$38,IF(N(Vintage_Input!R247)&gt;0,Vintage_Input!J247/Vintage_Input!R247,""))</f>
        <v/>
      </c>
      <c r="K296" s="152">
        <f>IF($B296=1,$I$38,IF(N(Vintage_Input!S247)&gt;0,Vintage_Input!K247/Vintage_Input!S247,""))</f>
        <v/>
      </c>
      <c r="L296" s="152">
        <f>IF($B296=1,$B$39,IF(N(Vintage_Input!L247)&gt;0,Vintage_Input!T247/Vintage_Input!L247,""))</f>
        <v/>
      </c>
      <c r="M296" s="152">
        <f>IF($B296=1,$C$39,IF(N(Vintage_Input!M247)&gt;0,Vintage_Input!U247/Vintage_Input!M247,""))</f>
        <v/>
      </c>
      <c r="N296" s="152">
        <f>IF($B296=1,$D$39,IF(N(Vintage_Input!N247)&gt;0,Vintage_Input!V247/Vintage_Input!N247,""))</f>
        <v/>
      </c>
      <c r="O296" s="152">
        <f>IF($B296=1,$E$39,IF(N(Vintage_Input!O247)&gt;0,Vintage_Input!W247/Vintage_Input!O247,""))</f>
        <v/>
      </c>
      <c r="P296" s="152">
        <f>IF($B296=1,$F$39,IF(N(Vintage_Input!P247)&gt;0,Vintage_Input!X247/Vintage_Input!P247,""))</f>
        <v/>
      </c>
      <c r="Q296" s="152">
        <f>IF($B296=1,$G$39,IF(N(Vintage_Input!Q247)&gt;0,Vintage_Input!Y247/Vintage_Input!Q247,""))</f>
        <v/>
      </c>
      <c r="R296" s="152">
        <f>IF($B296=1,$H$39,IF(N(Vintage_Input!R247)&gt;0,Vintage_Input!Z247/Vintage_Input!R247,""))</f>
        <v/>
      </c>
      <c r="S296" s="152">
        <f>IF($B296=1,$I$39,IF(N(Vintage_Input!S247)&gt;0,Vintage_Input!AA247/Vintage_Input!S247,""))</f>
        <v/>
      </c>
      <c r="T296" s="152">
        <f>IF($B296=1,$B$40,IF(N(Vintage_Input!L247)&gt;0,Vintage_Input!AB247/Vintage_Input!L247,""))</f>
        <v/>
      </c>
      <c r="U296" s="152">
        <f>IF($B296=1,$C$40,IF(N(Vintage_Input!M247)&gt;0,Vintage_Input!AC247/Vintage_Input!M247,""))</f>
        <v/>
      </c>
      <c r="V296" s="152">
        <f>IF($B296=1,$D$40,IF(N(Vintage_Input!N247)&gt;0,Vintage_Input!AD247/Vintage_Input!N247,""))</f>
        <v/>
      </c>
      <c r="W296" s="152">
        <f>IF($B296=1,$E$40,IF(N(Vintage_Input!O247)&gt;0,Vintage_Input!AE247/Vintage_Input!O247,""))</f>
        <v/>
      </c>
      <c r="X296" s="152">
        <f>IF($B296=1,$F$40,IF(N(Vintage_Input!P247)&gt;0,Vintage_Input!AF247/Vintage_Input!P247,""))</f>
        <v/>
      </c>
      <c r="Y296" s="152">
        <f>IF($B296=1,$G$40,IF(N(Vintage_Input!Q247)&gt;0,Vintage_Input!AG247/Vintage_Input!Q247,""))</f>
        <v/>
      </c>
      <c r="Z296" s="152">
        <f>IF($B296=1,$H$40,IF(N(Vintage_Input!R247)&gt;0,Vintage_Input!AH247/Vintage_Input!R247,""))</f>
        <v/>
      </c>
      <c r="AA296" s="152">
        <f>IF($B296=1,$I$40,IF(N(Vintage_Input!S247)&gt;0,Vintage_Input!AI247/Vintage_Input!S247,""))</f>
        <v/>
      </c>
      <c r="AB296" s="152">
        <f>IF($B296=1,$B$41,IF(N(Vintage_Input!L247)&gt;0,Vintage_Input!AJ247/Vintage_Input!L247,""))</f>
        <v/>
      </c>
      <c r="AC296" s="152">
        <f>IF($B296=1,$C$41,IF(N(Vintage_Input!M247)&gt;0,Vintage_Input!AK247/Vintage_Input!M247,""))</f>
        <v/>
      </c>
      <c r="AD296" s="152">
        <f>IF($B296=1,$D$41,IF(N(Vintage_Input!N247)&gt;0,Vintage_Input!AL247/Vintage_Input!N247,""))</f>
        <v/>
      </c>
      <c r="AE296" s="152">
        <f>IF($B296=1,$E$41,IF(N(Vintage_Input!O247)&gt;0,Vintage_Input!AM247/Vintage_Input!O247,""))</f>
        <v/>
      </c>
      <c r="AF296" s="152">
        <f>IF($B296=1,$F$41,IF(N(Vintage_Input!P247)&gt;0,Vintage_Input!AN247/Vintage_Input!P247,""))</f>
        <v/>
      </c>
      <c r="AG296" s="152">
        <f>IF($B296=1,$G$41,IF(N(Vintage_Input!Q247)&gt;0,Vintage_Input!AO247/Vintage_Input!Q247,""))</f>
        <v/>
      </c>
      <c r="AH296" s="152">
        <f>IF($B296=1,$H$41,IF(N(Vintage_Input!R247)&gt;0,Vintage_Input!AP247/Vintage_Input!R247,""))</f>
        <v/>
      </c>
      <c r="AI296" s="152">
        <f>IF($B296=1,$I$41,IF(N(Vintage_Input!S247)&gt;0,Vintage_Input!AQ247/Vintage_Input!S247,""))</f>
        <v/>
      </c>
      <c r="AJ296" s="152">
        <f>IF($B296=1,$B$42,IF(N(Vintage_Input!L247)&gt;0,IFERROR(Vintage_Input!AR247/Vintage_Input!AJ247,""),""))</f>
        <v/>
      </c>
      <c r="AK296" s="152">
        <f>IF($B296=1,$C$42,IF(N(Vintage_Input!M247)&gt;0,IFERROR(Vintage_Input!AS247/Vintage_Input!AK247,""),""))</f>
        <v/>
      </c>
      <c r="AL296" s="152">
        <f>IF($B296=1,$D$42,IF(N(Vintage_Input!N247)&gt;0,IFERROR(Vintage_Input!AT247/Vintage_Input!AL247,""),""))</f>
        <v/>
      </c>
      <c r="AM296" s="152">
        <f>IF($B296=1,$E$42,IF(N(Vintage_Input!O247)&gt;0,IFERROR(Vintage_Input!AU247/Vintage_Input!AM247,""),""))</f>
        <v/>
      </c>
      <c r="AN296" s="152">
        <f>IF($B296=1,$F$42,IF(N(Vintage_Input!P247)&gt;0,IFERROR(Vintage_Input!AV247/Vintage_Input!AN247,""),""))</f>
        <v/>
      </c>
      <c r="AO296" s="152">
        <f>IF($B296=1,$G$42,IF(N(Vintage_Input!Q247)&gt;0,IFERROR(Vintage_Input!AW247/Vintage_Input!AO247,""),""))</f>
        <v/>
      </c>
      <c r="AP296" s="152">
        <f>IF($B296=1,$H$42,IF(N(Vintage_Input!R247)&gt;0,IFERROR(Vintage_Input!AX247/Vintage_Input!AP247,""),""))</f>
        <v/>
      </c>
      <c r="AQ296" s="152">
        <f>IF($B296=1,$I$42,IF(N(Vintage_Input!S247)&gt;0,IFERROR(Vintage_Input!AY247/Vintage_Input!AQ247,""),""))</f>
        <v/>
      </c>
      <c r="AR296" s="152">
        <f>IF($B296=1,$B$43,IF(N(Vintage_Input!L247)&gt;0,IFERROR(Vintage_Input!AZ247/$C296,""),""))</f>
        <v/>
      </c>
      <c r="AS296" s="152">
        <f>IF($B296=1,$C$43,IF(N(Vintage_Input!M247)&gt;0,IFERROR(Vintage_Input!BA247/$C296,""),""))</f>
        <v/>
      </c>
      <c r="AT296" s="152">
        <f>IF($B296=1,$D$43,IF(N(Vintage_Input!N247)&gt;0,IFERROR(Vintage_Input!BB247/$C296,""),""))</f>
        <v/>
      </c>
      <c r="AU296" s="152">
        <f>IF($B296=1,$E$43,IF(N(Vintage_Input!O247)&gt;0,IFERROR(Vintage_Input!BC247/$C296,""),""))</f>
        <v/>
      </c>
      <c r="AV296" s="152">
        <f>IF($B296=1,$F$43,IF(N(Vintage_Input!P247)&gt;0,IFERROR(Vintage_Input!BD247/$C296,""),""))</f>
        <v/>
      </c>
      <c r="AW296" s="152">
        <f>IF($B296=1,$G$43,IF(N(Vintage_Input!Q247)&gt;0,IFERROR(Vintage_Input!BE247/$C296,""),""))</f>
        <v/>
      </c>
      <c r="AX296" s="152">
        <f>IF($B296=1,$H$43,IF(N(Vintage_Input!R247)&gt;0,IFERROR(Vintage_Input!BF247/$C296,""),""))</f>
        <v/>
      </c>
      <c r="AY296" s="152">
        <f>IF($B296=1,$I$43,IF(N(Vintage_Input!S247)&gt;0,IFERROR(Vintage_Input!BG247/$C296,""),""))</f>
        <v/>
      </c>
      <c r="AZ296" s="153">
        <f>IF($B296=1,$B$44,IF(N(Vintage_Input!L247)&gt;0,IFERROR((Vintage_Input!D247+Vintage_Input!AR247)/$C296+Products!$F$14-(Products!$F$43+Products!$F$19+Products!$F$43*Products!$F$22+Products!$F$44),""),""))</f>
        <v/>
      </c>
      <c r="BA296" s="153">
        <f>IF($B296=1,$C$44,IF(N(Vintage_Input!M247)&gt;0,IFERROR((Vintage_Input!E247+Vintage_Input!AS247)/$C296+Products!$F$14-(Products!$F$43+Products!$F$19+Products!$F$43*Products!$F$22+Products!$F$44),""),""))</f>
        <v/>
      </c>
      <c r="BB296" s="153">
        <f>IF($B296=1,$D$44,IF(N(Vintage_Input!N247)&gt;0,IFERROR((Vintage_Input!F247+Vintage_Input!AT247)/$C296+Products!$F$14-(Products!$F$43+Products!$F$19+Products!$F$43*Products!$F$22+Products!$F$44),""),""))</f>
        <v/>
      </c>
      <c r="BC296" s="153">
        <f>IF($B296=1,$E$44,IF(N(Vintage_Input!O247)&gt;0,IFERROR((Vintage_Input!G247+Vintage_Input!AU247)/$C296+Products!$F$14-(Products!$F$43+Products!$F$19+Products!$F$43*Products!$F$22+Products!$F$44),""),""))</f>
        <v/>
      </c>
      <c r="BD296" s="153">
        <f>IF($B296=1,$F$44,IF(N(Vintage_Input!P247)&gt;0,IFERROR((Vintage_Input!H247+Vintage_Input!AV247)/$C296+Products!$F$14-(Products!$F$43+Products!$F$19+Products!$F$43*Products!$F$22+Products!$F$44),""),""))</f>
        <v/>
      </c>
      <c r="BE296" s="153">
        <f>IF($B296=1,$G$44,IF(N(Vintage_Input!Q247)&gt;0,IFERROR((Vintage_Input!I247+Vintage_Input!AW247)/$C296+Products!$F$14-(Products!$F$43+Products!$F$19+Products!$F$43*Products!$F$22+Products!$F$44),""),""))</f>
        <v/>
      </c>
      <c r="BF296" s="153">
        <f>IF($B296=1,$H$44,IF(N(Vintage_Input!R247)&gt;0,IFERROR((Vintage_Input!J247+Vintage_Input!AX247)/$C296+Products!$F$14-(Products!$F$43+Products!$F$19+Products!$F$43*Products!$F$22+Products!$F$44),""),""))</f>
        <v/>
      </c>
      <c r="BG296" s="153">
        <f>IF($B296=1,$I$44,IF(N(Vintage_Input!S247)&gt;0,IFERROR((Vintage_Input!K247+Vintage_Input!AY247)/$C296+Products!$F$14-(Products!$F$43+Products!$F$19+Products!$F$43*Products!$F$22+Products!$F$44),""),""))</f>
        <v/>
      </c>
      <c r="BH296" s="81">
        <f>IF($B296=1,0,IF(Vintage_Input!$BH$247="","",Vintage_Input!$BH$247))</f>
        <v/>
      </c>
    </row>
    <row r="297">
      <c r="A297" s="23" t="n">
        <v>45</v>
      </c>
      <c r="B297" s="48">
        <f>Vintage_Input!$B$248</f>
        <v/>
      </c>
      <c r="C297" s="41">
        <f>IF(Vintage_Input!$C$248="",0,Vintage_Input!$C$248)</f>
        <v/>
      </c>
      <c r="D297" s="152">
        <f>IF($B297=1,$B$38,IF(N(Vintage_Input!L248)&gt;0,Vintage_Input!D248/Vintage_Input!L248,""))</f>
        <v/>
      </c>
      <c r="E297" s="152">
        <f>IF($B297=1,$C$38,IF(N(Vintage_Input!M248)&gt;0,Vintage_Input!E248/Vintage_Input!M248,""))</f>
        <v/>
      </c>
      <c r="F297" s="152">
        <f>IF($B297=1,$D$38,IF(N(Vintage_Input!N248)&gt;0,Vintage_Input!F248/Vintage_Input!N248,""))</f>
        <v/>
      </c>
      <c r="G297" s="152">
        <f>IF($B297=1,$E$38,IF(N(Vintage_Input!O248)&gt;0,Vintage_Input!G248/Vintage_Input!O248,""))</f>
        <v/>
      </c>
      <c r="H297" s="152">
        <f>IF($B297=1,$F$38,IF(N(Vintage_Input!P248)&gt;0,Vintage_Input!H248/Vintage_Input!P248,""))</f>
        <v/>
      </c>
      <c r="I297" s="152">
        <f>IF($B297=1,$G$38,IF(N(Vintage_Input!Q248)&gt;0,Vintage_Input!I248/Vintage_Input!Q248,""))</f>
        <v/>
      </c>
      <c r="J297" s="152">
        <f>IF($B297=1,$H$38,IF(N(Vintage_Input!R248)&gt;0,Vintage_Input!J248/Vintage_Input!R248,""))</f>
        <v/>
      </c>
      <c r="K297" s="152">
        <f>IF($B297=1,$I$38,IF(N(Vintage_Input!S248)&gt;0,Vintage_Input!K248/Vintage_Input!S248,""))</f>
        <v/>
      </c>
      <c r="L297" s="152">
        <f>IF($B297=1,$B$39,IF(N(Vintage_Input!L248)&gt;0,Vintage_Input!T248/Vintage_Input!L248,""))</f>
        <v/>
      </c>
      <c r="M297" s="152">
        <f>IF($B297=1,$C$39,IF(N(Vintage_Input!M248)&gt;0,Vintage_Input!U248/Vintage_Input!M248,""))</f>
        <v/>
      </c>
      <c r="N297" s="152">
        <f>IF($B297=1,$D$39,IF(N(Vintage_Input!N248)&gt;0,Vintage_Input!V248/Vintage_Input!N248,""))</f>
        <v/>
      </c>
      <c r="O297" s="152">
        <f>IF($B297=1,$E$39,IF(N(Vintage_Input!O248)&gt;0,Vintage_Input!W248/Vintage_Input!O248,""))</f>
        <v/>
      </c>
      <c r="P297" s="152">
        <f>IF($B297=1,$F$39,IF(N(Vintage_Input!P248)&gt;0,Vintage_Input!X248/Vintage_Input!P248,""))</f>
        <v/>
      </c>
      <c r="Q297" s="152">
        <f>IF($B297=1,$G$39,IF(N(Vintage_Input!Q248)&gt;0,Vintage_Input!Y248/Vintage_Input!Q248,""))</f>
        <v/>
      </c>
      <c r="R297" s="152">
        <f>IF($B297=1,$H$39,IF(N(Vintage_Input!R248)&gt;0,Vintage_Input!Z248/Vintage_Input!R248,""))</f>
        <v/>
      </c>
      <c r="S297" s="152">
        <f>IF($B297=1,$I$39,IF(N(Vintage_Input!S248)&gt;0,Vintage_Input!AA248/Vintage_Input!S248,""))</f>
        <v/>
      </c>
      <c r="T297" s="152">
        <f>IF($B297=1,$B$40,IF(N(Vintage_Input!L248)&gt;0,Vintage_Input!AB248/Vintage_Input!L248,""))</f>
        <v/>
      </c>
      <c r="U297" s="152">
        <f>IF($B297=1,$C$40,IF(N(Vintage_Input!M248)&gt;0,Vintage_Input!AC248/Vintage_Input!M248,""))</f>
        <v/>
      </c>
      <c r="V297" s="152">
        <f>IF($B297=1,$D$40,IF(N(Vintage_Input!N248)&gt;0,Vintage_Input!AD248/Vintage_Input!N248,""))</f>
        <v/>
      </c>
      <c r="W297" s="152">
        <f>IF($B297=1,$E$40,IF(N(Vintage_Input!O248)&gt;0,Vintage_Input!AE248/Vintage_Input!O248,""))</f>
        <v/>
      </c>
      <c r="X297" s="152">
        <f>IF($B297=1,$F$40,IF(N(Vintage_Input!P248)&gt;0,Vintage_Input!AF248/Vintage_Input!P248,""))</f>
        <v/>
      </c>
      <c r="Y297" s="152">
        <f>IF($B297=1,$G$40,IF(N(Vintage_Input!Q248)&gt;0,Vintage_Input!AG248/Vintage_Input!Q248,""))</f>
        <v/>
      </c>
      <c r="Z297" s="152">
        <f>IF($B297=1,$H$40,IF(N(Vintage_Input!R248)&gt;0,Vintage_Input!AH248/Vintage_Input!R248,""))</f>
        <v/>
      </c>
      <c r="AA297" s="152">
        <f>IF($B297=1,$I$40,IF(N(Vintage_Input!S248)&gt;0,Vintage_Input!AI248/Vintage_Input!S248,""))</f>
        <v/>
      </c>
      <c r="AB297" s="152">
        <f>IF($B297=1,$B$41,IF(N(Vintage_Input!L248)&gt;0,Vintage_Input!AJ248/Vintage_Input!L248,""))</f>
        <v/>
      </c>
      <c r="AC297" s="152">
        <f>IF($B297=1,$C$41,IF(N(Vintage_Input!M248)&gt;0,Vintage_Input!AK248/Vintage_Input!M248,""))</f>
        <v/>
      </c>
      <c r="AD297" s="152">
        <f>IF($B297=1,$D$41,IF(N(Vintage_Input!N248)&gt;0,Vintage_Input!AL248/Vintage_Input!N248,""))</f>
        <v/>
      </c>
      <c r="AE297" s="152">
        <f>IF($B297=1,$E$41,IF(N(Vintage_Input!O248)&gt;0,Vintage_Input!AM248/Vintage_Input!O248,""))</f>
        <v/>
      </c>
      <c r="AF297" s="152">
        <f>IF($B297=1,$F$41,IF(N(Vintage_Input!P248)&gt;0,Vintage_Input!AN248/Vintage_Input!P248,""))</f>
        <v/>
      </c>
      <c r="AG297" s="152">
        <f>IF($B297=1,$G$41,IF(N(Vintage_Input!Q248)&gt;0,Vintage_Input!AO248/Vintage_Input!Q248,""))</f>
        <v/>
      </c>
      <c r="AH297" s="152">
        <f>IF($B297=1,$H$41,IF(N(Vintage_Input!R248)&gt;0,Vintage_Input!AP248/Vintage_Input!R248,""))</f>
        <v/>
      </c>
      <c r="AI297" s="152">
        <f>IF($B297=1,$I$41,IF(N(Vintage_Input!S248)&gt;0,Vintage_Input!AQ248/Vintage_Input!S248,""))</f>
        <v/>
      </c>
      <c r="AJ297" s="152">
        <f>IF($B297=1,$B$42,IF(N(Vintage_Input!L248)&gt;0,IFERROR(Vintage_Input!AR248/Vintage_Input!AJ248,""),""))</f>
        <v/>
      </c>
      <c r="AK297" s="152">
        <f>IF($B297=1,$C$42,IF(N(Vintage_Input!M248)&gt;0,IFERROR(Vintage_Input!AS248/Vintage_Input!AK248,""),""))</f>
        <v/>
      </c>
      <c r="AL297" s="152">
        <f>IF($B297=1,$D$42,IF(N(Vintage_Input!N248)&gt;0,IFERROR(Vintage_Input!AT248/Vintage_Input!AL248,""),""))</f>
        <v/>
      </c>
      <c r="AM297" s="152">
        <f>IF($B297=1,$E$42,IF(N(Vintage_Input!O248)&gt;0,IFERROR(Vintage_Input!AU248/Vintage_Input!AM248,""),""))</f>
        <v/>
      </c>
      <c r="AN297" s="152">
        <f>IF($B297=1,$F$42,IF(N(Vintage_Input!P248)&gt;0,IFERROR(Vintage_Input!AV248/Vintage_Input!AN248,""),""))</f>
        <v/>
      </c>
      <c r="AO297" s="152">
        <f>IF($B297=1,$G$42,IF(N(Vintage_Input!Q248)&gt;0,IFERROR(Vintage_Input!AW248/Vintage_Input!AO248,""),""))</f>
        <v/>
      </c>
      <c r="AP297" s="152">
        <f>IF($B297=1,$H$42,IF(N(Vintage_Input!R248)&gt;0,IFERROR(Vintage_Input!AX248/Vintage_Input!AP248,""),""))</f>
        <v/>
      </c>
      <c r="AQ297" s="152">
        <f>IF($B297=1,$I$42,IF(N(Vintage_Input!S248)&gt;0,IFERROR(Vintage_Input!AY248/Vintage_Input!AQ248,""),""))</f>
        <v/>
      </c>
      <c r="AR297" s="152">
        <f>IF($B297=1,$B$43,IF(N(Vintage_Input!L248)&gt;0,IFERROR(Vintage_Input!AZ248/$C297,""),""))</f>
        <v/>
      </c>
      <c r="AS297" s="152">
        <f>IF($B297=1,$C$43,IF(N(Vintage_Input!M248)&gt;0,IFERROR(Vintage_Input!BA248/$C297,""),""))</f>
        <v/>
      </c>
      <c r="AT297" s="152">
        <f>IF($B297=1,$D$43,IF(N(Vintage_Input!N248)&gt;0,IFERROR(Vintage_Input!BB248/$C297,""),""))</f>
        <v/>
      </c>
      <c r="AU297" s="152">
        <f>IF($B297=1,$E$43,IF(N(Vintage_Input!O248)&gt;0,IFERROR(Vintage_Input!BC248/$C297,""),""))</f>
        <v/>
      </c>
      <c r="AV297" s="152">
        <f>IF($B297=1,$F$43,IF(N(Vintage_Input!P248)&gt;0,IFERROR(Vintage_Input!BD248/$C297,""),""))</f>
        <v/>
      </c>
      <c r="AW297" s="152">
        <f>IF($B297=1,$G$43,IF(N(Vintage_Input!Q248)&gt;0,IFERROR(Vintage_Input!BE248/$C297,""),""))</f>
        <v/>
      </c>
      <c r="AX297" s="152">
        <f>IF($B297=1,$H$43,IF(N(Vintage_Input!R248)&gt;0,IFERROR(Vintage_Input!BF248/$C297,""),""))</f>
        <v/>
      </c>
      <c r="AY297" s="152">
        <f>IF($B297=1,$I$43,IF(N(Vintage_Input!S248)&gt;0,IFERROR(Vintage_Input!BG248/$C297,""),""))</f>
        <v/>
      </c>
      <c r="AZ297" s="153">
        <f>IF($B297=1,$B$44,IF(N(Vintage_Input!L248)&gt;0,IFERROR((Vintage_Input!D248+Vintage_Input!AR248)/$C297+Products!$F$14-(Products!$F$43+Products!$F$19+Products!$F$43*Products!$F$22+Products!$F$44),""),""))</f>
        <v/>
      </c>
      <c r="BA297" s="153">
        <f>IF($B297=1,$C$44,IF(N(Vintage_Input!M248)&gt;0,IFERROR((Vintage_Input!E248+Vintage_Input!AS248)/$C297+Products!$F$14-(Products!$F$43+Products!$F$19+Products!$F$43*Products!$F$22+Products!$F$44),""),""))</f>
        <v/>
      </c>
      <c r="BB297" s="153">
        <f>IF($B297=1,$D$44,IF(N(Vintage_Input!N248)&gt;0,IFERROR((Vintage_Input!F248+Vintage_Input!AT248)/$C297+Products!$F$14-(Products!$F$43+Products!$F$19+Products!$F$43*Products!$F$22+Products!$F$44),""),""))</f>
        <v/>
      </c>
      <c r="BC297" s="153">
        <f>IF($B297=1,$E$44,IF(N(Vintage_Input!O248)&gt;0,IFERROR((Vintage_Input!G248+Vintage_Input!AU248)/$C297+Products!$F$14-(Products!$F$43+Products!$F$19+Products!$F$43*Products!$F$22+Products!$F$44),""),""))</f>
        <v/>
      </c>
      <c r="BD297" s="153">
        <f>IF($B297=1,$F$44,IF(N(Vintage_Input!P248)&gt;0,IFERROR((Vintage_Input!H248+Vintage_Input!AV248)/$C297+Products!$F$14-(Products!$F$43+Products!$F$19+Products!$F$43*Products!$F$22+Products!$F$44),""),""))</f>
        <v/>
      </c>
      <c r="BE297" s="153">
        <f>IF($B297=1,$G$44,IF(N(Vintage_Input!Q248)&gt;0,IFERROR((Vintage_Input!I248+Vintage_Input!AW248)/$C297+Products!$F$14-(Products!$F$43+Products!$F$19+Products!$F$43*Products!$F$22+Products!$F$44),""),""))</f>
        <v/>
      </c>
      <c r="BF297" s="153">
        <f>IF($B297=1,$H$44,IF(N(Vintage_Input!R248)&gt;0,IFERROR((Vintage_Input!J248+Vintage_Input!AX248)/$C297+Products!$F$14-(Products!$F$43+Products!$F$19+Products!$F$43*Products!$F$22+Products!$F$44),""),""))</f>
        <v/>
      </c>
      <c r="BG297" s="153">
        <f>IF($B297=1,$I$44,IF(N(Vintage_Input!S248)&gt;0,IFERROR((Vintage_Input!K248+Vintage_Input!AY248)/$C297+Products!$F$14-(Products!$F$43+Products!$F$19+Products!$F$43*Products!$F$22+Products!$F$44),""),""))</f>
        <v/>
      </c>
      <c r="BH297" s="81">
        <f>IF($B297=1,0,IF(Vintage_Input!$BH$248="","",Vintage_Input!$BH$248))</f>
        <v/>
      </c>
    </row>
    <row r="298">
      <c r="A298" s="23" t="n">
        <v>46</v>
      </c>
      <c r="B298" s="48">
        <f>Vintage_Input!$B$249</f>
        <v/>
      </c>
      <c r="C298" s="41">
        <f>IF(Vintage_Input!$C$249="",0,Vintage_Input!$C$249)</f>
        <v/>
      </c>
      <c r="D298" s="152">
        <f>IF($B298=1,$B$38,IF(N(Vintage_Input!L249)&gt;0,Vintage_Input!D249/Vintage_Input!L249,""))</f>
        <v/>
      </c>
      <c r="E298" s="152">
        <f>IF($B298=1,$C$38,IF(N(Vintage_Input!M249)&gt;0,Vintage_Input!E249/Vintage_Input!M249,""))</f>
        <v/>
      </c>
      <c r="F298" s="152">
        <f>IF($B298=1,$D$38,IF(N(Vintage_Input!N249)&gt;0,Vintage_Input!F249/Vintage_Input!N249,""))</f>
        <v/>
      </c>
      <c r="G298" s="152">
        <f>IF($B298=1,$E$38,IF(N(Vintage_Input!O249)&gt;0,Vintage_Input!G249/Vintage_Input!O249,""))</f>
        <v/>
      </c>
      <c r="H298" s="152">
        <f>IF($B298=1,$F$38,IF(N(Vintage_Input!P249)&gt;0,Vintage_Input!H249/Vintage_Input!P249,""))</f>
        <v/>
      </c>
      <c r="I298" s="152">
        <f>IF($B298=1,$G$38,IF(N(Vintage_Input!Q249)&gt;0,Vintage_Input!I249/Vintage_Input!Q249,""))</f>
        <v/>
      </c>
      <c r="J298" s="152">
        <f>IF($B298=1,$H$38,IF(N(Vintage_Input!R249)&gt;0,Vintage_Input!J249/Vintage_Input!R249,""))</f>
        <v/>
      </c>
      <c r="K298" s="152">
        <f>IF($B298=1,$I$38,IF(N(Vintage_Input!S249)&gt;0,Vintage_Input!K249/Vintage_Input!S249,""))</f>
        <v/>
      </c>
      <c r="L298" s="152">
        <f>IF($B298=1,$B$39,IF(N(Vintage_Input!L249)&gt;0,Vintage_Input!T249/Vintage_Input!L249,""))</f>
        <v/>
      </c>
      <c r="M298" s="152">
        <f>IF($B298=1,$C$39,IF(N(Vintage_Input!M249)&gt;0,Vintage_Input!U249/Vintage_Input!M249,""))</f>
        <v/>
      </c>
      <c r="N298" s="152">
        <f>IF($B298=1,$D$39,IF(N(Vintage_Input!N249)&gt;0,Vintage_Input!V249/Vintage_Input!N249,""))</f>
        <v/>
      </c>
      <c r="O298" s="152">
        <f>IF($B298=1,$E$39,IF(N(Vintage_Input!O249)&gt;0,Vintage_Input!W249/Vintage_Input!O249,""))</f>
        <v/>
      </c>
      <c r="P298" s="152">
        <f>IF($B298=1,$F$39,IF(N(Vintage_Input!P249)&gt;0,Vintage_Input!X249/Vintage_Input!P249,""))</f>
        <v/>
      </c>
      <c r="Q298" s="152">
        <f>IF($B298=1,$G$39,IF(N(Vintage_Input!Q249)&gt;0,Vintage_Input!Y249/Vintage_Input!Q249,""))</f>
        <v/>
      </c>
      <c r="R298" s="152">
        <f>IF($B298=1,$H$39,IF(N(Vintage_Input!R249)&gt;0,Vintage_Input!Z249/Vintage_Input!R249,""))</f>
        <v/>
      </c>
      <c r="S298" s="152">
        <f>IF($B298=1,$I$39,IF(N(Vintage_Input!S249)&gt;0,Vintage_Input!AA249/Vintage_Input!S249,""))</f>
        <v/>
      </c>
      <c r="T298" s="152">
        <f>IF($B298=1,$B$40,IF(N(Vintage_Input!L249)&gt;0,Vintage_Input!AB249/Vintage_Input!L249,""))</f>
        <v/>
      </c>
      <c r="U298" s="152">
        <f>IF($B298=1,$C$40,IF(N(Vintage_Input!M249)&gt;0,Vintage_Input!AC249/Vintage_Input!M249,""))</f>
        <v/>
      </c>
      <c r="V298" s="152">
        <f>IF($B298=1,$D$40,IF(N(Vintage_Input!N249)&gt;0,Vintage_Input!AD249/Vintage_Input!N249,""))</f>
        <v/>
      </c>
      <c r="W298" s="152">
        <f>IF($B298=1,$E$40,IF(N(Vintage_Input!O249)&gt;0,Vintage_Input!AE249/Vintage_Input!O249,""))</f>
        <v/>
      </c>
      <c r="X298" s="152">
        <f>IF($B298=1,$F$40,IF(N(Vintage_Input!P249)&gt;0,Vintage_Input!AF249/Vintage_Input!P249,""))</f>
        <v/>
      </c>
      <c r="Y298" s="152">
        <f>IF($B298=1,$G$40,IF(N(Vintage_Input!Q249)&gt;0,Vintage_Input!AG249/Vintage_Input!Q249,""))</f>
        <v/>
      </c>
      <c r="Z298" s="152">
        <f>IF($B298=1,$H$40,IF(N(Vintage_Input!R249)&gt;0,Vintage_Input!AH249/Vintage_Input!R249,""))</f>
        <v/>
      </c>
      <c r="AA298" s="152">
        <f>IF($B298=1,$I$40,IF(N(Vintage_Input!S249)&gt;0,Vintage_Input!AI249/Vintage_Input!S249,""))</f>
        <v/>
      </c>
      <c r="AB298" s="152">
        <f>IF($B298=1,$B$41,IF(N(Vintage_Input!L249)&gt;0,Vintage_Input!AJ249/Vintage_Input!L249,""))</f>
        <v/>
      </c>
      <c r="AC298" s="152">
        <f>IF($B298=1,$C$41,IF(N(Vintage_Input!M249)&gt;0,Vintage_Input!AK249/Vintage_Input!M249,""))</f>
        <v/>
      </c>
      <c r="AD298" s="152">
        <f>IF($B298=1,$D$41,IF(N(Vintage_Input!N249)&gt;0,Vintage_Input!AL249/Vintage_Input!N249,""))</f>
        <v/>
      </c>
      <c r="AE298" s="152">
        <f>IF($B298=1,$E$41,IF(N(Vintage_Input!O249)&gt;0,Vintage_Input!AM249/Vintage_Input!O249,""))</f>
        <v/>
      </c>
      <c r="AF298" s="152">
        <f>IF($B298=1,$F$41,IF(N(Vintage_Input!P249)&gt;0,Vintage_Input!AN249/Vintage_Input!P249,""))</f>
        <v/>
      </c>
      <c r="AG298" s="152">
        <f>IF($B298=1,$G$41,IF(N(Vintage_Input!Q249)&gt;0,Vintage_Input!AO249/Vintage_Input!Q249,""))</f>
        <v/>
      </c>
      <c r="AH298" s="152">
        <f>IF($B298=1,$H$41,IF(N(Vintage_Input!R249)&gt;0,Vintage_Input!AP249/Vintage_Input!R249,""))</f>
        <v/>
      </c>
      <c r="AI298" s="152">
        <f>IF($B298=1,$I$41,IF(N(Vintage_Input!S249)&gt;0,Vintage_Input!AQ249/Vintage_Input!S249,""))</f>
        <v/>
      </c>
      <c r="AJ298" s="152">
        <f>IF($B298=1,$B$42,IF(N(Vintage_Input!L249)&gt;0,IFERROR(Vintage_Input!AR249/Vintage_Input!AJ249,""),""))</f>
        <v/>
      </c>
      <c r="AK298" s="152">
        <f>IF($B298=1,$C$42,IF(N(Vintage_Input!M249)&gt;0,IFERROR(Vintage_Input!AS249/Vintage_Input!AK249,""),""))</f>
        <v/>
      </c>
      <c r="AL298" s="152">
        <f>IF($B298=1,$D$42,IF(N(Vintage_Input!N249)&gt;0,IFERROR(Vintage_Input!AT249/Vintage_Input!AL249,""),""))</f>
        <v/>
      </c>
      <c r="AM298" s="152">
        <f>IF($B298=1,$E$42,IF(N(Vintage_Input!O249)&gt;0,IFERROR(Vintage_Input!AU249/Vintage_Input!AM249,""),""))</f>
        <v/>
      </c>
      <c r="AN298" s="152">
        <f>IF($B298=1,$F$42,IF(N(Vintage_Input!P249)&gt;0,IFERROR(Vintage_Input!AV249/Vintage_Input!AN249,""),""))</f>
        <v/>
      </c>
      <c r="AO298" s="152">
        <f>IF($B298=1,$G$42,IF(N(Vintage_Input!Q249)&gt;0,IFERROR(Vintage_Input!AW249/Vintage_Input!AO249,""),""))</f>
        <v/>
      </c>
      <c r="AP298" s="152">
        <f>IF($B298=1,$H$42,IF(N(Vintage_Input!R249)&gt;0,IFERROR(Vintage_Input!AX249/Vintage_Input!AP249,""),""))</f>
        <v/>
      </c>
      <c r="AQ298" s="152">
        <f>IF($B298=1,$I$42,IF(N(Vintage_Input!S249)&gt;0,IFERROR(Vintage_Input!AY249/Vintage_Input!AQ249,""),""))</f>
        <v/>
      </c>
      <c r="AR298" s="152">
        <f>IF($B298=1,$B$43,IF(N(Vintage_Input!L249)&gt;0,IFERROR(Vintage_Input!AZ249/$C298,""),""))</f>
        <v/>
      </c>
      <c r="AS298" s="152">
        <f>IF($B298=1,$C$43,IF(N(Vintage_Input!M249)&gt;0,IFERROR(Vintage_Input!BA249/$C298,""),""))</f>
        <v/>
      </c>
      <c r="AT298" s="152">
        <f>IF($B298=1,$D$43,IF(N(Vintage_Input!N249)&gt;0,IFERROR(Vintage_Input!BB249/$C298,""),""))</f>
        <v/>
      </c>
      <c r="AU298" s="152">
        <f>IF($B298=1,$E$43,IF(N(Vintage_Input!O249)&gt;0,IFERROR(Vintage_Input!BC249/$C298,""),""))</f>
        <v/>
      </c>
      <c r="AV298" s="152">
        <f>IF($B298=1,$F$43,IF(N(Vintage_Input!P249)&gt;0,IFERROR(Vintage_Input!BD249/$C298,""),""))</f>
        <v/>
      </c>
      <c r="AW298" s="152">
        <f>IF($B298=1,$G$43,IF(N(Vintage_Input!Q249)&gt;0,IFERROR(Vintage_Input!BE249/$C298,""),""))</f>
        <v/>
      </c>
      <c r="AX298" s="152">
        <f>IF($B298=1,$H$43,IF(N(Vintage_Input!R249)&gt;0,IFERROR(Vintage_Input!BF249/$C298,""),""))</f>
        <v/>
      </c>
      <c r="AY298" s="152">
        <f>IF($B298=1,$I$43,IF(N(Vintage_Input!S249)&gt;0,IFERROR(Vintage_Input!BG249/$C298,""),""))</f>
        <v/>
      </c>
      <c r="AZ298" s="153">
        <f>IF($B298=1,$B$44,IF(N(Vintage_Input!L249)&gt;0,IFERROR((Vintage_Input!D249+Vintage_Input!AR249)/$C298+Products!$F$14-(Products!$F$43+Products!$F$19+Products!$F$43*Products!$F$22+Products!$F$44),""),""))</f>
        <v/>
      </c>
      <c r="BA298" s="153">
        <f>IF($B298=1,$C$44,IF(N(Vintage_Input!M249)&gt;0,IFERROR((Vintage_Input!E249+Vintage_Input!AS249)/$C298+Products!$F$14-(Products!$F$43+Products!$F$19+Products!$F$43*Products!$F$22+Products!$F$44),""),""))</f>
        <v/>
      </c>
      <c r="BB298" s="153">
        <f>IF($B298=1,$D$44,IF(N(Vintage_Input!N249)&gt;0,IFERROR((Vintage_Input!F249+Vintage_Input!AT249)/$C298+Products!$F$14-(Products!$F$43+Products!$F$19+Products!$F$43*Products!$F$22+Products!$F$44),""),""))</f>
        <v/>
      </c>
      <c r="BC298" s="153">
        <f>IF($B298=1,$E$44,IF(N(Vintage_Input!O249)&gt;0,IFERROR((Vintage_Input!G249+Vintage_Input!AU249)/$C298+Products!$F$14-(Products!$F$43+Products!$F$19+Products!$F$43*Products!$F$22+Products!$F$44),""),""))</f>
        <v/>
      </c>
      <c r="BD298" s="153">
        <f>IF($B298=1,$F$44,IF(N(Vintage_Input!P249)&gt;0,IFERROR((Vintage_Input!H249+Vintage_Input!AV249)/$C298+Products!$F$14-(Products!$F$43+Products!$F$19+Products!$F$43*Products!$F$22+Products!$F$44),""),""))</f>
        <v/>
      </c>
      <c r="BE298" s="153">
        <f>IF($B298=1,$G$44,IF(N(Vintage_Input!Q249)&gt;0,IFERROR((Vintage_Input!I249+Vintage_Input!AW249)/$C298+Products!$F$14-(Products!$F$43+Products!$F$19+Products!$F$43*Products!$F$22+Products!$F$44),""),""))</f>
        <v/>
      </c>
      <c r="BF298" s="153">
        <f>IF($B298=1,$H$44,IF(N(Vintage_Input!R249)&gt;0,IFERROR((Vintage_Input!J249+Vintage_Input!AX249)/$C298+Products!$F$14-(Products!$F$43+Products!$F$19+Products!$F$43*Products!$F$22+Products!$F$44),""),""))</f>
        <v/>
      </c>
      <c r="BG298" s="153">
        <f>IF($B298=1,$I$44,IF(N(Vintage_Input!S249)&gt;0,IFERROR((Vintage_Input!K249+Vintage_Input!AY249)/$C298+Products!$F$14-(Products!$F$43+Products!$F$19+Products!$F$43*Products!$F$22+Products!$F$44),""),""))</f>
        <v/>
      </c>
      <c r="BH298" s="81">
        <f>IF($B298=1,0,IF(Vintage_Input!$BH$249="","",Vintage_Input!$BH$249))</f>
        <v/>
      </c>
    </row>
    <row r="299">
      <c r="A299" s="23" t="n">
        <v>47</v>
      </c>
      <c r="B299" s="48">
        <f>Vintage_Input!$B$250</f>
        <v/>
      </c>
      <c r="C299" s="41">
        <f>IF(Vintage_Input!$C$250="",0,Vintage_Input!$C$250)</f>
        <v/>
      </c>
      <c r="D299" s="152">
        <f>IF($B299=1,$B$38,IF(N(Vintage_Input!L250)&gt;0,Vintage_Input!D250/Vintage_Input!L250,""))</f>
        <v/>
      </c>
      <c r="E299" s="152">
        <f>IF($B299=1,$C$38,IF(N(Vintage_Input!M250)&gt;0,Vintage_Input!E250/Vintage_Input!M250,""))</f>
        <v/>
      </c>
      <c r="F299" s="152">
        <f>IF($B299=1,$D$38,IF(N(Vintage_Input!N250)&gt;0,Vintage_Input!F250/Vintage_Input!N250,""))</f>
        <v/>
      </c>
      <c r="G299" s="152">
        <f>IF($B299=1,$E$38,IF(N(Vintage_Input!O250)&gt;0,Vintage_Input!G250/Vintage_Input!O250,""))</f>
        <v/>
      </c>
      <c r="H299" s="152">
        <f>IF($B299=1,$F$38,IF(N(Vintage_Input!P250)&gt;0,Vintage_Input!H250/Vintage_Input!P250,""))</f>
        <v/>
      </c>
      <c r="I299" s="152">
        <f>IF($B299=1,$G$38,IF(N(Vintage_Input!Q250)&gt;0,Vintage_Input!I250/Vintage_Input!Q250,""))</f>
        <v/>
      </c>
      <c r="J299" s="152">
        <f>IF($B299=1,$H$38,IF(N(Vintage_Input!R250)&gt;0,Vintage_Input!J250/Vintage_Input!R250,""))</f>
        <v/>
      </c>
      <c r="K299" s="152">
        <f>IF($B299=1,$I$38,IF(N(Vintage_Input!S250)&gt;0,Vintage_Input!K250/Vintage_Input!S250,""))</f>
        <v/>
      </c>
      <c r="L299" s="152">
        <f>IF($B299=1,$B$39,IF(N(Vintage_Input!L250)&gt;0,Vintage_Input!T250/Vintage_Input!L250,""))</f>
        <v/>
      </c>
      <c r="M299" s="152">
        <f>IF($B299=1,$C$39,IF(N(Vintage_Input!M250)&gt;0,Vintage_Input!U250/Vintage_Input!M250,""))</f>
        <v/>
      </c>
      <c r="N299" s="152">
        <f>IF($B299=1,$D$39,IF(N(Vintage_Input!N250)&gt;0,Vintage_Input!V250/Vintage_Input!N250,""))</f>
        <v/>
      </c>
      <c r="O299" s="152">
        <f>IF($B299=1,$E$39,IF(N(Vintage_Input!O250)&gt;0,Vintage_Input!W250/Vintage_Input!O250,""))</f>
        <v/>
      </c>
      <c r="P299" s="152">
        <f>IF($B299=1,$F$39,IF(N(Vintage_Input!P250)&gt;0,Vintage_Input!X250/Vintage_Input!P250,""))</f>
        <v/>
      </c>
      <c r="Q299" s="152">
        <f>IF($B299=1,$G$39,IF(N(Vintage_Input!Q250)&gt;0,Vintage_Input!Y250/Vintage_Input!Q250,""))</f>
        <v/>
      </c>
      <c r="R299" s="152">
        <f>IF($B299=1,$H$39,IF(N(Vintage_Input!R250)&gt;0,Vintage_Input!Z250/Vintage_Input!R250,""))</f>
        <v/>
      </c>
      <c r="S299" s="152">
        <f>IF($B299=1,$I$39,IF(N(Vintage_Input!S250)&gt;0,Vintage_Input!AA250/Vintage_Input!S250,""))</f>
        <v/>
      </c>
      <c r="T299" s="152">
        <f>IF($B299=1,$B$40,IF(N(Vintage_Input!L250)&gt;0,Vintage_Input!AB250/Vintage_Input!L250,""))</f>
        <v/>
      </c>
      <c r="U299" s="152">
        <f>IF($B299=1,$C$40,IF(N(Vintage_Input!M250)&gt;0,Vintage_Input!AC250/Vintage_Input!M250,""))</f>
        <v/>
      </c>
      <c r="V299" s="152">
        <f>IF($B299=1,$D$40,IF(N(Vintage_Input!N250)&gt;0,Vintage_Input!AD250/Vintage_Input!N250,""))</f>
        <v/>
      </c>
      <c r="W299" s="152">
        <f>IF($B299=1,$E$40,IF(N(Vintage_Input!O250)&gt;0,Vintage_Input!AE250/Vintage_Input!O250,""))</f>
        <v/>
      </c>
      <c r="X299" s="152">
        <f>IF($B299=1,$F$40,IF(N(Vintage_Input!P250)&gt;0,Vintage_Input!AF250/Vintage_Input!P250,""))</f>
        <v/>
      </c>
      <c r="Y299" s="152">
        <f>IF($B299=1,$G$40,IF(N(Vintage_Input!Q250)&gt;0,Vintage_Input!AG250/Vintage_Input!Q250,""))</f>
        <v/>
      </c>
      <c r="Z299" s="152">
        <f>IF($B299=1,$H$40,IF(N(Vintage_Input!R250)&gt;0,Vintage_Input!AH250/Vintage_Input!R250,""))</f>
        <v/>
      </c>
      <c r="AA299" s="152">
        <f>IF($B299=1,$I$40,IF(N(Vintage_Input!S250)&gt;0,Vintage_Input!AI250/Vintage_Input!S250,""))</f>
        <v/>
      </c>
      <c r="AB299" s="152">
        <f>IF($B299=1,$B$41,IF(N(Vintage_Input!L250)&gt;0,Vintage_Input!AJ250/Vintage_Input!L250,""))</f>
        <v/>
      </c>
      <c r="AC299" s="152">
        <f>IF($B299=1,$C$41,IF(N(Vintage_Input!M250)&gt;0,Vintage_Input!AK250/Vintage_Input!M250,""))</f>
        <v/>
      </c>
      <c r="AD299" s="152">
        <f>IF($B299=1,$D$41,IF(N(Vintage_Input!N250)&gt;0,Vintage_Input!AL250/Vintage_Input!N250,""))</f>
        <v/>
      </c>
      <c r="AE299" s="152">
        <f>IF($B299=1,$E$41,IF(N(Vintage_Input!O250)&gt;0,Vintage_Input!AM250/Vintage_Input!O250,""))</f>
        <v/>
      </c>
      <c r="AF299" s="152">
        <f>IF($B299=1,$F$41,IF(N(Vintage_Input!P250)&gt;0,Vintage_Input!AN250/Vintage_Input!P250,""))</f>
        <v/>
      </c>
      <c r="AG299" s="152">
        <f>IF($B299=1,$G$41,IF(N(Vintage_Input!Q250)&gt;0,Vintage_Input!AO250/Vintage_Input!Q250,""))</f>
        <v/>
      </c>
      <c r="AH299" s="152">
        <f>IF($B299=1,$H$41,IF(N(Vintage_Input!R250)&gt;0,Vintage_Input!AP250/Vintage_Input!R250,""))</f>
        <v/>
      </c>
      <c r="AI299" s="152">
        <f>IF($B299=1,$I$41,IF(N(Vintage_Input!S250)&gt;0,Vintage_Input!AQ250/Vintage_Input!S250,""))</f>
        <v/>
      </c>
      <c r="AJ299" s="152">
        <f>IF($B299=1,$B$42,IF(N(Vintage_Input!L250)&gt;0,IFERROR(Vintage_Input!AR250/Vintage_Input!AJ250,""),""))</f>
        <v/>
      </c>
      <c r="AK299" s="152">
        <f>IF($B299=1,$C$42,IF(N(Vintage_Input!M250)&gt;0,IFERROR(Vintage_Input!AS250/Vintage_Input!AK250,""),""))</f>
        <v/>
      </c>
      <c r="AL299" s="152">
        <f>IF($B299=1,$D$42,IF(N(Vintage_Input!N250)&gt;0,IFERROR(Vintage_Input!AT250/Vintage_Input!AL250,""),""))</f>
        <v/>
      </c>
      <c r="AM299" s="152">
        <f>IF($B299=1,$E$42,IF(N(Vintage_Input!O250)&gt;0,IFERROR(Vintage_Input!AU250/Vintage_Input!AM250,""),""))</f>
        <v/>
      </c>
      <c r="AN299" s="152">
        <f>IF($B299=1,$F$42,IF(N(Vintage_Input!P250)&gt;0,IFERROR(Vintage_Input!AV250/Vintage_Input!AN250,""),""))</f>
        <v/>
      </c>
      <c r="AO299" s="152">
        <f>IF($B299=1,$G$42,IF(N(Vintage_Input!Q250)&gt;0,IFERROR(Vintage_Input!AW250/Vintage_Input!AO250,""),""))</f>
        <v/>
      </c>
      <c r="AP299" s="152">
        <f>IF($B299=1,$H$42,IF(N(Vintage_Input!R250)&gt;0,IFERROR(Vintage_Input!AX250/Vintage_Input!AP250,""),""))</f>
        <v/>
      </c>
      <c r="AQ299" s="152">
        <f>IF($B299=1,$I$42,IF(N(Vintage_Input!S250)&gt;0,IFERROR(Vintage_Input!AY250/Vintage_Input!AQ250,""),""))</f>
        <v/>
      </c>
      <c r="AR299" s="152">
        <f>IF($B299=1,$B$43,IF(N(Vintage_Input!L250)&gt;0,IFERROR(Vintage_Input!AZ250/$C299,""),""))</f>
        <v/>
      </c>
      <c r="AS299" s="152">
        <f>IF($B299=1,$C$43,IF(N(Vintage_Input!M250)&gt;0,IFERROR(Vintage_Input!BA250/$C299,""),""))</f>
        <v/>
      </c>
      <c r="AT299" s="152">
        <f>IF($B299=1,$D$43,IF(N(Vintage_Input!N250)&gt;0,IFERROR(Vintage_Input!BB250/$C299,""),""))</f>
        <v/>
      </c>
      <c r="AU299" s="152">
        <f>IF($B299=1,$E$43,IF(N(Vintage_Input!O250)&gt;0,IFERROR(Vintage_Input!BC250/$C299,""),""))</f>
        <v/>
      </c>
      <c r="AV299" s="152">
        <f>IF($B299=1,$F$43,IF(N(Vintage_Input!P250)&gt;0,IFERROR(Vintage_Input!BD250/$C299,""),""))</f>
        <v/>
      </c>
      <c r="AW299" s="152">
        <f>IF($B299=1,$G$43,IF(N(Vintage_Input!Q250)&gt;0,IFERROR(Vintage_Input!BE250/$C299,""),""))</f>
        <v/>
      </c>
      <c r="AX299" s="152">
        <f>IF($B299=1,$H$43,IF(N(Vintage_Input!R250)&gt;0,IFERROR(Vintage_Input!BF250/$C299,""),""))</f>
        <v/>
      </c>
      <c r="AY299" s="152">
        <f>IF($B299=1,$I$43,IF(N(Vintage_Input!S250)&gt;0,IFERROR(Vintage_Input!BG250/$C299,""),""))</f>
        <v/>
      </c>
      <c r="AZ299" s="153">
        <f>IF($B299=1,$B$44,IF(N(Vintage_Input!L250)&gt;0,IFERROR((Vintage_Input!D250+Vintage_Input!AR250)/$C299+Products!$F$14-(Products!$F$43+Products!$F$19+Products!$F$43*Products!$F$22+Products!$F$44),""),""))</f>
        <v/>
      </c>
      <c r="BA299" s="153">
        <f>IF($B299=1,$C$44,IF(N(Vintage_Input!M250)&gt;0,IFERROR((Vintage_Input!E250+Vintage_Input!AS250)/$C299+Products!$F$14-(Products!$F$43+Products!$F$19+Products!$F$43*Products!$F$22+Products!$F$44),""),""))</f>
        <v/>
      </c>
      <c r="BB299" s="153">
        <f>IF($B299=1,$D$44,IF(N(Vintage_Input!N250)&gt;0,IFERROR((Vintage_Input!F250+Vintage_Input!AT250)/$C299+Products!$F$14-(Products!$F$43+Products!$F$19+Products!$F$43*Products!$F$22+Products!$F$44),""),""))</f>
        <v/>
      </c>
      <c r="BC299" s="153">
        <f>IF($B299=1,$E$44,IF(N(Vintage_Input!O250)&gt;0,IFERROR((Vintage_Input!G250+Vintage_Input!AU250)/$C299+Products!$F$14-(Products!$F$43+Products!$F$19+Products!$F$43*Products!$F$22+Products!$F$44),""),""))</f>
        <v/>
      </c>
      <c r="BD299" s="153">
        <f>IF($B299=1,$F$44,IF(N(Vintage_Input!P250)&gt;0,IFERROR((Vintage_Input!H250+Vintage_Input!AV250)/$C299+Products!$F$14-(Products!$F$43+Products!$F$19+Products!$F$43*Products!$F$22+Products!$F$44),""),""))</f>
        <v/>
      </c>
      <c r="BE299" s="153">
        <f>IF($B299=1,$G$44,IF(N(Vintage_Input!Q250)&gt;0,IFERROR((Vintage_Input!I250+Vintage_Input!AW250)/$C299+Products!$F$14-(Products!$F$43+Products!$F$19+Products!$F$43*Products!$F$22+Products!$F$44),""),""))</f>
        <v/>
      </c>
      <c r="BF299" s="153">
        <f>IF($B299=1,$H$44,IF(N(Vintage_Input!R250)&gt;0,IFERROR((Vintage_Input!J250+Vintage_Input!AX250)/$C299+Products!$F$14-(Products!$F$43+Products!$F$19+Products!$F$43*Products!$F$22+Products!$F$44),""),""))</f>
        <v/>
      </c>
      <c r="BG299" s="153">
        <f>IF($B299=1,$I$44,IF(N(Vintage_Input!S250)&gt;0,IFERROR((Vintage_Input!K250+Vintage_Input!AY250)/$C299+Products!$F$14-(Products!$F$43+Products!$F$19+Products!$F$43*Products!$F$22+Products!$F$44),""),""))</f>
        <v/>
      </c>
      <c r="BH299" s="81">
        <f>IF($B299=1,0,IF(Vintage_Input!$BH$250="","",Vintage_Input!$BH$250))</f>
        <v/>
      </c>
    </row>
    <row r="300">
      <c r="A300" s="23" t="n">
        <v>48</v>
      </c>
      <c r="B300" s="48">
        <f>Vintage_Input!$B$251</f>
        <v/>
      </c>
      <c r="C300" s="41">
        <f>IF(Vintage_Input!$C$251="",0,Vintage_Input!$C$251)</f>
        <v/>
      </c>
      <c r="D300" s="152">
        <f>IF($B300=1,$B$38,IF(N(Vintage_Input!L251)&gt;0,Vintage_Input!D251/Vintage_Input!L251,""))</f>
        <v/>
      </c>
      <c r="E300" s="152">
        <f>IF($B300=1,$C$38,IF(N(Vintage_Input!M251)&gt;0,Vintage_Input!E251/Vintage_Input!M251,""))</f>
        <v/>
      </c>
      <c r="F300" s="152">
        <f>IF($B300=1,$D$38,IF(N(Vintage_Input!N251)&gt;0,Vintage_Input!F251/Vintage_Input!N251,""))</f>
        <v/>
      </c>
      <c r="G300" s="152">
        <f>IF($B300=1,$E$38,IF(N(Vintage_Input!O251)&gt;0,Vintage_Input!G251/Vintage_Input!O251,""))</f>
        <v/>
      </c>
      <c r="H300" s="152">
        <f>IF($B300=1,$F$38,IF(N(Vintage_Input!P251)&gt;0,Vintage_Input!H251/Vintage_Input!P251,""))</f>
        <v/>
      </c>
      <c r="I300" s="152">
        <f>IF($B300=1,$G$38,IF(N(Vintage_Input!Q251)&gt;0,Vintage_Input!I251/Vintage_Input!Q251,""))</f>
        <v/>
      </c>
      <c r="J300" s="152">
        <f>IF($B300=1,$H$38,IF(N(Vintage_Input!R251)&gt;0,Vintage_Input!J251/Vintage_Input!R251,""))</f>
        <v/>
      </c>
      <c r="K300" s="152">
        <f>IF($B300=1,$I$38,IF(N(Vintage_Input!S251)&gt;0,Vintage_Input!K251/Vintage_Input!S251,""))</f>
        <v/>
      </c>
      <c r="L300" s="152">
        <f>IF($B300=1,$B$39,IF(N(Vintage_Input!L251)&gt;0,Vintage_Input!T251/Vintage_Input!L251,""))</f>
        <v/>
      </c>
      <c r="M300" s="152">
        <f>IF($B300=1,$C$39,IF(N(Vintage_Input!M251)&gt;0,Vintage_Input!U251/Vintage_Input!M251,""))</f>
        <v/>
      </c>
      <c r="N300" s="152">
        <f>IF($B300=1,$D$39,IF(N(Vintage_Input!N251)&gt;0,Vintage_Input!V251/Vintage_Input!N251,""))</f>
        <v/>
      </c>
      <c r="O300" s="152">
        <f>IF($B300=1,$E$39,IF(N(Vintage_Input!O251)&gt;0,Vintage_Input!W251/Vintage_Input!O251,""))</f>
        <v/>
      </c>
      <c r="P300" s="152">
        <f>IF($B300=1,$F$39,IF(N(Vintage_Input!P251)&gt;0,Vintage_Input!X251/Vintage_Input!P251,""))</f>
        <v/>
      </c>
      <c r="Q300" s="152">
        <f>IF($B300=1,$G$39,IF(N(Vintage_Input!Q251)&gt;0,Vintage_Input!Y251/Vintage_Input!Q251,""))</f>
        <v/>
      </c>
      <c r="R300" s="152">
        <f>IF($B300=1,$H$39,IF(N(Vintage_Input!R251)&gt;0,Vintage_Input!Z251/Vintage_Input!R251,""))</f>
        <v/>
      </c>
      <c r="S300" s="152">
        <f>IF($B300=1,$I$39,IF(N(Vintage_Input!S251)&gt;0,Vintage_Input!AA251/Vintage_Input!S251,""))</f>
        <v/>
      </c>
      <c r="T300" s="152">
        <f>IF($B300=1,$B$40,IF(N(Vintage_Input!L251)&gt;0,Vintage_Input!AB251/Vintage_Input!L251,""))</f>
        <v/>
      </c>
      <c r="U300" s="152">
        <f>IF($B300=1,$C$40,IF(N(Vintage_Input!M251)&gt;0,Vintage_Input!AC251/Vintage_Input!M251,""))</f>
        <v/>
      </c>
      <c r="V300" s="152">
        <f>IF($B300=1,$D$40,IF(N(Vintage_Input!N251)&gt;0,Vintage_Input!AD251/Vintage_Input!N251,""))</f>
        <v/>
      </c>
      <c r="W300" s="152">
        <f>IF($B300=1,$E$40,IF(N(Vintage_Input!O251)&gt;0,Vintage_Input!AE251/Vintage_Input!O251,""))</f>
        <v/>
      </c>
      <c r="X300" s="152">
        <f>IF($B300=1,$F$40,IF(N(Vintage_Input!P251)&gt;0,Vintage_Input!AF251/Vintage_Input!P251,""))</f>
        <v/>
      </c>
      <c r="Y300" s="152">
        <f>IF($B300=1,$G$40,IF(N(Vintage_Input!Q251)&gt;0,Vintage_Input!AG251/Vintage_Input!Q251,""))</f>
        <v/>
      </c>
      <c r="Z300" s="152">
        <f>IF($B300=1,$H$40,IF(N(Vintage_Input!R251)&gt;0,Vintage_Input!AH251/Vintage_Input!R251,""))</f>
        <v/>
      </c>
      <c r="AA300" s="152">
        <f>IF($B300=1,$I$40,IF(N(Vintage_Input!S251)&gt;0,Vintage_Input!AI251/Vintage_Input!S251,""))</f>
        <v/>
      </c>
      <c r="AB300" s="152">
        <f>IF($B300=1,$B$41,IF(N(Vintage_Input!L251)&gt;0,Vintage_Input!AJ251/Vintage_Input!L251,""))</f>
        <v/>
      </c>
      <c r="AC300" s="152">
        <f>IF($B300=1,$C$41,IF(N(Vintage_Input!M251)&gt;0,Vintage_Input!AK251/Vintage_Input!M251,""))</f>
        <v/>
      </c>
      <c r="AD300" s="152">
        <f>IF($B300=1,$D$41,IF(N(Vintage_Input!N251)&gt;0,Vintage_Input!AL251/Vintage_Input!N251,""))</f>
        <v/>
      </c>
      <c r="AE300" s="152">
        <f>IF($B300=1,$E$41,IF(N(Vintage_Input!O251)&gt;0,Vintage_Input!AM251/Vintage_Input!O251,""))</f>
        <v/>
      </c>
      <c r="AF300" s="152">
        <f>IF($B300=1,$F$41,IF(N(Vintage_Input!P251)&gt;0,Vintage_Input!AN251/Vintage_Input!P251,""))</f>
        <v/>
      </c>
      <c r="AG300" s="152">
        <f>IF($B300=1,$G$41,IF(N(Vintage_Input!Q251)&gt;0,Vintage_Input!AO251/Vintage_Input!Q251,""))</f>
        <v/>
      </c>
      <c r="AH300" s="152">
        <f>IF($B300=1,$H$41,IF(N(Vintage_Input!R251)&gt;0,Vintage_Input!AP251/Vintage_Input!R251,""))</f>
        <v/>
      </c>
      <c r="AI300" s="152">
        <f>IF($B300=1,$I$41,IF(N(Vintage_Input!S251)&gt;0,Vintage_Input!AQ251/Vintage_Input!S251,""))</f>
        <v/>
      </c>
      <c r="AJ300" s="152">
        <f>IF($B300=1,$B$42,IF(N(Vintage_Input!L251)&gt;0,IFERROR(Vintage_Input!AR251/Vintage_Input!AJ251,""),""))</f>
        <v/>
      </c>
      <c r="AK300" s="152">
        <f>IF($B300=1,$C$42,IF(N(Vintage_Input!M251)&gt;0,IFERROR(Vintage_Input!AS251/Vintage_Input!AK251,""),""))</f>
        <v/>
      </c>
      <c r="AL300" s="152">
        <f>IF($B300=1,$D$42,IF(N(Vintage_Input!N251)&gt;0,IFERROR(Vintage_Input!AT251/Vintage_Input!AL251,""),""))</f>
        <v/>
      </c>
      <c r="AM300" s="152">
        <f>IF($B300=1,$E$42,IF(N(Vintage_Input!O251)&gt;0,IFERROR(Vintage_Input!AU251/Vintage_Input!AM251,""),""))</f>
        <v/>
      </c>
      <c r="AN300" s="152">
        <f>IF($B300=1,$F$42,IF(N(Vintage_Input!P251)&gt;0,IFERROR(Vintage_Input!AV251/Vintage_Input!AN251,""),""))</f>
        <v/>
      </c>
      <c r="AO300" s="152">
        <f>IF($B300=1,$G$42,IF(N(Vintage_Input!Q251)&gt;0,IFERROR(Vintage_Input!AW251/Vintage_Input!AO251,""),""))</f>
        <v/>
      </c>
      <c r="AP300" s="152">
        <f>IF($B300=1,$H$42,IF(N(Vintage_Input!R251)&gt;0,IFERROR(Vintage_Input!AX251/Vintage_Input!AP251,""),""))</f>
        <v/>
      </c>
      <c r="AQ300" s="152">
        <f>IF($B300=1,$I$42,IF(N(Vintage_Input!S251)&gt;0,IFERROR(Vintage_Input!AY251/Vintage_Input!AQ251,""),""))</f>
        <v/>
      </c>
      <c r="AR300" s="152">
        <f>IF($B300=1,$B$43,IF(N(Vintage_Input!L251)&gt;0,IFERROR(Vintage_Input!AZ251/$C300,""),""))</f>
        <v/>
      </c>
      <c r="AS300" s="152">
        <f>IF($B300=1,$C$43,IF(N(Vintage_Input!M251)&gt;0,IFERROR(Vintage_Input!BA251/$C300,""),""))</f>
        <v/>
      </c>
      <c r="AT300" s="152">
        <f>IF($B300=1,$D$43,IF(N(Vintage_Input!N251)&gt;0,IFERROR(Vintage_Input!BB251/$C300,""),""))</f>
        <v/>
      </c>
      <c r="AU300" s="152">
        <f>IF($B300=1,$E$43,IF(N(Vintage_Input!O251)&gt;0,IFERROR(Vintage_Input!BC251/$C300,""),""))</f>
        <v/>
      </c>
      <c r="AV300" s="152">
        <f>IF($B300=1,$F$43,IF(N(Vintage_Input!P251)&gt;0,IFERROR(Vintage_Input!BD251/$C300,""),""))</f>
        <v/>
      </c>
      <c r="AW300" s="152">
        <f>IF($B300=1,$G$43,IF(N(Vintage_Input!Q251)&gt;0,IFERROR(Vintage_Input!BE251/$C300,""),""))</f>
        <v/>
      </c>
      <c r="AX300" s="152">
        <f>IF($B300=1,$H$43,IF(N(Vintage_Input!R251)&gt;0,IFERROR(Vintage_Input!BF251/$C300,""),""))</f>
        <v/>
      </c>
      <c r="AY300" s="152">
        <f>IF($B300=1,$I$43,IF(N(Vintage_Input!S251)&gt;0,IFERROR(Vintage_Input!BG251/$C300,""),""))</f>
        <v/>
      </c>
      <c r="AZ300" s="153">
        <f>IF($B300=1,$B$44,IF(N(Vintage_Input!L251)&gt;0,IFERROR((Vintage_Input!D251+Vintage_Input!AR251)/$C300+Products!$F$14-(Products!$F$43+Products!$F$19+Products!$F$43*Products!$F$22+Products!$F$44),""),""))</f>
        <v/>
      </c>
      <c r="BA300" s="153">
        <f>IF($B300=1,$C$44,IF(N(Vintage_Input!M251)&gt;0,IFERROR((Vintage_Input!E251+Vintage_Input!AS251)/$C300+Products!$F$14-(Products!$F$43+Products!$F$19+Products!$F$43*Products!$F$22+Products!$F$44),""),""))</f>
        <v/>
      </c>
      <c r="BB300" s="153">
        <f>IF($B300=1,$D$44,IF(N(Vintage_Input!N251)&gt;0,IFERROR((Vintage_Input!F251+Vintage_Input!AT251)/$C300+Products!$F$14-(Products!$F$43+Products!$F$19+Products!$F$43*Products!$F$22+Products!$F$44),""),""))</f>
        <v/>
      </c>
      <c r="BC300" s="153">
        <f>IF($B300=1,$E$44,IF(N(Vintage_Input!O251)&gt;0,IFERROR((Vintage_Input!G251+Vintage_Input!AU251)/$C300+Products!$F$14-(Products!$F$43+Products!$F$19+Products!$F$43*Products!$F$22+Products!$F$44),""),""))</f>
        <v/>
      </c>
      <c r="BD300" s="153">
        <f>IF($B300=1,$F$44,IF(N(Vintage_Input!P251)&gt;0,IFERROR((Vintage_Input!H251+Vintage_Input!AV251)/$C300+Products!$F$14-(Products!$F$43+Products!$F$19+Products!$F$43*Products!$F$22+Products!$F$44),""),""))</f>
        <v/>
      </c>
      <c r="BE300" s="153">
        <f>IF($B300=1,$G$44,IF(N(Vintage_Input!Q251)&gt;0,IFERROR((Vintage_Input!I251+Vintage_Input!AW251)/$C300+Products!$F$14-(Products!$F$43+Products!$F$19+Products!$F$43*Products!$F$22+Products!$F$44),""),""))</f>
        <v/>
      </c>
      <c r="BF300" s="153">
        <f>IF($B300=1,$H$44,IF(N(Vintage_Input!R251)&gt;0,IFERROR((Vintage_Input!J251+Vintage_Input!AX251)/$C300+Products!$F$14-(Products!$F$43+Products!$F$19+Products!$F$43*Products!$F$22+Products!$F$44),""),""))</f>
        <v/>
      </c>
      <c r="BG300" s="153">
        <f>IF($B300=1,$I$44,IF(N(Vintage_Input!S251)&gt;0,IFERROR((Vintage_Input!K251+Vintage_Input!AY251)/$C300+Products!$F$14-(Products!$F$43+Products!$F$19+Products!$F$43*Products!$F$22+Products!$F$44),""),""))</f>
        <v/>
      </c>
      <c r="BH300" s="81">
        <f>IF($B300=1,0,IF(Vintage_Input!$BH$251="","",Vintage_Input!$BH$251))</f>
        <v/>
      </c>
    </row>
    <row r="301">
      <c r="A301" s="23" t="n">
        <v>49</v>
      </c>
      <c r="B301" s="48">
        <f>Vintage_Input!$B$252</f>
        <v/>
      </c>
      <c r="C301" s="41">
        <f>IF(Vintage_Input!$C$252="",0,Vintage_Input!$C$252)</f>
        <v/>
      </c>
      <c r="D301" s="152">
        <f>IF($B301=1,$B$38,IF(N(Vintage_Input!L252)&gt;0,Vintage_Input!D252/Vintage_Input!L252,""))</f>
        <v/>
      </c>
      <c r="E301" s="152">
        <f>IF($B301=1,$C$38,IF(N(Vintage_Input!M252)&gt;0,Vintage_Input!E252/Vintage_Input!M252,""))</f>
        <v/>
      </c>
      <c r="F301" s="152">
        <f>IF($B301=1,$D$38,IF(N(Vintage_Input!N252)&gt;0,Vintage_Input!F252/Vintage_Input!N252,""))</f>
        <v/>
      </c>
      <c r="G301" s="152">
        <f>IF($B301=1,$E$38,IF(N(Vintage_Input!O252)&gt;0,Vintage_Input!G252/Vintage_Input!O252,""))</f>
        <v/>
      </c>
      <c r="H301" s="152">
        <f>IF($B301=1,$F$38,IF(N(Vintage_Input!P252)&gt;0,Vintage_Input!H252/Vintage_Input!P252,""))</f>
        <v/>
      </c>
      <c r="I301" s="152">
        <f>IF($B301=1,$G$38,IF(N(Vintage_Input!Q252)&gt;0,Vintage_Input!I252/Vintage_Input!Q252,""))</f>
        <v/>
      </c>
      <c r="J301" s="152">
        <f>IF($B301=1,$H$38,IF(N(Vintage_Input!R252)&gt;0,Vintage_Input!J252/Vintage_Input!R252,""))</f>
        <v/>
      </c>
      <c r="K301" s="152">
        <f>IF($B301=1,$I$38,IF(N(Vintage_Input!S252)&gt;0,Vintage_Input!K252/Vintage_Input!S252,""))</f>
        <v/>
      </c>
      <c r="L301" s="152">
        <f>IF($B301=1,$B$39,IF(N(Vintage_Input!L252)&gt;0,Vintage_Input!T252/Vintage_Input!L252,""))</f>
        <v/>
      </c>
      <c r="M301" s="152">
        <f>IF($B301=1,$C$39,IF(N(Vintage_Input!M252)&gt;0,Vintage_Input!U252/Vintage_Input!M252,""))</f>
        <v/>
      </c>
      <c r="N301" s="152">
        <f>IF($B301=1,$D$39,IF(N(Vintage_Input!N252)&gt;0,Vintage_Input!V252/Vintage_Input!N252,""))</f>
        <v/>
      </c>
      <c r="O301" s="152">
        <f>IF($B301=1,$E$39,IF(N(Vintage_Input!O252)&gt;0,Vintage_Input!W252/Vintage_Input!O252,""))</f>
        <v/>
      </c>
      <c r="P301" s="152">
        <f>IF($B301=1,$F$39,IF(N(Vintage_Input!P252)&gt;0,Vintage_Input!X252/Vintage_Input!P252,""))</f>
        <v/>
      </c>
      <c r="Q301" s="152">
        <f>IF($B301=1,$G$39,IF(N(Vintage_Input!Q252)&gt;0,Vintage_Input!Y252/Vintage_Input!Q252,""))</f>
        <v/>
      </c>
      <c r="R301" s="152">
        <f>IF($B301=1,$H$39,IF(N(Vintage_Input!R252)&gt;0,Vintage_Input!Z252/Vintage_Input!R252,""))</f>
        <v/>
      </c>
      <c r="S301" s="152">
        <f>IF($B301=1,$I$39,IF(N(Vintage_Input!S252)&gt;0,Vintage_Input!AA252/Vintage_Input!S252,""))</f>
        <v/>
      </c>
      <c r="T301" s="152">
        <f>IF($B301=1,$B$40,IF(N(Vintage_Input!L252)&gt;0,Vintage_Input!AB252/Vintage_Input!L252,""))</f>
        <v/>
      </c>
      <c r="U301" s="152">
        <f>IF($B301=1,$C$40,IF(N(Vintage_Input!M252)&gt;0,Vintage_Input!AC252/Vintage_Input!M252,""))</f>
        <v/>
      </c>
      <c r="V301" s="152">
        <f>IF($B301=1,$D$40,IF(N(Vintage_Input!N252)&gt;0,Vintage_Input!AD252/Vintage_Input!N252,""))</f>
        <v/>
      </c>
      <c r="W301" s="152">
        <f>IF($B301=1,$E$40,IF(N(Vintage_Input!O252)&gt;0,Vintage_Input!AE252/Vintage_Input!O252,""))</f>
        <v/>
      </c>
      <c r="X301" s="152">
        <f>IF($B301=1,$F$40,IF(N(Vintage_Input!P252)&gt;0,Vintage_Input!AF252/Vintage_Input!P252,""))</f>
        <v/>
      </c>
      <c r="Y301" s="152">
        <f>IF($B301=1,$G$40,IF(N(Vintage_Input!Q252)&gt;0,Vintage_Input!AG252/Vintage_Input!Q252,""))</f>
        <v/>
      </c>
      <c r="Z301" s="152">
        <f>IF($B301=1,$H$40,IF(N(Vintage_Input!R252)&gt;0,Vintage_Input!AH252/Vintage_Input!R252,""))</f>
        <v/>
      </c>
      <c r="AA301" s="152">
        <f>IF($B301=1,$I$40,IF(N(Vintage_Input!S252)&gt;0,Vintage_Input!AI252/Vintage_Input!S252,""))</f>
        <v/>
      </c>
      <c r="AB301" s="152">
        <f>IF($B301=1,$B$41,IF(N(Vintage_Input!L252)&gt;0,Vintage_Input!AJ252/Vintage_Input!L252,""))</f>
        <v/>
      </c>
      <c r="AC301" s="152">
        <f>IF($B301=1,$C$41,IF(N(Vintage_Input!M252)&gt;0,Vintage_Input!AK252/Vintage_Input!M252,""))</f>
        <v/>
      </c>
      <c r="AD301" s="152">
        <f>IF($B301=1,$D$41,IF(N(Vintage_Input!N252)&gt;0,Vintage_Input!AL252/Vintage_Input!N252,""))</f>
        <v/>
      </c>
      <c r="AE301" s="152">
        <f>IF($B301=1,$E$41,IF(N(Vintage_Input!O252)&gt;0,Vintage_Input!AM252/Vintage_Input!O252,""))</f>
        <v/>
      </c>
      <c r="AF301" s="152">
        <f>IF($B301=1,$F$41,IF(N(Vintage_Input!P252)&gt;0,Vintage_Input!AN252/Vintage_Input!P252,""))</f>
        <v/>
      </c>
      <c r="AG301" s="152">
        <f>IF($B301=1,$G$41,IF(N(Vintage_Input!Q252)&gt;0,Vintage_Input!AO252/Vintage_Input!Q252,""))</f>
        <v/>
      </c>
      <c r="AH301" s="152">
        <f>IF($B301=1,$H$41,IF(N(Vintage_Input!R252)&gt;0,Vintage_Input!AP252/Vintage_Input!R252,""))</f>
        <v/>
      </c>
      <c r="AI301" s="152">
        <f>IF($B301=1,$I$41,IF(N(Vintage_Input!S252)&gt;0,Vintage_Input!AQ252/Vintage_Input!S252,""))</f>
        <v/>
      </c>
      <c r="AJ301" s="152">
        <f>IF($B301=1,$B$42,IF(N(Vintage_Input!L252)&gt;0,IFERROR(Vintage_Input!AR252/Vintage_Input!AJ252,""),""))</f>
        <v/>
      </c>
      <c r="AK301" s="152">
        <f>IF($B301=1,$C$42,IF(N(Vintage_Input!M252)&gt;0,IFERROR(Vintage_Input!AS252/Vintage_Input!AK252,""),""))</f>
        <v/>
      </c>
      <c r="AL301" s="152">
        <f>IF($B301=1,$D$42,IF(N(Vintage_Input!N252)&gt;0,IFERROR(Vintage_Input!AT252/Vintage_Input!AL252,""),""))</f>
        <v/>
      </c>
      <c r="AM301" s="152">
        <f>IF($B301=1,$E$42,IF(N(Vintage_Input!O252)&gt;0,IFERROR(Vintage_Input!AU252/Vintage_Input!AM252,""),""))</f>
        <v/>
      </c>
      <c r="AN301" s="152">
        <f>IF($B301=1,$F$42,IF(N(Vintage_Input!P252)&gt;0,IFERROR(Vintage_Input!AV252/Vintage_Input!AN252,""),""))</f>
        <v/>
      </c>
      <c r="AO301" s="152">
        <f>IF($B301=1,$G$42,IF(N(Vintage_Input!Q252)&gt;0,IFERROR(Vintage_Input!AW252/Vintage_Input!AO252,""),""))</f>
        <v/>
      </c>
      <c r="AP301" s="152">
        <f>IF($B301=1,$H$42,IF(N(Vintage_Input!R252)&gt;0,IFERROR(Vintage_Input!AX252/Vintage_Input!AP252,""),""))</f>
        <v/>
      </c>
      <c r="AQ301" s="152">
        <f>IF($B301=1,$I$42,IF(N(Vintage_Input!S252)&gt;0,IFERROR(Vintage_Input!AY252/Vintage_Input!AQ252,""),""))</f>
        <v/>
      </c>
      <c r="AR301" s="152">
        <f>IF($B301=1,$B$43,IF(N(Vintage_Input!L252)&gt;0,IFERROR(Vintage_Input!AZ252/$C301,""),""))</f>
        <v/>
      </c>
      <c r="AS301" s="152">
        <f>IF($B301=1,$C$43,IF(N(Vintage_Input!M252)&gt;0,IFERROR(Vintage_Input!BA252/$C301,""),""))</f>
        <v/>
      </c>
      <c r="AT301" s="152">
        <f>IF($B301=1,$D$43,IF(N(Vintage_Input!N252)&gt;0,IFERROR(Vintage_Input!BB252/$C301,""),""))</f>
        <v/>
      </c>
      <c r="AU301" s="152">
        <f>IF($B301=1,$E$43,IF(N(Vintage_Input!O252)&gt;0,IFERROR(Vintage_Input!BC252/$C301,""),""))</f>
        <v/>
      </c>
      <c r="AV301" s="152">
        <f>IF($B301=1,$F$43,IF(N(Vintage_Input!P252)&gt;0,IFERROR(Vintage_Input!BD252/$C301,""),""))</f>
        <v/>
      </c>
      <c r="AW301" s="152">
        <f>IF($B301=1,$G$43,IF(N(Vintage_Input!Q252)&gt;0,IFERROR(Vintage_Input!BE252/$C301,""),""))</f>
        <v/>
      </c>
      <c r="AX301" s="152">
        <f>IF($B301=1,$H$43,IF(N(Vintage_Input!R252)&gt;0,IFERROR(Vintage_Input!BF252/$C301,""),""))</f>
        <v/>
      </c>
      <c r="AY301" s="152">
        <f>IF($B301=1,$I$43,IF(N(Vintage_Input!S252)&gt;0,IFERROR(Vintage_Input!BG252/$C301,""),""))</f>
        <v/>
      </c>
      <c r="AZ301" s="153">
        <f>IF($B301=1,$B$44,IF(N(Vintage_Input!L252)&gt;0,IFERROR((Vintage_Input!D252+Vintage_Input!AR252)/$C301+Products!$F$14-(Products!$F$43+Products!$F$19+Products!$F$43*Products!$F$22+Products!$F$44),""),""))</f>
        <v/>
      </c>
      <c r="BA301" s="153">
        <f>IF($B301=1,$C$44,IF(N(Vintage_Input!M252)&gt;0,IFERROR((Vintage_Input!E252+Vintage_Input!AS252)/$C301+Products!$F$14-(Products!$F$43+Products!$F$19+Products!$F$43*Products!$F$22+Products!$F$44),""),""))</f>
        <v/>
      </c>
      <c r="BB301" s="153">
        <f>IF($B301=1,$D$44,IF(N(Vintage_Input!N252)&gt;0,IFERROR((Vintage_Input!F252+Vintage_Input!AT252)/$C301+Products!$F$14-(Products!$F$43+Products!$F$19+Products!$F$43*Products!$F$22+Products!$F$44),""),""))</f>
        <v/>
      </c>
      <c r="BC301" s="153">
        <f>IF($B301=1,$E$44,IF(N(Vintage_Input!O252)&gt;0,IFERROR((Vintage_Input!G252+Vintage_Input!AU252)/$C301+Products!$F$14-(Products!$F$43+Products!$F$19+Products!$F$43*Products!$F$22+Products!$F$44),""),""))</f>
        <v/>
      </c>
      <c r="BD301" s="153">
        <f>IF($B301=1,$F$44,IF(N(Vintage_Input!P252)&gt;0,IFERROR((Vintage_Input!H252+Vintage_Input!AV252)/$C301+Products!$F$14-(Products!$F$43+Products!$F$19+Products!$F$43*Products!$F$22+Products!$F$44),""),""))</f>
        <v/>
      </c>
      <c r="BE301" s="153">
        <f>IF($B301=1,$G$44,IF(N(Vintage_Input!Q252)&gt;0,IFERROR((Vintage_Input!I252+Vintage_Input!AW252)/$C301+Products!$F$14-(Products!$F$43+Products!$F$19+Products!$F$43*Products!$F$22+Products!$F$44),""),""))</f>
        <v/>
      </c>
      <c r="BF301" s="153">
        <f>IF($B301=1,$H$44,IF(N(Vintage_Input!R252)&gt;0,IFERROR((Vintage_Input!J252+Vintage_Input!AX252)/$C301+Products!$F$14-(Products!$F$43+Products!$F$19+Products!$F$43*Products!$F$22+Products!$F$44),""),""))</f>
        <v/>
      </c>
      <c r="BG301" s="153">
        <f>IF($B301=1,$I$44,IF(N(Vintage_Input!S252)&gt;0,IFERROR((Vintage_Input!K252+Vintage_Input!AY252)/$C301+Products!$F$14-(Products!$F$43+Products!$F$19+Products!$F$43*Products!$F$22+Products!$F$44),""),""))</f>
        <v/>
      </c>
      <c r="BH301" s="81">
        <f>IF($B301=1,0,IF(Vintage_Input!$BH$252="","",Vintage_Input!$BH$252))</f>
        <v/>
      </c>
    </row>
    <row r="302">
      <c r="A302" s="23" t="n">
        <v>50</v>
      </c>
      <c r="B302" s="48">
        <f>Vintage_Input!$B$253</f>
        <v/>
      </c>
      <c r="C302" s="41">
        <f>IF(Vintage_Input!$C$253="",0,Vintage_Input!$C$253)</f>
        <v/>
      </c>
      <c r="D302" s="152">
        <f>IF($B302=1,$B$38,IF(N(Vintage_Input!L253)&gt;0,Vintage_Input!D253/Vintage_Input!L253,""))</f>
        <v/>
      </c>
      <c r="E302" s="152">
        <f>IF($B302=1,$C$38,IF(N(Vintage_Input!M253)&gt;0,Vintage_Input!E253/Vintage_Input!M253,""))</f>
        <v/>
      </c>
      <c r="F302" s="152">
        <f>IF($B302=1,$D$38,IF(N(Vintage_Input!N253)&gt;0,Vintage_Input!F253/Vintage_Input!N253,""))</f>
        <v/>
      </c>
      <c r="G302" s="152">
        <f>IF($B302=1,$E$38,IF(N(Vintage_Input!O253)&gt;0,Vintage_Input!G253/Vintage_Input!O253,""))</f>
        <v/>
      </c>
      <c r="H302" s="152">
        <f>IF($B302=1,$F$38,IF(N(Vintage_Input!P253)&gt;0,Vintage_Input!H253/Vintage_Input!P253,""))</f>
        <v/>
      </c>
      <c r="I302" s="152">
        <f>IF($B302=1,$G$38,IF(N(Vintage_Input!Q253)&gt;0,Vintage_Input!I253/Vintage_Input!Q253,""))</f>
        <v/>
      </c>
      <c r="J302" s="152">
        <f>IF($B302=1,$H$38,IF(N(Vintage_Input!R253)&gt;0,Vintage_Input!J253/Vintage_Input!R253,""))</f>
        <v/>
      </c>
      <c r="K302" s="152">
        <f>IF($B302=1,$I$38,IF(N(Vintage_Input!S253)&gt;0,Vintage_Input!K253/Vintage_Input!S253,""))</f>
        <v/>
      </c>
      <c r="L302" s="152">
        <f>IF($B302=1,$B$39,IF(N(Vintage_Input!L253)&gt;0,Vintage_Input!T253/Vintage_Input!L253,""))</f>
        <v/>
      </c>
      <c r="M302" s="152">
        <f>IF($B302=1,$C$39,IF(N(Vintage_Input!M253)&gt;0,Vintage_Input!U253/Vintage_Input!M253,""))</f>
        <v/>
      </c>
      <c r="N302" s="152">
        <f>IF($B302=1,$D$39,IF(N(Vintage_Input!N253)&gt;0,Vintage_Input!V253/Vintage_Input!N253,""))</f>
        <v/>
      </c>
      <c r="O302" s="152">
        <f>IF($B302=1,$E$39,IF(N(Vintage_Input!O253)&gt;0,Vintage_Input!W253/Vintage_Input!O253,""))</f>
        <v/>
      </c>
      <c r="P302" s="152">
        <f>IF($B302=1,$F$39,IF(N(Vintage_Input!P253)&gt;0,Vintage_Input!X253/Vintage_Input!P253,""))</f>
        <v/>
      </c>
      <c r="Q302" s="152">
        <f>IF($B302=1,$G$39,IF(N(Vintage_Input!Q253)&gt;0,Vintage_Input!Y253/Vintage_Input!Q253,""))</f>
        <v/>
      </c>
      <c r="R302" s="152">
        <f>IF($B302=1,$H$39,IF(N(Vintage_Input!R253)&gt;0,Vintage_Input!Z253/Vintage_Input!R253,""))</f>
        <v/>
      </c>
      <c r="S302" s="152">
        <f>IF($B302=1,$I$39,IF(N(Vintage_Input!S253)&gt;0,Vintage_Input!AA253/Vintage_Input!S253,""))</f>
        <v/>
      </c>
      <c r="T302" s="152">
        <f>IF($B302=1,$B$40,IF(N(Vintage_Input!L253)&gt;0,Vintage_Input!AB253/Vintage_Input!L253,""))</f>
        <v/>
      </c>
      <c r="U302" s="152">
        <f>IF($B302=1,$C$40,IF(N(Vintage_Input!M253)&gt;0,Vintage_Input!AC253/Vintage_Input!M253,""))</f>
        <v/>
      </c>
      <c r="V302" s="152">
        <f>IF($B302=1,$D$40,IF(N(Vintage_Input!N253)&gt;0,Vintage_Input!AD253/Vintage_Input!N253,""))</f>
        <v/>
      </c>
      <c r="W302" s="152">
        <f>IF($B302=1,$E$40,IF(N(Vintage_Input!O253)&gt;0,Vintage_Input!AE253/Vintage_Input!O253,""))</f>
        <v/>
      </c>
      <c r="X302" s="152">
        <f>IF($B302=1,$F$40,IF(N(Vintage_Input!P253)&gt;0,Vintage_Input!AF253/Vintage_Input!P253,""))</f>
        <v/>
      </c>
      <c r="Y302" s="152">
        <f>IF($B302=1,$G$40,IF(N(Vintage_Input!Q253)&gt;0,Vintage_Input!AG253/Vintage_Input!Q253,""))</f>
        <v/>
      </c>
      <c r="Z302" s="152">
        <f>IF($B302=1,$H$40,IF(N(Vintage_Input!R253)&gt;0,Vintage_Input!AH253/Vintage_Input!R253,""))</f>
        <v/>
      </c>
      <c r="AA302" s="152">
        <f>IF($B302=1,$I$40,IF(N(Vintage_Input!S253)&gt;0,Vintage_Input!AI253/Vintage_Input!S253,""))</f>
        <v/>
      </c>
      <c r="AB302" s="152">
        <f>IF($B302=1,$B$41,IF(N(Vintage_Input!L253)&gt;0,Vintage_Input!AJ253/Vintage_Input!L253,""))</f>
        <v/>
      </c>
      <c r="AC302" s="152">
        <f>IF($B302=1,$C$41,IF(N(Vintage_Input!M253)&gt;0,Vintage_Input!AK253/Vintage_Input!M253,""))</f>
        <v/>
      </c>
      <c r="AD302" s="152">
        <f>IF($B302=1,$D$41,IF(N(Vintage_Input!N253)&gt;0,Vintage_Input!AL253/Vintage_Input!N253,""))</f>
        <v/>
      </c>
      <c r="AE302" s="152">
        <f>IF($B302=1,$E$41,IF(N(Vintage_Input!O253)&gt;0,Vintage_Input!AM253/Vintage_Input!O253,""))</f>
        <v/>
      </c>
      <c r="AF302" s="152">
        <f>IF($B302=1,$F$41,IF(N(Vintage_Input!P253)&gt;0,Vintage_Input!AN253/Vintage_Input!P253,""))</f>
        <v/>
      </c>
      <c r="AG302" s="152">
        <f>IF($B302=1,$G$41,IF(N(Vintage_Input!Q253)&gt;0,Vintage_Input!AO253/Vintage_Input!Q253,""))</f>
        <v/>
      </c>
      <c r="AH302" s="152">
        <f>IF($B302=1,$H$41,IF(N(Vintage_Input!R253)&gt;0,Vintage_Input!AP253/Vintage_Input!R253,""))</f>
        <v/>
      </c>
      <c r="AI302" s="152">
        <f>IF($B302=1,$I$41,IF(N(Vintage_Input!S253)&gt;0,Vintage_Input!AQ253/Vintage_Input!S253,""))</f>
        <v/>
      </c>
      <c r="AJ302" s="152">
        <f>IF($B302=1,$B$42,IF(N(Vintage_Input!L253)&gt;0,IFERROR(Vintage_Input!AR253/Vintage_Input!AJ253,""),""))</f>
        <v/>
      </c>
      <c r="AK302" s="152">
        <f>IF($B302=1,$C$42,IF(N(Vintage_Input!M253)&gt;0,IFERROR(Vintage_Input!AS253/Vintage_Input!AK253,""),""))</f>
        <v/>
      </c>
      <c r="AL302" s="152">
        <f>IF($B302=1,$D$42,IF(N(Vintage_Input!N253)&gt;0,IFERROR(Vintage_Input!AT253/Vintage_Input!AL253,""),""))</f>
        <v/>
      </c>
      <c r="AM302" s="152">
        <f>IF($B302=1,$E$42,IF(N(Vintage_Input!O253)&gt;0,IFERROR(Vintage_Input!AU253/Vintage_Input!AM253,""),""))</f>
        <v/>
      </c>
      <c r="AN302" s="152">
        <f>IF($B302=1,$F$42,IF(N(Vintage_Input!P253)&gt;0,IFERROR(Vintage_Input!AV253/Vintage_Input!AN253,""),""))</f>
        <v/>
      </c>
      <c r="AO302" s="152">
        <f>IF($B302=1,$G$42,IF(N(Vintage_Input!Q253)&gt;0,IFERROR(Vintage_Input!AW253/Vintage_Input!AO253,""),""))</f>
        <v/>
      </c>
      <c r="AP302" s="152">
        <f>IF($B302=1,$H$42,IF(N(Vintage_Input!R253)&gt;0,IFERROR(Vintage_Input!AX253/Vintage_Input!AP253,""),""))</f>
        <v/>
      </c>
      <c r="AQ302" s="152">
        <f>IF($B302=1,$I$42,IF(N(Vintage_Input!S253)&gt;0,IFERROR(Vintage_Input!AY253/Vintage_Input!AQ253,""),""))</f>
        <v/>
      </c>
      <c r="AR302" s="152">
        <f>IF($B302=1,$B$43,IF(N(Vintage_Input!L253)&gt;0,IFERROR(Vintage_Input!AZ253/$C302,""),""))</f>
        <v/>
      </c>
      <c r="AS302" s="152">
        <f>IF($B302=1,$C$43,IF(N(Vintage_Input!M253)&gt;0,IFERROR(Vintage_Input!BA253/$C302,""),""))</f>
        <v/>
      </c>
      <c r="AT302" s="152">
        <f>IF($B302=1,$D$43,IF(N(Vintage_Input!N253)&gt;0,IFERROR(Vintage_Input!BB253/$C302,""),""))</f>
        <v/>
      </c>
      <c r="AU302" s="152">
        <f>IF($B302=1,$E$43,IF(N(Vintage_Input!O253)&gt;0,IFERROR(Vintage_Input!BC253/$C302,""),""))</f>
        <v/>
      </c>
      <c r="AV302" s="152">
        <f>IF($B302=1,$F$43,IF(N(Vintage_Input!P253)&gt;0,IFERROR(Vintage_Input!BD253/$C302,""),""))</f>
        <v/>
      </c>
      <c r="AW302" s="152">
        <f>IF($B302=1,$G$43,IF(N(Vintage_Input!Q253)&gt;0,IFERROR(Vintage_Input!BE253/$C302,""),""))</f>
        <v/>
      </c>
      <c r="AX302" s="152">
        <f>IF($B302=1,$H$43,IF(N(Vintage_Input!R253)&gt;0,IFERROR(Vintage_Input!BF253/$C302,""),""))</f>
        <v/>
      </c>
      <c r="AY302" s="152">
        <f>IF($B302=1,$I$43,IF(N(Vintage_Input!S253)&gt;0,IFERROR(Vintage_Input!BG253/$C302,""),""))</f>
        <v/>
      </c>
      <c r="AZ302" s="153">
        <f>IF($B302=1,$B$44,IF(N(Vintage_Input!L253)&gt;0,IFERROR((Vintage_Input!D253+Vintage_Input!AR253)/$C302+Products!$F$14-(Products!$F$43+Products!$F$19+Products!$F$43*Products!$F$22+Products!$F$44),""),""))</f>
        <v/>
      </c>
      <c r="BA302" s="153">
        <f>IF($B302=1,$C$44,IF(N(Vintage_Input!M253)&gt;0,IFERROR((Vintage_Input!E253+Vintage_Input!AS253)/$C302+Products!$F$14-(Products!$F$43+Products!$F$19+Products!$F$43*Products!$F$22+Products!$F$44),""),""))</f>
        <v/>
      </c>
      <c r="BB302" s="153">
        <f>IF($B302=1,$D$44,IF(N(Vintage_Input!N253)&gt;0,IFERROR((Vintage_Input!F253+Vintage_Input!AT253)/$C302+Products!$F$14-(Products!$F$43+Products!$F$19+Products!$F$43*Products!$F$22+Products!$F$44),""),""))</f>
        <v/>
      </c>
      <c r="BC302" s="153">
        <f>IF($B302=1,$E$44,IF(N(Vintage_Input!O253)&gt;0,IFERROR((Vintage_Input!G253+Vintage_Input!AU253)/$C302+Products!$F$14-(Products!$F$43+Products!$F$19+Products!$F$43*Products!$F$22+Products!$F$44),""),""))</f>
        <v/>
      </c>
      <c r="BD302" s="153">
        <f>IF($B302=1,$F$44,IF(N(Vintage_Input!P253)&gt;0,IFERROR((Vintage_Input!H253+Vintage_Input!AV253)/$C302+Products!$F$14-(Products!$F$43+Products!$F$19+Products!$F$43*Products!$F$22+Products!$F$44),""),""))</f>
        <v/>
      </c>
      <c r="BE302" s="153">
        <f>IF($B302=1,$G$44,IF(N(Vintage_Input!Q253)&gt;0,IFERROR((Vintage_Input!I253+Vintage_Input!AW253)/$C302+Products!$F$14-(Products!$F$43+Products!$F$19+Products!$F$43*Products!$F$22+Products!$F$44),""),""))</f>
        <v/>
      </c>
      <c r="BF302" s="153">
        <f>IF($B302=1,$H$44,IF(N(Vintage_Input!R253)&gt;0,IFERROR((Vintage_Input!J253+Vintage_Input!AX253)/$C302+Products!$F$14-(Products!$F$43+Products!$F$19+Products!$F$43*Products!$F$22+Products!$F$44),""),""))</f>
        <v/>
      </c>
      <c r="BG302" s="153">
        <f>IF($B302=1,$I$44,IF(N(Vintage_Input!S253)&gt;0,IFERROR((Vintage_Input!K253+Vintage_Input!AY253)/$C302+Products!$F$14-(Products!$F$43+Products!$F$19+Products!$F$43*Products!$F$22+Products!$F$44),""),""))</f>
        <v/>
      </c>
      <c r="BH302" s="81">
        <f>IF($B302=1,0,IF(Vintage_Input!$BH$253="","",Vintage_Input!$BH$253))</f>
        <v/>
      </c>
    </row>
    <row r="303">
      <c r="A303" s="23" t="n">
        <v>51</v>
      </c>
      <c r="B303" s="48">
        <f>Vintage_Input!$B$254</f>
        <v/>
      </c>
      <c r="C303" s="41">
        <f>IF(Vintage_Input!$C$254="",0,Vintage_Input!$C$254)</f>
        <v/>
      </c>
      <c r="D303" s="152">
        <f>IF($B303=1,$B$38,IF(N(Vintage_Input!L254)&gt;0,Vintage_Input!D254/Vintage_Input!L254,""))</f>
        <v/>
      </c>
      <c r="E303" s="152">
        <f>IF($B303=1,$C$38,IF(N(Vintage_Input!M254)&gt;0,Vintage_Input!E254/Vintage_Input!M254,""))</f>
        <v/>
      </c>
      <c r="F303" s="152">
        <f>IF($B303=1,$D$38,IF(N(Vintage_Input!N254)&gt;0,Vintage_Input!F254/Vintage_Input!N254,""))</f>
        <v/>
      </c>
      <c r="G303" s="152">
        <f>IF($B303=1,$E$38,IF(N(Vintage_Input!O254)&gt;0,Vintage_Input!G254/Vintage_Input!O254,""))</f>
        <v/>
      </c>
      <c r="H303" s="152">
        <f>IF($B303=1,$F$38,IF(N(Vintage_Input!P254)&gt;0,Vintage_Input!H254/Vintage_Input!P254,""))</f>
        <v/>
      </c>
      <c r="I303" s="152">
        <f>IF($B303=1,$G$38,IF(N(Vintage_Input!Q254)&gt;0,Vintage_Input!I254/Vintage_Input!Q254,""))</f>
        <v/>
      </c>
      <c r="J303" s="152">
        <f>IF($B303=1,$H$38,IF(N(Vintage_Input!R254)&gt;0,Vintage_Input!J254/Vintage_Input!R254,""))</f>
        <v/>
      </c>
      <c r="K303" s="152">
        <f>IF($B303=1,$I$38,IF(N(Vintage_Input!S254)&gt;0,Vintage_Input!K254/Vintage_Input!S254,""))</f>
        <v/>
      </c>
      <c r="L303" s="152">
        <f>IF($B303=1,$B$39,IF(N(Vintage_Input!L254)&gt;0,Vintage_Input!T254/Vintage_Input!L254,""))</f>
        <v/>
      </c>
      <c r="M303" s="152">
        <f>IF($B303=1,$C$39,IF(N(Vintage_Input!M254)&gt;0,Vintage_Input!U254/Vintage_Input!M254,""))</f>
        <v/>
      </c>
      <c r="N303" s="152">
        <f>IF($B303=1,$D$39,IF(N(Vintage_Input!N254)&gt;0,Vintage_Input!V254/Vintage_Input!N254,""))</f>
        <v/>
      </c>
      <c r="O303" s="152">
        <f>IF($B303=1,$E$39,IF(N(Vintage_Input!O254)&gt;0,Vintage_Input!W254/Vintage_Input!O254,""))</f>
        <v/>
      </c>
      <c r="P303" s="152">
        <f>IF($B303=1,$F$39,IF(N(Vintage_Input!P254)&gt;0,Vintage_Input!X254/Vintage_Input!P254,""))</f>
        <v/>
      </c>
      <c r="Q303" s="152">
        <f>IF($B303=1,$G$39,IF(N(Vintage_Input!Q254)&gt;0,Vintage_Input!Y254/Vintage_Input!Q254,""))</f>
        <v/>
      </c>
      <c r="R303" s="152">
        <f>IF($B303=1,$H$39,IF(N(Vintage_Input!R254)&gt;0,Vintage_Input!Z254/Vintage_Input!R254,""))</f>
        <v/>
      </c>
      <c r="S303" s="152">
        <f>IF($B303=1,$I$39,IF(N(Vintage_Input!S254)&gt;0,Vintage_Input!AA254/Vintage_Input!S254,""))</f>
        <v/>
      </c>
      <c r="T303" s="152">
        <f>IF($B303=1,$B$40,IF(N(Vintage_Input!L254)&gt;0,Vintage_Input!AB254/Vintage_Input!L254,""))</f>
        <v/>
      </c>
      <c r="U303" s="152">
        <f>IF($B303=1,$C$40,IF(N(Vintage_Input!M254)&gt;0,Vintage_Input!AC254/Vintage_Input!M254,""))</f>
        <v/>
      </c>
      <c r="V303" s="152">
        <f>IF($B303=1,$D$40,IF(N(Vintage_Input!N254)&gt;0,Vintage_Input!AD254/Vintage_Input!N254,""))</f>
        <v/>
      </c>
      <c r="W303" s="152">
        <f>IF($B303=1,$E$40,IF(N(Vintage_Input!O254)&gt;0,Vintage_Input!AE254/Vintage_Input!O254,""))</f>
        <v/>
      </c>
      <c r="X303" s="152">
        <f>IF($B303=1,$F$40,IF(N(Vintage_Input!P254)&gt;0,Vintage_Input!AF254/Vintage_Input!P254,""))</f>
        <v/>
      </c>
      <c r="Y303" s="152">
        <f>IF($B303=1,$G$40,IF(N(Vintage_Input!Q254)&gt;0,Vintage_Input!AG254/Vintage_Input!Q254,""))</f>
        <v/>
      </c>
      <c r="Z303" s="152">
        <f>IF($B303=1,$H$40,IF(N(Vintage_Input!R254)&gt;0,Vintage_Input!AH254/Vintage_Input!R254,""))</f>
        <v/>
      </c>
      <c r="AA303" s="152">
        <f>IF($B303=1,$I$40,IF(N(Vintage_Input!S254)&gt;0,Vintage_Input!AI254/Vintage_Input!S254,""))</f>
        <v/>
      </c>
      <c r="AB303" s="152">
        <f>IF($B303=1,$B$41,IF(N(Vintage_Input!L254)&gt;0,Vintage_Input!AJ254/Vintage_Input!L254,""))</f>
        <v/>
      </c>
      <c r="AC303" s="152">
        <f>IF($B303=1,$C$41,IF(N(Vintage_Input!M254)&gt;0,Vintage_Input!AK254/Vintage_Input!M254,""))</f>
        <v/>
      </c>
      <c r="AD303" s="152">
        <f>IF($B303=1,$D$41,IF(N(Vintage_Input!N254)&gt;0,Vintage_Input!AL254/Vintage_Input!N254,""))</f>
        <v/>
      </c>
      <c r="AE303" s="152">
        <f>IF($B303=1,$E$41,IF(N(Vintage_Input!O254)&gt;0,Vintage_Input!AM254/Vintage_Input!O254,""))</f>
        <v/>
      </c>
      <c r="AF303" s="152">
        <f>IF($B303=1,$F$41,IF(N(Vintage_Input!P254)&gt;0,Vintage_Input!AN254/Vintage_Input!P254,""))</f>
        <v/>
      </c>
      <c r="AG303" s="152">
        <f>IF($B303=1,$G$41,IF(N(Vintage_Input!Q254)&gt;0,Vintage_Input!AO254/Vintage_Input!Q254,""))</f>
        <v/>
      </c>
      <c r="AH303" s="152">
        <f>IF($B303=1,$H$41,IF(N(Vintage_Input!R254)&gt;0,Vintage_Input!AP254/Vintage_Input!R254,""))</f>
        <v/>
      </c>
      <c r="AI303" s="152">
        <f>IF($B303=1,$I$41,IF(N(Vintage_Input!S254)&gt;0,Vintage_Input!AQ254/Vintage_Input!S254,""))</f>
        <v/>
      </c>
      <c r="AJ303" s="152">
        <f>IF($B303=1,$B$42,IF(N(Vintage_Input!L254)&gt;0,IFERROR(Vintage_Input!AR254/Vintage_Input!AJ254,""),""))</f>
        <v/>
      </c>
      <c r="AK303" s="152">
        <f>IF($B303=1,$C$42,IF(N(Vintage_Input!M254)&gt;0,IFERROR(Vintage_Input!AS254/Vintage_Input!AK254,""),""))</f>
        <v/>
      </c>
      <c r="AL303" s="152">
        <f>IF($B303=1,$D$42,IF(N(Vintage_Input!N254)&gt;0,IFERROR(Vintage_Input!AT254/Vintage_Input!AL254,""),""))</f>
        <v/>
      </c>
      <c r="AM303" s="152">
        <f>IF($B303=1,$E$42,IF(N(Vintage_Input!O254)&gt;0,IFERROR(Vintage_Input!AU254/Vintage_Input!AM254,""),""))</f>
        <v/>
      </c>
      <c r="AN303" s="152">
        <f>IF($B303=1,$F$42,IF(N(Vintage_Input!P254)&gt;0,IFERROR(Vintage_Input!AV254/Vintage_Input!AN254,""),""))</f>
        <v/>
      </c>
      <c r="AO303" s="152">
        <f>IF($B303=1,$G$42,IF(N(Vintage_Input!Q254)&gt;0,IFERROR(Vintage_Input!AW254/Vintage_Input!AO254,""),""))</f>
        <v/>
      </c>
      <c r="AP303" s="152">
        <f>IF($B303=1,$H$42,IF(N(Vintage_Input!R254)&gt;0,IFERROR(Vintage_Input!AX254/Vintage_Input!AP254,""),""))</f>
        <v/>
      </c>
      <c r="AQ303" s="152">
        <f>IF($B303=1,$I$42,IF(N(Vintage_Input!S254)&gt;0,IFERROR(Vintage_Input!AY254/Vintage_Input!AQ254,""),""))</f>
        <v/>
      </c>
      <c r="AR303" s="152">
        <f>IF($B303=1,$B$43,IF(N(Vintage_Input!L254)&gt;0,IFERROR(Vintage_Input!AZ254/$C303,""),""))</f>
        <v/>
      </c>
      <c r="AS303" s="152">
        <f>IF($B303=1,$C$43,IF(N(Vintage_Input!M254)&gt;0,IFERROR(Vintage_Input!BA254/$C303,""),""))</f>
        <v/>
      </c>
      <c r="AT303" s="152">
        <f>IF($B303=1,$D$43,IF(N(Vintage_Input!N254)&gt;0,IFERROR(Vintage_Input!BB254/$C303,""),""))</f>
        <v/>
      </c>
      <c r="AU303" s="152">
        <f>IF($B303=1,$E$43,IF(N(Vintage_Input!O254)&gt;0,IFERROR(Vintage_Input!BC254/$C303,""),""))</f>
        <v/>
      </c>
      <c r="AV303" s="152">
        <f>IF($B303=1,$F$43,IF(N(Vintage_Input!P254)&gt;0,IFERROR(Vintage_Input!BD254/$C303,""),""))</f>
        <v/>
      </c>
      <c r="AW303" s="152">
        <f>IF($B303=1,$G$43,IF(N(Vintage_Input!Q254)&gt;0,IFERROR(Vintage_Input!BE254/$C303,""),""))</f>
        <v/>
      </c>
      <c r="AX303" s="152">
        <f>IF($B303=1,$H$43,IF(N(Vintage_Input!R254)&gt;0,IFERROR(Vintage_Input!BF254/$C303,""),""))</f>
        <v/>
      </c>
      <c r="AY303" s="152">
        <f>IF($B303=1,$I$43,IF(N(Vintage_Input!S254)&gt;0,IFERROR(Vintage_Input!BG254/$C303,""),""))</f>
        <v/>
      </c>
      <c r="AZ303" s="153">
        <f>IF($B303=1,$B$44,IF(N(Vintage_Input!L254)&gt;0,IFERROR((Vintage_Input!D254+Vintage_Input!AR254)/$C303+Products!$F$14-(Products!$F$43+Products!$F$19+Products!$F$43*Products!$F$22+Products!$F$44),""),""))</f>
        <v/>
      </c>
      <c r="BA303" s="153">
        <f>IF($B303=1,$C$44,IF(N(Vintage_Input!M254)&gt;0,IFERROR((Vintage_Input!E254+Vintage_Input!AS254)/$C303+Products!$F$14-(Products!$F$43+Products!$F$19+Products!$F$43*Products!$F$22+Products!$F$44),""),""))</f>
        <v/>
      </c>
      <c r="BB303" s="153">
        <f>IF($B303=1,$D$44,IF(N(Vintage_Input!N254)&gt;0,IFERROR((Vintage_Input!F254+Vintage_Input!AT254)/$C303+Products!$F$14-(Products!$F$43+Products!$F$19+Products!$F$43*Products!$F$22+Products!$F$44),""),""))</f>
        <v/>
      </c>
      <c r="BC303" s="153">
        <f>IF($B303=1,$E$44,IF(N(Vintage_Input!O254)&gt;0,IFERROR((Vintage_Input!G254+Vintage_Input!AU254)/$C303+Products!$F$14-(Products!$F$43+Products!$F$19+Products!$F$43*Products!$F$22+Products!$F$44),""),""))</f>
        <v/>
      </c>
      <c r="BD303" s="153">
        <f>IF($B303=1,$F$44,IF(N(Vintage_Input!P254)&gt;0,IFERROR((Vintage_Input!H254+Vintage_Input!AV254)/$C303+Products!$F$14-(Products!$F$43+Products!$F$19+Products!$F$43*Products!$F$22+Products!$F$44),""),""))</f>
        <v/>
      </c>
      <c r="BE303" s="153">
        <f>IF($B303=1,$G$44,IF(N(Vintage_Input!Q254)&gt;0,IFERROR((Vintage_Input!I254+Vintage_Input!AW254)/$C303+Products!$F$14-(Products!$F$43+Products!$F$19+Products!$F$43*Products!$F$22+Products!$F$44),""),""))</f>
        <v/>
      </c>
      <c r="BF303" s="153">
        <f>IF($B303=1,$H$44,IF(N(Vintage_Input!R254)&gt;0,IFERROR((Vintage_Input!J254+Vintage_Input!AX254)/$C303+Products!$F$14-(Products!$F$43+Products!$F$19+Products!$F$43*Products!$F$22+Products!$F$44),""),""))</f>
        <v/>
      </c>
      <c r="BG303" s="153">
        <f>IF($B303=1,$I$44,IF(N(Vintage_Input!S254)&gt;0,IFERROR((Vintage_Input!K254+Vintage_Input!AY254)/$C303+Products!$F$14-(Products!$F$43+Products!$F$19+Products!$F$43*Products!$F$22+Products!$F$44),""),""))</f>
        <v/>
      </c>
      <c r="BH303" s="81">
        <f>IF($B303=1,0,IF(Vintage_Input!$BH$254="","",Vintage_Input!$BH$254))</f>
        <v/>
      </c>
    </row>
    <row r="304">
      <c r="A304" s="23" t="n">
        <v>52</v>
      </c>
      <c r="B304" s="48">
        <f>Vintage_Input!$B$255</f>
        <v/>
      </c>
      <c r="C304" s="41">
        <f>IF(Vintage_Input!$C$255="",0,Vintage_Input!$C$255)</f>
        <v/>
      </c>
      <c r="D304" s="152">
        <f>IF($B304=1,$B$38,IF(N(Vintage_Input!L255)&gt;0,Vintage_Input!D255/Vintage_Input!L255,""))</f>
        <v/>
      </c>
      <c r="E304" s="152">
        <f>IF($B304=1,$C$38,IF(N(Vintage_Input!M255)&gt;0,Vintage_Input!E255/Vintage_Input!M255,""))</f>
        <v/>
      </c>
      <c r="F304" s="152">
        <f>IF($B304=1,$D$38,IF(N(Vintage_Input!N255)&gt;0,Vintage_Input!F255/Vintage_Input!N255,""))</f>
        <v/>
      </c>
      <c r="G304" s="152">
        <f>IF($B304=1,$E$38,IF(N(Vintage_Input!O255)&gt;0,Vintage_Input!G255/Vintage_Input!O255,""))</f>
        <v/>
      </c>
      <c r="H304" s="152">
        <f>IF($B304=1,$F$38,IF(N(Vintage_Input!P255)&gt;0,Vintage_Input!H255/Vintage_Input!P255,""))</f>
        <v/>
      </c>
      <c r="I304" s="152">
        <f>IF($B304=1,$G$38,IF(N(Vintage_Input!Q255)&gt;0,Vintage_Input!I255/Vintage_Input!Q255,""))</f>
        <v/>
      </c>
      <c r="J304" s="152">
        <f>IF($B304=1,$H$38,IF(N(Vintage_Input!R255)&gt;0,Vintage_Input!J255/Vintage_Input!R255,""))</f>
        <v/>
      </c>
      <c r="K304" s="152">
        <f>IF($B304=1,$I$38,IF(N(Vintage_Input!S255)&gt;0,Vintage_Input!K255/Vintage_Input!S255,""))</f>
        <v/>
      </c>
      <c r="L304" s="152">
        <f>IF($B304=1,$B$39,IF(N(Vintage_Input!L255)&gt;0,Vintage_Input!T255/Vintage_Input!L255,""))</f>
        <v/>
      </c>
      <c r="M304" s="152">
        <f>IF($B304=1,$C$39,IF(N(Vintage_Input!M255)&gt;0,Vintage_Input!U255/Vintage_Input!M255,""))</f>
        <v/>
      </c>
      <c r="N304" s="152">
        <f>IF($B304=1,$D$39,IF(N(Vintage_Input!N255)&gt;0,Vintage_Input!V255/Vintage_Input!N255,""))</f>
        <v/>
      </c>
      <c r="O304" s="152">
        <f>IF($B304=1,$E$39,IF(N(Vintage_Input!O255)&gt;0,Vintage_Input!W255/Vintage_Input!O255,""))</f>
        <v/>
      </c>
      <c r="P304" s="152">
        <f>IF($B304=1,$F$39,IF(N(Vintage_Input!P255)&gt;0,Vintage_Input!X255/Vintage_Input!P255,""))</f>
        <v/>
      </c>
      <c r="Q304" s="152">
        <f>IF($B304=1,$G$39,IF(N(Vintage_Input!Q255)&gt;0,Vintage_Input!Y255/Vintage_Input!Q255,""))</f>
        <v/>
      </c>
      <c r="R304" s="152">
        <f>IF($B304=1,$H$39,IF(N(Vintage_Input!R255)&gt;0,Vintage_Input!Z255/Vintage_Input!R255,""))</f>
        <v/>
      </c>
      <c r="S304" s="152">
        <f>IF($B304=1,$I$39,IF(N(Vintage_Input!S255)&gt;0,Vintage_Input!AA255/Vintage_Input!S255,""))</f>
        <v/>
      </c>
      <c r="T304" s="152">
        <f>IF($B304=1,$B$40,IF(N(Vintage_Input!L255)&gt;0,Vintage_Input!AB255/Vintage_Input!L255,""))</f>
        <v/>
      </c>
      <c r="U304" s="152">
        <f>IF($B304=1,$C$40,IF(N(Vintage_Input!M255)&gt;0,Vintage_Input!AC255/Vintage_Input!M255,""))</f>
        <v/>
      </c>
      <c r="V304" s="152">
        <f>IF($B304=1,$D$40,IF(N(Vintage_Input!N255)&gt;0,Vintage_Input!AD255/Vintage_Input!N255,""))</f>
        <v/>
      </c>
      <c r="W304" s="152">
        <f>IF($B304=1,$E$40,IF(N(Vintage_Input!O255)&gt;0,Vintage_Input!AE255/Vintage_Input!O255,""))</f>
        <v/>
      </c>
      <c r="X304" s="152">
        <f>IF($B304=1,$F$40,IF(N(Vintage_Input!P255)&gt;0,Vintage_Input!AF255/Vintage_Input!P255,""))</f>
        <v/>
      </c>
      <c r="Y304" s="152">
        <f>IF($B304=1,$G$40,IF(N(Vintage_Input!Q255)&gt;0,Vintage_Input!AG255/Vintage_Input!Q255,""))</f>
        <v/>
      </c>
      <c r="Z304" s="152">
        <f>IF($B304=1,$H$40,IF(N(Vintage_Input!R255)&gt;0,Vintage_Input!AH255/Vintage_Input!R255,""))</f>
        <v/>
      </c>
      <c r="AA304" s="152">
        <f>IF($B304=1,$I$40,IF(N(Vintage_Input!S255)&gt;0,Vintage_Input!AI255/Vintage_Input!S255,""))</f>
        <v/>
      </c>
      <c r="AB304" s="152">
        <f>IF($B304=1,$B$41,IF(N(Vintage_Input!L255)&gt;0,Vintage_Input!AJ255/Vintage_Input!L255,""))</f>
        <v/>
      </c>
      <c r="AC304" s="152">
        <f>IF($B304=1,$C$41,IF(N(Vintage_Input!M255)&gt;0,Vintage_Input!AK255/Vintage_Input!M255,""))</f>
        <v/>
      </c>
      <c r="AD304" s="152">
        <f>IF($B304=1,$D$41,IF(N(Vintage_Input!N255)&gt;0,Vintage_Input!AL255/Vintage_Input!N255,""))</f>
        <v/>
      </c>
      <c r="AE304" s="152">
        <f>IF($B304=1,$E$41,IF(N(Vintage_Input!O255)&gt;0,Vintage_Input!AM255/Vintage_Input!O255,""))</f>
        <v/>
      </c>
      <c r="AF304" s="152">
        <f>IF($B304=1,$F$41,IF(N(Vintage_Input!P255)&gt;0,Vintage_Input!AN255/Vintage_Input!P255,""))</f>
        <v/>
      </c>
      <c r="AG304" s="152">
        <f>IF($B304=1,$G$41,IF(N(Vintage_Input!Q255)&gt;0,Vintage_Input!AO255/Vintage_Input!Q255,""))</f>
        <v/>
      </c>
      <c r="AH304" s="152">
        <f>IF($B304=1,$H$41,IF(N(Vintage_Input!R255)&gt;0,Vintage_Input!AP255/Vintage_Input!R255,""))</f>
        <v/>
      </c>
      <c r="AI304" s="152">
        <f>IF($B304=1,$I$41,IF(N(Vintage_Input!S255)&gt;0,Vintage_Input!AQ255/Vintage_Input!S255,""))</f>
        <v/>
      </c>
      <c r="AJ304" s="152">
        <f>IF($B304=1,$B$42,IF(N(Vintage_Input!L255)&gt;0,IFERROR(Vintage_Input!AR255/Vintage_Input!AJ255,""),""))</f>
        <v/>
      </c>
      <c r="AK304" s="152">
        <f>IF($B304=1,$C$42,IF(N(Vintage_Input!M255)&gt;0,IFERROR(Vintage_Input!AS255/Vintage_Input!AK255,""),""))</f>
        <v/>
      </c>
      <c r="AL304" s="152">
        <f>IF($B304=1,$D$42,IF(N(Vintage_Input!N255)&gt;0,IFERROR(Vintage_Input!AT255/Vintage_Input!AL255,""),""))</f>
        <v/>
      </c>
      <c r="AM304" s="152">
        <f>IF($B304=1,$E$42,IF(N(Vintage_Input!O255)&gt;0,IFERROR(Vintage_Input!AU255/Vintage_Input!AM255,""),""))</f>
        <v/>
      </c>
      <c r="AN304" s="152">
        <f>IF($B304=1,$F$42,IF(N(Vintage_Input!P255)&gt;0,IFERROR(Vintage_Input!AV255/Vintage_Input!AN255,""),""))</f>
        <v/>
      </c>
      <c r="AO304" s="152">
        <f>IF($B304=1,$G$42,IF(N(Vintage_Input!Q255)&gt;0,IFERROR(Vintage_Input!AW255/Vintage_Input!AO255,""),""))</f>
        <v/>
      </c>
      <c r="AP304" s="152">
        <f>IF($B304=1,$H$42,IF(N(Vintage_Input!R255)&gt;0,IFERROR(Vintage_Input!AX255/Vintage_Input!AP255,""),""))</f>
        <v/>
      </c>
      <c r="AQ304" s="152">
        <f>IF($B304=1,$I$42,IF(N(Vintage_Input!S255)&gt;0,IFERROR(Vintage_Input!AY255/Vintage_Input!AQ255,""),""))</f>
        <v/>
      </c>
      <c r="AR304" s="152">
        <f>IF($B304=1,$B$43,IF(N(Vintage_Input!L255)&gt;0,IFERROR(Vintage_Input!AZ255/$C304,""),""))</f>
        <v/>
      </c>
      <c r="AS304" s="152">
        <f>IF($B304=1,$C$43,IF(N(Vintage_Input!M255)&gt;0,IFERROR(Vintage_Input!BA255/$C304,""),""))</f>
        <v/>
      </c>
      <c r="AT304" s="152">
        <f>IF($B304=1,$D$43,IF(N(Vintage_Input!N255)&gt;0,IFERROR(Vintage_Input!BB255/$C304,""),""))</f>
        <v/>
      </c>
      <c r="AU304" s="152">
        <f>IF($B304=1,$E$43,IF(N(Vintage_Input!O255)&gt;0,IFERROR(Vintage_Input!BC255/$C304,""),""))</f>
        <v/>
      </c>
      <c r="AV304" s="152">
        <f>IF($B304=1,$F$43,IF(N(Vintage_Input!P255)&gt;0,IFERROR(Vintage_Input!BD255/$C304,""),""))</f>
        <v/>
      </c>
      <c r="AW304" s="152">
        <f>IF($B304=1,$G$43,IF(N(Vintage_Input!Q255)&gt;0,IFERROR(Vintage_Input!BE255/$C304,""),""))</f>
        <v/>
      </c>
      <c r="AX304" s="152">
        <f>IF($B304=1,$H$43,IF(N(Vintage_Input!R255)&gt;0,IFERROR(Vintage_Input!BF255/$C304,""),""))</f>
        <v/>
      </c>
      <c r="AY304" s="152">
        <f>IF($B304=1,$I$43,IF(N(Vintage_Input!S255)&gt;0,IFERROR(Vintage_Input!BG255/$C304,""),""))</f>
        <v/>
      </c>
      <c r="AZ304" s="153">
        <f>IF($B304=1,$B$44,IF(N(Vintage_Input!L255)&gt;0,IFERROR((Vintage_Input!D255+Vintage_Input!AR255)/$C304+Products!$F$14-(Products!$F$43+Products!$F$19+Products!$F$43*Products!$F$22+Products!$F$44),""),""))</f>
        <v/>
      </c>
      <c r="BA304" s="153">
        <f>IF($B304=1,$C$44,IF(N(Vintage_Input!M255)&gt;0,IFERROR((Vintage_Input!E255+Vintage_Input!AS255)/$C304+Products!$F$14-(Products!$F$43+Products!$F$19+Products!$F$43*Products!$F$22+Products!$F$44),""),""))</f>
        <v/>
      </c>
      <c r="BB304" s="153">
        <f>IF($B304=1,$D$44,IF(N(Vintage_Input!N255)&gt;0,IFERROR((Vintage_Input!F255+Vintage_Input!AT255)/$C304+Products!$F$14-(Products!$F$43+Products!$F$19+Products!$F$43*Products!$F$22+Products!$F$44),""),""))</f>
        <v/>
      </c>
      <c r="BC304" s="153">
        <f>IF($B304=1,$E$44,IF(N(Vintage_Input!O255)&gt;0,IFERROR((Vintage_Input!G255+Vintage_Input!AU255)/$C304+Products!$F$14-(Products!$F$43+Products!$F$19+Products!$F$43*Products!$F$22+Products!$F$44),""),""))</f>
        <v/>
      </c>
      <c r="BD304" s="153">
        <f>IF($B304=1,$F$44,IF(N(Vintage_Input!P255)&gt;0,IFERROR((Vintage_Input!H255+Vintage_Input!AV255)/$C304+Products!$F$14-(Products!$F$43+Products!$F$19+Products!$F$43*Products!$F$22+Products!$F$44),""),""))</f>
        <v/>
      </c>
      <c r="BE304" s="153">
        <f>IF($B304=1,$G$44,IF(N(Vintage_Input!Q255)&gt;0,IFERROR((Vintage_Input!I255+Vintage_Input!AW255)/$C304+Products!$F$14-(Products!$F$43+Products!$F$19+Products!$F$43*Products!$F$22+Products!$F$44),""),""))</f>
        <v/>
      </c>
      <c r="BF304" s="153">
        <f>IF($B304=1,$H$44,IF(N(Vintage_Input!R255)&gt;0,IFERROR((Vintage_Input!J255+Vintage_Input!AX255)/$C304+Products!$F$14-(Products!$F$43+Products!$F$19+Products!$F$43*Products!$F$22+Products!$F$44),""),""))</f>
        <v/>
      </c>
      <c r="BG304" s="153">
        <f>IF($B304=1,$I$44,IF(N(Vintage_Input!S255)&gt;0,IFERROR((Vintage_Input!K255+Vintage_Input!AY255)/$C304+Products!$F$14-(Products!$F$43+Products!$F$19+Products!$F$43*Products!$F$22+Products!$F$44),""),""))</f>
        <v/>
      </c>
      <c r="BH304" s="81">
        <f>IF($B304=1,0,IF(Vintage_Input!$BH$255="","",Vintage_Input!$BH$255))</f>
        <v/>
      </c>
    </row>
    <row r="305">
      <c r="A305" s="23" t="n">
        <v>53</v>
      </c>
      <c r="B305" s="48">
        <f>Vintage_Input!$B$256</f>
        <v/>
      </c>
      <c r="C305" s="41">
        <f>IF(Vintage_Input!$C$256="",0,Vintage_Input!$C$256)</f>
        <v/>
      </c>
      <c r="D305" s="152">
        <f>IF($B305=1,$B$38,IF(N(Vintage_Input!L256)&gt;0,Vintage_Input!D256/Vintage_Input!L256,""))</f>
        <v/>
      </c>
      <c r="E305" s="152">
        <f>IF($B305=1,$C$38,IF(N(Vintage_Input!M256)&gt;0,Vintage_Input!E256/Vintage_Input!M256,""))</f>
        <v/>
      </c>
      <c r="F305" s="152">
        <f>IF($B305=1,$D$38,IF(N(Vintage_Input!N256)&gt;0,Vintage_Input!F256/Vintage_Input!N256,""))</f>
        <v/>
      </c>
      <c r="G305" s="152">
        <f>IF($B305=1,$E$38,IF(N(Vintage_Input!O256)&gt;0,Vintage_Input!G256/Vintage_Input!O256,""))</f>
        <v/>
      </c>
      <c r="H305" s="152">
        <f>IF($B305=1,$F$38,IF(N(Vintage_Input!P256)&gt;0,Vintage_Input!H256/Vintage_Input!P256,""))</f>
        <v/>
      </c>
      <c r="I305" s="152">
        <f>IF($B305=1,$G$38,IF(N(Vintage_Input!Q256)&gt;0,Vintage_Input!I256/Vintage_Input!Q256,""))</f>
        <v/>
      </c>
      <c r="J305" s="152">
        <f>IF($B305=1,$H$38,IF(N(Vintage_Input!R256)&gt;0,Vintage_Input!J256/Vintage_Input!R256,""))</f>
        <v/>
      </c>
      <c r="K305" s="152">
        <f>IF($B305=1,$I$38,IF(N(Vintage_Input!S256)&gt;0,Vintage_Input!K256/Vintage_Input!S256,""))</f>
        <v/>
      </c>
      <c r="L305" s="152">
        <f>IF($B305=1,$B$39,IF(N(Vintage_Input!L256)&gt;0,Vintage_Input!T256/Vintage_Input!L256,""))</f>
        <v/>
      </c>
      <c r="M305" s="152">
        <f>IF($B305=1,$C$39,IF(N(Vintage_Input!M256)&gt;0,Vintage_Input!U256/Vintage_Input!M256,""))</f>
        <v/>
      </c>
      <c r="N305" s="152">
        <f>IF($B305=1,$D$39,IF(N(Vintage_Input!N256)&gt;0,Vintage_Input!V256/Vintage_Input!N256,""))</f>
        <v/>
      </c>
      <c r="O305" s="152">
        <f>IF($B305=1,$E$39,IF(N(Vintage_Input!O256)&gt;0,Vintage_Input!W256/Vintage_Input!O256,""))</f>
        <v/>
      </c>
      <c r="P305" s="152">
        <f>IF($B305=1,$F$39,IF(N(Vintage_Input!P256)&gt;0,Vintage_Input!X256/Vintage_Input!P256,""))</f>
        <v/>
      </c>
      <c r="Q305" s="152">
        <f>IF($B305=1,$G$39,IF(N(Vintage_Input!Q256)&gt;0,Vintage_Input!Y256/Vintage_Input!Q256,""))</f>
        <v/>
      </c>
      <c r="R305" s="152">
        <f>IF($B305=1,$H$39,IF(N(Vintage_Input!R256)&gt;0,Vintage_Input!Z256/Vintage_Input!R256,""))</f>
        <v/>
      </c>
      <c r="S305" s="152">
        <f>IF($B305=1,$I$39,IF(N(Vintage_Input!S256)&gt;0,Vintage_Input!AA256/Vintage_Input!S256,""))</f>
        <v/>
      </c>
      <c r="T305" s="152">
        <f>IF($B305=1,$B$40,IF(N(Vintage_Input!L256)&gt;0,Vintage_Input!AB256/Vintage_Input!L256,""))</f>
        <v/>
      </c>
      <c r="U305" s="152">
        <f>IF($B305=1,$C$40,IF(N(Vintage_Input!M256)&gt;0,Vintage_Input!AC256/Vintage_Input!M256,""))</f>
        <v/>
      </c>
      <c r="V305" s="152">
        <f>IF($B305=1,$D$40,IF(N(Vintage_Input!N256)&gt;0,Vintage_Input!AD256/Vintage_Input!N256,""))</f>
        <v/>
      </c>
      <c r="W305" s="152">
        <f>IF($B305=1,$E$40,IF(N(Vintage_Input!O256)&gt;0,Vintage_Input!AE256/Vintage_Input!O256,""))</f>
        <v/>
      </c>
      <c r="X305" s="152">
        <f>IF($B305=1,$F$40,IF(N(Vintage_Input!P256)&gt;0,Vintage_Input!AF256/Vintage_Input!P256,""))</f>
        <v/>
      </c>
      <c r="Y305" s="152">
        <f>IF($B305=1,$G$40,IF(N(Vintage_Input!Q256)&gt;0,Vintage_Input!AG256/Vintage_Input!Q256,""))</f>
        <v/>
      </c>
      <c r="Z305" s="152">
        <f>IF($B305=1,$H$40,IF(N(Vintage_Input!R256)&gt;0,Vintage_Input!AH256/Vintage_Input!R256,""))</f>
        <v/>
      </c>
      <c r="AA305" s="152">
        <f>IF($B305=1,$I$40,IF(N(Vintage_Input!S256)&gt;0,Vintage_Input!AI256/Vintage_Input!S256,""))</f>
        <v/>
      </c>
      <c r="AB305" s="152">
        <f>IF($B305=1,$B$41,IF(N(Vintage_Input!L256)&gt;0,Vintage_Input!AJ256/Vintage_Input!L256,""))</f>
        <v/>
      </c>
      <c r="AC305" s="152">
        <f>IF($B305=1,$C$41,IF(N(Vintage_Input!M256)&gt;0,Vintage_Input!AK256/Vintage_Input!M256,""))</f>
        <v/>
      </c>
      <c r="AD305" s="152">
        <f>IF($B305=1,$D$41,IF(N(Vintage_Input!N256)&gt;0,Vintage_Input!AL256/Vintage_Input!N256,""))</f>
        <v/>
      </c>
      <c r="AE305" s="152">
        <f>IF($B305=1,$E$41,IF(N(Vintage_Input!O256)&gt;0,Vintage_Input!AM256/Vintage_Input!O256,""))</f>
        <v/>
      </c>
      <c r="AF305" s="152">
        <f>IF($B305=1,$F$41,IF(N(Vintage_Input!P256)&gt;0,Vintage_Input!AN256/Vintage_Input!P256,""))</f>
        <v/>
      </c>
      <c r="AG305" s="152">
        <f>IF($B305=1,$G$41,IF(N(Vintage_Input!Q256)&gt;0,Vintage_Input!AO256/Vintage_Input!Q256,""))</f>
        <v/>
      </c>
      <c r="AH305" s="152">
        <f>IF($B305=1,$H$41,IF(N(Vintage_Input!R256)&gt;0,Vintage_Input!AP256/Vintage_Input!R256,""))</f>
        <v/>
      </c>
      <c r="AI305" s="152">
        <f>IF($B305=1,$I$41,IF(N(Vintage_Input!S256)&gt;0,Vintage_Input!AQ256/Vintage_Input!S256,""))</f>
        <v/>
      </c>
      <c r="AJ305" s="152">
        <f>IF($B305=1,$B$42,IF(N(Vintage_Input!L256)&gt;0,IFERROR(Vintage_Input!AR256/Vintage_Input!AJ256,""),""))</f>
        <v/>
      </c>
      <c r="AK305" s="152">
        <f>IF($B305=1,$C$42,IF(N(Vintage_Input!M256)&gt;0,IFERROR(Vintage_Input!AS256/Vintage_Input!AK256,""),""))</f>
        <v/>
      </c>
      <c r="AL305" s="152">
        <f>IF($B305=1,$D$42,IF(N(Vintage_Input!N256)&gt;0,IFERROR(Vintage_Input!AT256/Vintage_Input!AL256,""),""))</f>
        <v/>
      </c>
      <c r="AM305" s="152">
        <f>IF($B305=1,$E$42,IF(N(Vintage_Input!O256)&gt;0,IFERROR(Vintage_Input!AU256/Vintage_Input!AM256,""),""))</f>
        <v/>
      </c>
      <c r="AN305" s="152">
        <f>IF($B305=1,$F$42,IF(N(Vintage_Input!P256)&gt;0,IFERROR(Vintage_Input!AV256/Vintage_Input!AN256,""),""))</f>
        <v/>
      </c>
      <c r="AO305" s="152">
        <f>IF($B305=1,$G$42,IF(N(Vintage_Input!Q256)&gt;0,IFERROR(Vintage_Input!AW256/Vintage_Input!AO256,""),""))</f>
        <v/>
      </c>
      <c r="AP305" s="152">
        <f>IF($B305=1,$H$42,IF(N(Vintage_Input!R256)&gt;0,IFERROR(Vintage_Input!AX256/Vintage_Input!AP256,""),""))</f>
        <v/>
      </c>
      <c r="AQ305" s="152">
        <f>IF($B305=1,$I$42,IF(N(Vintage_Input!S256)&gt;0,IFERROR(Vintage_Input!AY256/Vintage_Input!AQ256,""),""))</f>
        <v/>
      </c>
      <c r="AR305" s="152">
        <f>IF($B305=1,$B$43,IF(N(Vintage_Input!L256)&gt;0,IFERROR(Vintage_Input!AZ256/$C305,""),""))</f>
        <v/>
      </c>
      <c r="AS305" s="152">
        <f>IF($B305=1,$C$43,IF(N(Vintage_Input!M256)&gt;0,IFERROR(Vintage_Input!BA256/$C305,""),""))</f>
        <v/>
      </c>
      <c r="AT305" s="152">
        <f>IF($B305=1,$D$43,IF(N(Vintage_Input!N256)&gt;0,IFERROR(Vintage_Input!BB256/$C305,""),""))</f>
        <v/>
      </c>
      <c r="AU305" s="152">
        <f>IF($B305=1,$E$43,IF(N(Vintage_Input!O256)&gt;0,IFERROR(Vintage_Input!BC256/$C305,""),""))</f>
        <v/>
      </c>
      <c r="AV305" s="152">
        <f>IF($B305=1,$F$43,IF(N(Vintage_Input!P256)&gt;0,IFERROR(Vintage_Input!BD256/$C305,""),""))</f>
        <v/>
      </c>
      <c r="AW305" s="152">
        <f>IF($B305=1,$G$43,IF(N(Vintage_Input!Q256)&gt;0,IFERROR(Vintage_Input!BE256/$C305,""),""))</f>
        <v/>
      </c>
      <c r="AX305" s="152">
        <f>IF($B305=1,$H$43,IF(N(Vintage_Input!R256)&gt;0,IFERROR(Vintage_Input!BF256/$C305,""),""))</f>
        <v/>
      </c>
      <c r="AY305" s="152">
        <f>IF($B305=1,$I$43,IF(N(Vintage_Input!S256)&gt;0,IFERROR(Vintage_Input!BG256/$C305,""),""))</f>
        <v/>
      </c>
      <c r="AZ305" s="153">
        <f>IF($B305=1,$B$44,IF(N(Vintage_Input!L256)&gt;0,IFERROR((Vintage_Input!D256+Vintage_Input!AR256)/$C305+Products!$F$14-(Products!$F$43+Products!$F$19+Products!$F$43*Products!$F$22+Products!$F$44),""),""))</f>
        <v/>
      </c>
      <c r="BA305" s="153">
        <f>IF($B305=1,$C$44,IF(N(Vintage_Input!M256)&gt;0,IFERROR((Vintage_Input!E256+Vintage_Input!AS256)/$C305+Products!$F$14-(Products!$F$43+Products!$F$19+Products!$F$43*Products!$F$22+Products!$F$44),""),""))</f>
        <v/>
      </c>
      <c r="BB305" s="153">
        <f>IF($B305=1,$D$44,IF(N(Vintage_Input!N256)&gt;0,IFERROR((Vintage_Input!F256+Vintage_Input!AT256)/$C305+Products!$F$14-(Products!$F$43+Products!$F$19+Products!$F$43*Products!$F$22+Products!$F$44),""),""))</f>
        <v/>
      </c>
      <c r="BC305" s="153">
        <f>IF($B305=1,$E$44,IF(N(Vintage_Input!O256)&gt;0,IFERROR((Vintage_Input!G256+Vintage_Input!AU256)/$C305+Products!$F$14-(Products!$F$43+Products!$F$19+Products!$F$43*Products!$F$22+Products!$F$44),""),""))</f>
        <v/>
      </c>
      <c r="BD305" s="153">
        <f>IF($B305=1,$F$44,IF(N(Vintage_Input!P256)&gt;0,IFERROR((Vintage_Input!H256+Vintage_Input!AV256)/$C305+Products!$F$14-(Products!$F$43+Products!$F$19+Products!$F$43*Products!$F$22+Products!$F$44),""),""))</f>
        <v/>
      </c>
      <c r="BE305" s="153">
        <f>IF($B305=1,$G$44,IF(N(Vintage_Input!Q256)&gt;0,IFERROR((Vintage_Input!I256+Vintage_Input!AW256)/$C305+Products!$F$14-(Products!$F$43+Products!$F$19+Products!$F$43*Products!$F$22+Products!$F$44),""),""))</f>
        <v/>
      </c>
      <c r="BF305" s="153">
        <f>IF($B305=1,$H$44,IF(N(Vintage_Input!R256)&gt;0,IFERROR((Vintage_Input!J256+Vintage_Input!AX256)/$C305+Products!$F$14-(Products!$F$43+Products!$F$19+Products!$F$43*Products!$F$22+Products!$F$44),""),""))</f>
        <v/>
      </c>
      <c r="BG305" s="153">
        <f>IF($B305=1,$I$44,IF(N(Vintage_Input!S256)&gt;0,IFERROR((Vintage_Input!K256+Vintage_Input!AY256)/$C305+Products!$F$14-(Products!$F$43+Products!$F$19+Products!$F$43*Products!$F$22+Products!$F$44),""),""))</f>
        <v/>
      </c>
      <c r="BH305" s="81">
        <f>IF($B305=1,0,IF(Vintage_Input!$BH$256="","",Vintage_Input!$BH$256))</f>
        <v/>
      </c>
    </row>
    <row r="306">
      <c r="A306" s="23" t="n">
        <v>54</v>
      </c>
      <c r="B306" s="48">
        <f>Vintage_Input!$B$257</f>
        <v/>
      </c>
      <c r="C306" s="41">
        <f>IF(Vintage_Input!$C$257="",0,Vintage_Input!$C$257)</f>
        <v/>
      </c>
      <c r="D306" s="152">
        <f>IF($B306=1,$B$38,IF(N(Vintage_Input!L257)&gt;0,Vintage_Input!D257/Vintage_Input!L257,""))</f>
        <v/>
      </c>
      <c r="E306" s="152">
        <f>IF($B306=1,$C$38,IF(N(Vintage_Input!M257)&gt;0,Vintage_Input!E257/Vintage_Input!M257,""))</f>
        <v/>
      </c>
      <c r="F306" s="152">
        <f>IF($B306=1,$D$38,IF(N(Vintage_Input!N257)&gt;0,Vintage_Input!F257/Vintage_Input!N257,""))</f>
        <v/>
      </c>
      <c r="G306" s="152">
        <f>IF($B306=1,$E$38,IF(N(Vintage_Input!O257)&gt;0,Vintage_Input!G257/Vintage_Input!O257,""))</f>
        <v/>
      </c>
      <c r="H306" s="152">
        <f>IF($B306=1,$F$38,IF(N(Vintage_Input!P257)&gt;0,Vintage_Input!H257/Vintage_Input!P257,""))</f>
        <v/>
      </c>
      <c r="I306" s="152">
        <f>IF($B306=1,$G$38,IF(N(Vintage_Input!Q257)&gt;0,Vintage_Input!I257/Vintage_Input!Q257,""))</f>
        <v/>
      </c>
      <c r="J306" s="152">
        <f>IF($B306=1,$H$38,IF(N(Vintage_Input!R257)&gt;0,Vintage_Input!J257/Vintage_Input!R257,""))</f>
        <v/>
      </c>
      <c r="K306" s="152">
        <f>IF($B306=1,$I$38,IF(N(Vintage_Input!S257)&gt;0,Vintage_Input!K257/Vintage_Input!S257,""))</f>
        <v/>
      </c>
      <c r="L306" s="152">
        <f>IF($B306=1,$B$39,IF(N(Vintage_Input!L257)&gt;0,Vintage_Input!T257/Vintage_Input!L257,""))</f>
        <v/>
      </c>
      <c r="M306" s="152">
        <f>IF($B306=1,$C$39,IF(N(Vintage_Input!M257)&gt;0,Vintage_Input!U257/Vintage_Input!M257,""))</f>
        <v/>
      </c>
      <c r="N306" s="152">
        <f>IF($B306=1,$D$39,IF(N(Vintage_Input!N257)&gt;0,Vintage_Input!V257/Vintage_Input!N257,""))</f>
        <v/>
      </c>
      <c r="O306" s="152">
        <f>IF($B306=1,$E$39,IF(N(Vintage_Input!O257)&gt;0,Vintage_Input!W257/Vintage_Input!O257,""))</f>
        <v/>
      </c>
      <c r="P306" s="152">
        <f>IF($B306=1,$F$39,IF(N(Vintage_Input!P257)&gt;0,Vintage_Input!X257/Vintage_Input!P257,""))</f>
        <v/>
      </c>
      <c r="Q306" s="152">
        <f>IF($B306=1,$G$39,IF(N(Vintage_Input!Q257)&gt;0,Vintage_Input!Y257/Vintage_Input!Q257,""))</f>
        <v/>
      </c>
      <c r="R306" s="152">
        <f>IF($B306=1,$H$39,IF(N(Vintage_Input!R257)&gt;0,Vintage_Input!Z257/Vintage_Input!R257,""))</f>
        <v/>
      </c>
      <c r="S306" s="152">
        <f>IF($B306=1,$I$39,IF(N(Vintage_Input!S257)&gt;0,Vintage_Input!AA257/Vintage_Input!S257,""))</f>
        <v/>
      </c>
      <c r="T306" s="152">
        <f>IF($B306=1,$B$40,IF(N(Vintage_Input!L257)&gt;0,Vintage_Input!AB257/Vintage_Input!L257,""))</f>
        <v/>
      </c>
      <c r="U306" s="152">
        <f>IF($B306=1,$C$40,IF(N(Vintage_Input!M257)&gt;0,Vintage_Input!AC257/Vintage_Input!M257,""))</f>
        <v/>
      </c>
      <c r="V306" s="152">
        <f>IF($B306=1,$D$40,IF(N(Vintage_Input!N257)&gt;0,Vintage_Input!AD257/Vintage_Input!N257,""))</f>
        <v/>
      </c>
      <c r="W306" s="152">
        <f>IF($B306=1,$E$40,IF(N(Vintage_Input!O257)&gt;0,Vintage_Input!AE257/Vintage_Input!O257,""))</f>
        <v/>
      </c>
      <c r="X306" s="152">
        <f>IF($B306=1,$F$40,IF(N(Vintage_Input!P257)&gt;0,Vintage_Input!AF257/Vintage_Input!P257,""))</f>
        <v/>
      </c>
      <c r="Y306" s="152">
        <f>IF($B306=1,$G$40,IF(N(Vintage_Input!Q257)&gt;0,Vintage_Input!AG257/Vintage_Input!Q257,""))</f>
        <v/>
      </c>
      <c r="Z306" s="152">
        <f>IF($B306=1,$H$40,IF(N(Vintage_Input!R257)&gt;0,Vintage_Input!AH257/Vintage_Input!R257,""))</f>
        <v/>
      </c>
      <c r="AA306" s="152">
        <f>IF($B306=1,$I$40,IF(N(Vintage_Input!S257)&gt;0,Vintage_Input!AI257/Vintage_Input!S257,""))</f>
        <v/>
      </c>
      <c r="AB306" s="152">
        <f>IF($B306=1,$B$41,IF(N(Vintage_Input!L257)&gt;0,Vintage_Input!AJ257/Vintage_Input!L257,""))</f>
        <v/>
      </c>
      <c r="AC306" s="152">
        <f>IF($B306=1,$C$41,IF(N(Vintage_Input!M257)&gt;0,Vintage_Input!AK257/Vintage_Input!M257,""))</f>
        <v/>
      </c>
      <c r="AD306" s="152">
        <f>IF($B306=1,$D$41,IF(N(Vintage_Input!N257)&gt;0,Vintage_Input!AL257/Vintage_Input!N257,""))</f>
        <v/>
      </c>
      <c r="AE306" s="152">
        <f>IF($B306=1,$E$41,IF(N(Vintage_Input!O257)&gt;0,Vintage_Input!AM257/Vintage_Input!O257,""))</f>
        <v/>
      </c>
      <c r="AF306" s="152">
        <f>IF($B306=1,$F$41,IF(N(Vintage_Input!P257)&gt;0,Vintage_Input!AN257/Vintage_Input!P257,""))</f>
        <v/>
      </c>
      <c r="AG306" s="152">
        <f>IF($B306=1,$G$41,IF(N(Vintage_Input!Q257)&gt;0,Vintage_Input!AO257/Vintage_Input!Q257,""))</f>
        <v/>
      </c>
      <c r="AH306" s="152">
        <f>IF($B306=1,$H$41,IF(N(Vintage_Input!R257)&gt;0,Vintage_Input!AP257/Vintage_Input!R257,""))</f>
        <v/>
      </c>
      <c r="AI306" s="152">
        <f>IF($B306=1,$I$41,IF(N(Vintage_Input!S257)&gt;0,Vintage_Input!AQ257/Vintage_Input!S257,""))</f>
        <v/>
      </c>
      <c r="AJ306" s="152">
        <f>IF($B306=1,$B$42,IF(N(Vintage_Input!L257)&gt;0,IFERROR(Vintage_Input!AR257/Vintage_Input!AJ257,""),""))</f>
        <v/>
      </c>
      <c r="AK306" s="152">
        <f>IF($B306=1,$C$42,IF(N(Vintage_Input!M257)&gt;0,IFERROR(Vintage_Input!AS257/Vintage_Input!AK257,""),""))</f>
        <v/>
      </c>
      <c r="AL306" s="152">
        <f>IF($B306=1,$D$42,IF(N(Vintage_Input!N257)&gt;0,IFERROR(Vintage_Input!AT257/Vintage_Input!AL257,""),""))</f>
        <v/>
      </c>
      <c r="AM306" s="152">
        <f>IF($B306=1,$E$42,IF(N(Vintage_Input!O257)&gt;0,IFERROR(Vintage_Input!AU257/Vintage_Input!AM257,""),""))</f>
        <v/>
      </c>
      <c r="AN306" s="152">
        <f>IF($B306=1,$F$42,IF(N(Vintage_Input!P257)&gt;0,IFERROR(Vintage_Input!AV257/Vintage_Input!AN257,""),""))</f>
        <v/>
      </c>
      <c r="AO306" s="152">
        <f>IF($B306=1,$G$42,IF(N(Vintage_Input!Q257)&gt;0,IFERROR(Vintage_Input!AW257/Vintage_Input!AO257,""),""))</f>
        <v/>
      </c>
      <c r="AP306" s="152">
        <f>IF($B306=1,$H$42,IF(N(Vintage_Input!R257)&gt;0,IFERROR(Vintage_Input!AX257/Vintage_Input!AP257,""),""))</f>
        <v/>
      </c>
      <c r="AQ306" s="152">
        <f>IF($B306=1,$I$42,IF(N(Vintage_Input!S257)&gt;0,IFERROR(Vintage_Input!AY257/Vintage_Input!AQ257,""),""))</f>
        <v/>
      </c>
      <c r="AR306" s="152">
        <f>IF($B306=1,$B$43,IF(N(Vintage_Input!L257)&gt;0,IFERROR(Vintage_Input!AZ257/$C306,""),""))</f>
        <v/>
      </c>
      <c r="AS306" s="152">
        <f>IF($B306=1,$C$43,IF(N(Vintage_Input!M257)&gt;0,IFERROR(Vintage_Input!BA257/$C306,""),""))</f>
        <v/>
      </c>
      <c r="AT306" s="152">
        <f>IF($B306=1,$D$43,IF(N(Vintage_Input!N257)&gt;0,IFERROR(Vintage_Input!BB257/$C306,""),""))</f>
        <v/>
      </c>
      <c r="AU306" s="152">
        <f>IF($B306=1,$E$43,IF(N(Vintage_Input!O257)&gt;0,IFERROR(Vintage_Input!BC257/$C306,""),""))</f>
        <v/>
      </c>
      <c r="AV306" s="152">
        <f>IF($B306=1,$F$43,IF(N(Vintage_Input!P257)&gt;0,IFERROR(Vintage_Input!BD257/$C306,""),""))</f>
        <v/>
      </c>
      <c r="AW306" s="152">
        <f>IF($B306=1,$G$43,IF(N(Vintage_Input!Q257)&gt;0,IFERROR(Vintage_Input!BE257/$C306,""),""))</f>
        <v/>
      </c>
      <c r="AX306" s="152">
        <f>IF($B306=1,$H$43,IF(N(Vintage_Input!R257)&gt;0,IFERROR(Vintage_Input!BF257/$C306,""),""))</f>
        <v/>
      </c>
      <c r="AY306" s="152">
        <f>IF($B306=1,$I$43,IF(N(Vintage_Input!S257)&gt;0,IFERROR(Vintage_Input!BG257/$C306,""),""))</f>
        <v/>
      </c>
      <c r="AZ306" s="153">
        <f>IF($B306=1,$B$44,IF(N(Vintage_Input!L257)&gt;0,IFERROR((Vintage_Input!D257+Vintage_Input!AR257)/$C306+Products!$F$14-(Products!$F$43+Products!$F$19+Products!$F$43*Products!$F$22+Products!$F$44),""),""))</f>
        <v/>
      </c>
      <c r="BA306" s="153">
        <f>IF($B306=1,$C$44,IF(N(Vintage_Input!M257)&gt;0,IFERROR((Vintage_Input!E257+Vintage_Input!AS257)/$C306+Products!$F$14-(Products!$F$43+Products!$F$19+Products!$F$43*Products!$F$22+Products!$F$44),""),""))</f>
        <v/>
      </c>
      <c r="BB306" s="153">
        <f>IF($B306=1,$D$44,IF(N(Vintage_Input!N257)&gt;0,IFERROR((Vintage_Input!F257+Vintage_Input!AT257)/$C306+Products!$F$14-(Products!$F$43+Products!$F$19+Products!$F$43*Products!$F$22+Products!$F$44),""),""))</f>
        <v/>
      </c>
      <c r="BC306" s="153">
        <f>IF($B306=1,$E$44,IF(N(Vintage_Input!O257)&gt;0,IFERROR((Vintage_Input!G257+Vintage_Input!AU257)/$C306+Products!$F$14-(Products!$F$43+Products!$F$19+Products!$F$43*Products!$F$22+Products!$F$44),""),""))</f>
        <v/>
      </c>
      <c r="BD306" s="153">
        <f>IF($B306=1,$F$44,IF(N(Vintage_Input!P257)&gt;0,IFERROR((Vintage_Input!H257+Vintage_Input!AV257)/$C306+Products!$F$14-(Products!$F$43+Products!$F$19+Products!$F$43*Products!$F$22+Products!$F$44),""),""))</f>
        <v/>
      </c>
      <c r="BE306" s="153">
        <f>IF($B306=1,$G$44,IF(N(Vintage_Input!Q257)&gt;0,IFERROR((Vintage_Input!I257+Vintage_Input!AW257)/$C306+Products!$F$14-(Products!$F$43+Products!$F$19+Products!$F$43*Products!$F$22+Products!$F$44),""),""))</f>
        <v/>
      </c>
      <c r="BF306" s="153">
        <f>IF($B306=1,$H$44,IF(N(Vintage_Input!R257)&gt;0,IFERROR((Vintage_Input!J257+Vintage_Input!AX257)/$C306+Products!$F$14-(Products!$F$43+Products!$F$19+Products!$F$43*Products!$F$22+Products!$F$44),""),""))</f>
        <v/>
      </c>
      <c r="BG306" s="153">
        <f>IF($B306=1,$I$44,IF(N(Vintage_Input!S257)&gt;0,IFERROR((Vintage_Input!K257+Vintage_Input!AY257)/$C306+Products!$F$14-(Products!$F$43+Products!$F$19+Products!$F$43*Products!$F$22+Products!$F$44),""),""))</f>
        <v/>
      </c>
      <c r="BH306" s="81">
        <f>IF($B306=1,0,IF(Vintage_Input!$BH$257="","",Vintage_Input!$BH$257))</f>
        <v/>
      </c>
    </row>
    <row r="307">
      <c r="A307" s="23" t="n">
        <v>55</v>
      </c>
      <c r="B307" s="48">
        <f>Vintage_Input!$B$258</f>
        <v/>
      </c>
      <c r="C307" s="41">
        <f>IF(Vintage_Input!$C$258="",0,Vintage_Input!$C$258)</f>
        <v/>
      </c>
      <c r="D307" s="152">
        <f>IF($B307=1,$B$38,IF(N(Vintage_Input!L258)&gt;0,Vintage_Input!D258/Vintage_Input!L258,""))</f>
        <v/>
      </c>
      <c r="E307" s="152">
        <f>IF($B307=1,$C$38,IF(N(Vintage_Input!M258)&gt;0,Vintage_Input!E258/Vintage_Input!M258,""))</f>
        <v/>
      </c>
      <c r="F307" s="152">
        <f>IF($B307=1,$D$38,IF(N(Vintage_Input!N258)&gt;0,Vintage_Input!F258/Vintage_Input!N258,""))</f>
        <v/>
      </c>
      <c r="G307" s="152">
        <f>IF($B307=1,$E$38,IF(N(Vintage_Input!O258)&gt;0,Vintage_Input!G258/Vintage_Input!O258,""))</f>
        <v/>
      </c>
      <c r="H307" s="152">
        <f>IF($B307=1,$F$38,IF(N(Vintage_Input!P258)&gt;0,Vintage_Input!H258/Vintage_Input!P258,""))</f>
        <v/>
      </c>
      <c r="I307" s="152">
        <f>IF($B307=1,$G$38,IF(N(Vintage_Input!Q258)&gt;0,Vintage_Input!I258/Vintage_Input!Q258,""))</f>
        <v/>
      </c>
      <c r="J307" s="152">
        <f>IF($B307=1,$H$38,IF(N(Vintage_Input!R258)&gt;0,Vintage_Input!J258/Vintage_Input!R258,""))</f>
        <v/>
      </c>
      <c r="K307" s="152">
        <f>IF($B307=1,$I$38,IF(N(Vintage_Input!S258)&gt;0,Vintage_Input!K258/Vintage_Input!S258,""))</f>
        <v/>
      </c>
      <c r="L307" s="152">
        <f>IF($B307=1,$B$39,IF(N(Vintage_Input!L258)&gt;0,Vintage_Input!T258/Vintage_Input!L258,""))</f>
        <v/>
      </c>
      <c r="M307" s="152">
        <f>IF($B307=1,$C$39,IF(N(Vintage_Input!M258)&gt;0,Vintage_Input!U258/Vintage_Input!M258,""))</f>
        <v/>
      </c>
      <c r="N307" s="152">
        <f>IF($B307=1,$D$39,IF(N(Vintage_Input!N258)&gt;0,Vintage_Input!V258/Vintage_Input!N258,""))</f>
        <v/>
      </c>
      <c r="O307" s="152">
        <f>IF($B307=1,$E$39,IF(N(Vintage_Input!O258)&gt;0,Vintage_Input!W258/Vintage_Input!O258,""))</f>
        <v/>
      </c>
      <c r="P307" s="152">
        <f>IF($B307=1,$F$39,IF(N(Vintage_Input!P258)&gt;0,Vintage_Input!X258/Vintage_Input!P258,""))</f>
        <v/>
      </c>
      <c r="Q307" s="152">
        <f>IF($B307=1,$G$39,IF(N(Vintage_Input!Q258)&gt;0,Vintage_Input!Y258/Vintage_Input!Q258,""))</f>
        <v/>
      </c>
      <c r="R307" s="152">
        <f>IF($B307=1,$H$39,IF(N(Vintage_Input!R258)&gt;0,Vintage_Input!Z258/Vintage_Input!R258,""))</f>
        <v/>
      </c>
      <c r="S307" s="152">
        <f>IF($B307=1,$I$39,IF(N(Vintage_Input!S258)&gt;0,Vintage_Input!AA258/Vintage_Input!S258,""))</f>
        <v/>
      </c>
      <c r="T307" s="152">
        <f>IF($B307=1,$B$40,IF(N(Vintage_Input!L258)&gt;0,Vintage_Input!AB258/Vintage_Input!L258,""))</f>
        <v/>
      </c>
      <c r="U307" s="152">
        <f>IF($B307=1,$C$40,IF(N(Vintage_Input!M258)&gt;0,Vintage_Input!AC258/Vintage_Input!M258,""))</f>
        <v/>
      </c>
      <c r="V307" s="152">
        <f>IF($B307=1,$D$40,IF(N(Vintage_Input!N258)&gt;0,Vintage_Input!AD258/Vintage_Input!N258,""))</f>
        <v/>
      </c>
      <c r="W307" s="152">
        <f>IF($B307=1,$E$40,IF(N(Vintage_Input!O258)&gt;0,Vintage_Input!AE258/Vintage_Input!O258,""))</f>
        <v/>
      </c>
      <c r="X307" s="152">
        <f>IF($B307=1,$F$40,IF(N(Vintage_Input!P258)&gt;0,Vintage_Input!AF258/Vintage_Input!P258,""))</f>
        <v/>
      </c>
      <c r="Y307" s="152">
        <f>IF($B307=1,$G$40,IF(N(Vintage_Input!Q258)&gt;0,Vintage_Input!AG258/Vintage_Input!Q258,""))</f>
        <v/>
      </c>
      <c r="Z307" s="152">
        <f>IF($B307=1,$H$40,IF(N(Vintage_Input!R258)&gt;0,Vintage_Input!AH258/Vintage_Input!R258,""))</f>
        <v/>
      </c>
      <c r="AA307" s="152">
        <f>IF($B307=1,$I$40,IF(N(Vintage_Input!S258)&gt;0,Vintage_Input!AI258/Vintage_Input!S258,""))</f>
        <v/>
      </c>
      <c r="AB307" s="152">
        <f>IF($B307=1,$B$41,IF(N(Vintage_Input!L258)&gt;0,Vintage_Input!AJ258/Vintage_Input!L258,""))</f>
        <v/>
      </c>
      <c r="AC307" s="152">
        <f>IF($B307=1,$C$41,IF(N(Vintage_Input!M258)&gt;0,Vintage_Input!AK258/Vintage_Input!M258,""))</f>
        <v/>
      </c>
      <c r="AD307" s="152">
        <f>IF($B307=1,$D$41,IF(N(Vintage_Input!N258)&gt;0,Vintage_Input!AL258/Vintage_Input!N258,""))</f>
        <v/>
      </c>
      <c r="AE307" s="152">
        <f>IF($B307=1,$E$41,IF(N(Vintage_Input!O258)&gt;0,Vintage_Input!AM258/Vintage_Input!O258,""))</f>
        <v/>
      </c>
      <c r="AF307" s="152">
        <f>IF($B307=1,$F$41,IF(N(Vintage_Input!P258)&gt;0,Vintage_Input!AN258/Vintage_Input!P258,""))</f>
        <v/>
      </c>
      <c r="AG307" s="152">
        <f>IF($B307=1,$G$41,IF(N(Vintage_Input!Q258)&gt;0,Vintage_Input!AO258/Vintage_Input!Q258,""))</f>
        <v/>
      </c>
      <c r="AH307" s="152">
        <f>IF($B307=1,$H$41,IF(N(Vintage_Input!R258)&gt;0,Vintage_Input!AP258/Vintage_Input!R258,""))</f>
        <v/>
      </c>
      <c r="AI307" s="152">
        <f>IF($B307=1,$I$41,IF(N(Vintage_Input!S258)&gt;0,Vintage_Input!AQ258/Vintage_Input!S258,""))</f>
        <v/>
      </c>
      <c r="AJ307" s="152">
        <f>IF($B307=1,$B$42,IF(N(Vintage_Input!L258)&gt;0,IFERROR(Vintage_Input!AR258/Vintage_Input!AJ258,""),""))</f>
        <v/>
      </c>
      <c r="AK307" s="152">
        <f>IF($B307=1,$C$42,IF(N(Vintage_Input!M258)&gt;0,IFERROR(Vintage_Input!AS258/Vintage_Input!AK258,""),""))</f>
        <v/>
      </c>
      <c r="AL307" s="152">
        <f>IF($B307=1,$D$42,IF(N(Vintage_Input!N258)&gt;0,IFERROR(Vintage_Input!AT258/Vintage_Input!AL258,""),""))</f>
        <v/>
      </c>
      <c r="AM307" s="152">
        <f>IF($B307=1,$E$42,IF(N(Vintage_Input!O258)&gt;0,IFERROR(Vintage_Input!AU258/Vintage_Input!AM258,""),""))</f>
        <v/>
      </c>
      <c r="AN307" s="152">
        <f>IF($B307=1,$F$42,IF(N(Vintage_Input!P258)&gt;0,IFERROR(Vintage_Input!AV258/Vintage_Input!AN258,""),""))</f>
        <v/>
      </c>
      <c r="AO307" s="152">
        <f>IF($B307=1,$G$42,IF(N(Vintage_Input!Q258)&gt;0,IFERROR(Vintage_Input!AW258/Vintage_Input!AO258,""),""))</f>
        <v/>
      </c>
      <c r="AP307" s="152">
        <f>IF($B307=1,$H$42,IF(N(Vintage_Input!R258)&gt;0,IFERROR(Vintage_Input!AX258/Vintage_Input!AP258,""),""))</f>
        <v/>
      </c>
      <c r="AQ307" s="152">
        <f>IF($B307=1,$I$42,IF(N(Vintage_Input!S258)&gt;0,IFERROR(Vintage_Input!AY258/Vintage_Input!AQ258,""),""))</f>
        <v/>
      </c>
      <c r="AR307" s="152">
        <f>IF($B307=1,$B$43,IF(N(Vintage_Input!L258)&gt;0,IFERROR(Vintage_Input!AZ258/$C307,""),""))</f>
        <v/>
      </c>
      <c r="AS307" s="152">
        <f>IF($B307=1,$C$43,IF(N(Vintage_Input!M258)&gt;0,IFERROR(Vintage_Input!BA258/$C307,""),""))</f>
        <v/>
      </c>
      <c r="AT307" s="152">
        <f>IF($B307=1,$D$43,IF(N(Vintage_Input!N258)&gt;0,IFERROR(Vintage_Input!BB258/$C307,""),""))</f>
        <v/>
      </c>
      <c r="AU307" s="152">
        <f>IF($B307=1,$E$43,IF(N(Vintage_Input!O258)&gt;0,IFERROR(Vintage_Input!BC258/$C307,""),""))</f>
        <v/>
      </c>
      <c r="AV307" s="152">
        <f>IF($B307=1,$F$43,IF(N(Vintage_Input!P258)&gt;0,IFERROR(Vintage_Input!BD258/$C307,""),""))</f>
        <v/>
      </c>
      <c r="AW307" s="152">
        <f>IF($B307=1,$G$43,IF(N(Vintage_Input!Q258)&gt;0,IFERROR(Vintage_Input!BE258/$C307,""),""))</f>
        <v/>
      </c>
      <c r="AX307" s="152">
        <f>IF($B307=1,$H$43,IF(N(Vintage_Input!R258)&gt;0,IFERROR(Vintage_Input!BF258/$C307,""),""))</f>
        <v/>
      </c>
      <c r="AY307" s="152">
        <f>IF($B307=1,$I$43,IF(N(Vintage_Input!S258)&gt;0,IFERROR(Vintage_Input!BG258/$C307,""),""))</f>
        <v/>
      </c>
      <c r="AZ307" s="153">
        <f>IF($B307=1,$B$44,IF(N(Vintage_Input!L258)&gt;0,IFERROR((Vintage_Input!D258+Vintage_Input!AR258)/$C307+Products!$F$14-(Products!$F$43+Products!$F$19+Products!$F$43*Products!$F$22+Products!$F$44),""),""))</f>
        <v/>
      </c>
      <c r="BA307" s="153">
        <f>IF($B307=1,$C$44,IF(N(Vintage_Input!M258)&gt;0,IFERROR((Vintage_Input!E258+Vintage_Input!AS258)/$C307+Products!$F$14-(Products!$F$43+Products!$F$19+Products!$F$43*Products!$F$22+Products!$F$44),""),""))</f>
        <v/>
      </c>
      <c r="BB307" s="153">
        <f>IF($B307=1,$D$44,IF(N(Vintage_Input!N258)&gt;0,IFERROR((Vintage_Input!F258+Vintage_Input!AT258)/$C307+Products!$F$14-(Products!$F$43+Products!$F$19+Products!$F$43*Products!$F$22+Products!$F$44),""),""))</f>
        <v/>
      </c>
      <c r="BC307" s="153">
        <f>IF($B307=1,$E$44,IF(N(Vintage_Input!O258)&gt;0,IFERROR((Vintage_Input!G258+Vintage_Input!AU258)/$C307+Products!$F$14-(Products!$F$43+Products!$F$19+Products!$F$43*Products!$F$22+Products!$F$44),""),""))</f>
        <v/>
      </c>
      <c r="BD307" s="153">
        <f>IF($B307=1,$F$44,IF(N(Vintage_Input!P258)&gt;0,IFERROR((Vintage_Input!H258+Vintage_Input!AV258)/$C307+Products!$F$14-(Products!$F$43+Products!$F$19+Products!$F$43*Products!$F$22+Products!$F$44),""),""))</f>
        <v/>
      </c>
      <c r="BE307" s="153">
        <f>IF($B307=1,$G$44,IF(N(Vintage_Input!Q258)&gt;0,IFERROR((Vintage_Input!I258+Vintage_Input!AW258)/$C307+Products!$F$14-(Products!$F$43+Products!$F$19+Products!$F$43*Products!$F$22+Products!$F$44),""),""))</f>
        <v/>
      </c>
      <c r="BF307" s="153">
        <f>IF($B307=1,$H$44,IF(N(Vintage_Input!R258)&gt;0,IFERROR((Vintage_Input!J258+Vintage_Input!AX258)/$C307+Products!$F$14-(Products!$F$43+Products!$F$19+Products!$F$43*Products!$F$22+Products!$F$44),""),""))</f>
        <v/>
      </c>
      <c r="BG307" s="153">
        <f>IF($B307=1,$I$44,IF(N(Vintage_Input!S258)&gt;0,IFERROR((Vintage_Input!K258+Vintage_Input!AY258)/$C307+Products!$F$14-(Products!$F$43+Products!$F$19+Products!$F$43*Products!$F$22+Products!$F$44),""),""))</f>
        <v/>
      </c>
      <c r="BH307" s="81">
        <f>IF($B307=1,0,IF(Vintage_Input!$BH$258="","",Vintage_Input!$BH$258))</f>
        <v/>
      </c>
    </row>
    <row r="308">
      <c r="A308" s="23" t="n">
        <v>56</v>
      </c>
      <c r="B308" s="48">
        <f>Vintage_Input!$B$259</f>
        <v/>
      </c>
      <c r="C308" s="41">
        <f>IF(Vintage_Input!$C$259="",0,Vintage_Input!$C$259)</f>
        <v/>
      </c>
      <c r="D308" s="152">
        <f>IF($B308=1,$B$38,IF(N(Vintage_Input!L259)&gt;0,Vintage_Input!D259/Vintage_Input!L259,""))</f>
        <v/>
      </c>
      <c r="E308" s="152">
        <f>IF($B308=1,$C$38,IF(N(Vintage_Input!M259)&gt;0,Vintage_Input!E259/Vintage_Input!M259,""))</f>
        <v/>
      </c>
      <c r="F308" s="152">
        <f>IF($B308=1,$D$38,IF(N(Vintage_Input!N259)&gt;0,Vintage_Input!F259/Vintage_Input!N259,""))</f>
        <v/>
      </c>
      <c r="G308" s="152">
        <f>IF($B308=1,$E$38,IF(N(Vintage_Input!O259)&gt;0,Vintage_Input!G259/Vintage_Input!O259,""))</f>
        <v/>
      </c>
      <c r="H308" s="152">
        <f>IF($B308=1,$F$38,IF(N(Vintage_Input!P259)&gt;0,Vintage_Input!H259/Vintage_Input!P259,""))</f>
        <v/>
      </c>
      <c r="I308" s="152">
        <f>IF($B308=1,$G$38,IF(N(Vintage_Input!Q259)&gt;0,Vintage_Input!I259/Vintage_Input!Q259,""))</f>
        <v/>
      </c>
      <c r="J308" s="152">
        <f>IF($B308=1,$H$38,IF(N(Vintage_Input!R259)&gt;0,Vintage_Input!J259/Vintage_Input!R259,""))</f>
        <v/>
      </c>
      <c r="K308" s="152">
        <f>IF($B308=1,$I$38,IF(N(Vintage_Input!S259)&gt;0,Vintage_Input!K259/Vintage_Input!S259,""))</f>
        <v/>
      </c>
      <c r="L308" s="152">
        <f>IF($B308=1,$B$39,IF(N(Vintage_Input!L259)&gt;0,Vintage_Input!T259/Vintage_Input!L259,""))</f>
        <v/>
      </c>
      <c r="M308" s="152">
        <f>IF($B308=1,$C$39,IF(N(Vintage_Input!M259)&gt;0,Vintage_Input!U259/Vintage_Input!M259,""))</f>
        <v/>
      </c>
      <c r="N308" s="152">
        <f>IF($B308=1,$D$39,IF(N(Vintage_Input!N259)&gt;0,Vintage_Input!V259/Vintage_Input!N259,""))</f>
        <v/>
      </c>
      <c r="O308" s="152">
        <f>IF($B308=1,$E$39,IF(N(Vintage_Input!O259)&gt;0,Vintage_Input!W259/Vintage_Input!O259,""))</f>
        <v/>
      </c>
      <c r="P308" s="152">
        <f>IF($B308=1,$F$39,IF(N(Vintage_Input!P259)&gt;0,Vintage_Input!X259/Vintage_Input!P259,""))</f>
        <v/>
      </c>
      <c r="Q308" s="152">
        <f>IF($B308=1,$G$39,IF(N(Vintage_Input!Q259)&gt;0,Vintage_Input!Y259/Vintage_Input!Q259,""))</f>
        <v/>
      </c>
      <c r="R308" s="152">
        <f>IF($B308=1,$H$39,IF(N(Vintage_Input!R259)&gt;0,Vintage_Input!Z259/Vintage_Input!R259,""))</f>
        <v/>
      </c>
      <c r="S308" s="152">
        <f>IF($B308=1,$I$39,IF(N(Vintage_Input!S259)&gt;0,Vintage_Input!AA259/Vintage_Input!S259,""))</f>
        <v/>
      </c>
      <c r="T308" s="152">
        <f>IF($B308=1,$B$40,IF(N(Vintage_Input!L259)&gt;0,Vintage_Input!AB259/Vintage_Input!L259,""))</f>
        <v/>
      </c>
      <c r="U308" s="152">
        <f>IF($B308=1,$C$40,IF(N(Vintage_Input!M259)&gt;0,Vintage_Input!AC259/Vintage_Input!M259,""))</f>
        <v/>
      </c>
      <c r="V308" s="152">
        <f>IF($B308=1,$D$40,IF(N(Vintage_Input!N259)&gt;0,Vintage_Input!AD259/Vintage_Input!N259,""))</f>
        <v/>
      </c>
      <c r="W308" s="152">
        <f>IF($B308=1,$E$40,IF(N(Vintage_Input!O259)&gt;0,Vintage_Input!AE259/Vintage_Input!O259,""))</f>
        <v/>
      </c>
      <c r="X308" s="152">
        <f>IF($B308=1,$F$40,IF(N(Vintage_Input!P259)&gt;0,Vintage_Input!AF259/Vintage_Input!P259,""))</f>
        <v/>
      </c>
      <c r="Y308" s="152">
        <f>IF($B308=1,$G$40,IF(N(Vintage_Input!Q259)&gt;0,Vintage_Input!AG259/Vintage_Input!Q259,""))</f>
        <v/>
      </c>
      <c r="Z308" s="152">
        <f>IF($B308=1,$H$40,IF(N(Vintage_Input!R259)&gt;0,Vintage_Input!AH259/Vintage_Input!R259,""))</f>
        <v/>
      </c>
      <c r="AA308" s="152">
        <f>IF($B308=1,$I$40,IF(N(Vintage_Input!S259)&gt;0,Vintage_Input!AI259/Vintage_Input!S259,""))</f>
        <v/>
      </c>
      <c r="AB308" s="152">
        <f>IF($B308=1,$B$41,IF(N(Vintage_Input!L259)&gt;0,Vintage_Input!AJ259/Vintage_Input!L259,""))</f>
        <v/>
      </c>
      <c r="AC308" s="152">
        <f>IF($B308=1,$C$41,IF(N(Vintage_Input!M259)&gt;0,Vintage_Input!AK259/Vintage_Input!M259,""))</f>
        <v/>
      </c>
      <c r="AD308" s="152">
        <f>IF($B308=1,$D$41,IF(N(Vintage_Input!N259)&gt;0,Vintage_Input!AL259/Vintage_Input!N259,""))</f>
        <v/>
      </c>
      <c r="AE308" s="152">
        <f>IF($B308=1,$E$41,IF(N(Vintage_Input!O259)&gt;0,Vintage_Input!AM259/Vintage_Input!O259,""))</f>
        <v/>
      </c>
      <c r="AF308" s="152">
        <f>IF($B308=1,$F$41,IF(N(Vintage_Input!P259)&gt;0,Vintage_Input!AN259/Vintage_Input!P259,""))</f>
        <v/>
      </c>
      <c r="AG308" s="152">
        <f>IF($B308=1,$G$41,IF(N(Vintage_Input!Q259)&gt;0,Vintage_Input!AO259/Vintage_Input!Q259,""))</f>
        <v/>
      </c>
      <c r="AH308" s="152">
        <f>IF($B308=1,$H$41,IF(N(Vintage_Input!R259)&gt;0,Vintage_Input!AP259/Vintage_Input!R259,""))</f>
        <v/>
      </c>
      <c r="AI308" s="152">
        <f>IF($B308=1,$I$41,IF(N(Vintage_Input!S259)&gt;0,Vintage_Input!AQ259/Vintage_Input!S259,""))</f>
        <v/>
      </c>
      <c r="AJ308" s="152">
        <f>IF($B308=1,$B$42,IF(N(Vintage_Input!L259)&gt;0,IFERROR(Vintage_Input!AR259/Vintage_Input!AJ259,""),""))</f>
        <v/>
      </c>
      <c r="AK308" s="152">
        <f>IF($B308=1,$C$42,IF(N(Vintage_Input!M259)&gt;0,IFERROR(Vintage_Input!AS259/Vintage_Input!AK259,""),""))</f>
        <v/>
      </c>
      <c r="AL308" s="152">
        <f>IF($B308=1,$D$42,IF(N(Vintage_Input!N259)&gt;0,IFERROR(Vintage_Input!AT259/Vintage_Input!AL259,""),""))</f>
        <v/>
      </c>
      <c r="AM308" s="152">
        <f>IF($B308=1,$E$42,IF(N(Vintage_Input!O259)&gt;0,IFERROR(Vintage_Input!AU259/Vintage_Input!AM259,""),""))</f>
        <v/>
      </c>
      <c r="AN308" s="152">
        <f>IF($B308=1,$F$42,IF(N(Vintage_Input!P259)&gt;0,IFERROR(Vintage_Input!AV259/Vintage_Input!AN259,""),""))</f>
        <v/>
      </c>
      <c r="AO308" s="152">
        <f>IF($B308=1,$G$42,IF(N(Vintage_Input!Q259)&gt;0,IFERROR(Vintage_Input!AW259/Vintage_Input!AO259,""),""))</f>
        <v/>
      </c>
      <c r="AP308" s="152">
        <f>IF($B308=1,$H$42,IF(N(Vintage_Input!R259)&gt;0,IFERROR(Vintage_Input!AX259/Vintage_Input!AP259,""),""))</f>
        <v/>
      </c>
      <c r="AQ308" s="152">
        <f>IF($B308=1,$I$42,IF(N(Vintage_Input!S259)&gt;0,IFERROR(Vintage_Input!AY259/Vintage_Input!AQ259,""),""))</f>
        <v/>
      </c>
      <c r="AR308" s="152">
        <f>IF($B308=1,$B$43,IF(N(Vintage_Input!L259)&gt;0,IFERROR(Vintage_Input!AZ259/$C308,""),""))</f>
        <v/>
      </c>
      <c r="AS308" s="152">
        <f>IF($B308=1,$C$43,IF(N(Vintage_Input!M259)&gt;0,IFERROR(Vintage_Input!BA259/$C308,""),""))</f>
        <v/>
      </c>
      <c r="AT308" s="152">
        <f>IF($B308=1,$D$43,IF(N(Vintage_Input!N259)&gt;0,IFERROR(Vintage_Input!BB259/$C308,""),""))</f>
        <v/>
      </c>
      <c r="AU308" s="152">
        <f>IF($B308=1,$E$43,IF(N(Vintage_Input!O259)&gt;0,IFERROR(Vintage_Input!BC259/$C308,""),""))</f>
        <v/>
      </c>
      <c r="AV308" s="152">
        <f>IF($B308=1,$F$43,IF(N(Vintage_Input!P259)&gt;0,IFERROR(Vintage_Input!BD259/$C308,""),""))</f>
        <v/>
      </c>
      <c r="AW308" s="152">
        <f>IF($B308=1,$G$43,IF(N(Vintage_Input!Q259)&gt;0,IFERROR(Vintage_Input!BE259/$C308,""),""))</f>
        <v/>
      </c>
      <c r="AX308" s="152">
        <f>IF($B308=1,$H$43,IF(N(Vintage_Input!R259)&gt;0,IFERROR(Vintage_Input!BF259/$C308,""),""))</f>
        <v/>
      </c>
      <c r="AY308" s="152">
        <f>IF($B308=1,$I$43,IF(N(Vintage_Input!S259)&gt;0,IFERROR(Vintage_Input!BG259/$C308,""),""))</f>
        <v/>
      </c>
      <c r="AZ308" s="153">
        <f>IF($B308=1,$B$44,IF(N(Vintage_Input!L259)&gt;0,IFERROR((Vintage_Input!D259+Vintage_Input!AR259)/$C308+Products!$F$14-(Products!$F$43+Products!$F$19+Products!$F$43*Products!$F$22+Products!$F$44),""),""))</f>
        <v/>
      </c>
      <c r="BA308" s="153">
        <f>IF($B308=1,$C$44,IF(N(Vintage_Input!M259)&gt;0,IFERROR((Vintage_Input!E259+Vintage_Input!AS259)/$C308+Products!$F$14-(Products!$F$43+Products!$F$19+Products!$F$43*Products!$F$22+Products!$F$44),""),""))</f>
        <v/>
      </c>
      <c r="BB308" s="153">
        <f>IF($B308=1,$D$44,IF(N(Vintage_Input!N259)&gt;0,IFERROR((Vintage_Input!F259+Vintage_Input!AT259)/$C308+Products!$F$14-(Products!$F$43+Products!$F$19+Products!$F$43*Products!$F$22+Products!$F$44),""),""))</f>
        <v/>
      </c>
      <c r="BC308" s="153">
        <f>IF($B308=1,$E$44,IF(N(Vintage_Input!O259)&gt;0,IFERROR((Vintage_Input!G259+Vintage_Input!AU259)/$C308+Products!$F$14-(Products!$F$43+Products!$F$19+Products!$F$43*Products!$F$22+Products!$F$44),""),""))</f>
        <v/>
      </c>
      <c r="BD308" s="153">
        <f>IF($B308=1,$F$44,IF(N(Vintage_Input!P259)&gt;0,IFERROR((Vintage_Input!H259+Vintage_Input!AV259)/$C308+Products!$F$14-(Products!$F$43+Products!$F$19+Products!$F$43*Products!$F$22+Products!$F$44),""),""))</f>
        <v/>
      </c>
      <c r="BE308" s="153">
        <f>IF($B308=1,$G$44,IF(N(Vintage_Input!Q259)&gt;0,IFERROR((Vintage_Input!I259+Vintage_Input!AW259)/$C308+Products!$F$14-(Products!$F$43+Products!$F$19+Products!$F$43*Products!$F$22+Products!$F$44),""),""))</f>
        <v/>
      </c>
      <c r="BF308" s="153">
        <f>IF($B308=1,$H$44,IF(N(Vintage_Input!R259)&gt;0,IFERROR((Vintage_Input!J259+Vintage_Input!AX259)/$C308+Products!$F$14-(Products!$F$43+Products!$F$19+Products!$F$43*Products!$F$22+Products!$F$44),""),""))</f>
        <v/>
      </c>
      <c r="BG308" s="153">
        <f>IF($B308=1,$I$44,IF(N(Vintage_Input!S259)&gt;0,IFERROR((Vintage_Input!K259+Vintage_Input!AY259)/$C308+Products!$F$14-(Products!$F$43+Products!$F$19+Products!$F$43*Products!$F$22+Products!$F$44),""),""))</f>
        <v/>
      </c>
      <c r="BH308" s="81">
        <f>IF($B308=1,0,IF(Vintage_Input!$BH$259="","",Vintage_Input!$BH$259))</f>
        <v/>
      </c>
    </row>
    <row r="309">
      <c r="A309" s="23" t="n">
        <v>57</v>
      </c>
      <c r="B309" s="48">
        <f>Vintage_Input!$B$260</f>
        <v/>
      </c>
      <c r="C309" s="41">
        <f>IF(Vintage_Input!$C$260="",0,Vintage_Input!$C$260)</f>
        <v/>
      </c>
      <c r="D309" s="152">
        <f>IF($B309=1,$B$38,IF(N(Vintage_Input!L260)&gt;0,Vintage_Input!D260/Vintage_Input!L260,""))</f>
        <v/>
      </c>
      <c r="E309" s="152">
        <f>IF($B309=1,$C$38,IF(N(Vintage_Input!M260)&gt;0,Vintage_Input!E260/Vintage_Input!M260,""))</f>
        <v/>
      </c>
      <c r="F309" s="152">
        <f>IF($B309=1,$D$38,IF(N(Vintage_Input!N260)&gt;0,Vintage_Input!F260/Vintage_Input!N260,""))</f>
        <v/>
      </c>
      <c r="G309" s="152">
        <f>IF($B309=1,$E$38,IF(N(Vintage_Input!O260)&gt;0,Vintage_Input!G260/Vintage_Input!O260,""))</f>
        <v/>
      </c>
      <c r="H309" s="152">
        <f>IF($B309=1,$F$38,IF(N(Vintage_Input!P260)&gt;0,Vintage_Input!H260/Vintage_Input!P260,""))</f>
        <v/>
      </c>
      <c r="I309" s="152">
        <f>IF($B309=1,$G$38,IF(N(Vintage_Input!Q260)&gt;0,Vintage_Input!I260/Vintage_Input!Q260,""))</f>
        <v/>
      </c>
      <c r="J309" s="152">
        <f>IF($B309=1,$H$38,IF(N(Vintage_Input!R260)&gt;0,Vintage_Input!J260/Vintage_Input!R260,""))</f>
        <v/>
      </c>
      <c r="K309" s="152">
        <f>IF($B309=1,$I$38,IF(N(Vintage_Input!S260)&gt;0,Vintage_Input!K260/Vintage_Input!S260,""))</f>
        <v/>
      </c>
      <c r="L309" s="152">
        <f>IF($B309=1,$B$39,IF(N(Vintage_Input!L260)&gt;0,Vintage_Input!T260/Vintage_Input!L260,""))</f>
        <v/>
      </c>
      <c r="M309" s="152">
        <f>IF($B309=1,$C$39,IF(N(Vintage_Input!M260)&gt;0,Vintage_Input!U260/Vintage_Input!M260,""))</f>
        <v/>
      </c>
      <c r="N309" s="152">
        <f>IF($B309=1,$D$39,IF(N(Vintage_Input!N260)&gt;0,Vintage_Input!V260/Vintage_Input!N260,""))</f>
        <v/>
      </c>
      <c r="O309" s="152">
        <f>IF($B309=1,$E$39,IF(N(Vintage_Input!O260)&gt;0,Vintage_Input!W260/Vintage_Input!O260,""))</f>
        <v/>
      </c>
      <c r="P309" s="152">
        <f>IF($B309=1,$F$39,IF(N(Vintage_Input!P260)&gt;0,Vintage_Input!X260/Vintage_Input!P260,""))</f>
        <v/>
      </c>
      <c r="Q309" s="152">
        <f>IF($B309=1,$G$39,IF(N(Vintage_Input!Q260)&gt;0,Vintage_Input!Y260/Vintage_Input!Q260,""))</f>
        <v/>
      </c>
      <c r="R309" s="152">
        <f>IF($B309=1,$H$39,IF(N(Vintage_Input!R260)&gt;0,Vintage_Input!Z260/Vintage_Input!R260,""))</f>
        <v/>
      </c>
      <c r="S309" s="152">
        <f>IF($B309=1,$I$39,IF(N(Vintage_Input!S260)&gt;0,Vintage_Input!AA260/Vintage_Input!S260,""))</f>
        <v/>
      </c>
      <c r="T309" s="152">
        <f>IF($B309=1,$B$40,IF(N(Vintage_Input!L260)&gt;0,Vintage_Input!AB260/Vintage_Input!L260,""))</f>
        <v/>
      </c>
      <c r="U309" s="152">
        <f>IF($B309=1,$C$40,IF(N(Vintage_Input!M260)&gt;0,Vintage_Input!AC260/Vintage_Input!M260,""))</f>
        <v/>
      </c>
      <c r="V309" s="152">
        <f>IF($B309=1,$D$40,IF(N(Vintage_Input!N260)&gt;0,Vintage_Input!AD260/Vintage_Input!N260,""))</f>
        <v/>
      </c>
      <c r="W309" s="152">
        <f>IF($B309=1,$E$40,IF(N(Vintage_Input!O260)&gt;0,Vintage_Input!AE260/Vintage_Input!O260,""))</f>
        <v/>
      </c>
      <c r="X309" s="152">
        <f>IF($B309=1,$F$40,IF(N(Vintage_Input!P260)&gt;0,Vintage_Input!AF260/Vintage_Input!P260,""))</f>
        <v/>
      </c>
      <c r="Y309" s="152">
        <f>IF($B309=1,$G$40,IF(N(Vintage_Input!Q260)&gt;0,Vintage_Input!AG260/Vintage_Input!Q260,""))</f>
        <v/>
      </c>
      <c r="Z309" s="152">
        <f>IF($B309=1,$H$40,IF(N(Vintage_Input!R260)&gt;0,Vintage_Input!AH260/Vintage_Input!R260,""))</f>
        <v/>
      </c>
      <c r="AA309" s="152">
        <f>IF($B309=1,$I$40,IF(N(Vintage_Input!S260)&gt;0,Vintage_Input!AI260/Vintage_Input!S260,""))</f>
        <v/>
      </c>
      <c r="AB309" s="152">
        <f>IF($B309=1,$B$41,IF(N(Vintage_Input!L260)&gt;0,Vintage_Input!AJ260/Vintage_Input!L260,""))</f>
        <v/>
      </c>
      <c r="AC309" s="152">
        <f>IF($B309=1,$C$41,IF(N(Vintage_Input!M260)&gt;0,Vintage_Input!AK260/Vintage_Input!M260,""))</f>
        <v/>
      </c>
      <c r="AD309" s="152">
        <f>IF($B309=1,$D$41,IF(N(Vintage_Input!N260)&gt;0,Vintage_Input!AL260/Vintage_Input!N260,""))</f>
        <v/>
      </c>
      <c r="AE309" s="152">
        <f>IF($B309=1,$E$41,IF(N(Vintage_Input!O260)&gt;0,Vintage_Input!AM260/Vintage_Input!O260,""))</f>
        <v/>
      </c>
      <c r="AF309" s="152">
        <f>IF($B309=1,$F$41,IF(N(Vintage_Input!P260)&gt;0,Vintage_Input!AN260/Vintage_Input!P260,""))</f>
        <v/>
      </c>
      <c r="AG309" s="152">
        <f>IF($B309=1,$G$41,IF(N(Vintage_Input!Q260)&gt;0,Vintage_Input!AO260/Vintage_Input!Q260,""))</f>
        <v/>
      </c>
      <c r="AH309" s="152">
        <f>IF($B309=1,$H$41,IF(N(Vintage_Input!R260)&gt;0,Vintage_Input!AP260/Vintage_Input!R260,""))</f>
        <v/>
      </c>
      <c r="AI309" s="152">
        <f>IF($B309=1,$I$41,IF(N(Vintage_Input!S260)&gt;0,Vintage_Input!AQ260/Vintage_Input!S260,""))</f>
        <v/>
      </c>
      <c r="AJ309" s="152">
        <f>IF($B309=1,$B$42,IF(N(Vintage_Input!L260)&gt;0,IFERROR(Vintage_Input!AR260/Vintage_Input!AJ260,""),""))</f>
        <v/>
      </c>
      <c r="AK309" s="152">
        <f>IF($B309=1,$C$42,IF(N(Vintage_Input!M260)&gt;0,IFERROR(Vintage_Input!AS260/Vintage_Input!AK260,""),""))</f>
        <v/>
      </c>
      <c r="AL309" s="152">
        <f>IF($B309=1,$D$42,IF(N(Vintage_Input!N260)&gt;0,IFERROR(Vintage_Input!AT260/Vintage_Input!AL260,""),""))</f>
        <v/>
      </c>
      <c r="AM309" s="152">
        <f>IF($B309=1,$E$42,IF(N(Vintage_Input!O260)&gt;0,IFERROR(Vintage_Input!AU260/Vintage_Input!AM260,""),""))</f>
        <v/>
      </c>
      <c r="AN309" s="152">
        <f>IF($B309=1,$F$42,IF(N(Vintage_Input!P260)&gt;0,IFERROR(Vintage_Input!AV260/Vintage_Input!AN260,""),""))</f>
        <v/>
      </c>
      <c r="AO309" s="152">
        <f>IF($B309=1,$G$42,IF(N(Vintage_Input!Q260)&gt;0,IFERROR(Vintage_Input!AW260/Vintage_Input!AO260,""),""))</f>
        <v/>
      </c>
      <c r="AP309" s="152">
        <f>IF($B309=1,$H$42,IF(N(Vintage_Input!R260)&gt;0,IFERROR(Vintage_Input!AX260/Vintage_Input!AP260,""),""))</f>
        <v/>
      </c>
      <c r="AQ309" s="152">
        <f>IF($B309=1,$I$42,IF(N(Vintage_Input!S260)&gt;0,IFERROR(Vintage_Input!AY260/Vintage_Input!AQ260,""),""))</f>
        <v/>
      </c>
      <c r="AR309" s="152">
        <f>IF($B309=1,$B$43,IF(N(Vintage_Input!L260)&gt;0,IFERROR(Vintage_Input!AZ260/$C309,""),""))</f>
        <v/>
      </c>
      <c r="AS309" s="152">
        <f>IF($B309=1,$C$43,IF(N(Vintage_Input!M260)&gt;0,IFERROR(Vintage_Input!BA260/$C309,""),""))</f>
        <v/>
      </c>
      <c r="AT309" s="152">
        <f>IF($B309=1,$D$43,IF(N(Vintage_Input!N260)&gt;0,IFERROR(Vintage_Input!BB260/$C309,""),""))</f>
        <v/>
      </c>
      <c r="AU309" s="152">
        <f>IF($B309=1,$E$43,IF(N(Vintage_Input!O260)&gt;0,IFERROR(Vintage_Input!BC260/$C309,""),""))</f>
        <v/>
      </c>
      <c r="AV309" s="152">
        <f>IF($B309=1,$F$43,IF(N(Vintage_Input!P260)&gt;0,IFERROR(Vintage_Input!BD260/$C309,""),""))</f>
        <v/>
      </c>
      <c r="AW309" s="152">
        <f>IF($B309=1,$G$43,IF(N(Vintage_Input!Q260)&gt;0,IFERROR(Vintage_Input!BE260/$C309,""),""))</f>
        <v/>
      </c>
      <c r="AX309" s="152">
        <f>IF($B309=1,$H$43,IF(N(Vintage_Input!R260)&gt;0,IFERROR(Vintage_Input!BF260/$C309,""),""))</f>
        <v/>
      </c>
      <c r="AY309" s="152">
        <f>IF($B309=1,$I$43,IF(N(Vintage_Input!S260)&gt;0,IFERROR(Vintage_Input!BG260/$C309,""),""))</f>
        <v/>
      </c>
      <c r="AZ309" s="153">
        <f>IF($B309=1,$B$44,IF(N(Vintage_Input!L260)&gt;0,IFERROR((Vintage_Input!D260+Vintage_Input!AR260)/$C309+Products!$F$14-(Products!$F$43+Products!$F$19+Products!$F$43*Products!$F$22+Products!$F$44),""),""))</f>
        <v/>
      </c>
      <c r="BA309" s="153">
        <f>IF($B309=1,$C$44,IF(N(Vintage_Input!M260)&gt;0,IFERROR((Vintage_Input!E260+Vintage_Input!AS260)/$C309+Products!$F$14-(Products!$F$43+Products!$F$19+Products!$F$43*Products!$F$22+Products!$F$44),""),""))</f>
        <v/>
      </c>
      <c r="BB309" s="153">
        <f>IF($B309=1,$D$44,IF(N(Vintage_Input!N260)&gt;0,IFERROR((Vintage_Input!F260+Vintage_Input!AT260)/$C309+Products!$F$14-(Products!$F$43+Products!$F$19+Products!$F$43*Products!$F$22+Products!$F$44),""),""))</f>
        <v/>
      </c>
      <c r="BC309" s="153">
        <f>IF($B309=1,$E$44,IF(N(Vintage_Input!O260)&gt;0,IFERROR((Vintage_Input!G260+Vintage_Input!AU260)/$C309+Products!$F$14-(Products!$F$43+Products!$F$19+Products!$F$43*Products!$F$22+Products!$F$44),""),""))</f>
        <v/>
      </c>
      <c r="BD309" s="153">
        <f>IF($B309=1,$F$44,IF(N(Vintage_Input!P260)&gt;0,IFERROR((Vintage_Input!H260+Vintage_Input!AV260)/$C309+Products!$F$14-(Products!$F$43+Products!$F$19+Products!$F$43*Products!$F$22+Products!$F$44),""),""))</f>
        <v/>
      </c>
      <c r="BE309" s="153">
        <f>IF($B309=1,$G$44,IF(N(Vintage_Input!Q260)&gt;0,IFERROR((Vintage_Input!I260+Vintage_Input!AW260)/$C309+Products!$F$14-(Products!$F$43+Products!$F$19+Products!$F$43*Products!$F$22+Products!$F$44),""),""))</f>
        <v/>
      </c>
      <c r="BF309" s="153">
        <f>IF($B309=1,$H$44,IF(N(Vintage_Input!R260)&gt;0,IFERROR((Vintage_Input!J260+Vintage_Input!AX260)/$C309+Products!$F$14-(Products!$F$43+Products!$F$19+Products!$F$43*Products!$F$22+Products!$F$44),""),""))</f>
        <v/>
      </c>
      <c r="BG309" s="153">
        <f>IF($B309=1,$I$44,IF(N(Vintage_Input!S260)&gt;0,IFERROR((Vintage_Input!K260+Vintage_Input!AY260)/$C309+Products!$F$14-(Products!$F$43+Products!$F$19+Products!$F$43*Products!$F$22+Products!$F$44),""),""))</f>
        <v/>
      </c>
      <c r="BH309" s="81">
        <f>IF($B309=1,0,IF(Vintage_Input!$BH$260="","",Vintage_Input!$BH$260))</f>
        <v/>
      </c>
    </row>
    <row r="310">
      <c r="A310" s="23" t="n">
        <v>58</v>
      </c>
      <c r="B310" s="48">
        <f>Vintage_Input!$B$261</f>
        <v/>
      </c>
      <c r="C310" s="41">
        <f>IF(Vintage_Input!$C$261="",0,Vintage_Input!$C$261)</f>
        <v/>
      </c>
      <c r="D310" s="152">
        <f>IF($B310=1,$B$38,IF(N(Vintage_Input!L261)&gt;0,Vintage_Input!D261/Vintage_Input!L261,""))</f>
        <v/>
      </c>
      <c r="E310" s="152">
        <f>IF($B310=1,$C$38,IF(N(Vintage_Input!M261)&gt;0,Vintage_Input!E261/Vintage_Input!M261,""))</f>
        <v/>
      </c>
      <c r="F310" s="152">
        <f>IF($B310=1,$D$38,IF(N(Vintage_Input!N261)&gt;0,Vintage_Input!F261/Vintage_Input!N261,""))</f>
        <v/>
      </c>
      <c r="G310" s="152">
        <f>IF($B310=1,$E$38,IF(N(Vintage_Input!O261)&gt;0,Vintage_Input!G261/Vintage_Input!O261,""))</f>
        <v/>
      </c>
      <c r="H310" s="152">
        <f>IF($B310=1,$F$38,IF(N(Vintage_Input!P261)&gt;0,Vintage_Input!H261/Vintage_Input!P261,""))</f>
        <v/>
      </c>
      <c r="I310" s="152">
        <f>IF($B310=1,$G$38,IF(N(Vintage_Input!Q261)&gt;0,Vintage_Input!I261/Vintage_Input!Q261,""))</f>
        <v/>
      </c>
      <c r="J310" s="152">
        <f>IF($B310=1,$H$38,IF(N(Vintage_Input!R261)&gt;0,Vintage_Input!J261/Vintage_Input!R261,""))</f>
        <v/>
      </c>
      <c r="K310" s="152">
        <f>IF($B310=1,$I$38,IF(N(Vintage_Input!S261)&gt;0,Vintage_Input!K261/Vintage_Input!S261,""))</f>
        <v/>
      </c>
      <c r="L310" s="152">
        <f>IF($B310=1,$B$39,IF(N(Vintage_Input!L261)&gt;0,Vintage_Input!T261/Vintage_Input!L261,""))</f>
        <v/>
      </c>
      <c r="M310" s="152">
        <f>IF($B310=1,$C$39,IF(N(Vintage_Input!M261)&gt;0,Vintage_Input!U261/Vintage_Input!M261,""))</f>
        <v/>
      </c>
      <c r="N310" s="152">
        <f>IF($B310=1,$D$39,IF(N(Vintage_Input!N261)&gt;0,Vintage_Input!V261/Vintage_Input!N261,""))</f>
        <v/>
      </c>
      <c r="O310" s="152">
        <f>IF($B310=1,$E$39,IF(N(Vintage_Input!O261)&gt;0,Vintage_Input!W261/Vintage_Input!O261,""))</f>
        <v/>
      </c>
      <c r="P310" s="152">
        <f>IF($B310=1,$F$39,IF(N(Vintage_Input!P261)&gt;0,Vintage_Input!X261/Vintage_Input!P261,""))</f>
        <v/>
      </c>
      <c r="Q310" s="152">
        <f>IF($B310=1,$G$39,IF(N(Vintage_Input!Q261)&gt;0,Vintage_Input!Y261/Vintage_Input!Q261,""))</f>
        <v/>
      </c>
      <c r="R310" s="152">
        <f>IF($B310=1,$H$39,IF(N(Vintage_Input!R261)&gt;0,Vintage_Input!Z261/Vintage_Input!R261,""))</f>
        <v/>
      </c>
      <c r="S310" s="152">
        <f>IF($B310=1,$I$39,IF(N(Vintage_Input!S261)&gt;0,Vintage_Input!AA261/Vintage_Input!S261,""))</f>
        <v/>
      </c>
      <c r="T310" s="152">
        <f>IF($B310=1,$B$40,IF(N(Vintage_Input!L261)&gt;0,Vintage_Input!AB261/Vintage_Input!L261,""))</f>
        <v/>
      </c>
      <c r="U310" s="152">
        <f>IF($B310=1,$C$40,IF(N(Vintage_Input!M261)&gt;0,Vintage_Input!AC261/Vintage_Input!M261,""))</f>
        <v/>
      </c>
      <c r="V310" s="152">
        <f>IF($B310=1,$D$40,IF(N(Vintage_Input!N261)&gt;0,Vintage_Input!AD261/Vintage_Input!N261,""))</f>
        <v/>
      </c>
      <c r="W310" s="152">
        <f>IF($B310=1,$E$40,IF(N(Vintage_Input!O261)&gt;0,Vintage_Input!AE261/Vintage_Input!O261,""))</f>
        <v/>
      </c>
      <c r="X310" s="152">
        <f>IF($B310=1,$F$40,IF(N(Vintage_Input!P261)&gt;0,Vintage_Input!AF261/Vintage_Input!P261,""))</f>
        <v/>
      </c>
      <c r="Y310" s="152">
        <f>IF($B310=1,$G$40,IF(N(Vintage_Input!Q261)&gt;0,Vintage_Input!AG261/Vintage_Input!Q261,""))</f>
        <v/>
      </c>
      <c r="Z310" s="152">
        <f>IF($B310=1,$H$40,IF(N(Vintage_Input!R261)&gt;0,Vintage_Input!AH261/Vintage_Input!R261,""))</f>
        <v/>
      </c>
      <c r="AA310" s="152">
        <f>IF($B310=1,$I$40,IF(N(Vintage_Input!S261)&gt;0,Vintage_Input!AI261/Vintage_Input!S261,""))</f>
        <v/>
      </c>
      <c r="AB310" s="152">
        <f>IF($B310=1,$B$41,IF(N(Vintage_Input!L261)&gt;0,Vintage_Input!AJ261/Vintage_Input!L261,""))</f>
        <v/>
      </c>
      <c r="AC310" s="152">
        <f>IF($B310=1,$C$41,IF(N(Vintage_Input!M261)&gt;0,Vintage_Input!AK261/Vintage_Input!M261,""))</f>
        <v/>
      </c>
      <c r="AD310" s="152">
        <f>IF($B310=1,$D$41,IF(N(Vintage_Input!N261)&gt;0,Vintage_Input!AL261/Vintage_Input!N261,""))</f>
        <v/>
      </c>
      <c r="AE310" s="152">
        <f>IF($B310=1,$E$41,IF(N(Vintage_Input!O261)&gt;0,Vintage_Input!AM261/Vintage_Input!O261,""))</f>
        <v/>
      </c>
      <c r="AF310" s="152">
        <f>IF($B310=1,$F$41,IF(N(Vintage_Input!P261)&gt;0,Vintage_Input!AN261/Vintage_Input!P261,""))</f>
        <v/>
      </c>
      <c r="AG310" s="152">
        <f>IF($B310=1,$G$41,IF(N(Vintage_Input!Q261)&gt;0,Vintage_Input!AO261/Vintage_Input!Q261,""))</f>
        <v/>
      </c>
      <c r="AH310" s="152">
        <f>IF($B310=1,$H$41,IF(N(Vintage_Input!R261)&gt;0,Vintage_Input!AP261/Vintage_Input!R261,""))</f>
        <v/>
      </c>
      <c r="AI310" s="152">
        <f>IF($B310=1,$I$41,IF(N(Vintage_Input!S261)&gt;0,Vintage_Input!AQ261/Vintage_Input!S261,""))</f>
        <v/>
      </c>
      <c r="AJ310" s="152">
        <f>IF($B310=1,$B$42,IF(N(Vintage_Input!L261)&gt;0,IFERROR(Vintage_Input!AR261/Vintage_Input!AJ261,""),""))</f>
        <v/>
      </c>
      <c r="AK310" s="152">
        <f>IF($B310=1,$C$42,IF(N(Vintage_Input!M261)&gt;0,IFERROR(Vintage_Input!AS261/Vintage_Input!AK261,""),""))</f>
        <v/>
      </c>
      <c r="AL310" s="152">
        <f>IF($B310=1,$D$42,IF(N(Vintage_Input!N261)&gt;0,IFERROR(Vintage_Input!AT261/Vintage_Input!AL261,""),""))</f>
        <v/>
      </c>
      <c r="AM310" s="152">
        <f>IF($B310=1,$E$42,IF(N(Vintage_Input!O261)&gt;0,IFERROR(Vintage_Input!AU261/Vintage_Input!AM261,""),""))</f>
        <v/>
      </c>
      <c r="AN310" s="152">
        <f>IF($B310=1,$F$42,IF(N(Vintage_Input!P261)&gt;0,IFERROR(Vintage_Input!AV261/Vintage_Input!AN261,""),""))</f>
        <v/>
      </c>
      <c r="AO310" s="152">
        <f>IF($B310=1,$G$42,IF(N(Vintage_Input!Q261)&gt;0,IFERROR(Vintage_Input!AW261/Vintage_Input!AO261,""),""))</f>
        <v/>
      </c>
      <c r="AP310" s="152">
        <f>IF($B310=1,$H$42,IF(N(Vintage_Input!R261)&gt;0,IFERROR(Vintage_Input!AX261/Vintage_Input!AP261,""),""))</f>
        <v/>
      </c>
      <c r="AQ310" s="152">
        <f>IF($B310=1,$I$42,IF(N(Vintage_Input!S261)&gt;0,IFERROR(Vintage_Input!AY261/Vintage_Input!AQ261,""),""))</f>
        <v/>
      </c>
      <c r="AR310" s="152">
        <f>IF($B310=1,$B$43,IF(N(Vintage_Input!L261)&gt;0,IFERROR(Vintage_Input!AZ261/$C310,""),""))</f>
        <v/>
      </c>
      <c r="AS310" s="152">
        <f>IF($B310=1,$C$43,IF(N(Vintage_Input!M261)&gt;0,IFERROR(Vintage_Input!BA261/$C310,""),""))</f>
        <v/>
      </c>
      <c r="AT310" s="152">
        <f>IF($B310=1,$D$43,IF(N(Vintage_Input!N261)&gt;0,IFERROR(Vintage_Input!BB261/$C310,""),""))</f>
        <v/>
      </c>
      <c r="AU310" s="152">
        <f>IF($B310=1,$E$43,IF(N(Vintage_Input!O261)&gt;0,IFERROR(Vintage_Input!BC261/$C310,""),""))</f>
        <v/>
      </c>
      <c r="AV310" s="152">
        <f>IF($B310=1,$F$43,IF(N(Vintage_Input!P261)&gt;0,IFERROR(Vintage_Input!BD261/$C310,""),""))</f>
        <v/>
      </c>
      <c r="AW310" s="152">
        <f>IF($B310=1,$G$43,IF(N(Vintage_Input!Q261)&gt;0,IFERROR(Vintage_Input!BE261/$C310,""),""))</f>
        <v/>
      </c>
      <c r="AX310" s="152">
        <f>IF($B310=1,$H$43,IF(N(Vintage_Input!R261)&gt;0,IFERROR(Vintage_Input!BF261/$C310,""),""))</f>
        <v/>
      </c>
      <c r="AY310" s="152">
        <f>IF($B310=1,$I$43,IF(N(Vintage_Input!S261)&gt;0,IFERROR(Vintage_Input!BG261/$C310,""),""))</f>
        <v/>
      </c>
      <c r="AZ310" s="153">
        <f>IF($B310=1,$B$44,IF(N(Vintage_Input!L261)&gt;0,IFERROR((Vintage_Input!D261+Vintage_Input!AR261)/$C310+Products!$F$14-(Products!$F$43+Products!$F$19+Products!$F$43*Products!$F$22+Products!$F$44),""),""))</f>
        <v/>
      </c>
      <c r="BA310" s="153">
        <f>IF($B310=1,$C$44,IF(N(Vintage_Input!M261)&gt;0,IFERROR((Vintage_Input!E261+Vintage_Input!AS261)/$C310+Products!$F$14-(Products!$F$43+Products!$F$19+Products!$F$43*Products!$F$22+Products!$F$44),""),""))</f>
        <v/>
      </c>
      <c r="BB310" s="153">
        <f>IF($B310=1,$D$44,IF(N(Vintage_Input!N261)&gt;0,IFERROR((Vintage_Input!F261+Vintage_Input!AT261)/$C310+Products!$F$14-(Products!$F$43+Products!$F$19+Products!$F$43*Products!$F$22+Products!$F$44),""),""))</f>
        <v/>
      </c>
      <c r="BC310" s="153">
        <f>IF($B310=1,$E$44,IF(N(Vintage_Input!O261)&gt;0,IFERROR((Vintage_Input!G261+Vintage_Input!AU261)/$C310+Products!$F$14-(Products!$F$43+Products!$F$19+Products!$F$43*Products!$F$22+Products!$F$44),""),""))</f>
        <v/>
      </c>
      <c r="BD310" s="153">
        <f>IF($B310=1,$F$44,IF(N(Vintage_Input!P261)&gt;0,IFERROR((Vintage_Input!H261+Vintage_Input!AV261)/$C310+Products!$F$14-(Products!$F$43+Products!$F$19+Products!$F$43*Products!$F$22+Products!$F$44),""),""))</f>
        <v/>
      </c>
      <c r="BE310" s="153">
        <f>IF($B310=1,$G$44,IF(N(Vintage_Input!Q261)&gt;0,IFERROR((Vintage_Input!I261+Vintage_Input!AW261)/$C310+Products!$F$14-(Products!$F$43+Products!$F$19+Products!$F$43*Products!$F$22+Products!$F$44),""),""))</f>
        <v/>
      </c>
      <c r="BF310" s="153">
        <f>IF($B310=1,$H$44,IF(N(Vintage_Input!R261)&gt;0,IFERROR((Vintage_Input!J261+Vintage_Input!AX261)/$C310+Products!$F$14-(Products!$F$43+Products!$F$19+Products!$F$43*Products!$F$22+Products!$F$44),""),""))</f>
        <v/>
      </c>
      <c r="BG310" s="153">
        <f>IF($B310=1,$I$44,IF(N(Vintage_Input!S261)&gt;0,IFERROR((Vintage_Input!K261+Vintage_Input!AY261)/$C310+Products!$F$14-(Products!$F$43+Products!$F$19+Products!$F$43*Products!$F$22+Products!$F$44),""),""))</f>
        <v/>
      </c>
      <c r="BH310" s="81">
        <f>IF($B310=1,0,IF(Vintage_Input!$BH$261="","",Vintage_Input!$BH$261))</f>
        <v/>
      </c>
    </row>
    <row r="311">
      <c r="A311" s="23" t="n">
        <v>59</v>
      </c>
      <c r="B311" s="48">
        <f>Vintage_Input!$B$262</f>
        <v/>
      </c>
      <c r="C311" s="41">
        <f>IF(Vintage_Input!$C$262="",0,Vintage_Input!$C$262)</f>
        <v/>
      </c>
      <c r="D311" s="152">
        <f>IF($B311=1,$B$38,IF(N(Vintage_Input!L262)&gt;0,Vintage_Input!D262/Vintage_Input!L262,""))</f>
        <v/>
      </c>
      <c r="E311" s="152">
        <f>IF($B311=1,$C$38,IF(N(Vintage_Input!M262)&gt;0,Vintage_Input!E262/Vintage_Input!M262,""))</f>
        <v/>
      </c>
      <c r="F311" s="152">
        <f>IF($B311=1,$D$38,IF(N(Vintage_Input!N262)&gt;0,Vintage_Input!F262/Vintage_Input!N262,""))</f>
        <v/>
      </c>
      <c r="G311" s="152">
        <f>IF($B311=1,$E$38,IF(N(Vintage_Input!O262)&gt;0,Vintage_Input!G262/Vintage_Input!O262,""))</f>
        <v/>
      </c>
      <c r="H311" s="152">
        <f>IF($B311=1,$F$38,IF(N(Vintage_Input!P262)&gt;0,Vintage_Input!H262/Vintage_Input!P262,""))</f>
        <v/>
      </c>
      <c r="I311" s="152">
        <f>IF($B311=1,$G$38,IF(N(Vintage_Input!Q262)&gt;0,Vintage_Input!I262/Vintage_Input!Q262,""))</f>
        <v/>
      </c>
      <c r="J311" s="152">
        <f>IF($B311=1,$H$38,IF(N(Vintage_Input!R262)&gt;0,Vintage_Input!J262/Vintage_Input!R262,""))</f>
        <v/>
      </c>
      <c r="K311" s="152">
        <f>IF($B311=1,$I$38,IF(N(Vintage_Input!S262)&gt;0,Vintage_Input!K262/Vintage_Input!S262,""))</f>
        <v/>
      </c>
      <c r="L311" s="152">
        <f>IF($B311=1,$B$39,IF(N(Vintage_Input!L262)&gt;0,Vintage_Input!T262/Vintage_Input!L262,""))</f>
        <v/>
      </c>
      <c r="M311" s="152">
        <f>IF($B311=1,$C$39,IF(N(Vintage_Input!M262)&gt;0,Vintage_Input!U262/Vintage_Input!M262,""))</f>
        <v/>
      </c>
      <c r="N311" s="152">
        <f>IF($B311=1,$D$39,IF(N(Vintage_Input!N262)&gt;0,Vintage_Input!V262/Vintage_Input!N262,""))</f>
        <v/>
      </c>
      <c r="O311" s="152">
        <f>IF($B311=1,$E$39,IF(N(Vintage_Input!O262)&gt;0,Vintage_Input!W262/Vintage_Input!O262,""))</f>
        <v/>
      </c>
      <c r="P311" s="152">
        <f>IF($B311=1,$F$39,IF(N(Vintage_Input!P262)&gt;0,Vintage_Input!X262/Vintage_Input!P262,""))</f>
        <v/>
      </c>
      <c r="Q311" s="152">
        <f>IF($B311=1,$G$39,IF(N(Vintage_Input!Q262)&gt;0,Vintage_Input!Y262/Vintage_Input!Q262,""))</f>
        <v/>
      </c>
      <c r="R311" s="152">
        <f>IF($B311=1,$H$39,IF(N(Vintage_Input!R262)&gt;0,Vintage_Input!Z262/Vintage_Input!R262,""))</f>
        <v/>
      </c>
      <c r="S311" s="152">
        <f>IF($B311=1,$I$39,IF(N(Vintage_Input!S262)&gt;0,Vintage_Input!AA262/Vintage_Input!S262,""))</f>
        <v/>
      </c>
      <c r="T311" s="152">
        <f>IF($B311=1,$B$40,IF(N(Vintage_Input!L262)&gt;0,Vintage_Input!AB262/Vintage_Input!L262,""))</f>
        <v/>
      </c>
      <c r="U311" s="152">
        <f>IF($B311=1,$C$40,IF(N(Vintage_Input!M262)&gt;0,Vintage_Input!AC262/Vintage_Input!M262,""))</f>
        <v/>
      </c>
      <c r="V311" s="152">
        <f>IF($B311=1,$D$40,IF(N(Vintage_Input!N262)&gt;0,Vintage_Input!AD262/Vintage_Input!N262,""))</f>
        <v/>
      </c>
      <c r="W311" s="152">
        <f>IF($B311=1,$E$40,IF(N(Vintage_Input!O262)&gt;0,Vintage_Input!AE262/Vintage_Input!O262,""))</f>
        <v/>
      </c>
      <c r="X311" s="152">
        <f>IF($B311=1,$F$40,IF(N(Vintage_Input!P262)&gt;0,Vintage_Input!AF262/Vintage_Input!P262,""))</f>
        <v/>
      </c>
      <c r="Y311" s="152">
        <f>IF($B311=1,$G$40,IF(N(Vintage_Input!Q262)&gt;0,Vintage_Input!AG262/Vintage_Input!Q262,""))</f>
        <v/>
      </c>
      <c r="Z311" s="152">
        <f>IF($B311=1,$H$40,IF(N(Vintage_Input!R262)&gt;0,Vintage_Input!AH262/Vintage_Input!R262,""))</f>
        <v/>
      </c>
      <c r="AA311" s="152">
        <f>IF($B311=1,$I$40,IF(N(Vintage_Input!S262)&gt;0,Vintage_Input!AI262/Vintage_Input!S262,""))</f>
        <v/>
      </c>
      <c r="AB311" s="152">
        <f>IF($B311=1,$B$41,IF(N(Vintage_Input!L262)&gt;0,Vintage_Input!AJ262/Vintage_Input!L262,""))</f>
        <v/>
      </c>
      <c r="AC311" s="152">
        <f>IF($B311=1,$C$41,IF(N(Vintage_Input!M262)&gt;0,Vintage_Input!AK262/Vintage_Input!M262,""))</f>
        <v/>
      </c>
      <c r="AD311" s="152">
        <f>IF($B311=1,$D$41,IF(N(Vintage_Input!N262)&gt;0,Vintage_Input!AL262/Vintage_Input!N262,""))</f>
        <v/>
      </c>
      <c r="AE311" s="152">
        <f>IF($B311=1,$E$41,IF(N(Vintage_Input!O262)&gt;0,Vintage_Input!AM262/Vintage_Input!O262,""))</f>
        <v/>
      </c>
      <c r="AF311" s="152">
        <f>IF($B311=1,$F$41,IF(N(Vintage_Input!P262)&gt;0,Vintage_Input!AN262/Vintage_Input!P262,""))</f>
        <v/>
      </c>
      <c r="AG311" s="152">
        <f>IF($B311=1,$G$41,IF(N(Vintage_Input!Q262)&gt;0,Vintage_Input!AO262/Vintage_Input!Q262,""))</f>
        <v/>
      </c>
      <c r="AH311" s="152">
        <f>IF($B311=1,$H$41,IF(N(Vintage_Input!R262)&gt;0,Vintage_Input!AP262/Vintage_Input!R262,""))</f>
        <v/>
      </c>
      <c r="AI311" s="152">
        <f>IF($B311=1,$I$41,IF(N(Vintage_Input!S262)&gt;0,Vintage_Input!AQ262/Vintage_Input!S262,""))</f>
        <v/>
      </c>
      <c r="AJ311" s="152">
        <f>IF($B311=1,$B$42,IF(N(Vintage_Input!L262)&gt;0,IFERROR(Vintage_Input!AR262/Vintage_Input!AJ262,""),""))</f>
        <v/>
      </c>
      <c r="AK311" s="152">
        <f>IF($B311=1,$C$42,IF(N(Vintage_Input!M262)&gt;0,IFERROR(Vintage_Input!AS262/Vintage_Input!AK262,""),""))</f>
        <v/>
      </c>
      <c r="AL311" s="152">
        <f>IF($B311=1,$D$42,IF(N(Vintage_Input!N262)&gt;0,IFERROR(Vintage_Input!AT262/Vintage_Input!AL262,""),""))</f>
        <v/>
      </c>
      <c r="AM311" s="152">
        <f>IF($B311=1,$E$42,IF(N(Vintage_Input!O262)&gt;0,IFERROR(Vintage_Input!AU262/Vintage_Input!AM262,""),""))</f>
        <v/>
      </c>
      <c r="AN311" s="152">
        <f>IF($B311=1,$F$42,IF(N(Vintage_Input!P262)&gt;0,IFERROR(Vintage_Input!AV262/Vintage_Input!AN262,""),""))</f>
        <v/>
      </c>
      <c r="AO311" s="152">
        <f>IF($B311=1,$G$42,IF(N(Vintage_Input!Q262)&gt;0,IFERROR(Vintage_Input!AW262/Vintage_Input!AO262,""),""))</f>
        <v/>
      </c>
      <c r="AP311" s="152">
        <f>IF($B311=1,$H$42,IF(N(Vintage_Input!R262)&gt;0,IFERROR(Vintage_Input!AX262/Vintage_Input!AP262,""),""))</f>
        <v/>
      </c>
      <c r="AQ311" s="152">
        <f>IF($B311=1,$I$42,IF(N(Vintage_Input!S262)&gt;0,IFERROR(Vintage_Input!AY262/Vintage_Input!AQ262,""),""))</f>
        <v/>
      </c>
      <c r="AR311" s="152">
        <f>IF($B311=1,$B$43,IF(N(Vintage_Input!L262)&gt;0,IFERROR(Vintage_Input!AZ262/$C311,""),""))</f>
        <v/>
      </c>
      <c r="AS311" s="152">
        <f>IF($B311=1,$C$43,IF(N(Vintage_Input!M262)&gt;0,IFERROR(Vintage_Input!BA262/$C311,""),""))</f>
        <v/>
      </c>
      <c r="AT311" s="152">
        <f>IF($B311=1,$D$43,IF(N(Vintage_Input!N262)&gt;0,IFERROR(Vintage_Input!BB262/$C311,""),""))</f>
        <v/>
      </c>
      <c r="AU311" s="152">
        <f>IF($B311=1,$E$43,IF(N(Vintage_Input!O262)&gt;0,IFERROR(Vintage_Input!BC262/$C311,""),""))</f>
        <v/>
      </c>
      <c r="AV311" s="152">
        <f>IF($B311=1,$F$43,IF(N(Vintage_Input!P262)&gt;0,IFERROR(Vintage_Input!BD262/$C311,""),""))</f>
        <v/>
      </c>
      <c r="AW311" s="152">
        <f>IF($B311=1,$G$43,IF(N(Vintage_Input!Q262)&gt;0,IFERROR(Vintage_Input!BE262/$C311,""),""))</f>
        <v/>
      </c>
      <c r="AX311" s="152">
        <f>IF($B311=1,$H$43,IF(N(Vintage_Input!R262)&gt;0,IFERROR(Vintage_Input!BF262/$C311,""),""))</f>
        <v/>
      </c>
      <c r="AY311" s="152">
        <f>IF($B311=1,$I$43,IF(N(Vintage_Input!S262)&gt;0,IFERROR(Vintage_Input!BG262/$C311,""),""))</f>
        <v/>
      </c>
      <c r="AZ311" s="153">
        <f>IF($B311=1,$B$44,IF(N(Vintage_Input!L262)&gt;0,IFERROR((Vintage_Input!D262+Vintage_Input!AR262)/$C311+Products!$F$14-(Products!$F$43+Products!$F$19+Products!$F$43*Products!$F$22+Products!$F$44),""),""))</f>
        <v/>
      </c>
      <c r="BA311" s="153">
        <f>IF($B311=1,$C$44,IF(N(Vintage_Input!M262)&gt;0,IFERROR((Vintage_Input!E262+Vintage_Input!AS262)/$C311+Products!$F$14-(Products!$F$43+Products!$F$19+Products!$F$43*Products!$F$22+Products!$F$44),""),""))</f>
        <v/>
      </c>
      <c r="BB311" s="153">
        <f>IF($B311=1,$D$44,IF(N(Vintage_Input!N262)&gt;0,IFERROR((Vintage_Input!F262+Vintage_Input!AT262)/$C311+Products!$F$14-(Products!$F$43+Products!$F$19+Products!$F$43*Products!$F$22+Products!$F$44),""),""))</f>
        <v/>
      </c>
      <c r="BC311" s="153">
        <f>IF($B311=1,$E$44,IF(N(Vintage_Input!O262)&gt;0,IFERROR((Vintage_Input!G262+Vintage_Input!AU262)/$C311+Products!$F$14-(Products!$F$43+Products!$F$19+Products!$F$43*Products!$F$22+Products!$F$44),""),""))</f>
        <v/>
      </c>
      <c r="BD311" s="153">
        <f>IF($B311=1,$F$44,IF(N(Vintage_Input!P262)&gt;0,IFERROR((Vintage_Input!H262+Vintage_Input!AV262)/$C311+Products!$F$14-(Products!$F$43+Products!$F$19+Products!$F$43*Products!$F$22+Products!$F$44),""),""))</f>
        <v/>
      </c>
      <c r="BE311" s="153">
        <f>IF($B311=1,$G$44,IF(N(Vintage_Input!Q262)&gt;0,IFERROR((Vintage_Input!I262+Vintage_Input!AW262)/$C311+Products!$F$14-(Products!$F$43+Products!$F$19+Products!$F$43*Products!$F$22+Products!$F$44),""),""))</f>
        <v/>
      </c>
      <c r="BF311" s="153">
        <f>IF($B311=1,$H$44,IF(N(Vintage_Input!R262)&gt;0,IFERROR((Vintage_Input!J262+Vintage_Input!AX262)/$C311+Products!$F$14-(Products!$F$43+Products!$F$19+Products!$F$43*Products!$F$22+Products!$F$44),""),""))</f>
        <v/>
      </c>
      <c r="BG311" s="153">
        <f>IF($B311=1,$I$44,IF(N(Vintage_Input!S262)&gt;0,IFERROR((Vintage_Input!K262+Vintage_Input!AY262)/$C311+Products!$F$14-(Products!$F$43+Products!$F$19+Products!$F$43*Products!$F$22+Products!$F$44),""),""))</f>
        <v/>
      </c>
      <c r="BH311" s="81">
        <f>IF($B311=1,0,IF(Vintage_Input!$BH$262="","",Vintage_Input!$BH$262))</f>
        <v/>
      </c>
    </row>
    <row r="312">
      <c r="A312" s="23" t="n">
        <v>60</v>
      </c>
      <c r="B312" s="48">
        <f>Vintage_Input!$B$263</f>
        <v/>
      </c>
      <c r="C312" s="41">
        <f>IF(Vintage_Input!$C$263="",0,Vintage_Input!$C$263)</f>
        <v/>
      </c>
      <c r="D312" s="152">
        <f>IF($B312=1,$B$38,IF(N(Vintage_Input!L263)&gt;0,Vintage_Input!D263/Vintage_Input!L263,""))</f>
        <v/>
      </c>
      <c r="E312" s="152">
        <f>IF($B312=1,$C$38,IF(N(Vintage_Input!M263)&gt;0,Vintage_Input!E263/Vintage_Input!M263,""))</f>
        <v/>
      </c>
      <c r="F312" s="152">
        <f>IF($B312=1,$D$38,IF(N(Vintage_Input!N263)&gt;0,Vintage_Input!F263/Vintage_Input!N263,""))</f>
        <v/>
      </c>
      <c r="G312" s="152">
        <f>IF($B312=1,$E$38,IF(N(Vintage_Input!O263)&gt;0,Vintage_Input!G263/Vintage_Input!O263,""))</f>
        <v/>
      </c>
      <c r="H312" s="152">
        <f>IF($B312=1,$F$38,IF(N(Vintage_Input!P263)&gt;0,Vintage_Input!H263/Vintage_Input!P263,""))</f>
        <v/>
      </c>
      <c r="I312" s="152">
        <f>IF($B312=1,$G$38,IF(N(Vintage_Input!Q263)&gt;0,Vintage_Input!I263/Vintage_Input!Q263,""))</f>
        <v/>
      </c>
      <c r="J312" s="152">
        <f>IF($B312=1,$H$38,IF(N(Vintage_Input!R263)&gt;0,Vintage_Input!J263/Vintage_Input!R263,""))</f>
        <v/>
      </c>
      <c r="K312" s="152">
        <f>IF($B312=1,$I$38,IF(N(Vintage_Input!S263)&gt;0,Vintage_Input!K263/Vintage_Input!S263,""))</f>
        <v/>
      </c>
      <c r="L312" s="152">
        <f>IF($B312=1,$B$39,IF(N(Vintage_Input!L263)&gt;0,Vintage_Input!T263/Vintage_Input!L263,""))</f>
        <v/>
      </c>
      <c r="M312" s="152">
        <f>IF($B312=1,$C$39,IF(N(Vintage_Input!M263)&gt;0,Vintage_Input!U263/Vintage_Input!M263,""))</f>
        <v/>
      </c>
      <c r="N312" s="152">
        <f>IF($B312=1,$D$39,IF(N(Vintage_Input!N263)&gt;0,Vintage_Input!V263/Vintage_Input!N263,""))</f>
        <v/>
      </c>
      <c r="O312" s="152">
        <f>IF($B312=1,$E$39,IF(N(Vintage_Input!O263)&gt;0,Vintage_Input!W263/Vintage_Input!O263,""))</f>
        <v/>
      </c>
      <c r="P312" s="152">
        <f>IF($B312=1,$F$39,IF(N(Vintage_Input!P263)&gt;0,Vintage_Input!X263/Vintage_Input!P263,""))</f>
        <v/>
      </c>
      <c r="Q312" s="152">
        <f>IF($B312=1,$G$39,IF(N(Vintage_Input!Q263)&gt;0,Vintage_Input!Y263/Vintage_Input!Q263,""))</f>
        <v/>
      </c>
      <c r="R312" s="152">
        <f>IF($B312=1,$H$39,IF(N(Vintage_Input!R263)&gt;0,Vintage_Input!Z263/Vintage_Input!R263,""))</f>
        <v/>
      </c>
      <c r="S312" s="152">
        <f>IF($B312=1,$I$39,IF(N(Vintage_Input!S263)&gt;0,Vintage_Input!AA263/Vintage_Input!S263,""))</f>
        <v/>
      </c>
      <c r="T312" s="152">
        <f>IF($B312=1,$B$40,IF(N(Vintage_Input!L263)&gt;0,Vintage_Input!AB263/Vintage_Input!L263,""))</f>
        <v/>
      </c>
      <c r="U312" s="152">
        <f>IF($B312=1,$C$40,IF(N(Vintage_Input!M263)&gt;0,Vintage_Input!AC263/Vintage_Input!M263,""))</f>
        <v/>
      </c>
      <c r="V312" s="152">
        <f>IF($B312=1,$D$40,IF(N(Vintage_Input!N263)&gt;0,Vintage_Input!AD263/Vintage_Input!N263,""))</f>
        <v/>
      </c>
      <c r="W312" s="152">
        <f>IF($B312=1,$E$40,IF(N(Vintage_Input!O263)&gt;0,Vintage_Input!AE263/Vintage_Input!O263,""))</f>
        <v/>
      </c>
      <c r="X312" s="152">
        <f>IF($B312=1,$F$40,IF(N(Vintage_Input!P263)&gt;0,Vintage_Input!AF263/Vintage_Input!P263,""))</f>
        <v/>
      </c>
      <c r="Y312" s="152">
        <f>IF($B312=1,$G$40,IF(N(Vintage_Input!Q263)&gt;0,Vintage_Input!AG263/Vintage_Input!Q263,""))</f>
        <v/>
      </c>
      <c r="Z312" s="152">
        <f>IF($B312=1,$H$40,IF(N(Vintage_Input!R263)&gt;0,Vintage_Input!AH263/Vintage_Input!R263,""))</f>
        <v/>
      </c>
      <c r="AA312" s="152">
        <f>IF($B312=1,$I$40,IF(N(Vintage_Input!S263)&gt;0,Vintage_Input!AI263/Vintage_Input!S263,""))</f>
        <v/>
      </c>
      <c r="AB312" s="152">
        <f>IF($B312=1,$B$41,IF(N(Vintage_Input!L263)&gt;0,Vintage_Input!AJ263/Vintage_Input!L263,""))</f>
        <v/>
      </c>
      <c r="AC312" s="152">
        <f>IF($B312=1,$C$41,IF(N(Vintage_Input!M263)&gt;0,Vintage_Input!AK263/Vintage_Input!M263,""))</f>
        <v/>
      </c>
      <c r="AD312" s="152">
        <f>IF($B312=1,$D$41,IF(N(Vintage_Input!N263)&gt;0,Vintage_Input!AL263/Vintage_Input!N263,""))</f>
        <v/>
      </c>
      <c r="AE312" s="152">
        <f>IF($B312=1,$E$41,IF(N(Vintage_Input!O263)&gt;0,Vintage_Input!AM263/Vintage_Input!O263,""))</f>
        <v/>
      </c>
      <c r="AF312" s="152">
        <f>IF($B312=1,$F$41,IF(N(Vintage_Input!P263)&gt;0,Vintage_Input!AN263/Vintage_Input!P263,""))</f>
        <v/>
      </c>
      <c r="AG312" s="152">
        <f>IF($B312=1,$G$41,IF(N(Vintage_Input!Q263)&gt;0,Vintage_Input!AO263/Vintage_Input!Q263,""))</f>
        <v/>
      </c>
      <c r="AH312" s="152">
        <f>IF($B312=1,$H$41,IF(N(Vintage_Input!R263)&gt;0,Vintage_Input!AP263/Vintage_Input!R263,""))</f>
        <v/>
      </c>
      <c r="AI312" s="152">
        <f>IF($B312=1,$I$41,IF(N(Vintage_Input!S263)&gt;0,Vintage_Input!AQ263/Vintage_Input!S263,""))</f>
        <v/>
      </c>
      <c r="AJ312" s="152">
        <f>IF($B312=1,$B$42,IF(N(Vintage_Input!L263)&gt;0,IFERROR(Vintage_Input!AR263/Vintage_Input!AJ263,""),""))</f>
        <v/>
      </c>
      <c r="AK312" s="152">
        <f>IF($B312=1,$C$42,IF(N(Vintage_Input!M263)&gt;0,IFERROR(Vintage_Input!AS263/Vintage_Input!AK263,""),""))</f>
        <v/>
      </c>
      <c r="AL312" s="152">
        <f>IF($B312=1,$D$42,IF(N(Vintage_Input!N263)&gt;0,IFERROR(Vintage_Input!AT263/Vintage_Input!AL263,""),""))</f>
        <v/>
      </c>
      <c r="AM312" s="152">
        <f>IF($B312=1,$E$42,IF(N(Vintage_Input!O263)&gt;0,IFERROR(Vintage_Input!AU263/Vintage_Input!AM263,""),""))</f>
        <v/>
      </c>
      <c r="AN312" s="152">
        <f>IF($B312=1,$F$42,IF(N(Vintage_Input!P263)&gt;0,IFERROR(Vintage_Input!AV263/Vintage_Input!AN263,""),""))</f>
        <v/>
      </c>
      <c r="AO312" s="152">
        <f>IF($B312=1,$G$42,IF(N(Vintage_Input!Q263)&gt;0,IFERROR(Vintage_Input!AW263/Vintage_Input!AO263,""),""))</f>
        <v/>
      </c>
      <c r="AP312" s="152">
        <f>IF($B312=1,$H$42,IF(N(Vintage_Input!R263)&gt;0,IFERROR(Vintage_Input!AX263/Vintage_Input!AP263,""),""))</f>
        <v/>
      </c>
      <c r="AQ312" s="152">
        <f>IF($B312=1,$I$42,IF(N(Vintage_Input!S263)&gt;0,IFERROR(Vintage_Input!AY263/Vintage_Input!AQ263,""),""))</f>
        <v/>
      </c>
      <c r="AR312" s="152">
        <f>IF($B312=1,$B$43,IF(N(Vintage_Input!L263)&gt;0,IFERROR(Vintage_Input!AZ263/$C312,""),""))</f>
        <v/>
      </c>
      <c r="AS312" s="152">
        <f>IF($B312=1,$C$43,IF(N(Vintage_Input!M263)&gt;0,IFERROR(Vintage_Input!BA263/$C312,""),""))</f>
        <v/>
      </c>
      <c r="AT312" s="152">
        <f>IF($B312=1,$D$43,IF(N(Vintage_Input!N263)&gt;0,IFERROR(Vintage_Input!BB263/$C312,""),""))</f>
        <v/>
      </c>
      <c r="AU312" s="152">
        <f>IF($B312=1,$E$43,IF(N(Vintage_Input!O263)&gt;0,IFERROR(Vintage_Input!BC263/$C312,""),""))</f>
        <v/>
      </c>
      <c r="AV312" s="152">
        <f>IF($B312=1,$F$43,IF(N(Vintage_Input!P263)&gt;0,IFERROR(Vintage_Input!BD263/$C312,""),""))</f>
        <v/>
      </c>
      <c r="AW312" s="152">
        <f>IF($B312=1,$G$43,IF(N(Vintage_Input!Q263)&gt;0,IFERROR(Vintage_Input!BE263/$C312,""),""))</f>
        <v/>
      </c>
      <c r="AX312" s="152">
        <f>IF($B312=1,$H$43,IF(N(Vintage_Input!R263)&gt;0,IFERROR(Vintage_Input!BF263/$C312,""),""))</f>
        <v/>
      </c>
      <c r="AY312" s="152">
        <f>IF($B312=1,$I$43,IF(N(Vintage_Input!S263)&gt;0,IFERROR(Vintage_Input!BG263/$C312,""),""))</f>
        <v/>
      </c>
      <c r="AZ312" s="153">
        <f>IF($B312=1,$B$44,IF(N(Vintage_Input!L263)&gt;0,IFERROR((Vintage_Input!D263+Vintage_Input!AR263)/$C312+Products!$F$14-(Products!$F$43+Products!$F$19+Products!$F$43*Products!$F$22+Products!$F$44),""),""))</f>
        <v/>
      </c>
      <c r="BA312" s="153">
        <f>IF($B312=1,$C$44,IF(N(Vintage_Input!M263)&gt;0,IFERROR((Vintage_Input!E263+Vintage_Input!AS263)/$C312+Products!$F$14-(Products!$F$43+Products!$F$19+Products!$F$43*Products!$F$22+Products!$F$44),""),""))</f>
        <v/>
      </c>
      <c r="BB312" s="153">
        <f>IF($B312=1,$D$44,IF(N(Vintage_Input!N263)&gt;0,IFERROR((Vintage_Input!F263+Vintage_Input!AT263)/$C312+Products!$F$14-(Products!$F$43+Products!$F$19+Products!$F$43*Products!$F$22+Products!$F$44),""),""))</f>
        <v/>
      </c>
      <c r="BC312" s="153">
        <f>IF($B312=1,$E$44,IF(N(Vintage_Input!O263)&gt;0,IFERROR((Vintage_Input!G263+Vintage_Input!AU263)/$C312+Products!$F$14-(Products!$F$43+Products!$F$19+Products!$F$43*Products!$F$22+Products!$F$44),""),""))</f>
        <v/>
      </c>
      <c r="BD312" s="153">
        <f>IF($B312=1,$F$44,IF(N(Vintage_Input!P263)&gt;0,IFERROR((Vintage_Input!H263+Vintage_Input!AV263)/$C312+Products!$F$14-(Products!$F$43+Products!$F$19+Products!$F$43*Products!$F$22+Products!$F$44),""),""))</f>
        <v/>
      </c>
      <c r="BE312" s="153">
        <f>IF($B312=1,$G$44,IF(N(Vintage_Input!Q263)&gt;0,IFERROR((Vintage_Input!I263+Vintage_Input!AW263)/$C312+Products!$F$14-(Products!$F$43+Products!$F$19+Products!$F$43*Products!$F$22+Products!$F$44),""),""))</f>
        <v/>
      </c>
      <c r="BF312" s="153">
        <f>IF($B312=1,$H$44,IF(N(Vintage_Input!R263)&gt;0,IFERROR((Vintage_Input!J263+Vintage_Input!AX263)/$C312+Products!$F$14-(Products!$F$43+Products!$F$19+Products!$F$43*Products!$F$22+Products!$F$44),""),""))</f>
        <v/>
      </c>
      <c r="BG312" s="153">
        <f>IF($B312=1,$I$44,IF(N(Vintage_Input!S263)&gt;0,IFERROR((Vintage_Input!K263+Vintage_Input!AY263)/$C312+Products!$F$14-(Products!$F$43+Products!$F$19+Products!$F$43*Products!$F$22+Products!$F$44),""),""))</f>
        <v/>
      </c>
      <c r="BH312" s="81">
        <f>IF($B312=1,0,IF(Vintage_Input!$BH$263="","",Vintage_Input!$BH$263))</f>
        <v/>
      </c>
    </row>
    <row r="313"/>
    <row r="314">
      <c r="A314" s="111" t="inlineStr">
        <is>
          <t>Tier 5: Solar inverter + lithium (~3 kWp / 10 kWh)</t>
        </is>
      </c>
    </row>
    <row r="315">
      <c r="D315" s="151" t="inlineStr">
        <is>
          <t>Cohort repayment ratio (not PERFORM)</t>
        </is>
      </c>
      <c r="L315" s="151" t="inlineStr">
        <is>
          <t>30+ DPD exposure / due</t>
        </is>
      </c>
      <c r="T315" s="151" t="inlineStr">
        <is>
          <t>90+ DPD exposure / due</t>
        </is>
      </c>
      <c r="AB315" s="151" t="inlineStr">
        <is>
          <t>180+ default exposure / due</t>
        </is>
      </c>
      <c r="AJ315" s="151" t="inlineStr">
        <is>
          <t>Recovery / default</t>
        </is>
      </c>
      <c r="AR315" s="151" t="inlineStr">
        <is>
          <t>Active account share</t>
        </is>
      </c>
      <c r="AZ315" s="151" t="inlineStr">
        <is>
          <t>Cumulative contribution per unit (LCY)</t>
        </is>
      </c>
    </row>
    <row r="316">
      <c r="A316" s="40" t="inlineStr">
        <is>
          <t>Cohort #</t>
        </is>
      </c>
      <c r="B316" s="40" t="inlineStr">
        <is>
          <t>Mode</t>
        </is>
      </c>
      <c r="C316" s="40" t="inlineStr">
        <is>
          <t>Units</t>
        </is>
      </c>
      <c r="D316" s="40" t="inlineStr">
        <is>
          <t>M3</t>
        </is>
      </c>
      <c r="E316" s="40" t="inlineStr">
        <is>
          <t>M6</t>
        </is>
      </c>
      <c r="F316" s="40" t="inlineStr">
        <is>
          <t>M12</t>
        </is>
      </c>
      <c r="G316" s="40" t="inlineStr">
        <is>
          <t>M18</t>
        </is>
      </c>
      <c r="H316" s="40" t="inlineStr">
        <is>
          <t>M24</t>
        </is>
      </c>
      <c r="I316" s="40" t="inlineStr">
        <is>
          <t>M36</t>
        </is>
      </c>
      <c r="J316" s="40" t="inlineStr">
        <is>
          <t>M48</t>
        </is>
      </c>
      <c r="K316" s="40" t="inlineStr">
        <is>
          <t>M60</t>
        </is>
      </c>
      <c r="L316" s="40" t="inlineStr">
        <is>
          <t>M3</t>
        </is>
      </c>
      <c r="M316" s="40" t="inlineStr">
        <is>
          <t>M6</t>
        </is>
      </c>
      <c r="N316" s="40" t="inlineStr">
        <is>
          <t>M12</t>
        </is>
      </c>
      <c r="O316" s="40" t="inlineStr">
        <is>
          <t>M18</t>
        </is>
      </c>
      <c r="P316" s="40" t="inlineStr">
        <is>
          <t>M24</t>
        </is>
      </c>
      <c r="Q316" s="40" t="inlineStr">
        <is>
          <t>M36</t>
        </is>
      </c>
      <c r="R316" s="40" t="inlineStr">
        <is>
          <t>M48</t>
        </is>
      </c>
      <c r="S316" s="40" t="inlineStr">
        <is>
          <t>M60</t>
        </is>
      </c>
      <c r="T316" s="40" t="inlineStr">
        <is>
          <t>M3</t>
        </is>
      </c>
      <c r="U316" s="40" t="inlineStr">
        <is>
          <t>M6</t>
        </is>
      </c>
      <c r="V316" s="40" t="inlineStr">
        <is>
          <t>M12</t>
        </is>
      </c>
      <c r="W316" s="40" t="inlineStr">
        <is>
          <t>M18</t>
        </is>
      </c>
      <c r="X316" s="40" t="inlineStr">
        <is>
          <t>M24</t>
        </is>
      </c>
      <c r="Y316" s="40" t="inlineStr">
        <is>
          <t>M36</t>
        </is>
      </c>
      <c r="Z316" s="40" t="inlineStr">
        <is>
          <t>M48</t>
        </is>
      </c>
      <c r="AA316" s="40" t="inlineStr">
        <is>
          <t>M60</t>
        </is>
      </c>
      <c r="AB316" s="40" t="inlineStr">
        <is>
          <t>M3</t>
        </is>
      </c>
      <c r="AC316" s="40" t="inlineStr">
        <is>
          <t>M6</t>
        </is>
      </c>
      <c r="AD316" s="40" t="inlineStr">
        <is>
          <t>M12</t>
        </is>
      </c>
      <c r="AE316" s="40" t="inlineStr">
        <is>
          <t>M18</t>
        </is>
      </c>
      <c r="AF316" s="40" t="inlineStr">
        <is>
          <t>M24</t>
        </is>
      </c>
      <c r="AG316" s="40" t="inlineStr">
        <is>
          <t>M36</t>
        </is>
      </c>
      <c r="AH316" s="40" t="inlineStr">
        <is>
          <t>M48</t>
        </is>
      </c>
      <c r="AI316" s="40" t="inlineStr">
        <is>
          <t>M60</t>
        </is>
      </c>
      <c r="AJ316" s="40" t="inlineStr">
        <is>
          <t>M3</t>
        </is>
      </c>
      <c r="AK316" s="40" t="inlineStr">
        <is>
          <t>M6</t>
        </is>
      </c>
      <c r="AL316" s="40" t="inlineStr">
        <is>
          <t>M12</t>
        </is>
      </c>
      <c r="AM316" s="40" t="inlineStr">
        <is>
          <t>M18</t>
        </is>
      </c>
      <c r="AN316" s="40" t="inlineStr">
        <is>
          <t>M24</t>
        </is>
      </c>
      <c r="AO316" s="40" t="inlineStr">
        <is>
          <t>M36</t>
        </is>
      </c>
      <c r="AP316" s="40" t="inlineStr">
        <is>
          <t>M48</t>
        </is>
      </c>
      <c r="AQ316" s="40" t="inlineStr">
        <is>
          <t>M60</t>
        </is>
      </c>
      <c r="AR316" s="40" t="inlineStr">
        <is>
          <t>M3</t>
        </is>
      </c>
      <c r="AS316" s="40" t="inlineStr">
        <is>
          <t>M6</t>
        </is>
      </c>
      <c r="AT316" s="40" t="inlineStr">
        <is>
          <t>M12</t>
        </is>
      </c>
      <c r="AU316" s="40" t="inlineStr">
        <is>
          <t>M18</t>
        </is>
      </c>
      <c r="AV316" s="40" t="inlineStr">
        <is>
          <t>M24</t>
        </is>
      </c>
      <c r="AW316" s="40" t="inlineStr">
        <is>
          <t>M36</t>
        </is>
      </c>
      <c r="AX316" s="40" t="inlineStr">
        <is>
          <t>M48</t>
        </is>
      </c>
      <c r="AY316" s="40" t="inlineStr">
        <is>
          <t>M60</t>
        </is>
      </c>
      <c r="AZ316" s="40" t="inlineStr">
        <is>
          <t>M3</t>
        </is>
      </c>
      <c r="BA316" s="40" t="inlineStr">
        <is>
          <t>M6</t>
        </is>
      </c>
      <c r="BB316" s="40" t="inlineStr">
        <is>
          <t>M12</t>
        </is>
      </c>
      <c r="BC316" s="40" t="inlineStr">
        <is>
          <t>M18</t>
        </is>
      </c>
      <c r="BD316" s="40" t="inlineStr">
        <is>
          <t>M24</t>
        </is>
      </c>
      <c r="BE316" s="40" t="inlineStr">
        <is>
          <t>M36</t>
        </is>
      </c>
      <c r="BF316" s="40" t="inlineStr">
        <is>
          <t>M48</t>
        </is>
      </c>
      <c r="BG316" s="40" t="inlineStr">
        <is>
          <t>M60</t>
        </is>
      </c>
      <c r="BH316" s="40" t="inlineStr">
        <is>
          <t>Ownership at 2x</t>
        </is>
      </c>
    </row>
    <row r="317">
      <c r="A317" s="23" t="n">
        <v>1</v>
      </c>
      <c r="B317" s="48">
        <f>Vintage_Input!$B$269</f>
        <v/>
      </c>
      <c r="C317" s="41">
        <f>IF(Vintage_Input!$C$269="",0,Vintage_Input!$C$269)</f>
        <v/>
      </c>
      <c r="D317" s="152">
        <f>IF($B317=1,$B$48,IF(N(Vintage_Input!L269)&gt;0,Vintage_Input!D269/Vintage_Input!L269,""))</f>
        <v/>
      </c>
      <c r="E317" s="152">
        <f>IF($B317=1,$C$48,IF(N(Vintage_Input!M269)&gt;0,Vintage_Input!E269/Vintage_Input!M269,""))</f>
        <v/>
      </c>
      <c r="F317" s="152">
        <f>IF($B317=1,$D$48,IF(N(Vintage_Input!N269)&gt;0,Vintage_Input!F269/Vintage_Input!N269,""))</f>
        <v/>
      </c>
      <c r="G317" s="152">
        <f>IF($B317=1,$E$48,IF(N(Vintage_Input!O269)&gt;0,Vintage_Input!G269/Vintage_Input!O269,""))</f>
        <v/>
      </c>
      <c r="H317" s="152">
        <f>IF($B317=1,$F$48,IF(N(Vintage_Input!P269)&gt;0,Vintage_Input!H269/Vintage_Input!P269,""))</f>
        <v/>
      </c>
      <c r="I317" s="152">
        <f>IF($B317=1,$G$48,IF(N(Vintage_Input!Q269)&gt;0,Vintage_Input!I269/Vintage_Input!Q269,""))</f>
        <v/>
      </c>
      <c r="J317" s="152">
        <f>IF($B317=1,$H$48,IF(N(Vintage_Input!R269)&gt;0,Vintage_Input!J269/Vintage_Input!R269,""))</f>
        <v/>
      </c>
      <c r="K317" s="152">
        <f>IF($B317=1,$I$48,IF(N(Vintage_Input!S269)&gt;0,Vintage_Input!K269/Vintage_Input!S269,""))</f>
        <v/>
      </c>
      <c r="L317" s="152">
        <f>IF($B317=1,$B$49,IF(N(Vintage_Input!L269)&gt;0,Vintage_Input!T269/Vintage_Input!L269,""))</f>
        <v/>
      </c>
      <c r="M317" s="152">
        <f>IF($B317=1,$C$49,IF(N(Vintage_Input!M269)&gt;0,Vintage_Input!U269/Vintage_Input!M269,""))</f>
        <v/>
      </c>
      <c r="N317" s="152">
        <f>IF($B317=1,$D$49,IF(N(Vintage_Input!N269)&gt;0,Vintage_Input!V269/Vintage_Input!N269,""))</f>
        <v/>
      </c>
      <c r="O317" s="152">
        <f>IF($B317=1,$E$49,IF(N(Vintage_Input!O269)&gt;0,Vintage_Input!W269/Vintage_Input!O269,""))</f>
        <v/>
      </c>
      <c r="P317" s="152">
        <f>IF($B317=1,$F$49,IF(N(Vintage_Input!P269)&gt;0,Vintage_Input!X269/Vintage_Input!P269,""))</f>
        <v/>
      </c>
      <c r="Q317" s="152">
        <f>IF($B317=1,$G$49,IF(N(Vintage_Input!Q269)&gt;0,Vintage_Input!Y269/Vintage_Input!Q269,""))</f>
        <v/>
      </c>
      <c r="R317" s="152">
        <f>IF($B317=1,$H$49,IF(N(Vintage_Input!R269)&gt;0,Vintage_Input!Z269/Vintage_Input!R269,""))</f>
        <v/>
      </c>
      <c r="S317" s="152">
        <f>IF($B317=1,$I$49,IF(N(Vintage_Input!S269)&gt;0,Vintage_Input!AA269/Vintage_Input!S269,""))</f>
        <v/>
      </c>
      <c r="T317" s="152">
        <f>IF($B317=1,$B$50,IF(N(Vintage_Input!L269)&gt;0,Vintage_Input!AB269/Vintage_Input!L269,""))</f>
        <v/>
      </c>
      <c r="U317" s="152">
        <f>IF($B317=1,$C$50,IF(N(Vintage_Input!M269)&gt;0,Vintage_Input!AC269/Vintage_Input!M269,""))</f>
        <v/>
      </c>
      <c r="V317" s="152">
        <f>IF($B317=1,$D$50,IF(N(Vintage_Input!N269)&gt;0,Vintage_Input!AD269/Vintage_Input!N269,""))</f>
        <v/>
      </c>
      <c r="W317" s="152">
        <f>IF($B317=1,$E$50,IF(N(Vintage_Input!O269)&gt;0,Vintage_Input!AE269/Vintage_Input!O269,""))</f>
        <v/>
      </c>
      <c r="X317" s="152">
        <f>IF($B317=1,$F$50,IF(N(Vintage_Input!P269)&gt;0,Vintage_Input!AF269/Vintage_Input!P269,""))</f>
        <v/>
      </c>
      <c r="Y317" s="152">
        <f>IF($B317=1,$G$50,IF(N(Vintage_Input!Q269)&gt;0,Vintage_Input!AG269/Vintage_Input!Q269,""))</f>
        <v/>
      </c>
      <c r="Z317" s="152">
        <f>IF($B317=1,$H$50,IF(N(Vintage_Input!R269)&gt;0,Vintage_Input!AH269/Vintage_Input!R269,""))</f>
        <v/>
      </c>
      <c r="AA317" s="152">
        <f>IF($B317=1,$I$50,IF(N(Vintage_Input!S269)&gt;0,Vintage_Input!AI269/Vintage_Input!S269,""))</f>
        <v/>
      </c>
      <c r="AB317" s="152">
        <f>IF($B317=1,$B$51,IF(N(Vintage_Input!L269)&gt;0,Vintage_Input!AJ269/Vintage_Input!L269,""))</f>
        <v/>
      </c>
      <c r="AC317" s="152">
        <f>IF($B317=1,$C$51,IF(N(Vintage_Input!M269)&gt;0,Vintage_Input!AK269/Vintage_Input!M269,""))</f>
        <v/>
      </c>
      <c r="AD317" s="152">
        <f>IF($B317=1,$D$51,IF(N(Vintage_Input!N269)&gt;0,Vintage_Input!AL269/Vintage_Input!N269,""))</f>
        <v/>
      </c>
      <c r="AE317" s="152">
        <f>IF($B317=1,$E$51,IF(N(Vintage_Input!O269)&gt;0,Vintage_Input!AM269/Vintage_Input!O269,""))</f>
        <v/>
      </c>
      <c r="AF317" s="152">
        <f>IF($B317=1,$F$51,IF(N(Vintage_Input!P269)&gt;0,Vintage_Input!AN269/Vintage_Input!P269,""))</f>
        <v/>
      </c>
      <c r="AG317" s="152">
        <f>IF($B317=1,$G$51,IF(N(Vintage_Input!Q269)&gt;0,Vintage_Input!AO269/Vintage_Input!Q269,""))</f>
        <v/>
      </c>
      <c r="AH317" s="152">
        <f>IF($B317=1,$H$51,IF(N(Vintage_Input!R269)&gt;0,Vintage_Input!AP269/Vintage_Input!R269,""))</f>
        <v/>
      </c>
      <c r="AI317" s="152">
        <f>IF($B317=1,$I$51,IF(N(Vintage_Input!S269)&gt;0,Vintage_Input!AQ269/Vintage_Input!S269,""))</f>
        <v/>
      </c>
      <c r="AJ317" s="152">
        <f>IF($B317=1,$B$52,IF(N(Vintage_Input!L269)&gt;0,IFERROR(Vintage_Input!AR269/Vintage_Input!AJ269,""),""))</f>
        <v/>
      </c>
      <c r="AK317" s="152">
        <f>IF($B317=1,$C$52,IF(N(Vintage_Input!M269)&gt;0,IFERROR(Vintage_Input!AS269/Vintage_Input!AK269,""),""))</f>
        <v/>
      </c>
      <c r="AL317" s="152">
        <f>IF($B317=1,$D$52,IF(N(Vintage_Input!N269)&gt;0,IFERROR(Vintage_Input!AT269/Vintage_Input!AL269,""),""))</f>
        <v/>
      </c>
      <c r="AM317" s="152">
        <f>IF($B317=1,$E$52,IF(N(Vintage_Input!O269)&gt;0,IFERROR(Vintage_Input!AU269/Vintage_Input!AM269,""),""))</f>
        <v/>
      </c>
      <c r="AN317" s="152">
        <f>IF($B317=1,$F$52,IF(N(Vintage_Input!P269)&gt;0,IFERROR(Vintage_Input!AV269/Vintage_Input!AN269,""),""))</f>
        <v/>
      </c>
      <c r="AO317" s="152">
        <f>IF($B317=1,$G$52,IF(N(Vintage_Input!Q269)&gt;0,IFERROR(Vintage_Input!AW269/Vintage_Input!AO269,""),""))</f>
        <v/>
      </c>
      <c r="AP317" s="152">
        <f>IF($B317=1,$H$52,IF(N(Vintage_Input!R269)&gt;0,IFERROR(Vintage_Input!AX269/Vintage_Input!AP269,""),""))</f>
        <v/>
      </c>
      <c r="AQ317" s="152">
        <f>IF($B317=1,$I$52,IF(N(Vintage_Input!S269)&gt;0,IFERROR(Vintage_Input!AY269/Vintage_Input!AQ269,""),""))</f>
        <v/>
      </c>
      <c r="AR317" s="152">
        <f>IF($B317=1,$B$53,IF(N(Vintage_Input!L269)&gt;0,IFERROR(Vintage_Input!AZ269/$C317,""),""))</f>
        <v/>
      </c>
      <c r="AS317" s="152">
        <f>IF($B317=1,$C$53,IF(N(Vintage_Input!M269)&gt;0,IFERROR(Vintage_Input!BA269/$C317,""),""))</f>
        <v/>
      </c>
      <c r="AT317" s="152">
        <f>IF($B317=1,$D$53,IF(N(Vintage_Input!N269)&gt;0,IFERROR(Vintage_Input!BB269/$C317,""),""))</f>
        <v/>
      </c>
      <c r="AU317" s="152">
        <f>IF($B317=1,$E$53,IF(N(Vintage_Input!O269)&gt;0,IFERROR(Vintage_Input!BC269/$C317,""),""))</f>
        <v/>
      </c>
      <c r="AV317" s="152">
        <f>IF($B317=1,$F$53,IF(N(Vintage_Input!P269)&gt;0,IFERROR(Vintage_Input!BD269/$C317,""),""))</f>
        <v/>
      </c>
      <c r="AW317" s="152">
        <f>IF($B317=1,$G$53,IF(N(Vintage_Input!Q269)&gt;0,IFERROR(Vintage_Input!BE269/$C317,""),""))</f>
        <v/>
      </c>
      <c r="AX317" s="152">
        <f>IF($B317=1,$H$53,IF(N(Vintage_Input!R269)&gt;0,IFERROR(Vintage_Input!BF269/$C317,""),""))</f>
        <v/>
      </c>
      <c r="AY317" s="152">
        <f>IF($B317=1,$I$53,IF(N(Vintage_Input!S269)&gt;0,IFERROR(Vintage_Input!BG269/$C317,""),""))</f>
        <v/>
      </c>
      <c r="AZ317" s="153">
        <f>IF($B317=1,$B$54,IF(N(Vintage_Input!L269)&gt;0,IFERROR((Vintage_Input!D269+Vintage_Input!AR269)/$C317+Products!$G$14-(Products!$G$43+Products!$G$19+Products!$G$43*Products!$G$22+Products!$G$44),""),""))</f>
        <v/>
      </c>
      <c r="BA317" s="153">
        <f>IF($B317=1,$C$54,IF(N(Vintage_Input!M269)&gt;0,IFERROR((Vintage_Input!E269+Vintage_Input!AS269)/$C317+Products!$G$14-(Products!$G$43+Products!$G$19+Products!$G$43*Products!$G$22+Products!$G$44),""),""))</f>
        <v/>
      </c>
      <c r="BB317" s="153">
        <f>IF($B317=1,$D$54,IF(N(Vintage_Input!N269)&gt;0,IFERROR((Vintage_Input!F269+Vintage_Input!AT269)/$C317+Products!$G$14-(Products!$G$43+Products!$G$19+Products!$G$43*Products!$G$22+Products!$G$44),""),""))</f>
        <v/>
      </c>
      <c r="BC317" s="153">
        <f>IF($B317=1,$E$54,IF(N(Vintage_Input!O269)&gt;0,IFERROR((Vintage_Input!G269+Vintage_Input!AU269)/$C317+Products!$G$14-(Products!$G$43+Products!$G$19+Products!$G$43*Products!$G$22+Products!$G$44),""),""))</f>
        <v/>
      </c>
      <c r="BD317" s="153">
        <f>IF($B317=1,$F$54,IF(N(Vintage_Input!P269)&gt;0,IFERROR((Vintage_Input!H269+Vintage_Input!AV269)/$C317+Products!$G$14-(Products!$G$43+Products!$G$19+Products!$G$43*Products!$G$22+Products!$G$44),""),""))</f>
        <v/>
      </c>
      <c r="BE317" s="153">
        <f>IF($B317=1,$G$54,IF(N(Vintage_Input!Q269)&gt;0,IFERROR((Vintage_Input!I269+Vintage_Input!AW269)/$C317+Products!$G$14-(Products!$G$43+Products!$G$19+Products!$G$43*Products!$G$22+Products!$G$44),""),""))</f>
        <v/>
      </c>
      <c r="BF317" s="153">
        <f>IF($B317=1,$H$54,IF(N(Vintage_Input!R269)&gt;0,IFERROR((Vintage_Input!J269+Vintage_Input!AX269)/$C317+Products!$G$14-(Products!$G$43+Products!$G$19+Products!$G$43*Products!$G$22+Products!$G$44),""),""))</f>
        <v/>
      </c>
      <c r="BG317" s="153">
        <f>IF($B317=1,$I$54,IF(N(Vintage_Input!S269)&gt;0,IFERROR((Vintage_Input!K269+Vintage_Input!AY269)/$C317+Products!$G$14-(Products!$G$43+Products!$G$19+Products!$G$43*Products!$G$22+Products!$G$44),""),""))</f>
        <v/>
      </c>
      <c r="BH317" s="81">
        <f>IF($B317=1,0,IF(Vintage_Input!$BH$269="","",Vintage_Input!$BH$269))</f>
        <v/>
      </c>
    </row>
    <row r="318">
      <c r="A318" s="23" t="n">
        <v>2</v>
      </c>
      <c r="B318" s="48">
        <f>Vintage_Input!$B$270</f>
        <v/>
      </c>
      <c r="C318" s="41">
        <f>IF(Vintage_Input!$C$270="",0,Vintage_Input!$C$270)</f>
        <v/>
      </c>
      <c r="D318" s="152">
        <f>IF($B318=1,$B$48,IF(N(Vintage_Input!L270)&gt;0,Vintage_Input!D270/Vintage_Input!L270,""))</f>
        <v/>
      </c>
      <c r="E318" s="152">
        <f>IF($B318=1,$C$48,IF(N(Vintage_Input!M270)&gt;0,Vintage_Input!E270/Vintage_Input!M270,""))</f>
        <v/>
      </c>
      <c r="F318" s="152">
        <f>IF($B318=1,$D$48,IF(N(Vintage_Input!N270)&gt;0,Vintage_Input!F270/Vintage_Input!N270,""))</f>
        <v/>
      </c>
      <c r="G318" s="152">
        <f>IF($B318=1,$E$48,IF(N(Vintage_Input!O270)&gt;0,Vintage_Input!G270/Vintage_Input!O270,""))</f>
        <v/>
      </c>
      <c r="H318" s="152">
        <f>IF($B318=1,$F$48,IF(N(Vintage_Input!P270)&gt;0,Vintage_Input!H270/Vintage_Input!P270,""))</f>
        <v/>
      </c>
      <c r="I318" s="152">
        <f>IF($B318=1,$G$48,IF(N(Vintage_Input!Q270)&gt;0,Vintage_Input!I270/Vintage_Input!Q270,""))</f>
        <v/>
      </c>
      <c r="J318" s="152">
        <f>IF($B318=1,$H$48,IF(N(Vintage_Input!R270)&gt;0,Vintage_Input!J270/Vintage_Input!R270,""))</f>
        <v/>
      </c>
      <c r="K318" s="152">
        <f>IF($B318=1,$I$48,IF(N(Vintage_Input!S270)&gt;0,Vintage_Input!K270/Vintage_Input!S270,""))</f>
        <v/>
      </c>
      <c r="L318" s="152">
        <f>IF($B318=1,$B$49,IF(N(Vintage_Input!L270)&gt;0,Vintage_Input!T270/Vintage_Input!L270,""))</f>
        <v/>
      </c>
      <c r="M318" s="152">
        <f>IF($B318=1,$C$49,IF(N(Vintage_Input!M270)&gt;0,Vintage_Input!U270/Vintage_Input!M270,""))</f>
        <v/>
      </c>
      <c r="N318" s="152">
        <f>IF($B318=1,$D$49,IF(N(Vintage_Input!N270)&gt;0,Vintage_Input!V270/Vintage_Input!N270,""))</f>
        <v/>
      </c>
      <c r="O318" s="152">
        <f>IF($B318=1,$E$49,IF(N(Vintage_Input!O270)&gt;0,Vintage_Input!W270/Vintage_Input!O270,""))</f>
        <v/>
      </c>
      <c r="P318" s="152">
        <f>IF($B318=1,$F$49,IF(N(Vintage_Input!P270)&gt;0,Vintage_Input!X270/Vintage_Input!P270,""))</f>
        <v/>
      </c>
      <c r="Q318" s="152">
        <f>IF($B318=1,$G$49,IF(N(Vintage_Input!Q270)&gt;0,Vintage_Input!Y270/Vintage_Input!Q270,""))</f>
        <v/>
      </c>
      <c r="R318" s="152">
        <f>IF($B318=1,$H$49,IF(N(Vintage_Input!R270)&gt;0,Vintage_Input!Z270/Vintage_Input!R270,""))</f>
        <v/>
      </c>
      <c r="S318" s="152">
        <f>IF($B318=1,$I$49,IF(N(Vintage_Input!S270)&gt;0,Vintage_Input!AA270/Vintage_Input!S270,""))</f>
        <v/>
      </c>
      <c r="T318" s="152">
        <f>IF($B318=1,$B$50,IF(N(Vintage_Input!L270)&gt;0,Vintage_Input!AB270/Vintage_Input!L270,""))</f>
        <v/>
      </c>
      <c r="U318" s="152">
        <f>IF($B318=1,$C$50,IF(N(Vintage_Input!M270)&gt;0,Vintage_Input!AC270/Vintage_Input!M270,""))</f>
        <v/>
      </c>
      <c r="V318" s="152">
        <f>IF($B318=1,$D$50,IF(N(Vintage_Input!N270)&gt;0,Vintage_Input!AD270/Vintage_Input!N270,""))</f>
        <v/>
      </c>
      <c r="W318" s="152">
        <f>IF($B318=1,$E$50,IF(N(Vintage_Input!O270)&gt;0,Vintage_Input!AE270/Vintage_Input!O270,""))</f>
        <v/>
      </c>
      <c r="X318" s="152">
        <f>IF($B318=1,$F$50,IF(N(Vintage_Input!P270)&gt;0,Vintage_Input!AF270/Vintage_Input!P270,""))</f>
        <v/>
      </c>
      <c r="Y318" s="152">
        <f>IF($B318=1,$G$50,IF(N(Vintage_Input!Q270)&gt;0,Vintage_Input!AG270/Vintage_Input!Q270,""))</f>
        <v/>
      </c>
      <c r="Z318" s="152">
        <f>IF($B318=1,$H$50,IF(N(Vintage_Input!R270)&gt;0,Vintage_Input!AH270/Vintage_Input!R270,""))</f>
        <v/>
      </c>
      <c r="AA318" s="152">
        <f>IF($B318=1,$I$50,IF(N(Vintage_Input!S270)&gt;0,Vintage_Input!AI270/Vintage_Input!S270,""))</f>
        <v/>
      </c>
      <c r="AB318" s="152">
        <f>IF($B318=1,$B$51,IF(N(Vintage_Input!L270)&gt;0,Vintage_Input!AJ270/Vintage_Input!L270,""))</f>
        <v/>
      </c>
      <c r="AC318" s="152">
        <f>IF($B318=1,$C$51,IF(N(Vintage_Input!M270)&gt;0,Vintage_Input!AK270/Vintage_Input!M270,""))</f>
        <v/>
      </c>
      <c r="AD318" s="152">
        <f>IF($B318=1,$D$51,IF(N(Vintage_Input!N270)&gt;0,Vintage_Input!AL270/Vintage_Input!N270,""))</f>
        <v/>
      </c>
      <c r="AE318" s="152">
        <f>IF($B318=1,$E$51,IF(N(Vintage_Input!O270)&gt;0,Vintage_Input!AM270/Vintage_Input!O270,""))</f>
        <v/>
      </c>
      <c r="AF318" s="152">
        <f>IF($B318=1,$F$51,IF(N(Vintage_Input!P270)&gt;0,Vintage_Input!AN270/Vintage_Input!P270,""))</f>
        <v/>
      </c>
      <c r="AG318" s="152">
        <f>IF($B318=1,$G$51,IF(N(Vintage_Input!Q270)&gt;0,Vintage_Input!AO270/Vintage_Input!Q270,""))</f>
        <v/>
      </c>
      <c r="AH318" s="152">
        <f>IF($B318=1,$H$51,IF(N(Vintage_Input!R270)&gt;0,Vintage_Input!AP270/Vintage_Input!R270,""))</f>
        <v/>
      </c>
      <c r="AI318" s="152">
        <f>IF($B318=1,$I$51,IF(N(Vintage_Input!S270)&gt;0,Vintage_Input!AQ270/Vintage_Input!S270,""))</f>
        <v/>
      </c>
      <c r="AJ318" s="152">
        <f>IF($B318=1,$B$52,IF(N(Vintage_Input!L270)&gt;0,IFERROR(Vintage_Input!AR270/Vintage_Input!AJ270,""),""))</f>
        <v/>
      </c>
      <c r="AK318" s="152">
        <f>IF($B318=1,$C$52,IF(N(Vintage_Input!M270)&gt;0,IFERROR(Vintage_Input!AS270/Vintage_Input!AK270,""),""))</f>
        <v/>
      </c>
      <c r="AL318" s="152">
        <f>IF($B318=1,$D$52,IF(N(Vintage_Input!N270)&gt;0,IFERROR(Vintage_Input!AT270/Vintage_Input!AL270,""),""))</f>
        <v/>
      </c>
      <c r="AM318" s="152">
        <f>IF($B318=1,$E$52,IF(N(Vintage_Input!O270)&gt;0,IFERROR(Vintage_Input!AU270/Vintage_Input!AM270,""),""))</f>
        <v/>
      </c>
      <c r="AN318" s="152">
        <f>IF($B318=1,$F$52,IF(N(Vintage_Input!P270)&gt;0,IFERROR(Vintage_Input!AV270/Vintage_Input!AN270,""),""))</f>
        <v/>
      </c>
      <c r="AO318" s="152">
        <f>IF($B318=1,$G$52,IF(N(Vintage_Input!Q270)&gt;0,IFERROR(Vintage_Input!AW270/Vintage_Input!AO270,""),""))</f>
        <v/>
      </c>
      <c r="AP318" s="152">
        <f>IF($B318=1,$H$52,IF(N(Vintage_Input!R270)&gt;0,IFERROR(Vintage_Input!AX270/Vintage_Input!AP270,""),""))</f>
        <v/>
      </c>
      <c r="AQ318" s="152">
        <f>IF($B318=1,$I$52,IF(N(Vintage_Input!S270)&gt;0,IFERROR(Vintage_Input!AY270/Vintage_Input!AQ270,""),""))</f>
        <v/>
      </c>
      <c r="AR318" s="152">
        <f>IF($B318=1,$B$53,IF(N(Vintage_Input!L270)&gt;0,IFERROR(Vintage_Input!AZ270/$C318,""),""))</f>
        <v/>
      </c>
      <c r="AS318" s="152">
        <f>IF($B318=1,$C$53,IF(N(Vintage_Input!M270)&gt;0,IFERROR(Vintage_Input!BA270/$C318,""),""))</f>
        <v/>
      </c>
      <c r="AT318" s="152">
        <f>IF($B318=1,$D$53,IF(N(Vintage_Input!N270)&gt;0,IFERROR(Vintage_Input!BB270/$C318,""),""))</f>
        <v/>
      </c>
      <c r="AU318" s="152">
        <f>IF($B318=1,$E$53,IF(N(Vintage_Input!O270)&gt;0,IFERROR(Vintage_Input!BC270/$C318,""),""))</f>
        <v/>
      </c>
      <c r="AV318" s="152">
        <f>IF($B318=1,$F$53,IF(N(Vintage_Input!P270)&gt;0,IFERROR(Vintage_Input!BD270/$C318,""),""))</f>
        <v/>
      </c>
      <c r="AW318" s="152">
        <f>IF($B318=1,$G$53,IF(N(Vintage_Input!Q270)&gt;0,IFERROR(Vintage_Input!BE270/$C318,""),""))</f>
        <v/>
      </c>
      <c r="AX318" s="152">
        <f>IF($B318=1,$H$53,IF(N(Vintage_Input!R270)&gt;0,IFERROR(Vintage_Input!BF270/$C318,""),""))</f>
        <v/>
      </c>
      <c r="AY318" s="152">
        <f>IF($B318=1,$I$53,IF(N(Vintage_Input!S270)&gt;0,IFERROR(Vintage_Input!BG270/$C318,""),""))</f>
        <v/>
      </c>
      <c r="AZ318" s="153">
        <f>IF($B318=1,$B$54,IF(N(Vintage_Input!L270)&gt;0,IFERROR((Vintage_Input!D270+Vintage_Input!AR270)/$C318+Products!$G$14-(Products!$G$43+Products!$G$19+Products!$G$43*Products!$G$22+Products!$G$44),""),""))</f>
        <v/>
      </c>
      <c r="BA318" s="153">
        <f>IF($B318=1,$C$54,IF(N(Vintage_Input!M270)&gt;0,IFERROR((Vintage_Input!E270+Vintage_Input!AS270)/$C318+Products!$G$14-(Products!$G$43+Products!$G$19+Products!$G$43*Products!$G$22+Products!$G$44),""),""))</f>
        <v/>
      </c>
      <c r="BB318" s="153">
        <f>IF($B318=1,$D$54,IF(N(Vintage_Input!N270)&gt;0,IFERROR((Vintage_Input!F270+Vintage_Input!AT270)/$C318+Products!$G$14-(Products!$G$43+Products!$G$19+Products!$G$43*Products!$G$22+Products!$G$44),""),""))</f>
        <v/>
      </c>
      <c r="BC318" s="153">
        <f>IF($B318=1,$E$54,IF(N(Vintage_Input!O270)&gt;0,IFERROR((Vintage_Input!G270+Vintage_Input!AU270)/$C318+Products!$G$14-(Products!$G$43+Products!$G$19+Products!$G$43*Products!$G$22+Products!$G$44),""),""))</f>
        <v/>
      </c>
      <c r="BD318" s="153">
        <f>IF($B318=1,$F$54,IF(N(Vintage_Input!P270)&gt;0,IFERROR((Vintage_Input!H270+Vintage_Input!AV270)/$C318+Products!$G$14-(Products!$G$43+Products!$G$19+Products!$G$43*Products!$G$22+Products!$G$44),""),""))</f>
        <v/>
      </c>
      <c r="BE318" s="153">
        <f>IF($B318=1,$G$54,IF(N(Vintage_Input!Q270)&gt;0,IFERROR((Vintage_Input!I270+Vintage_Input!AW270)/$C318+Products!$G$14-(Products!$G$43+Products!$G$19+Products!$G$43*Products!$G$22+Products!$G$44),""),""))</f>
        <v/>
      </c>
      <c r="BF318" s="153">
        <f>IF($B318=1,$H$54,IF(N(Vintage_Input!R270)&gt;0,IFERROR((Vintage_Input!J270+Vintage_Input!AX270)/$C318+Products!$G$14-(Products!$G$43+Products!$G$19+Products!$G$43*Products!$G$22+Products!$G$44),""),""))</f>
        <v/>
      </c>
      <c r="BG318" s="153">
        <f>IF($B318=1,$I$54,IF(N(Vintage_Input!S270)&gt;0,IFERROR((Vintage_Input!K270+Vintage_Input!AY270)/$C318+Products!$G$14-(Products!$G$43+Products!$G$19+Products!$G$43*Products!$G$22+Products!$G$44),""),""))</f>
        <v/>
      </c>
      <c r="BH318" s="81">
        <f>IF($B318=1,0,IF(Vintage_Input!$BH$270="","",Vintage_Input!$BH$270))</f>
        <v/>
      </c>
    </row>
    <row r="319">
      <c r="A319" s="23" t="n">
        <v>3</v>
      </c>
      <c r="B319" s="48">
        <f>Vintage_Input!$B$271</f>
        <v/>
      </c>
      <c r="C319" s="41">
        <f>IF(Vintage_Input!$C$271="",0,Vintage_Input!$C$271)</f>
        <v/>
      </c>
      <c r="D319" s="152">
        <f>IF($B319=1,$B$48,IF(N(Vintage_Input!L271)&gt;0,Vintage_Input!D271/Vintage_Input!L271,""))</f>
        <v/>
      </c>
      <c r="E319" s="152">
        <f>IF($B319=1,$C$48,IF(N(Vintage_Input!M271)&gt;0,Vintage_Input!E271/Vintage_Input!M271,""))</f>
        <v/>
      </c>
      <c r="F319" s="152">
        <f>IF($B319=1,$D$48,IF(N(Vintage_Input!N271)&gt;0,Vintage_Input!F271/Vintage_Input!N271,""))</f>
        <v/>
      </c>
      <c r="G319" s="152">
        <f>IF($B319=1,$E$48,IF(N(Vintage_Input!O271)&gt;0,Vintage_Input!G271/Vintage_Input!O271,""))</f>
        <v/>
      </c>
      <c r="H319" s="152">
        <f>IF($B319=1,$F$48,IF(N(Vintage_Input!P271)&gt;0,Vintage_Input!H271/Vintage_Input!P271,""))</f>
        <v/>
      </c>
      <c r="I319" s="152">
        <f>IF($B319=1,$G$48,IF(N(Vintage_Input!Q271)&gt;0,Vintage_Input!I271/Vintage_Input!Q271,""))</f>
        <v/>
      </c>
      <c r="J319" s="152">
        <f>IF($B319=1,$H$48,IF(N(Vintage_Input!R271)&gt;0,Vintage_Input!J271/Vintage_Input!R271,""))</f>
        <v/>
      </c>
      <c r="K319" s="152">
        <f>IF($B319=1,$I$48,IF(N(Vintage_Input!S271)&gt;0,Vintage_Input!K271/Vintage_Input!S271,""))</f>
        <v/>
      </c>
      <c r="L319" s="152">
        <f>IF($B319=1,$B$49,IF(N(Vintage_Input!L271)&gt;0,Vintage_Input!T271/Vintage_Input!L271,""))</f>
        <v/>
      </c>
      <c r="M319" s="152">
        <f>IF($B319=1,$C$49,IF(N(Vintage_Input!M271)&gt;0,Vintage_Input!U271/Vintage_Input!M271,""))</f>
        <v/>
      </c>
      <c r="N319" s="152">
        <f>IF($B319=1,$D$49,IF(N(Vintage_Input!N271)&gt;0,Vintage_Input!V271/Vintage_Input!N271,""))</f>
        <v/>
      </c>
      <c r="O319" s="152">
        <f>IF($B319=1,$E$49,IF(N(Vintage_Input!O271)&gt;0,Vintage_Input!W271/Vintage_Input!O271,""))</f>
        <v/>
      </c>
      <c r="P319" s="152">
        <f>IF($B319=1,$F$49,IF(N(Vintage_Input!P271)&gt;0,Vintage_Input!X271/Vintage_Input!P271,""))</f>
        <v/>
      </c>
      <c r="Q319" s="152">
        <f>IF($B319=1,$G$49,IF(N(Vintage_Input!Q271)&gt;0,Vintage_Input!Y271/Vintage_Input!Q271,""))</f>
        <v/>
      </c>
      <c r="R319" s="152">
        <f>IF($B319=1,$H$49,IF(N(Vintage_Input!R271)&gt;0,Vintage_Input!Z271/Vintage_Input!R271,""))</f>
        <v/>
      </c>
      <c r="S319" s="152">
        <f>IF($B319=1,$I$49,IF(N(Vintage_Input!S271)&gt;0,Vintage_Input!AA271/Vintage_Input!S271,""))</f>
        <v/>
      </c>
      <c r="T319" s="152">
        <f>IF($B319=1,$B$50,IF(N(Vintage_Input!L271)&gt;0,Vintage_Input!AB271/Vintage_Input!L271,""))</f>
        <v/>
      </c>
      <c r="U319" s="152">
        <f>IF($B319=1,$C$50,IF(N(Vintage_Input!M271)&gt;0,Vintage_Input!AC271/Vintage_Input!M271,""))</f>
        <v/>
      </c>
      <c r="V319" s="152">
        <f>IF($B319=1,$D$50,IF(N(Vintage_Input!N271)&gt;0,Vintage_Input!AD271/Vintage_Input!N271,""))</f>
        <v/>
      </c>
      <c r="W319" s="152">
        <f>IF($B319=1,$E$50,IF(N(Vintage_Input!O271)&gt;0,Vintage_Input!AE271/Vintage_Input!O271,""))</f>
        <v/>
      </c>
      <c r="X319" s="152">
        <f>IF($B319=1,$F$50,IF(N(Vintage_Input!P271)&gt;0,Vintage_Input!AF271/Vintage_Input!P271,""))</f>
        <v/>
      </c>
      <c r="Y319" s="152">
        <f>IF($B319=1,$G$50,IF(N(Vintage_Input!Q271)&gt;0,Vintage_Input!AG271/Vintage_Input!Q271,""))</f>
        <v/>
      </c>
      <c r="Z319" s="152">
        <f>IF($B319=1,$H$50,IF(N(Vintage_Input!R271)&gt;0,Vintage_Input!AH271/Vintage_Input!R271,""))</f>
        <v/>
      </c>
      <c r="AA319" s="152">
        <f>IF($B319=1,$I$50,IF(N(Vintage_Input!S271)&gt;0,Vintage_Input!AI271/Vintage_Input!S271,""))</f>
        <v/>
      </c>
      <c r="AB319" s="152">
        <f>IF($B319=1,$B$51,IF(N(Vintage_Input!L271)&gt;0,Vintage_Input!AJ271/Vintage_Input!L271,""))</f>
        <v/>
      </c>
      <c r="AC319" s="152">
        <f>IF($B319=1,$C$51,IF(N(Vintage_Input!M271)&gt;0,Vintage_Input!AK271/Vintage_Input!M271,""))</f>
        <v/>
      </c>
      <c r="AD319" s="152">
        <f>IF($B319=1,$D$51,IF(N(Vintage_Input!N271)&gt;0,Vintage_Input!AL271/Vintage_Input!N271,""))</f>
        <v/>
      </c>
      <c r="AE319" s="152">
        <f>IF($B319=1,$E$51,IF(N(Vintage_Input!O271)&gt;0,Vintage_Input!AM271/Vintage_Input!O271,""))</f>
        <v/>
      </c>
      <c r="AF319" s="152">
        <f>IF($B319=1,$F$51,IF(N(Vintage_Input!P271)&gt;0,Vintage_Input!AN271/Vintage_Input!P271,""))</f>
        <v/>
      </c>
      <c r="AG319" s="152">
        <f>IF($B319=1,$G$51,IF(N(Vintage_Input!Q271)&gt;0,Vintage_Input!AO271/Vintage_Input!Q271,""))</f>
        <v/>
      </c>
      <c r="AH319" s="152">
        <f>IF($B319=1,$H$51,IF(N(Vintage_Input!R271)&gt;0,Vintage_Input!AP271/Vintage_Input!R271,""))</f>
        <v/>
      </c>
      <c r="AI319" s="152">
        <f>IF($B319=1,$I$51,IF(N(Vintage_Input!S271)&gt;0,Vintage_Input!AQ271/Vintage_Input!S271,""))</f>
        <v/>
      </c>
      <c r="AJ319" s="152">
        <f>IF($B319=1,$B$52,IF(N(Vintage_Input!L271)&gt;0,IFERROR(Vintage_Input!AR271/Vintage_Input!AJ271,""),""))</f>
        <v/>
      </c>
      <c r="AK319" s="152">
        <f>IF($B319=1,$C$52,IF(N(Vintage_Input!M271)&gt;0,IFERROR(Vintage_Input!AS271/Vintage_Input!AK271,""),""))</f>
        <v/>
      </c>
      <c r="AL319" s="152">
        <f>IF($B319=1,$D$52,IF(N(Vintage_Input!N271)&gt;0,IFERROR(Vintage_Input!AT271/Vintage_Input!AL271,""),""))</f>
        <v/>
      </c>
      <c r="AM319" s="152">
        <f>IF($B319=1,$E$52,IF(N(Vintage_Input!O271)&gt;0,IFERROR(Vintage_Input!AU271/Vintage_Input!AM271,""),""))</f>
        <v/>
      </c>
      <c r="AN319" s="152">
        <f>IF($B319=1,$F$52,IF(N(Vintage_Input!P271)&gt;0,IFERROR(Vintage_Input!AV271/Vintage_Input!AN271,""),""))</f>
        <v/>
      </c>
      <c r="AO319" s="152">
        <f>IF($B319=1,$G$52,IF(N(Vintage_Input!Q271)&gt;0,IFERROR(Vintage_Input!AW271/Vintage_Input!AO271,""),""))</f>
        <v/>
      </c>
      <c r="AP319" s="152">
        <f>IF($B319=1,$H$52,IF(N(Vintage_Input!R271)&gt;0,IFERROR(Vintage_Input!AX271/Vintage_Input!AP271,""),""))</f>
        <v/>
      </c>
      <c r="AQ319" s="152">
        <f>IF($B319=1,$I$52,IF(N(Vintage_Input!S271)&gt;0,IFERROR(Vintage_Input!AY271/Vintage_Input!AQ271,""),""))</f>
        <v/>
      </c>
      <c r="AR319" s="152">
        <f>IF($B319=1,$B$53,IF(N(Vintage_Input!L271)&gt;0,IFERROR(Vintage_Input!AZ271/$C319,""),""))</f>
        <v/>
      </c>
      <c r="AS319" s="152">
        <f>IF($B319=1,$C$53,IF(N(Vintage_Input!M271)&gt;0,IFERROR(Vintage_Input!BA271/$C319,""),""))</f>
        <v/>
      </c>
      <c r="AT319" s="152">
        <f>IF($B319=1,$D$53,IF(N(Vintage_Input!N271)&gt;0,IFERROR(Vintage_Input!BB271/$C319,""),""))</f>
        <v/>
      </c>
      <c r="AU319" s="152">
        <f>IF($B319=1,$E$53,IF(N(Vintage_Input!O271)&gt;0,IFERROR(Vintage_Input!BC271/$C319,""),""))</f>
        <v/>
      </c>
      <c r="AV319" s="152">
        <f>IF($B319=1,$F$53,IF(N(Vintage_Input!P271)&gt;0,IFERROR(Vintage_Input!BD271/$C319,""),""))</f>
        <v/>
      </c>
      <c r="AW319" s="152">
        <f>IF($B319=1,$G$53,IF(N(Vintage_Input!Q271)&gt;0,IFERROR(Vintage_Input!BE271/$C319,""),""))</f>
        <v/>
      </c>
      <c r="AX319" s="152">
        <f>IF($B319=1,$H$53,IF(N(Vintage_Input!R271)&gt;0,IFERROR(Vintage_Input!BF271/$C319,""),""))</f>
        <v/>
      </c>
      <c r="AY319" s="152">
        <f>IF($B319=1,$I$53,IF(N(Vintage_Input!S271)&gt;0,IFERROR(Vintage_Input!BG271/$C319,""),""))</f>
        <v/>
      </c>
      <c r="AZ319" s="153">
        <f>IF($B319=1,$B$54,IF(N(Vintage_Input!L271)&gt;0,IFERROR((Vintage_Input!D271+Vintage_Input!AR271)/$C319+Products!$G$14-(Products!$G$43+Products!$G$19+Products!$G$43*Products!$G$22+Products!$G$44),""),""))</f>
        <v/>
      </c>
      <c r="BA319" s="153">
        <f>IF($B319=1,$C$54,IF(N(Vintage_Input!M271)&gt;0,IFERROR((Vintage_Input!E271+Vintage_Input!AS271)/$C319+Products!$G$14-(Products!$G$43+Products!$G$19+Products!$G$43*Products!$G$22+Products!$G$44),""),""))</f>
        <v/>
      </c>
      <c r="BB319" s="153">
        <f>IF($B319=1,$D$54,IF(N(Vintage_Input!N271)&gt;0,IFERROR((Vintage_Input!F271+Vintage_Input!AT271)/$C319+Products!$G$14-(Products!$G$43+Products!$G$19+Products!$G$43*Products!$G$22+Products!$G$44),""),""))</f>
        <v/>
      </c>
      <c r="BC319" s="153">
        <f>IF($B319=1,$E$54,IF(N(Vintage_Input!O271)&gt;0,IFERROR((Vintage_Input!G271+Vintage_Input!AU271)/$C319+Products!$G$14-(Products!$G$43+Products!$G$19+Products!$G$43*Products!$G$22+Products!$G$44),""),""))</f>
        <v/>
      </c>
      <c r="BD319" s="153">
        <f>IF($B319=1,$F$54,IF(N(Vintage_Input!P271)&gt;0,IFERROR((Vintage_Input!H271+Vintage_Input!AV271)/$C319+Products!$G$14-(Products!$G$43+Products!$G$19+Products!$G$43*Products!$G$22+Products!$G$44),""),""))</f>
        <v/>
      </c>
      <c r="BE319" s="153">
        <f>IF($B319=1,$G$54,IF(N(Vintage_Input!Q271)&gt;0,IFERROR((Vintage_Input!I271+Vintage_Input!AW271)/$C319+Products!$G$14-(Products!$G$43+Products!$G$19+Products!$G$43*Products!$G$22+Products!$G$44),""),""))</f>
        <v/>
      </c>
      <c r="BF319" s="153">
        <f>IF($B319=1,$H$54,IF(N(Vintage_Input!R271)&gt;0,IFERROR((Vintage_Input!J271+Vintage_Input!AX271)/$C319+Products!$G$14-(Products!$G$43+Products!$G$19+Products!$G$43*Products!$G$22+Products!$G$44),""),""))</f>
        <v/>
      </c>
      <c r="BG319" s="153">
        <f>IF($B319=1,$I$54,IF(N(Vintage_Input!S271)&gt;0,IFERROR((Vintage_Input!K271+Vintage_Input!AY271)/$C319+Products!$G$14-(Products!$G$43+Products!$G$19+Products!$G$43*Products!$G$22+Products!$G$44),""),""))</f>
        <v/>
      </c>
      <c r="BH319" s="81">
        <f>IF($B319=1,0,IF(Vintage_Input!$BH$271="","",Vintage_Input!$BH$271))</f>
        <v/>
      </c>
    </row>
    <row r="320">
      <c r="A320" s="23" t="n">
        <v>4</v>
      </c>
      <c r="B320" s="48">
        <f>Vintage_Input!$B$272</f>
        <v/>
      </c>
      <c r="C320" s="41">
        <f>IF(Vintage_Input!$C$272="",0,Vintage_Input!$C$272)</f>
        <v/>
      </c>
      <c r="D320" s="152">
        <f>IF($B320=1,$B$48,IF(N(Vintage_Input!L272)&gt;0,Vintage_Input!D272/Vintage_Input!L272,""))</f>
        <v/>
      </c>
      <c r="E320" s="152">
        <f>IF($B320=1,$C$48,IF(N(Vintage_Input!M272)&gt;0,Vintage_Input!E272/Vintage_Input!M272,""))</f>
        <v/>
      </c>
      <c r="F320" s="152">
        <f>IF($B320=1,$D$48,IF(N(Vintage_Input!N272)&gt;0,Vintage_Input!F272/Vintage_Input!N272,""))</f>
        <v/>
      </c>
      <c r="G320" s="152">
        <f>IF($B320=1,$E$48,IF(N(Vintage_Input!O272)&gt;0,Vintage_Input!G272/Vintage_Input!O272,""))</f>
        <v/>
      </c>
      <c r="H320" s="152">
        <f>IF($B320=1,$F$48,IF(N(Vintage_Input!P272)&gt;0,Vintage_Input!H272/Vintage_Input!P272,""))</f>
        <v/>
      </c>
      <c r="I320" s="152">
        <f>IF($B320=1,$G$48,IF(N(Vintage_Input!Q272)&gt;0,Vintage_Input!I272/Vintage_Input!Q272,""))</f>
        <v/>
      </c>
      <c r="J320" s="152">
        <f>IF($B320=1,$H$48,IF(N(Vintage_Input!R272)&gt;0,Vintage_Input!J272/Vintage_Input!R272,""))</f>
        <v/>
      </c>
      <c r="K320" s="152">
        <f>IF($B320=1,$I$48,IF(N(Vintage_Input!S272)&gt;0,Vintage_Input!K272/Vintage_Input!S272,""))</f>
        <v/>
      </c>
      <c r="L320" s="152">
        <f>IF($B320=1,$B$49,IF(N(Vintage_Input!L272)&gt;0,Vintage_Input!T272/Vintage_Input!L272,""))</f>
        <v/>
      </c>
      <c r="M320" s="152">
        <f>IF($B320=1,$C$49,IF(N(Vintage_Input!M272)&gt;0,Vintage_Input!U272/Vintage_Input!M272,""))</f>
        <v/>
      </c>
      <c r="N320" s="152">
        <f>IF($B320=1,$D$49,IF(N(Vintage_Input!N272)&gt;0,Vintage_Input!V272/Vintage_Input!N272,""))</f>
        <v/>
      </c>
      <c r="O320" s="152">
        <f>IF($B320=1,$E$49,IF(N(Vintage_Input!O272)&gt;0,Vintage_Input!W272/Vintage_Input!O272,""))</f>
        <v/>
      </c>
      <c r="P320" s="152">
        <f>IF($B320=1,$F$49,IF(N(Vintage_Input!P272)&gt;0,Vintage_Input!X272/Vintage_Input!P272,""))</f>
        <v/>
      </c>
      <c r="Q320" s="152">
        <f>IF($B320=1,$G$49,IF(N(Vintage_Input!Q272)&gt;0,Vintage_Input!Y272/Vintage_Input!Q272,""))</f>
        <v/>
      </c>
      <c r="R320" s="152">
        <f>IF($B320=1,$H$49,IF(N(Vintage_Input!R272)&gt;0,Vintage_Input!Z272/Vintage_Input!R272,""))</f>
        <v/>
      </c>
      <c r="S320" s="152">
        <f>IF($B320=1,$I$49,IF(N(Vintage_Input!S272)&gt;0,Vintage_Input!AA272/Vintage_Input!S272,""))</f>
        <v/>
      </c>
      <c r="T320" s="152">
        <f>IF($B320=1,$B$50,IF(N(Vintage_Input!L272)&gt;0,Vintage_Input!AB272/Vintage_Input!L272,""))</f>
        <v/>
      </c>
      <c r="U320" s="152">
        <f>IF($B320=1,$C$50,IF(N(Vintage_Input!M272)&gt;0,Vintage_Input!AC272/Vintage_Input!M272,""))</f>
        <v/>
      </c>
      <c r="V320" s="152">
        <f>IF($B320=1,$D$50,IF(N(Vintage_Input!N272)&gt;0,Vintage_Input!AD272/Vintage_Input!N272,""))</f>
        <v/>
      </c>
      <c r="W320" s="152">
        <f>IF($B320=1,$E$50,IF(N(Vintage_Input!O272)&gt;0,Vintage_Input!AE272/Vintage_Input!O272,""))</f>
        <v/>
      </c>
      <c r="X320" s="152">
        <f>IF($B320=1,$F$50,IF(N(Vintage_Input!P272)&gt;0,Vintage_Input!AF272/Vintage_Input!P272,""))</f>
        <v/>
      </c>
      <c r="Y320" s="152">
        <f>IF($B320=1,$G$50,IF(N(Vintage_Input!Q272)&gt;0,Vintage_Input!AG272/Vintage_Input!Q272,""))</f>
        <v/>
      </c>
      <c r="Z320" s="152">
        <f>IF($B320=1,$H$50,IF(N(Vintage_Input!R272)&gt;0,Vintage_Input!AH272/Vintage_Input!R272,""))</f>
        <v/>
      </c>
      <c r="AA320" s="152">
        <f>IF($B320=1,$I$50,IF(N(Vintage_Input!S272)&gt;0,Vintage_Input!AI272/Vintage_Input!S272,""))</f>
        <v/>
      </c>
      <c r="AB320" s="152">
        <f>IF($B320=1,$B$51,IF(N(Vintage_Input!L272)&gt;0,Vintage_Input!AJ272/Vintage_Input!L272,""))</f>
        <v/>
      </c>
      <c r="AC320" s="152">
        <f>IF($B320=1,$C$51,IF(N(Vintage_Input!M272)&gt;0,Vintage_Input!AK272/Vintage_Input!M272,""))</f>
        <v/>
      </c>
      <c r="AD320" s="152">
        <f>IF($B320=1,$D$51,IF(N(Vintage_Input!N272)&gt;0,Vintage_Input!AL272/Vintage_Input!N272,""))</f>
        <v/>
      </c>
      <c r="AE320" s="152">
        <f>IF($B320=1,$E$51,IF(N(Vintage_Input!O272)&gt;0,Vintage_Input!AM272/Vintage_Input!O272,""))</f>
        <v/>
      </c>
      <c r="AF320" s="152">
        <f>IF($B320=1,$F$51,IF(N(Vintage_Input!P272)&gt;0,Vintage_Input!AN272/Vintage_Input!P272,""))</f>
        <v/>
      </c>
      <c r="AG320" s="152">
        <f>IF($B320=1,$G$51,IF(N(Vintage_Input!Q272)&gt;0,Vintage_Input!AO272/Vintage_Input!Q272,""))</f>
        <v/>
      </c>
      <c r="AH320" s="152">
        <f>IF($B320=1,$H$51,IF(N(Vintage_Input!R272)&gt;0,Vintage_Input!AP272/Vintage_Input!R272,""))</f>
        <v/>
      </c>
      <c r="AI320" s="152">
        <f>IF($B320=1,$I$51,IF(N(Vintage_Input!S272)&gt;0,Vintage_Input!AQ272/Vintage_Input!S272,""))</f>
        <v/>
      </c>
      <c r="AJ320" s="152">
        <f>IF($B320=1,$B$52,IF(N(Vintage_Input!L272)&gt;0,IFERROR(Vintage_Input!AR272/Vintage_Input!AJ272,""),""))</f>
        <v/>
      </c>
      <c r="AK320" s="152">
        <f>IF($B320=1,$C$52,IF(N(Vintage_Input!M272)&gt;0,IFERROR(Vintage_Input!AS272/Vintage_Input!AK272,""),""))</f>
        <v/>
      </c>
      <c r="AL320" s="152">
        <f>IF($B320=1,$D$52,IF(N(Vintage_Input!N272)&gt;0,IFERROR(Vintage_Input!AT272/Vintage_Input!AL272,""),""))</f>
        <v/>
      </c>
      <c r="AM320" s="152">
        <f>IF($B320=1,$E$52,IF(N(Vintage_Input!O272)&gt;0,IFERROR(Vintage_Input!AU272/Vintage_Input!AM272,""),""))</f>
        <v/>
      </c>
      <c r="AN320" s="152">
        <f>IF($B320=1,$F$52,IF(N(Vintage_Input!P272)&gt;0,IFERROR(Vintage_Input!AV272/Vintage_Input!AN272,""),""))</f>
        <v/>
      </c>
      <c r="AO320" s="152">
        <f>IF($B320=1,$G$52,IF(N(Vintage_Input!Q272)&gt;0,IFERROR(Vintage_Input!AW272/Vintage_Input!AO272,""),""))</f>
        <v/>
      </c>
      <c r="AP320" s="152">
        <f>IF($B320=1,$H$52,IF(N(Vintage_Input!R272)&gt;0,IFERROR(Vintage_Input!AX272/Vintage_Input!AP272,""),""))</f>
        <v/>
      </c>
      <c r="AQ320" s="152">
        <f>IF($B320=1,$I$52,IF(N(Vintage_Input!S272)&gt;0,IFERROR(Vintage_Input!AY272/Vintage_Input!AQ272,""),""))</f>
        <v/>
      </c>
      <c r="AR320" s="152">
        <f>IF($B320=1,$B$53,IF(N(Vintage_Input!L272)&gt;0,IFERROR(Vintage_Input!AZ272/$C320,""),""))</f>
        <v/>
      </c>
      <c r="AS320" s="152">
        <f>IF($B320=1,$C$53,IF(N(Vintage_Input!M272)&gt;0,IFERROR(Vintage_Input!BA272/$C320,""),""))</f>
        <v/>
      </c>
      <c r="AT320" s="152">
        <f>IF($B320=1,$D$53,IF(N(Vintage_Input!N272)&gt;0,IFERROR(Vintage_Input!BB272/$C320,""),""))</f>
        <v/>
      </c>
      <c r="AU320" s="152">
        <f>IF($B320=1,$E$53,IF(N(Vintage_Input!O272)&gt;0,IFERROR(Vintage_Input!BC272/$C320,""),""))</f>
        <v/>
      </c>
      <c r="AV320" s="152">
        <f>IF($B320=1,$F$53,IF(N(Vintage_Input!P272)&gt;0,IFERROR(Vintage_Input!BD272/$C320,""),""))</f>
        <v/>
      </c>
      <c r="AW320" s="152">
        <f>IF($B320=1,$G$53,IF(N(Vintage_Input!Q272)&gt;0,IFERROR(Vintage_Input!BE272/$C320,""),""))</f>
        <v/>
      </c>
      <c r="AX320" s="152">
        <f>IF($B320=1,$H$53,IF(N(Vintage_Input!R272)&gt;0,IFERROR(Vintage_Input!BF272/$C320,""),""))</f>
        <v/>
      </c>
      <c r="AY320" s="152">
        <f>IF($B320=1,$I$53,IF(N(Vintage_Input!S272)&gt;0,IFERROR(Vintage_Input!BG272/$C320,""),""))</f>
        <v/>
      </c>
      <c r="AZ320" s="153">
        <f>IF($B320=1,$B$54,IF(N(Vintage_Input!L272)&gt;0,IFERROR((Vintage_Input!D272+Vintage_Input!AR272)/$C320+Products!$G$14-(Products!$G$43+Products!$G$19+Products!$G$43*Products!$G$22+Products!$G$44),""),""))</f>
        <v/>
      </c>
      <c r="BA320" s="153">
        <f>IF($B320=1,$C$54,IF(N(Vintage_Input!M272)&gt;0,IFERROR((Vintage_Input!E272+Vintage_Input!AS272)/$C320+Products!$G$14-(Products!$G$43+Products!$G$19+Products!$G$43*Products!$G$22+Products!$G$44),""),""))</f>
        <v/>
      </c>
      <c r="BB320" s="153">
        <f>IF($B320=1,$D$54,IF(N(Vintage_Input!N272)&gt;0,IFERROR((Vintage_Input!F272+Vintage_Input!AT272)/$C320+Products!$G$14-(Products!$G$43+Products!$G$19+Products!$G$43*Products!$G$22+Products!$G$44),""),""))</f>
        <v/>
      </c>
      <c r="BC320" s="153">
        <f>IF($B320=1,$E$54,IF(N(Vintage_Input!O272)&gt;0,IFERROR((Vintage_Input!G272+Vintage_Input!AU272)/$C320+Products!$G$14-(Products!$G$43+Products!$G$19+Products!$G$43*Products!$G$22+Products!$G$44),""),""))</f>
        <v/>
      </c>
      <c r="BD320" s="153">
        <f>IF($B320=1,$F$54,IF(N(Vintage_Input!P272)&gt;0,IFERROR((Vintage_Input!H272+Vintage_Input!AV272)/$C320+Products!$G$14-(Products!$G$43+Products!$G$19+Products!$G$43*Products!$G$22+Products!$G$44),""),""))</f>
        <v/>
      </c>
      <c r="BE320" s="153">
        <f>IF($B320=1,$G$54,IF(N(Vintage_Input!Q272)&gt;0,IFERROR((Vintage_Input!I272+Vintage_Input!AW272)/$C320+Products!$G$14-(Products!$G$43+Products!$G$19+Products!$G$43*Products!$G$22+Products!$G$44),""),""))</f>
        <v/>
      </c>
      <c r="BF320" s="153">
        <f>IF($B320=1,$H$54,IF(N(Vintage_Input!R272)&gt;0,IFERROR((Vintage_Input!J272+Vintage_Input!AX272)/$C320+Products!$G$14-(Products!$G$43+Products!$G$19+Products!$G$43*Products!$G$22+Products!$G$44),""),""))</f>
        <v/>
      </c>
      <c r="BG320" s="153">
        <f>IF($B320=1,$I$54,IF(N(Vintage_Input!S272)&gt;0,IFERROR((Vintage_Input!K272+Vintage_Input!AY272)/$C320+Products!$G$14-(Products!$G$43+Products!$G$19+Products!$G$43*Products!$G$22+Products!$G$44),""),""))</f>
        <v/>
      </c>
      <c r="BH320" s="81">
        <f>IF($B320=1,0,IF(Vintage_Input!$BH$272="","",Vintage_Input!$BH$272))</f>
        <v/>
      </c>
    </row>
    <row r="321">
      <c r="A321" s="23" t="n">
        <v>5</v>
      </c>
      <c r="B321" s="48">
        <f>Vintage_Input!$B$273</f>
        <v/>
      </c>
      <c r="C321" s="41">
        <f>IF(Vintage_Input!$C$273="",0,Vintage_Input!$C$273)</f>
        <v/>
      </c>
      <c r="D321" s="152">
        <f>IF($B321=1,$B$48,IF(N(Vintage_Input!L273)&gt;0,Vintage_Input!D273/Vintage_Input!L273,""))</f>
        <v/>
      </c>
      <c r="E321" s="152">
        <f>IF($B321=1,$C$48,IF(N(Vintage_Input!M273)&gt;0,Vintage_Input!E273/Vintage_Input!M273,""))</f>
        <v/>
      </c>
      <c r="F321" s="152">
        <f>IF($B321=1,$D$48,IF(N(Vintage_Input!N273)&gt;0,Vintage_Input!F273/Vintage_Input!N273,""))</f>
        <v/>
      </c>
      <c r="G321" s="152">
        <f>IF($B321=1,$E$48,IF(N(Vintage_Input!O273)&gt;0,Vintage_Input!G273/Vintage_Input!O273,""))</f>
        <v/>
      </c>
      <c r="H321" s="152">
        <f>IF($B321=1,$F$48,IF(N(Vintage_Input!P273)&gt;0,Vintage_Input!H273/Vintage_Input!P273,""))</f>
        <v/>
      </c>
      <c r="I321" s="152">
        <f>IF($B321=1,$G$48,IF(N(Vintage_Input!Q273)&gt;0,Vintage_Input!I273/Vintage_Input!Q273,""))</f>
        <v/>
      </c>
      <c r="J321" s="152">
        <f>IF($B321=1,$H$48,IF(N(Vintage_Input!R273)&gt;0,Vintage_Input!J273/Vintage_Input!R273,""))</f>
        <v/>
      </c>
      <c r="K321" s="152">
        <f>IF($B321=1,$I$48,IF(N(Vintage_Input!S273)&gt;0,Vintage_Input!K273/Vintage_Input!S273,""))</f>
        <v/>
      </c>
      <c r="L321" s="152">
        <f>IF($B321=1,$B$49,IF(N(Vintage_Input!L273)&gt;0,Vintage_Input!T273/Vintage_Input!L273,""))</f>
        <v/>
      </c>
      <c r="M321" s="152">
        <f>IF($B321=1,$C$49,IF(N(Vintage_Input!M273)&gt;0,Vintage_Input!U273/Vintage_Input!M273,""))</f>
        <v/>
      </c>
      <c r="N321" s="152">
        <f>IF($B321=1,$D$49,IF(N(Vintage_Input!N273)&gt;0,Vintage_Input!V273/Vintage_Input!N273,""))</f>
        <v/>
      </c>
      <c r="O321" s="152">
        <f>IF($B321=1,$E$49,IF(N(Vintage_Input!O273)&gt;0,Vintage_Input!W273/Vintage_Input!O273,""))</f>
        <v/>
      </c>
      <c r="P321" s="152">
        <f>IF($B321=1,$F$49,IF(N(Vintage_Input!P273)&gt;0,Vintage_Input!X273/Vintage_Input!P273,""))</f>
        <v/>
      </c>
      <c r="Q321" s="152">
        <f>IF($B321=1,$G$49,IF(N(Vintage_Input!Q273)&gt;0,Vintage_Input!Y273/Vintage_Input!Q273,""))</f>
        <v/>
      </c>
      <c r="R321" s="152">
        <f>IF($B321=1,$H$49,IF(N(Vintage_Input!R273)&gt;0,Vintage_Input!Z273/Vintage_Input!R273,""))</f>
        <v/>
      </c>
      <c r="S321" s="152">
        <f>IF($B321=1,$I$49,IF(N(Vintage_Input!S273)&gt;0,Vintage_Input!AA273/Vintage_Input!S273,""))</f>
        <v/>
      </c>
      <c r="T321" s="152">
        <f>IF($B321=1,$B$50,IF(N(Vintage_Input!L273)&gt;0,Vintage_Input!AB273/Vintage_Input!L273,""))</f>
        <v/>
      </c>
      <c r="U321" s="152">
        <f>IF($B321=1,$C$50,IF(N(Vintage_Input!M273)&gt;0,Vintage_Input!AC273/Vintage_Input!M273,""))</f>
        <v/>
      </c>
      <c r="V321" s="152">
        <f>IF($B321=1,$D$50,IF(N(Vintage_Input!N273)&gt;0,Vintage_Input!AD273/Vintage_Input!N273,""))</f>
        <v/>
      </c>
      <c r="W321" s="152">
        <f>IF($B321=1,$E$50,IF(N(Vintage_Input!O273)&gt;0,Vintage_Input!AE273/Vintage_Input!O273,""))</f>
        <v/>
      </c>
      <c r="X321" s="152">
        <f>IF($B321=1,$F$50,IF(N(Vintage_Input!P273)&gt;0,Vintage_Input!AF273/Vintage_Input!P273,""))</f>
        <v/>
      </c>
      <c r="Y321" s="152">
        <f>IF($B321=1,$G$50,IF(N(Vintage_Input!Q273)&gt;0,Vintage_Input!AG273/Vintage_Input!Q273,""))</f>
        <v/>
      </c>
      <c r="Z321" s="152">
        <f>IF($B321=1,$H$50,IF(N(Vintage_Input!R273)&gt;0,Vintage_Input!AH273/Vintage_Input!R273,""))</f>
        <v/>
      </c>
      <c r="AA321" s="152">
        <f>IF($B321=1,$I$50,IF(N(Vintage_Input!S273)&gt;0,Vintage_Input!AI273/Vintage_Input!S273,""))</f>
        <v/>
      </c>
      <c r="AB321" s="152">
        <f>IF($B321=1,$B$51,IF(N(Vintage_Input!L273)&gt;0,Vintage_Input!AJ273/Vintage_Input!L273,""))</f>
        <v/>
      </c>
      <c r="AC321" s="152">
        <f>IF($B321=1,$C$51,IF(N(Vintage_Input!M273)&gt;0,Vintage_Input!AK273/Vintage_Input!M273,""))</f>
        <v/>
      </c>
      <c r="AD321" s="152">
        <f>IF($B321=1,$D$51,IF(N(Vintage_Input!N273)&gt;0,Vintage_Input!AL273/Vintage_Input!N273,""))</f>
        <v/>
      </c>
      <c r="AE321" s="152">
        <f>IF($B321=1,$E$51,IF(N(Vintage_Input!O273)&gt;0,Vintage_Input!AM273/Vintage_Input!O273,""))</f>
        <v/>
      </c>
      <c r="AF321" s="152">
        <f>IF($B321=1,$F$51,IF(N(Vintage_Input!P273)&gt;0,Vintage_Input!AN273/Vintage_Input!P273,""))</f>
        <v/>
      </c>
      <c r="AG321" s="152">
        <f>IF($B321=1,$G$51,IF(N(Vintage_Input!Q273)&gt;0,Vintage_Input!AO273/Vintage_Input!Q273,""))</f>
        <v/>
      </c>
      <c r="AH321" s="152">
        <f>IF($B321=1,$H$51,IF(N(Vintage_Input!R273)&gt;0,Vintage_Input!AP273/Vintage_Input!R273,""))</f>
        <v/>
      </c>
      <c r="AI321" s="152">
        <f>IF($B321=1,$I$51,IF(N(Vintage_Input!S273)&gt;0,Vintage_Input!AQ273/Vintage_Input!S273,""))</f>
        <v/>
      </c>
      <c r="AJ321" s="152">
        <f>IF($B321=1,$B$52,IF(N(Vintage_Input!L273)&gt;0,IFERROR(Vintage_Input!AR273/Vintage_Input!AJ273,""),""))</f>
        <v/>
      </c>
      <c r="AK321" s="152">
        <f>IF($B321=1,$C$52,IF(N(Vintage_Input!M273)&gt;0,IFERROR(Vintage_Input!AS273/Vintage_Input!AK273,""),""))</f>
        <v/>
      </c>
      <c r="AL321" s="152">
        <f>IF($B321=1,$D$52,IF(N(Vintage_Input!N273)&gt;0,IFERROR(Vintage_Input!AT273/Vintage_Input!AL273,""),""))</f>
        <v/>
      </c>
      <c r="AM321" s="152">
        <f>IF($B321=1,$E$52,IF(N(Vintage_Input!O273)&gt;0,IFERROR(Vintage_Input!AU273/Vintage_Input!AM273,""),""))</f>
        <v/>
      </c>
      <c r="AN321" s="152">
        <f>IF($B321=1,$F$52,IF(N(Vintage_Input!P273)&gt;0,IFERROR(Vintage_Input!AV273/Vintage_Input!AN273,""),""))</f>
        <v/>
      </c>
      <c r="AO321" s="152">
        <f>IF($B321=1,$G$52,IF(N(Vintage_Input!Q273)&gt;0,IFERROR(Vintage_Input!AW273/Vintage_Input!AO273,""),""))</f>
        <v/>
      </c>
      <c r="AP321" s="152">
        <f>IF($B321=1,$H$52,IF(N(Vintage_Input!R273)&gt;0,IFERROR(Vintage_Input!AX273/Vintage_Input!AP273,""),""))</f>
        <v/>
      </c>
      <c r="AQ321" s="152">
        <f>IF($B321=1,$I$52,IF(N(Vintage_Input!S273)&gt;0,IFERROR(Vintage_Input!AY273/Vintage_Input!AQ273,""),""))</f>
        <v/>
      </c>
      <c r="AR321" s="152">
        <f>IF($B321=1,$B$53,IF(N(Vintage_Input!L273)&gt;0,IFERROR(Vintage_Input!AZ273/$C321,""),""))</f>
        <v/>
      </c>
      <c r="AS321" s="152">
        <f>IF($B321=1,$C$53,IF(N(Vintage_Input!M273)&gt;0,IFERROR(Vintage_Input!BA273/$C321,""),""))</f>
        <v/>
      </c>
      <c r="AT321" s="152">
        <f>IF($B321=1,$D$53,IF(N(Vintage_Input!N273)&gt;0,IFERROR(Vintage_Input!BB273/$C321,""),""))</f>
        <v/>
      </c>
      <c r="AU321" s="152">
        <f>IF($B321=1,$E$53,IF(N(Vintage_Input!O273)&gt;0,IFERROR(Vintage_Input!BC273/$C321,""),""))</f>
        <v/>
      </c>
      <c r="AV321" s="152">
        <f>IF($B321=1,$F$53,IF(N(Vintage_Input!P273)&gt;0,IFERROR(Vintage_Input!BD273/$C321,""),""))</f>
        <v/>
      </c>
      <c r="AW321" s="152">
        <f>IF($B321=1,$G$53,IF(N(Vintage_Input!Q273)&gt;0,IFERROR(Vintage_Input!BE273/$C321,""),""))</f>
        <v/>
      </c>
      <c r="AX321" s="152">
        <f>IF($B321=1,$H$53,IF(N(Vintage_Input!R273)&gt;0,IFERROR(Vintage_Input!BF273/$C321,""),""))</f>
        <v/>
      </c>
      <c r="AY321" s="152">
        <f>IF($B321=1,$I$53,IF(N(Vintage_Input!S273)&gt;0,IFERROR(Vintage_Input!BG273/$C321,""),""))</f>
        <v/>
      </c>
      <c r="AZ321" s="153">
        <f>IF($B321=1,$B$54,IF(N(Vintage_Input!L273)&gt;0,IFERROR((Vintage_Input!D273+Vintage_Input!AR273)/$C321+Products!$G$14-(Products!$G$43+Products!$G$19+Products!$G$43*Products!$G$22+Products!$G$44),""),""))</f>
        <v/>
      </c>
      <c r="BA321" s="153">
        <f>IF($B321=1,$C$54,IF(N(Vintage_Input!M273)&gt;0,IFERROR((Vintage_Input!E273+Vintage_Input!AS273)/$C321+Products!$G$14-(Products!$G$43+Products!$G$19+Products!$G$43*Products!$G$22+Products!$G$44),""),""))</f>
        <v/>
      </c>
      <c r="BB321" s="153">
        <f>IF($B321=1,$D$54,IF(N(Vintage_Input!N273)&gt;0,IFERROR((Vintage_Input!F273+Vintage_Input!AT273)/$C321+Products!$G$14-(Products!$G$43+Products!$G$19+Products!$G$43*Products!$G$22+Products!$G$44),""),""))</f>
        <v/>
      </c>
      <c r="BC321" s="153">
        <f>IF($B321=1,$E$54,IF(N(Vintage_Input!O273)&gt;0,IFERROR((Vintage_Input!G273+Vintage_Input!AU273)/$C321+Products!$G$14-(Products!$G$43+Products!$G$19+Products!$G$43*Products!$G$22+Products!$G$44),""),""))</f>
        <v/>
      </c>
      <c r="BD321" s="153">
        <f>IF($B321=1,$F$54,IF(N(Vintage_Input!P273)&gt;0,IFERROR((Vintage_Input!H273+Vintage_Input!AV273)/$C321+Products!$G$14-(Products!$G$43+Products!$G$19+Products!$G$43*Products!$G$22+Products!$G$44),""),""))</f>
        <v/>
      </c>
      <c r="BE321" s="153">
        <f>IF($B321=1,$G$54,IF(N(Vintage_Input!Q273)&gt;0,IFERROR((Vintage_Input!I273+Vintage_Input!AW273)/$C321+Products!$G$14-(Products!$G$43+Products!$G$19+Products!$G$43*Products!$G$22+Products!$G$44),""),""))</f>
        <v/>
      </c>
      <c r="BF321" s="153">
        <f>IF($B321=1,$H$54,IF(N(Vintage_Input!R273)&gt;0,IFERROR((Vintage_Input!J273+Vintage_Input!AX273)/$C321+Products!$G$14-(Products!$G$43+Products!$G$19+Products!$G$43*Products!$G$22+Products!$G$44),""),""))</f>
        <v/>
      </c>
      <c r="BG321" s="153">
        <f>IF($B321=1,$I$54,IF(N(Vintage_Input!S273)&gt;0,IFERROR((Vintage_Input!K273+Vintage_Input!AY273)/$C321+Products!$G$14-(Products!$G$43+Products!$G$19+Products!$G$43*Products!$G$22+Products!$G$44),""),""))</f>
        <v/>
      </c>
      <c r="BH321" s="81">
        <f>IF($B321=1,0,IF(Vintage_Input!$BH$273="","",Vintage_Input!$BH$273))</f>
        <v/>
      </c>
    </row>
    <row r="322">
      <c r="A322" s="23" t="n">
        <v>6</v>
      </c>
      <c r="B322" s="48">
        <f>Vintage_Input!$B$274</f>
        <v/>
      </c>
      <c r="C322" s="41">
        <f>IF(Vintage_Input!$C$274="",0,Vintage_Input!$C$274)</f>
        <v/>
      </c>
      <c r="D322" s="152">
        <f>IF($B322=1,$B$48,IF(N(Vintage_Input!L274)&gt;0,Vintage_Input!D274/Vintage_Input!L274,""))</f>
        <v/>
      </c>
      <c r="E322" s="152">
        <f>IF($B322=1,$C$48,IF(N(Vintage_Input!M274)&gt;0,Vintage_Input!E274/Vintage_Input!M274,""))</f>
        <v/>
      </c>
      <c r="F322" s="152">
        <f>IF($B322=1,$D$48,IF(N(Vintage_Input!N274)&gt;0,Vintage_Input!F274/Vintage_Input!N274,""))</f>
        <v/>
      </c>
      <c r="G322" s="152">
        <f>IF($B322=1,$E$48,IF(N(Vintage_Input!O274)&gt;0,Vintage_Input!G274/Vintage_Input!O274,""))</f>
        <v/>
      </c>
      <c r="H322" s="152">
        <f>IF($B322=1,$F$48,IF(N(Vintage_Input!P274)&gt;0,Vintage_Input!H274/Vintage_Input!P274,""))</f>
        <v/>
      </c>
      <c r="I322" s="152">
        <f>IF($B322=1,$G$48,IF(N(Vintage_Input!Q274)&gt;0,Vintage_Input!I274/Vintage_Input!Q274,""))</f>
        <v/>
      </c>
      <c r="J322" s="152">
        <f>IF($B322=1,$H$48,IF(N(Vintage_Input!R274)&gt;0,Vintage_Input!J274/Vintage_Input!R274,""))</f>
        <v/>
      </c>
      <c r="K322" s="152">
        <f>IF($B322=1,$I$48,IF(N(Vintage_Input!S274)&gt;0,Vintage_Input!K274/Vintage_Input!S274,""))</f>
        <v/>
      </c>
      <c r="L322" s="152">
        <f>IF($B322=1,$B$49,IF(N(Vintage_Input!L274)&gt;0,Vintage_Input!T274/Vintage_Input!L274,""))</f>
        <v/>
      </c>
      <c r="M322" s="152">
        <f>IF($B322=1,$C$49,IF(N(Vintage_Input!M274)&gt;0,Vintage_Input!U274/Vintage_Input!M274,""))</f>
        <v/>
      </c>
      <c r="N322" s="152">
        <f>IF($B322=1,$D$49,IF(N(Vintage_Input!N274)&gt;0,Vintage_Input!V274/Vintage_Input!N274,""))</f>
        <v/>
      </c>
      <c r="O322" s="152">
        <f>IF($B322=1,$E$49,IF(N(Vintage_Input!O274)&gt;0,Vintage_Input!W274/Vintage_Input!O274,""))</f>
        <v/>
      </c>
      <c r="P322" s="152">
        <f>IF($B322=1,$F$49,IF(N(Vintage_Input!P274)&gt;0,Vintage_Input!X274/Vintage_Input!P274,""))</f>
        <v/>
      </c>
      <c r="Q322" s="152">
        <f>IF($B322=1,$G$49,IF(N(Vintage_Input!Q274)&gt;0,Vintage_Input!Y274/Vintage_Input!Q274,""))</f>
        <v/>
      </c>
      <c r="R322" s="152">
        <f>IF($B322=1,$H$49,IF(N(Vintage_Input!R274)&gt;0,Vintage_Input!Z274/Vintage_Input!R274,""))</f>
        <v/>
      </c>
      <c r="S322" s="152">
        <f>IF($B322=1,$I$49,IF(N(Vintage_Input!S274)&gt;0,Vintage_Input!AA274/Vintage_Input!S274,""))</f>
        <v/>
      </c>
      <c r="T322" s="152">
        <f>IF($B322=1,$B$50,IF(N(Vintage_Input!L274)&gt;0,Vintage_Input!AB274/Vintage_Input!L274,""))</f>
        <v/>
      </c>
      <c r="U322" s="152">
        <f>IF($B322=1,$C$50,IF(N(Vintage_Input!M274)&gt;0,Vintage_Input!AC274/Vintage_Input!M274,""))</f>
        <v/>
      </c>
      <c r="V322" s="152">
        <f>IF($B322=1,$D$50,IF(N(Vintage_Input!N274)&gt;0,Vintage_Input!AD274/Vintage_Input!N274,""))</f>
        <v/>
      </c>
      <c r="W322" s="152">
        <f>IF($B322=1,$E$50,IF(N(Vintage_Input!O274)&gt;0,Vintage_Input!AE274/Vintage_Input!O274,""))</f>
        <v/>
      </c>
      <c r="X322" s="152">
        <f>IF($B322=1,$F$50,IF(N(Vintage_Input!P274)&gt;0,Vintage_Input!AF274/Vintage_Input!P274,""))</f>
        <v/>
      </c>
      <c r="Y322" s="152">
        <f>IF($B322=1,$G$50,IF(N(Vintage_Input!Q274)&gt;0,Vintage_Input!AG274/Vintage_Input!Q274,""))</f>
        <v/>
      </c>
      <c r="Z322" s="152">
        <f>IF($B322=1,$H$50,IF(N(Vintage_Input!R274)&gt;0,Vintage_Input!AH274/Vintage_Input!R274,""))</f>
        <v/>
      </c>
      <c r="AA322" s="152">
        <f>IF($B322=1,$I$50,IF(N(Vintage_Input!S274)&gt;0,Vintage_Input!AI274/Vintage_Input!S274,""))</f>
        <v/>
      </c>
      <c r="AB322" s="152">
        <f>IF($B322=1,$B$51,IF(N(Vintage_Input!L274)&gt;0,Vintage_Input!AJ274/Vintage_Input!L274,""))</f>
        <v/>
      </c>
      <c r="AC322" s="152">
        <f>IF($B322=1,$C$51,IF(N(Vintage_Input!M274)&gt;0,Vintage_Input!AK274/Vintage_Input!M274,""))</f>
        <v/>
      </c>
      <c r="AD322" s="152">
        <f>IF($B322=1,$D$51,IF(N(Vintage_Input!N274)&gt;0,Vintage_Input!AL274/Vintage_Input!N274,""))</f>
        <v/>
      </c>
      <c r="AE322" s="152">
        <f>IF($B322=1,$E$51,IF(N(Vintage_Input!O274)&gt;0,Vintage_Input!AM274/Vintage_Input!O274,""))</f>
        <v/>
      </c>
      <c r="AF322" s="152">
        <f>IF($B322=1,$F$51,IF(N(Vintage_Input!P274)&gt;0,Vintage_Input!AN274/Vintage_Input!P274,""))</f>
        <v/>
      </c>
      <c r="AG322" s="152">
        <f>IF($B322=1,$G$51,IF(N(Vintage_Input!Q274)&gt;0,Vintage_Input!AO274/Vintage_Input!Q274,""))</f>
        <v/>
      </c>
      <c r="AH322" s="152">
        <f>IF($B322=1,$H$51,IF(N(Vintage_Input!R274)&gt;0,Vintage_Input!AP274/Vintage_Input!R274,""))</f>
        <v/>
      </c>
      <c r="AI322" s="152">
        <f>IF($B322=1,$I$51,IF(N(Vintage_Input!S274)&gt;0,Vintage_Input!AQ274/Vintage_Input!S274,""))</f>
        <v/>
      </c>
      <c r="AJ322" s="152">
        <f>IF($B322=1,$B$52,IF(N(Vintage_Input!L274)&gt;0,IFERROR(Vintage_Input!AR274/Vintage_Input!AJ274,""),""))</f>
        <v/>
      </c>
      <c r="AK322" s="152">
        <f>IF($B322=1,$C$52,IF(N(Vintage_Input!M274)&gt;0,IFERROR(Vintage_Input!AS274/Vintage_Input!AK274,""),""))</f>
        <v/>
      </c>
      <c r="AL322" s="152">
        <f>IF($B322=1,$D$52,IF(N(Vintage_Input!N274)&gt;0,IFERROR(Vintage_Input!AT274/Vintage_Input!AL274,""),""))</f>
        <v/>
      </c>
      <c r="AM322" s="152">
        <f>IF($B322=1,$E$52,IF(N(Vintage_Input!O274)&gt;0,IFERROR(Vintage_Input!AU274/Vintage_Input!AM274,""),""))</f>
        <v/>
      </c>
      <c r="AN322" s="152">
        <f>IF($B322=1,$F$52,IF(N(Vintage_Input!P274)&gt;0,IFERROR(Vintage_Input!AV274/Vintage_Input!AN274,""),""))</f>
        <v/>
      </c>
      <c r="AO322" s="152">
        <f>IF($B322=1,$G$52,IF(N(Vintage_Input!Q274)&gt;0,IFERROR(Vintage_Input!AW274/Vintage_Input!AO274,""),""))</f>
        <v/>
      </c>
      <c r="AP322" s="152">
        <f>IF($B322=1,$H$52,IF(N(Vintage_Input!R274)&gt;0,IFERROR(Vintage_Input!AX274/Vintage_Input!AP274,""),""))</f>
        <v/>
      </c>
      <c r="AQ322" s="152">
        <f>IF($B322=1,$I$52,IF(N(Vintage_Input!S274)&gt;0,IFERROR(Vintage_Input!AY274/Vintage_Input!AQ274,""),""))</f>
        <v/>
      </c>
      <c r="AR322" s="152">
        <f>IF($B322=1,$B$53,IF(N(Vintage_Input!L274)&gt;0,IFERROR(Vintage_Input!AZ274/$C322,""),""))</f>
        <v/>
      </c>
      <c r="AS322" s="152">
        <f>IF($B322=1,$C$53,IF(N(Vintage_Input!M274)&gt;0,IFERROR(Vintage_Input!BA274/$C322,""),""))</f>
        <v/>
      </c>
      <c r="AT322" s="152">
        <f>IF($B322=1,$D$53,IF(N(Vintage_Input!N274)&gt;0,IFERROR(Vintage_Input!BB274/$C322,""),""))</f>
        <v/>
      </c>
      <c r="AU322" s="152">
        <f>IF($B322=1,$E$53,IF(N(Vintage_Input!O274)&gt;0,IFERROR(Vintage_Input!BC274/$C322,""),""))</f>
        <v/>
      </c>
      <c r="AV322" s="152">
        <f>IF($B322=1,$F$53,IF(N(Vintage_Input!P274)&gt;0,IFERROR(Vintage_Input!BD274/$C322,""),""))</f>
        <v/>
      </c>
      <c r="AW322" s="152">
        <f>IF($B322=1,$G$53,IF(N(Vintage_Input!Q274)&gt;0,IFERROR(Vintage_Input!BE274/$C322,""),""))</f>
        <v/>
      </c>
      <c r="AX322" s="152">
        <f>IF($B322=1,$H$53,IF(N(Vintage_Input!R274)&gt;0,IFERROR(Vintage_Input!BF274/$C322,""),""))</f>
        <v/>
      </c>
      <c r="AY322" s="152">
        <f>IF($B322=1,$I$53,IF(N(Vintage_Input!S274)&gt;0,IFERROR(Vintage_Input!BG274/$C322,""),""))</f>
        <v/>
      </c>
      <c r="AZ322" s="153">
        <f>IF($B322=1,$B$54,IF(N(Vintage_Input!L274)&gt;0,IFERROR((Vintage_Input!D274+Vintage_Input!AR274)/$C322+Products!$G$14-(Products!$G$43+Products!$G$19+Products!$G$43*Products!$G$22+Products!$G$44),""),""))</f>
        <v/>
      </c>
      <c r="BA322" s="153">
        <f>IF($B322=1,$C$54,IF(N(Vintage_Input!M274)&gt;0,IFERROR((Vintage_Input!E274+Vintage_Input!AS274)/$C322+Products!$G$14-(Products!$G$43+Products!$G$19+Products!$G$43*Products!$G$22+Products!$G$44),""),""))</f>
        <v/>
      </c>
      <c r="BB322" s="153">
        <f>IF($B322=1,$D$54,IF(N(Vintage_Input!N274)&gt;0,IFERROR((Vintage_Input!F274+Vintage_Input!AT274)/$C322+Products!$G$14-(Products!$G$43+Products!$G$19+Products!$G$43*Products!$G$22+Products!$G$44),""),""))</f>
        <v/>
      </c>
      <c r="BC322" s="153">
        <f>IF($B322=1,$E$54,IF(N(Vintage_Input!O274)&gt;0,IFERROR((Vintage_Input!G274+Vintage_Input!AU274)/$C322+Products!$G$14-(Products!$G$43+Products!$G$19+Products!$G$43*Products!$G$22+Products!$G$44),""),""))</f>
        <v/>
      </c>
      <c r="BD322" s="153">
        <f>IF($B322=1,$F$54,IF(N(Vintage_Input!P274)&gt;0,IFERROR((Vintage_Input!H274+Vintage_Input!AV274)/$C322+Products!$G$14-(Products!$G$43+Products!$G$19+Products!$G$43*Products!$G$22+Products!$G$44),""),""))</f>
        <v/>
      </c>
      <c r="BE322" s="153">
        <f>IF($B322=1,$G$54,IF(N(Vintage_Input!Q274)&gt;0,IFERROR((Vintage_Input!I274+Vintage_Input!AW274)/$C322+Products!$G$14-(Products!$G$43+Products!$G$19+Products!$G$43*Products!$G$22+Products!$G$44),""),""))</f>
        <v/>
      </c>
      <c r="BF322" s="153">
        <f>IF($B322=1,$H$54,IF(N(Vintage_Input!R274)&gt;0,IFERROR((Vintage_Input!J274+Vintage_Input!AX274)/$C322+Products!$G$14-(Products!$G$43+Products!$G$19+Products!$G$43*Products!$G$22+Products!$G$44),""),""))</f>
        <v/>
      </c>
      <c r="BG322" s="153">
        <f>IF($B322=1,$I$54,IF(N(Vintage_Input!S274)&gt;0,IFERROR((Vintage_Input!K274+Vintage_Input!AY274)/$C322+Products!$G$14-(Products!$G$43+Products!$G$19+Products!$G$43*Products!$G$22+Products!$G$44),""),""))</f>
        <v/>
      </c>
      <c r="BH322" s="81">
        <f>IF($B322=1,0,IF(Vintage_Input!$BH$274="","",Vintage_Input!$BH$274))</f>
        <v/>
      </c>
    </row>
    <row r="323">
      <c r="A323" s="23" t="n">
        <v>7</v>
      </c>
      <c r="B323" s="48">
        <f>Vintage_Input!$B$275</f>
        <v/>
      </c>
      <c r="C323" s="41">
        <f>IF(Vintage_Input!$C$275="",0,Vintage_Input!$C$275)</f>
        <v/>
      </c>
      <c r="D323" s="152">
        <f>IF($B323=1,$B$48,IF(N(Vintage_Input!L275)&gt;0,Vintage_Input!D275/Vintage_Input!L275,""))</f>
        <v/>
      </c>
      <c r="E323" s="152">
        <f>IF($B323=1,$C$48,IF(N(Vintage_Input!M275)&gt;0,Vintage_Input!E275/Vintage_Input!M275,""))</f>
        <v/>
      </c>
      <c r="F323" s="152">
        <f>IF($B323=1,$D$48,IF(N(Vintage_Input!N275)&gt;0,Vintage_Input!F275/Vintage_Input!N275,""))</f>
        <v/>
      </c>
      <c r="G323" s="152">
        <f>IF($B323=1,$E$48,IF(N(Vintage_Input!O275)&gt;0,Vintage_Input!G275/Vintage_Input!O275,""))</f>
        <v/>
      </c>
      <c r="H323" s="152">
        <f>IF($B323=1,$F$48,IF(N(Vintage_Input!P275)&gt;0,Vintage_Input!H275/Vintage_Input!P275,""))</f>
        <v/>
      </c>
      <c r="I323" s="152">
        <f>IF($B323=1,$G$48,IF(N(Vintage_Input!Q275)&gt;0,Vintage_Input!I275/Vintage_Input!Q275,""))</f>
        <v/>
      </c>
      <c r="J323" s="152">
        <f>IF($B323=1,$H$48,IF(N(Vintage_Input!R275)&gt;0,Vintage_Input!J275/Vintage_Input!R275,""))</f>
        <v/>
      </c>
      <c r="K323" s="152">
        <f>IF($B323=1,$I$48,IF(N(Vintage_Input!S275)&gt;0,Vintage_Input!K275/Vintage_Input!S275,""))</f>
        <v/>
      </c>
      <c r="L323" s="152">
        <f>IF($B323=1,$B$49,IF(N(Vintage_Input!L275)&gt;0,Vintage_Input!T275/Vintage_Input!L275,""))</f>
        <v/>
      </c>
      <c r="M323" s="152">
        <f>IF($B323=1,$C$49,IF(N(Vintage_Input!M275)&gt;0,Vintage_Input!U275/Vintage_Input!M275,""))</f>
        <v/>
      </c>
      <c r="N323" s="152">
        <f>IF($B323=1,$D$49,IF(N(Vintage_Input!N275)&gt;0,Vintage_Input!V275/Vintage_Input!N275,""))</f>
        <v/>
      </c>
      <c r="O323" s="152">
        <f>IF($B323=1,$E$49,IF(N(Vintage_Input!O275)&gt;0,Vintage_Input!W275/Vintage_Input!O275,""))</f>
        <v/>
      </c>
      <c r="P323" s="152">
        <f>IF($B323=1,$F$49,IF(N(Vintage_Input!P275)&gt;0,Vintage_Input!X275/Vintage_Input!P275,""))</f>
        <v/>
      </c>
      <c r="Q323" s="152">
        <f>IF($B323=1,$G$49,IF(N(Vintage_Input!Q275)&gt;0,Vintage_Input!Y275/Vintage_Input!Q275,""))</f>
        <v/>
      </c>
      <c r="R323" s="152">
        <f>IF($B323=1,$H$49,IF(N(Vintage_Input!R275)&gt;0,Vintage_Input!Z275/Vintage_Input!R275,""))</f>
        <v/>
      </c>
      <c r="S323" s="152">
        <f>IF($B323=1,$I$49,IF(N(Vintage_Input!S275)&gt;0,Vintage_Input!AA275/Vintage_Input!S275,""))</f>
        <v/>
      </c>
      <c r="T323" s="152">
        <f>IF($B323=1,$B$50,IF(N(Vintage_Input!L275)&gt;0,Vintage_Input!AB275/Vintage_Input!L275,""))</f>
        <v/>
      </c>
      <c r="U323" s="152">
        <f>IF($B323=1,$C$50,IF(N(Vintage_Input!M275)&gt;0,Vintage_Input!AC275/Vintage_Input!M275,""))</f>
        <v/>
      </c>
      <c r="V323" s="152">
        <f>IF($B323=1,$D$50,IF(N(Vintage_Input!N275)&gt;0,Vintage_Input!AD275/Vintage_Input!N275,""))</f>
        <v/>
      </c>
      <c r="W323" s="152">
        <f>IF($B323=1,$E$50,IF(N(Vintage_Input!O275)&gt;0,Vintage_Input!AE275/Vintage_Input!O275,""))</f>
        <v/>
      </c>
      <c r="X323" s="152">
        <f>IF($B323=1,$F$50,IF(N(Vintage_Input!P275)&gt;0,Vintage_Input!AF275/Vintage_Input!P275,""))</f>
        <v/>
      </c>
      <c r="Y323" s="152">
        <f>IF($B323=1,$G$50,IF(N(Vintage_Input!Q275)&gt;0,Vintage_Input!AG275/Vintage_Input!Q275,""))</f>
        <v/>
      </c>
      <c r="Z323" s="152">
        <f>IF($B323=1,$H$50,IF(N(Vintage_Input!R275)&gt;0,Vintage_Input!AH275/Vintage_Input!R275,""))</f>
        <v/>
      </c>
      <c r="AA323" s="152">
        <f>IF($B323=1,$I$50,IF(N(Vintage_Input!S275)&gt;0,Vintage_Input!AI275/Vintage_Input!S275,""))</f>
        <v/>
      </c>
      <c r="AB323" s="152">
        <f>IF($B323=1,$B$51,IF(N(Vintage_Input!L275)&gt;0,Vintage_Input!AJ275/Vintage_Input!L275,""))</f>
        <v/>
      </c>
      <c r="AC323" s="152">
        <f>IF($B323=1,$C$51,IF(N(Vintage_Input!M275)&gt;0,Vintage_Input!AK275/Vintage_Input!M275,""))</f>
        <v/>
      </c>
      <c r="AD323" s="152">
        <f>IF($B323=1,$D$51,IF(N(Vintage_Input!N275)&gt;0,Vintage_Input!AL275/Vintage_Input!N275,""))</f>
        <v/>
      </c>
      <c r="AE323" s="152">
        <f>IF($B323=1,$E$51,IF(N(Vintage_Input!O275)&gt;0,Vintage_Input!AM275/Vintage_Input!O275,""))</f>
        <v/>
      </c>
      <c r="AF323" s="152">
        <f>IF($B323=1,$F$51,IF(N(Vintage_Input!P275)&gt;0,Vintage_Input!AN275/Vintage_Input!P275,""))</f>
        <v/>
      </c>
      <c r="AG323" s="152">
        <f>IF($B323=1,$G$51,IF(N(Vintage_Input!Q275)&gt;0,Vintage_Input!AO275/Vintage_Input!Q275,""))</f>
        <v/>
      </c>
      <c r="AH323" s="152">
        <f>IF($B323=1,$H$51,IF(N(Vintage_Input!R275)&gt;0,Vintage_Input!AP275/Vintage_Input!R275,""))</f>
        <v/>
      </c>
      <c r="AI323" s="152">
        <f>IF($B323=1,$I$51,IF(N(Vintage_Input!S275)&gt;0,Vintage_Input!AQ275/Vintage_Input!S275,""))</f>
        <v/>
      </c>
      <c r="AJ323" s="152">
        <f>IF($B323=1,$B$52,IF(N(Vintage_Input!L275)&gt;0,IFERROR(Vintage_Input!AR275/Vintage_Input!AJ275,""),""))</f>
        <v/>
      </c>
      <c r="AK323" s="152">
        <f>IF($B323=1,$C$52,IF(N(Vintage_Input!M275)&gt;0,IFERROR(Vintage_Input!AS275/Vintage_Input!AK275,""),""))</f>
        <v/>
      </c>
      <c r="AL323" s="152">
        <f>IF($B323=1,$D$52,IF(N(Vintage_Input!N275)&gt;0,IFERROR(Vintage_Input!AT275/Vintage_Input!AL275,""),""))</f>
        <v/>
      </c>
      <c r="AM323" s="152">
        <f>IF($B323=1,$E$52,IF(N(Vintage_Input!O275)&gt;0,IFERROR(Vintage_Input!AU275/Vintage_Input!AM275,""),""))</f>
        <v/>
      </c>
      <c r="AN323" s="152">
        <f>IF($B323=1,$F$52,IF(N(Vintage_Input!P275)&gt;0,IFERROR(Vintage_Input!AV275/Vintage_Input!AN275,""),""))</f>
        <v/>
      </c>
      <c r="AO323" s="152">
        <f>IF($B323=1,$G$52,IF(N(Vintage_Input!Q275)&gt;0,IFERROR(Vintage_Input!AW275/Vintage_Input!AO275,""),""))</f>
        <v/>
      </c>
      <c r="AP323" s="152">
        <f>IF($B323=1,$H$52,IF(N(Vintage_Input!R275)&gt;0,IFERROR(Vintage_Input!AX275/Vintage_Input!AP275,""),""))</f>
        <v/>
      </c>
      <c r="AQ323" s="152">
        <f>IF($B323=1,$I$52,IF(N(Vintage_Input!S275)&gt;0,IFERROR(Vintage_Input!AY275/Vintage_Input!AQ275,""),""))</f>
        <v/>
      </c>
      <c r="AR323" s="152">
        <f>IF($B323=1,$B$53,IF(N(Vintage_Input!L275)&gt;0,IFERROR(Vintage_Input!AZ275/$C323,""),""))</f>
        <v/>
      </c>
      <c r="AS323" s="152">
        <f>IF($B323=1,$C$53,IF(N(Vintage_Input!M275)&gt;0,IFERROR(Vintage_Input!BA275/$C323,""),""))</f>
        <v/>
      </c>
      <c r="AT323" s="152">
        <f>IF($B323=1,$D$53,IF(N(Vintage_Input!N275)&gt;0,IFERROR(Vintage_Input!BB275/$C323,""),""))</f>
        <v/>
      </c>
      <c r="AU323" s="152">
        <f>IF($B323=1,$E$53,IF(N(Vintage_Input!O275)&gt;0,IFERROR(Vintage_Input!BC275/$C323,""),""))</f>
        <v/>
      </c>
      <c r="AV323" s="152">
        <f>IF($B323=1,$F$53,IF(N(Vintage_Input!P275)&gt;0,IFERROR(Vintage_Input!BD275/$C323,""),""))</f>
        <v/>
      </c>
      <c r="AW323" s="152">
        <f>IF($B323=1,$G$53,IF(N(Vintage_Input!Q275)&gt;0,IFERROR(Vintage_Input!BE275/$C323,""),""))</f>
        <v/>
      </c>
      <c r="AX323" s="152">
        <f>IF($B323=1,$H$53,IF(N(Vintage_Input!R275)&gt;0,IFERROR(Vintage_Input!BF275/$C323,""),""))</f>
        <v/>
      </c>
      <c r="AY323" s="152">
        <f>IF($B323=1,$I$53,IF(N(Vintage_Input!S275)&gt;0,IFERROR(Vintage_Input!BG275/$C323,""),""))</f>
        <v/>
      </c>
      <c r="AZ323" s="153">
        <f>IF($B323=1,$B$54,IF(N(Vintage_Input!L275)&gt;0,IFERROR((Vintage_Input!D275+Vintage_Input!AR275)/$C323+Products!$G$14-(Products!$G$43+Products!$G$19+Products!$G$43*Products!$G$22+Products!$G$44),""),""))</f>
        <v/>
      </c>
      <c r="BA323" s="153">
        <f>IF($B323=1,$C$54,IF(N(Vintage_Input!M275)&gt;0,IFERROR((Vintage_Input!E275+Vintage_Input!AS275)/$C323+Products!$G$14-(Products!$G$43+Products!$G$19+Products!$G$43*Products!$G$22+Products!$G$44),""),""))</f>
        <v/>
      </c>
      <c r="BB323" s="153">
        <f>IF($B323=1,$D$54,IF(N(Vintage_Input!N275)&gt;0,IFERROR((Vintage_Input!F275+Vintage_Input!AT275)/$C323+Products!$G$14-(Products!$G$43+Products!$G$19+Products!$G$43*Products!$G$22+Products!$G$44),""),""))</f>
        <v/>
      </c>
      <c r="BC323" s="153">
        <f>IF($B323=1,$E$54,IF(N(Vintage_Input!O275)&gt;0,IFERROR((Vintage_Input!G275+Vintage_Input!AU275)/$C323+Products!$G$14-(Products!$G$43+Products!$G$19+Products!$G$43*Products!$G$22+Products!$G$44),""),""))</f>
        <v/>
      </c>
      <c r="BD323" s="153">
        <f>IF($B323=1,$F$54,IF(N(Vintage_Input!P275)&gt;0,IFERROR((Vintage_Input!H275+Vintage_Input!AV275)/$C323+Products!$G$14-(Products!$G$43+Products!$G$19+Products!$G$43*Products!$G$22+Products!$G$44),""),""))</f>
        <v/>
      </c>
      <c r="BE323" s="153">
        <f>IF($B323=1,$G$54,IF(N(Vintage_Input!Q275)&gt;0,IFERROR((Vintage_Input!I275+Vintage_Input!AW275)/$C323+Products!$G$14-(Products!$G$43+Products!$G$19+Products!$G$43*Products!$G$22+Products!$G$44),""),""))</f>
        <v/>
      </c>
      <c r="BF323" s="153">
        <f>IF($B323=1,$H$54,IF(N(Vintage_Input!R275)&gt;0,IFERROR((Vintage_Input!J275+Vintage_Input!AX275)/$C323+Products!$G$14-(Products!$G$43+Products!$G$19+Products!$G$43*Products!$G$22+Products!$G$44),""),""))</f>
        <v/>
      </c>
      <c r="BG323" s="153">
        <f>IF($B323=1,$I$54,IF(N(Vintage_Input!S275)&gt;0,IFERROR((Vintage_Input!K275+Vintage_Input!AY275)/$C323+Products!$G$14-(Products!$G$43+Products!$G$19+Products!$G$43*Products!$G$22+Products!$G$44),""),""))</f>
        <v/>
      </c>
      <c r="BH323" s="81">
        <f>IF($B323=1,0,IF(Vintage_Input!$BH$275="","",Vintage_Input!$BH$275))</f>
        <v/>
      </c>
    </row>
    <row r="324">
      <c r="A324" s="23" t="n">
        <v>8</v>
      </c>
      <c r="B324" s="48">
        <f>Vintage_Input!$B$276</f>
        <v/>
      </c>
      <c r="C324" s="41">
        <f>IF(Vintage_Input!$C$276="",0,Vintage_Input!$C$276)</f>
        <v/>
      </c>
      <c r="D324" s="152">
        <f>IF($B324=1,$B$48,IF(N(Vintage_Input!L276)&gt;0,Vintage_Input!D276/Vintage_Input!L276,""))</f>
        <v/>
      </c>
      <c r="E324" s="152">
        <f>IF($B324=1,$C$48,IF(N(Vintage_Input!M276)&gt;0,Vintage_Input!E276/Vintage_Input!M276,""))</f>
        <v/>
      </c>
      <c r="F324" s="152">
        <f>IF($B324=1,$D$48,IF(N(Vintage_Input!N276)&gt;0,Vintage_Input!F276/Vintage_Input!N276,""))</f>
        <v/>
      </c>
      <c r="G324" s="152">
        <f>IF($B324=1,$E$48,IF(N(Vintage_Input!O276)&gt;0,Vintage_Input!G276/Vintage_Input!O276,""))</f>
        <v/>
      </c>
      <c r="H324" s="152">
        <f>IF($B324=1,$F$48,IF(N(Vintage_Input!P276)&gt;0,Vintage_Input!H276/Vintage_Input!P276,""))</f>
        <v/>
      </c>
      <c r="I324" s="152">
        <f>IF($B324=1,$G$48,IF(N(Vintage_Input!Q276)&gt;0,Vintage_Input!I276/Vintage_Input!Q276,""))</f>
        <v/>
      </c>
      <c r="J324" s="152">
        <f>IF($B324=1,$H$48,IF(N(Vintage_Input!R276)&gt;0,Vintage_Input!J276/Vintage_Input!R276,""))</f>
        <v/>
      </c>
      <c r="K324" s="152">
        <f>IF($B324=1,$I$48,IF(N(Vintage_Input!S276)&gt;0,Vintage_Input!K276/Vintage_Input!S276,""))</f>
        <v/>
      </c>
      <c r="L324" s="152">
        <f>IF($B324=1,$B$49,IF(N(Vintage_Input!L276)&gt;0,Vintage_Input!T276/Vintage_Input!L276,""))</f>
        <v/>
      </c>
      <c r="M324" s="152">
        <f>IF($B324=1,$C$49,IF(N(Vintage_Input!M276)&gt;0,Vintage_Input!U276/Vintage_Input!M276,""))</f>
        <v/>
      </c>
      <c r="N324" s="152">
        <f>IF($B324=1,$D$49,IF(N(Vintage_Input!N276)&gt;0,Vintage_Input!V276/Vintage_Input!N276,""))</f>
        <v/>
      </c>
      <c r="O324" s="152">
        <f>IF($B324=1,$E$49,IF(N(Vintage_Input!O276)&gt;0,Vintage_Input!W276/Vintage_Input!O276,""))</f>
        <v/>
      </c>
      <c r="P324" s="152">
        <f>IF($B324=1,$F$49,IF(N(Vintage_Input!P276)&gt;0,Vintage_Input!X276/Vintage_Input!P276,""))</f>
        <v/>
      </c>
      <c r="Q324" s="152">
        <f>IF($B324=1,$G$49,IF(N(Vintage_Input!Q276)&gt;0,Vintage_Input!Y276/Vintage_Input!Q276,""))</f>
        <v/>
      </c>
      <c r="R324" s="152">
        <f>IF($B324=1,$H$49,IF(N(Vintage_Input!R276)&gt;0,Vintage_Input!Z276/Vintage_Input!R276,""))</f>
        <v/>
      </c>
      <c r="S324" s="152">
        <f>IF($B324=1,$I$49,IF(N(Vintage_Input!S276)&gt;0,Vintage_Input!AA276/Vintage_Input!S276,""))</f>
        <v/>
      </c>
      <c r="T324" s="152">
        <f>IF($B324=1,$B$50,IF(N(Vintage_Input!L276)&gt;0,Vintage_Input!AB276/Vintage_Input!L276,""))</f>
        <v/>
      </c>
      <c r="U324" s="152">
        <f>IF($B324=1,$C$50,IF(N(Vintage_Input!M276)&gt;0,Vintage_Input!AC276/Vintage_Input!M276,""))</f>
        <v/>
      </c>
      <c r="V324" s="152">
        <f>IF($B324=1,$D$50,IF(N(Vintage_Input!N276)&gt;0,Vintage_Input!AD276/Vintage_Input!N276,""))</f>
        <v/>
      </c>
      <c r="W324" s="152">
        <f>IF($B324=1,$E$50,IF(N(Vintage_Input!O276)&gt;0,Vintage_Input!AE276/Vintage_Input!O276,""))</f>
        <v/>
      </c>
      <c r="X324" s="152">
        <f>IF($B324=1,$F$50,IF(N(Vintage_Input!P276)&gt;0,Vintage_Input!AF276/Vintage_Input!P276,""))</f>
        <v/>
      </c>
      <c r="Y324" s="152">
        <f>IF($B324=1,$G$50,IF(N(Vintage_Input!Q276)&gt;0,Vintage_Input!AG276/Vintage_Input!Q276,""))</f>
        <v/>
      </c>
      <c r="Z324" s="152">
        <f>IF($B324=1,$H$50,IF(N(Vintage_Input!R276)&gt;0,Vintage_Input!AH276/Vintage_Input!R276,""))</f>
        <v/>
      </c>
      <c r="AA324" s="152">
        <f>IF($B324=1,$I$50,IF(N(Vintage_Input!S276)&gt;0,Vintage_Input!AI276/Vintage_Input!S276,""))</f>
        <v/>
      </c>
      <c r="AB324" s="152">
        <f>IF($B324=1,$B$51,IF(N(Vintage_Input!L276)&gt;0,Vintage_Input!AJ276/Vintage_Input!L276,""))</f>
        <v/>
      </c>
      <c r="AC324" s="152">
        <f>IF($B324=1,$C$51,IF(N(Vintage_Input!M276)&gt;0,Vintage_Input!AK276/Vintage_Input!M276,""))</f>
        <v/>
      </c>
      <c r="AD324" s="152">
        <f>IF($B324=1,$D$51,IF(N(Vintage_Input!N276)&gt;0,Vintage_Input!AL276/Vintage_Input!N276,""))</f>
        <v/>
      </c>
      <c r="AE324" s="152">
        <f>IF($B324=1,$E$51,IF(N(Vintage_Input!O276)&gt;0,Vintage_Input!AM276/Vintage_Input!O276,""))</f>
        <v/>
      </c>
      <c r="AF324" s="152">
        <f>IF($B324=1,$F$51,IF(N(Vintage_Input!P276)&gt;0,Vintage_Input!AN276/Vintage_Input!P276,""))</f>
        <v/>
      </c>
      <c r="AG324" s="152">
        <f>IF($B324=1,$G$51,IF(N(Vintage_Input!Q276)&gt;0,Vintage_Input!AO276/Vintage_Input!Q276,""))</f>
        <v/>
      </c>
      <c r="AH324" s="152">
        <f>IF($B324=1,$H$51,IF(N(Vintage_Input!R276)&gt;0,Vintage_Input!AP276/Vintage_Input!R276,""))</f>
        <v/>
      </c>
      <c r="AI324" s="152">
        <f>IF($B324=1,$I$51,IF(N(Vintage_Input!S276)&gt;0,Vintage_Input!AQ276/Vintage_Input!S276,""))</f>
        <v/>
      </c>
      <c r="AJ324" s="152">
        <f>IF($B324=1,$B$52,IF(N(Vintage_Input!L276)&gt;0,IFERROR(Vintage_Input!AR276/Vintage_Input!AJ276,""),""))</f>
        <v/>
      </c>
      <c r="AK324" s="152">
        <f>IF($B324=1,$C$52,IF(N(Vintage_Input!M276)&gt;0,IFERROR(Vintage_Input!AS276/Vintage_Input!AK276,""),""))</f>
        <v/>
      </c>
      <c r="AL324" s="152">
        <f>IF($B324=1,$D$52,IF(N(Vintage_Input!N276)&gt;0,IFERROR(Vintage_Input!AT276/Vintage_Input!AL276,""),""))</f>
        <v/>
      </c>
      <c r="AM324" s="152">
        <f>IF($B324=1,$E$52,IF(N(Vintage_Input!O276)&gt;0,IFERROR(Vintage_Input!AU276/Vintage_Input!AM276,""),""))</f>
        <v/>
      </c>
      <c r="AN324" s="152">
        <f>IF($B324=1,$F$52,IF(N(Vintage_Input!P276)&gt;0,IFERROR(Vintage_Input!AV276/Vintage_Input!AN276,""),""))</f>
        <v/>
      </c>
      <c r="AO324" s="152">
        <f>IF($B324=1,$G$52,IF(N(Vintage_Input!Q276)&gt;0,IFERROR(Vintage_Input!AW276/Vintage_Input!AO276,""),""))</f>
        <v/>
      </c>
      <c r="AP324" s="152">
        <f>IF($B324=1,$H$52,IF(N(Vintage_Input!R276)&gt;0,IFERROR(Vintage_Input!AX276/Vintage_Input!AP276,""),""))</f>
        <v/>
      </c>
      <c r="AQ324" s="152">
        <f>IF($B324=1,$I$52,IF(N(Vintage_Input!S276)&gt;0,IFERROR(Vintage_Input!AY276/Vintage_Input!AQ276,""),""))</f>
        <v/>
      </c>
      <c r="AR324" s="152">
        <f>IF($B324=1,$B$53,IF(N(Vintage_Input!L276)&gt;0,IFERROR(Vintage_Input!AZ276/$C324,""),""))</f>
        <v/>
      </c>
      <c r="AS324" s="152">
        <f>IF($B324=1,$C$53,IF(N(Vintage_Input!M276)&gt;0,IFERROR(Vintage_Input!BA276/$C324,""),""))</f>
        <v/>
      </c>
      <c r="AT324" s="152">
        <f>IF($B324=1,$D$53,IF(N(Vintage_Input!N276)&gt;0,IFERROR(Vintage_Input!BB276/$C324,""),""))</f>
        <v/>
      </c>
      <c r="AU324" s="152">
        <f>IF($B324=1,$E$53,IF(N(Vintage_Input!O276)&gt;0,IFERROR(Vintage_Input!BC276/$C324,""),""))</f>
        <v/>
      </c>
      <c r="AV324" s="152">
        <f>IF($B324=1,$F$53,IF(N(Vintage_Input!P276)&gt;0,IFERROR(Vintage_Input!BD276/$C324,""),""))</f>
        <v/>
      </c>
      <c r="AW324" s="152">
        <f>IF($B324=1,$G$53,IF(N(Vintage_Input!Q276)&gt;0,IFERROR(Vintage_Input!BE276/$C324,""),""))</f>
        <v/>
      </c>
      <c r="AX324" s="152">
        <f>IF($B324=1,$H$53,IF(N(Vintage_Input!R276)&gt;0,IFERROR(Vintage_Input!BF276/$C324,""),""))</f>
        <v/>
      </c>
      <c r="AY324" s="152">
        <f>IF($B324=1,$I$53,IF(N(Vintage_Input!S276)&gt;0,IFERROR(Vintage_Input!BG276/$C324,""),""))</f>
        <v/>
      </c>
      <c r="AZ324" s="153">
        <f>IF($B324=1,$B$54,IF(N(Vintage_Input!L276)&gt;0,IFERROR((Vintage_Input!D276+Vintage_Input!AR276)/$C324+Products!$G$14-(Products!$G$43+Products!$G$19+Products!$G$43*Products!$G$22+Products!$G$44),""),""))</f>
        <v/>
      </c>
      <c r="BA324" s="153">
        <f>IF($B324=1,$C$54,IF(N(Vintage_Input!M276)&gt;0,IFERROR((Vintage_Input!E276+Vintage_Input!AS276)/$C324+Products!$G$14-(Products!$G$43+Products!$G$19+Products!$G$43*Products!$G$22+Products!$G$44),""),""))</f>
        <v/>
      </c>
      <c r="BB324" s="153">
        <f>IF($B324=1,$D$54,IF(N(Vintage_Input!N276)&gt;0,IFERROR((Vintage_Input!F276+Vintage_Input!AT276)/$C324+Products!$G$14-(Products!$G$43+Products!$G$19+Products!$G$43*Products!$G$22+Products!$G$44),""),""))</f>
        <v/>
      </c>
      <c r="BC324" s="153">
        <f>IF($B324=1,$E$54,IF(N(Vintage_Input!O276)&gt;0,IFERROR((Vintage_Input!G276+Vintage_Input!AU276)/$C324+Products!$G$14-(Products!$G$43+Products!$G$19+Products!$G$43*Products!$G$22+Products!$G$44),""),""))</f>
        <v/>
      </c>
      <c r="BD324" s="153">
        <f>IF($B324=1,$F$54,IF(N(Vintage_Input!P276)&gt;0,IFERROR((Vintage_Input!H276+Vintage_Input!AV276)/$C324+Products!$G$14-(Products!$G$43+Products!$G$19+Products!$G$43*Products!$G$22+Products!$G$44),""),""))</f>
        <v/>
      </c>
      <c r="BE324" s="153">
        <f>IF($B324=1,$G$54,IF(N(Vintage_Input!Q276)&gt;0,IFERROR((Vintage_Input!I276+Vintage_Input!AW276)/$C324+Products!$G$14-(Products!$G$43+Products!$G$19+Products!$G$43*Products!$G$22+Products!$G$44),""),""))</f>
        <v/>
      </c>
      <c r="BF324" s="153">
        <f>IF($B324=1,$H$54,IF(N(Vintage_Input!R276)&gt;0,IFERROR((Vintage_Input!J276+Vintage_Input!AX276)/$C324+Products!$G$14-(Products!$G$43+Products!$G$19+Products!$G$43*Products!$G$22+Products!$G$44),""),""))</f>
        <v/>
      </c>
      <c r="BG324" s="153">
        <f>IF($B324=1,$I$54,IF(N(Vintage_Input!S276)&gt;0,IFERROR((Vintage_Input!K276+Vintage_Input!AY276)/$C324+Products!$G$14-(Products!$G$43+Products!$G$19+Products!$G$43*Products!$G$22+Products!$G$44),""),""))</f>
        <v/>
      </c>
      <c r="BH324" s="81">
        <f>IF($B324=1,0,IF(Vintage_Input!$BH$276="","",Vintage_Input!$BH$276))</f>
        <v/>
      </c>
    </row>
    <row r="325">
      <c r="A325" s="23" t="n">
        <v>9</v>
      </c>
      <c r="B325" s="48">
        <f>Vintage_Input!$B$277</f>
        <v/>
      </c>
      <c r="C325" s="41">
        <f>IF(Vintage_Input!$C$277="",0,Vintage_Input!$C$277)</f>
        <v/>
      </c>
      <c r="D325" s="152">
        <f>IF($B325=1,$B$48,IF(N(Vintage_Input!L277)&gt;0,Vintage_Input!D277/Vintage_Input!L277,""))</f>
        <v/>
      </c>
      <c r="E325" s="152">
        <f>IF($B325=1,$C$48,IF(N(Vintage_Input!M277)&gt;0,Vintage_Input!E277/Vintage_Input!M277,""))</f>
        <v/>
      </c>
      <c r="F325" s="152">
        <f>IF($B325=1,$D$48,IF(N(Vintage_Input!N277)&gt;0,Vintage_Input!F277/Vintage_Input!N277,""))</f>
        <v/>
      </c>
      <c r="G325" s="152">
        <f>IF($B325=1,$E$48,IF(N(Vintage_Input!O277)&gt;0,Vintage_Input!G277/Vintage_Input!O277,""))</f>
        <v/>
      </c>
      <c r="H325" s="152">
        <f>IF($B325=1,$F$48,IF(N(Vintage_Input!P277)&gt;0,Vintage_Input!H277/Vintage_Input!P277,""))</f>
        <v/>
      </c>
      <c r="I325" s="152">
        <f>IF($B325=1,$G$48,IF(N(Vintage_Input!Q277)&gt;0,Vintage_Input!I277/Vintage_Input!Q277,""))</f>
        <v/>
      </c>
      <c r="J325" s="152">
        <f>IF($B325=1,$H$48,IF(N(Vintage_Input!R277)&gt;0,Vintage_Input!J277/Vintage_Input!R277,""))</f>
        <v/>
      </c>
      <c r="K325" s="152">
        <f>IF($B325=1,$I$48,IF(N(Vintage_Input!S277)&gt;0,Vintage_Input!K277/Vintage_Input!S277,""))</f>
        <v/>
      </c>
      <c r="L325" s="152">
        <f>IF($B325=1,$B$49,IF(N(Vintage_Input!L277)&gt;0,Vintage_Input!T277/Vintage_Input!L277,""))</f>
        <v/>
      </c>
      <c r="M325" s="152">
        <f>IF($B325=1,$C$49,IF(N(Vintage_Input!M277)&gt;0,Vintage_Input!U277/Vintage_Input!M277,""))</f>
        <v/>
      </c>
      <c r="N325" s="152">
        <f>IF($B325=1,$D$49,IF(N(Vintage_Input!N277)&gt;0,Vintage_Input!V277/Vintage_Input!N277,""))</f>
        <v/>
      </c>
      <c r="O325" s="152">
        <f>IF($B325=1,$E$49,IF(N(Vintage_Input!O277)&gt;0,Vintage_Input!W277/Vintage_Input!O277,""))</f>
        <v/>
      </c>
      <c r="P325" s="152">
        <f>IF($B325=1,$F$49,IF(N(Vintage_Input!P277)&gt;0,Vintage_Input!X277/Vintage_Input!P277,""))</f>
        <v/>
      </c>
      <c r="Q325" s="152">
        <f>IF($B325=1,$G$49,IF(N(Vintage_Input!Q277)&gt;0,Vintage_Input!Y277/Vintage_Input!Q277,""))</f>
        <v/>
      </c>
      <c r="R325" s="152">
        <f>IF($B325=1,$H$49,IF(N(Vintage_Input!R277)&gt;0,Vintage_Input!Z277/Vintage_Input!R277,""))</f>
        <v/>
      </c>
      <c r="S325" s="152">
        <f>IF($B325=1,$I$49,IF(N(Vintage_Input!S277)&gt;0,Vintage_Input!AA277/Vintage_Input!S277,""))</f>
        <v/>
      </c>
      <c r="T325" s="152">
        <f>IF($B325=1,$B$50,IF(N(Vintage_Input!L277)&gt;0,Vintage_Input!AB277/Vintage_Input!L277,""))</f>
        <v/>
      </c>
      <c r="U325" s="152">
        <f>IF($B325=1,$C$50,IF(N(Vintage_Input!M277)&gt;0,Vintage_Input!AC277/Vintage_Input!M277,""))</f>
        <v/>
      </c>
      <c r="V325" s="152">
        <f>IF($B325=1,$D$50,IF(N(Vintage_Input!N277)&gt;0,Vintage_Input!AD277/Vintage_Input!N277,""))</f>
        <v/>
      </c>
      <c r="W325" s="152">
        <f>IF($B325=1,$E$50,IF(N(Vintage_Input!O277)&gt;0,Vintage_Input!AE277/Vintage_Input!O277,""))</f>
        <v/>
      </c>
      <c r="X325" s="152">
        <f>IF($B325=1,$F$50,IF(N(Vintage_Input!P277)&gt;0,Vintage_Input!AF277/Vintage_Input!P277,""))</f>
        <v/>
      </c>
      <c r="Y325" s="152">
        <f>IF($B325=1,$G$50,IF(N(Vintage_Input!Q277)&gt;0,Vintage_Input!AG277/Vintage_Input!Q277,""))</f>
        <v/>
      </c>
      <c r="Z325" s="152">
        <f>IF($B325=1,$H$50,IF(N(Vintage_Input!R277)&gt;0,Vintage_Input!AH277/Vintage_Input!R277,""))</f>
        <v/>
      </c>
      <c r="AA325" s="152">
        <f>IF($B325=1,$I$50,IF(N(Vintage_Input!S277)&gt;0,Vintage_Input!AI277/Vintage_Input!S277,""))</f>
        <v/>
      </c>
      <c r="AB325" s="152">
        <f>IF($B325=1,$B$51,IF(N(Vintage_Input!L277)&gt;0,Vintage_Input!AJ277/Vintage_Input!L277,""))</f>
        <v/>
      </c>
      <c r="AC325" s="152">
        <f>IF($B325=1,$C$51,IF(N(Vintage_Input!M277)&gt;0,Vintage_Input!AK277/Vintage_Input!M277,""))</f>
        <v/>
      </c>
      <c r="AD325" s="152">
        <f>IF($B325=1,$D$51,IF(N(Vintage_Input!N277)&gt;0,Vintage_Input!AL277/Vintage_Input!N277,""))</f>
        <v/>
      </c>
      <c r="AE325" s="152">
        <f>IF($B325=1,$E$51,IF(N(Vintage_Input!O277)&gt;0,Vintage_Input!AM277/Vintage_Input!O277,""))</f>
        <v/>
      </c>
      <c r="AF325" s="152">
        <f>IF($B325=1,$F$51,IF(N(Vintage_Input!P277)&gt;0,Vintage_Input!AN277/Vintage_Input!P277,""))</f>
        <v/>
      </c>
      <c r="AG325" s="152">
        <f>IF($B325=1,$G$51,IF(N(Vintage_Input!Q277)&gt;0,Vintage_Input!AO277/Vintage_Input!Q277,""))</f>
        <v/>
      </c>
      <c r="AH325" s="152">
        <f>IF($B325=1,$H$51,IF(N(Vintage_Input!R277)&gt;0,Vintage_Input!AP277/Vintage_Input!R277,""))</f>
        <v/>
      </c>
      <c r="AI325" s="152">
        <f>IF($B325=1,$I$51,IF(N(Vintage_Input!S277)&gt;0,Vintage_Input!AQ277/Vintage_Input!S277,""))</f>
        <v/>
      </c>
      <c r="AJ325" s="152">
        <f>IF($B325=1,$B$52,IF(N(Vintage_Input!L277)&gt;0,IFERROR(Vintage_Input!AR277/Vintage_Input!AJ277,""),""))</f>
        <v/>
      </c>
      <c r="AK325" s="152">
        <f>IF($B325=1,$C$52,IF(N(Vintage_Input!M277)&gt;0,IFERROR(Vintage_Input!AS277/Vintage_Input!AK277,""),""))</f>
        <v/>
      </c>
      <c r="AL325" s="152">
        <f>IF($B325=1,$D$52,IF(N(Vintage_Input!N277)&gt;0,IFERROR(Vintage_Input!AT277/Vintage_Input!AL277,""),""))</f>
        <v/>
      </c>
      <c r="AM325" s="152">
        <f>IF($B325=1,$E$52,IF(N(Vintage_Input!O277)&gt;0,IFERROR(Vintage_Input!AU277/Vintage_Input!AM277,""),""))</f>
        <v/>
      </c>
      <c r="AN325" s="152">
        <f>IF($B325=1,$F$52,IF(N(Vintage_Input!P277)&gt;0,IFERROR(Vintage_Input!AV277/Vintage_Input!AN277,""),""))</f>
        <v/>
      </c>
      <c r="AO325" s="152">
        <f>IF($B325=1,$G$52,IF(N(Vintage_Input!Q277)&gt;0,IFERROR(Vintage_Input!AW277/Vintage_Input!AO277,""),""))</f>
        <v/>
      </c>
      <c r="AP325" s="152">
        <f>IF($B325=1,$H$52,IF(N(Vintage_Input!R277)&gt;0,IFERROR(Vintage_Input!AX277/Vintage_Input!AP277,""),""))</f>
        <v/>
      </c>
      <c r="AQ325" s="152">
        <f>IF($B325=1,$I$52,IF(N(Vintage_Input!S277)&gt;0,IFERROR(Vintage_Input!AY277/Vintage_Input!AQ277,""),""))</f>
        <v/>
      </c>
      <c r="AR325" s="152">
        <f>IF($B325=1,$B$53,IF(N(Vintage_Input!L277)&gt;0,IFERROR(Vintage_Input!AZ277/$C325,""),""))</f>
        <v/>
      </c>
      <c r="AS325" s="152">
        <f>IF($B325=1,$C$53,IF(N(Vintage_Input!M277)&gt;0,IFERROR(Vintage_Input!BA277/$C325,""),""))</f>
        <v/>
      </c>
      <c r="AT325" s="152">
        <f>IF($B325=1,$D$53,IF(N(Vintage_Input!N277)&gt;0,IFERROR(Vintage_Input!BB277/$C325,""),""))</f>
        <v/>
      </c>
      <c r="AU325" s="152">
        <f>IF($B325=1,$E$53,IF(N(Vintage_Input!O277)&gt;0,IFERROR(Vintage_Input!BC277/$C325,""),""))</f>
        <v/>
      </c>
      <c r="AV325" s="152">
        <f>IF($B325=1,$F$53,IF(N(Vintage_Input!P277)&gt;0,IFERROR(Vintage_Input!BD277/$C325,""),""))</f>
        <v/>
      </c>
      <c r="AW325" s="152">
        <f>IF($B325=1,$G$53,IF(N(Vintage_Input!Q277)&gt;0,IFERROR(Vintage_Input!BE277/$C325,""),""))</f>
        <v/>
      </c>
      <c r="AX325" s="152">
        <f>IF($B325=1,$H$53,IF(N(Vintage_Input!R277)&gt;0,IFERROR(Vintage_Input!BF277/$C325,""),""))</f>
        <v/>
      </c>
      <c r="AY325" s="152">
        <f>IF($B325=1,$I$53,IF(N(Vintage_Input!S277)&gt;0,IFERROR(Vintage_Input!BG277/$C325,""),""))</f>
        <v/>
      </c>
      <c r="AZ325" s="153">
        <f>IF($B325=1,$B$54,IF(N(Vintage_Input!L277)&gt;0,IFERROR((Vintage_Input!D277+Vintage_Input!AR277)/$C325+Products!$G$14-(Products!$G$43+Products!$G$19+Products!$G$43*Products!$G$22+Products!$G$44),""),""))</f>
        <v/>
      </c>
      <c r="BA325" s="153">
        <f>IF($B325=1,$C$54,IF(N(Vintage_Input!M277)&gt;0,IFERROR((Vintage_Input!E277+Vintage_Input!AS277)/$C325+Products!$G$14-(Products!$G$43+Products!$G$19+Products!$G$43*Products!$G$22+Products!$G$44),""),""))</f>
        <v/>
      </c>
      <c r="BB325" s="153">
        <f>IF($B325=1,$D$54,IF(N(Vintage_Input!N277)&gt;0,IFERROR((Vintage_Input!F277+Vintage_Input!AT277)/$C325+Products!$G$14-(Products!$G$43+Products!$G$19+Products!$G$43*Products!$G$22+Products!$G$44),""),""))</f>
        <v/>
      </c>
      <c r="BC325" s="153">
        <f>IF($B325=1,$E$54,IF(N(Vintage_Input!O277)&gt;0,IFERROR((Vintage_Input!G277+Vintage_Input!AU277)/$C325+Products!$G$14-(Products!$G$43+Products!$G$19+Products!$G$43*Products!$G$22+Products!$G$44),""),""))</f>
        <v/>
      </c>
      <c r="BD325" s="153">
        <f>IF($B325=1,$F$54,IF(N(Vintage_Input!P277)&gt;0,IFERROR((Vintage_Input!H277+Vintage_Input!AV277)/$C325+Products!$G$14-(Products!$G$43+Products!$G$19+Products!$G$43*Products!$G$22+Products!$G$44),""),""))</f>
        <v/>
      </c>
      <c r="BE325" s="153">
        <f>IF($B325=1,$G$54,IF(N(Vintage_Input!Q277)&gt;0,IFERROR((Vintage_Input!I277+Vintage_Input!AW277)/$C325+Products!$G$14-(Products!$G$43+Products!$G$19+Products!$G$43*Products!$G$22+Products!$G$44),""),""))</f>
        <v/>
      </c>
      <c r="BF325" s="153">
        <f>IF($B325=1,$H$54,IF(N(Vintage_Input!R277)&gt;0,IFERROR((Vintage_Input!J277+Vintage_Input!AX277)/$C325+Products!$G$14-(Products!$G$43+Products!$G$19+Products!$G$43*Products!$G$22+Products!$G$44),""),""))</f>
        <v/>
      </c>
      <c r="BG325" s="153">
        <f>IF($B325=1,$I$54,IF(N(Vintage_Input!S277)&gt;0,IFERROR((Vintage_Input!K277+Vintage_Input!AY277)/$C325+Products!$G$14-(Products!$G$43+Products!$G$19+Products!$G$43*Products!$G$22+Products!$G$44),""),""))</f>
        <v/>
      </c>
      <c r="BH325" s="81">
        <f>IF($B325=1,0,IF(Vintage_Input!$BH$277="","",Vintage_Input!$BH$277))</f>
        <v/>
      </c>
    </row>
    <row r="326">
      <c r="A326" s="23" t="n">
        <v>10</v>
      </c>
      <c r="B326" s="48">
        <f>Vintage_Input!$B$278</f>
        <v/>
      </c>
      <c r="C326" s="41">
        <f>IF(Vintage_Input!$C$278="",0,Vintage_Input!$C$278)</f>
        <v/>
      </c>
      <c r="D326" s="152">
        <f>IF($B326=1,$B$48,IF(N(Vintage_Input!L278)&gt;0,Vintage_Input!D278/Vintage_Input!L278,""))</f>
        <v/>
      </c>
      <c r="E326" s="152">
        <f>IF($B326=1,$C$48,IF(N(Vintage_Input!M278)&gt;0,Vintage_Input!E278/Vintage_Input!M278,""))</f>
        <v/>
      </c>
      <c r="F326" s="152">
        <f>IF($B326=1,$D$48,IF(N(Vintage_Input!N278)&gt;0,Vintage_Input!F278/Vintage_Input!N278,""))</f>
        <v/>
      </c>
      <c r="G326" s="152">
        <f>IF($B326=1,$E$48,IF(N(Vintage_Input!O278)&gt;0,Vintage_Input!G278/Vintage_Input!O278,""))</f>
        <v/>
      </c>
      <c r="H326" s="152">
        <f>IF($B326=1,$F$48,IF(N(Vintage_Input!P278)&gt;0,Vintage_Input!H278/Vintage_Input!P278,""))</f>
        <v/>
      </c>
      <c r="I326" s="152">
        <f>IF($B326=1,$G$48,IF(N(Vintage_Input!Q278)&gt;0,Vintage_Input!I278/Vintage_Input!Q278,""))</f>
        <v/>
      </c>
      <c r="J326" s="152">
        <f>IF($B326=1,$H$48,IF(N(Vintage_Input!R278)&gt;0,Vintage_Input!J278/Vintage_Input!R278,""))</f>
        <v/>
      </c>
      <c r="K326" s="152">
        <f>IF($B326=1,$I$48,IF(N(Vintage_Input!S278)&gt;0,Vintage_Input!K278/Vintage_Input!S278,""))</f>
        <v/>
      </c>
      <c r="L326" s="152">
        <f>IF($B326=1,$B$49,IF(N(Vintage_Input!L278)&gt;0,Vintage_Input!T278/Vintage_Input!L278,""))</f>
        <v/>
      </c>
      <c r="M326" s="152">
        <f>IF($B326=1,$C$49,IF(N(Vintage_Input!M278)&gt;0,Vintage_Input!U278/Vintage_Input!M278,""))</f>
        <v/>
      </c>
      <c r="N326" s="152">
        <f>IF($B326=1,$D$49,IF(N(Vintage_Input!N278)&gt;0,Vintage_Input!V278/Vintage_Input!N278,""))</f>
        <v/>
      </c>
      <c r="O326" s="152">
        <f>IF($B326=1,$E$49,IF(N(Vintage_Input!O278)&gt;0,Vintage_Input!W278/Vintage_Input!O278,""))</f>
        <v/>
      </c>
      <c r="P326" s="152">
        <f>IF($B326=1,$F$49,IF(N(Vintage_Input!P278)&gt;0,Vintage_Input!X278/Vintage_Input!P278,""))</f>
        <v/>
      </c>
      <c r="Q326" s="152">
        <f>IF($B326=1,$G$49,IF(N(Vintage_Input!Q278)&gt;0,Vintage_Input!Y278/Vintage_Input!Q278,""))</f>
        <v/>
      </c>
      <c r="R326" s="152">
        <f>IF($B326=1,$H$49,IF(N(Vintage_Input!R278)&gt;0,Vintage_Input!Z278/Vintage_Input!R278,""))</f>
        <v/>
      </c>
      <c r="S326" s="152">
        <f>IF($B326=1,$I$49,IF(N(Vintage_Input!S278)&gt;0,Vintage_Input!AA278/Vintage_Input!S278,""))</f>
        <v/>
      </c>
      <c r="T326" s="152">
        <f>IF($B326=1,$B$50,IF(N(Vintage_Input!L278)&gt;0,Vintage_Input!AB278/Vintage_Input!L278,""))</f>
        <v/>
      </c>
      <c r="U326" s="152">
        <f>IF($B326=1,$C$50,IF(N(Vintage_Input!M278)&gt;0,Vintage_Input!AC278/Vintage_Input!M278,""))</f>
        <v/>
      </c>
      <c r="V326" s="152">
        <f>IF($B326=1,$D$50,IF(N(Vintage_Input!N278)&gt;0,Vintage_Input!AD278/Vintage_Input!N278,""))</f>
        <v/>
      </c>
      <c r="W326" s="152">
        <f>IF($B326=1,$E$50,IF(N(Vintage_Input!O278)&gt;0,Vintage_Input!AE278/Vintage_Input!O278,""))</f>
        <v/>
      </c>
      <c r="X326" s="152">
        <f>IF($B326=1,$F$50,IF(N(Vintage_Input!P278)&gt;0,Vintage_Input!AF278/Vintage_Input!P278,""))</f>
        <v/>
      </c>
      <c r="Y326" s="152">
        <f>IF($B326=1,$G$50,IF(N(Vintage_Input!Q278)&gt;0,Vintage_Input!AG278/Vintage_Input!Q278,""))</f>
        <v/>
      </c>
      <c r="Z326" s="152">
        <f>IF($B326=1,$H$50,IF(N(Vintage_Input!R278)&gt;0,Vintage_Input!AH278/Vintage_Input!R278,""))</f>
        <v/>
      </c>
      <c r="AA326" s="152">
        <f>IF($B326=1,$I$50,IF(N(Vintage_Input!S278)&gt;0,Vintage_Input!AI278/Vintage_Input!S278,""))</f>
        <v/>
      </c>
      <c r="AB326" s="152">
        <f>IF($B326=1,$B$51,IF(N(Vintage_Input!L278)&gt;0,Vintage_Input!AJ278/Vintage_Input!L278,""))</f>
        <v/>
      </c>
      <c r="AC326" s="152">
        <f>IF($B326=1,$C$51,IF(N(Vintage_Input!M278)&gt;0,Vintage_Input!AK278/Vintage_Input!M278,""))</f>
        <v/>
      </c>
      <c r="AD326" s="152">
        <f>IF($B326=1,$D$51,IF(N(Vintage_Input!N278)&gt;0,Vintage_Input!AL278/Vintage_Input!N278,""))</f>
        <v/>
      </c>
      <c r="AE326" s="152">
        <f>IF($B326=1,$E$51,IF(N(Vintage_Input!O278)&gt;0,Vintage_Input!AM278/Vintage_Input!O278,""))</f>
        <v/>
      </c>
      <c r="AF326" s="152">
        <f>IF($B326=1,$F$51,IF(N(Vintage_Input!P278)&gt;0,Vintage_Input!AN278/Vintage_Input!P278,""))</f>
        <v/>
      </c>
      <c r="AG326" s="152">
        <f>IF($B326=1,$G$51,IF(N(Vintage_Input!Q278)&gt;0,Vintage_Input!AO278/Vintage_Input!Q278,""))</f>
        <v/>
      </c>
      <c r="AH326" s="152">
        <f>IF($B326=1,$H$51,IF(N(Vintage_Input!R278)&gt;0,Vintage_Input!AP278/Vintage_Input!R278,""))</f>
        <v/>
      </c>
      <c r="AI326" s="152">
        <f>IF($B326=1,$I$51,IF(N(Vintage_Input!S278)&gt;0,Vintage_Input!AQ278/Vintage_Input!S278,""))</f>
        <v/>
      </c>
      <c r="AJ326" s="152">
        <f>IF($B326=1,$B$52,IF(N(Vintage_Input!L278)&gt;0,IFERROR(Vintage_Input!AR278/Vintage_Input!AJ278,""),""))</f>
        <v/>
      </c>
      <c r="AK326" s="152">
        <f>IF($B326=1,$C$52,IF(N(Vintage_Input!M278)&gt;0,IFERROR(Vintage_Input!AS278/Vintage_Input!AK278,""),""))</f>
        <v/>
      </c>
      <c r="AL326" s="152">
        <f>IF($B326=1,$D$52,IF(N(Vintage_Input!N278)&gt;0,IFERROR(Vintage_Input!AT278/Vintage_Input!AL278,""),""))</f>
        <v/>
      </c>
      <c r="AM326" s="152">
        <f>IF($B326=1,$E$52,IF(N(Vintage_Input!O278)&gt;0,IFERROR(Vintage_Input!AU278/Vintage_Input!AM278,""),""))</f>
        <v/>
      </c>
      <c r="AN326" s="152">
        <f>IF($B326=1,$F$52,IF(N(Vintage_Input!P278)&gt;0,IFERROR(Vintage_Input!AV278/Vintage_Input!AN278,""),""))</f>
        <v/>
      </c>
      <c r="AO326" s="152">
        <f>IF($B326=1,$G$52,IF(N(Vintage_Input!Q278)&gt;0,IFERROR(Vintage_Input!AW278/Vintage_Input!AO278,""),""))</f>
        <v/>
      </c>
      <c r="AP326" s="152">
        <f>IF($B326=1,$H$52,IF(N(Vintage_Input!R278)&gt;0,IFERROR(Vintage_Input!AX278/Vintage_Input!AP278,""),""))</f>
        <v/>
      </c>
      <c r="AQ326" s="152">
        <f>IF($B326=1,$I$52,IF(N(Vintage_Input!S278)&gt;0,IFERROR(Vintage_Input!AY278/Vintage_Input!AQ278,""),""))</f>
        <v/>
      </c>
      <c r="AR326" s="152">
        <f>IF($B326=1,$B$53,IF(N(Vintage_Input!L278)&gt;0,IFERROR(Vintage_Input!AZ278/$C326,""),""))</f>
        <v/>
      </c>
      <c r="AS326" s="152">
        <f>IF($B326=1,$C$53,IF(N(Vintage_Input!M278)&gt;0,IFERROR(Vintage_Input!BA278/$C326,""),""))</f>
        <v/>
      </c>
      <c r="AT326" s="152">
        <f>IF($B326=1,$D$53,IF(N(Vintage_Input!N278)&gt;0,IFERROR(Vintage_Input!BB278/$C326,""),""))</f>
        <v/>
      </c>
      <c r="AU326" s="152">
        <f>IF($B326=1,$E$53,IF(N(Vintage_Input!O278)&gt;0,IFERROR(Vintage_Input!BC278/$C326,""),""))</f>
        <v/>
      </c>
      <c r="AV326" s="152">
        <f>IF($B326=1,$F$53,IF(N(Vintage_Input!P278)&gt;0,IFERROR(Vintage_Input!BD278/$C326,""),""))</f>
        <v/>
      </c>
      <c r="AW326" s="152">
        <f>IF($B326=1,$G$53,IF(N(Vintage_Input!Q278)&gt;0,IFERROR(Vintage_Input!BE278/$C326,""),""))</f>
        <v/>
      </c>
      <c r="AX326" s="152">
        <f>IF($B326=1,$H$53,IF(N(Vintage_Input!R278)&gt;0,IFERROR(Vintage_Input!BF278/$C326,""),""))</f>
        <v/>
      </c>
      <c r="AY326" s="152">
        <f>IF($B326=1,$I$53,IF(N(Vintage_Input!S278)&gt;0,IFERROR(Vintage_Input!BG278/$C326,""),""))</f>
        <v/>
      </c>
      <c r="AZ326" s="153">
        <f>IF($B326=1,$B$54,IF(N(Vintage_Input!L278)&gt;0,IFERROR((Vintage_Input!D278+Vintage_Input!AR278)/$C326+Products!$G$14-(Products!$G$43+Products!$G$19+Products!$G$43*Products!$G$22+Products!$G$44),""),""))</f>
        <v/>
      </c>
      <c r="BA326" s="153">
        <f>IF($B326=1,$C$54,IF(N(Vintage_Input!M278)&gt;0,IFERROR((Vintage_Input!E278+Vintage_Input!AS278)/$C326+Products!$G$14-(Products!$G$43+Products!$G$19+Products!$G$43*Products!$G$22+Products!$G$44),""),""))</f>
        <v/>
      </c>
      <c r="BB326" s="153">
        <f>IF($B326=1,$D$54,IF(N(Vintage_Input!N278)&gt;0,IFERROR((Vintage_Input!F278+Vintage_Input!AT278)/$C326+Products!$G$14-(Products!$G$43+Products!$G$19+Products!$G$43*Products!$G$22+Products!$G$44),""),""))</f>
        <v/>
      </c>
      <c r="BC326" s="153">
        <f>IF($B326=1,$E$54,IF(N(Vintage_Input!O278)&gt;0,IFERROR((Vintage_Input!G278+Vintage_Input!AU278)/$C326+Products!$G$14-(Products!$G$43+Products!$G$19+Products!$G$43*Products!$G$22+Products!$G$44),""),""))</f>
        <v/>
      </c>
      <c r="BD326" s="153">
        <f>IF($B326=1,$F$54,IF(N(Vintage_Input!P278)&gt;0,IFERROR((Vintage_Input!H278+Vintage_Input!AV278)/$C326+Products!$G$14-(Products!$G$43+Products!$G$19+Products!$G$43*Products!$G$22+Products!$G$44),""),""))</f>
        <v/>
      </c>
      <c r="BE326" s="153">
        <f>IF($B326=1,$G$54,IF(N(Vintage_Input!Q278)&gt;0,IFERROR((Vintage_Input!I278+Vintage_Input!AW278)/$C326+Products!$G$14-(Products!$G$43+Products!$G$19+Products!$G$43*Products!$G$22+Products!$G$44),""),""))</f>
        <v/>
      </c>
      <c r="BF326" s="153">
        <f>IF($B326=1,$H$54,IF(N(Vintage_Input!R278)&gt;0,IFERROR((Vintage_Input!J278+Vintage_Input!AX278)/$C326+Products!$G$14-(Products!$G$43+Products!$G$19+Products!$G$43*Products!$G$22+Products!$G$44),""),""))</f>
        <v/>
      </c>
      <c r="BG326" s="153">
        <f>IF($B326=1,$I$54,IF(N(Vintage_Input!S278)&gt;0,IFERROR((Vintage_Input!K278+Vintage_Input!AY278)/$C326+Products!$G$14-(Products!$G$43+Products!$G$19+Products!$G$43*Products!$G$22+Products!$G$44),""),""))</f>
        <v/>
      </c>
      <c r="BH326" s="81">
        <f>IF($B326=1,0,IF(Vintage_Input!$BH$278="","",Vintage_Input!$BH$278))</f>
        <v/>
      </c>
    </row>
    <row r="327">
      <c r="A327" s="23" t="n">
        <v>11</v>
      </c>
      <c r="B327" s="48">
        <f>Vintage_Input!$B$279</f>
        <v/>
      </c>
      <c r="C327" s="41">
        <f>IF(Vintage_Input!$C$279="",0,Vintage_Input!$C$279)</f>
        <v/>
      </c>
      <c r="D327" s="152">
        <f>IF($B327=1,$B$48,IF(N(Vintage_Input!L279)&gt;0,Vintage_Input!D279/Vintage_Input!L279,""))</f>
        <v/>
      </c>
      <c r="E327" s="152">
        <f>IF($B327=1,$C$48,IF(N(Vintage_Input!M279)&gt;0,Vintage_Input!E279/Vintage_Input!M279,""))</f>
        <v/>
      </c>
      <c r="F327" s="152">
        <f>IF($B327=1,$D$48,IF(N(Vintage_Input!N279)&gt;0,Vintage_Input!F279/Vintage_Input!N279,""))</f>
        <v/>
      </c>
      <c r="G327" s="152">
        <f>IF($B327=1,$E$48,IF(N(Vintage_Input!O279)&gt;0,Vintage_Input!G279/Vintage_Input!O279,""))</f>
        <v/>
      </c>
      <c r="H327" s="152">
        <f>IF($B327=1,$F$48,IF(N(Vintage_Input!P279)&gt;0,Vintage_Input!H279/Vintage_Input!P279,""))</f>
        <v/>
      </c>
      <c r="I327" s="152">
        <f>IF($B327=1,$G$48,IF(N(Vintage_Input!Q279)&gt;0,Vintage_Input!I279/Vintage_Input!Q279,""))</f>
        <v/>
      </c>
      <c r="J327" s="152">
        <f>IF($B327=1,$H$48,IF(N(Vintage_Input!R279)&gt;0,Vintage_Input!J279/Vintage_Input!R279,""))</f>
        <v/>
      </c>
      <c r="K327" s="152">
        <f>IF($B327=1,$I$48,IF(N(Vintage_Input!S279)&gt;0,Vintage_Input!K279/Vintage_Input!S279,""))</f>
        <v/>
      </c>
      <c r="L327" s="152">
        <f>IF($B327=1,$B$49,IF(N(Vintage_Input!L279)&gt;0,Vintage_Input!T279/Vintage_Input!L279,""))</f>
        <v/>
      </c>
      <c r="M327" s="152">
        <f>IF($B327=1,$C$49,IF(N(Vintage_Input!M279)&gt;0,Vintage_Input!U279/Vintage_Input!M279,""))</f>
        <v/>
      </c>
      <c r="N327" s="152">
        <f>IF($B327=1,$D$49,IF(N(Vintage_Input!N279)&gt;0,Vintage_Input!V279/Vintage_Input!N279,""))</f>
        <v/>
      </c>
      <c r="O327" s="152">
        <f>IF($B327=1,$E$49,IF(N(Vintage_Input!O279)&gt;0,Vintage_Input!W279/Vintage_Input!O279,""))</f>
        <v/>
      </c>
      <c r="P327" s="152">
        <f>IF($B327=1,$F$49,IF(N(Vintage_Input!P279)&gt;0,Vintage_Input!X279/Vintage_Input!P279,""))</f>
        <v/>
      </c>
      <c r="Q327" s="152">
        <f>IF($B327=1,$G$49,IF(N(Vintage_Input!Q279)&gt;0,Vintage_Input!Y279/Vintage_Input!Q279,""))</f>
        <v/>
      </c>
      <c r="R327" s="152">
        <f>IF($B327=1,$H$49,IF(N(Vintage_Input!R279)&gt;0,Vintage_Input!Z279/Vintage_Input!R279,""))</f>
        <v/>
      </c>
      <c r="S327" s="152">
        <f>IF($B327=1,$I$49,IF(N(Vintage_Input!S279)&gt;0,Vintage_Input!AA279/Vintage_Input!S279,""))</f>
        <v/>
      </c>
      <c r="T327" s="152">
        <f>IF($B327=1,$B$50,IF(N(Vintage_Input!L279)&gt;0,Vintage_Input!AB279/Vintage_Input!L279,""))</f>
        <v/>
      </c>
      <c r="U327" s="152">
        <f>IF($B327=1,$C$50,IF(N(Vintage_Input!M279)&gt;0,Vintage_Input!AC279/Vintage_Input!M279,""))</f>
        <v/>
      </c>
      <c r="V327" s="152">
        <f>IF($B327=1,$D$50,IF(N(Vintage_Input!N279)&gt;0,Vintage_Input!AD279/Vintage_Input!N279,""))</f>
        <v/>
      </c>
      <c r="W327" s="152">
        <f>IF($B327=1,$E$50,IF(N(Vintage_Input!O279)&gt;0,Vintage_Input!AE279/Vintage_Input!O279,""))</f>
        <v/>
      </c>
      <c r="X327" s="152">
        <f>IF($B327=1,$F$50,IF(N(Vintage_Input!P279)&gt;0,Vintage_Input!AF279/Vintage_Input!P279,""))</f>
        <v/>
      </c>
      <c r="Y327" s="152">
        <f>IF($B327=1,$G$50,IF(N(Vintage_Input!Q279)&gt;0,Vintage_Input!AG279/Vintage_Input!Q279,""))</f>
        <v/>
      </c>
      <c r="Z327" s="152">
        <f>IF($B327=1,$H$50,IF(N(Vintage_Input!R279)&gt;0,Vintage_Input!AH279/Vintage_Input!R279,""))</f>
        <v/>
      </c>
      <c r="AA327" s="152">
        <f>IF($B327=1,$I$50,IF(N(Vintage_Input!S279)&gt;0,Vintage_Input!AI279/Vintage_Input!S279,""))</f>
        <v/>
      </c>
      <c r="AB327" s="152">
        <f>IF($B327=1,$B$51,IF(N(Vintage_Input!L279)&gt;0,Vintage_Input!AJ279/Vintage_Input!L279,""))</f>
        <v/>
      </c>
      <c r="AC327" s="152">
        <f>IF($B327=1,$C$51,IF(N(Vintage_Input!M279)&gt;0,Vintage_Input!AK279/Vintage_Input!M279,""))</f>
        <v/>
      </c>
      <c r="AD327" s="152">
        <f>IF($B327=1,$D$51,IF(N(Vintage_Input!N279)&gt;0,Vintage_Input!AL279/Vintage_Input!N279,""))</f>
        <v/>
      </c>
      <c r="AE327" s="152">
        <f>IF($B327=1,$E$51,IF(N(Vintage_Input!O279)&gt;0,Vintage_Input!AM279/Vintage_Input!O279,""))</f>
        <v/>
      </c>
      <c r="AF327" s="152">
        <f>IF($B327=1,$F$51,IF(N(Vintage_Input!P279)&gt;0,Vintage_Input!AN279/Vintage_Input!P279,""))</f>
        <v/>
      </c>
      <c r="AG327" s="152">
        <f>IF($B327=1,$G$51,IF(N(Vintage_Input!Q279)&gt;0,Vintage_Input!AO279/Vintage_Input!Q279,""))</f>
        <v/>
      </c>
      <c r="AH327" s="152">
        <f>IF($B327=1,$H$51,IF(N(Vintage_Input!R279)&gt;0,Vintage_Input!AP279/Vintage_Input!R279,""))</f>
        <v/>
      </c>
      <c r="AI327" s="152">
        <f>IF($B327=1,$I$51,IF(N(Vintage_Input!S279)&gt;0,Vintage_Input!AQ279/Vintage_Input!S279,""))</f>
        <v/>
      </c>
      <c r="AJ327" s="152">
        <f>IF($B327=1,$B$52,IF(N(Vintage_Input!L279)&gt;0,IFERROR(Vintage_Input!AR279/Vintage_Input!AJ279,""),""))</f>
        <v/>
      </c>
      <c r="AK327" s="152">
        <f>IF($B327=1,$C$52,IF(N(Vintage_Input!M279)&gt;0,IFERROR(Vintage_Input!AS279/Vintage_Input!AK279,""),""))</f>
        <v/>
      </c>
      <c r="AL327" s="152">
        <f>IF($B327=1,$D$52,IF(N(Vintage_Input!N279)&gt;0,IFERROR(Vintage_Input!AT279/Vintage_Input!AL279,""),""))</f>
        <v/>
      </c>
      <c r="AM327" s="152">
        <f>IF($B327=1,$E$52,IF(N(Vintage_Input!O279)&gt;0,IFERROR(Vintage_Input!AU279/Vintage_Input!AM279,""),""))</f>
        <v/>
      </c>
      <c r="AN327" s="152">
        <f>IF($B327=1,$F$52,IF(N(Vintage_Input!P279)&gt;0,IFERROR(Vintage_Input!AV279/Vintage_Input!AN279,""),""))</f>
        <v/>
      </c>
      <c r="AO327" s="152">
        <f>IF($B327=1,$G$52,IF(N(Vintage_Input!Q279)&gt;0,IFERROR(Vintage_Input!AW279/Vintage_Input!AO279,""),""))</f>
        <v/>
      </c>
      <c r="AP327" s="152">
        <f>IF($B327=1,$H$52,IF(N(Vintage_Input!R279)&gt;0,IFERROR(Vintage_Input!AX279/Vintage_Input!AP279,""),""))</f>
        <v/>
      </c>
      <c r="AQ327" s="152">
        <f>IF($B327=1,$I$52,IF(N(Vintage_Input!S279)&gt;0,IFERROR(Vintage_Input!AY279/Vintage_Input!AQ279,""),""))</f>
        <v/>
      </c>
      <c r="AR327" s="152">
        <f>IF($B327=1,$B$53,IF(N(Vintage_Input!L279)&gt;0,IFERROR(Vintage_Input!AZ279/$C327,""),""))</f>
        <v/>
      </c>
      <c r="AS327" s="152">
        <f>IF($B327=1,$C$53,IF(N(Vintage_Input!M279)&gt;0,IFERROR(Vintage_Input!BA279/$C327,""),""))</f>
        <v/>
      </c>
      <c r="AT327" s="152">
        <f>IF($B327=1,$D$53,IF(N(Vintage_Input!N279)&gt;0,IFERROR(Vintage_Input!BB279/$C327,""),""))</f>
        <v/>
      </c>
      <c r="AU327" s="152">
        <f>IF($B327=1,$E$53,IF(N(Vintage_Input!O279)&gt;0,IFERROR(Vintage_Input!BC279/$C327,""),""))</f>
        <v/>
      </c>
      <c r="AV327" s="152">
        <f>IF($B327=1,$F$53,IF(N(Vintage_Input!P279)&gt;0,IFERROR(Vintage_Input!BD279/$C327,""),""))</f>
        <v/>
      </c>
      <c r="AW327" s="152">
        <f>IF($B327=1,$G$53,IF(N(Vintage_Input!Q279)&gt;0,IFERROR(Vintage_Input!BE279/$C327,""),""))</f>
        <v/>
      </c>
      <c r="AX327" s="152">
        <f>IF($B327=1,$H$53,IF(N(Vintage_Input!R279)&gt;0,IFERROR(Vintage_Input!BF279/$C327,""),""))</f>
        <v/>
      </c>
      <c r="AY327" s="152">
        <f>IF($B327=1,$I$53,IF(N(Vintage_Input!S279)&gt;0,IFERROR(Vintage_Input!BG279/$C327,""),""))</f>
        <v/>
      </c>
      <c r="AZ327" s="153">
        <f>IF($B327=1,$B$54,IF(N(Vintage_Input!L279)&gt;0,IFERROR((Vintage_Input!D279+Vintage_Input!AR279)/$C327+Products!$G$14-(Products!$G$43+Products!$G$19+Products!$G$43*Products!$G$22+Products!$G$44),""),""))</f>
        <v/>
      </c>
      <c r="BA327" s="153">
        <f>IF($B327=1,$C$54,IF(N(Vintage_Input!M279)&gt;0,IFERROR((Vintage_Input!E279+Vintage_Input!AS279)/$C327+Products!$G$14-(Products!$G$43+Products!$G$19+Products!$G$43*Products!$G$22+Products!$G$44),""),""))</f>
        <v/>
      </c>
      <c r="BB327" s="153">
        <f>IF($B327=1,$D$54,IF(N(Vintage_Input!N279)&gt;0,IFERROR((Vintage_Input!F279+Vintage_Input!AT279)/$C327+Products!$G$14-(Products!$G$43+Products!$G$19+Products!$G$43*Products!$G$22+Products!$G$44),""),""))</f>
        <v/>
      </c>
      <c r="BC327" s="153">
        <f>IF($B327=1,$E$54,IF(N(Vintage_Input!O279)&gt;0,IFERROR((Vintage_Input!G279+Vintage_Input!AU279)/$C327+Products!$G$14-(Products!$G$43+Products!$G$19+Products!$G$43*Products!$G$22+Products!$G$44),""),""))</f>
        <v/>
      </c>
      <c r="BD327" s="153">
        <f>IF($B327=1,$F$54,IF(N(Vintage_Input!P279)&gt;0,IFERROR((Vintage_Input!H279+Vintage_Input!AV279)/$C327+Products!$G$14-(Products!$G$43+Products!$G$19+Products!$G$43*Products!$G$22+Products!$G$44),""),""))</f>
        <v/>
      </c>
      <c r="BE327" s="153">
        <f>IF($B327=1,$G$54,IF(N(Vintage_Input!Q279)&gt;0,IFERROR((Vintage_Input!I279+Vintage_Input!AW279)/$C327+Products!$G$14-(Products!$G$43+Products!$G$19+Products!$G$43*Products!$G$22+Products!$G$44),""),""))</f>
        <v/>
      </c>
      <c r="BF327" s="153">
        <f>IF($B327=1,$H$54,IF(N(Vintage_Input!R279)&gt;0,IFERROR((Vintage_Input!J279+Vintage_Input!AX279)/$C327+Products!$G$14-(Products!$G$43+Products!$G$19+Products!$G$43*Products!$G$22+Products!$G$44),""),""))</f>
        <v/>
      </c>
      <c r="BG327" s="153">
        <f>IF($B327=1,$I$54,IF(N(Vintage_Input!S279)&gt;0,IFERROR((Vintage_Input!K279+Vintage_Input!AY279)/$C327+Products!$G$14-(Products!$G$43+Products!$G$19+Products!$G$43*Products!$G$22+Products!$G$44),""),""))</f>
        <v/>
      </c>
      <c r="BH327" s="81">
        <f>IF($B327=1,0,IF(Vintage_Input!$BH$279="","",Vintage_Input!$BH$279))</f>
        <v/>
      </c>
    </row>
    <row r="328">
      <c r="A328" s="23" t="n">
        <v>12</v>
      </c>
      <c r="B328" s="48">
        <f>Vintage_Input!$B$280</f>
        <v/>
      </c>
      <c r="C328" s="41">
        <f>IF(Vintage_Input!$C$280="",0,Vintage_Input!$C$280)</f>
        <v/>
      </c>
      <c r="D328" s="152">
        <f>IF($B328=1,$B$48,IF(N(Vintage_Input!L280)&gt;0,Vintage_Input!D280/Vintage_Input!L280,""))</f>
        <v/>
      </c>
      <c r="E328" s="152">
        <f>IF($B328=1,$C$48,IF(N(Vintage_Input!M280)&gt;0,Vintage_Input!E280/Vintage_Input!M280,""))</f>
        <v/>
      </c>
      <c r="F328" s="152">
        <f>IF($B328=1,$D$48,IF(N(Vintage_Input!N280)&gt;0,Vintage_Input!F280/Vintage_Input!N280,""))</f>
        <v/>
      </c>
      <c r="G328" s="152">
        <f>IF($B328=1,$E$48,IF(N(Vintage_Input!O280)&gt;0,Vintage_Input!G280/Vintage_Input!O280,""))</f>
        <v/>
      </c>
      <c r="H328" s="152">
        <f>IF($B328=1,$F$48,IF(N(Vintage_Input!P280)&gt;0,Vintage_Input!H280/Vintage_Input!P280,""))</f>
        <v/>
      </c>
      <c r="I328" s="152">
        <f>IF($B328=1,$G$48,IF(N(Vintage_Input!Q280)&gt;0,Vintage_Input!I280/Vintage_Input!Q280,""))</f>
        <v/>
      </c>
      <c r="J328" s="152">
        <f>IF($B328=1,$H$48,IF(N(Vintage_Input!R280)&gt;0,Vintage_Input!J280/Vintage_Input!R280,""))</f>
        <v/>
      </c>
      <c r="K328" s="152">
        <f>IF($B328=1,$I$48,IF(N(Vintage_Input!S280)&gt;0,Vintage_Input!K280/Vintage_Input!S280,""))</f>
        <v/>
      </c>
      <c r="L328" s="152">
        <f>IF($B328=1,$B$49,IF(N(Vintage_Input!L280)&gt;0,Vintage_Input!T280/Vintage_Input!L280,""))</f>
        <v/>
      </c>
      <c r="M328" s="152">
        <f>IF($B328=1,$C$49,IF(N(Vintage_Input!M280)&gt;0,Vintage_Input!U280/Vintage_Input!M280,""))</f>
        <v/>
      </c>
      <c r="N328" s="152">
        <f>IF($B328=1,$D$49,IF(N(Vintage_Input!N280)&gt;0,Vintage_Input!V280/Vintage_Input!N280,""))</f>
        <v/>
      </c>
      <c r="O328" s="152">
        <f>IF($B328=1,$E$49,IF(N(Vintage_Input!O280)&gt;0,Vintage_Input!W280/Vintage_Input!O280,""))</f>
        <v/>
      </c>
      <c r="P328" s="152">
        <f>IF($B328=1,$F$49,IF(N(Vintage_Input!P280)&gt;0,Vintage_Input!X280/Vintage_Input!P280,""))</f>
        <v/>
      </c>
      <c r="Q328" s="152">
        <f>IF($B328=1,$G$49,IF(N(Vintage_Input!Q280)&gt;0,Vintage_Input!Y280/Vintage_Input!Q280,""))</f>
        <v/>
      </c>
      <c r="R328" s="152">
        <f>IF($B328=1,$H$49,IF(N(Vintage_Input!R280)&gt;0,Vintage_Input!Z280/Vintage_Input!R280,""))</f>
        <v/>
      </c>
      <c r="S328" s="152">
        <f>IF($B328=1,$I$49,IF(N(Vintage_Input!S280)&gt;0,Vintage_Input!AA280/Vintage_Input!S280,""))</f>
        <v/>
      </c>
      <c r="T328" s="152">
        <f>IF($B328=1,$B$50,IF(N(Vintage_Input!L280)&gt;0,Vintage_Input!AB280/Vintage_Input!L280,""))</f>
        <v/>
      </c>
      <c r="U328" s="152">
        <f>IF($B328=1,$C$50,IF(N(Vintage_Input!M280)&gt;0,Vintage_Input!AC280/Vintage_Input!M280,""))</f>
        <v/>
      </c>
      <c r="V328" s="152">
        <f>IF($B328=1,$D$50,IF(N(Vintage_Input!N280)&gt;0,Vintage_Input!AD280/Vintage_Input!N280,""))</f>
        <v/>
      </c>
      <c r="W328" s="152">
        <f>IF($B328=1,$E$50,IF(N(Vintage_Input!O280)&gt;0,Vintage_Input!AE280/Vintage_Input!O280,""))</f>
        <v/>
      </c>
      <c r="X328" s="152">
        <f>IF($B328=1,$F$50,IF(N(Vintage_Input!P280)&gt;0,Vintage_Input!AF280/Vintage_Input!P280,""))</f>
        <v/>
      </c>
      <c r="Y328" s="152">
        <f>IF($B328=1,$G$50,IF(N(Vintage_Input!Q280)&gt;0,Vintage_Input!AG280/Vintage_Input!Q280,""))</f>
        <v/>
      </c>
      <c r="Z328" s="152">
        <f>IF($B328=1,$H$50,IF(N(Vintage_Input!R280)&gt;0,Vintage_Input!AH280/Vintage_Input!R280,""))</f>
        <v/>
      </c>
      <c r="AA328" s="152">
        <f>IF($B328=1,$I$50,IF(N(Vintage_Input!S280)&gt;0,Vintage_Input!AI280/Vintage_Input!S280,""))</f>
        <v/>
      </c>
      <c r="AB328" s="152">
        <f>IF($B328=1,$B$51,IF(N(Vintage_Input!L280)&gt;0,Vintage_Input!AJ280/Vintage_Input!L280,""))</f>
        <v/>
      </c>
      <c r="AC328" s="152">
        <f>IF($B328=1,$C$51,IF(N(Vintage_Input!M280)&gt;0,Vintage_Input!AK280/Vintage_Input!M280,""))</f>
        <v/>
      </c>
      <c r="AD328" s="152">
        <f>IF($B328=1,$D$51,IF(N(Vintage_Input!N280)&gt;0,Vintage_Input!AL280/Vintage_Input!N280,""))</f>
        <v/>
      </c>
      <c r="AE328" s="152">
        <f>IF($B328=1,$E$51,IF(N(Vintage_Input!O280)&gt;0,Vintage_Input!AM280/Vintage_Input!O280,""))</f>
        <v/>
      </c>
      <c r="AF328" s="152">
        <f>IF($B328=1,$F$51,IF(N(Vintage_Input!P280)&gt;0,Vintage_Input!AN280/Vintage_Input!P280,""))</f>
        <v/>
      </c>
      <c r="AG328" s="152">
        <f>IF($B328=1,$G$51,IF(N(Vintage_Input!Q280)&gt;0,Vintage_Input!AO280/Vintage_Input!Q280,""))</f>
        <v/>
      </c>
      <c r="AH328" s="152">
        <f>IF($B328=1,$H$51,IF(N(Vintage_Input!R280)&gt;0,Vintage_Input!AP280/Vintage_Input!R280,""))</f>
        <v/>
      </c>
      <c r="AI328" s="152">
        <f>IF($B328=1,$I$51,IF(N(Vintage_Input!S280)&gt;0,Vintage_Input!AQ280/Vintage_Input!S280,""))</f>
        <v/>
      </c>
      <c r="AJ328" s="152">
        <f>IF($B328=1,$B$52,IF(N(Vintage_Input!L280)&gt;0,IFERROR(Vintage_Input!AR280/Vintage_Input!AJ280,""),""))</f>
        <v/>
      </c>
      <c r="AK328" s="152">
        <f>IF($B328=1,$C$52,IF(N(Vintage_Input!M280)&gt;0,IFERROR(Vintage_Input!AS280/Vintage_Input!AK280,""),""))</f>
        <v/>
      </c>
      <c r="AL328" s="152">
        <f>IF($B328=1,$D$52,IF(N(Vintage_Input!N280)&gt;0,IFERROR(Vintage_Input!AT280/Vintage_Input!AL280,""),""))</f>
        <v/>
      </c>
      <c r="AM328" s="152">
        <f>IF($B328=1,$E$52,IF(N(Vintage_Input!O280)&gt;0,IFERROR(Vintage_Input!AU280/Vintage_Input!AM280,""),""))</f>
        <v/>
      </c>
      <c r="AN328" s="152">
        <f>IF($B328=1,$F$52,IF(N(Vintage_Input!P280)&gt;0,IFERROR(Vintage_Input!AV280/Vintage_Input!AN280,""),""))</f>
        <v/>
      </c>
      <c r="AO328" s="152">
        <f>IF($B328=1,$G$52,IF(N(Vintage_Input!Q280)&gt;0,IFERROR(Vintage_Input!AW280/Vintage_Input!AO280,""),""))</f>
        <v/>
      </c>
      <c r="AP328" s="152">
        <f>IF($B328=1,$H$52,IF(N(Vintage_Input!R280)&gt;0,IFERROR(Vintage_Input!AX280/Vintage_Input!AP280,""),""))</f>
        <v/>
      </c>
      <c r="AQ328" s="152">
        <f>IF($B328=1,$I$52,IF(N(Vintage_Input!S280)&gt;0,IFERROR(Vintage_Input!AY280/Vintage_Input!AQ280,""),""))</f>
        <v/>
      </c>
      <c r="AR328" s="152">
        <f>IF($B328=1,$B$53,IF(N(Vintage_Input!L280)&gt;0,IFERROR(Vintage_Input!AZ280/$C328,""),""))</f>
        <v/>
      </c>
      <c r="AS328" s="152">
        <f>IF($B328=1,$C$53,IF(N(Vintage_Input!M280)&gt;0,IFERROR(Vintage_Input!BA280/$C328,""),""))</f>
        <v/>
      </c>
      <c r="AT328" s="152">
        <f>IF($B328=1,$D$53,IF(N(Vintage_Input!N280)&gt;0,IFERROR(Vintage_Input!BB280/$C328,""),""))</f>
        <v/>
      </c>
      <c r="AU328" s="152">
        <f>IF($B328=1,$E$53,IF(N(Vintage_Input!O280)&gt;0,IFERROR(Vintage_Input!BC280/$C328,""),""))</f>
        <v/>
      </c>
      <c r="AV328" s="152">
        <f>IF($B328=1,$F$53,IF(N(Vintage_Input!P280)&gt;0,IFERROR(Vintage_Input!BD280/$C328,""),""))</f>
        <v/>
      </c>
      <c r="AW328" s="152">
        <f>IF($B328=1,$G$53,IF(N(Vintage_Input!Q280)&gt;0,IFERROR(Vintage_Input!BE280/$C328,""),""))</f>
        <v/>
      </c>
      <c r="AX328" s="152">
        <f>IF($B328=1,$H$53,IF(N(Vintage_Input!R280)&gt;0,IFERROR(Vintage_Input!BF280/$C328,""),""))</f>
        <v/>
      </c>
      <c r="AY328" s="152">
        <f>IF($B328=1,$I$53,IF(N(Vintage_Input!S280)&gt;0,IFERROR(Vintage_Input!BG280/$C328,""),""))</f>
        <v/>
      </c>
      <c r="AZ328" s="153">
        <f>IF($B328=1,$B$54,IF(N(Vintage_Input!L280)&gt;0,IFERROR((Vintage_Input!D280+Vintage_Input!AR280)/$C328+Products!$G$14-(Products!$G$43+Products!$G$19+Products!$G$43*Products!$G$22+Products!$G$44),""),""))</f>
        <v/>
      </c>
      <c r="BA328" s="153">
        <f>IF($B328=1,$C$54,IF(N(Vintage_Input!M280)&gt;0,IFERROR((Vintage_Input!E280+Vintage_Input!AS280)/$C328+Products!$G$14-(Products!$G$43+Products!$G$19+Products!$G$43*Products!$G$22+Products!$G$44),""),""))</f>
        <v/>
      </c>
      <c r="BB328" s="153">
        <f>IF($B328=1,$D$54,IF(N(Vintage_Input!N280)&gt;0,IFERROR((Vintage_Input!F280+Vintage_Input!AT280)/$C328+Products!$G$14-(Products!$G$43+Products!$G$19+Products!$G$43*Products!$G$22+Products!$G$44),""),""))</f>
        <v/>
      </c>
      <c r="BC328" s="153">
        <f>IF($B328=1,$E$54,IF(N(Vintage_Input!O280)&gt;0,IFERROR((Vintage_Input!G280+Vintage_Input!AU280)/$C328+Products!$G$14-(Products!$G$43+Products!$G$19+Products!$G$43*Products!$G$22+Products!$G$44),""),""))</f>
        <v/>
      </c>
      <c r="BD328" s="153">
        <f>IF($B328=1,$F$54,IF(N(Vintage_Input!P280)&gt;0,IFERROR((Vintage_Input!H280+Vintage_Input!AV280)/$C328+Products!$G$14-(Products!$G$43+Products!$G$19+Products!$G$43*Products!$G$22+Products!$G$44),""),""))</f>
        <v/>
      </c>
      <c r="BE328" s="153">
        <f>IF($B328=1,$G$54,IF(N(Vintage_Input!Q280)&gt;0,IFERROR((Vintage_Input!I280+Vintage_Input!AW280)/$C328+Products!$G$14-(Products!$G$43+Products!$G$19+Products!$G$43*Products!$G$22+Products!$G$44),""),""))</f>
        <v/>
      </c>
      <c r="BF328" s="153">
        <f>IF($B328=1,$H$54,IF(N(Vintage_Input!R280)&gt;0,IFERROR((Vintage_Input!J280+Vintage_Input!AX280)/$C328+Products!$G$14-(Products!$G$43+Products!$G$19+Products!$G$43*Products!$G$22+Products!$G$44),""),""))</f>
        <v/>
      </c>
      <c r="BG328" s="153">
        <f>IF($B328=1,$I$54,IF(N(Vintage_Input!S280)&gt;0,IFERROR((Vintage_Input!K280+Vintage_Input!AY280)/$C328+Products!$G$14-(Products!$G$43+Products!$G$19+Products!$G$43*Products!$G$22+Products!$G$44),""),""))</f>
        <v/>
      </c>
      <c r="BH328" s="81">
        <f>IF($B328=1,0,IF(Vintage_Input!$BH$280="","",Vintage_Input!$BH$280))</f>
        <v/>
      </c>
    </row>
    <row r="329">
      <c r="A329" s="23" t="n">
        <v>13</v>
      </c>
      <c r="B329" s="48">
        <f>Vintage_Input!$B$281</f>
        <v/>
      </c>
      <c r="C329" s="41">
        <f>IF(Vintage_Input!$C$281="",0,Vintage_Input!$C$281)</f>
        <v/>
      </c>
      <c r="D329" s="152">
        <f>IF($B329=1,$B$48,IF(N(Vintage_Input!L281)&gt;0,Vintage_Input!D281/Vintage_Input!L281,""))</f>
        <v/>
      </c>
      <c r="E329" s="152">
        <f>IF($B329=1,$C$48,IF(N(Vintage_Input!M281)&gt;0,Vintage_Input!E281/Vintage_Input!M281,""))</f>
        <v/>
      </c>
      <c r="F329" s="152">
        <f>IF($B329=1,$D$48,IF(N(Vintage_Input!N281)&gt;0,Vintage_Input!F281/Vintage_Input!N281,""))</f>
        <v/>
      </c>
      <c r="G329" s="152">
        <f>IF($B329=1,$E$48,IF(N(Vintage_Input!O281)&gt;0,Vintage_Input!G281/Vintage_Input!O281,""))</f>
        <v/>
      </c>
      <c r="H329" s="152">
        <f>IF($B329=1,$F$48,IF(N(Vintage_Input!P281)&gt;0,Vintage_Input!H281/Vintage_Input!P281,""))</f>
        <v/>
      </c>
      <c r="I329" s="152">
        <f>IF($B329=1,$G$48,IF(N(Vintage_Input!Q281)&gt;0,Vintage_Input!I281/Vintage_Input!Q281,""))</f>
        <v/>
      </c>
      <c r="J329" s="152">
        <f>IF($B329=1,$H$48,IF(N(Vintage_Input!R281)&gt;0,Vintage_Input!J281/Vintage_Input!R281,""))</f>
        <v/>
      </c>
      <c r="K329" s="152">
        <f>IF($B329=1,$I$48,IF(N(Vintage_Input!S281)&gt;0,Vintage_Input!K281/Vintage_Input!S281,""))</f>
        <v/>
      </c>
      <c r="L329" s="152">
        <f>IF($B329=1,$B$49,IF(N(Vintage_Input!L281)&gt;0,Vintage_Input!T281/Vintage_Input!L281,""))</f>
        <v/>
      </c>
      <c r="M329" s="152">
        <f>IF($B329=1,$C$49,IF(N(Vintage_Input!M281)&gt;0,Vintage_Input!U281/Vintage_Input!M281,""))</f>
        <v/>
      </c>
      <c r="N329" s="152">
        <f>IF($B329=1,$D$49,IF(N(Vintage_Input!N281)&gt;0,Vintage_Input!V281/Vintage_Input!N281,""))</f>
        <v/>
      </c>
      <c r="O329" s="152">
        <f>IF($B329=1,$E$49,IF(N(Vintage_Input!O281)&gt;0,Vintage_Input!W281/Vintage_Input!O281,""))</f>
        <v/>
      </c>
      <c r="P329" s="152">
        <f>IF($B329=1,$F$49,IF(N(Vintage_Input!P281)&gt;0,Vintage_Input!X281/Vintage_Input!P281,""))</f>
        <v/>
      </c>
      <c r="Q329" s="152">
        <f>IF($B329=1,$G$49,IF(N(Vintage_Input!Q281)&gt;0,Vintage_Input!Y281/Vintage_Input!Q281,""))</f>
        <v/>
      </c>
      <c r="R329" s="152">
        <f>IF($B329=1,$H$49,IF(N(Vintage_Input!R281)&gt;0,Vintage_Input!Z281/Vintage_Input!R281,""))</f>
        <v/>
      </c>
      <c r="S329" s="152">
        <f>IF($B329=1,$I$49,IF(N(Vintage_Input!S281)&gt;0,Vintage_Input!AA281/Vintage_Input!S281,""))</f>
        <v/>
      </c>
      <c r="T329" s="152">
        <f>IF($B329=1,$B$50,IF(N(Vintage_Input!L281)&gt;0,Vintage_Input!AB281/Vintage_Input!L281,""))</f>
        <v/>
      </c>
      <c r="U329" s="152">
        <f>IF($B329=1,$C$50,IF(N(Vintage_Input!M281)&gt;0,Vintage_Input!AC281/Vintage_Input!M281,""))</f>
        <v/>
      </c>
      <c r="V329" s="152">
        <f>IF($B329=1,$D$50,IF(N(Vintage_Input!N281)&gt;0,Vintage_Input!AD281/Vintage_Input!N281,""))</f>
        <v/>
      </c>
      <c r="W329" s="152">
        <f>IF($B329=1,$E$50,IF(N(Vintage_Input!O281)&gt;0,Vintage_Input!AE281/Vintage_Input!O281,""))</f>
        <v/>
      </c>
      <c r="X329" s="152">
        <f>IF($B329=1,$F$50,IF(N(Vintage_Input!P281)&gt;0,Vintage_Input!AF281/Vintage_Input!P281,""))</f>
        <v/>
      </c>
      <c r="Y329" s="152">
        <f>IF($B329=1,$G$50,IF(N(Vintage_Input!Q281)&gt;0,Vintage_Input!AG281/Vintage_Input!Q281,""))</f>
        <v/>
      </c>
      <c r="Z329" s="152">
        <f>IF($B329=1,$H$50,IF(N(Vintage_Input!R281)&gt;0,Vintage_Input!AH281/Vintage_Input!R281,""))</f>
        <v/>
      </c>
      <c r="AA329" s="152">
        <f>IF($B329=1,$I$50,IF(N(Vintage_Input!S281)&gt;0,Vintage_Input!AI281/Vintage_Input!S281,""))</f>
        <v/>
      </c>
      <c r="AB329" s="152">
        <f>IF($B329=1,$B$51,IF(N(Vintage_Input!L281)&gt;0,Vintage_Input!AJ281/Vintage_Input!L281,""))</f>
        <v/>
      </c>
      <c r="AC329" s="152">
        <f>IF($B329=1,$C$51,IF(N(Vintage_Input!M281)&gt;0,Vintage_Input!AK281/Vintage_Input!M281,""))</f>
        <v/>
      </c>
      <c r="AD329" s="152">
        <f>IF($B329=1,$D$51,IF(N(Vintage_Input!N281)&gt;0,Vintage_Input!AL281/Vintage_Input!N281,""))</f>
        <v/>
      </c>
      <c r="AE329" s="152">
        <f>IF($B329=1,$E$51,IF(N(Vintage_Input!O281)&gt;0,Vintage_Input!AM281/Vintage_Input!O281,""))</f>
        <v/>
      </c>
      <c r="AF329" s="152">
        <f>IF($B329=1,$F$51,IF(N(Vintage_Input!P281)&gt;0,Vintage_Input!AN281/Vintage_Input!P281,""))</f>
        <v/>
      </c>
      <c r="AG329" s="152">
        <f>IF($B329=1,$G$51,IF(N(Vintage_Input!Q281)&gt;0,Vintage_Input!AO281/Vintage_Input!Q281,""))</f>
        <v/>
      </c>
      <c r="AH329" s="152">
        <f>IF($B329=1,$H$51,IF(N(Vintage_Input!R281)&gt;0,Vintage_Input!AP281/Vintage_Input!R281,""))</f>
        <v/>
      </c>
      <c r="AI329" s="152">
        <f>IF($B329=1,$I$51,IF(N(Vintage_Input!S281)&gt;0,Vintage_Input!AQ281/Vintage_Input!S281,""))</f>
        <v/>
      </c>
      <c r="AJ329" s="152">
        <f>IF($B329=1,$B$52,IF(N(Vintage_Input!L281)&gt;0,IFERROR(Vintage_Input!AR281/Vintage_Input!AJ281,""),""))</f>
        <v/>
      </c>
      <c r="AK329" s="152">
        <f>IF($B329=1,$C$52,IF(N(Vintage_Input!M281)&gt;0,IFERROR(Vintage_Input!AS281/Vintage_Input!AK281,""),""))</f>
        <v/>
      </c>
      <c r="AL329" s="152">
        <f>IF($B329=1,$D$52,IF(N(Vintage_Input!N281)&gt;0,IFERROR(Vintage_Input!AT281/Vintage_Input!AL281,""),""))</f>
        <v/>
      </c>
      <c r="AM329" s="152">
        <f>IF($B329=1,$E$52,IF(N(Vintage_Input!O281)&gt;0,IFERROR(Vintage_Input!AU281/Vintage_Input!AM281,""),""))</f>
        <v/>
      </c>
      <c r="AN329" s="152">
        <f>IF($B329=1,$F$52,IF(N(Vintage_Input!P281)&gt;0,IFERROR(Vintage_Input!AV281/Vintage_Input!AN281,""),""))</f>
        <v/>
      </c>
      <c r="AO329" s="152">
        <f>IF($B329=1,$G$52,IF(N(Vintage_Input!Q281)&gt;0,IFERROR(Vintage_Input!AW281/Vintage_Input!AO281,""),""))</f>
        <v/>
      </c>
      <c r="AP329" s="152">
        <f>IF($B329=1,$H$52,IF(N(Vintage_Input!R281)&gt;0,IFERROR(Vintage_Input!AX281/Vintage_Input!AP281,""),""))</f>
        <v/>
      </c>
      <c r="AQ329" s="152">
        <f>IF($B329=1,$I$52,IF(N(Vintage_Input!S281)&gt;0,IFERROR(Vintage_Input!AY281/Vintage_Input!AQ281,""),""))</f>
        <v/>
      </c>
      <c r="AR329" s="152">
        <f>IF($B329=1,$B$53,IF(N(Vintage_Input!L281)&gt;0,IFERROR(Vintage_Input!AZ281/$C329,""),""))</f>
        <v/>
      </c>
      <c r="AS329" s="152">
        <f>IF($B329=1,$C$53,IF(N(Vintage_Input!M281)&gt;0,IFERROR(Vintage_Input!BA281/$C329,""),""))</f>
        <v/>
      </c>
      <c r="AT329" s="152">
        <f>IF($B329=1,$D$53,IF(N(Vintage_Input!N281)&gt;0,IFERROR(Vintage_Input!BB281/$C329,""),""))</f>
        <v/>
      </c>
      <c r="AU329" s="152">
        <f>IF($B329=1,$E$53,IF(N(Vintage_Input!O281)&gt;0,IFERROR(Vintage_Input!BC281/$C329,""),""))</f>
        <v/>
      </c>
      <c r="AV329" s="152">
        <f>IF($B329=1,$F$53,IF(N(Vintage_Input!P281)&gt;0,IFERROR(Vintage_Input!BD281/$C329,""),""))</f>
        <v/>
      </c>
      <c r="AW329" s="152">
        <f>IF($B329=1,$G$53,IF(N(Vintage_Input!Q281)&gt;0,IFERROR(Vintage_Input!BE281/$C329,""),""))</f>
        <v/>
      </c>
      <c r="AX329" s="152">
        <f>IF($B329=1,$H$53,IF(N(Vintage_Input!R281)&gt;0,IFERROR(Vintage_Input!BF281/$C329,""),""))</f>
        <v/>
      </c>
      <c r="AY329" s="152">
        <f>IF($B329=1,$I$53,IF(N(Vintage_Input!S281)&gt;0,IFERROR(Vintage_Input!BG281/$C329,""),""))</f>
        <v/>
      </c>
      <c r="AZ329" s="153">
        <f>IF($B329=1,$B$54,IF(N(Vintage_Input!L281)&gt;0,IFERROR((Vintage_Input!D281+Vintage_Input!AR281)/$C329+Products!$G$14-(Products!$G$43+Products!$G$19+Products!$G$43*Products!$G$22+Products!$G$44),""),""))</f>
        <v/>
      </c>
      <c r="BA329" s="153">
        <f>IF($B329=1,$C$54,IF(N(Vintage_Input!M281)&gt;0,IFERROR((Vintage_Input!E281+Vintage_Input!AS281)/$C329+Products!$G$14-(Products!$G$43+Products!$G$19+Products!$G$43*Products!$G$22+Products!$G$44),""),""))</f>
        <v/>
      </c>
      <c r="BB329" s="153">
        <f>IF($B329=1,$D$54,IF(N(Vintage_Input!N281)&gt;0,IFERROR((Vintage_Input!F281+Vintage_Input!AT281)/$C329+Products!$G$14-(Products!$G$43+Products!$G$19+Products!$G$43*Products!$G$22+Products!$G$44),""),""))</f>
        <v/>
      </c>
      <c r="BC329" s="153">
        <f>IF($B329=1,$E$54,IF(N(Vintage_Input!O281)&gt;0,IFERROR((Vintage_Input!G281+Vintage_Input!AU281)/$C329+Products!$G$14-(Products!$G$43+Products!$G$19+Products!$G$43*Products!$G$22+Products!$G$44),""),""))</f>
        <v/>
      </c>
      <c r="BD329" s="153">
        <f>IF($B329=1,$F$54,IF(N(Vintage_Input!P281)&gt;0,IFERROR((Vintage_Input!H281+Vintage_Input!AV281)/$C329+Products!$G$14-(Products!$G$43+Products!$G$19+Products!$G$43*Products!$G$22+Products!$G$44),""),""))</f>
        <v/>
      </c>
      <c r="BE329" s="153">
        <f>IF($B329=1,$G$54,IF(N(Vintage_Input!Q281)&gt;0,IFERROR((Vintage_Input!I281+Vintage_Input!AW281)/$C329+Products!$G$14-(Products!$G$43+Products!$G$19+Products!$G$43*Products!$G$22+Products!$G$44),""),""))</f>
        <v/>
      </c>
      <c r="BF329" s="153">
        <f>IF($B329=1,$H$54,IF(N(Vintage_Input!R281)&gt;0,IFERROR((Vintage_Input!J281+Vintage_Input!AX281)/$C329+Products!$G$14-(Products!$G$43+Products!$G$19+Products!$G$43*Products!$G$22+Products!$G$44),""),""))</f>
        <v/>
      </c>
      <c r="BG329" s="153">
        <f>IF($B329=1,$I$54,IF(N(Vintage_Input!S281)&gt;0,IFERROR((Vintage_Input!K281+Vintage_Input!AY281)/$C329+Products!$G$14-(Products!$G$43+Products!$G$19+Products!$G$43*Products!$G$22+Products!$G$44),""),""))</f>
        <v/>
      </c>
      <c r="BH329" s="81">
        <f>IF($B329=1,0,IF(Vintage_Input!$BH$281="","",Vintage_Input!$BH$281))</f>
        <v/>
      </c>
    </row>
    <row r="330">
      <c r="A330" s="23" t="n">
        <v>14</v>
      </c>
      <c r="B330" s="48">
        <f>Vintage_Input!$B$282</f>
        <v/>
      </c>
      <c r="C330" s="41">
        <f>IF(Vintage_Input!$C$282="",0,Vintage_Input!$C$282)</f>
        <v/>
      </c>
      <c r="D330" s="152">
        <f>IF($B330=1,$B$48,IF(N(Vintage_Input!L282)&gt;0,Vintage_Input!D282/Vintage_Input!L282,""))</f>
        <v/>
      </c>
      <c r="E330" s="152">
        <f>IF($B330=1,$C$48,IF(N(Vintage_Input!M282)&gt;0,Vintage_Input!E282/Vintage_Input!M282,""))</f>
        <v/>
      </c>
      <c r="F330" s="152">
        <f>IF($B330=1,$D$48,IF(N(Vintage_Input!N282)&gt;0,Vintage_Input!F282/Vintage_Input!N282,""))</f>
        <v/>
      </c>
      <c r="G330" s="152">
        <f>IF($B330=1,$E$48,IF(N(Vintage_Input!O282)&gt;0,Vintage_Input!G282/Vintage_Input!O282,""))</f>
        <v/>
      </c>
      <c r="H330" s="152">
        <f>IF($B330=1,$F$48,IF(N(Vintage_Input!P282)&gt;0,Vintage_Input!H282/Vintage_Input!P282,""))</f>
        <v/>
      </c>
      <c r="I330" s="152">
        <f>IF($B330=1,$G$48,IF(N(Vintage_Input!Q282)&gt;0,Vintage_Input!I282/Vintage_Input!Q282,""))</f>
        <v/>
      </c>
      <c r="J330" s="152">
        <f>IF($B330=1,$H$48,IF(N(Vintage_Input!R282)&gt;0,Vintage_Input!J282/Vintage_Input!R282,""))</f>
        <v/>
      </c>
      <c r="K330" s="152">
        <f>IF($B330=1,$I$48,IF(N(Vintage_Input!S282)&gt;0,Vintage_Input!K282/Vintage_Input!S282,""))</f>
        <v/>
      </c>
      <c r="L330" s="152">
        <f>IF($B330=1,$B$49,IF(N(Vintage_Input!L282)&gt;0,Vintage_Input!T282/Vintage_Input!L282,""))</f>
        <v/>
      </c>
      <c r="M330" s="152">
        <f>IF($B330=1,$C$49,IF(N(Vintage_Input!M282)&gt;0,Vintage_Input!U282/Vintage_Input!M282,""))</f>
        <v/>
      </c>
      <c r="N330" s="152">
        <f>IF($B330=1,$D$49,IF(N(Vintage_Input!N282)&gt;0,Vintage_Input!V282/Vintage_Input!N282,""))</f>
        <v/>
      </c>
      <c r="O330" s="152">
        <f>IF($B330=1,$E$49,IF(N(Vintage_Input!O282)&gt;0,Vintage_Input!W282/Vintage_Input!O282,""))</f>
        <v/>
      </c>
      <c r="P330" s="152">
        <f>IF($B330=1,$F$49,IF(N(Vintage_Input!P282)&gt;0,Vintage_Input!X282/Vintage_Input!P282,""))</f>
        <v/>
      </c>
      <c r="Q330" s="152">
        <f>IF($B330=1,$G$49,IF(N(Vintage_Input!Q282)&gt;0,Vintage_Input!Y282/Vintage_Input!Q282,""))</f>
        <v/>
      </c>
      <c r="R330" s="152">
        <f>IF($B330=1,$H$49,IF(N(Vintage_Input!R282)&gt;0,Vintage_Input!Z282/Vintage_Input!R282,""))</f>
        <v/>
      </c>
      <c r="S330" s="152">
        <f>IF($B330=1,$I$49,IF(N(Vintage_Input!S282)&gt;0,Vintage_Input!AA282/Vintage_Input!S282,""))</f>
        <v/>
      </c>
      <c r="T330" s="152">
        <f>IF($B330=1,$B$50,IF(N(Vintage_Input!L282)&gt;0,Vintage_Input!AB282/Vintage_Input!L282,""))</f>
        <v/>
      </c>
      <c r="U330" s="152">
        <f>IF($B330=1,$C$50,IF(N(Vintage_Input!M282)&gt;0,Vintage_Input!AC282/Vintage_Input!M282,""))</f>
        <v/>
      </c>
      <c r="V330" s="152">
        <f>IF($B330=1,$D$50,IF(N(Vintage_Input!N282)&gt;0,Vintage_Input!AD282/Vintage_Input!N282,""))</f>
        <v/>
      </c>
      <c r="W330" s="152">
        <f>IF($B330=1,$E$50,IF(N(Vintage_Input!O282)&gt;0,Vintage_Input!AE282/Vintage_Input!O282,""))</f>
        <v/>
      </c>
      <c r="X330" s="152">
        <f>IF($B330=1,$F$50,IF(N(Vintage_Input!P282)&gt;0,Vintage_Input!AF282/Vintage_Input!P282,""))</f>
        <v/>
      </c>
      <c r="Y330" s="152">
        <f>IF($B330=1,$G$50,IF(N(Vintage_Input!Q282)&gt;0,Vintage_Input!AG282/Vintage_Input!Q282,""))</f>
        <v/>
      </c>
      <c r="Z330" s="152">
        <f>IF($B330=1,$H$50,IF(N(Vintage_Input!R282)&gt;0,Vintage_Input!AH282/Vintage_Input!R282,""))</f>
        <v/>
      </c>
      <c r="AA330" s="152">
        <f>IF($B330=1,$I$50,IF(N(Vintage_Input!S282)&gt;0,Vintage_Input!AI282/Vintage_Input!S282,""))</f>
        <v/>
      </c>
      <c r="AB330" s="152">
        <f>IF($B330=1,$B$51,IF(N(Vintage_Input!L282)&gt;0,Vintage_Input!AJ282/Vintage_Input!L282,""))</f>
        <v/>
      </c>
      <c r="AC330" s="152">
        <f>IF($B330=1,$C$51,IF(N(Vintage_Input!M282)&gt;0,Vintage_Input!AK282/Vintage_Input!M282,""))</f>
        <v/>
      </c>
      <c r="AD330" s="152">
        <f>IF($B330=1,$D$51,IF(N(Vintage_Input!N282)&gt;0,Vintage_Input!AL282/Vintage_Input!N282,""))</f>
        <v/>
      </c>
      <c r="AE330" s="152">
        <f>IF($B330=1,$E$51,IF(N(Vintage_Input!O282)&gt;0,Vintage_Input!AM282/Vintage_Input!O282,""))</f>
        <v/>
      </c>
      <c r="AF330" s="152">
        <f>IF($B330=1,$F$51,IF(N(Vintage_Input!P282)&gt;0,Vintage_Input!AN282/Vintage_Input!P282,""))</f>
        <v/>
      </c>
      <c r="AG330" s="152">
        <f>IF($B330=1,$G$51,IF(N(Vintage_Input!Q282)&gt;0,Vintage_Input!AO282/Vintage_Input!Q282,""))</f>
        <v/>
      </c>
      <c r="AH330" s="152">
        <f>IF($B330=1,$H$51,IF(N(Vintage_Input!R282)&gt;0,Vintage_Input!AP282/Vintage_Input!R282,""))</f>
        <v/>
      </c>
      <c r="AI330" s="152">
        <f>IF($B330=1,$I$51,IF(N(Vintage_Input!S282)&gt;0,Vintage_Input!AQ282/Vintage_Input!S282,""))</f>
        <v/>
      </c>
      <c r="AJ330" s="152">
        <f>IF($B330=1,$B$52,IF(N(Vintage_Input!L282)&gt;0,IFERROR(Vintage_Input!AR282/Vintage_Input!AJ282,""),""))</f>
        <v/>
      </c>
      <c r="AK330" s="152">
        <f>IF($B330=1,$C$52,IF(N(Vintage_Input!M282)&gt;0,IFERROR(Vintage_Input!AS282/Vintage_Input!AK282,""),""))</f>
        <v/>
      </c>
      <c r="AL330" s="152">
        <f>IF($B330=1,$D$52,IF(N(Vintage_Input!N282)&gt;0,IFERROR(Vintage_Input!AT282/Vintage_Input!AL282,""),""))</f>
        <v/>
      </c>
      <c r="AM330" s="152">
        <f>IF($B330=1,$E$52,IF(N(Vintage_Input!O282)&gt;0,IFERROR(Vintage_Input!AU282/Vintage_Input!AM282,""),""))</f>
        <v/>
      </c>
      <c r="AN330" s="152">
        <f>IF($B330=1,$F$52,IF(N(Vintage_Input!P282)&gt;0,IFERROR(Vintage_Input!AV282/Vintage_Input!AN282,""),""))</f>
        <v/>
      </c>
      <c r="AO330" s="152">
        <f>IF($B330=1,$G$52,IF(N(Vintage_Input!Q282)&gt;0,IFERROR(Vintage_Input!AW282/Vintage_Input!AO282,""),""))</f>
        <v/>
      </c>
      <c r="AP330" s="152">
        <f>IF($B330=1,$H$52,IF(N(Vintage_Input!R282)&gt;0,IFERROR(Vintage_Input!AX282/Vintage_Input!AP282,""),""))</f>
        <v/>
      </c>
      <c r="AQ330" s="152">
        <f>IF($B330=1,$I$52,IF(N(Vintage_Input!S282)&gt;0,IFERROR(Vintage_Input!AY282/Vintage_Input!AQ282,""),""))</f>
        <v/>
      </c>
      <c r="AR330" s="152">
        <f>IF($B330=1,$B$53,IF(N(Vintage_Input!L282)&gt;0,IFERROR(Vintage_Input!AZ282/$C330,""),""))</f>
        <v/>
      </c>
      <c r="AS330" s="152">
        <f>IF($B330=1,$C$53,IF(N(Vintage_Input!M282)&gt;0,IFERROR(Vintage_Input!BA282/$C330,""),""))</f>
        <v/>
      </c>
      <c r="AT330" s="152">
        <f>IF($B330=1,$D$53,IF(N(Vintage_Input!N282)&gt;0,IFERROR(Vintage_Input!BB282/$C330,""),""))</f>
        <v/>
      </c>
      <c r="AU330" s="152">
        <f>IF($B330=1,$E$53,IF(N(Vintage_Input!O282)&gt;0,IFERROR(Vintage_Input!BC282/$C330,""),""))</f>
        <v/>
      </c>
      <c r="AV330" s="152">
        <f>IF($B330=1,$F$53,IF(N(Vintage_Input!P282)&gt;0,IFERROR(Vintage_Input!BD282/$C330,""),""))</f>
        <v/>
      </c>
      <c r="AW330" s="152">
        <f>IF($B330=1,$G$53,IF(N(Vintage_Input!Q282)&gt;0,IFERROR(Vintage_Input!BE282/$C330,""),""))</f>
        <v/>
      </c>
      <c r="AX330" s="152">
        <f>IF($B330=1,$H$53,IF(N(Vintage_Input!R282)&gt;0,IFERROR(Vintage_Input!BF282/$C330,""),""))</f>
        <v/>
      </c>
      <c r="AY330" s="152">
        <f>IF($B330=1,$I$53,IF(N(Vintage_Input!S282)&gt;0,IFERROR(Vintage_Input!BG282/$C330,""),""))</f>
        <v/>
      </c>
      <c r="AZ330" s="153">
        <f>IF($B330=1,$B$54,IF(N(Vintage_Input!L282)&gt;0,IFERROR((Vintage_Input!D282+Vintage_Input!AR282)/$C330+Products!$G$14-(Products!$G$43+Products!$G$19+Products!$G$43*Products!$G$22+Products!$G$44),""),""))</f>
        <v/>
      </c>
      <c r="BA330" s="153">
        <f>IF($B330=1,$C$54,IF(N(Vintage_Input!M282)&gt;0,IFERROR((Vintage_Input!E282+Vintage_Input!AS282)/$C330+Products!$G$14-(Products!$G$43+Products!$G$19+Products!$G$43*Products!$G$22+Products!$G$44),""),""))</f>
        <v/>
      </c>
      <c r="BB330" s="153">
        <f>IF($B330=1,$D$54,IF(N(Vintage_Input!N282)&gt;0,IFERROR((Vintage_Input!F282+Vintage_Input!AT282)/$C330+Products!$G$14-(Products!$G$43+Products!$G$19+Products!$G$43*Products!$G$22+Products!$G$44),""),""))</f>
        <v/>
      </c>
      <c r="BC330" s="153">
        <f>IF($B330=1,$E$54,IF(N(Vintage_Input!O282)&gt;0,IFERROR((Vintage_Input!G282+Vintage_Input!AU282)/$C330+Products!$G$14-(Products!$G$43+Products!$G$19+Products!$G$43*Products!$G$22+Products!$G$44),""),""))</f>
        <v/>
      </c>
      <c r="BD330" s="153">
        <f>IF($B330=1,$F$54,IF(N(Vintage_Input!P282)&gt;0,IFERROR((Vintage_Input!H282+Vintage_Input!AV282)/$C330+Products!$G$14-(Products!$G$43+Products!$G$19+Products!$G$43*Products!$G$22+Products!$G$44),""),""))</f>
        <v/>
      </c>
      <c r="BE330" s="153">
        <f>IF($B330=1,$G$54,IF(N(Vintage_Input!Q282)&gt;0,IFERROR((Vintage_Input!I282+Vintage_Input!AW282)/$C330+Products!$G$14-(Products!$G$43+Products!$G$19+Products!$G$43*Products!$G$22+Products!$G$44),""),""))</f>
        <v/>
      </c>
      <c r="BF330" s="153">
        <f>IF($B330=1,$H$54,IF(N(Vintage_Input!R282)&gt;0,IFERROR((Vintage_Input!J282+Vintage_Input!AX282)/$C330+Products!$G$14-(Products!$G$43+Products!$G$19+Products!$G$43*Products!$G$22+Products!$G$44),""),""))</f>
        <v/>
      </c>
      <c r="BG330" s="153">
        <f>IF($B330=1,$I$54,IF(N(Vintage_Input!S282)&gt;0,IFERROR((Vintage_Input!K282+Vintage_Input!AY282)/$C330+Products!$G$14-(Products!$G$43+Products!$G$19+Products!$G$43*Products!$G$22+Products!$G$44),""),""))</f>
        <v/>
      </c>
      <c r="BH330" s="81">
        <f>IF($B330=1,0,IF(Vintage_Input!$BH$282="","",Vintage_Input!$BH$282))</f>
        <v/>
      </c>
    </row>
    <row r="331">
      <c r="A331" s="23" t="n">
        <v>15</v>
      </c>
      <c r="B331" s="48">
        <f>Vintage_Input!$B$283</f>
        <v/>
      </c>
      <c r="C331" s="41">
        <f>IF(Vintage_Input!$C$283="",0,Vintage_Input!$C$283)</f>
        <v/>
      </c>
      <c r="D331" s="152">
        <f>IF($B331=1,$B$48,IF(N(Vintage_Input!L283)&gt;0,Vintage_Input!D283/Vintage_Input!L283,""))</f>
        <v/>
      </c>
      <c r="E331" s="152">
        <f>IF($B331=1,$C$48,IF(N(Vintage_Input!M283)&gt;0,Vintage_Input!E283/Vintage_Input!M283,""))</f>
        <v/>
      </c>
      <c r="F331" s="152">
        <f>IF($B331=1,$D$48,IF(N(Vintage_Input!N283)&gt;0,Vintage_Input!F283/Vintage_Input!N283,""))</f>
        <v/>
      </c>
      <c r="G331" s="152">
        <f>IF($B331=1,$E$48,IF(N(Vintage_Input!O283)&gt;0,Vintage_Input!G283/Vintage_Input!O283,""))</f>
        <v/>
      </c>
      <c r="H331" s="152">
        <f>IF($B331=1,$F$48,IF(N(Vintage_Input!P283)&gt;0,Vintage_Input!H283/Vintage_Input!P283,""))</f>
        <v/>
      </c>
      <c r="I331" s="152">
        <f>IF($B331=1,$G$48,IF(N(Vintage_Input!Q283)&gt;0,Vintage_Input!I283/Vintage_Input!Q283,""))</f>
        <v/>
      </c>
      <c r="J331" s="152">
        <f>IF($B331=1,$H$48,IF(N(Vintage_Input!R283)&gt;0,Vintage_Input!J283/Vintage_Input!R283,""))</f>
        <v/>
      </c>
      <c r="K331" s="152">
        <f>IF($B331=1,$I$48,IF(N(Vintage_Input!S283)&gt;0,Vintage_Input!K283/Vintage_Input!S283,""))</f>
        <v/>
      </c>
      <c r="L331" s="152">
        <f>IF($B331=1,$B$49,IF(N(Vintage_Input!L283)&gt;0,Vintage_Input!T283/Vintage_Input!L283,""))</f>
        <v/>
      </c>
      <c r="M331" s="152">
        <f>IF($B331=1,$C$49,IF(N(Vintage_Input!M283)&gt;0,Vintage_Input!U283/Vintage_Input!M283,""))</f>
        <v/>
      </c>
      <c r="N331" s="152">
        <f>IF($B331=1,$D$49,IF(N(Vintage_Input!N283)&gt;0,Vintage_Input!V283/Vintage_Input!N283,""))</f>
        <v/>
      </c>
      <c r="O331" s="152">
        <f>IF($B331=1,$E$49,IF(N(Vintage_Input!O283)&gt;0,Vintage_Input!W283/Vintage_Input!O283,""))</f>
        <v/>
      </c>
      <c r="P331" s="152">
        <f>IF($B331=1,$F$49,IF(N(Vintage_Input!P283)&gt;0,Vintage_Input!X283/Vintage_Input!P283,""))</f>
        <v/>
      </c>
      <c r="Q331" s="152">
        <f>IF($B331=1,$G$49,IF(N(Vintage_Input!Q283)&gt;0,Vintage_Input!Y283/Vintage_Input!Q283,""))</f>
        <v/>
      </c>
      <c r="R331" s="152">
        <f>IF($B331=1,$H$49,IF(N(Vintage_Input!R283)&gt;0,Vintage_Input!Z283/Vintage_Input!R283,""))</f>
        <v/>
      </c>
      <c r="S331" s="152">
        <f>IF($B331=1,$I$49,IF(N(Vintage_Input!S283)&gt;0,Vintage_Input!AA283/Vintage_Input!S283,""))</f>
        <v/>
      </c>
      <c r="T331" s="152">
        <f>IF($B331=1,$B$50,IF(N(Vintage_Input!L283)&gt;0,Vintage_Input!AB283/Vintage_Input!L283,""))</f>
        <v/>
      </c>
      <c r="U331" s="152">
        <f>IF($B331=1,$C$50,IF(N(Vintage_Input!M283)&gt;0,Vintage_Input!AC283/Vintage_Input!M283,""))</f>
        <v/>
      </c>
      <c r="V331" s="152">
        <f>IF($B331=1,$D$50,IF(N(Vintage_Input!N283)&gt;0,Vintage_Input!AD283/Vintage_Input!N283,""))</f>
        <v/>
      </c>
      <c r="W331" s="152">
        <f>IF($B331=1,$E$50,IF(N(Vintage_Input!O283)&gt;0,Vintage_Input!AE283/Vintage_Input!O283,""))</f>
        <v/>
      </c>
      <c r="X331" s="152">
        <f>IF($B331=1,$F$50,IF(N(Vintage_Input!P283)&gt;0,Vintage_Input!AF283/Vintage_Input!P283,""))</f>
        <v/>
      </c>
      <c r="Y331" s="152">
        <f>IF($B331=1,$G$50,IF(N(Vintage_Input!Q283)&gt;0,Vintage_Input!AG283/Vintage_Input!Q283,""))</f>
        <v/>
      </c>
      <c r="Z331" s="152">
        <f>IF($B331=1,$H$50,IF(N(Vintage_Input!R283)&gt;0,Vintage_Input!AH283/Vintage_Input!R283,""))</f>
        <v/>
      </c>
      <c r="AA331" s="152">
        <f>IF($B331=1,$I$50,IF(N(Vintage_Input!S283)&gt;0,Vintage_Input!AI283/Vintage_Input!S283,""))</f>
        <v/>
      </c>
      <c r="AB331" s="152">
        <f>IF($B331=1,$B$51,IF(N(Vintage_Input!L283)&gt;0,Vintage_Input!AJ283/Vintage_Input!L283,""))</f>
        <v/>
      </c>
      <c r="AC331" s="152">
        <f>IF($B331=1,$C$51,IF(N(Vintage_Input!M283)&gt;0,Vintage_Input!AK283/Vintage_Input!M283,""))</f>
        <v/>
      </c>
      <c r="AD331" s="152">
        <f>IF($B331=1,$D$51,IF(N(Vintage_Input!N283)&gt;0,Vintage_Input!AL283/Vintage_Input!N283,""))</f>
        <v/>
      </c>
      <c r="AE331" s="152">
        <f>IF($B331=1,$E$51,IF(N(Vintage_Input!O283)&gt;0,Vintage_Input!AM283/Vintage_Input!O283,""))</f>
        <v/>
      </c>
      <c r="AF331" s="152">
        <f>IF($B331=1,$F$51,IF(N(Vintage_Input!P283)&gt;0,Vintage_Input!AN283/Vintage_Input!P283,""))</f>
        <v/>
      </c>
      <c r="AG331" s="152">
        <f>IF($B331=1,$G$51,IF(N(Vintage_Input!Q283)&gt;0,Vintage_Input!AO283/Vintage_Input!Q283,""))</f>
        <v/>
      </c>
      <c r="AH331" s="152">
        <f>IF($B331=1,$H$51,IF(N(Vintage_Input!R283)&gt;0,Vintage_Input!AP283/Vintage_Input!R283,""))</f>
        <v/>
      </c>
      <c r="AI331" s="152">
        <f>IF($B331=1,$I$51,IF(N(Vintage_Input!S283)&gt;0,Vintage_Input!AQ283/Vintage_Input!S283,""))</f>
        <v/>
      </c>
      <c r="AJ331" s="152">
        <f>IF($B331=1,$B$52,IF(N(Vintage_Input!L283)&gt;0,IFERROR(Vintage_Input!AR283/Vintage_Input!AJ283,""),""))</f>
        <v/>
      </c>
      <c r="AK331" s="152">
        <f>IF($B331=1,$C$52,IF(N(Vintage_Input!M283)&gt;0,IFERROR(Vintage_Input!AS283/Vintage_Input!AK283,""),""))</f>
        <v/>
      </c>
      <c r="AL331" s="152">
        <f>IF($B331=1,$D$52,IF(N(Vintage_Input!N283)&gt;0,IFERROR(Vintage_Input!AT283/Vintage_Input!AL283,""),""))</f>
        <v/>
      </c>
      <c r="AM331" s="152">
        <f>IF($B331=1,$E$52,IF(N(Vintage_Input!O283)&gt;0,IFERROR(Vintage_Input!AU283/Vintage_Input!AM283,""),""))</f>
        <v/>
      </c>
      <c r="AN331" s="152">
        <f>IF($B331=1,$F$52,IF(N(Vintage_Input!P283)&gt;0,IFERROR(Vintage_Input!AV283/Vintage_Input!AN283,""),""))</f>
        <v/>
      </c>
      <c r="AO331" s="152">
        <f>IF($B331=1,$G$52,IF(N(Vintage_Input!Q283)&gt;0,IFERROR(Vintage_Input!AW283/Vintage_Input!AO283,""),""))</f>
        <v/>
      </c>
      <c r="AP331" s="152">
        <f>IF($B331=1,$H$52,IF(N(Vintage_Input!R283)&gt;0,IFERROR(Vintage_Input!AX283/Vintage_Input!AP283,""),""))</f>
        <v/>
      </c>
      <c r="AQ331" s="152">
        <f>IF($B331=1,$I$52,IF(N(Vintage_Input!S283)&gt;0,IFERROR(Vintage_Input!AY283/Vintage_Input!AQ283,""),""))</f>
        <v/>
      </c>
      <c r="AR331" s="152">
        <f>IF($B331=1,$B$53,IF(N(Vintage_Input!L283)&gt;0,IFERROR(Vintage_Input!AZ283/$C331,""),""))</f>
        <v/>
      </c>
      <c r="AS331" s="152">
        <f>IF($B331=1,$C$53,IF(N(Vintage_Input!M283)&gt;0,IFERROR(Vintage_Input!BA283/$C331,""),""))</f>
        <v/>
      </c>
      <c r="AT331" s="152">
        <f>IF($B331=1,$D$53,IF(N(Vintage_Input!N283)&gt;0,IFERROR(Vintage_Input!BB283/$C331,""),""))</f>
        <v/>
      </c>
      <c r="AU331" s="152">
        <f>IF($B331=1,$E$53,IF(N(Vintage_Input!O283)&gt;0,IFERROR(Vintage_Input!BC283/$C331,""),""))</f>
        <v/>
      </c>
      <c r="AV331" s="152">
        <f>IF($B331=1,$F$53,IF(N(Vintage_Input!P283)&gt;0,IFERROR(Vintage_Input!BD283/$C331,""),""))</f>
        <v/>
      </c>
      <c r="AW331" s="152">
        <f>IF($B331=1,$G$53,IF(N(Vintage_Input!Q283)&gt;0,IFERROR(Vintage_Input!BE283/$C331,""),""))</f>
        <v/>
      </c>
      <c r="AX331" s="152">
        <f>IF($B331=1,$H$53,IF(N(Vintage_Input!R283)&gt;0,IFERROR(Vintage_Input!BF283/$C331,""),""))</f>
        <v/>
      </c>
      <c r="AY331" s="152">
        <f>IF($B331=1,$I$53,IF(N(Vintage_Input!S283)&gt;0,IFERROR(Vintage_Input!BG283/$C331,""),""))</f>
        <v/>
      </c>
      <c r="AZ331" s="153">
        <f>IF($B331=1,$B$54,IF(N(Vintage_Input!L283)&gt;0,IFERROR((Vintage_Input!D283+Vintage_Input!AR283)/$C331+Products!$G$14-(Products!$G$43+Products!$G$19+Products!$G$43*Products!$G$22+Products!$G$44),""),""))</f>
        <v/>
      </c>
      <c r="BA331" s="153">
        <f>IF($B331=1,$C$54,IF(N(Vintage_Input!M283)&gt;0,IFERROR((Vintage_Input!E283+Vintage_Input!AS283)/$C331+Products!$G$14-(Products!$G$43+Products!$G$19+Products!$G$43*Products!$G$22+Products!$G$44),""),""))</f>
        <v/>
      </c>
      <c r="BB331" s="153">
        <f>IF($B331=1,$D$54,IF(N(Vintage_Input!N283)&gt;0,IFERROR((Vintage_Input!F283+Vintage_Input!AT283)/$C331+Products!$G$14-(Products!$G$43+Products!$G$19+Products!$G$43*Products!$G$22+Products!$G$44),""),""))</f>
        <v/>
      </c>
      <c r="BC331" s="153">
        <f>IF($B331=1,$E$54,IF(N(Vintage_Input!O283)&gt;0,IFERROR((Vintage_Input!G283+Vintage_Input!AU283)/$C331+Products!$G$14-(Products!$G$43+Products!$G$19+Products!$G$43*Products!$G$22+Products!$G$44),""),""))</f>
        <v/>
      </c>
      <c r="BD331" s="153">
        <f>IF($B331=1,$F$54,IF(N(Vintage_Input!P283)&gt;0,IFERROR((Vintage_Input!H283+Vintage_Input!AV283)/$C331+Products!$G$14-(Products!$G$43+Products!$G$19+Products!$G$43*Products!$G$22+Products!$G$44),""),""))</f>
        <v/>
      </c>
      <c r="BE331" s="153">
        <f>IF($B331=1,$G$54,IF(N(Vintage_Input!Q283)&gt;0,IFERROR((Vintage_Input!I283+Vintage_Input!AW283)/$C331+Products!$G$14-(Products!$G$43+Products!$G$19+Products!$G$43*Products!$G$22+Products!$G$44),""),""))</f>
        <v/>
      </c>
      <c r="BF331" s="153">
        <f>IF($B331=1,$H$54,IF(N(Vintage_Input!R283)&gt;0,IFERROR((Vintage_Input!J283+Vintage_Input!AX283)/$C331+Products!$G$14-(Products!$G$43+Products!$G$19+Products!$G$43*Products!$G$22+Products!$G$44),""),""))</f>
        <v/>
      </c>
      <c r="BG331" s="153">
        <f>IF($B331=1,$I$54,IF(N(Vintage_Input!S283)&gt;0,IFERROR((Vintage_Input!K283+Vintage_Input!AY283)/$C331+Products!$G$14-(Products!$G$43+Products!$G$19+Products!$G$43*Products!$G$22+Products!$G$44),""),""))</f>
        <v/>
      </c>
      <c r="BH331" s="81">
        <f>IF($B331=1,0,IF(Vintage_Input!$BH$283="","",Vintage_Input!$BH$283))</f>
        <v/>
      </c>
    </row>
    <row r="332">
      <c r="A332" s="23" t="n">
        <v>16</v>
      </c>
      <c r="B332" s="48">
        <f>Vintage_Input!$B$284</f>
        <v/>
      </c>
      <c r="C332" s="41">
        <f>IF(Vintage_Input!$C$284="",0,Vintage_Input!$C$284)</f>
        <v/>
      </c>
      <c r="D332" s="152">
        <f>IF($B332=1,$B$48,IF(N(Vintage_Input!L284)&gt;0,Vintage_Input!D284/Vintage_Input!L284,""))</f>
        <v/>
      </c>
      <c r="E332" s="152">
        <f>IF($B332=1,$C$48,IF(N(Vintage_Input!M284)&gt;0,Vintage_Input!E284/Vintage_Input!M284,""))</f>
        <v/>
      </c>
      <c r="F332" s="152">
        <f>IF($B332=1,$D$48,IF(N(Vintage_Input!N284)&gt;0,Vintage_Input!F284/Vintage_Input!N284,""))</f>
        <v/>
      </c>
      <c r="G332" s="152">
        <f>IF($B332=1,$E$48,IF(N(Vintage_Input!O284)&gt;0,Vintage_Input!G284/Vintage_Input!O284,""))</f>
        <v/>
      </c>
      <c r="H332" s="152">
        <f>IF($B332=1,$F$48,IF(N(Vintage_Input!P284)&gt;0,Vintage_Input!H284/Vintage_Input!P284,""))</f>
        <v/>
      </c>
      <c r="I332" s="152">
        <f>IF($B332=1,$G$48,IF(N(Vintage_Input!Q284)&gt;0,Vintage_Input!I284/Vintage_Input!Q284,""))</f>
        <v/>
      </c>
      <c r="J332" s="152">
        <f>IF($B332=1,$H$48,IF(N(Vintage_Input!R284)&gt;0,Vintage_Input!J284/Vintage_Input!R284,""))</f>
        <v/>
      </c>
      <c r="K332" s="152">
        <f>IF($B332=1,$I$48,IF(N(Vintage_Input!S284)&gt;0,Vintage_Input!K284/Vintage_Input!S284,""))</f>
        <v/>
      </c>
      <c r="L332" s="152">
        <f>IF($B332=1,$B$49,IF(N(Vintage_Input!L284)&gt;0,Vintage_Input!T284/Vintage_Input!L284,""))</f>
        <v/>
      </c>
      <c r="M332" s="152">
        <f>IF($B332=1,$C$49,IF(N(Vintage_Input!M284)&gt;0,Vintage_Input!U284/Vintage_Input!M284,""))</f>
        <v/>
      </c>
      <c r="N332" s="152">
        <f>IF($B332=1,$D$49,IF(N(Vintage_Input!N284)&gt;0,Vintage_Input!V284/Vintage_Input!N284,""))</f>
        <v/>
      </c>
      <c r="O332" s="152">
        <f>IF($B332=1,$E$49,IF(N(Vintage_Input!O284)&gt;0,Vintage_Input!W284/Vintage_Input!O284,""))</f>
        <v/>
      </c>
      <c r="P332" s="152">
        <f>IF($B332=1,$F$49,IF(N(Vintage_Input!P284)&gt;0,Vintage_Input!X284/Vintage_Input!P284,""))</f>
        <v/>
      </c>
      <c r="Q332" s="152">
        <f>IF($B332=1,$G$49,IF(N(Vintage_Input!Q284)&gt;0,Vintage_Input!Y284/Vintage_Input!Q284,""))</f>
        <v/>
      </c>
      <c r="R332" s="152">
        <f>IF($B332=1,$H$49,IF(N(Vintage_Input!R284)&gt;0,Vintage_Input!Z284/Vintage_Input!R284,""))</f>
        <v/>
      </c>
      <c r="S332" s="152">
        <f>IF($B332=1,$I$49,IF(N(Vintage_Input!S284)&gt;0,Vintage_Input!AA284/Vintage_Input!S284,""))</f>
        <v/>
      </c>
      <c r="T332" s="152">
        <f>IF($B332=1,$B$50,IF(N(Vintage_Input!L284)&gt;0,Vintage_Input!AB284/Vintage_Input!L284,""))</f>
        <v/>
      </c>
      <c r="U332" s="152">
        <f>IF($B332=1,$C$50,IF(N(Vintage_Input!M284)&gt;0,Vintage_Input!AC284/Vintage_Input!M284,""))</f>
        <v/>
      </c>
      <c r="V332" s="152">
        <f>IF($B332=1,$D$50,IF(N(Vintage_Input!N284)&gt;0,Vintage_Input!AD284/Vintage_Input!N284,""))</f>
        <v/>
      </c>
      <c r="W332" s="152">
        <f>IF($B332=1,$E$50,IF(N(Vintage_Input!O284)&gt;0,Vintage_Input!AE284/Vintage_Input!O284,""))</f>
        <v/>
      </c>
      <c r="X332" s="152">
        <f>IF($B332=1,$F$50,IF(N(Vintage_Input!P284)&gt;0,Vintage_Input!AF284/Vintage_Input!P284,""))</f>
        <v/>
      </c>
      <c r="Y332" s="152">
        <f>IF($B332=1,$G$50,IF(N(Vintage_Input!Q284)&gt;0,Vintage_Input!AG284/Vintage_Input!Q284,""))</f>
        <v/>
      </c>
      <c r="Z332" s="152">
        <f>IF($B332=1,$H$50,IF(N(Vintage_Input!R284)&gt;0,Vintage_Input!AH284/Vintage_Input!R284,""))</f>
        <v/>
      </c>
      <c r="AA332" s="152">
        <f>IF($B332=1,$I$50,IF(N(Vintage_Input!S284)&gt;0,Vintage_Input!AI284/Vintage_Input!S284,""))</f>
        <v/>
      </c>
      <c r="AB332" s="152">
        <f>IF($B332=1,$B$51,IF(N(Vintage_Input!L284)&gt;0,Vintage_Input!AJ284/Vintage_Input!L284,""))</f>
        <v/>
      </c>
      <c r="AC332" s="152">
        <f>IF($B332=1,$C$51,IF(N(Vintage_Input!M284)&gt;0,Vintage_Input!AK284/Vintage_Input!M284,""))</f>
        <v/>
      </c>
      <c r="AD332" s="152">
        <f>IF($B332=1,$D$51,IF(N(Vintage_Input!N284)&gt;0,Vintage_Input!AL284/Vintage_Input!N284,""))</f>
        <v/>
      </c>
      <c r="AE332" s="152">
        <f>IF($B332=1,$E$51,IF(N(Vintage_Input!O284)&gt;0,Vintage_Input!AM284/Vintage_Input!O284,""))</f>
        <v/>
      </c>
      <c r="AF332" s="152">
        <f>IF($B332=1,$F$51,IF(N(Vintage_Input!P284)&gt;0,Vintage_Input!AN284/Vintage_Input!P284,""))</f>
        <v/>
      </c>
      <c r="AG332" s="152">
        <f>IF($B332=1,$G$51,IF(N(Vintage_Input!Q284)&gt;0,Vintage_Input!AO284/Vintage_Input!Q284,""))</f>
        <v/>
      </c>
      <c r="AH332" s="152">
        <f>IF($B332=1,$H$51,IF(N(Vintage_Input!R284)&gt;0,Vintage_Input!AP284/Vintage_Input!R284,""))</f>
        <v/>
      </c>
      <c r="AI332" s="152">
        <f>IF($B332=1,$I$51,IF(N(Vintage_Input!S284)&gt;0,Vintage_Input!AQ284/Vintage_Input!S284,""))</f>
        <v/>
      </c>
      <c r="AJ332" s="152">
        <f>IF($B332=1,$B$52,IF(N(Vintage_Input!L284)&gt;0,IFERROR(Vintage_Input!AR284/Vintage_Input!AJ284,""),""))</f>
        <v/>
      </c>
      <c r="AK332" s="152">
        <f>IF($B332=1,$C$52,IF(N(Vintage_Input!M284)&gt;0,IFERROR(Vintage_Input!AS284/Vintage_Input!AK284,""),""))</f>
        <v/>
      </c>
      <c r="AL332" s="152">
        <f>IF($B332=1,$D$52,IF(N(Vintage_Input!N284)&gt;0,IFERROR(Vintage_Input!AT284/Vintage_Input!AL284,""),""))</f>
        <v/>
      </c>
      <c r="AM332" s="152">
        <f>IF($B332=1,$E$52,IF(N(Vintage_Input!O284)&gt;0,IFERROR(Vintage_Input!AU284/Vintage_Input!AM284,""),""))</f>
        <v/>
      </c>
      <c r="AN332" s="152">
        <f>IF($B332=1,$F$52,IF(N(Vintage_Input!P284)&gt;0,IFERROR(Vintage_Input!AV284/Vintage_Input!AN284,""),""))</f>
        <v/>
      </c>
      <c r="AO332" s="152">
        <f>IF($B332=1,$G$52,IF(N(Vintage_Input!Q284)&gt;0,IFERROR(Vintage_Input!AW284/Vintage_Input!AO284,""),""))</f>
        <v/>
      </c>
      <c r="AP332" s="152">
        <f>IF($B332=1,$H$52,IF(N(Vintage_Input!R284)&gt;0,IFERROR(Vintage_Input!AX284/Vintage_Input!AP284,""),""))</f>
        <v/>
      </c>
      <c r="AQ332" s="152">
        <f>IF($B332=1,$I$52,IF(N(Vintage_Input!S284)&gt;0,IFERROR(Vintage_Input!AY284/Vintage_Input!AQ284,""),""))</f>
        <v/>
      </c>
      <c r="AR332" s="152">
        <f>IF($B332=1,$B$53,IF(N(Vintage_Input!L284)&gt;0,IFERROR(Vintage_Input!AZ284/$C332,""),""))</f>
        <v/>
      </c>
      <c r="AS332" s="152">
        <f>IF($B332=1,$C$53,IF(N(Vintage_Input!M284)&gt;0,IFERROR(Vintage_Input!BA284/$C332,""),""))</f>
        <v/>
      </c>
      <c r="AT332" s="152">
        <f>IF($B332=1,$D$53,IF(N(Vintage_Input!N284)&gt;0,IFERROR(Vintage_Input!BB284/$C332,""),""))</f>
        <v/>
      </c>
      <c r="AU332" s="152">
        <f>IF($B332=1,$E$53,IF(N(Vintage_Input!O284)&gt;0,IFERROR(Vintage_Input!BC284/$C332,""),""))</f>
        <v/>
      </c>
      <c r="AV332" s="152">
        <f>IF($B332=1,$F$53,IF(N(Vintage_Input!P284)&gt;0,IFERROR(Vintage_Input!BD284/$C332,""),""))</f>
        <v/>
      </c>
      <c r="AW332" s="152">
        <f>IF($B332=1,$G$53,IF(N(Vintage_Input!Q284)&gt;0,IFERROR(Vintage_Input!BE284/$C332,""),""))</f>
        <v/>
      </c>
      <c r="AX332" s="152">
        <f>IF($B332=1,$H$53,IF(N(Vintage_Input!R284)&gt;0,IFERROR(Vintage_Input!BF284/$C332,""),""))</f>
        <v/>
      </c>
      <c r="AY332" s="152">
        <f>IF($B332=1,$I$53,IF(N(Vintage_Input!S284)&gt;0,IFERROR(Vintage_Input!BG284/$C332,""),""))</f>
        <v/>
      </c>
      <c r="AZ332" s="153">
        <f>IF($B332=1,$B$54,IF(N(Vintage_Input!L284)&gt;0,IFERROR((Vintage_Input!D284+Vintage_Input!AR284)/$C332+Products!$G$14-(Products!$G$43+Products!$G$19+Products!$G$43*Products!$G$22+Products!$G$44),""),""))</f>
        <v/>
      </c>
      <c r="BA332" s="153">
        <f>IF($B332=1,$C$54,IF(N(Vintage_Input!M284)&gt;0,IFERROR((Vintage_Input!E284+Vintage_Input!AS284)/$C332+Products!$G$14-(Products!$G$43+Products!$G$19+Products!$G$43*Products!$G$22+Products!$G$44),""),""))</f>
        <v/>
      </c>
      <c r="BB332" s="153">
        <f>IF($B332=1,$D$54,IF(N(Vintage_Input!N284)&gt;0,IFERROR((Vintage_Input!F284+Vintage_Input!AT284)/$C332+Products!$G$14-(Products!$G$43+Products!$G$19+Products!$G$43*Products!$G$22+Products!$G$44),""),""))</f>
        <v/>
      </c>
      <c r="BC332" s="153">
        <f>IF($B332=1,$E$54,IF(N(Vintage_Input!O284)&gt;0,IFERROR((Vintage_Input!G284+Vintage_Input!AU284)/$C332+Products!$G$14-(Products!$G$43+Products!$G$19+Products!$G$43*Products!$G$22+Products!$G$44),""),""))</f>
        <v/>
      </c>
      <c r="BD332" s="153">
        <f>IF($B332=1,$F$54,IF(N(Vintage_Input!P284)&gt;0,IFERROR((Vintage_Input!H284+Vintage_Input!AV284)/$C332+Products!$G$14-(Products!$G$43+Products!$G$19+Products!$G$43*Products!$G$22+Products!$G$44),""),""))</f>
        <v/>
      </c>
      <c r="BE332" s="153">
        <f>IF($B332=1,$G$54,IF(N(Vintage_Input!Q284)&gt;0,IFERROR((Vintage_Input!I284+Vintage_Input!AW284)/$C332+Products!$G$14-(Products!$G$43+Products!$G$19+Products!$G$43*Products!$G$22+Products!$G$44),""),""))</f>
        <v/>
      </c>
      <c r="BF332" s="153">
        <f>IF($B332=1,$H$54,IF(N(Vintage_Input!R284)&gt;0,IFERROR((Vintage_Input!J284+Vintage_Input!AX284)/$C332+Products!$G$14-(Products!$G$43+Products!$G$19+Products!$G$43*Products!$G$22+Products!$G$44),""),""))</f>
        <v/>
      </c>
      <c r="BG332" s="153">
        <f>IF($B332=1,$I$54,IF(N(Vintage_Input!S284)&gt;0,IFERROR((Vintage_Input!K284+Vintage_Input!AY284)/$C332+Products!$G$14-(Products!$G$43+Products!$G$19+Products!$G$43*Products!$G$22+Products!$G$44),""),""))</f>
        <v/>
      </c>
      <c r="BH332" s="81">
        <f>IF($B332=1,0,IF(Vintage_Input!$BH$284="","",Vintage_Input!$BH$284))</f>
        <v/>
      </c>
    </row>
    <row r="333">
      <c r="A333" s="23" t="n">
        <v>17</v>
      </c>
      <c r="B333" s="48">
        <f>Vintage_Input!$B$285</f>
        <v/>
      </c>
      <c r="C333" s="41">
        <f>IF(Vintage_Input!$C$285="",0,Vintage_Input!$C$285)</f>
        <v/>
      </c>
      <c r="D333" s="152">
        <f>IF($B333=1,$B$48,IF(N(Vintage_Input!L285)&gt;0,Vintage_Input!D285/Vintage_Input!L285,""))</f>
        <v/>
      </c>
      <c r="E333" s="152">
        <f>IF($B333=1,$C$48,IF(N(Vintage_Input!M285)&gt;0,Vintage_Input!E285/Vintage_Input!M285,""))</f>
        <v/>
      </c>
      <c r="F333" s="152">
        <f>IF($B333=1,$D$48,IF(N(Vintage_Input!N285)&gt;0,Vintage_Input!F285/Vintage_Input!N285,""))</f>
        <v/>
      </c>
      <c r="G333" s="152">
        <f>IF($B333=1,$E$48,IF(N(Vintage_Input!O285)&gt;0,Vintage_Input!G285/Vintage_Input!O285,""))</f>
        <v/>
      </c>
      <c r="H333" s="152">
        <f>IF($B333=1,$F$48,IF(N(Vintage_Input!P285)&gt;0,Vintage_Input!H285/Vintage_Input!P285,""))</f>
        <v/>
      </c>
      <c r="I333" s="152">
        <f>IF($B333=1,$G$48,IF(N(Vintage_Input!Q285)&gt;0,Vintage_Input!I285/Vintage_Input!Q285,""))</f>
        <v/>
      </c>
      <c r="J333" s="152">
        <f>IF($B333=1,$H$48,IF(N(Vintage_Input!R285)&gt;0,Vintage_Input!J285/Vintage_Input!R285,""))</f>
        <v/>
      </c>
      <c r="K333" s="152">
        <f>IF($B333=1,$I$48,IF(N(Vintage_Input!S285)&gt;0,Vintage_Input!K285/Vintage_Input!S285,""))</f>
        <v/>
      </c>
      <c r="L333" s="152">
        <f>IF($B333=1,$B$49,IF(N(Vintage_Input!L285)&gt;0,Vintage_Input!T285/Vintage_Input!L285,""))</f>
        <v/>
      </c>
      <c r="M333" s="152">
        <f>IF($B333=1,$C$49,IF(N(Vintage_Input!M285)&gt;0,Vintage_Input!U285/Vintage_Input!M285,""))</f>
        <v/>
      </c>
      <c r="N333" s="152">
        <f>IF($B333=1,$D$49,IF(N(Vintage_Input!N285)&gt;0,Vintage_Input!V285/Vintage_Input!N285,""))</f>
        <v/>
      </c>
      <c r="O333" s="152">
        <f>IF($B333=1,$E$49,IF(N(Vintage_Input!O285)&gt;0,Vintage_Input!W285/Vintage_Input!O285,""))</f>
        <v/>
      </c>
      <c r="P333" s="152">
        <f>IF($B333=1,$F$49,IF(N(Vintage_Input!P285)&gt;0,Vintage_Input!X285/Vintage_Input!P285,""))</f>
        <v/>
      </c>
      <c r="Q333" s="152">
        <f>IF($B333=1,$G$49,IF(N(Vintage_Input!Q285)&gt;0,Vintage_Input!Y285/Vintage_Input!Q285,""))</f>
        <v/>
      </c>
      <c r="R333" s="152">
        <f>IF($B333=1,$H$49,IF(N(Vintage_Input!R285)&gt;0,Vintage_Input!Z285/Vintage_Input!R285,""))</f>
        <v/>
      </c>
      <c r="S333" s="152">
        <f>IF($B333=1,$I$49,IF(N(Vintage_Input!S285)&gt;0,Vintage_Input!AA285/Vintage_Input!S285,""))</f>
        <v/>
      </c>
      <c r="T333" s="152">
        <f>IF($B333=1,$B$50,IF(N(Vintage_Input!L285)&gt;0,Vintage_Input!AB285/Vintage_Input!L285,""))</f>
        <v/>
      </c>
      <c r="U333" s="152">
        <f>IF($B333=1,$C$50,IF(N(Vintage_Input!M285)&gt;0,Vintage_Input!AC285/Vintage_Input!M285,""))</f>
        <v/>
      </c>
      <c r="V333" s="152">
        <f>IF($B333=1,$D$50,IF(N(Vintage_Input!N285)&gt;0,Vintage_Input!AD285/Vintage_Input!N285,""))</f>
        <v/>
      </c>
      <c r="W333" s="152">
        <f>IF($B333=1,$E$50,IF(N(Vintage_Input!O285)&gt;0,Vintage_Input!AE285/Vintage_Input!O285,""))</f>
        <v/>
      </c>
      <c r="X333" s="152">
        <f>IF($B333=1,$F$50,IF(N(Vintage_Input!P285)&gt;0,Vintage_Input!AF285/Vintage_Input!P285,""))</f>
        <v/>
      </c>
      <c r="Y333" s="152">
        <f>IF($B333=1,$G$50,IF(N(Vintage_Input!Q285)&gt;0,Vintage_Input!AG285/Vintage_Input!Q285,""))</f>
        <v/>
      </c>
      <c r="Z333" s="152">
        <f>IF($B333=1,$H$50,IF(N(Vintage_Input!R285)&gt;0,Vintage_Input!AH285/Vintage_Input!R285,""))</f>
        <v/>
      </c>
      <c r="AA333" s="152">
        <f>IF($B333=1,$I$50,IF(N(Vintage_Input!S285)&gt;0,Vintage_Input!AI285/Vintage_Input!S285,""))</f>
        <v/>
      </c>
      <c r="AB333" s="152">
        <f>IF($B333=1,$B$51,IF(N(Vintage_Input!L285)&gt;0,Vintage_Input!AJ285/Vintage_Input!L285,""))</f>
        <v/>
      </c>
      <c r="AC333" s="152">
        <f>IF($B333=1,$C$51,IF(N(Vintage_Input!M285)&gt;0,Vintage_Input!AK285/Vintage_Input!M285,""))</f>
        <v/>
      </c>
      <c r="AD333" s="152">
        <f>IF($B333=1,$D$51,IF(N(Vintage_Input!N285)&gt;0,Vintage_Input!AL285/Vintage_Input!N285,""))</f>
        <v/>
      </c>
      <c r="AE333" s="152">
        <f>IF($B333=1,$E$51,IF(N(Vintage_Input!O285)&gt;0,Vintage_Input!AM285/Vintage_Input!O285,""))</f>
        <v/>
      </c>
      <c r="AF333" s="152">
        <f>IF($B333=1,$F$51,IF(N(Vintage_Input!P285)&gt;0,Vintage_Input!AN285/Vintage_Input!P285,""))</f>
        <v/>
      </c>
      <c r="AG333" s="152">
        <f>IF($B333=1,$G$51,IF(N(Vintage_Input!Q285)&gt;0,Vintage_Input!AO285/Vintage_Input!Q285,""))</f>
        <v/>
      </c>
      <c r="AH333" s="152">
        <f>IF($B333=1,$H$51,IF(N(Vintage_Input!R285)&gt;0,Vintage_Input!AP285/Vintage_Input!R285,""))</f>
        <v/>
      </c>
      <c r="AI333" s="152">
        <f>IF($B333=1,$I$51,IF(N(Vintage_Input!S285)&gt;0,Vintage_Input!AQ285/Vintage_Input!S285,""))</f>
        <v/>
      </c>
      <c r="AJ333" s="152">
        <f>IF($B333=1,$B$52,IF(N(Vintage_Input!L285)&gt;0,IFERROR(Vintage_Input!AR285/Vintage_Input!AJ285,""),""))</f>
        <v/>
      </c>
      <c r="AK333" s="152">
        <f>IF($B333=1,$C$52,IF(N(Vintage_Input!M285)&gt;0,IFERROR(Vintage_Input!AS285/Vintage_Input!AK285,""),""))</f>
        <v/>
      </c>
      <c r="AL333" s="152">
        <f>IF($B333=1,$D$52,IF(N(Vintage_Input!N285)&gt;0,IFERROR(Vintage_Input!AT285/Vintage_Input!AL285,""),""))</f>
        <v/>
      </c>
      <c r="AM333" s="152">
        <f>IF($B333=1,$E$52,IF(N(Vintage_Input!O285)&gt;0,IFERROR(Vintage_Input!AU285/Vintage_Input!AM285,""),""))</f>
        <v/>
      </c>
      <c r="AN333" s="152">
        <f>IF($B333=1,$F$52,IF(N(Vintage_Input!P285)&gt;0,IFERROR(Vintage_Input!AV285/Vintage_Input!AN285,""),""))</f>
        <v/>
      </c>
      <c r="AO333" s="152">
        <f>IF($B333=1,$G$52,IF(N(Vintage_Input!Q285)&gt;0,IFERROR(Vintage_Input!AW285/Vintage_Input!AO285,""),""))</f>
        <v/>
      </c>
      <c r="AP333" s="152">
        <f>IF($B333=1,$H$52,IF(N(Vintage_Input!R285)&gt;0,IFERROR(Vintage_Input!AX285/Vintage_Input!AP285,""),""))</f>
        <v/>
      </c>
      <c r="AQ333" s="152">
        <f>IF($B333=1,$I$52,IF(N(Vintage_Input!S285)&gt;0,IFERROR(Vintage_Input!AY285/Vintage_Input!AQ285,""),""))</f>
        <v/>
      </c>
      <c r="AR333" s="152">
        <f>IF($B333=1,$B$53,IF(N(Vintage_Input!L285)&gt;0,IFERROR(Vintage_Input!AZ285/$C333,""),""))</f>
        <v/>
      </c>
      <c r="AS333" s="152">
        <f>IF($B333=1,$C$53,IF(N(Vintage_Input!M285)&gt;0,IFERROR(Vintage_Input!BA285/$C333,""),""))</f>
        <v/>
      </c>
      <c r="AT333" s="152">
        <f>IF($B333=1,$D$53,IF(N(Vintage_Input!N285)&gt;0,IFERROR(Vintage_Input!BB285/$C333,""),""))</f>
        <v/>
      </c>
      <c r="AU333" s="152">
        <f>IF($B333=1,$E$53,IF(N(Vintage_Input!O285)&gt;0,IFERROR(Vintage_Input!BC285/$C333,""),""))</f>
        <v/>
      </c>
      <c r="AV333" s="152">
        <f>IF($B333=1,$F$53,IF(N(Vintage_Input!P285)&gt;0,IFERROR(Vintage_Input!BD285/$C333,""),""))</f>
        <v/>
      </c>
      <c r="AW333" s="152">
        <f>IF($B333=1,$G$53,IF(N(Vintage_Input!Q285)&gt;0,IFERROR(Vintage_Input!BE285/$C333,""),""))</f>
        <v/>
      </c>
      <c r="AX333" s="152">
        <f>IF($B333=1,$H$53,IF(N(Vintage_Input!R285)&gt;0,IFERROR(Vintage_Input!BF285/$C333,""),""))</f>
        <v/>
      </c>
      <c r="AY333" s="152">
        <f>IF($B333=1,$I$53,IF(N(Vintage_Input!S285)&gt;0,IFERROR(Vintage_Input!BG285/$C333,""),""))</f>
        <v/>
      </c>
      <c r="AZ333" s="153">
        <f>IF($B333=1,$B$54,IF(N(Vintage_Input!L285)&gt;0,IFERROR((Vintage_Input!D285+Vintage_Input!AR285)/$C333+Products!$G$14-(Products!$G$43+Products!$G$19+Products!$G$43*Products!$G$22+Products!$G$44),""),""))</f>
        <v/>
      </c>
      <c r="BA333" s="153">
        <f>IF($B333=1,$C$54,IF(N(Vintage_Input!M285)&gt;0,IFERROR((Vintage_Input!E285+Vintage_Input!AS285)/$C333+Products!$G$14-(Products!$G$43+Products!$G$19+Products!$G$43*Products!$G$22+Products!$G$44),""),""))</f>
        <v/>
      </c>
      <c r="BB333" s="153">
        <f>IF($B333=1,$D$54,IF(N(Vintage_Input!N285)&gt;0,IFERROR((Vintage_Input!F285+Vintage_Input!AT285)/$C333+Products!$G$14-(Products!$G$43+Products!$G$19+Products!$G$43*Products!$G$22+Products!$G$44),""),""))</f>
        <v/>
      </c>
      <c r="BC333" s="153">
        <f>IF($B333=1,$E$54,IF(N(Vintage_Input!O285)&gt;0,IFERROR((Vintage_Input!G285+Vintage_Input!AU285)/$C333+Products!$G$14-(Products!$G$43+Products!$G$19+Products!$G$43*Products!$G$22+Products!$G$44),""),""))</f>
        <v/>
      </c>
      <c r="BD333" s="153">
        <f>IF($B333=1,$F$54,IF(N(Vintage_Input!P285)&gt;0,IFERROR((Vintage_Input!H285+Vintage_Input!AV285)/$C333+Products!$G$14-(Products!$G$43+Products!$G$19+Products!$G$43*Products!$G$22+Products!$G$44),""),""))</f>
        <v/>
      </c>
      <c r="BE333" s="153">
        <f>IF($B333=1,$G$54,IF(N(Vintage_Input!Q285)&gt;0,IFERROR((Vintage_Input!I285+Vintage_Input!AW285)/$C333+Products!$G$14-(Products!$G$43+Products!$G$19+Products!$G$43*Products!$G$22+Products!$G$44),""),""))</f>
        <v/>
      </c>
      <c r="BF333" s="153">
        <f>IF($B333=1,$H$54,IF(N(Vintage_Input!R285)&gt;0,IFERROR((Vintage_Input!J285+Vintage_Input!AX285)/$C333+Products!$G$14-(Products!$G$43+Products!$G$19+Products!$G$43*Products!$G$22+Products!$G$44),""),""))</f>
        <v/>
      </c>
      <c r="BG333" s="153">
        <f>IF($B333=1,$I$54,IF(N(Vintage_Input!S285)&gt;0,IFERROR((Vintage_Input!K285+Vintage_Input!AY285)/$C333+Products!$G$14-(Products!$G$43+Products!$G$19+Products!$G$43*Products!$G$22+Products!$G$44),""),""))</f>
        <v/>
      </c>
      <c r="BH333" s="81">
        <f>IF($B333=1,0,IF(Vintage_Input!$BH$285="","",Vintage_Input!$BH$285))</f>
        <v/>
      </c>
    </row>
    <row r="334">
      <c r="A334" s="23" t="n">
        <v>18</v>
      </c>
      <c r="B334" s="48">
        <f>Vintage_Input!$B$286</f>
        <v/>
      </c>
      <c r="C334" s="41">
        <f>IF(Vintage_Input!$C$286="",0,Vintage_Input!$C$286)</f>
        <v/>
      </c>
      <c r="D334" s="152">
        <f>IF($B334=1,$B$48,IF(N(Vintage_Input!L286)&gt;0,Vintage_Input!D286/Vintage_Input!L286,""))</f>
        <v/>
      </c>
      <c r="E334" s="152">
        <f>IF($B334=1,$C$48,IF(N(Vintage_Input!M286)&gt;0,Vintage_Input!E286/Vintage_Input!M286,""))</f>
        <v/>
      </c>
      <c r="F334" s="152">
        <f>IF($B334=1,$D$48,IF(N(Vintage_Input!N286)&gt;0,Vintage_Input!F286/Vintage_Input!N286,""))</f>
        <v/>
      </c>
      <c r="G334" s="152">
        <f>IF($B334=1,$E$48,IF(N(Vintage_Input!O286)&gt;0,Vintage_Input!G286/Vintage_Input!O286,""))</f>
        <v/>
      </c>
      <c r="H334" s="152">
        <f>IF($B334=1,$F$48,IF(N(Vintage_Input!P286)&gt;0,Vintage_Input!H286/Vintage_Input!P286,""))</f>
        <v/>
      </c>
      <c r="I334" s="152">
        <f>IF($B334=1,$G$48,IF(N(Vintage_Input!Q286)&gt;0,Vintage_Input!I286/Vintage_Input!Q286,""))</f>
        <v/>
      </c>
      <c r="J334" s="152">
        <f>IF($B334=1,$H$48,IF(N(Vintage_Input!R286)&gt;0,Vintage_Input!J286/Vintage_Input!R286,""))</f>
        <v/>
      </c>
      <c r="K334" s="152">
        <f>IF($B334=1,$I$48,IF(N(Vintage_Input!S286)&gt;0,Vintage_Input!K286/Vintage_Input!S286,""))</f>
        <v/>
      </c>
      <c r="L334" s="152">
        <f>IF($B334=1,$B$49,IF(N(Vintage_Input!L286)&gt;0,Vintage_Input!T286/Vintage_Input!L286,""))</f>
        <v/>
      </c>
      <c r="M334" s="152">
        <f>IF($B334=1,$C$49,IF(N(Vintage_Input!M286)&gt;0,Vintage_Input!U286/Vintage_Input!M286,""))</f>
        <v/>
      </c>
      <c r="N334" s="152">
        <f>IF($B334=1,$D$49,IF(N(Vintage_Input!N286)&gt;0,Vintage_Input!V286/Vintage_Input!N286,""))</f>
        <v/>
      </c>
      <c r="O334" s="152">
        <f>IF($B334=1,$E$49,IF(N(Vintage_Input!O286)&gt;0,Vintage_Input!W286/Vintage_Input!O286,""))</f>
        <v/>
      </c>
      <c r="P334" s="152">
        <f>IF($B334=1,$F$49,IF(N(Vintage_Input!P286)&gt;0,Vintage_Input!X286/Vintage_Input!P286,""))</f>
        <v/>
      </c>
      <c r="Q334" s="152">
        <f>IF($B334=1,$G$49,IF(N(Vintage_Input!Q286)&gt;0,Vintage_Input!Y286/Vintage_Input!Q286,""))</f>
        <v/>
      </c>
      <c r="R334" s="152">
        <f>IF($B334=1,$H$49,IF(N(Vintage_Input!R286)&gt;0,Vintage_Input!Z286/Vintage_Input!R286,""))</f>
        <v/>
      </c>
      <c r="S334" s="152">
        <f>IF($B334=1,$I$49,IF(N(Vintage_Input!S286)&gt;0,Vintage_Input!AA286/Vintage_Input!S286,""))</f>
        <v/>
      </c>
      <c r="T334" s="152">
        <f>IF($B334=1,$B$50,IF(N(Vintage_Input!L286)&gt;0,Vintage_Input!AB286/Vintage_Input!L286,""))</f>
        <v/>
      </c>
      <c r="U334" s="152">
        <f>IF($B334=1,$C$50,IF(N(Vintage_Input!M286)&gt;0,Vintage_Input!AC286/Vintage_Input!M286,""))</f>
        <v/>
      </c>
      <c r="V334" s="152">
        <f>IF($B334=1,$D$50,IF(N(Vintage_Input!N286)&gt;0,Vintage_Input!AD286/Vintage_Input!N286,""))</f>
        <v/>
      </c>
      <c r="W334" s="152">
        <f>IF($B334=1,$E$50,IF(N(Vintage_Input!O286)&gt;0,Vintage_Input!AE286/Vintage_Input!O286,""))</f>
        <v/>
      </c>
      <c r="X334" s="152">
        <f>IF($B334=1,$F$50,IF(N(Vintage_Input!P286)&gt;0,Vintage_Input!AF286/Vintage_Input!P286,""))</f>
        <v/>
      </c>
      <c r="Y334" s="152">
        <f>IF($B334=1,$G$50,IF(N(Vintage_Input!Q286)&gt;0,Vintage_Input!AG286/Vintage_Input!Q286,""))</f>
        <v/>
      </c>
      <c r="Z334" s="152">
        <f>IF($B334=1,$H$50,IF(N(Vintage_Input!R286)&gt;0,Vintage_Input!AH286/Vintage_Input!R286,""))</f>
        <v/>
      </c>
      <c r="AA334" s="152">
        <f>IF($B334=1,$I$50,IF(N(Vintage_Input!S286)&gt;0,Vintage_Input!AI286/Vintage_Input!S286,""))</f>
        <v/>
      </c>
      <c r="AB334" s="152">
        <f>IF($B334=1,$B$51,IF(N(Vintage_Input!L286)&gt;0,Vintage_Input!AJ286/Vintage_Input!L286,""))</f>
        <v/>
      </c>
      <c r="AC334" s="152">
        <f>IF($B334=1,$C$51,IF(N(Vintage_Input!M286)&gt;0,Vintage_Input!AK286/Vintage_Input!M286,""))</f>
        <v/>
      </c>
      <c r="AD334" s="152">
        <f>IF($B334=1,$D$51,IF(N(Vintage_Input!N286)&gt;0,Vintage_Input!AL286/Vintage_Input!N286,""))</f>
        <v/>
      </c>
      <c r="AE334" s="152">
        <f>IF($B334=1,$E$51,IF(N(Vintage_Input!O286)&gt;0,Vintage_Input!AM286/Vintage_Input!O286,""))</f>
        <v/>
      </c>
      <c r="AF334" s="152">
        <f>IF($B334=1,$F$51,IF(N(Vintage_Input!P286)&gt;0,Vintage_Input!AN286/Vintage_Input!P286,""))</f>
        <v/>
      </c>
      <c r="AG334" s="152">
        <f>IF($B334=1,$G$51,IF(N(Vintage_Input!Q286)&gt;0,Vintage_Input!AO286/Vintage_Input!Q286,""))</f>
        <v/>
      </c>
      <c r="AH334" s="152">
        <f>IF($B334=1,$H$51,IF(N(Vintage_Input!R286)&gt;0,Vintage_Input!AP286/Vintage_Input!R286,""))</f>
        <v/>
      </c>
      <c r="AI334" s="152">
        <f>IF($B334=1,$I$51,IF(N(Vintage_Input!S286)&gt;0,Vintage_Input!AQ286/Vintage_Input!S286,""))</f>
        <v/>
      </c>
      <c r="AJ334" s="152">
        <f>IF($B334=1,$B$52,IF(N(Vintage_Input!L286)&gt;0,IFERROR(Vintage_Input!AR286/Vintage_Input!AJ286,""),""))</f>
        <v/>
      </c>
      <c r="AK334" s="152">
        <f>IF($B334=1,$C$52,IF(N(Vintage_Input!M286)&gt;0,IFERROR(Vintage_Input!AS286/Vintage_Input!AK286,""),""))</f>
        <v/>
      </c>
      <c r="AL334" s="152">
        <f>IF($B334=1,$D$52,IF(N(Vintage_Input!N286)&gt;0,IFERROR(Vintage_Input!AT286/Vintage_Input!AL286,""),""))</f>
        <v/>
      </c>
      <c r="AM334" s="152">
        <f>IF($B334=1,$E$52,IF(N(Vintage_Input!O286)&gt;0,IFERROR(Vintage_Input!AU286/Vintage_Input!AM286,""),""))</f>
        <v/>
      </c>
      <c r="AN334" s="152">
        <f>IF($B334=1,$F$52,IF(N(Vintage_Input!P286)&gt;0,IFERROR(Vintage_Input!AV286/Vintage_Input!AN286,""),""))</f>
        <v/>
      </c>
      <c r="AO334" s="152">
        <f>IF($B334=1,$G$52,IF(N(Vintage_Input!Q286)&gt;0,IFERROR(Vintage_Input!AW286/Vintage_Input!AO286,""),""))</f>
        <v/>
      </c>
      <c r="AP334" s="152">
        <f>IF($B334=1,$H$52,IF(N(Vintage_Input!R286)&gt;0,IFERROR(Vintage_Input!AX286/Vintage_Input!AP286,""),""))</f>
        <v/>
      </c>
      <c r="AQ334" s="152">
        <f>IF($B334=1,$I$52,IF(N(Vintage_Input!S286)&gt;0,IFERROR(Vintage_Input!AY286/Vintage_Input!AQ286,""),""))</f>
        <v/>
      </c>
      <c r="AR334" s="152">
        <f>IF($B334=1,$B$53,IF(N(Vintage_Input!L286)&gt;0,IFERROR(Vintage_Input!AZ286/$C334,""),""))</f>
        <v/>
      </c>
      <c r="AS334" s="152">
        <f>IF($B334=1,$C$53,IF(N(Vintage_Input!M286)&gt;0,IFERROR(Vintage_Input!BA286/$C334,""),""))</f>
        <v/>
      </c>
      <c r="AT334" s="152">
        <f>IF($B334=1,$D$53,IF(N(Vintage_Input!N286)&gt;0,IFERROR(Vintage_Input!BB286/$C334,""),""))</f>
        <v/>
      </c>
      <c r="AU334" s="152">
        <f>IF($B334=1,$E$53,IF(N(Vintage_Input!O286)&gt;0,IFERROR(Vintage_Input!BC286/$C334,""),""))</f>
        <v/>
      </c>
      <c r="AV334" s="152">
        <f>IF($B334=1,$F$53,IF(N(Vintage_Input!P286)&gt;0,IFERROR(Vintage_Input!BD286/$C334,""),""))</f>
        <v/>
      </c>
      <c r="AW334" s="152">
        <f>IF($B334=1,$G$53,IF(N(Vintage_Input!Q286)&gt;0,IFERROR(Vintage_Input!BE286/$C334,""),""))</f>
        <v/>
      </c>
      <c r="AX334" s="152">
        <f>IF($B334=1,$H$53,IF(N(Vintage_Input!R286)&gt;0,IFERROR(Vintage_Input!BF286/$C334,""),""))</f>
        <v/>
      </c>
      <c r="AY334" s="152">
        <f>IF($B334=1,$I$53,IF(N(Vintage_Input!S286)&gt;0,IFERROR(Vintage_Input!BG286/$C334,""),""))</f>
        <v/>
      </c>
      <c r="AZ334" s="153">
        <f>IF($B334=1,$B$54,IF(N(Vintage_Input!L286)&gt;0,IFERROR((Vintage_Input!D286+Vintage_Input!AR286)/$C334+Products!$G$14-(Products!$G$43+Products!$G$19+Products!$G$43*Products!$G$22+Products!$G$44),""),""))</f>
        <v/>
      </c>
      <c r="BA334" s="153">
        <f>IF($B334=1,$C$54,IF(N(Vintage_Input!M286)&gt;0,IFERROR((Vintage_Input!E286+Vintage_Input!AS286)/$C334+Products!$G$14-(Products!$G$43+Products!$G$19+Products!$G$43*Products!$G$22+Products!$G$44),""),""))</f>
        <v/>
      </c>
      <c r="BB334" s="153">
        <f>IF($B334=1,$D$54,IF(N(Vintage_Input!N286)&gt;0,IFERROR((Vintage_Input!F286+Vintage_Input!AT286)/$C334+Products!$G$14-(Products!$G$43+Products!$G$19+Products!$G$43*Products!$G$22+Products!$G$44),""),""))</f>
        <v/>
      </c>
      <c r="BC334" s="153">
        <f>IF($B334=1,$E$54,IF(N(Vintage_Input!O286)&gt;0,IFERROR((Vintage_Input!G286+Vintage_Input!AU286)/$C334+Products!$G$14-(Products!$G$43+Products!$G$19+Products!$G$43*Products!$G$22+Products!$G$44),""),""))</f>
        <v/>
      </c>
      <c r="BD334" s="153">
        <f>IF($B334=1,$F$54,IF(N(Vintage_Input!P286)&gt;0,IFERROR((Vintage_Input!H286+Vintage_Input!AV286)/$C334+Products!$G$14-(Products!$G$43+Products!$G$19+Products!$G$43*Products!$G$22+Products!$G$44),""),""))</f>
        <v/>
      </c>
      <c r="BE334" s="153">
        <f>IF($B334=1,$G$54,IF(N(Vintage_Input!Q286)&gt;0,IFERROR((Vintage_Input!I286+Vintage_Input!AW286)/$C334+Products!$G$14-(Products!$G$43+Products!$G$19+Products!$G$43*Products!$G$22+Products!$G$44),""),""))</f>
        <v/>
      </c>
      <c r="BF334" s="153">
        <f>IF($B334=1,$H$54,IF(N(Vintage_Input!R286)&gt;0,IFERROR((Vintage_Input!J286+Vintage_Input!AX286)/$C334+Products!$G$14-(Products!$G$43+Products!$G$19+Products!$G$43*Products!$G$22+Products!$G$44),""),""))</f>
        <v/>
      </c>
      <c r="BG334" s="153">
        <f>IF($B334=1,$I$54,IF(N(Vintage_Input!S286)&gt;0,IFERROR((Vintage_Input!K286+Vintage_Input!AY286)/$C334+Products!$G$14-(Products!$G$43+Products!$G$19+Products!$G$43*Products!$G$22+Products!$G$44),""),""))</f>
        <v/>
      </c>
      <c r="BH334" s="81">
        <f>IF($B334=1,0,IF(Vintage_Input!$BH$286="","",Vintage_Input!$BH$286))</f>
        <v/>
      </c>
    </row>
    <row r="335">
      <c r="A335" s="23" t="n">
        <v>19</v>
      </c>
      <c r="B335" s="48">
        <f>Vintage_Input!$B$287</f>
        <v/>
      </c>
      <c r="C335" s="41">
        <f>IF(Vintage_Input!$C$287="",0,Vintage_Input!$C$287)</f>
        <v/>
      </c>
      <c r="D335" s="152">
        <f>IF($B335=1,$B$48,IF(N(Vintage_Input!L287)&gt;0,Vintage_Input!D287/Vintage_Input!L287,""))</f>
        <v/>
      </c>
      <c r="E335" s="152">
        <f>IF($B335=1,$C$48,IF(N(Vintage_Input!M287)&gt;0,Vintage_Input!E287/Vintage_Input!M287,""))</f>
        <v/>
      </c>
      <c r="F335" s="152">
        <f>IF($B335=1,$D$48,IF(N(Vintage_Input!N287)&gt;0,Vintage_Input!F287/Vintage_Input!N287,""))</f>
        <v/>
      </c>
      <c r="G335" s="152">
        <f>IF($B335=1,$E$48,IF(N(Vintage_Input!O287)&gt;0,Vintage_Input!G287/Vintage_Input!O287,""))</f>
        <v/>
      </c>
      <c r="H335" s="152">
        <f>IF($B335=1,$F$48,IF(N(Vintage_Input!P287)&gt;0,Vintage_Input!H287/Vintage_Input!P287,""))</f>
        <v/>
      </c>
      <c r="I335" s="152">
        <f>IF($B335=1,$G$48,IF(N(Vintage_Input!Q287)&gt;0,Vintage_Input!I287/Vintage_Input!Q287,""))</f>
        <v/>
      </c>
      <c r="J335" s="152">
        <f>IF($B335=1,$H$48,IF(N(Vintage_Input!R287)&gt;0,Vintage_Input!J287/Vintage_Input!R287,""))</f>
        <v/>
      </c>
      <c r="K335" s="152">
        <f>IF($B335=1,$I$48,IF(N(Vintage_Input!S287)&gt;0,Vintage_Input!K287/Vintage_Input!S287,""))</f>
        <v/>
      </c>
      <c r="L335" s="152">
        <f>IF($B335=1,$B$49,IF(N(Vintage_Input!L287)&gt;0,Vintage_Input!T287/Vintage_Input!L287,""))</f>
        <v/>
      </c>
      <c r="M335" s="152">
        <f>IF($B335=1,$C$49,IF(N(Vintage_Input!M287)&gt;0,Vintage_Input!U287/Vintage_Input!M287,""))</f>
        <v/>
      </c>
      <c r="N335" s="152">
        <f>IF($B335=1,$D$49,IF(N(Vintage_Input!N287)&gt;0,Vintage_Input!V287/Vintage_Input!N287,""))</f>
        <v/>
      </c>
      <c r="O335" s="152">
        <f>IF($B335=1,$E$49,IF(N(Vintage_Input!O287)&gt;0,Vintage_Input!W287/Vintage_Input!O287,""))</f>
        <v/>
      </c>
      <c r="P335" s="152">
        <f>IF($B335=1,$F$49,IF(N(Vintage_Input!P287)&gt;0,Vintage_Input!X287/Vintage_Input!P287,""))</f>
        <v/>
      </c>
      <c r="Q335" s="152">
        <f>IF($B335=1,$G$49,IF(N(Vintage_Input!Q287)&gt;0,Vintage_Input!Y287/Vintage_Input!Q287,""))</f>
        <v/>
      </c>
      <c r="R335" s="152">
        <f>IF($B335=1,$H$49,IF(N(Vintage_Input!R287)&gt;0,Vintage_Input!Z287/Vintage_Input!R287,""))</f>
        <v/>
      </c>
      <c r="S335" s="152">
        <f>IF($B335=1,$I$49,IF(N(Vintage_Input!S287)&gt;0,Vintage_Input!AA287/Vintage_Input!S287,""))</f>
        <v/>
      </c>
      <c r="T335" s="152">
        <f>IF($B335=1,$B$50,IF(N(Vintage_Input!L287)&gt;0,Vintage_Input!AB287/Vintage_Input!L287,""))</f>
        <v/>
      </c>
      <c r="U335" s="152">
        <f>IF($B335=1,$C$50,IF(N(Vintage_Input!M287)&gt;0,Vintage_Input!AC287/Vintage_Input!M287,""))</f>
        <v/>
      </c>
      <c r="V335" s="152">
        <f>IF($B335=1,$D$50,IF(N(Vintage_Input!N287)&gt;0,Vintage_Input!AD287/Vintage_Input!N287,""))</f>
        <v/>
      </c>
      <c r="W335" s="152">
        <f>IF($B335=1,$E$50,IF(N(Vintage_Input!O287)&gt;0,Vintage_Input!AE287/Vintage_Input!O287,""))</f>
        <v/>
      </c>
      <c r="X335" s="152">
        <f>IF($B335=1,$F$50,IF(N(Vintage_Input!P287)&gt;0,Vintage_Input!AF287/Vintage_Input!P287,""))</f>
        <v/>
      </c>
      <c r="Y335" s="152">
        <f>IF($B335=1,$G$50,IF(N(Vintage_Input!Q287)&gt;0,Vintage_Input!AG287/Vintage_Input!Q287,""))</f>
        <v/>
      </c>
      <c r="Z335" s="152">
        <f>IF($B335=1,$H$50,IF(N(Vintage_Input!R287)&gt;0,Vintage_Input!AH287/Vintage_Input!R287,""))</f>
        <v/>
      </c>
      <c r="AA335" s="152">
        <f>IF($B335=1,$I$50,IF(N(Vintage_Input!S287)&gt;0,Vintage_Input!AI287/Vintage_Input!S287,""))</f>
        <v/>
      </c>
      <c r="AB335" s="152">
        <f>IF($B335=1,$B$51,IF(N(Vintage_Input!L287)&gt;0,Vintage_Input!AJ287/Vintage_Input!L287,""))</f>
        <v/>
      </c>
      <c r="AC335" s="152">
        <f>IF($B335=1,$C$51,IF(N(Vintage_Input!M287)&gt;0,Vintage_Input!AK287/Vintage_Input!M287,""))</f>
        <v/>
      </c>
      <c r="AD335" s="152">
        <f>IF($B335=1,$D$51,IF(N(Vintage_Input!N287)&gt;0,Vintage_Input!AL287/Vintage_Input!N287,""))</f>
        <v/>
      </c>
      <c r="AE335" s="152">
        <f>IF($B335=1,$E$51,IF(N(Vintage_Input!O287)&gt;0,Vintage_Input!AM287/Vintage_Input!O287,""))</f>
        <v/>
      </c>
      <c r="AF335" s="152">
        <f>IF($B335=1,$F$51,IF(N(Vintage_Input!P287)&gt;0,Vintage_Input!AN287/Vintage_Input!P287,""))</f>
        <v/>
      </c>
      <c r="AG335" s="152">
        <f>IF($B335=1,$G$51,IF(N(Vintage_Input!Q287)&gt;0,Vintage_Input!AO287/Vintage_Input!Q287,""))</f>
        <v/>
      </c>
      <c r="AH335" s="152">
        <f>IF($B335=1,$H$51,IF(N(Vintage_Input!R287)&gt;0,Vintage_Input!AP287/Vintage_Input!R287,""))</f>
        <v/>
      </c>
      <c r="AI335" s="152">
        <f>IF($B335=1,$I$51,IF(N(Vintage_Input!S287)&gt;0,Vintage_Input!AQ287/Vintage_Input!S287,""))</f>
        <v/>
      </c>
      <c r="AJ335" s="152">
        <f>IF($B335=1,$B$52,IF(N(Vintage_Input!L287)&gt;0,IFERROR(Vintage_Input!AR287/Vintage_Input!AJ287,""),""))</f>
        <v/>
      </c>
      <c r="AK335" s="152">
        <f>IF($B335=1,$C$52,IF(N(Vintage_Input!M287)&gt;0,IFERROR(Vintage_Input!AS287/Vintage_Input!AK287,""),""))</f>
        <v/>
      </c>
      <c r="AL335" s="152">
        <f>IF($B335=1,$D$52,IF(N(Vintage_Input!N287)&gt;0,IFERROR(Vintage_Input!AT287/Vintage_Input!AL287,""),""))</f>
        <v/>
      </c>
      <c r="AM335" s="152">
        <f>IF($B335=1,$E$52,IF(N(Vintage_Input!O287)&gt;0,IFERROR(Vintage_Input!AU287/Vintage_Input!AM287,""),""))</f>
        <v/>
      </c>
      <c r="AN335" s="152">
        <f>IF($B335=1,$F$52,IF(N(Vintage_Input!P287)&gt;0,IFERROR(Vintage_Input!AV287/Vintage_Input!AN287,""),""))</f>
        <v/>
      </c>
      <c r="AO335" s="152">
        <f>IF($B335=1,$G$52,IF(N(Vintage_Input!Q287)&gt;0,IFERROR(Vintage_Input!AW287/Vintage_Input!AO287,""),""))</f>
        <v/>
      </c>
      <c r="AP335" s="152">
        <f>IF($B335=1,$H$52,IF(N(Vintage_Input!R287)&gt;0,IFERROR(Vintage_Input!AX287/Vintage_Input!AP287,""),""))</f>
        <v/>
      </c>
      <c r="AQ335" s="152">
        <f>IF($B335=1,$I$52,IF(N(Vintage_Input!S287)&gt;0,IFERROR(Vintage_Input!AY287/Vintage_Input!AQ287,""),""))</f>
        <v/>
      </c>
      <c r="AR335" s="152">
        <f>IF($B335=1,$B$53,IF(N(Vintage_Input!L287)&gt;0,IFERROR(Vintage_Input!AZ287/$C335,""),""))</f>
        <v/>
      </c>
      <c r="AS335" s="152">
        <f>IF($B335=1,$C$53,IF(N(Vintage_Input!M287)&gt;0,IFERROR(Vintage_Input!BA287/$C335,""),""))</f>
        <v/>
      </c>
      <c r="AT335" s="152">
        <f>IF($B335=1,$D$53,IF(N(Vintage_Input!N287)&gt;0,IFERROR(Vintage_Input!BB287/$C335,""),""))</f>
        <v/>
      </c>
      <c r="AU335" s="152">
        <f>IF($B335=1,$E$53,IF(N(Vintage_Input!O287)&gt;0,IFERROR(Vintage_Input!BC287/$C335,""),""))</f>
        <v/>
      </c>
      <c r="AV335" s="152">
        <f>IF($B335=1,$F$53,IF(N(Vintage_Input!P287)&gt;0,IFERROR(Vintage_Input!BD287/$C335,""),""))</f>
        <v/>
      </c>
      <c r="AW335" s="152">
        <f>IF($B335=1,$G$53,IF(N(Vintage_Input!Q287)&gt;0,IFERROR(Vintage_Input!BE287/$C335,""),""))</f>
        <v/>
      </c>
      <c r="AX335" s="152">
        <f>IF($B335=1,$H$53,IF(N(Vintage_Input!R287)&gt;0,IFERROR(Vintage_Input!BF287/$C335,""),""))</f>
        <v/>
      </c>
      <c r="AY335" s="152">
        <f>IF($B335=1,$I$53,IF(N(Vintage_Input!S287)&gt;0,IFERROR(Vintage_Input!BG287/$C335,""),""))</f>
        <v/>
      </c>
      <c r="AZ335" s="153">
        <f>IF($B335=1,$B$54,IF(N(Vintage_Input!L287)&gt;0,IFERROR((Vintage_Input!D287+Vintage_Input!AR287)/$C335+Products!$G$14-(Products!$G$43+Products!$G$19+Products!$G$43*Products!$G$22+Products!$G$44),""),""))</f>
        <v/>
      </c>
      <c r="BA335" s="153">
        <f>IF($B335=1,$C$54,IF(N(Vintage_Input!M287)&gt;0,IFERROR((Vintage_Input!E287+Vintage_Input!AS287)/$C335+Products!$G$14-(Products!$G$43+Products!$G$19+Products!$G$43*Products!$G$22+Products!$G$44),""),""))</f>
        <v/>
      </c>
      <c r="BB335" s="153">
        <f>IF($B335=1,$D$54,IF(N(Vintage_Input!N287)&gt;0,IFERROR((Vintage_Input!F287+Vintage_Input!AT287)/$C335+Products!$G$14-(Products!$G$43+Products!$G$19+Products!$G$43*Products!$G$22+Products!$G$44),""),""))</f>
        <v/>
      </c>
      <c r="BC335" s="153">
        <f>IF($B335=1,$E$54,IF(N(Vintage_Input!O287)&gt;0,IFERROR((Vintage_Input!G287+Vintage_Input!AU287)/$C335+Products!$G$14-(Products!$G$43+Products!$G$19+Products!$G$43*Products!$G$22+Products!$G$44),""),""))</f>
        <v/>
      </c>
      <c r="BD335" s="153">
        <f>IF($B335=1,$F$54,IF(N(Vintage_Input!P287)&gt;0,IFERROR((Vintage_Input!H287+Vintage_Input!AV287)/$C335+Products!$G$14-(Products!$G$43+Products!$G$19+Products!$G$43*Products!$G$22+Products!$G$44),""),""))</f>
        <v/>
      </c>
      <c r="BE335" s="153">
        <f>IF($B335=1,$G$54,IF(N(Vintage_Input!Q287)&gt;0,IFERROR((Vintage_Input!I287+Vintage_Input!AW287)/$C335+Products!$G$14-(Products!$G$43+Products!$G$19+Products!$G$43*Products!$G$22+Products!$G$44),""),""))</f>
        <v/>
      </c>
      <c r="BF335" s="153">
        <f>IF($B335=1,$H$54,IF(N(Vintage_Input!R287)&gt;0,IFERROR((Vintage_Input!J287+Vintage_Input!AX287)/$C335+Products!$G$14-(Products!$G$43+Products!$G$19+Products!$G$43*Products!$G$22+Products!$G$44),""),""))</f>
        <v/>
      </c>
      <c r="BG335" s="153">
        <f>IF($B335=1,$I$54,IF(N(Vintage_Input!S287)&gt;0,IFERROR((Vintage_Input!K287+Vintage_Input!AY287)/$C335+Products!$G$14-(Products!$G$43+Products!$G$19+Products!$G$43*Products!$G$22+Products!$G$44),""),""))</f>
        <v/>
      </c>
      <c r="BH335" s="81">
        <f>IF($B335=1,0,IF(Vintage_Input!$BH$287="","",Vintage_Input!$BH$287))</f>
        <v/>
      </c>
    </row>
    <row r="336">
      <c r="A336" s="23" t="n">
        <v>20</v>
      </c>
      <c r="B336" s="48">
        <f>Vintage_Input!$B$288</f>
        <v/>
      </c>
      <c r="C336" s="41">
        <f>IF(Vintage_Input!$C$288="",0,Vintage_Input!$C$288)</f>
        <v/>
      </c>
      <c r="D336" s="152">
        <f>IF($B336=1,$B$48,IF(N(Vintage_Input!L288)&gt;0,Vintage_Input!D288/Vintage_Input!L288,""))</f>
        <v/>
      </c>
      <c r="E336" s="152">
        <f>IF($B336=1,$C$48,IF(N(Vintage_Input!M288)&gt;0,Vintage_Input!E288/Vintage_Input!M288,""))</f>
        <v/>
      </c>
      <c r="F336" s="152">
        <f>IF($B336=1,$D$48,IF(N(Vintage_Input!N288)&gt;0,Vintage_Input!F288/Vintage_Input!N288,""))</f>
        <v/>
      </c>
      <c r="G336" s="152">
        <f>IF($B336=1,$E$48,IF(N(Vintage_Input!O288)&gt;0,Vintage_Input!G288/Vintage_Input!O288,""))</f>
        <v/>
      </c>
      <c r="H336" s="152">
        <f>IF($B336=1,$F$48,IF(N(Vintage_Input!P288)&gt;0,Vintage_Input!H288/Vintage_Input!P288,""))</f>
        <v/>
      </c>
      <c r="I336" s="152">
        <f>IF($B336=1,$G$48,IF(N(Vintage_Input!Q288)&gt;0,Vintage_Input!I288/Vintage_Input!Q288,""))</f>
        <v/>
      </c>
      <c r="J336" s="152">
        <f>IF($B336=1,$H$48,IF(N(Vintage_Input!R288)&gt;0,Vintage_Input!J288/Vintage_Input!R288,""))</f>
        <v/>
      </c>
      <c r="K336" s="152">
        <f>IF($B336=1,$I$48,IF(N(Vintage_Input!S288)&gt;0,Vintage_Input!K288/Vintage_Input!S288,""))</f>
        <v/>
      </c>
      <c r="L336" s="152">
        <f>IF($B336=1,$B$49,IF(N(Vintage_Input!L288)&gt;0,Vintage_Input!T288/Vintage_Input!L288,""))</f>
        <v/>
      </c>
      <c r="M336" s="152">
        <f>IF($B336=1,$C$49,IF(N(Vintage_Input!M288)&gt;0,Vintage_Input!U288/Vintage_Input!M288,""))</f>
        <v/>
      </c>
      <c r="N336" s="152">
        <f>IF($B336=1,$D$49,IF(N(Vintage_Input!N288)&gt;0,Vintage_Input!V288/Vintage_Input!N288,""))</f>
        <v/>
      </c>
      <c r="O336" s="152">
        <f>IF($B336=1,$E$49,IF(N(Vintage_Input!O288)&gt;0,Vintage_Input!W288/Vintage_Input!O288,""))</f>
        <v/>
      </c>
      <c r="P336" s="152">
        <f>IF($B336=1,$F$49,IF(N(Vintage_Input!P288)&gt;0,Vintage_Input!X288/Vintage_Input!P288,""))</f>
        <v/>
      </c>
      <c r="Q336" s="152">
        <f>IF($B336=1,$G$49,IF(N(Vintage_Input!Q288)&gt;0,Vintage_Input!Y288/Vintage_Input!Q288,""))</f>
        <v/>
      </c>
      <c r="R336" s="152">
        <f>IF($B336=1,$H$49,IF(N(Vintage_Input!R288)&gt;0,Vintage_Input!Z288/Vintage_Input!R288,""))</f>
        <v/>
      </c>
      <c r="S336" s="152">
        <f>IF($B336=1,$I$49,IF(N(Vintage_Input!S288)&gt;0,Vintage_Input!AA288/Vintage_Input!S288,""))</f>
        <v/>
      </c>
      <c r="T336" s="152">
        <f>IF($B336=1,$B$50,IF(N(Vintage_Input!L288)&gt;0,Vintage_Input!AB288/Vintage_Input!L288,""))</f>
        <v/>
      </c>
      <c r="U336" s="152">
        <f>IF($B336=1,$C$50,IF(N(Vintage_Input!M288)&gt;0,Vintage_Input!AC288/Vintage_Input!M288,""))</f>
        <v/>
      </c>
      <c r="V336" s="152">
        <f>IF($B336=1,$D$50,IF(N(Vintage_Input!N288)&gt;0,Vintage_Input!AD288/Vintage_Input!N288,""))</f>
        <v/>
      </c>
      <c r="W336" s="152">
        <f>IF($B336=1,$E$50,IF(N(Vintage_Input!O288)&gt;0,Vintage_Input!AE288/Vintage_Input!O288,""))</f>
        <v/>
      </c>
      <c r="X336" s="152">
        <f>IF($B336=1,$F$50,IF(N(Vintage_Input!P288)&gt;0,Vintage_Input!AF288/Vintage_Input!P288,""))</f>
        <v/>
      </c>
      <c r="Y336" s="152">
        <f>IF($B336=1,$G$50,IF(N(Vintage_Input!Q288)&gt;0,Vintage_Input!AG288/Vintage_Input!Q288,""))</f>
        <v/>
      </c>
      <c r="Z336" s="152">
        <f>IF($B336=1,$H$50,IF(N(Vintage_Input!R288)&gt;0,Vintage_Input!AH288/Vintage_Input!R288,""))</f>
        <v/>
      </c>
      <c r="AA336" s="152">
        <f>IF($B336=1,$I$50,IF(N(Vintage_Input!S288)&gt;0,Vintage_Input!AI288/Vintage_Input!S288,""))</f>
        <v/>
      </c>
      <c r="AB336" s="152">
        <f>IF($B336=1,$B$51,IF(N(Vintage_Input!L288)&gt;0,Vintage_Input!AJ288/Vintage_Input!L288,""))</f>
        <v/>
      </c>
      <c r="AC336" s="152">
        <f>IF($B336=1,$C$51,IF(N(Vintage_Input!M288)&gt;0,Vintage_Input!AK288/Vintage_Input!M288,""))</f>
        <v/>
      </c>
      <c r="AD336" s="152">
        <f>IF($B336=1,$D$51,IF(N(Vintage_Input!N288)&gt;0,Vintage_Input!AL288/Vintage_Input!N288,""))</f>
        <v/>
      </c>
      <c r="AE336" s="152">
        <f>IF($B336=1,$E$51,IF(N(Vintage_Input!O288)&gt;0,Vintage_Input!AM288/Vintage_Input!O288,""))</f>
        <v/>
      </c>
      <c r="AF336" s="152">
        <f>IF($B336=1,$F$51,IF(N(Vintage_Input!P288)&gt;0,Vintage_Input!AN288/Vintage_Input!P288,""))</f>
        <v/>
      </c>
      <c r="AG336" s="152">
        <f>IF($B336=1,$G$51,IF(N(Vintage_Input!Q288)&gt;0,Vintage_Input!AO288/Vintage_Input!Q288,""))</f>
        <v/>
      </c>
      <c r="AH336" s="152">
        <f>IF($B336=1,$H$51,IF(N(Vintage_Input!R288)&gt;0,Vintage_Input!AP288/Vintage_Input!R288,""))</f>
        <v/>
      </c>
      <c r="AI336" s="152">
        <f>IF($B336=1,$I$51,IF(N(Vintage_Input!S288)&gt;0,Vintage_Input!AQ288/Vintage_Input!S288,""))</f>
        <v/>
      </c>
      <c r="AJ336" s="152">
        <f>IF($B336=1,$B$52,IF(N(Vintage_Input!L288)&gt;0,IFERROR(Vintage_Input!AR288/Vintage_Input!AJ288,""),""))</f>
        <v/>
      </c>
      <c r="AK336" s="152">
        <f>IF($B336=1,$C$52,IF(N(Vintage_Input!M288)&gt;0,IFERROR(Vintage_Input!AS288/Vintage_Input!AK288,""),""))</f>
        <v/>
      </c>
      <c r="AL336" s="152">
        <f>IF($B336=1,$D$52,IF(N(Vintage_Input!N288)&gt;0,IFERROR(Vintage_Input!AT288/Vintage_Input!AL288,""),""))</f>
        <v/>
      </c>
      <c r="AM336" s="152">
        <f>IF($B336=1,$E$52,IF(N(Vintage_Input!O288)&gt;0,IFERROR(Vintage_Input!AU288/Vintage_Input!AM288,""),""))</f>
        <v/>
      </c>
      <c r="AN336" s="152">
        <f>IF($B336=1,$F$52,IF(N(Vintage_Input!P288)&gt;0,IFERROR(Vintage_Input!AV288/Vintage_Input!AN288,""),""))</f>
        <v/>
      </c>
      <c r="AO336" s="152">
        <f>IF($B336=1,$G$52,IF(N(Vintage_Input!Q288)&gt;0,IFERROR(Vintage_Input!AW288/Vintage_Input!AO288,""),""))</f>
        <v/>
      </c>
      <c r="AP336" s="152">
        <f>IF($B336=1,$H$52,IF(N(Vintage_Input!R288)&gt;0,IFERROR(Vintage_Input!AX288/Vintage_Input!AP288,""),""))</f>
        <v/>
      </c>
      <c r="AQ336" s="152">
        <f>IF($B336=1,$I$52,IF(N(Vintage_Input!S288)&gt;0,IFERROR(Vintage_Input!AY288/Vintage_Input!AQ288,""),""))</f>
        <v/>
      </c>
      <c r="AR336" s="152">
        <f>IF($B336=1,$B$53,IF(N(Vintage_Input!L288)&gt;0,IFERROR(Vintage_Input!AZ288/$C336,""),""))</f>
        <v/>
      </c>
      <c r="AS336" s="152">
        <f>IF($B336=1,$C$53,IF(N(Vintage_Input!M288)&gt;0,IFERROR(Vintage_Input!BA288/$C336,""),""))</f>
        <v/>
      </c>
      <c r="AT336" s="152">
        <f>IF($B336=1,$D$53,IF(N(Vintage_Input!N288)&gt;0,IFERROR(Vintage_Input!BB288/$C336,""),""))</f>
        <v/>
      </c>
      <c r="AU336" s="152">
        <f>IF($B336=1,$E$53,IF(N(Vintage_Input!O288)&gt;0,IFERROR(Vintage_Input!BC288/$C336,""),""))</f>
        <v/>
      </c>
      <c r="AV336" s="152">
        <f>IF($B336=1,$F$53,IF(N(Vintage_Input!P288)&gt;0,IFERROR(Vintage_Input!BD288/$C336,""),""))</f>
        <v/>
      </c>
      <c r="AW336" s="152">
        <f>IF($B336=1,$G$53,IF(N(Vintage_Input!Q288)&gt;0,IFERROR(Vintage_Input!BE288/$C336,""),""))</f>
        <v/>
      </c>
      <c r="AX336" s="152">
        <f>IF($B336=1,$H$53,IF(N(Vintage_Input!R288)&gt;0,IFERROR(Vintage_Input!BF288/$C336,""),""))</f>
        <v/>
      </c>
      <c r="AY336" s="152">
        <f>IF($B336=1,$I$53,IF(N(Vintage_Input!S288)&gt;0,IFERROR(Vintage_Input!BG288/$C336,""),""))</f>
        <v/>
      </c>
      <c r="AZ336" s="153">
        <f>IF($B336=1,$B$54,IF(N(Vintage_Input!L288)&gt;0,IFERROR((Vintage_Input!D288+Vintage_Input!AR288)/$C336+Products!$G$14-(Products!$G$43+Products!$G$19+Products!$G$43*Products!$G$22+Products!$G$44),""),""))</f>
        <v/>
      </c>
      <c r="BA336" s="153">
        <f>IF($B336=1,$C$54,IF(N(Vintage_Input!M288)&gt;0,IFERROR((Vintage_Input!E288+Vintage_Input!AS288)/$C336+Products!$G$14-(Products!$G$43+Products!$G$19+Products!$G$43*Products!$G$22+Products!$G$44),""),""))</f>
        <v/>
      </c>
      <c r="BB336" s="153">
        <f>IF($B336=1,$D$54,IF(N(Vintage_Input!N288)&gt;0,IFERROR((Vintage_Input!F288+Vintage_Input!AT288)/$C336+Products!$G$14-(Products!$G$43+Products!$G$19+Products!$G$43*Products!$G$22+Products!$G$44),""),""))</f>
        <v/>
      </c>
      <c r="BC336" s="153">
        <f>IF($B336=1,$E$54,IF(N(Vintage_Input!O288)&gt;0,IFERROR((Vintage_Input!G288+Vintage_Input!AU288)/$C336+Products!$G$14-(Products!$G$43+Products!$G$19+Products!$G$43*Products!$G$22+Products!$G$44),""),""))</f>
        <v/>
      </c>
      <c r="BD336" s="153">
        <f>IF($B336=1,$F$54,IF(N(Vintage_Input!P288)&gt;0,IFERROR((Vintage_Input!H288+Vintage_Input!AV288)/$C336+Products!$G$14-(Products!$G$43+Products!$G$19+Products!$G$43*Products!$G$22+Products!$G$44),""),""))</f>
        <v/>
      </c>
      <c r="BE336" s="153">
        <f>IF($B336=1,$G$54,IF(N(Vintage_Input!Q288)&gt;0,IFERROR((Vintage_Input!I288+Vintage_Input!AW288)/$C336+Products!$G$14-(Products!$G$43+Products!$G$19+Products!$G$43*Products!$G$22+Products!$G$44),""),""))</f>
        <v/>
      </c>
      <c r="BF336" s="153">
        <f>IF($B336=1,$H$54,IF(N(Vintage_Input!R288)&gt;0,IFERROR((Vintage_Input!J288+Vintage_Input!AX288)/$C336+Products!$G$14-(Products!$G$43+Products!$G$19+Products!$G$43*Products!$G$22+Products!$G$44),""),""))</f>
        <v/>
      </c>
      <c r="BG336" s="153">
        <f>IF($B336=1,$I$54,IF(N(Vintage_Input!S288)&gt;0,IFERROR((Vintage_Input!K288+Vintage_Input!AY288)/$C336+Products!$G$14-(Products!$G$43+Products!$G$19+Products!$G$43*Products!$G$22+Products!$G$44),""),""))</f>
        <v/>
      </c>
      <c r="BH336" s="81">
        <f>IF($B336=1,0,IF(Vintage_Input!$BH$288="","",Vintage_Input!$BH$288))</f>
        <v/>
      </c>
    </row>
    <row r="337">
      <c r="A337" s="23" t="n">
        <v>21</v>
      </c>
      <c r="B337" s="48">
        <f>Vintage_Input!$B$289</f>
        <v/>
      </c>
      <c r="C337" s="41">
        <f>IF(Vintage_Input!$C$289="",0,Vintage_Input!$C$289)</f>
        <v/>
      </c>
      <c r="D337" s="152">
        <f>IF($B337=1,$B$48,IF(N(Vintage_Input!L289)&gt;0,Vintage_Input!D289/Vintage_Input!L289,""))</f>
        <v/>
      </c>
      <c r="E337" s="152">
        <f>IF($B337=1,$C$48,IF(N(Vintage_Input!M289)&gt;0,Vintage_Input!E289/Vintage_Input!M289,""))</f>
        <v/>
      </c>
      <c r="F337" s="152">
        <f>IF($B337=1,$D$48,IF(N(Vintage_Input!N289)&gt;0,Vintage_Input!F289/Vintage_Input!N289,""))</f>
        <v/>
      </c>
      <c r="G337" s="152">
        <f>IF($B337=1,$E$48,IF(N(Vintage_Input!O289)&gt;0,Vintage_Input!G289/Vintage_Input!O289,""))</f>
        <v/>
      </c>
      <c r="H337" s="152">
        <f>IF($B337=1,$F$48,IF(N(Vintage_Input!P289)&gt;0,Vintage_Input!H289/Vintage_Input!P289,""))</f>
        <v/>
      </c>
      <c r="I337" s="152">
        <f>IF($B337=1,$G$48,IF(N(Vintage_Input!Q289)&gt;0,Vintage_Input!I289/Vintage_Input!Q289,""))</f>
        <v/>
      </c>
      <c r="J337" s="152">
        <f>IF($B337=1,$H$48,IF(N(Vintage_Input!R289)&gt;0,Vintage_Input!J289/Vintage_Input!R289,""))</f>
        <v/>
      </c>
      <c r="K337" s="152">
        <f>IF($B337=1,$I$48,IF(N(Vintage_Input!S289)&gt;0,Vintage_Input!K289/Vintage_Input!S289,""))</f>
        <v/>
      </c>
      <c r="L337" s="152">
        <f>IF($B337=1,$B$49,IF(N(Vintage_Input!L289)&gt;0,Vintage_Input!T289/Vintage_Input!L289,""))</f>
        <v/>
      </c>
      <c r="M337" s="152">
        <f>IF($B337=1,$C$49,IF(N(Vintage_Input!M289)&gt;0,Vintage_Input!U289/Vintage_Input!M289,""))</f>
        <v/>
      </c>
      <c r="N337" s="152">
        <f>IF($B337=1,$D$49,IF(N(Vintage_Input!N289)&gt;0,Vintage_Input!V289/Vintage_Input!N289,""))</f>
        <v/>
      </c>
      <c r="O337" s="152">
        <f>IF($B337=1,$E$49,IF(N(Vintage_Input!O289)&gt;0,Vintage_Input!W289/Vintage_Input!O289,""))</f>
        <v/>
      </c>
      <c r="P337" s="152">
        <f>IF($B337=1,$F$49,IF(N(Vintage_Input!P289)&gt;0,Vintage_Input!X289/Vintage_Input!P289,""))</f>
        <v/>
      </c>
      <c r="Q337" s="152">
        <f>IF($B337=1,$G$49,IF(N(Vintage_Input!Q289)&gt;0,Vintage_Input!Y289/Vintage_Input!Q289,""))</f>
        <v/>
      </c>
      <c r="R337" s="152">
        <f>IF($B337=1,$H$49,IF(N(Vintage_Input!R289)&gt;0,Vintage_Input!Z289/Vintage_Input!R289,""))</f>
        <v/>
      </c>
      <c r="S337" s="152">
        <f>IF($B337=1,$I$49,IF(N(Vintage_Input!S289)&gt;0,Vintage_Input!AA289/Vintage_Input!S289,""))</f>
        <v/>
      </c>
      <c r="T337" s="152">
        <f>IF($B337=1,$B$50,IF(N(Vintage_Input!L289)&gt;0,Vintage_Input!AB289/Vintage_Input!L289,""))</f>
        <v/>
      </c>
      <c r="U337" s="152">
        <f>IF($B337=1,$C$50,IF(N(Vintage_Input!M289)&gt;0,Vintage_Input!AC289/Vintage_Input!M289,""))</f>
        <v/>
      </c>
      <c r="V337" s="152">
        <f>IF($B337=1,$D$50,IF(N(Vintage_Input!N289)&gt;0,Vintage_Input!AD289/Vintage_Input!N289,""))</f>
        <v/>
      </c>
      <c r="W337" s="152">
        <f>IF($B337=1,$E$50,IF(N(Vintage_Input!O289)&gt;0,Vintage_Input!AE289/Vintage_Input!O289,""))</f>
        <v/>
      </c>
      <c r="X337" s="152">
        <f>IF($B337=1,$F$50,IF(N(Vintage_Input!P289)&gt;0,Vintage_Input!AF289/Vintage_Input!P289,""))</f>
        <v/>
      </c>
      <c r="Y337" s="152">
        <f>IF($B337=1,$G$50,IF(N(Vintage_Input!Q289)&gt;0,Vintage_Input!AG289/Vintage_Input!Q289,""))</f>
        <v/>
      </c>
      <c r="Z337" s="152">
        <f>IF($B337=1,$H$50,IF(N(Vintage_Input!R289)&gt;0,Vintage_Input!AH289/Vintage_Input!R289,""))</f>
        <v/>
      </c>
      <c r="AA337" s="152">
        <f>IF($B337=1,$I$50,IF(N(Vintage_Input!S289)&gt;0,Vintage_Input!AI289/Vintage_Input!S289,""))</f>
        <v/>
      </c>
      <c r="AB337" s="152">
        <f>IF($B337=1,$B$51,IF(N(Vintage_Input!L289)&gt;0,Vintage_Input!AJ289/Vintage_Input!L289,""))</f>
        <v/>
      </c>
      <c r="AC337" s="152">
        <f>IF($B337=1,$C$51,IF(N(Vintage_Input!M289)&gt;0,Vintage_Input!AK289/Vintage_Input!M289,""))</f>
        <v/>
      </c>
      <c r="AD337" s="152">
        <f>IF($B337=1,$D$51,IF(N(Vintage_Input!N289)&gt;0,Vintage_Input!AL289/Vintage_Input!N289,""))</f>
        <v/>
      </c>
      <c r="AE337" s="152">
        <f>IF($B337=1,$E$51,IF(N(Vintage_Input!O289)&gt;0,Vintage_Input!AM289/Vintage_Input!O289,""))</f>
        <v/>
      </c>
      <c r="AF337" s="152">
        <f>IF($B337=1,$F$51,IF(N(Vintage_Input!P289)&gt;0,Vintage_Input!AN289/Vintage_Input!P289,""))</f>
        <v/>
      </c>
      <c r="AG337" s="152">
        <f>IF($B337=1,$G$51,IF(N(Vintage_Input!Q289)&gt;0,Vintage_Input!AO289/Vintage_Input!Q289,""))</f>
        <v/>
      </c>
      <c r="AH337" s="152">
        <f>IF($B337=1,$H$51,IF(N(Vintage_Input!R289)&gt;0,Vintage_Input!AP289/Vintage_Input!R289,""))</f>
        <v/>
      </c>
      <c r="AI337" s="152">
        <f>IF($B337=1,$I$51,IF(N(Vintage_Input!S289)&gt;0,Vintage_Input!AQ289/Vintage_Input!S289,""))</f>
        <v/>
      </c>
      <c r="AJ337" s="152">
        <f>IF($B337=1,$B$52,IF(N(Vintage_Input!L289)&gt;0,IFERROR(Vintage_Input!AR289/Vintage_Input!AJ289,""),""))</f>
        <v/>
      </c>
      <c r="AK337" s="152">
        <f>IF($B337=1,$C$52,IF(N(Vintage_Input!M289)&gt;0,IFERROR(Vintage_Input!AS289/Vintage_Input!AK289,""),""))</f>
        <v/>
      </c>
      <c r="AL337" s="152">
        <f>IF($B337=1,$D$52,IF(N(Vintage_Input!N289)&gt;0,IFERROR(Vintage_Input!AT289/Vintage_Input!AL289,""),""))</f>
        <v/>
      </c>
      <c r="AM337" s="152">
        <f>IF($B337=1,$E$52,IF(N(Vintage_Input!O289)&gt;0,IFERROR(Vintage_Input!AU289/Vintage_Input!AM289,""),""))</f>
        <v/>
      </c>
      <c r="AN337" s="152">
        <f>IF($B337=1,$F$52,IF(N(Vintage_Input!P289)&gt;0,IFERROR(Vintage_Input!AV289/Vintage_Input!AN289,""),""))</f>
        <v/>
      </c>
      <c r="AO337" s="152">
        <f>IF($B337=1,$G$52,IF(N(Vintage_Input!Q289)&gt;0,IFERROR(Vintage_Input!AW289/Vintage_Input!AO289,""),""))</f>
        <v/>
      </c>
      <c r="AP337" s="152">
        <f>IF($B337=1,$H$52,IF(N(Vintage_Input!R289)&gt;0,IFERROR(Vintage_Input!AX289/Vintage_Input!AP289,""),""))</f>
        <v/>
      </c>
      <c r="AQ337" s="152">
        <f>IF($B337=1,$I$52,IF(N(Vintage_Input!S289)&gt;0,IFERROR(Vintage_Input!AY289/Vintage_Input!AQ289,""),""))</f>
        <v/>
      </c>
      <c r="AR337" s="152">
        <f>IF($B337=1,$B$53,IF(N(Vintage_Input!L289)&gt;0,IFERROR(Vintage_Input!AZ289/$C337,""),""))</f>
        <v/>
      </c>
      <c r="AS337" s="152">
        <f>IF($B337=1,$C$53,IF(N(Vintage_Input!M289)&gt;0,IFERROR(Vintage_Input!BA289/$C337,""),""))</f>
        <v/>
      </c>
      <c r="AT337" s="152">
        <f>IF($B337=1,$D$53,IF(N(Vintage_Input!N289)&gt;0,IFERROR(Vintage_Input!BB289/$C337,""),""))</f>
        <v/>
      </c>
      <c r="AU337" s="152">
        <f>IF($B337=1,$E$53,IF(N(Vintage_Input!O289)&gt;0,IFERROR(Vintage_Input!BC289/$C337,""),""))</f>
        <v/>
      </c>
      <c r="AV337" s="152">
        <f>IF($B337=1,$F$53,IF(N(Vintage_Input!P289)&gt;0,IFERROR(Vintage_Input!BD289/$C337,""),""))</f>
        <v/>
      </c>
      <c r="AW337" s="152">
        <f>IF($B337=1,$G$53,IF(N(Vintage_Input!Q289)&gt;0,IFERROR(Vintage_Input!BE289/$C337,""),""))</f>
        <v/>
      </c>
      <c r="AX337" s="152">
        <f>IF($B337=1,$H$53,IF(N(Vintage_Input!R289)&gt;0,IFERROR(Vintage_Input!BF289/$C337,""),""))</f>
        <v/>
      </c>
      <c r="AY337" s="152">
        <f>IF($B337=1,$I$53,IF(N(Vintage_Input!S289)&gt;0,IFERROR(Vintage_Input!BG289/$C337,""),""))</f>
        <v/>
      </c>
      <c r="AZ337" s="153">
        <f>IF($B337=1,$B$54,IF(N(Vintage_Input!L289)&gt;0,IFERROR((Vintage_Input!D289+Vintage_Input!AR289)/$C337+Products!$G$14-(Products!$G$43+Products!$G$19+Products!$G$43*Products!$G$22+Products!$G$44),""),""))</f>
        <v/>
      </c>
      <c r="BA337" s="153">
        <f>IF($B337=1,$C$54,IF(N(Vintage_Input!M289)&gt;0,IFERROR((Vintage_Input!E289+Vintage_Input!AS289)/$C337+Products!$G$14-(Products!$G$43+Products!$G$19+Products!$G$43*Products!$G$22+Products!$G$44),""),""))</f>
        <v/>
      </c>
      <c r="BB337" s="153">
        <f>IF($B337=1,$D$54,IF(N(Vintage_Input!N289)&gt;0,IFERROR((Vintage_Input!F289+Vintage_Input!AT289)/$C337+Products!$G$14-(Products!$G$43+Products!$G$19+Products!$G$43*Products!$G$22+Products!$G$44),""),""))</f>
        <v/>
      </c>
      <c r="BC337" s="153">
        <f>IF($B337=1,$E$54,IF(N(Vintage_Input!O289)&gt;0,IFERROR((Vintage_Input!G289+Vintage_Input!AU289)/$C337+Products!$G$14-(Products!$G$43+Products!$G$19+Products!$G$43*Products!$G$22+Products!$G$44),""),""))</f>
        <v/>
      </c>
      <c r="BD337" s="153">
        <f>IF($B337=1,$F$54,IF(N(Vintage_Input!P289)&gt;0,IFERROR((Vintage_Input!H289+Vintage_Input!AV289)/$C337+Products!$G$14-(Products!$G$43+Products!$G$19+Products!$G$43*Products!$G$22+Products!$G$44),""),""))</f>
        <v/>
      </c>
      <c r="BE337" s="153">
        <f>IF($B337=1,$G$54,IF(N(Vintage_Input!Q289)&gt;0,IFERROR((Vintage_Input!I289+Vintage_Input!AW289)/$C337+Products!$G$14-(Products!$G$43+Products!$G$19+Products!$G$43*Products!$G$22+Products!$G$44),""),""))</f>
        <v/>
      </c>
      <c r="BF337" s="153">
        <f>IF($B337=1,$H$54,IF(N(Vintage_Input!R289)&gt;0,IFERROR((Vintage_Input!J289+Vintage_Input!AX289)/$C337+Products!$G$14-(Products!$G$43+Products!$G$19+Products!$G$43*Products!$G$22+Products!$G$44),""),""))</f>
        <v/>
      </c>
      <c r="BG337" s="153">
        <f>IF($B337=1,$I$54,IF(N(Vintage_Input!S289)&gt;0,IFERROR((Vintage_Input!K289+Vintage_Input!AY289)/$C337+Products!$G$14-(Products!$G$43+Products!$G$19+Products!$G$43*Products!$G$22+Products!$G$44),""),""))</f>
        <v/>
      </c>
      <c r="BH337" s="81">
        <f>IF($B337=1,0,IF(Vintage_Input!$BH$289="","",Vintage_Input!$BH$289))</f>
        <v/>
      </c>
    </row>
    <row r="338">
      <c r="A338" s="23" t="n">
        <v>22</v>
      </c>
      <c r="B338" s="48">
        <f>Vintage_Input!$B$290</f>
        <v/>
      </c>
      <c r="C338" s="41">
        <f>IF(Vintage_Input!$C$290="",0,Vintage_Input!$C$290)</f>
        <v/>
      </c>
      <c r="D338" s="152">
        <f>IF($B338=1,$B$48,IF(N(Vintage_Input!L290)&gt;0,Vintage_Input!D290/Vintage_Input!L290,""))</f>
        <v/>
      </c>
      <c r="E338" s="152">
        <f>IF($B338=1,$C$48,IF(N(Vintage_Input!M290)&gt;0,Vintage_Input!E290/Vintage_Input!M290,""))</f>
        <v/>
      </c>
      <c r="F338" s="152">
        <f>IF($B338=1,$D$48,IF(N(Vintage_Input!N290)&gt;0,Vintage_Input!F290/Vintage_Input!N290,""))</f>
        <v/>
      </c>
      <c r="G338" s="152">
        <f>IF($B338=1,$E$48,IF(N(Vintage_Input!O290)&gt;0,Vintage_Input!G290/Vintage_Input!O290,""))</f>
        <v/>
      </c>
      <c r="H338" s="152">
        <f>IF($B338=1,$F$48,IF(N(Vintage_Input!P290)&gt;0,Vintage_Input!H290/Vintage_Input!P290,""))</f>
        <v/>
      </c>
      <c r="I338" s="152">
        <f>IF($B338=1,$G$48,IF(N(Vintage_Input!Q290)&gt;0,Vintage_Input!I290/Vintage_Input!Q290,""))</f>
        <v/>
      </c>
      <c r="J338" s="152">
        <f>IF($B338=1,$H$48,IF(N(Vintage_Input!R290)&gt;0,Vintage_Input!J290/Vintage_Input!R290,""))</f>
        <v/>
      </c>
      <c r="K338" s="152">
        <f>IF($B338=1,$I$48,IF(N(Vintage_Input!S290)&gt;0,Vintage_Input!K290/Vintage_Input!S290,""))</f>
        <v/>
      </c>
      <c r="L338" s="152">
        <f>IF($B338=1,$B$49,IF(N(Vintage_Input!L290)&gt;0,Vintage_Input!T290/Vintage_Input!L290,""))</f>
        <v/>
      </c>
      <c r="M338" s="152">
        <f>IF($B338=1,$C$49,IF(N(Vintage_Input!M290)&gt;0,Vintage_Input!U290/Vintage_Input!M290,""))</f>
        <v/>
      </c>
      <c r="N338" s="152">
        <f>IF($B338=1,$D$49,IF(N(Vintage_Input!N290)&gt;0,Vintage_Input!V290/Vintage_Input!N290,""))</f>
        <v/>
      </c>
      <c r="O338" s="152">
        <f>IF($B338=1,$E$49,IF(N(Vintage_Input!O290)&gt;0,Vintage_Input!W290/Vintage_Input!O290,""))</f>
        <v/>
      </c>
      <c r="P338" s="152">
        <f>IF($B338=1,$F$49,IF(N(Vintage_Input!P290)&gt;0,Vintage_Input!X290/Vintage_Input!P290,""))</f>
        <v/>
      </c>
      <c r="Q338" s="152">
        <f>IF($B338=1,$G$49,IF(N(Vintage_Input!Q290)&gt;0,Vintage_Input!Y290/Vintage_Input!Q290,""))</f>
        <v/>
      </c>
      <c r="R338" s="152">
        <f>IF($B338=1,$H$49,IF(N(Vintage_Input!R290)&gt;0,Vintage_Input!Z290/Vintage_Input!R290,""))</f>
        <v/>
      </c>
      <c r="S338" s="152">
        <f>IF($B338=1,$I$49,IF(N(Vintage_Input!S290)&gt;0,Vintage_Input!AA290/Vintage_Input!S290,""))</f>
        <v/>
      </c>
      <c r="T338" s="152">
        <f>IF($B338=1,$B$50,IF(N(Vintage_Input!L290)&gt;0,Vintage_Input!AB290/Vintage_Input!L290,""))</f>
        <v/>
      </c>
      <c r="U338" s="152">
        <f>IF($B338=1,$C$50,IF(N(Vintage_Input!M290)&gt;0,Vintage_Input!AC290/Vintage_Input!M290,""))</f>
        <v/>
      </c>
      <c r="V338" s="152">
        <f>IF($B338=1,$D$50,IF(N(Vintage_Input!N290)&gt;0,Vintage_Input!AD290/Vintage_Input!N290,""))</f>
        <v/>
      </c>
      <c r="W338" s="152">
        <f>IF($B338=1,$E$50,IF(N(Vintage_Input!O290)&gt;0,Vintage_Input!AE290/Vintage_Input!O290,""))</f>
        <v/>
      </c>
      <c r="X338" s="152">
        <f>IF($B338=1,$F$50,IF(N(Vintage_Input!P290)&gt;0,Vintage_Input!AF290/Vintage_Input!P290,""))</f>
        <v/>
      </c>
      <c r="Y338" s="152">
        <f>IF($B338=1,$G$50,IF(N(Vintage_Input!Q290)&gt;0,Vintage_Input!AG290/Vintage_Input!Q290,""))</f>
        <v/>
      </c>
      <c r="Z338" s="152">
        <f>IF($B338=1,$H$50,IF(N(Vintage_Input!R290)&gt;0,Vintage_Input!AH290/Vintage_Input!R290,""))</f>
        <v/>
      </c>
      <c r="AA338" s="152">
        <f>IF($B338=1,$I$50,IF(N(Vintage_Input!S290)&gt;0,Vintage_Input!AI290/Vintage_Input!S290,""))</f>
        <v/>
      </c>
      <c r="AB338" s="152">
        <f>IF($B338=1,$B$51,IF(N(Vintage_Input!L290)&gt;0,Vintage_Input!AJ290/Vintage_Input!L290,""))</f>
        <v/>
      </c>
      <c r="AC338" s="152">
        <f>IF($B338=1,$C$51,IF(N(Vintage_Input!M290)&gt;0,Vintage_Input!AK290/Vintage_Input!M290,""))</f>
        <v/>
      </c>
      <c r="AD338" s="152">
        <f>IF($B338=1,$D$51,IF(N(Vintage_Input!N290)&gt;0,Vintage_Input!AL290/Vintage_Input!N290,""))</f>
        <v/>
      </c>
      <c r="AE338" s="152">
        <f>IF($B338=1,$E$51,IF(N(Vintage_Input!O290)&gt;0,Vintage_Input!AM290/Vintage_Input!O290,""))</f>
        <v/>
      </c>
      <c r="AF338" s="152">
        <f>IF($B338=1,$F$51,IF(N(Vintage_Input!P290)&gt;0,Vintage_Input!AN290/Vintage_Input!P290,""))</f>
        <v/>
      </c>
      <c r="AG338" s="152">
        <f>IF($B338=1,$G$51,IF(N(Vintage_Input!Q290)&gt;0,Vintage_Input!AO290/Vintage_Input!Q290,""))</f>
        <v/>
      </c>
      <c r="AH338" s="152">
        <f>IF($B338=1,$H$51,IF(N(Vintage_Input!R290)&gt;0,Vintage_Input!AP290/Vintage_Input!R290,""))</f>
        <v/>
      </c>
      <c r="AI338" s="152">
        <f>IF($B338=1,$I$51,IF(N(Vintage_Input!S290)&gt;0,Vintage_Input!AQ290/Vintage_Input!S290,""))</f>
        <v/>
      </c>
      <c r="AJ338" s="152">
        <f>IF($B338=1,$B$52,IF(N(Vintage_Input!L290)&gt;0,IFERROR(Vintage_Input!AR290/Vintage_Input!AJ290,""),""))</f>
        <v/>
      </c>
      <c r="AK338" s="152">
        <f>IF($B338=1,$C$52,IF(N(Vintage_Input!M290)&gt;0,IFERROR(Vintage_Input!AS290/Vintage_Input!AK290,""),""))</f>
        <v/>
      </c>
      <c r="AL338" s="152">
        <f>IF($B338=1,$D$52,IF(N(Vintage_Input!N290)&gt;0,IFERROR(Vintage_Input!AT290/Vintage_Input!AL290,""),""))</f>
        <v/>
      </c>
      <c r="AM338" s="152">
        <f>IF($B338=1,$E$52,IF(N(Vintage_Input!O290)&gt;0,IFERROR(Vintage_Input!AU290/Vintage_Input!AM290,""),""))</f>
        <v/>
      </c>
      <c r="AN338" s="152">
        <f>IF($B338=1,$F$52,IF(N(Vintage_Input!P290)&gt;0,IFERROR(Vintage_Input!AV290/Vintage_Input!AN290,""),""))</f>
        <v/>
      </c>
      <c r="AO338" s="152">
        <f>IF($B338=1,$G$52,IF(N(Vintage_Input!Q290)&gt;0,IFERROR(Vintage_Input!AW290/Vintage_Input!AO290,""),""))</f>
        <v/>
      </c>
      <c r="AP338" s="152">
        <f>IF($B338=1,$H$52,IF(N(Vintage_Input!R290)&gt;0,IFERROR(Vintage_Input!AX290/Vintage_Input!AP290,""),""))</f>
        <v/>
      </c>
      <c r="AQ338" s="152">
        <f>IF($B338=1,$I$52,IF(N(Vintage_Input!S290)&gt;0,IFERROR(Vintage_Input!AY290/Vintage_Input!AQ290,""),""))</f>
        <v/>
      </c>
      <c r="AR338" s="152">
        <f>IF($B338=1,$B$53,IF(N(Vintage_Input!L290)&gt;0,IFERROR(Vintage_Input!AZ290/$C338,""),""))</f>
        <v/>
      </c>
      <c r="AS338" s="152">
        <f>IF($B338=1,$C$53,IF(N(Vintage_Input!M290)&gt;0,IFERROR(Vintage_Input!BA290/$C338,""),""))</f>
        <v/>
      </c>
      <c r="AT338" s="152">
        <f>IF($B338=1,$D$53,IF(N(Vintage_Input!N290)&gt;0,IFERROR(Vintage_Input!BB290/$C338,""),""))</f>
        <v/>
      </c>
      <c r="AU338" s="152">
        <f>IF($B338=1,$E$53,IF(N(Vintage_Input!O290)&gt;0,IFERROR(Vintage_Input!BC290/$C338,""),""))</f>
        <v/>
      </c>
      <c r="AV338" s="152">
        <f>IF($B338=1,$F$53,IF(N(Vintage_Input!P290)&gt;0,IFERROR(Vintage_Input!BD290/$C338,""),""))</f>
        <v/>
      </c>
      <c r="AW338" s="152">
        <f>IF($B338=1,$G$53,IF(N(Vintage_Input!Q290)&gt;0,IFERROR(Vintage_Input!BE290/$C338,""),""))</f>
        <v/>
      </c>
      <c r="AX338" s="152">
        <f>IF($B338=1,$H$53,IF(N(Vintage_Input!R290)&gt;0,IFERROR(Vintage_Input!BF290/$C338,""),""))</f>
        <v/>
      </c>
      <c r="AY338" s="152">
        <f>IF($B338=1,$I$53,IF(N(Vintage_Input!S290)&gt;0,IFERROR(Vintage_Input!BG290/$C338,""),""))</f>
        <v/>
      </c>
      <c r="AZ338" s="153">
        <f>IF($B338=1,$B$54,IF(N(Vintage_Input!L290)&gt;0,IFERROR((Vintage_Input!D290+Vintage_Input!AR290)/$C338+Products!$G$14-(Products!$G$43+Products!$G$19+Products!$G$43*Products!$G$22+Products!$G$44),""),""))</f>
        <v/>
      </c>
      <c r="BA338" s="153">
        <f>IF($B338=1,$C$54,IF(N(Vintage_Input!M290)&gt;0,IFERROR((Vintage_Input!E290+Vintage_Input!AS290)/$C338+Products!$G$14-(Products!$G$43+Products!$G$19+Products!$G$43*Products!$G$22+Products!$G$44),""),""))</f>
        <v/>
      </c>
      <c r="BB338" s="153">
        <f>IF($B338=1,$D$54,IF(N(Vintage_Input!N290)&gt;0,IFERROR((Vintage_Input!F290+Vintage_Input!AT290)/$C338+Products!$G$14-(Products!$G$43+Products!$G$19+Products!$G$43*Products!$G$22+Products!$G$44),""),""))</f>
        <v/>
      </c>
      <c r="BC338" s="153">
        <f>IF($B338=1,$E$54,IF(N(Vintage_Input!O290)&gt;0,IFERROR((Vintage_Input!G290+Vintage_Input!AU290)/$C338+Products!$G$14-(Products!$G$43+Products!$G$19+Products!$G$43*Products!$G$22+Products!$G$44),""),""))</f>
        <v/>
      </c>
      <c r="BD338" s="153">
        <f>IF($B338=1,$F$54,IF(N(Vintage_Input!P290)&gt;0,IFERROR((Vintage_Input!H290+Vintage_Input!AV290)/$C338+Products!$G$14-(Products!$G$43+Products!$G$19+Products!$G$43*Products!$G$22+Products!$G$44),""),""))</f>
        <v/>
      </c>
      <c r="BE338" s="153">
        <f>IF($B338=1,$G$54,IF(N(Vintage_Input!Q290)&gt;0,IFERROR((Vintage_Input!I290+Vintage_Input!AW290)/$C338+Products!$G$14-(Products!$G$43+Products!$G$19+Products!$G$43*Products!$G$22+Products!$G$44),""),""))</f>
        <v/>
      </c>
      <c r="BF338" s="153">
        <f>IF($B338=1,$H$54,IF(N(Vintage_Input!R290)&gt;0,IFERROR((Vintage_Input!J290+Vintage_Input!AX290)/$C338+Products!$G$14-(Products!$G$43+Products!$G$19+Products!$G$43*Products!$G$22+Products!$G$44),""),""))</f>
        <v/>
      </c>
      <c r="BG338" s="153">
        <f>IF($B338=1,$I$54,IF(N(Vintage_Input!S290)&gt;0,IFERROR((Vintage_Input!K290+Vintage_Input!AY290)/$C338+Products!$G$14-(Products!$G$43+Products!$G$19+Products!$G$43*Products!$G$22+Products!$G$44),""),""))</f>
        <v/>
      </c>
      <c r="BH338" s="81">
        <f>IF($B338=1,0,IF(Vintage_Input!$BH$290="","",Vintage_Input!$BH$290))</f>
        <v/>
      </c>
    </row>
    <row r="339">
      <c r="A339" s="23" t="n">
        <v>23</v>
      </c>
      <c r="B339" s="48">
        <f>Vintage_Input!$B$291</f>
        <v/>
      </c>
      <c r="C339" s="41">
        <f>IF(Vintage_Input!$C$291="",0,Vintage_Input!$C$291)</f>
        <v/>
      </c>
      <c r="D339" s="152">
        <f>IF($B339=1,$B$48,IF(N(Vintage_Input!L291)&gt;0,Vintage_Input!D291/Vintage_Input!L291,""))</f>
        <v/>
      </c>
      <c r="E339" s="152">
        <f>IF($B339=1,$C$48,IF(N(Vintage_Input!M291)&gt;0,Vintage_Input!E291/Vintage_Input!M291,""))</f>
        <v/>
      </c>
      <c r="F339" s="152">
        <f>IF($B339=1,$D$48,IF(N(Vintage_Input!N291)&gt;0,Vintage_Input!F291/Vintage_Input!N291,""))</f>
        <v/>
      </c>
      <c r="G339" s="152">
        <f>IF($B339=1,$E$48,IF(N(Vintage_Input!O291)&gt;0,Vintage_Input!G291/Vintage_Input!O291,""))</f>
        <v/>
      </c>
      <c r="H339" s="152">
        <f>IF($B339=1,$F$48,IF(N(Vintage_Input!P291)&gt;0,Vintage_Input!H291/Vintage_Input!P291,""))</f>
        <v/>
      </c>
      <c r="I339" s="152">
        <f>IF($B339=1,$G$48,IF(N(Vintage_Input!Q291)&gt;0,Vintage_Input!I291/Vintage_Input!Q291,""))</f>
        <v/>
      </c>
      <c r="J339" s="152">
        <f>IF($B339=1,$H$48,IF(N(Vintage_Input!R291)&gt;0,Vintage_Input!J291/Vintage_Input!R291,""))</f>
        <v/>
      </c>
      <c r="K339" s="152">
        <f>IF($B339=1,$I$48,IF(N(Vintage_Input!S291)&gt;0,Vintage_Input!K291/Vintage_Input!S291,""))</f>
        <v/>
      </c>
      <c r="L339" s="152">
        <f>IF($B339=1,$B$49,IF(N(Vintage_Input!L291)&gt;0,Vintage_Input!T291/Vintage_Input!L291,""))</f>
        <v/>
      </c>
      <c r="M339" s="152">
        <f>IF($B339=1,$C$49,IF(N(Vintage_Input!M291)&gt;0,Vintage_Input!U291/Vintage_Input!M291,""))</f>
        <v/>
      </c>
      <c r="N339" s="152">
        <f>IF($B339=1,$D$49,IF(N(Vintage_Input!N291)&gt;0,Vintage_Input!V291/Vintage_Input!N291,""))</f>
        <v/>
      </c>
      <c r="O339" s="152">
        <f>IF($B339=1,$E$49,IF(N(Vintage_Input!O291)&gt;0,Vintage_Input!W291/Vintage_Input!O291,""))</f>
        <v/>
      </c>
      <c r="P339" s="152">
        <f>IF($B339=1,$F$49,IF(N(Vintage_Input!P291)&gt;0,Vintage_Input!X291/Vintage_Input!P291,""))</f>
        <v/>
      </c>
      <c r="Q339" s="152">
        <f>IF($B339=1,$G$49,IF(N(Vintage_Input!Q291)&gt;0,Vintage_Input!Y291/Vintage_Input!Q291,""))</f>
        <v/>
      </c>
      <c r="R339" s="152">
        <f>IF($B339=1,$H$49,IF(N(Vintage_Input!R291)&gt;0,Vintage_Input!Z291/Vintage_Input!R291,""))</f>
        <v/>
      </c>
      <c r="S339" s="152">
        <f>IF($B339=1,$I$49,IF(N(Vintage_Input!S291)&gt;0,Vintage_Input!AA291/Vintage_Input!S291,""))</f>
        <v/>
      </c>
      <c r="T339" s="152">
        <f>IF($B339=1,$B$50,IF(N(Vintage_Input!L291)&gt;0,Vintage_Input!AB291/Vintage_Input!L291,""))</f>
        <v/>
      </c>
      <c r="U339" s="152">
        <f>IF($B339=1,$C$50,IF(N(Vintage_Input!M291)&gt;0,Vintage_Input!AC291/Vintage_Input!M291,""))</f>
        <v/>
      </c>
      <c r="V339" s="152">
        <f>IF($B339=1,$D$50,IF(N(Vintage_Input!N291)&gt;0,Vintage_Input!AD291/Vintage_Input!N291,""))</f>
        <v/>
      </c>
      <c r="W339" s="152">
        <f>IF($B339=1,$E$50,IF(N(Vintage_Input!O291)&gt;0,Vintage_Input!AE291/Vintage_Input!O291,""))</f>
        <v/>
      </c>
      <c r="X339" s="152">
        <f>IF($B339=1,$F$50,IF(N(Vintage_Input!P291)&gt;0,Vintage_Input!AF291/Vintage_Input!P291,""))</f>
        <v/>
      </c>
      <c r="Y339" s="152">
        <f>IF($B339=1,$G$50,IF(N(Vintage_Input!Q291)&gt;0,Vintage_Input!AG291/Vintage_Input!Q291,""))</f>
        <v/>
      </c>
      <c r="Z339" s="152">
        <f>IF($B339=1,$H$50,IF(N(Vintage_Input!R291)&gt;0,Vintage_Input!AH291/Vintage_Input!R291,""))</f>
        <v/>
      </c>
      <c r="AA339" s="152">
        <f>IF($B339=1,$I$50,IF(N(Vintage_Input!S291)&gt;0,Vintage_Input!AI291/Vintage_Input!S291,""))</f>
        <v/>
      </c>
      <c r="AB339" s="152">
        <f>IF($B339=1,$B$51,IF(N(Vintage_Input!L291)&gt;0,Vintage_Input!AJ291/Vintage_Input!L291,""))</f>
        <v/>
      </c>
      <c r="AC339" s="152">
        <f>IF($B339=1,$C$51,IF(N(Vintage_Input!M291)&gt;0,Vintage_Input!AK291/Vintage_Input!M291,""))</f>
        <v/>
      </c>
      <c r="AD339" s="152">
        <f>IF($B339=1,$D$51,IF(N(Vintage_Input!N291)&gt;0,Vintage_Input!AL291/Vintage_Input!N291,""))</f>
        <v/>
      </c>
      <c r="AE339" s="152">
        <f>IF($B339=1,$E$51,IF(N(Vintage_Input!O291)&gt;0,Vintage_Input!AM291/Vintage_Input!O291,""))</f>
        <v/>
      </c>
      <c r="AF339" s="152">
        <f>IF($B339=1,$F$51,IF(N(Vintage_Input!P291)&gt;0,Vintage_Input!AN291/Vintage_Input!P291,""))</f>
        <v/>
      </c>
      <c r="AG339" s="152">
        <f>IF($B339=1,$G$51,IF(N(Vintage_Input!Q291)&gt;0,Vintage_Input!AO291/Vintage_Input!Q291,""))</f>
        <v/>
      </c>
      <c r="AH339" s="152">
        <f>IF($B339=1,$H$51,IF(N(Vintage_Input!R291)&gt;0,Vintage_Input!AP291/Vintage_Input!R291,""))</f>
        <v/>
      </c>
      <c r="AI339" s="152">
        <f>IF($B339=1,$I$51,IF(N(Vintage_Input!S291)&gt;0,Vintage_Input!AQ291/Vintage_Input!S291,""))</f>
        <v/>
      </c>
      <c r="AJ339" s="152">
        <f>IF($B339=1,$B$52,IF(N(Vintage_Input!L291)&gt;0,IFERROR(Vintage_Input!AR291/Vintage_Input!AJ291,""),""))</f>
        <v/>
      </c>
      <c r="AK339" s="152">
        <f>IF($B339=1,$C$52,IF(N(Vintage_Input!M291)&gt;0,IFERROR(Vintage_Input!AS291/Vintage_Input!AK291,""),""))</f>
        <v/>
      </c>
      <c r="AL339" s="152">
        <f>IF($B339=1,$D$52,IF(N(Vintage_Input!N291)&gt;0,IFERROR(Vintage_Input!AT291/Vintage_Input!AL291,""),""))</f>
        <v/>
      </c>
      <c r="AM339" s="152">
        <f>IF($B339=1,$E$52,IF(N(Vintage_Input!O291)&gt;0,IFERROR(Vintage_Input!AU291/Vintage_Input!AM291,""),""))</f>
        <v/>
      </c>
      <c r="AN339" s="152">
        <f>IF($B339=1,$F$52,IF(N(Vintage_Input!P291)&gt;0,IFERROR(Vintage_Input!AV291/Vintage_Input!AN291,""),""))</f>
        <v/>
      </c>
      <c r="AO339" s="152">
        <f>IF($B339=1,$G$52,IF(N(Vintage_Input!Q291)&gt;0,IFERROR(Vintage_Input!AW291/Vintage_Input!AO291,""),""))</f>
        <v/>
      </c>
      <c r="AP339" s="152">
        <f>IF($B339=1,$H$52,IF(N(Vintage_Input!R291)&gt;0,IFERROR(Vintage_Input!AX291/Vintage_Input!AP291,""),""))</f>
        <v/>
      </c>
      <c r="AQ339" s="152">
        <f>IF($B339=1,$I$52,IF(N(Vintage_Input!S291)&gt;0,IFERROR(Vintage_Input!AY291/Vintage_Input!AQ291,""),""))</f>
        <v/>
      </c>
      <c r="AR339" s="152">
        <f>IF($B339=1,$B$53,IF(N(Vintage_Input!L291)&gt;0,IFERROR(Vintage_Input!AZ291/$C339,""),""))</f>
        <v/>
      </c>
      <c r="AS339" s="152">
        <f>IF($B339=1,$C$53,IF(N(Vintage_Input!M291)&gt;0,IFERROR(Vintage_Input!BA291/$C339,""),""))</f>
        <v/>
      </c>
      <c r="AT339" s="152">
        <f>IF($B339=1,$D$53,IF(N(Vintage_Input!N291)&gt;0,IFERROR(Vintage_Input!BB291/$C339,""),""))</f>
        <v/>
      </c>
      <c r="AU339" s="152">
        <f>IF($B339=1,$E$53,IF(N(Vintage_Input!O291)&gt;0,IFERROR(Vintage_Input!BC291/$C339,""),""))</f>
        <v/>
      </c>
      <c r="AV339" s="152">
        <f>IF($B339=1,$F$53,IF(N(Vintage_Input!P291)&gt;0,IFERROR(Vintage_Input!BD291/$C339,""),""))</f>
        <v/>
      </c>
      <c r="AW339" s="152">
        <f>IF($B339=1,$G$53,IF(N(Vintage_Input!Q291)&gt;0,IFERROR(Vintage_Input!BE291/$C339,""),""))</f>
        <v/>
      </c>
      <c r="AX339" s="152">
        <f>IF($B339=1,$H$53,IF(N(Vintage_Input!R291)&gt;0,IFERROR(Vintage_Input!BF291/$C339,""),""))</f>
        <v/>
      </c>
      <c r="AY339" s="152">
        <f>IF($B339=1,$I$53,IF(N(Vintage_Input!S291)&gt;0,IFERROR(Vintage_Input!BG291/$C339,""),""))</f>
        <v/>
      </c>
      <c r="AZ339" s="153">
        <f>IF($B339=1,$B$54,IF(N(Vintage_Input!L291)&gt;0,IFERROR((Vintage_Input!D291+Vintage_Input!AR291)/$C339+Products!$G$14-(Products!$G$43+Products!$G$19+Products!$G$43*Products!$G$22+Products!$G$44),""),""))</f>
        <v/>
      </c>
      <c r="BA339" s="153">
        <f>IF($B339=1,$C$54,IF(N(Vintage_Input!M291)&gt;0,IFERROR((Vintage_Input!E291+Vintage_Input!AS291)/$C339+Products!$G$14-(Products!$G$43+Products!$G$19+Products!$G$43*Products!$G$22+Products!$G$44),""),""))</f>
        <v/>
      </c>
      <c r="BB339" s="153">
        <f>IF($B339=1,$D$54,IF(N(Vintage_Input!N291)&gt;0,IFERROR((Vintage_Input!F291+Vintage_Input!AT291)/$C339+Products!$G$14-(Products!$G$43+Products!$G$19+Products!$G$43*Products!$G$22+Products!$G$44),""),""))</f>
        <v/>
      </c>
      <c r="BC339" s="153">
        <f>IF($B339=1,$E$54,IF(N(Vintage_Input!O291)&gt;0,IFERROR((Vintage_Input!G291+Vintage_Input!AU291)/$C339+Products!$G$14-(Products!$G$43+Products!$G$19+Products!$G$43*Products!$G$22+Products!$G$44),""),""))</f>
        <v/>
      </c>
      <c r="BD339" s="153">
        <f>IF($B339=1,$F$54,IF(N(Vintage_Input!P291)&gt;0,IFERROR((Vintage_Input!H291+Vintage_Input!AV291)/$C339+Products!$G$14-(Products!$G$43+Products!$G$19+Products!$G$43*Products!$G$22+Products!$G$44),""),""))</f>
        <v/>
      </c>
      <c r="BE339" s="153">
        <f>IF($B339=1,$G$54,IF(N(Vintage_Input!Q291)&gt;0,IFERROR((Vintage_Input!I291+Vintage_Input!AW291)/$C339+Products!$G$14-(Products!$G$43+Products!$G$19+Products!$G$43*Products!$G$22+Products!$G$44),""),""))</f>
        <v/>
      </c>
      <c r="BF339" s="153">
        <f>IF($B339=1,$H$54,IF(N(Vintage_Input!R291)&gt;0,IFERROR((Vintage_Input!J291+Vintage_Input!AX291)/$C339+Products!$G$14-(Products!$G$43+Products!$G$19+Products!$G$43*Products!$G$22+Products!$G$44),""),""))</f>
        <v/>
      </c>
      <c r="BG339" s="153">
        <f>IF($B339=1,$I$54,IF(N(Vintage_Input!S291)&gt;0,IFERROR((Vintage_Input!K291+Vintage_Input!AY291)/$C339+Products!$G$14-(Products!$G$43+Products!$G$19+Products!$G$43*Products!$G$22+Products!$G$44),""),""))</f>
        <v/>
      </c>
      <c r="BH339" s="81">
        <f>IF($B339=1,0,IF(Vintage_Input!$BH$291="","",Vintage_Input!$BH$291))</f>
        <v/>
      </c>
    </row>
    <row r="340">
      <c r="A340" s="23" t="n">
        <v>24</v>
      </c>
      <c r="B340" s="48">
        <f>Vintage_Input!$B$292</f>
        <v/>
      </c>
      <c r="C340" s="41">
        <f>IF(Vintage_Input!$C$292="",0,Vintage_Input!$C$292)</f>
        <v/>
      </c>
      <c r="D340" s="152">
        <f>IF($B340=1,$B$48,IF(N(Vintage_Input!L292)&gt;0,Vintage_Input!D292/Vintage_Input!L292,""))</f>
        <v/>
      </c>
      <c r="E340" s="152">
        <f>IF($B340=1,$C$48,IF(N(Vintage_Input!M292)&gt;0,Vintage_Input!E292/Vintage_Input!M292,""))</f>
        <v/>
      </c>
      <c r="F340" s="152">
        <f>IF($B340=1,$D$48,IF(N(Vintage_Input!N292)&gt;0,Vintage_Input!F292/Vintage_Input!N292,""))</f>
        <v/>
      </c>
      <c r="G340" s="152">
        <f>IF($B340=1,$E$48,IF(N(Vintage_Input!O292)&gt;0,Vintage_Input!G292/Vintage_Input!O292,""))</f>
        <v/>
      </c>
      <c r="H340" s="152">
        <f>IF($B340=1,$F$48,IF(N(Vintage_Input!P292)&gt;0,Vintage_Input!H292/Vintage_Input!P292,""))</f>
        <v/>
      </c>
      <c r="I340" s="152">
        <f>IF($B340=1,$G$48,IF(N(Vintage_Input!Q292)&gt;0,Vintage_Input!I292/Vintage_Input!Q292,""))</f>
        <v/>
      </c>
      <c r="J340" s="152">
        <f>IF($B340=1,$H$48,IF(N(Vintage_Input!R292)&gt;0,Vintage_Input!J292/Vintage_Input!R292,""))</f>
        <v/>
      </c>
      <c r="K340" s="152">
        <f>IF($B340=1,$I$48,IF(N(Vintage_Input!S292)&gt;0,Vintage_Input!K292/Vintage_Input!S292,""))</f>
        <v/>
      </c>
      <c r="L340" s="152">
        <f>IF($B340=1,$B$49,IF(N(Vintage_Input!L292)&gt;0,Vintage_Input!T292/Vintage_Input!L292,""))</f>
        <v/>
      </c>
      <c r="M340" s="152">
        <f>IF($B340=1,$C$49,IF(N(Vintage_Input!M292)&gt;0,Vintage_Input!U292/Vintage_Input!M292,""))</f>
        <v/>
      </c>
      <c r="N340" s="152">
        <f>IF($B340=1,$D$49,IF(N(Vintage_Input!N292)&gt;0,Vintage_Input!V292/Vintage_Input!N292,""))</f>
        <v/>
      </c>
      <c r="O340" s="152">
        <f>IF($B340=1,$E$49,IF(N(Vintage_Input!O292)&gt;0,Vintage_Input!W292/Vintage_Input!O292,""))</f>
        <v/>
      </c>
      <c r="P340" s="152">
        <f>IF($B340=1,$F$49,IF(N(Vintage_Input!P292)&gt;0,Vintage_Input!X292/Vintage_Input!P292,""))</f>
        <v/>
      </c>
      <c r="Q340" s="152">
        <f>IF($B340=1,$G$49,IF(N(Vintage_Input!Q292)&gt;0,Vintage_Input!Y292/Vintage_Input!Q292,""))</f>
        <v/>
      </c>
      <c r="R340" s="152">
        <f>IF($B340=1,$H$49,IF(N(Vintage_Input!R292)&gt;0,Vintage_Input!Z292/Vintage_Input!R292,""))</f>
        <v/>
      </c>
      <c r="S340" s="152">
        <f>IF($B340=1,$I$49,IF(N(Vintage_Input!S292)&gt;0,Vintage_Input!AA292/Vintage_Input!S292,""))</f>
        <v/>
      </c>
      <c r="T340" s="152">
        <f>IF($B340=1,$B$50,IF(N(Vintage_Input!L292)&gt;0,Vintage_Input!AB292/Vintage_Input!L292,""))</f>
        <v/>
      </c>
      <c r="U340" s="152">
        <f>IF($B340=1,$C$50,IF(N(Vintage_Input!M292)&gt;0,Vintage_Input!AC292/Vintage_Input!M292,""))</f>
        <v/>
      </c>
      <c r="V340" s="152">
        <f>IF($B340=1,$D$50,IF(N(Vintage_Input!N292)&gt;0,Vintage_Input!AD292/Vintage_Input!N292,""))</f>
        <v/>
      </c>
      <c r="W340" s="152">
        <f>IF($B340=1,$E$50,IF(N(Vintage_Input!O292)&gt;0,Vintage_Input!AE292/Vintage_Input!O292,""))</f>
        <v/>
      </c>
      <c r="X340" s="152">
        <f>IF($B340=1,$F$50,IF(N(Vintage_Input!P292)&gt;0,Vintage_Input!AF292/Vintage_Input!P292,""))</f>
        <v/>
      </c>
      <c r="Y340" s="152">
        <f>IF($B340=1,$G$50,IF(N(Vintage_Input!Q292)&gt;0,Vintage_Input!AG292/Vintage_Input!Q292,""))</f>
        <v/>
      </c>
      <c r="Z340" s="152">
        <f>IF($B340=1,$H$50,IF(N(Vintage_Input!R292)&gt;0,Vintage_Input!AH292/Vintage_Input!R292,""))</f>
        <v/>
      </c>
      <c r="AA340" s="152">
        <f>IF($B340=1,$I$50,IF(N(Vintage_Input!S292)&gt;0,Vintage_Input!AI292/Vintage_Input!S292,""))</f>
        <v/>
      </c>
      <c r="AB340" s="152">
        <f>IF($B340=1,$B$51,IF(N(Vintage_Input!L292)&gt;0,Vintage_Input!AJ292/Vintage_Input!L292,""))</f>
        <v/>
      </c>
      <c r="AC340" s="152">
        <f>IF($B340=1,$C$51,IF(N(Vintage_Input!M292)&gt;0,Vintage_Input!AK292/Vintage_Input!M292,""))</f>
        <v/>
      </c>
      <c r="AD340" s="152">
        <f>IF($B340=1,$D$51,IF(N(Vintage_Input!N292)&gt;0,Vintage_Input!AL292/Vintage_Input!N292,""))</f>
        <v/>
      </c>
      <c r="AE340" s="152">
        <f>IF($B340=1,$E$51,IF(N(Vintage_Input!O292)&gt;0,Vintage_Input!AM292/Vintage_Input!O292,""))</f>
        <v/>
      </c>
      <c r="AF340" s="152">
        <f>IF($B340=1,$F$51,IF(N(Vintage_Input!P292)&gt;0,Vintage_Input!AN292/Vintage_Input!P292,""))</f>
        <v/>
      </c>
      <c r="AG340" s="152">
        <f>IF($B340=1,$G$51,IF(N(Vintage_Input!Q292)&gt;0,Vintage_Input!AO292/Vintage_Input!Q292,""))</f>
        <v/>
      </c>
      <c r="AH340" s="152">
        <f>IF($B340=1,$H$51,IF(N(Vintage_Input!R292)&gt;0,Vintage_Input!AP292/Vintage_Input!R292,""))</f>
        <v/>
      </c>
      <c r="AI340" s="152">
        <f>IF($B340=1,$I$51,IF(N(Vintage_Input!S292)&gt;0,Vintage_Input!AQ292/Vintage_Input!S292,""))</f>
        <v/>
      </c>
      <c r="AJ340" s="152">
        <f>IF($B340=1,$B$52,IF(N(Vintage_Input!L292)&gt;0,IFERROR(Vintage_Input!AR292/Vintage_Input!AJ292,""),""))</f>
        <v/>
      </c>
      <c r="AK340" s="152">
        <f>IF($B340=1,$C$52,IF(N(Vintage_Input!M292)&gt;0,IFERROR(Vintage_Input!AS292/Vintage_Input!AK292,""),""))</f>
        <v/>
      </c>
      <c r="AL340" s="152">
        <f>IF($B340=1,$D$52,IF(N(Vintage_Input!N292)&gt;0,IFERROR(Vintage_Input!AT292/Vintage_Input!AL292,""),""))</f>
        <v/>
      </c>
      <c r="AM340" s="152">
        <f>IF($B340=1,$E$52,IF(N(Vintage_Input!O292)&gt;0,IFERROR(Vintage_Input!AU292/Vintage_Input!AM292,""),""))</f>
        <v/>
      </c>
      <c r="AN340" s="152">
        <f>IF($B340=1,$F$52,IF(N(Vintage_Input!P292)&gt;0,IFERROR(Vintage_Input!AV292/Vintage_Input!AN292,""),""))</f>
        <v/>
      </c>
      <c r="AO340" s="152">
        <f>IF($B340=1,$G$52,IF(N(Vintage_Input!Q292)&gt;0,IFERROR(Vintage_Input!AW292/Vintage_Input!AO292,""),""))</f>
        <v/>
      </c>
      <c r="AP340" s="152">
        <f>IF($B340=1,$H$52,IF(N(Vintage_Input!R292)&gt;0,IFERROR(Vintage_Input!AX292/Vintage_Input!AP292,""),""))</f>
        <v/>
      </c>
      <c r="AQ340" s="152">
        <f>IF($B340=1,$I$52,IF(N(Vintage_Input!S292)&gt;0,IFERROR(Vintage_Input!AY292/Vintage_Input!AQ292,""),""))</f>
        <v/>
      </c>
      <c r="AR340" s="152">
        <f>IF($B340=1,$B$53,IF(N(Vintage_Input!L292)&gt;0,IFERROR(Vintage_Input!AZ292/$C340,""),""))</f>
        <v/>
      </c>
      <c r="AS340" s="152">
        <f>IF($B340=1,$C$53,IF(N(Vintage_Input!M292)&gt;0,IFERROR(Vintage_Input!BA292/$C340,""),""))</f>
        <v/>
      </c>
      <c r="AT340" s="152">
        <f>IF($B340=1,$D$53,IF(N(Vintage_Input!N292)&gt;0,IFERROR(Vintage_Input!BB292/$C340,""),""))</f>
        <v/>
      </c>
      <c r="AU340" s="152">
        <f>IF($B340=1,$E$53,IF(N(Vintage_Input!O292)&gt;0,IFERROR(Vintage_Input!BC292/$C340,""),""))</f>
        <v/>
      </c>
      <c r="AV340" s="152">
        <f>IF($B340=1,$F$53,IF(N(Vintage_Input!P292)&gt;0,IFERROR(Vintage_Input!BD292/$C340,""),""))</f>
        <v/>
      </c>
      <c r="AW340" s="152">
        <f>IF($B340=1,$G$53,IF(N(Vintage_Input!Q292)&gt;0,IFERROR(Vintage_Input!BE292/$C340,""),""))</f>
        <v/>
      </c>
      <c r="AX340" s="152">
        <f>IF($B340=1,$H$53,IF(N(Vintage_Input!R292)&gt;0,IFERROR(Vintage_Input!BF292/$C340,""),""))</f>
        <v/>
      </c>
      <c r="AY340" s="152">
        <f>IF($B340=1,$I$53,IF(N(Vintage_Input!S292)&gt;0,IFERROR(Vintage_Input!BG292/$C340,""),""))</f>
        <v/>
      </c>
      <c r="AZ340" s="153">
        <f>IF($B340=1,$B$54,IF(N(Vintage_Input!L292)&gt;0,IFERROR((Vintage_Input!D292+Vintage_Input!AR292)/$C340+Products!$G$14-(Products!$G$43+Products!$G$19+Products!$G$43*Products!$G$22+Products!$G$44),""),""))</f>
        <v/>
      </c>
      <c r="BA340" s="153">
        <f>IF($B340=1,$C$54,IF(N(Vintage_Input!M292)&gt;0,IFERROR((Vintage_Input!E292+Vintage_Input!AS292)/$C340+Products!$G$14-(Products!$G$43+Products!$G$19+Products!$G$43*Products!$G$22+Products!$G$44),""),""))</f>
        <v/>
      </c>
      <c r="BB340" s="153">
        <f>IF($B340=1,$D$54,IF(N(Vintage_Input!N292)&gt;0,IFERROR((Vintage_Input!F292+Vintage_Input!AT292)/$C340+Products!$G$14-(Products!$G$43+Products!$G$19+Products!$G$43*Products!$G$22+Products!$G$44),""),""))</f>
        <v/>
      </c>
      <c r="BC340" s="153">
        <f>IF($B340=1,$E$54,IF(N(Vintage_Input!O292)&gt;0,IFERROR((Vintage_Input!G292+Vintage_Input!AU292)/$C340+Products!$G$14-(Products!$G$43+Products!$G$19+Products!$G$43*Products!$G$22+Products!$G$44),""),""))</f>
        <v/>
      </c>
      <c r="BD340" s="153">
        <f>IF($B340=1,$F$54,IF(N(Vintage_Input!P292)&gt;0,IFERROR((Vintage_Input!H292+Vintage_Input!AV292)/$C340+Products!$G$14-(Products!$G$43+Products!$G$19+Products!$G$43*Products!$G$22+Products!$G$44),""),""))</f>
        <v/>
      </c>
      <c r="BE340" s="153">
        <f>IF($B340=1,$G$54,IF(N(Vintage_Input!Q292)&gt;0,IFERROR((Vintage_Input!I292+Vintage_Input!AW292)/$C340+Products!$G$14-(Products!$G$43+Products!$G$19+Products!$G$43*Products!$G$22+Products!$G$44),""),""))</f>
        <v/>
      </c>
      <c r="BF340" s="153">
        <f>IF($B340=1,$H$54,IF(N(Vintage_Input!R292)&gt;0,IFERROR((Vintage_Input!J292+Vintage_Input!AX292)/$C340+Products!$G$14-(Products!$G$43+Products!$G$19+Products!$G$43*Products!$G$22+Products!$G$44),""),""))</f>
        <v/>
      </c>
      <c r="BG340" s="153">
        <f>IF($B340=1,$I$54,IF(N(Vintage_Input!S292)&gt;0,IFERROR((Vintage_Input!K292+Vintage_Input!AY292)/$C340+Products!$G$14-(Products!$G$43+Products!$G$19+Products!$G$43*Products!$G$22+Products!$G$44),""),""))</f>
        <v/>
      </c>
      <c r="BH340" s="81">
        <f>IF($B340=1,0,IF(Vintage_Input!$BH$292="","",Vintage_Input!$BH$292))</f>
        <v/>
      </c>
    </row>
    <row r="341">
      <c r="A341" s="23" t="n">
        <v>25</v>
      </c>
      <c r="B341" s="48">
        <f>Vintage_Input!$B$293</f>
        <v/>
      </c>
      <c r="C341" s="41">
        <f>IF(Vintage_Input!$C$293="",0,Vintage_Input!$C$293)</f>
        <v/>
      </c>
      <c r="D341" s="152">
        <f>IF($B341=1,$B$48,IF(N(Vintage_Input!L293)&gt;0,Vintage_Input!D293/Vintage_Input!L293,""))</f>
        <v/>
      </c>
      <c r="E341" s="152">
        <f>IF($B341=1,$C$48,IF(N(Vintage_Input!M293)&gt;0,Vintage_Input!E293/Vintage_Input!M293,""))</f>
        <v/>
      </c>
      <c r="F341" s="152">
        <f>IF($B341=1,$D$48,IF(N(Vintage_Input!N293)&gt;0,Vintage_Input!F293/Vintage_Input!N293,""))</f>
        <v/>
      </c>
      <c r="G341" s="152">
        <f>IF($B341=1,$E$48,IF(N(Vintage_Input!O293)&gt;0,Vintage_Input!G293/Vintage_Input!O293,""))</f>
        <v/>
      </c>
      <c r="H341" s="152">
        <f>IF($B341=1,$F$48,IF(N(Vintage_Input!P293)&gt;0,Vintage_Input!H293/Vintage_Input!P293,""))</f>
        <v/>
      </c>
      <c r="I341" s="152">
        <f>IF($B341=1,$G$48,IF(N(Vintage_Input!Q293)&gt;0,Vintage_Input!I293/Vintage_Input!Q293,""))</f>
        <v/>
      </c>
      <c r="J341" s="152">
        <f>IF($B341=1,$H$48,IF(N(Vintage_Input!R293)&gt;0,Vintage_Input!J293/Vintage_Input!R293,""))</f>
        <v/>
      </c>
      <c r="K341" s="152">
        <f>IF($B341=1,$I$48,IF(N(Vintage_Input!S293)&gt;0,Vintage_Input!K293/Vintage_Input!S293,""))</f>
        <v/>
      </c>
      <c r="L341" s="152">
        <f>IF($B341=1,$B$49,IF(N(Vintage_Input!L293)&gt;0,Vintage_Input!T293/Vintage_Input!L293,""))</f>
        <v/>
      </c>
      <c r="M341" s="152">
        <f>IF($B341=1,$C$49,IF(N(Vintage_Input!M293)&gt;0,Vintage_Input!U293/Vintage_Input!M293,""))</f>
        <v/>
      </c>
      <c r="N341" s="152">
        <f>IF($B341=1,$D$49,IF(N(Vintage_Input!N293)&gt;0,Vintage_Input!V293/Vintage_Input!N293,""))</f>
        <v/>
      </c>
      <c r="O341" s="152">
        <f>IF($B341=1,$E$49,IF(N(Vintage_Input!O293)&gt;0,Vintage_Input!W293/Vintage_Input!O293,""))</f>
        <v/>
      </c>
      <c r="P341" s="152">
        <f>IF($B341=1,$F$49,IF(N(Vintage_Input!P293)&gt;0,Vintage_Input!X293/Vintage_Input!P293,""))</f>
        <v/>
      </c>
      <c r="Q341" s="152">
        <f>IF($B341=1,$G$49,IF(N(Vintage_Input!Q293)&gt;0,Vintage_Input!Y293/Vintage_Input!Q293,""))</f>
        <v/>
      </c>
      <c r="R341" s="152">
        <f>IF($B341=1,$H$49,IF(N(Vintage_Input!R293)&gt;0,Vintage_Input!Z293/Vintage_Input!R293,""))</f>
        <v/>
      </c>
      <c r="S341" s="152">
        <f>IF($B341=1,$I$49,IF(N(Vintage_Input!S293)&gt;0,Vintage_Input!AA293/Vintage_Input!S293,""))</f>
        <v/>
      </c>
      <c r="T341" s="152">
        <f>IF($B341=1,$B$50,IF(N(Vintage_Input!L293)&gt;0,Vintage_Input!AB293/Vintage_Input!L293,""))</f>
        <v/>
      </c>
      <c r="U341" s="152">
        <f>IF($B341=1,$C$50,IF(N(Vintage_Input!M293)&gt;0,Vintage_Input!AC293/Vintage_Input!M293,""))</f>
        <v/>
      </c>
      <c r="V341" s="152">
        <f>IF($B341=1,$D$50,IF(N(Vintage_Input!N293)&gt;0,Vintage_Input!AD293/Vintage_Input!N293,""))</f>
        <v/>
      </c>
      <c r="W341" s="152">
        <f>IF($B341=1,$E$50,IF(N(Vintage_Input!O293)&gt;0,Vintage_Input!AE293/Vintage_Input!O293,""))</f>
        <v/>
      </c>
      <c r="X341" s="152">
        <f>IF($B341=1,$F$50,IF(N(Vintage_Input!P293)&gt;0,Vintage_Input!AF293/Vintage_Input!P293,""))</f>
        <v/>
      </c>
      <c r="Y341" s="152">
        <f>IF($B341=1,$G$50,IF(N(Vintage_Input!Q293)&gt;0,Vintage_Input!AG293/Vintage_Input!Q293,""))</f>
        <v/>
      </c>
      <c r="Z341" s="152">
        <f>IF($B341=1,$H$50,IF(N(Vintage_Input!R293)&gt;0,Vintage_Input!AH293/Vintage_Input!R293,""))</f>
        <v/>
      </c>
      <c r="AA341" s="152">
        <f>IF($B341=1,$I$50,IF(N(Vintage_Input!S293)&gt;0,Vintage_Input!AI293/Vintage_Input!S293,""))</f>
        <v/>
      </c>
      <c r="AB341" s="152">
        <f>IF($B341=1,$B$51,IF(N(Vintage_Input!L293)&gt;0,Vintage_Input!AJ293/Vintage_Input!L293,""))</f>
        <v/>
      </c>
      <c r="AC341" s="152">
        <f>IF($B341=1,$C$51,IF(N(Vintage_Input!M293)&gt;0,Vintage_Input!AK293/Vintage_Input!M293,""))</f>
        <v/>
      </c>
      <c r="AD341" s="152">
        <f>IF($B341=1,$D$51,IF(N(Vintage_Input!N293)&gt;0,Vintage_Input!AL293/Vintage_Input!N293,""))</f>
        <v/>
      </c>
      <c r="AE341" s="152">
        <f>IF($B341=1,$E$51,IF(N(Vintage_Input!O293)&gt;0,Vintage_Input!AM293/Vintage_Input!O293,""))</f>
        <v/>
      </c>
      <c r="AF341" s="152">
        <f>IF($B341=1,$F$51,IF(N(Vintage_Input!P293)&gt;0,Vintage_Input!AN293/Vintage_Input!P293,""))</f>
        <v/>
      </c>
      <c r="AG341" s="152">
        <f>IF($B341=1,$G$51,IF(N(Vintage_Input!Q293)&gt;0,Vintage_Input!AO293/Vintage_Input!Q293,""))</f>
        <v/>
      </c>
      <c r="AH341" s="152">
        <f>IF($B341=1,$H$51,IF(N(Vintage_Input!R293)&gt;0,Vintage_Input!AP293/Vintage_Input!R293,""))</f>
        <v/>
      </c>
      <c r="AI341" s="152">
        <f>IF($B341=1,$I$51,IF(N(Vintage_Input!S293)&gt;0,Vintage_Input!AQ293/Vintage_Input!S293,""))</f>
        <v/>
      </c>
      <c r="AJ341" s="152">
        <f>IF($B341=1,$B$52,IF(N(Vintage_Input!L293)&gt;0,IFERROR(Vintage_Input!AR293/Vintage_Input!AJ293,""),""))</f>
        <v/>
      </c>
      <c r="AK341" s="152">
        <f>IF($B341=1,$C$52,IF(N(Vintage_Input!M293)&gt;0,IFERROR(Vintage_Input!AS293/Vintage_Input!AK293,""),""))</f>
        <v/>
      </c>
      <c r="AL341" s="152">
        <f>IF($B341=1,$D$52,IF(N(Vintage_Input!N293)&gt;0,IFERROR(Vintage_Input!AT293/Vintage_Input!AL293,""),""))</f>
        <v/>
      </c>
      <c r="AM341" s="152">
        <f>IF($B341=1,$E$52,IF(N(Vintage_Input!O293)&gt;0,IFERROR(Vintage_Input!AU293/Vintage_Input!AM293,""),""))</f>
        <v/>
      </c>
      <c r="AN341" s="152">
        <f>IF($B341=1,$F$52,IF(N(Vintage_Input!P293)&gt;0,IFERROR(Vintage_Input!AV293/Vintage_Input!AN293,""),""))</f>
        <v/>
      </c>
      <c r="AO341" s="152">
        <f>IF($B341=1,$G$52,IF(N(Vintage_Input!Q293)&gt;0,IFERROR(Vintage_Input!AW293/Vintage_Input!AO293,""),""))</f>
        <v/>
      </c>
      <c r="AP341" s="152">
        <f>IF($B341=1,$H$52,IF(N(Vintage_Input!R293)&gt;0,IFERROR(Vintage_Input!AX293/Vintage_Input!AP293,""),""))</f>
        <v/>
      </c>
      <c r="AQ341" s="152">
        <f>IF($B341=1,$I$52,IF(N(Vintage_Input!S293)&gt;0,IFERROR(Vintage_Input!AY293/Vintage_Input!AQ293,""),""))</f>
        <v/>
      </c>
      <c r="AR341" s="152">
        <f>IF($B341=1,$B$53,IF(N(Vintage_Input!L293)&gt;0,IFERROR(Vintage_Input!AZ293/$C341,""),""))</f>
        <v/>
      </c>
      <c r="AS341" s="152">
        <f>IF($B341=1,$C$53,IF(N(Vintage_Input!M293)&gt;0,IFERROR(Vintage_Input!BA293/$C341,""),""))</f>
        <v/>
      </c>
      <c r="AT341" s="152">
        <f>IF($B341=1,$D$53,IF(N(Vintage_Input!N293)&gt;0,IFERROR(Vintage_Input!BB293/$C341,""),""))</f>
        <v/>
      </c>
      <c r="AU341" s="152">
        <f>IF($B341=1,$E$53,IF(N(Vintage_Input!O293)&gt;0,IFERROR(Vintage_Input!BC293/$C341,""),""))</f>
        <v/>
      </c>
      <c r="AV341" s="152">
        <f>IF($B341=1,$F$53,IF(N(Vintage_Input!P293)&gt;0,IFERROR(Vintage_Input!BD293/$C341,""),""))</f>
        <v/>
      </c>
      <c r="AW341" s="152">
        <f>IF($B341=1,$G$53,IF(N(Vintage_Input!Q293)&gt;0,IFERROR(Vintage_Input!BE293/$C341,""),""))</f>
        <v/>
      </c>
      <c r="AX341" s="152">
        <f>IF($B341=1,$H$53,IF(N(Vintage_Input!R293)&gt;0,IFERROR(Vintage_Input!BF293/$C341,""),""))</f>
        <v/>
      </c>
      <c r="AY341" s="152">
        <f>IF($B341=1,$I$53,IF(N(Vintage_Input!S293)&gt;0,IFERROR(Vintage_Input!BG293/$C341,""),""))</f>
        <v/>
      </c>
      <c r="AZ341" s="153">
        <f>IF($B341=1,$B$54,IF(N(Vintage_Input!L293)&gt;0,IFERROR((Vintage_Input!D293+Vintage_Input!AR293)/$C341+Products!$G$14-(Products!$G$43+Products!$G$19+Products!$G$43*Products!$G$22+Products!$G$44),""),""))</f>
        <v/>
      </c>
      <c r="BA341" s="153">
        <f>IF($B341=1,$C$54,IF(N(Vintage_Input!M293)&gt;0,IFERROR((Vintage_Input!E293+Vintage_Input!AS293)/$C341+Products!$G$14-(Products!$G$43+Products!$G$19+Products!$G$43*Products!$G$22+Products!$G$44),""),""))</f>
        <v/>
      </c>
      <c r="BB341" s="153">
        <f>IF($B341=1,$D$54,IF(N(Vintage_Input!N293)&gt;0,IFERROR((Vintage_Input!F293+Vintage_Input!AT293)/$C341+Products!$G$14-(Products!$G$43+Products!$G$19+Products!$G$43*Products!$G$22+Products!$G$44),""),""))</f>
        <v/>
      </c>
      <c r="BC341" s="153">
        <f>IF($B341=1,$E$54,IF(N(Vintage_Input!O293)&gt;0,IFERROR((Vintage_Input!G293+Vintage_Input!AU293)/$C341+Products!$G$14-(Products!$G$43+Products!$G$19+Products!$G$43*Products!$G$22+Products!$G$44),""),""))</f>
        <v/>
      </c>
      <c r="BD341" s="153">
        <f>IF($B341=1,$F$54,IF(N(Vintage_Input!P293)&gt;0,IFERROR((Vintage_Input!H293+Vintage_Input!AV293)/$C341+Products!$G$14-(Products!$G$43+Products!$G$19+Products!$G$43*Products!$G$22+Products!$G$44),""),""))</f>
        <v/>
      </c>
      <c r="BE341" s="153">
        <f>IF($B341=1,$G$54,IF(N(Vintage_Input!Q293)&gt;0,IFERROR((Vintage_Input!I293+Vintage_Input!AW293)/$C341+Products!$G$14-(Products!$G$43+Products!$G$19+Products!$G$43*Products!$G$22+Products!$G$44),""),""))</f>
        <v/>
      </c>
      <c r="BF341" s="153">
        <f>IF($B341=1,$H$54,IF(N(Vintage_Input!R293)&gt;0,IFERROR((Vintage_Input!J293+Vintage_Input!AX293)/$C341+Products!$G$14-(Products!$G$43+Products!$G$19+Products!$G$43*Products!$G$22+Products!$G$44),""),""))</f>
        <v/>
      </c>
      <c r="BG341" s="153">
        <f>IF($B341=1,$I$54,IF(N(Vintage_Input!S293)&gt;0,IFERROR((Vintage_Input!K293+Vintage_Input!AY293)/$C341+Products!$G$14-(Products!$G$43+Products!$G$19+Products!$G$43*Products!$G$22+Products!$G$44),""),""))</f>
        <v/>
      </c>
      <c r="BH341" s="81">
        <f>IF($B341=1,0,IF(Vintage_Input!$BH$293="","",Vintage_Input!$BH$293))</f>
        <v/>
      </c>
    </row>
    <row r="342">
      <c r="A342" s="23" t="n">
        <v>26</v>
      </c>
      <c r="B342" s="48">
        <f>Vintage_Input!$B$294</f>
        <v/>
      </c>
      <c r="C342" s="41">
        <f>IF(Vintage_Input!$C$294="",0,Vintage_Input!$C$294)</f>
        <v/>
      </c>
      <c r="D342" s="152">
        <f>IF($B342=1,$B$48,IF(N(Vintage_Input!L294)&gt;0,Vintage_Input!D294/Vintage_Input!L294,""))</f>
        <v/>
      </c>
      <c r="E342" s="152">
        <f>IF($B342=1,$C$48,IF(N(Vintage_Input!M294)&gt;0,Vintage_Input!E294/Vintage_Input!M294,""))</f>
        <v/>
      </c>
      <c r="F342" s="152">
        <f>IF($B342=1,$D$48,IF(N(Vintage_Input!N294)&gt;0,Vintage_Input!F294/Vintage_Input!N294,""))</f>
        <v/>
      </c>
      <c r="G342" s="152">
        <f>IF($B342=1,$E$48,IF(N(Vintage_Input!O294)&gt;0,Vintage_Input!G294/Vintage_Input!O294,""))</f>
        <v/>
      </c>
      <c r="H342" s="152">
        <f>IF($B342=1,$F$48,IF(N(Vintage_Input!P294)&gt;0,Vintage_Input!H294/Vintage_Input!P294,""))</f>
        <v/>
      </c>
      <c r="I342" s="152">
        <f>IF($B342=1,$G$48,IF(N(Vintage_Input!Q294)&gt;0,Vintage_Input!I294/Vintage_Input!Q294,""))</f>
        <v/>
      </c>
      <c r="J342" s="152">
        <f>IF($B342=1,$H$48,IF(N(Vintage_Input!R294)&gt;0,Vintage_Input!J294/Vintage_Input!R294,""))</f>
        <v/>
      </c>
      <c r="K342" s="152">
        <f>IF($B342=1,$I$48,IF(N(Vintage_Input!S294)&gt;0,Vintage_Input!K294/Vintage_Input!S294,""))</f>
        <v/>
      </c>
      <c r="L342" s="152">
        <f>IF($B342=1,$B$49,IF(N(Vintage_Input!L294)&gt;0,Vintage_Input!T294/Vintage_Input!L294,""))</f>
        <v/>
      </c>
      <c r="M342" s="152">
        <f>IF($B342=1,$C$49,IF(N(Vintage_Input!M294)&gt;0,Vintage_Input!U294/Vintage_Input!M294,""))</f>
        <v/>
      </c>
      <c r="N342" s="152">
        <f>IF($B342=1,$D$49,IF(N(Vintage_Input!N294)&gt;0,Vintage_Input!V294/Vintage_Input!N294,""))</f>
        <v/>
      </c>
      <c r="O342" s="152">
        <f>IF($B342=1,$E$49,IF(N(Vintage_Input!O294)&gt;0,Vintage_Input!W294/Vintage_Input!O294,""))</f>
        <v/>
      </c>
      <c r="P342" s="152">
        <f>IF($B342=1,$F$49,IF(N(Vintage_Input!P294)&gt;0,Vintage_Input!X294/Vintage_Input!P294,""))</f>
        <v/>
      </c>
      <c r="Q342" s="152">
        <f>IF($B342=1,$G$49,IF(N(Vintage_Input!Q294)&gt;0,Vintage_Input!Y294/Vintage_Input!Q294,""))</f>
        <v/>
      </c>
      <c r="R342" s="152">
        <f>IF($B342=1,$H$49,IF(N(Vintage_Input!R294)&gt;0,Vintage_Input!Z294/Vintage_Input!R294,""))</f>
        <v/>
      </c>
      <c r="S342" s="152">
        <f>IF($B342=1,$I$49,IF(N(Vintage_Input!S294)&gt;0,Vintage_Input!AA294/Vintage_Input!S294,""))</f>
        <v/>
      </c>
      <c r="T342" s="152">
        <f>IF($B342=1,$B$50,IF(N(Vintage_Input!L294)&gt;0,Vintage_Input!AB294/Vintage_Input!L294,""))</f>
        <v/>
      </c>
      <c r="U342" s="152">
        <f>IF($B342=1,$C$50,IF(N(Vintage_Input!M294)&gt;0,Vintage_Input!AC294/Vintage_Input!M294,""))</f>
        <v/>
      </c>
      <c r="V342" s="152">
        <f>IF($B342=1,$D$50,IF(N(Vintage_Input!N294)&gt;0,Vintage_Input!AD294/Vintage_Input!N294,""))</f>
        <v/>
      </c>
      <c r="W342" s="152">
        <f>IF($B342=1,$E$50,IF(N(Vintage_Input!O294)&gt;0,Vintage_Input!AE294/Vintage_Input!O294,""))</f>
        <v/>
      </c>
      <c r="X342" s="152">
        <f>IF($B342=1,$F$50,IF(N(Vintage_Input!P294)&gt;0,Vintage_Input!AF294/Vintage_Input!P294,""))</f>
        <v/>
      </c>
      <c r="Y342" s="152">
        <f>IF($B342=1,$G$50,IF(N(Vintage_Input!Q294)&gt;0,Vintage_Input!AG294/Vintage_Input!Q294,""))</f>
        <v/>
      </c>
      <c r="Z342" s="152">
        <f>IF($B342=1,$H$50,IF(N(Vintage_Input!R294)&gt;0,Vintage_Input!AH294/Vintage_Input!R294,""))</f>
        <v/>
      </c>
      <c r="AA342" s="152">
        <f>IF($B342=1,$I$50,IF(N(Vintage_Input!S294)&gt;0,Vintage_Input!AI294/Vintage_Input!S294,""))</f>
        <v/>
      </c>
      <c r="AB342" s="152">
        <f>IF($B342=1,$B$51,IF(N(Vintage_Input!L294)&gt;0,Vintage_Input!AJ294/Vintage_Input!L294,""))</f>
        <v/>
      </c>
      <c r="AC342" s="152">
        <f>IF($B342=1,$C$51,IF(N(Vintage_Input!M294)&gt;0,Vintage_Input!AK294/Vintage_Input!M294,""))</f>
        <v/>
      </c>
      <c r="AD342" s="152">
        <f>IF($B342=1,$D$51,IF(N(Vintage_Input!N294)&gt;0,Vintage_Input!AL294/Vintage_Input!N294,""))</f>
        <v/>
      </c>
      <c r="AE342" s="152">
        <f>IF($B342=1,$E$51,IF(N(Vintage_Input!O294)&gt;0,Vintage_Input!AM294/Vintage_Input!O294,""))</f>
        <v/>
      </c>
      <c r="AF342" s="152">
        <f>IF($B342=1,$F$51,IF(N(Vintage_Input!P294)&gt;0,Vintage_Input!AN294/Vintage_Input!P294,""))</f>
        <v/>
      </c>
      <c r="AG342" s="152">
        <f>IF($B342=1,$G$51,IF(N(Vintage_Input!Q294)&gt;0,Vintage_Input!AO294/Vintage_Input!Q294,""))</f>
        <v/>
      </c>
      <c r="AH342" s="152">
        <f>IF($B342=1,$H$51,IF(N(Vintage_Input!R294)&gt;0,Vintage_Input!AP294/Vintage_Input!R294,""))</f>
        <v/>
      </c>
      <c r="AI342" s="152">
        <f>IF($B342=1,$I$51,IF(N(Vintage_Input!S294)&gt;0,Vintage_Input!AQ294/Vintage_Input!S294,""))</f>
        <v/>
      </c>
      <c r="AJ342" s="152">
        <f>IF($B342=1,$B$52,IF(N(Vintage_Input!L294)&gt;0,IFERROR(Vintage_Input!AR294/Vintage_Input!AJ294,""),""))</f>
        <v/>
      </c>
      <c r="AK342" s="152">
        <f>IF($B342=1,$C$52,IF(N(Vintage_Input!M294)&gt;0,IFERROR(Vintage_Input!AS294/Vintage_Input!AK294,""),""))</f>
        <v/>
      </c>
      <c r="AL342" s="152">
        <f>IF($B342=1,$D$52,IF(N(Vintage_Input!N294)&gt;0,IFERROR(Vintage_Input!AT294/Vintage_Input!AL294,""),""))</f>
        <v/>
      </c>
      <c r="AM342" s="152">
        <f>IF($B342=1,$E$52,IF(N(Vintage_Input!O294)&gt;0,IFERROR(Vintage_Input!AU294/Vintage_Input!AM294,""),""))</f>
        <v/>
      </c>
      <c r="AN342" s="152">
        <f>IF($B342=1,$F$52,IF(N(Vintage_Input!P294)&gt;0,IFERROR(Vintage_Input!AV294/Vintage_Input!AN294,""),""))</f>
        <v/>
      </c>
      <c r="AO342" s="152">
        <f>IF($B342=1,$G$52,IF(N(Vintage_Input!Q294)&gt;0,IFERROR(Vintage_Input!AW294/Vintage_Input!AO294,""),""))</f>
        <v/>
      </c>
      <c r="AP342" s="152">
        <f>IF($B342=1,$H$52,IF(N(Vintage_Input!R294)&gt;0,IFERROR(Vintage_Input!AX294/Vintage_Input!AP294,""),""))</f>
        <v/>
      </c>
      <c r="AQ342" s="152">
        <f>IF($B342=1,$I$52,IF(N(Vintage_Input!S294)&gt;0,IFERROR(Vintage_Input!AY294/Vintage_Input!AQ294,""),""))</f>
        <v/>
      </c>
      <c r="AR342" s="152">
        <f>IF($B342=1,$B$53,IF(N(Vintage_Input!L294)&gt;0,IFERROR(Vintage_Input!AZ294/$C342,""),""))</f>
        <v/>
      </c>
      <c r="AS342" s="152">
        <f>IF($B342=1,$C$53,IF(N(Vintage_Input!M294)&gt;0,IFERROR(Vintage_Input!BA294/$C342,""),""))</f>
        <v/>
      </c>
      <c r="AT342" s="152">
        <f>IF($B342=1,$D$53,IF(N(Vintage_Input!N294)&gt;0,IFERROR(Vintage_Input!BB294/$C342,""),""))</f>
        <v/>
      </c>
      <c r="AU342" s="152">
        <f>IF($B342=1,$E$53,IF(N(Vintage_Input!O294)&gt;0,IFERROR(Vintage_Input!BC294/$C342,""),""))</f>
        <v/>
      </c>
      <c r="AV342" s="152">
        <f>IF($B342=1,$F$53,IF(N(Vintage_Input!P294)&gt;0,IFERROR(Vintage_Input!BD294/$C342,""),""))</f>
        <v/>
      </c>
      <c r="AW342" s="152">
        <f>IF($B342=1,$G$53,IF(N(Vintage_Input!Q294)&gt;0,IFERROR(Vintage_Input!BE294/$C342,""),""))</f>
        <v/>
      </c>
      <c r="AX342" s="152">
        <f>IF($B342=1,$H$53,IF(N(Vintage_Input!R294)&gt;0,IFERROR(Vintage_Input!BF294/$C342,""),""))</f>
        <v/>
      </c>
      <c r="AY342" s="152">
        <f>IF($B342=1,$I$53,IF(N(Vintage_Input!S294)&gt;0,IFERROR(Vintage_Input!BG294/$C342,""),""))</f>
        <v/>
      </c>
      <c r="AZ342" s="153">
        <f>IF($B342=1,$B$54,IF(N(Vintage_Input!L294)&gt;0,IFERROR((Vintage_Input!D294+Vintage_Input!AR294)/$C342+Products!$G$14-(Products!$G$43+Products!$G$19+Products!$G$43*Products!$G$22+Products!$G$44),""),""))</f>
        <v/>
      </c>
      <c r="BA342" s="153">
        <f>IF($B342=1,$C$54,IF(N(Vintage_Input!M294)&gt;0,IFERROR((Vintage_Input!E294+Vintage_Input!AS294)/$C342+Products!$G$14-(Products!$G$43+Products!$G$19+Products!$G$43*Products!$G$22+Products!$G$44),""),""))</f>
        <v/>
      </c>
      <c r="BB342" s="153">
        <f>IF($B342=1,$D$54,IF(N(Vintage_Input!N294)&gt;0,IFERROR((Vintage_Input!F294+Vintage_Input!AT294)/$C342+Products!$G$14-(Products!$G$43+Products!$G$19+Products!$G$43*Products!$G$22+Products!$G$44),""),""))</f>
        <v/>
      </c>
      <c r="BC342" s="153">
        <f>IF($B342=1,$E$54,IF(N(Vintage_Input!O294)&gt;0,IFERROR((Vintage_Input!G294+Vintage_Input!AU294)/$C342+Products!$G$14-(Products!$G$43+Products!$G$19+Products!$G$43*Products!$G$22+Products!$G$44),""),""))</f>
        <v/>
      </c>
      <c r="BD342" s="153">
        <f>IF($B342=1,$F$54,IF(N(Vintage_Input!P294)&gt;0,IFERROR((Vintage_Input!H294+Vintage_Input!AV294)/$C342+Products!$G$14-(Products!$G$43+Products!$G$19+Products!$G$43*Products!$G$22+Products!$G$44),""),""))</f>
        <v/>
      </c>
      <c r="BE342" s="153">
        <f>IF($B342=1,$G$54,IF(N(Vintage_Input!Q294)&gt;0,IFERROR((Vintage_Input!I294+Vintage_Input!AW294)/$C342+Products!$G$14-(Products!$G$43+Products!$G$19+Products!$G$43*Products!$G$22+Products!$G$44),""),""))</f>
        <v/>
      </c>
      <c r="BF342" s="153">
        <f>IF($B342=1,$H$54,IF(N(Vintage_Input!R294)&gt;0,IFERROR((Vintage_Input!J294+Vintage_Input!AX294)/$C342+Products!$G$14-(Products!$G$43+Products!$G$19+Products!$G$43*Products!$G$22+Products!$G$44),""),""))</f>
        <v/>
      </c>
      <c r="BG342" s="153">
        <f>IF($B342=1,$I$54,IF(N(Vintage_Input!S294)&gt;0,IFERROR((Vintage_Input!K294+Vintage_Input!AY294)/$C342+Products!$G$14-(Products!$G$43+Products!$G$19+Products!$G$43*Products!$G$22+Products!$G$44),""),""))</f>
        <v/>
      </c>
      <c r="BH342" s="81">
        <f>IF($B342=1,0,IF(Vintage_Input!$BH$294="","",Vintage_Input!$BH$294))</f>
        <v/>
      </c>
    </row>
    <row r="343">
      <c r="A343" s="23" t="n">
        <v>27</v>
      </c>
      <c r="B343" s="48">
        <f>Vintage_Input!$B$295</f>
        <v/>
      </c>
      <c r="C343" s="41">
        <f>IF(Vintage_Input!$C$295="",0,Vintage_Input!$C$295)</f>
        <v/>
      </c>
      <c r="D343" s="152">
        <f>IF($B343=1,$B$48,IF(N(Vintage_Input!L295)&gt;0,Vintage_Input!D295/Vintage_Input!L295,""))</f>
        <v/>
      </c>
      <c r="E343" s="152">
        <f>IF($B343=1,$C$48,IF(N(Vintage_Input!M295)&gt;0,Vintage_Input!E295/Vintage_Input!M295,""))</f>
        <v/>
      </c>
      <c r="F343" s="152">
        <f>IF($B343=1,$D$48,IF(N(Vintage_Input!N295)&gt;0,Vintage_Input!F295/Vintage_Input!N295,""))</f>
        <v/>
      </c>
      <c r="G343" s="152">
        <f>IF($B343=1,$E$48,IF(N(Vintage_Input!O295)&gt;0,Vintage_Input!G295/Vintage_Input!O295,""))</f>
        <v/>
      </c>
      <c r="H343" s="152">
        <f>IF($B343=1,$F$48,IF(N(Vintage_Input!P295)&gt;0,Vintage_Input!H295/Vintage_Input!P295,""))</f>
        <v/>
      </c>
      <c r="I343" s="152">
        <f>IF($B343=1,$G$48,IF(N(Vintage_Input!Q295)&gt;0,Vintage_Input!I295/Vintage_Input!Q295,""))</f>
        <v/>
      </c>
      <c r="J343" s="152">
        <f>IF($B343=1,$H$48,IF(N(Vintage_Input!R295)&gt;0,Vintage_Input!J295/Vintage_Input!R295,""))</f>
        <v/>
      </c>
      <c r="K343" s="152">
        <f>IF($B343=1,$I$48,IF(N(Vintage_Input!S295)&gt;0,Vintage_Input!K295/Vintage_Input!S295,""))</f>
        <v/>
      </c>
      <c r="L343" s="152">
        <f>IF($B343=1,$B$49,IF(N(Vintage_Input!L295)&gt;0,Vintage_Input!T295/Vintage_Input!L295,""))</f>
        <v/>
      </c>
      <c r="M343" s="152">
        <f>IF($B343=1,$C$49,IF(N(Vintage_Input!M295)&gt;0,Vintage_Input!U295/Vintage_Input!M295,""))</f>
        <v/>
      </c>
      <c r="N343" s="152">
        <f>IF($B343=1,$D$49,IF(N(Vintage_Input!N295)&gt;0,Vintage_Input!V295/Vintage_Input!N295,""))</f>
        <v/>
      </c>
      <c r="O343" s="152">
        <f>IF($B343=1,$E$49,IF(N(Vintage_Input!O295)&gt;0,Vintage_Input!W295/Vintage_Input!O295,""))</f>
        <v/>
      </c>
      <c r="P343" s="152">
        <f>IF($B343=1,$F$49,IF(N(Vintage_Input!P295)&gt;0,Vintage_Input!X295/Vintage_Input!P295,""))</f>
        <v/>
      </c>
      <c r="Q343" s="152">
        <f>IF($B343=1,$G$49,IF(N(Vintage_Input!Q295)&gt;0,Vintage_Input!Y295/Vintage_Input!Q295,""))</f>
        <v/>
      </c>
      <c r="R343" s="152">
        <f>IF($B343=1,$H$49,IF(N(Vintage_Input!R295)&gt;0,Vintage_Input!Z295/Vintage_Input!R295,""))</f>
        <v/>
      </c>
      <c r="S343" s="152">
        <f>IF($B343=1,$I$49,IF(N(Vintage_Input!S295)&gt;0,Vintage_Input!AA295/Vintage_Input!S295,""))</f>
        <v/>
      </c>
      <c r="T343" s="152">
        <f>IF($B343=1,$B$50,IF(N(Vintage_Input!L295)&gt;0,Vintage_Input!AB295/Vintage_Input!L295,""))</f>
        <v/>
      </c>
      <c r="U343" s="152">
        <f>IF($B343=1,$C$50,IF(N(Vintage_Input!M295)&gt;0,Vintage_Input!AC295/Vintage_Input!M295,""))</f>
        <v/>
      </c>
      <c r="V343" s="152">
        <f>IF($B343=1,$D$50,IF(N(Vintage_Input!N295)&gt;0,Vintage_Input!AD295/Vintage_Input!N295,""))</f>
        <v/>
      </c>
      <c r="W343" s="152">
        <f>IF($B343=1,$E$50,IF(N(Vintage_Input!O295)&gt;0,Vintage_Input!AE295/Vintage_Input!O295,""))</f>
        <v/>
      </c>
      <c r="X343" s="152">
        <f>IF($B343=1,$F$50,IF(N(Vintage_Input!P295)&gt;0,Vintage_Input!AF295/Vintage_Input!P295,""))</f>
        <v/>
      </c>
      <c r="Y343" s="152">
        <f>IF($B343=1,$G$50,IF(N(Vintage_Input!Q295)&gt;0,Vintage_Input!AG295/Vintage_Input!Q295,""))</f>
        <v/>
      </c>
      <c r="Z343" s="152">
        <f>IF($B343=1,$H$50,IF(N(Vintage_Input!R295)&gt;0,Vintage_Input!AH295/Vintage_Input!R295,""))</f>
        <v/>
      </c>
      <c r="AA343" s="152">
        <f>IF($B343=1,$I$50,IF(N(Vintage_Input!S295)&gt;0,Vintage_Input!AI295/Vintage_Input!S295,""))</f>
        <v/>
      </c>
      <c r="AB343" s="152">
        <f>IF($B343=1,$B$51,IF(N(Vintage_Input!L295)&gt;0,Vintage_Input!AJ295/Vintage_Input!L295,""))</f>
        <v/>
      </c>
      <c r="AC343" s="152">
        <f>IF($B343=1,$C$51,IF(N(Vintage_Input!M295)&gt;0,Vintage_Input!AK295/Vintage_Input!M295,""))</f>
        <v/>
      </c>
      <c r="AD343" s="152">
        <f>IF($B343=1,$D$51,IF(N(Vintage_Input!N295)&gt;0,Vintage_Input!AL295/Vintage_Input!N295,""))</f>
        <v/>
      </c>
      <c r="AE343" s="152">
        <f>IF($B343=1,$E$51,IF(N(Vintage_Input!O295)&gt;0,Vintage_Input!AM295/Vintage_Input!O295,""))</f>
        <v/>
      </c>
      <c r="AF343" s="152">
        <f>IF($B343=1,$F$51,IF(N(Vintage_Input!P295)&gt;0,Vintage_Input!AN295/Vintage_Input!P295,""))</f>
        <v/>
      </c>
      <c r="AG343" s="152">
        <f>IF($B343=1,$G$51,IF(N(Vintage_Input!Q295)&gt;0,Vintage_Input!AO295/Vintage_Input!Q295,""))</f>
        <v/>
      </c>
      <c r="AH343" s="152">
        <f>IF($B343=1,$H$51,IF(N(Vintage_Input!R295)&gt;0,Vintage_Input!AP295/Vintage_Input!R295,""))</f>
        <v/>
      </c>
      <c r="AI343" s="152">
        <f>IF($B343=1,$I$51,IF(N(Vintage_Input!S295)&gt;0,Vintage_Input!AQ295/Vintage_Input!S295,""))</f>
        <v/>
      </c>
      <c r="AJ343" s="152">
        <f>IF($B343=1,$B$52,IF(N(Vintage_Input!L295)&gt;0,IFERROR(Vintage_Input!AR295/Vintage_Input!AJ295,""),""))</f>
        <v/>
      </c>
      <c r="AK343" s="152">
        <f>IF($B343=1,$C$52,IF(N(Vintage_Input!M295)&gt;0,IFERROR(Vintage_Input!AS295/Vintage_Input!AK295,""),""))</f>
        <v/>
      </c>
      <c r="AL343" s="152">
        <f>IF($B343=1,$D$52,IF(N(Vintage_Input!N295)&gt;0,IFERROR(Vintage_Input!AT295/Vintage_Input!AL295,""),""))</f>
        <v/>
      </c>
      <c r="AM343" s="152">
        <f>IF($B343=1,$E$52,IF(N(Vintage_Input!O295)&gt;0,IFERROR(Vintage_Input!AU295/Vintage_Input!AM295,""),""))</f>
        <v/>
      </c>
      <c r="AN343" s="152">
        <f>IF($B343=1,$F$52,IF(N(Vintage_Input!P295)&gt;0,IFERROR(Vintage_Input!AV295/Vintage_Input!AN295,""),""))</f>
        <v/>
      </c>
      <c r="AO343" s="152">
        <f>IF($B343=1,$G$52,IF(N(Vintage_Input!Q295)&gt;0,IFERROR(Vintage_Input!AW295/Vintage_Input!AO295,""),""))</f>
        <v/>
      </c>
      <c r="AP343" s="152">
        <f>IF($B343=1,$H$52,IF(N(Vintage_Input!R295)&gt;0,IFERROR(Vintage_Input!AX295/Vintage_Input!AP295,""),""))</f>
        <v/>
      </c>
      <c r="AQ343" s="152">
        <f>IF($B343=1,$I$52,IF(N(Vintage_Input!S295)&gt;0,IFERROR(Vintage_Input!AY295/Vintage_Input!AQ295,""),""))</f>
        <v/>
      </c>
      <c r="AR343" s="152">
        <f>IF($B343=1,$B$53,IF(N(Vintage_Input!L295)&gt;0,IFERROR(Vintage_Input!AZ295/$C343,""),""))</f>
        <v/>
      </c>
      <c r="AS343" s="152">
        <f>IF($B343=1,$C$53,IF(N(Vintage_Input!M295)&gt;0,IFERROR(Vintage_Input!BA295/$C343,""),""))</f>
        <v/>
      </c>
      <c r="AT343" s="152">
        <f>IF($B343=1,$D$53,IF(N(Vintage_Input!N295)&gt;0,IFERROR(Vintage_Input!BB295/$C343,""),""))</f>
        <v/>
      </c>
      <c r="AU343" s="152">
        <f>IF($B343=1,$E$53,IF(N(Vintage_Input!O295)&gt;0,IFERROR(Vintage_Input!BC295/$C343,""),""))</f>
        <v/>
      </c>
      <c r="AV343" s="152">
        <f>IF($B343=1,$F$53,IF(N(Vintage_Input!P295)&gt;0,IFERROR(Vintage_Input!BD295/$C343,""),""))</f>
        <v/>
      </c>
      <c r="AW343" s="152">
        <f>IF($B343=1,$G$53,IF(N(Vintage_Input!Q295)&gt;0,IFERROR(Vintage_Input!BE295/$C343,""),""))</f>
        <v/>
      </c>
      <c r="AX343" s="152">
        <f>IF($B343=1,$H$53,IF(N(Vintage_Input!R295)&gt;0,IFERROR(Vintage_Input!BF295/$C343,""),""))</f>
        <v/>
      </c>
      <c r="AY343" s="152">
        <f>IF($B343=1,$I$53,IF(N(Vintage_Input!S295)&gt;0,IFERROR(Vintage_Input!BG295/$C343,""),""))</f>
        <v/>
      </c>
      <c r="AZ343" s="153">
        <f>IF($B343=1,$B$54,IF(N(Vintage_Input!L295)&gt;0,IFERROR((Vintage_Input!D295+Vintage_Input!AR295)/$C343+Products!$G$14-(Products!$G$43+Products!$G$19+Products!$G$43*Products!$G$22+Products!$G$44),""),""))</f>
        <v/>
      </c>
      <c r="BA343" s="153">
        <f>IF($B343=1,$C$54,IF(N(Vintage_Input!M295)&gt;0,IFERROR((Vintage_Input!E295+Vintage_Input!AS295)/$C343+Products!$G$14-(Products!$G$43+Products!$G$19+Products!$G$43*Products!$G$22+Products!$G$44),""),""))</f>
        <v/>
      </c>
      <c r="BB343" s="153">
        <f>IF($B343=1,$D$54,IF(N(Vintage_Input!N295)&gt;0,IFERROR((Vintage_Input!F295+Vintage_Input!AT295)/$C343+Products!$G$14-(Products!$G$43+Products!$G$19+Products!$G$43*Products!$G$22+Products!$G$44),""),""))</f>
        <v/>
      </c>
      <c r="BC343" s="153">
        <f>IF($B343=1,$E$54,IF(N(Vintage_Input!O295)&gt;0,IFERROR((Vintage_Input!G295+Vintage_Input!AU295)/$C343+Products!$G$14-(Products!$G$43+Products!$G$19+Products!$G$43*Products!$G$22+Products!$G$44),""),""))</f>
        <v/>
      </c>
      <c r="BD343" s="153">
        <f>IF($B343=1,$F$54,IF(N(Vintage_Input!P295)&gt;0,IFERROR((Vintage_Input!H295+Vintage_Input!AV295)/$C343+Products!$G$14-(Products!$G$43+Products!$G$19+Products!$G$43*Products!$G$22+Products!$G$44),""),""))</f>
        <v/>
      </c>
      <c r="BE343" s="153">
        <f>IF($B343=1,$G$54,IF(N(Vintage_Input!Q295)&gt;0,IFERROR((Vintage_Input!I295+Vintage_Input!AW295)/$C343+Products!$G$14-(Products!$G$43+Products!$G$19+Products!$G$43*Products!$G$22+Products!$G$44),""),""))</f>
        <v/>
      </c>
      <c r="BF343" s="153">
        <f>IF($B343=1,$H$54,IF(N(Vintage_Input!R295)&gt;0,IFERROR((Vintage_Input!J295+Vintage_Input!AX295)/$C343+Products!$G$14-(Products!$G$43+Products!$G$19+Products!$G$43*Products!$G$22+Products!$G$44),""),""))</f>
        <v/>
      </c>
      <c r="BG343" s="153">
        <f>IF($B343=1,$I$54,IF(N(Vintage_Input!S295)&gt;0,IFERROR((Vintage_Input!K295+Vintage_Input!AY295)/$C343+Products!$G$14-(Products!$G$43+Products!$G$19+Products!$G$43*Products!$G$22+Products!$G$44),""),""))</f>
        <v/>
      </c>
      <c r="BH343" s="81">
        <f>IF($B343=1,0,IF(Vintage_Input!$BH$295="","",Vintage_Input!$BH$295))</f>
        <v/>
      </c>
    </row>
    <row r="344">
      <c r="A344" s="23" t="n">
        <v>28</v>
      </c>
      <c r="B344" s="48">
        <f>Vintage_Input!$B$296</f>
        <v/>
      </c>
      <c r="C344" s="41">
        <f>IF(Vintage_Input!$C$296="",0,Vintage_Input!$C$296)</f>
        <v/>
      </c>
      <c r="D344" s="152">
        <f>IF($B344=1,$B$48,IF(N(Vintage_Input!L296)&gt;0,Vintage_Input!D296/Vintage_Input!L296,""))</f>
        <v/>
      </c>
      <c r="E344" s="152">
        <f>IF($B344=1,$C$48,IF(N(Vintage_Input!M296)&gt;0,Vintage_Input!E296/Vintage_Input!M296,""))</f>
        <v/>
      </c>
      <c r="F344" s="152">
        <f>IF($B344=1,$D$48,IF(N(Vintage_Input!N296)&gt;0,Vintage_Input!F296/Vintage_Input!N296,""))</f>
        <v/>
      </c>
      <c r="G344" s="152">
        <f>IF($B344=1,$E$48,IF(N(Vintage_Input!O296)&gt;0,Vintage_Input!G296/Vintage_Input!O296,""))</f>
        <v/>
      </c>
      <c r="H344" s="152">
        <f>IF($B344=1,$F$48,IF(N(Vintage_Input!P296)&gt;0,Vintage_Input!H296/Vintage_Input!P296,""))</f>
        <v/>
      </c>
      <c r="I344" s="152">
        <f>IF($B344=1,$G$48,IF(N(Vintage_Input!Q296)&gt;0,Vintage_Input!I296/Vintage_Input!Q296,""))</f>
        <v/>
      </c>
      <c r="J344" s="152">
        <f>IF($B344=1,$H$48,IF(N(Vintage_Input!R296)&gt;0,Vintage_Input!J296/Vintage_Input!R296,""))</f>
        <v/>
      </c>
      <c r="K344" s="152">
        <f>IF($B344=1,$I$48,IF(N(Vintage_Input!S296)&gt;0,Vintage_Input!K296/Vintage_Input!S296,""))</f>
        <v/>
      </c>
      <c r="L344" s="152">
        <f>IF($B344=1,$B$49,IF(N(Vintage_Input!L296)&gt;0,Vintage_Input!T296/Vintage_Input!L296,""))</f>
        <v/>
      </c>
      <c r="M344" s="152">
        <f>IF($B344=1,$C$49,IF(N(Vintage_Input!M296)&gt;0,Vintage_Input!U296/Vintage_Input!M296,""))</f>
        <v/>
      </c>
      <c r="N344" s="152">
        <f>IF($B344=1,$D$49,IF(N(Vintage_Input!N296)&gt;0,Vintage_Input!V296/Vintage_Input!N296,""))</f>
        <v/>
      </c>
      <c r="O344" s="152">
        <f>IF($B344=1,$E$49,IF(N(Vintage_Input!O296)&gt;0,Vintage_Input!W296/Vintage_Input!O296,""))</f>
        <v/>
      </c>
      <c r="P344" s="152">
        <f>IF($B344=1,$F$49,IF(N(Vintage_Input!P296)&gt;0,Vintage_Input!X296/Vintage_Input!P296,""))</f>
        <v/>
      </c>
      <c r="Q344" s="152">
        <f>IF($B344=1,$G$49,IF(N(Vintage_Input!Q296)&gt;0,Vintage_Input!Y296/Vintage_Input!Q296,""))</f>
        <v/>
      </c>
      <c r="R344" s="152">
        <f>IF($B344=1,$H$49,IF(N(Vintage_Input!R296)&gt;0,Vintage_Input!Z296/Vintage_Input!R296,""))</f>
        <v/>
      </c>
      <c r="S344" s="152">
        <f>IF($B344=1,$I$49,IF(N(Vintage_Input!S296)&gt;0,Vintage_Input!AA296/Vintage_Input!S296,""))</f>
        <v/>
      </c>
      <c r="T344" s="152">
        <f>IF($B344=1,$B$50,IF(N(Vintage_Input!L296)&gt;0,Vintage_Input!AB296/Vintage_Input!L296,""))</f>
        <v/>
      </c>
      <c r="U344" s="152">
        <f>IF($B344=1,$C$50,IF(N(Vintage_Input!M296)&gt;0,Vintage_Input!AC296/Vintage_Input!M296,""))</f>
        <v/>
      </c>
      <c r="V344" s="152">
        <f>IF($B344=1,$D$50,IF(N(Vintage_Input!N296)&gt;0,Vintage_Input!AD296/Vintage_Input!N296,""))</f>
        <v/>
      </c>
      <c r="W344" s="152">
        <f>IF($B344=1,$E$50,IF(N(Vintage_Input!O296)&gt;0,Vintage_Input!AE296/Vintage_Input!O296,""))</f>
        <v/>
      </c>
      <c r="X344" s="152">
        <f>IF($B344=1,$F$50,IF(N(Vintage_Input!P296)&gt;0,Vintage_Input!AF296/Vintage_Input!P296,""))</f>
        <v/>
      </c>
      <c r="Y344" s="152">
        <f>IF($B344=1,$G$50,IF(N(Vintage_Input!Q296)&gt;0,Vintage_Input!AG296/Vintage_Input!Q296,""))</f>
        <v/>
      </c>
      <c r="Z344" s="152">
        <f>IF($B344=1,$H$50,IF(N(Vintage_Input!R296)&gt;0,Vintage_Input!AH296/Vintage_Input!R296,""))</f>
        <v/>
      </c>
      <c r="AA344" s="152">
        <f>IF($B344=1,$I$50,IF(N(Vintage_Input!S296)&gt;0,Vintage_Input!AI296/Vintage_Input!S296,""))</f>
        <v/>
      </c>
      <c r="AB344" s="152">
        <f>IF($B344=1,$B$51,IF(N(Vintage_Input!L296)&gt;0,Vintage_Input!AJ296/Vintage_Input!L296,""))</f>
        <v/>
      </c>
      <c r="AC344" s="152">
        <f>IF($B344=1,$C$51,IF(N(Vintage_Input!M296)&gt;0,Vintage_Input!AK296/Vintage_Input!M296,""))</f>
        <v/>
      </c>
      <c r="AD344" s="152">
        <f>IF($B344=1,$D$51,IF(N(Vintage_Input!N296)&gt;0,Vintage_Input!AL296/Vintage_Input!N296,""))</f>
        <v/>
      </c>
      <c r="AE344" s="152">
        <f>IF($B344=1,$E$51,IF(N(Vintage_Input!O296)&gt;0,Vintage_Input!AM296/Vintage_Input!O296,""))</f>
        <v/>
      </c>
      <c r="AF344" s="152">
        <f>IF($B344=1,$F$51,IF(N(Vintage_Input!P296)&gt;0,Vintage_Input!AN296/Vintage_Input!P296,""))</f>
        <v/>
      </c>
      <c r="AG344" s="152">
        <f>IF($B344=1,$G$51,IF(N(Vintage_Input!Q296)&gt;0,Vintage_Input!AO296/Vintage_Input!Q296,""))</f>
        <v/>
      </c>
      <c r="AH344" s="152">
        <f>IF($B344=1,$H$51,IF(N(Vintage_Input!R296)&gt;0,Vintage_Input!AP296/Vintage_Input!R296,""))</f>
        <v/>
      </c>
      <c r="AI344" s="152">
        <f>IF($B344=1,$I$51,IF(N(Vintage_Input!S296)&gt;0,Vintage_Input!AQ296/Vintage_Input!S296,""))</f>
        <v/>
      </c>
      <c r="AJ344" s="152">
        <f>IF($B344=1,$B$52,IF(N(Vintage_Input!L296)&gt;0,IFERROR(Vintage_Input!AR296/Vintage_Input!AJ296,""),""))</f>
        <v/>
      </c>
      <c r="AK344" s="152">
        <f>IF($B344=1,$C$52,IF(N(Vintage_Input!M296)&gt;0,IFERROR(Vintage_Input!AS296/Vintage_Input!AK296,""),""))</f>
        <v/>
      </c>
      <c r="AL344" s="152">
        <f>IF($B344=1,$D$52,IF(N(Vintage_Input!N296)&gt;0,IFERROR(Vintage_Input!AT296/Vintage_Input!AL296,""),""))</f>
        <v/>
      </c>
      <c r="AM344" s="152">
        <f>IF($B344=1,$E$52,IF(N(Vintage_Input!O296)&gt;0,IFERROR(Vintage_Input!AU296/Vintage_Input!AM296,""),""))</f>
        <v/>
      </c>
      <c r="AN344" s="152">
        <f>IF($B344=1,$F$52,IF(N(Vintage_Input!P296)&gt;0,IFERROR(Vintage_Input!AV296/Vintage_Input!AN296,""),""))</f>
        <v/>
      </c>
      <c r="AO344" s="152">
        <f>IF($B344=1,$G$52,IF(N(Vintage_Input!Q296)&gt;0,IFERROR(Vintage_Input!AW296/Vintage_Input!AO296,""),""))</f>
        <v/>
      </c>
      <c r="AP344" s="152">
        <f>IF($B344=1,$H$52,IF(N(Vintage_Input!R296)&gt;0,IFERROR(Vintage_Input!AX296/Vintage_Input!AP296,""),""))</f>
        <v/>
      </c>
      <c r="AQ344" s="152">
        <f>IF($B344=1,$I$52,IF(N(Vintage_Input!S296)&gt;0,IFERROR(Vintage_Input!AY296/Vintage_Input!AQ296,""),""))</f>
        <v/>
      </c>
      <c r="AR344" s="152">
        <f>IF($B344=1,$B$53,IF(N(Vintage_Input!L296)&gt;0,IFERROR(Vintage_Input!AZ296/$C344,""),""))</f>
        <v/>
      </c>
      <c r="AS344" s="152">
        <f>IF($B344=1,$C$53,IF(N(Vintage_Input!M296)&gt;0,IFERROR(Vintage_Input!BA296/$C344,""),""))</f>
        <v/>
      </c>
      <c r="AT344" s="152">
        <f>IF($B344=1,$D$53,IF(N(Vintage_Input!N296)&gt;0,IFERROR(Vintage_Input!BB296/$C344,""),""))</f>
        <v/>
      </c>
      <c r="AU344" s="152">
        <f>IF($B344=1,$E$53,IF(N(Vintage_Input!O296)&gt;0,IFERROR(Vintage_Input!BC296/$C344,""),""))</f>
        <v/>
      </c>
      <c r="AV344" s="152">
        <f>IF($B344=1,$F$53,IF(N(Vintage_Input!P296)&gt;0,IFERROR(Vintage_Input!BD296/$C344,""),""))</f>
        <v/>
      </c>
      <c r="AW344" s="152">
        <f>IF($B344=1,$G$53,IF(N(Vintage_Input!Q296)&gt;0,IFERROR(Vintage_Input!BE296/$C344,""),""))</f>
        <v/>
      </c>
      <c r="AX344" s="152">
        <f>IF($B344=1,$H$53,IF(N(Vintage_Input!R296)&gt;0,IFERROR(Vintage_Input!BF296/$C344,""),""))</f>
        <v/>
      </c>
      <c r="AY344" s="152">
        <f>IF($B344=1,$I$53,IF(N(Vintage_Input!S296)&gt;0,IFERROR(Vintage_Input!BG296/$C344,""),""))</f>
        <v/>
      </c>
      <c r="AZ344" s="153">
        <f>IF($B344=1,$B$54,IF(N(Vintage_Input!L296)&gt;0,IFERROR((Vintage_Input!D296+Vintage_Input!AR296)/$C344+Products!$G$14-(Products!$G$43+Products!$G$19+Products!$G$43*Products!$G$22+Products!$G$44),""),""))</f>
        <v/>
      </c>
      <c r="BA344" s="153">
        <f>IF($B344=1,$C$54,IF(N(Vintage_Input!M296)&gt;0,IFERROR((Vintage_Input!E296+Vintage_Input!AS296)/$C344+Products!$G$14-(Products!$G$43+Products!$G$19+Products!$G$43*Products!$G$22+Products!$G$44),""),""))</f>
        <v/>
      </c>
      <c r="BB344" s="153">
        <f>IF($B344=1,$D$54,IF(N(Vintage_Input!N296)&gt;0,IFERROR((Vintage_Input!F296+Vintage_Input!AT296)/$C344+Products!$G$14-(Products!$G$43+Products!$G$19+Products!$G$43*Products!$G$22+Products!$G$44),""),""))</f>
        <v/>
      </c>
      <c r="BC344" s="153">
        <f>IF($B344=1,$E$54,IF(N(Vintage_Input!O296)&gt;0,IFERROR((Vintage_Input!G296+Vintage_Input!AU296)/$C344+Products!$G$14-(Products!$G$43+Products!$G$19+Products!$G$43*Products!$G$22+Products!$G$44),""),""))</f>
        <v/>
      </c>
      <c r="BD344" s="153">
        <f>IF($B344=1,$F$54,IF(N(Vintage_Input!P296)&gt;0,IFERROR((Vintage_Input!H296+Vintage_Input!AV296)/$C344+Products!$G$14-(Products!$G$43+Products!$G$19+Products!$G$43*Products!$G$22+Products!$G$44),""),""))</f>
        <v/>
      </c>
      <c r="BE344" s="153">
        <f>IF($B344=1,$G$54,IF(N(Vintage_Input!Q296)&gt;0,IFERROR((Vintage_Input!I296+Vintage_Input!AW296)/$C344+Products!$G$14-(Products!$G$43+Products!$G$19+Products!$G$43*Products!$G$22+Products!$G$44),""),""))</f>
        <v/>
      </c>
      <c r="BF344" s="153">
        <f>IF($B344=1,$H$54,IF(N(Vintage_Input!R296)&gt;0,IFERROR((Vintage_Input!J296+Vintage_Input!AX296)/$C344+Products!$G$14-(Products!$G$43+Products!$G$19+Products!$G$43*Products!$G$22+Products!$G$44),""),""))</f>
        <v/>
      </c>
      <c r="BG344" s="153">
        <f>IF($B344=1,$I$54,IF(N(Vintage_Input!S296)&gt;0,IFERROR((Vintage_Input!K296+Vintage_Input!AY296)/$C344+Products!$G$14-(Products!$G$43+Products!$G$19+Products!$G$43*Products!$G$22+Products!$G$44),""),""))</f>
        <v/>
      </c>
      <c r="BH344" s="81">
        <f>IF($B344=1,0,IF(Vintage_Input!$BH$296="","",Vintage_Input!$BH$296))</f>
        <v/>
      </c>
    </row>
    <row r="345">
      <c r="A345" s="23" t="n">
        <v>29</v>
      </c>
      <c r="B345" s="48">
        <f>Vintage_Input!$B$297</f>
        <v/>
      </c>
      <c r="C345" s="41">
        <f>IF(Vintage_Input!$C$297="",0,Vintage_Input!$C$297)</f>
        <v/>
      </c>
      <c r="D345" s="152">
        <f>IF($B345=1,$B$48,IF(N(Vintage_Input!L297)&gt;0,Vintage_Input!D297/Vintage_Input!L297,""))</f>
        <v/>
      </c>
      <c r="E345" s="152">
        <f>IF($B345=1,$C$48,IF(N(Vintage_Input!M297)&gt;0,Vintage_Input!E297/Vintage_Input!M297,""))</f>
        <v/>
      </c>
      <c r="F345" s="152">
        <f>IF($B345=1,$D$48,IF(N(Vintage_Input!N297)&gt;0,Vintage_Input!F297/Vintage_Input!N297,""))</f>
        <v/>
      </c>
      <c r="G345" s="152">
        <f>IF($B345=1,$E$48,IF(N(Vintage_Input!O297)&gt;0,Vintage_Input!G297/Vintage_Input!O297,""))</f>
        <v/>
      </c>
      <c r="H345" s="152">
        <f>IF($B345=1,$F$48,IF(N(Vintage_Input!P297)&gt;0,Vintage_Input!H297/Vintage_Input!P297,""))</f>
        <v/>
      </c>
      <c r="I345" s="152">
        <f>IF($B345=1,$G$48,IF(N(Vintage_Input!Q297)&gt;0,Vintage_Input!I297/Vintage_Input!Q297,""))</f>
        <v/>
      </c>
      <c r="J345" s="152">
        <f>IF($B345=1,$H$48,IF(N(Vintage_Input!R297)&gt;0,Vintage_Input!J297/Vintage_Input!R297,""))</f>
        <v/>
      </c>
      <c r="K345" s="152">
        <f>IF($B345=1,$I$48,IF(N(Vintage_Input!S297)&gt;0,Vintage_Input!K297/Vintage_Input!S297,""))</f>
        <v/>
      </c>
      <c r="L345" s="152">
        <f>IF($B345=1,$B$49,IF(N(Vintage_Input!L297)&gt;0,Vintage_Input!T297/Vintage_Input!L297,""))</f>
        <v/>
      </c>
      <c r="M345" s="152">
        <f>IF($B345=1,$C$49,IF(N(Vintage_Input!M297)&gt;0,Vintage_Input!U297/Vintage_Input!M297,""))</f>
        <v/>
      </c>
      <c r="N345" s="152">
        <f>IF($B345=1,$D$49,IF(N(Vintage_Input!N297)&gt;0,Vintage_Input!V297/Vintage_Input!N297,""))</f>
        <v/>
      </c>
      <c r="O345" s="152">
        <f>IF($B345=1,$E$49,IF(N(Vintage_Input!O297)&gt;0,Vintage_Input!W297/Vintage_Input!O297,""))</f>
        <v/>
      </c>
      <c r="P345" s="152">
        <f>IF($B345=1,$F$49,IF(N(Vintage_Input!P297)&gt;0,Vintage_Input!X297/Vintage_Input!P297,""))</f>
        <v/>
      </c>
      <c r="Q345" s="152">
        <f>IF($B345=1,$G$49,IF(N(Vintage_Input!Q297)&gt;0,Vintage_Input!Y297/Vintage_Input!Q297,""))</f>
        <v/>
      </c>
      <c r="R345" s="152">
        <f>IF($B345=1,$H$49,IF(N(Vintage_Input!R297)&gt;0,Vintage_Input!Z297/Vintage_Input!R297,""))</f>
        <v/>
      </c>
      <c r="S345" s="152">
        <f>IF($B345=1,$I$49,IF(N(Vintage_Input!S297)&gt;0,Vintage_Input!AA297/Vintage_Input!S297,""))</f>
        <v/>
      </c>
      <c r="T345" s="152">
        <f>IF($B345=1,$B$50,IF(N(Vintage_Input!L297)&gt;0,Vintage_Input!AB297/Vintage_Input!L297,""))</f>
        <v/>
      </c>
      <c r="U345" s="152">
        <f>IF($B345=1,$C$50,IF(N(Vintage_Input!M297)&gt;0,Vintage_Input!AC297/Vintage_Input!M297,""))</f>
        <v/>
      </c>
      <c r="V345" s="152">
        <f>IF($B345=1,$D$50,IF(N(Vintage_Input!N297)&gt;0,Vintage_Input!AD297/Vintage_Input!N297,""))</f>
        <v/>
      </c>
      <c r="W345" s="152">
        <f>IF($B345=1,$E$50,IF(N(Vintage_Input!O297)&gt;0,Vintage_Input!AE297/Vintage_Input!O297,""))</f>
        <v/>
      </c>
      <c r="X345" s="152">
        <f>IF($B345=1,$F$50,IF(N(Vintage_Input!P297)&gt;0,Vintage_Input!AF297/Vintage_Input!P297,""))</f>
        <v/>
      </c>
      <c r="Y345" s="152">
        <f>IF($B345=1,$G$50,IF(N(Vintage_Input!Q297)&gt;0,Vintage_Input!AG297/Vintage_Input!Q297,""))</f>
        <v/>
      </c>
      <c r="Z345" s="152">
        <f>IF($B345=1,$H$50,IF(N(Vintage_Input!R297)&gt;0,Vintage_Input!AH297/Vintage_Input!R297,""))</f>
        <v/>
      </c>
      <c r="AA345" s="152">
        <f>IF($B345=1,$I$50,IF(N(Vintage_Input!S297)&gt;0,Vintage_Input!AI297/Vintage_Input!S297,""))</f>
        <v/>
      </c>
      <c r="AB345" s="152">
        <f>IF($B345=1,$B$51,IF(N(Vintage_Input!L297)&gt;0,Vintage_Input!AJ297/Vintage_Input!L297,""))</f>
        <v/>
      </c>
      <c r="AC345" s="152">
        <f>IF($B345=1,$C$51,IF(N(Vintage_Input!M297)&gt;0,Vintage_Input!AK297/Vintage_Input!M297,""))</f>
        <v/>
      </c>
      <c r="AD345" s="152">
        <f>IF($B345=1,$D$51,IF(N(Vintage_Input!N297)&gt;0,Vintage_Input!AL297/Vintage_Input!N297,""))</f>
        <v/>
      </c>
      <c r="AE345" s="152">
        <f>IF($B345=1,$E$51,IF(N(Vintage_Input!O297)&gt;0,Vintage_Input!AM297/Vintage_Input!O297,""))</f>
        <v/>
      </c>
      <c r="AF345" s="152">
        <f>IF($B345=1,$F$51,IF(N(Vintage_Input!P297)&gt;0,Vintage_Input!AN297/Vintage_Input!P297,""))</f>
        <v/>
      </c>
      <c r="AG345" s="152">
        <f>IF($B345=1,$G$51,IF(N(Vintage_Input!Q297)&gt;0,Vintage_Input!AO297/Vintage_Input!Q297,""))</f>
        <v/>
      </c>
      <c r="AH345" s="152">
        <f>IF($B345=1,$H$51,IF(N(Vintage_Input!R297)&gt;0,Vintage_Input!AP297/Vintage_Input!R297,""))</f>
        <v/>
      </c>
      <c r="AI345" s="152">
        <f>IF($B345=1,$I$51,IF(N(Vintage_Input!S297)&gt;0,Vintage_Input!AQ297/Vintage_Input!S297,""))</f>
        <v/>
      </c>
      <c r="AJ345" s="152">
        <f>IF($B345=1,$B$52,IF(N(Vintage_Input!L297)&gt;0,IFERROR(Vintage_Input!AR297/Vintage_Input!AJ297,""),""))</f>
        <v/>
      </c>
      <c r="AK345" s="152">
        <f>IF($B345=1,$C$52,IF(N(Vintage_Input!M297)&gt;0,IFERROR(Vintage_Input!AS297/Vintage_Input!AK297,""),""))</f>
        <v/>
      </c>
      <c r="AL345" s="152">
        <f>IF($B345=1,$D$52,IF(N(Vintage_Input!N297)&gt;0,IFERROR(Vintage_Input!AT297/Vintage_Input!AL297,""),""))</f>
        <v/>
      </c>
      <c r="AM345" s="152">
        <f>IF($B345=1,$E$52,IF(N(Vintage_Input!O297)&gt;0,IFERROR(Vintage_Input!AU297/Vintage_Input!AM297,""),""))</f>
        <v/>
      </c>
      <c r="AN345" s="152">
        <f>IF($B345=1,$F$52,IF(N(Vintage_Input!P297)&gt;0,IFERROR(Vintage_Input!AV297/Vintage_Input!AN297,""),""))</f>
        <v/>
      </c>
      <c r="AO345" s="152">
        <f>IF($B345=1,$G$52,IF(N(Vintage_Input!Q297)&gt;0,IFERROR(Vintage_Input!AW297/Vintage_Input!AO297,""),""))</f>
        <v/>
      </c>
      <c r="AP345" s="152">
        <f>IF($B345=1,$H$52,IF(N(Vintage_Input!R297)&gt;0,IFERROR(Vintage_Input!AX297/Vintage_Input!AP297,""),""))</f>
        <v/>
      </c>
      <c r="AQ345" s="152">
        <f>IF($B345=1,$I$52,IF(N(Vintage_Input!S297)&gt;0,IFERROR(Vintage_Input!AY297/Vintage_Input!AQ297,""),""))</f>
        <v/>
      </c>
      <c r="AR345" s="152">
        <f>IF($B345=1,$B$53,IF(N(Vintage_Input!L297)&gt;0,IFERROR(Vintage_Input!AZ297/$C345,""),""))</f>
        <v/>
      </c>
      <c r="AS345" s="152">
        <f>IF($B345=1,$C$53,IF(N(Vintage_Input!M297)&gt;0,IFERROR(Vintage_Input!BA297/$C345,""),""))</f>
        <v/>
      </c>
      <c r="AT345" s="152">
        <f>IF($B345=1,$D$53,IF(N(Vintage_Input!N297)&gt;0,IFERROR(Vintage_Input!BB297/$C345,""),""))</f>
        <v/>
      </c>
      <c r="AU345" s="152">
        <f>IF($B345=1,$E$53,IF(N(Vintage_Input!O297)&gt;0,IFERROR(Vintage_Input!BC297/$C345,""),""))</f>
        <v/>
      </c>
      <c r="AV345" s="152">
        <f>IF($B345=1,$F$53,IF(N(Vintage_Input!P297)&gt;0,IFERROR(Vintage_Input!BD297/$C345,""),""))</f>
        <v/>
      </c>
      <c r="AW345" s="152">
        <f>IF($B345=1,$G$53,IF(N(Vintage_Input!Q297)&gt;0,IFERROR(Vintage_Input!BE297/$C345,""),""))</f>
        <v/>
      </c>
      <c r="AX345" s="152">
        <f>IF($B345=1,$H$53,IF(N(Vintage_Input!R297)&gt;0,IFERROR(Vintage_Input!BF297/$C345,""),""))</f>
        <v/>
      </c>
      <c r="AY345" s="152">
        <f>IF($B345=1,$I$53,IF(N(Vintage_Input!S297)&gt;0,IFERROR(Vintage_Input!BG297/$C345,""),""))</f>
        <v/>
      </c>
      <c r="AZ345" s="153">
        <f>IF($B345=1,$B$54,IF(N(Vintage_Input!L297)&gt;0,IFERROR((Vintage_Input!D297+Vintage_Input!AR297)/$C345+Products!$G$14-(Products!$G$43+Products!$G$19+Products!$G$43*Products!$G$22+Products!$G$44),""),""))</f>
        <v/>
      </c>
      <c r="BA345" s="153">
        <f>IF($B345=1,$C$54,IF(N(Vintage_Input!M297)&gt;0,IFERROR((Vintage_Input!E297+Vintage_Input!AS297)/$C345+Products!$G$14-(Products!$G$43+Products!$G$19+Products!$G$43*Products!$G$22+Products!$G$44),""),""))</f>
        <v/>
      </c>
      <c r="BB345" s="153">
        <f>IF($B345=1,$D$54,IF(N(Vintage_Input!N297)&gt;0,IFERROR((Vintage_Input!F297+Vintage_Input!AT297)/$C345+Products!$G$14-(Products!$G$43+Products!$G$19+Products!$G$43*Products!$G$22+Products!$G$44),""),""))</f>
        <v/>
      </c>
      <c r="BC345" s="153">
        <f>IF($B345=1,$E$54,IF(N(Vintage_Input!O297)&gt;0,IFERROR((Vintage_Input!G297+Vintage_Input!AU297)/$C345+Products!$G$14-(Products!$G$43+Products!$G$19+Products!$G$43*Products!$G$22+Products!$G$44),""),""))</f>
        <v/>
      </c>
      <c r="BD345" s="153">
        <f>IF($B345=1,$F$54,IF(N(Vintage_Input!P297)&gt;0,IFERROR((Vintage_Input!H297+Vintage_Input!AV297)/$C345+Products!$G$14-(Products!$G$43+Products!$G$19+Products!$G$43*Products!$G$22+Products!$G$44),""),""))</f>
        <v/>
      </c>
      <c r="BE345" s="153">
        <f>IF($B345=1,$G$54,IF(N(Vintage_Input!Q297)&gt;0,IFERROR((Vintage_Input!I297+Vintage_Input!AW297)/$C345+Products!$G$14-(Products!$G$43+Products!$G$19+Products!$G$43*Products!$G$22+Products!$G$44),""),""))</f>
        <v/>
      </c>
      <c r="BF345" s="153">
        <f>IF($B345=1,$H$54,IF(N(Vintage_Input!R297)&gt;0,IFERROR((Vintage_Input!J297+Vintage_Input!AX297)/$C345+Products!$G$14-(Products!$G$43+Products!$G$19+Products!$G$43*Products!$G$22+Products!$G$44),""),""))</f>
        <v/>
      </c>
      <c r="BG345" s="153">
        <f>IF($B345=1,$I$54,IF(N(Vintage_Input!S297)&gt;0,IFERROR((Vintage_Input!K297+Vintage_Input!AY297)/$C345+Products!$G$14-(Products!$G$43+Products!$G$19+Products!$G$43*Products!$G$22+Products!$G$44),""),""))</f>
        <v/>
      </c>
      <c r="BH345" s="81">
        <f>IF($B345=1,0,IF(Vintage_Input!$BH$297="","",Vintage_Input!$BH$297))</f>
        <v/>
      </c>
    </row>
    <row r="346">
      <c r="A346" s="23" t="n">
        <v>30</v>
      </c>
      <c r="B346" s="48">
        <f>Vintage_Input!$B$298</f>
        <v/>
      </c>
      <c r="C346" s="41">
        <f>IF(Vintage_Input!$C$298="",0,Vintage_Input!$C$298)</f>
        <v/>
      </c>
      <c r="D346" s="152">
        <f>IF($B346=1,$B$48,IF(N(Vintage_Input!L298)&gt;0,Vintage_Input!D298/Vintage_Input!L298,""))</f>
        <v/>
      </c>
      <c r="E346" s="152">
        <f>IF($B346=1,$C$48,IF(N(Vintage_Input!M298)&gt;0,Vintage_Input!E298/Vintage_Input!M298,""))</f>
        <v/>
      </c>
      <c r="F346" s="152">
        <f>IF($B346=1,$D$48,IF(N(Vintage_Input!N298)&gt;0,Vintage_Input!F298/Vintage_Input!N298,""))</f>
        <v/>
      </c>
      <c r="G346" s="152">
        <f>IF($B346=1,$E$48,IF(N(Vintage_Input!O298)&gt;0,Vintage_Input!G298/Vintage_Input!O298,""))</f>
        <v/>
      </c>
      <c r="H346" s="152">
        <f>IF($B346=1,$F$48,IF(N(Vintage_Input!P298)&gt;0,Vintage_Input!H298/Vintage_Input!P298,""))</f>
        <v/>
      </c>
      <c r="I346" s="152">
        <f>IF($B346=1,$G$48,IF(N(Vintage_Input!Q298)&gt;0,Vintage_Input!I298/Vintage_Input!Q298,""))</f>
        <v/>
      </c>
      <c r="J346" s="152">
        <f>IF($B346=1,$H$48,IF(N(Vintage_Input!R298)&gt;0,Vintage_Input!J298/Vintage_Input!R298,""))</f>
        <v/>
      </c>
      <c r="K346" s="152">
        <f>IF($B346=1,$I$48,IF(N(Vintage_Input!S298)&gt;0,Vintage_Input!K298/Vintage_Input!S298,""))</f>
        <v/>
      </c>
      <c r="L346" s="152">
        <f>IF($B346=1,$B$49,IF(N(Vintage_Input!L298)&gt;0,Vintage_Input!T298/Vintage_Input!L298,""))</f>
        <v/>
      </c>
      <c r="M346" s="152">
        <f>IF($B346=1,$C$49,IF(N(Vintage_Input!M298)&gt;0,Vintage_Input!U298/Vintage_Input!M298,""))</f>
        <v/>
      </c>
      <c r="N346" s="152">
        <f>IF($B346=1,$D$49,IF(N(Vintage_Input!N298)&gt;0,Vintage_Input!V298/Vintage_Input!N298,""))</f>
        <v/>
      </c>
      <c r="O346" s="152">
        <f>IF($B346=1,$E$49,IF(N(Vintage_Input!O298)&gt;0,Vintage_Input!W298/Vintage_Input!O298,""))</f>
        <v/>
      </c>
      <c r="P346" s="152">
        <f>IF($B346=1,$F$49,IF(N(Vintage_Input!P298)&gt;0,Vintage_Input!X298/Vintage_Input!P298,""))</f>
        <v/>
      </c>
      <c r="Q346" s="152">
        <f>IF($B346=1,$G$49,IF(N(Vintage_Input!Q298)&gt;0,Vintage_Input!Y298/Vintage_Input!Q298,""))</f>
        <v/>
      </c>
      <c r="R346" s="152">
        <f>IF($B346=1,$H$49,IF(N(Vintage_Input!R298)&gt;0,Vintage_Input!Z298/Vintage_Input!R298,""))</f>
        <v/>
      </c>
      <c r="S346" s="152">
        <f>IF($B346=1,$I$49,IF(N(Vintage_Input!S298)&gt;0,Vintage_Input!AA298/Vintage_Input!S298,""))</f>
        <v/>
      </c>
      <c r="T346" s="152">
        <f>IF($B346=1,$B$50,IF(N(Vintage_Input!L298)&gt;0,Vintage_Input!AB298/Vintage_Input!L298,""))</f>
        <v/>
      </c>
      <c r="U346" s="152">
        <f>IF($B346=1,$C$50,IF(N(Vintage_Input!M298)&gt;0,Vintage_Input!AC298/Vintage_Input!M298,""))</f>
        <v/>
      </c>
      <c r="V346" s="152">
        <f>IF($B346=1,$D$50,IF(N(Vintage_Input!N298)&gt;0,Vintage_Input!AD298/Vintage_Input!N298,""))</f>
        <v/>
      </c>
      <c r="W346" s="152">
        <f>IF($B346=1,$E$50,IF(N(Vintage_Input!O298)&gt;0,Vintage_Input!AE298/Vintage_Input!O298,""))</f>
        <v/>
      </c>
      <c r="X346" s="152">
        <f>IF($B346=1,$F$50,IF(N(Vintage_Input!P298)&gt;0,Vintage_Input!AF298/Vintage_Input!P298,""))</f>
        <v/>
      </c>
      <c r="Y346" s="152">
        <f>IF($B346=1,$G$50,IF(N(Vintage_Input!Q298)&gt;0,Vintage_Input!AG298/Vintage_Input!Q298,""))</f>
        <v/>
      </c>
      <c r="Z346" s="152">
        <f>IF($B346=1,$H$50,IF(N(Vintage_Input!R298)&gt;0,Vintage_Input!AH298/Vintage_Input!R298,""))</f>
        <v/>
      </c>
      <c r="AA346" s="152">
        <f>IF($B346=1,$I$50,IF(N(Vintage_Input!S298)&gt;0,Vintage_Input!AI298/Vintage_Input!S298,""))</f>
        <v/>
      </c>
      <c r="AB346" s="152">
        <f>IF($B346=1,$B$51,IF(N(Vintage_Input!L298)&gt;0,Vintage_Input!AJ298/Vintage_Input!L298,""))</f>
        <v/>
      </c>
      <c r="AC346" s="152">
        <f>IF($B346=1,$C$51,IF(N(Vintage_Input!M298)&gt;0,Vintage_Input!AK298/Vintage_Input!M298,""))</f>
        <v/>
      </c>
      <c r="AD346" s="152">
        <f>IF($B346=1,$D$51,IF(N(Vintage_Input!N298)&gt;0,Vintage_Input!AL298/Vintage_Input!N298,""))</f>
        <v/>
      </c>
      <c r="AE346" s="152">
        <f>IF($B346=1,$E$51,IF(N(Vintage_Input!O298)&gt;0,Vintage_Input!AM298/Vintage_Input!O298,""))</f>
        <v/>
      </c>
      <c r="AF346" s="152">
        <f>IF($B346=1,$F$51,IF(N(Vintage_Input!P298)&gt;0,Vintage_Input!AN298/Vintage_Input!P298,""))</f>
        <v/>
      </c>
      <c r="AG346" s="152">
        <f>IF($B346=1,$G$51,IF(N(Vintage_Input!Q298)&gt;0,Vintage_Input!AO298/Vintage_Input!Q298,""))</f>
        <v/>
      </c>
      <c r="AH346" s="152">
        <f>IF($B346=1,$H$51,IF(N(Vintage_Input!R298)&gt;0,Vintage_Input!AP298/Vintage_Input!R298,""))</f>
        <v/>
      </c>
      <c r="AI346" s="152">
        <f>IF($B346=1,$I$51,IF(N(Vintage_Input!S298)&gt;0,Vintage_Input!AQ298/Vintage_Input!S298,""))</f>
        <v/>
      </c>
      <c r="AJ346" s="152">
        <f>IF($B346=1,$B$52,IF(N(Vintage_Input!L298)&gt;0,IFERROR(Vintage_Input!AR298/Vintage_Input!AJ298,""),""))</f>
        <v/>
      </c>
      <c r="AK346" s="152">
        <f>IF($B346=1,$C$52,IF(N(Vintage_Input!M298)&gt;0,IFERROR(Vintage_Input!AS298/Vintage_Input!AK298,""),""))</f>
        <v/>
      </c>
      <c r="AL346" s="152">
        <f>IF($B346=1,$D$52,IF(N(Vintage_Input!N298)&gt;0,IFERROR(Vintage_Input!AT298/Vintage_Input!AL298,""),""))</f>
        <v/>
      </c>
      <c r="AM346" s="152">
        <f>IF($B346=1,$E$52,IF(N(Vintage_Input!O298)&gt;0,IFERROR(Vintage_Input!AU298/Vintage_Input!AM298,""),""))</f>
        <v/>
      </c>
      <c r="AN346" s="152">
        <f>IF($B346=1,$F$52,IF(N(Vintage_Input!P298)&gt;0,IFERROR(Vintage_Input!AV298/Vintage_Input!AN298,""),""))</f>
        <v/>
      </c>
      <c r="AO346" s="152">
        <f>IF($B346=1,$G$52,IF(N(Vintage_Input!Q298)&gt;0,IFERROR(Vintage_Input!AW298/Vintage_Input!AO298,""),""))</f>
        <v/>
      </c>
      <c r="AP346" s="152">
        <f>IF($B346=1,$H$52,IF(N(Vintage_Input!R298)&gt;0,IFERROR(Vintage_Input!AX298/Vintage_Input!AP298,""),""))</f>
        <v/>
      </c>
      <c r="AQ346" s="152">
        <f>IF($B346=1,$I$52,IF(N(Vintage_Input!S298)&gt;0,IFERROR(Vintage_Input!AY298/Vintage_Input!AQ298,""),""))</f>
        <v/>
      </c>
      <c r="AR346" s="152">
        <f>IF($B346=1,$B$53,IF(N(Vintage_Input!L298)&gt;0,IFERROR(Vintage_Input!AZ298/$C346,""),""))</f>
        <v/>
      </c>
      <c r="AS346" s="152">
        <f>IF($B346=1,$C$53,IF(N(Vintage_Input!M298)&gt;0,IFERROR(Vintage_Input!BA298/$C346,""),""))</f>
        <v/>
      </c>
      <c r="AT346" s="152">
        <f>IF($B346=1,$D$53,IF(N(Vintage_Input!N298)&gt;0,IFERROR(Vintage_Input!BB298/$C346,""),""))</f>
        <v/>
      </c>
      <c r="AU346" s="152">
        <f>IF($B346=1,$E$53,IF(N(Vintage_Input!O298)&gt;0,IFERROR(Vintage_Input!BC298/$C346,""),""))</f>
        <v/>
      </c>
      <c r="AV346" s="152">
        <f>IF($B346=1,$F$53,IF(N(Vintage_Input!P298)&gt;0,IFERROR(Vintage_Input!BD298/$C346,""),""))</f>
        <v/>
      </c>
      <c r="AW346" s="152">
        <f>IF($B346=1,$G$53,IF(N(Vintage_Input!Q298)&gt;0,IFERROR(Vintage_Input!BE298/$C346,""),""))</f>
        <v/>
      </c>
      <c r="AX346" s="152">
        <f>IF($B346=1,$H$53,IF(N(Vintage_Input!R298)&gt;0,IFERROR(Vintage_Input!BF298/$C346,""),""))</f>
        <v/>
      </c>
      <c r="AY346" s="152">
        <f>IF($B346=1,$I$53,IF(N(Vintage_Input!S298)&gt;0,IFERROR(Vintage_Input!BG298/$C346,""),""))</f>
        <v/>
      </c>
      <c r="AZ346" s="153">
        <f>IF($B346=1,$B$54,IF(N(Vintage_Input!L298)&gt;0,IFERROR((Vintage_Input!D298+Vintage_Input!AR298)/$C346+Products!$G$14-(Products!$G$43+Products!$G$19+Products!$G$43*Products!$G$22+Products!$G$44),""),""))</f>
        <v/>
      </c>
      <c r="BA346" s="153">
        <f>IF($B346=1,$C$54,IF(N(Vintage_Input!M298)&gt;0,IFERROR((Vintage_Input!E298+Vintage_Input!AS298)/$C346+Products!$G$14-(Products!$G$43+Products!$G$19+Products!$G$43*Products!$G$22+Products!$G$44),""),""))</f>
        <v/>
      </c>
      <c r="BB346" s="153">
        <f>IF($B346=1,$D$54,IF(N(Vintage_Input!N298)&gt;0,IFERROR((Vintage_Input!F298+Vintage_Input!AT298)/$C346+Products!$G$14-(Products!$G$43+Products!$G$19+Products!$G$43*Products!$G$22+Products!$G$44),""),""))</f>
        <v/>
      </c>
      <c r="BC346" s="153">
        <f>IF($B346=1,$E$54,IF(N(Vintage_Input!O298)&gt;0,IFERROR((Vintage_Input!G298+Vintage_Input!AU298)/$C346+Products!$G$14-(Products!$G$43+Products!$G$19+Products!$G$43*Products!$G$22+Products!$G$44),""),""))</f>
        <v/>
      </c>
      <c r="BD346" s="153">
        <f>IF($B346=1,$F$54,IF(N(Vintage_Input!P298)&gt;0,IFERROR((Vintage_Input!H298+Vintage_Input!AV298)/$C346+Products!$G$14-(Products!$G$43+Products!$G$19+Products!$G$43*Products!$G$22+Products!$G$44),""),""))</f>
        <v/>
      </c>
      <c r="BE346" s="153">
        <f>IF($B346=1,$G$54,IF(N(Vintage_Input!Q298)&gt;0,IFERROR((Vintage_Input!I298+Vintage_Input!AW298)/$C346+Products!$G$14-(Products!$G$43+Products!$G$19+Products!$G$43*Products!$G$22+Products!$G$44),""),""))</f>
        <v/>
      </c>
      <c r="BF346" s="153">
        <f>IF($B346=1,$H$54,IF(N(Vintage_Input!R298)&gt;0,IFERROR((Vintage_Input!J298+Vintage_Input!AX298)/$C346+Products!$G$14-(Products!$G$43+Products!$G$19+Products!$G$43*Products!$G$22+Products!$G$44),""),""))</f>
        <v/>
      </c>
      <c r="BG346" s="153">
        <f>IF($B346=1,$I$54,IF(N(Vintage_Input!S298)&gt;0,IFERROR((Vintage_Input!K298+Vintage_Input!AY298)/$C346+Products!$G$14-(Products!$G$43+Products!$G$19+Products!$G$43*Products!$G$22+Products!$G$44),""),""))</f>
        <v/>
      </c>
      <c r="BH346" s="81">
        <f>IF($B346=1,0,IF(Vintage_Input!$BH$298="","",Vintage_Input!$BH$298))</f>
        <v/>
      </c>
    </row>
    <row r="347">
      <c r="A347" s="23" t="n">
        <v>31</v>
      </c>
      <c r="B347" s="48">
        <f>Vintage_Input!$B$299</f>
        <v/>
      </c>
      <c r="C347" s="41">
        <f>IF(Vintage_Input!$C$299="",0,Vintage_Input!$C$299)</f>
        <v/>
      </c>
      <c r="D347" s="152">
        <f>IF($B347=1,$B$48,IF(N(Vintage_Input!L299)&gt;0,Vintage_Input!D299/Vintage_Input!L299,""))</f>
        <v/>
      </c>
      <c r="E347" s="152">
        <f>IF($B347=1,$C$48,IF(N(Vintage_Input!M299)&gt;0,Vintage_Input!E299/Vintage_Input!M299,""))</f>
        <v/>
      </c>
      <c r="F347" s="152">
        <f>IF($B347=1,$D$48,IF(N(Vintage_Input!N299)&gt;0,Vintage_Input!F299/Vintage_Input!N299,""))</f>
        <v/>
      </c>
      <c r="G347" s="152">
        <f>IF($B347=1,$E$48,IF(N(Vintage_Input!O299)&gt;0,Vintage_Input!G299/Vintage_Input!O299,""))</f>
        <v/>
      </c>
      <c r="H347" s="152">
        <f>IF($B347=1,$F$48,IF(N(Vintage_Input!P299)&gt;0,Vintage_Input!H299/Vintage_Input!P299,""))</f>
        <v/>
      </c>
      <c r="I347" s="152">
        <f>IF($B347=1,$G$48,IF(N(Vintage_Input!Q299)&gt;0,Vintage_Input!I299/Vintage_Input!Q299,""))</f>
        <v/>
      </c>
      <c r="J347" s="152">
        <f>IF($B347=1,$H$48,IF(N(Vintage_Input!R299)&gt;0,Vintage_Input!J299/Vintage_Input!R299,""))</f>
        <v/>
      </c>
      <c r="K347" s="152">
        <f>IF($B347=1,$I$48,IF(N(Vintage_Input!S299)&gt;0,Vintage_Input!K299/Vintage_Input!S299,""))</f>
        <v/>
      </c>
      <c r="L347" s="152">
        <f>IF($B347=1,$B$49,IF(N(Vintage_Input!L299)&gt;0,Vintage_Input!T299/Vintage_Input!L299,""))</f>
        <v/>
      </c>
      <c r="M347" s="152">
        <f>IF($B347=1,$C$49,IF(N(Vintage_Input!M299)&gt;0,Vintage_Input!U299/Vintage_Input!M299,""))</f>
        <v/>
      </c>
      <c r="N347" s="152">
        <f>IF($B347=1,$D$49,IF(N(Vintage_Input!N299)&gt;0,Vintage_Input!V299/Vintage_Input!N299,""))</f>
        <v/>
      </c>
      <c r="O347" s="152">
        <f>IF($B347=1,$E$49,IF(N(Vintage_Input!O299)&gt;0,Vintage_Input!W299/Vintage_Input!O299,""))</f>
        <v/>
      </c>
      <c r="P347" s="152">
        <f>IF($B347=1,$F$49,IF(N(Vintage_Input!P299)&gt;0,Vintage_Input!X299/Vintage_Input!P299,""))</f>
        <v/>
      </c>
      <c r="Q347" s="152">
        <f>IF($B347=1,$G$49,IF(N(Vintage_Input!Q299)&gt;0,Vintage_Input!Y299/Vintage_Input!Q299,""))</f>
        <v/>
      </c>
      <c r="R347" s="152">
        <f>IF($B347=1,$H$49,IF(N(Vintage_Input!R299)&gt;0,Vintage_Input!Z299/Vintage_Input!R299,""))</f>
        <v/>
      </c>
      <c r="S347" s="152">
        <f>IF($B347=1,$I$49,IF(N(Vintage_Input!S299)&gt;0,Vintage_Input!AA299/Vintage_Input!S299,""))</f>
        <v/>
      </c>
      <c r="T347" s="152">
        <f>IF($B347=1,$B$50,IF(N(Vintage_Input!L299)&gt;0,Vintage_Input!AB299/Vintage_Input!L299,""))</f>
        <v/>
      </c>
      <c r="U347" s="152">
        <f>IF($B347=1,$C$50,IF(N(Vintage_Input!M299)&gt;0,Vintage_Input!AC299/Vintage_Input!M299,""))</f>
        <v/>
      </c>
      <c r="V347" s="152">
        <f>IF($B347=1,$D$50,IF(N(Vintage_Input!N299)&gt;0,Vintage_Input!AD299/Vintage_Input!N299,""))</f>
        <v/>
      </c>
      <c r="W347" s="152">
        <f>IF($B347=1,$E$50,IF(N(Vintage_Input!O299)&gt;0,Vintage_Input!AE299/Vintage_Input!O299,""))</f>
        <v/>
      </c>
      <c r="X347" s="152">
        <f>IF($B347=1,$F$50,IF(N(Vintage_Input!P299)&gt;0,Vintage_Input!AF299/Vintage_Input!P299,""))</f>
        <v/>
      </c>
      <c r="Y347" s="152">
        <f>IF($B347=1,$G$50,IF(N(Vintage_Input!Q299)&gt;0,Vintage_Input!AG299/Vintage_Input!Q299,""))</f>
        <v/>
      </c>
      <c r="Z347" s="152">
        <f>IF($B347=1,$H$50,IF(N(Vintage_Input!R299)&gt;0,Vintage_Input!AH299/Vintage_Input!R299,""))</f>
        <v/>
      </c>
      <c r="AA347" s="152">
        <f>IF($B347=1,$I$50,IF(N(Vintage_Input!S299)&gt;0,Vintage_Input!AI299/Vintage_Input!S299,""))</f>
        <v/>
      </c>
      <c r="AB347" s="152">
        <f>IF($B347=1,$B$51,IF(N(Vintage_Input!L299)&gt;0,Vintage_Input!AJ299/Vintage_Input!L299,""))</f>
        <v/>
      </c>
      <c r="AC347" s="152">
        <f>IF($B347=1,$C$51,IF(N(Vintage_Input!M299)&gt;0,Vintage_Input!AK299/Vintage_Input!M299,""))</f>
        <v/>
      </c>
      <c r="AD347" s="152">
        <f>IF($B347=1,$D$51,IF(N(Vintage_Input!N299)&gt;0,Vintage_Input!AL299/Vintage_Input!N299,""))</f>
        <v/>
      </c>
      <c r="AE347" s="152">
        <f>IF($B347=1,$E$51,IF(N(Vintage_Input!O299)&gt;0,Vintage_Input!AM299/Vintage_Input!O299,""))</f>
        <v/>
      </c>
      <c r="AF347" s="152">
        <f>IF($B347=1,$F$51,IF(N(Vintage_Input!P299)&gt;0,Vintage_Input!AN299/Vintage_Input!P299,""))</f>
        <v/>
      </c>
      <c r="AG347" s="152">
        <f>IF($B347=1,$G$51,IF(N(Vintage_Input!Q299)&gt;0,Vintage_Input!AO299/Vintage_Input!Q299,""))</f>
        <v/>
      </c>
      <c r="AH347" s="152">
        <f>IF($B347=1,$H$51,IF(N(Vintage_Input!R299)&gt;0,Vintage_Input!AP299/Vintage_Input!R299,""))</f>
        <v/>
      </c>
      <c r="AI347" s="152">
        <f>IF($B347=1,$I$51,IF(N(Vintage_Input!S299)&gt;0,Vintage_Input!AQ299/Vintage_Input!S299,""))</f>
        <v/>
      </c>
      <c r="AJ347" s="152">
        <f>IF($B347=1,$B$52,IF(N(Vintage_Input!L299)&gt;0,IFERROR(Vintage_Input!AR299/Vintage_Input!AJ299,""),""))</f>
        <v/>
      </c>
      <c r="AK347" s="152">
        <f>IF($B347=1,$C$52,IF(N(Vintage_Input!M299)&gt;0,IFERROR(Vintage_Input!AS299/Vintage_Input!AK299,""),""))</f>
        <v/>
      </c>
      <c r="AL347" s="152">
        <f>IF($B347=1,$D$52,IF(N(Vintage_Input!N299)&gt;0,IFERROR(Vintage_Input!AT299/Vintage_Input!AL299,""),""))</f>
        <v/>
      </c>
      <c r="AM347" s="152">
        <f>IF($B347=1,$E$52,IF(N(Vintage_Input!O299)&gt;0,IFERROR(Vintage_Input!AU299/Vintage_Input!AM299,""),""))</f>
        <v/>
      </c>
      <c r="AN347" s="152">
        <f>IF($B347=1,$F$52,IF(N(Vintage_Input!P299)&gt;0,IFERROR(Vintage_Input!AV299/Vintage_Input!AN299,""),""))</f>
        <v/>
      </c>
      <c r="AO347" s="152">
        <f>IF($B347=1,$G$52,IF(N(Vintage_Input!Q299)&gt;0,IFERROR(Vintage_Input!AW299/Vintage_Input!AO299,""),""))</f>
        <v/>
      </c>
      <c r="AP347" s="152">
        <f>IF($B347=1,$H$52,IF(N(Vintage_Input!R299)&gt;0,IFERROR(Vintage_Input!AX299/Vintage_Input!AP299,""),""))</f>
        <v/>
      </c>
      <c r="AQ347" s="152">
        <f>IF($B347=1,$I$52,IF(N(Vintage_Input!S299)&gt;0,IFERROR(Vintage_Input!AY299/Vintage_Input!AQ299,""),""))</f>
        <v/>
      </c>
      <c r="AR347" s="152">
        <f>IF($B347=1,$B$53,IF(N(Vintage_Input!L299)&gt;0,IFERROR(Vintage_Input!AZ299/$C347,""),""))</f>
        <v/>
      </c>
      <c r="AS347" s="152">
        <f>IF($B347=1,$C$53,IF(N(Vintage_Input!M299)&gt;0,IFERROR(Vintage_Input!BA299/$C347,""),""))</f>
        <v/>
      </c>
      <c r="AT347" s="152">
        <f>IF($B347=1,$D$53,IF(N(Vintage_Input!N299)&gt;0,IFERROR(Vintage_Input!BB299/$C347,""),""))</f>
        <v/>
      </c>
      <c r="AU347" s="152">
        <f>IF($B347=1,$E$53,IF(N(Vintage_Input!O299)&gt;0,IFERROR(Vintage_Input!BC299/$C347,""),""))</f>
        <v/>
      </c>
      <c r="AV347" s="152">
        <f>IF($B347=1,$F$53,IF(N(Vintage_Input!P299)&gt;0,IFERROR(Vintage_Input!BD299/$C347,""),""))</f>
        <v/>
      </c>
      <c r="AW347" s="152">
        <f>IF($B347=1,$G$53,IF(N(Vintage_Input!Q299)&gt;0,IFERROR(Vintage_Input!BE299/$C347,""),""))</f>
        <v/>
      </c>
      <c r="AX347" s="152">
        <f>IF($B347=1,$H$53,IF(N(Vintage_Input!R299)&gt;0,IFERROR(Vintage_Input!BF299/$C347,""),""))</f>
        <v/>
      </c>
      <c r="AY347" s="152">
        <f>IF($B347=1,$I$53,IF(N(Vintage_Input!S299)&gt;0,IFERROR(Vintage_Input!BG299/$C347,""),""))</f>
        <v/>
      </c>
      <c r="AZ347" s="153">
        <f>IF($B347=1,$B$54,IF(N(Vintage_Input!L299)&gt;0,IFERROR((Vintage_Input!D299+Vintage_Input!AR299)/$C347+Products!$G$14-(Products!$G$43+Products!$G$19+Products!$G$43*Products!$G$22+Products!$G$44),""),""))</f>
        <v/>
      </c>
      <c r="BA347" s="153">
        <f>IF($B347=1,$C$54,IF(N(Vintage_Input!M299)&gt;0,IFERROR((Vintage_Input!E299+Vintage_Input!AS299)/$C347+Products!$G$14-(Products!$G$43+Products!$G$19+Products!$G$43*Products!$G$22+Products!$G$44),""),""))</f>
        <v/>
      </c>
      <c r="BB347" s="153">
        <f>IF($B347=1,$D$54,IF(N(Vintage_Input!N299)&gt;0,IFERROR((Vintage_Input!F299+Vintage_Input!AT299)/$C347+Products!$G$14-(Products!$G$43+Products!$G$19+Products!$G$43*Products!$G$22+Products!$G$44),""),""))</f>
        <v/>
      </c>
      <c r="BC347" s="153">
        <f>IF($B347=1,$E$54,IF(N(Vintage_Input!O299)&gt;0,IFERROR((Vintage_Input!G299+Vintage_Input!AU299)/$C347+Products!$G$14-(Products!$G$43+Products!$G$19+Products!$G$43*Products!$G$22+Products!$G$44),""),""))</f>
        <v/>
      </c>
      <c r="BD347" s="153">
        <f>IF($B347=1,$F$54,IF(N(Vintage_Input!P299)&gt;0,IFERROR((Vintage_Input!H299+Vintage_Input!AV299)/$C347+Products!$G$14-(Products!$G$43+Products!$G$19+Products!$G$43*Products!$G$22+Products!$G$44),""),""))</f>
        <v/>
      </c>
      <c r="BE347" s="153">
        <f>IF($B347=1,$G$54,IF(N(Vintage_Input!Q299)&gt;0,IFERROR((Vintage_Input!I299+Vintage_Input!AW299)/$C347+Products!$G$14-(Products!$G$43+Products!$G$19+Products!$G$43*Products!$G$22+Products!$G$44),""),""))</f>
        <v/>
      </c>
      <c r="BF347" s="153">
        <f>IF($B347=1,$H$54,IF(N(Vintage_Input!R299)&gt;0,IFERROR((Vintage_Input!J299+Vintage_Input!AX299)/$C347+Products!$G$14-(Products!$G$43+Products!$G$19+Products!$G$43*Products!$G$22+Products!$G$44),""),""))</f>
        <v/>
      </c>
      <c r="BG347" s="153">
        <f>IF($B347=1,$I$54,IF(N(Vintage_Input!S299)&gt;0,IFERROR((Vintage_Input!K299+Vintage_Input!AY299)/$C347+Products!$G$14-(Products!$G$43+Products!$G$19+Products!$G$43*Products!$G$22+Products!$G$44),""),""))</f>
        <v/>
      </c>
      <c r="BH347" s="81">
        <f>IF($B347=1,0,IF(Vintage_Input!$BH$299="","",Vintage_Input!$BH$299))</f>
        <v/>
      </c>
    </row>
    <row r="348">
      <c r="A348" s="23" t="n">
        <v>32</v>
      </c>
      <c r="B348" s="48">
        <f>Vintage_Input!$B$300</f>
        <v/>
      </c>
      <c r="C348" s="41">
        <f>IF(Vintage_Input!$C$300="",0,Vintage_Input!$C$300)</f>
        <v/>
      </c>
      <c r="D348" s="152">
        <f>IF($B348=1,$B$48,IF(N(Vintage_Input!L300)&gt;0,Vintage_Input!D300/Vintage_Input!L300,""))</f>
        <v/>
      </c>
      <c r="E348" s="152">
        <f>IF($B348=1,$C$48,IF(N(Vintage_Input!M300)&gt;0,Vintage_Input!E300/Vintage_Input!M300,""))</f>
        <v/>
      </c>
      <c r="F348" s="152">
        <f>IF($B348=1,$D$48,IF(N(Vintage_Input!N300)&gt;0,Vintage_Input!F300/Vintage_Input!N300,""))</f>
        <v/>
      </c>
      <c r="G348" s="152">
        <f>IF($B348=1,$E$48,IF(N(Vintage_Input!O300)&gt;0,Vintage_Input!G300/Vintage_Input!O300,""))</f>
        <v/>
      </c>
      <c r="H348" s="152">
        <f>IF($B348=1,$F$48,IF(N(Vintage_Input!P300)&gt;0,Vintage_Input!H300/Vintage_Input!P300,""))</f>
        <v/>
      </c>
      <c r="I348" s="152">
        <f>IF($B348=1,$G$48,IF(N(Vintage_Input!Q300)&gt;0,Vintage_Input!I300/Vintage_Input!Q300,""))</f>
        <v/>
      </c>
      <c r="J348" s="152">
        <f>IF($B348=1,$H$48,IF(N(Vintage_Input!R300)&gt;0,Vintage_Input!J300/Vintage_Input!R300,""))</f>
        <v/>
      </c>
      <c r="K348" s="152">
        <f>IF($B348=1,$I$48,IF(N(Vintage_Input!S300)&gt;0,Vintage_Input!K300/Vintage_Input!S300,""))</f>
        <v/>
      </c>
      <c r="L348" s="152">
        <f>IF($B348=1,$B$49,IF(N(Vintage_Input!L300)&gt;0,Vintage_Input!T300/Vintage_Input!L300,""))</f>
        <v/>
      </c>
      <c r="M348" s="152">
        <f>IF($B348=1,$C$49,IF(N(Vintage_Input!M300)&gt;0,Vintage_Input!U300/Vintage_Input!M300,""))</f>
        <v/>
      </c>
      <c r="N348" s="152">
        <f>IF($B348=1,$D$49,IF(N(Vintage_Input!N300)&gt;0,Vintage_Input!V300/Vintage_Input!N300,""))</f>
        <v/>
      </c>
      <c r="O348" s="152">
        <f>IF($B348=1,$E$49,IF(N(Vintage_Input!O300)&gt;0,Vintage_Input!W300/Vintage_Input!O300,""))</f>
        <v/>
      </c>
      <c r="P348" s="152">
        <f>IF($B348=1,$F$49,IF(N(Vintage_Input!P300)&gt;0,Vintage_Input!X300/Vintage_Input!P300,""))</f>
        <v/>
      </c>
      <c r="Q348" s="152">
        <f>IF($B348=1,$G$49,IF(N(Vintage_Input!Q300)&gt;0,Vintage_Input!Y300/Vintage_Input!Q300,""))</f>
        <v/>
      </c>
      <c r="R348" s="152">
        <f>IF($B348=1,$H$49,IF(N(Vintage_Input!R300)&gt;0,Vintage_Input!Z300/Vintage_Input!R300,""))</f>
        <v/>
      </c>
      <c r="S348" s="152">
        <f>IF($B348=1,$I$49,IF(N(Vintage_Input!S300)&gt;0,Vintage_Input!AA300/Vintage_Input!S300,""))</f>
        <v/>
      </c>
      <c r="T348" s="152">
        <f>IF($B348=1,$B$50,IF(N(Vintage_Input!L300)&gt;0,Vintage_Input!AB300/Vintage_Input!L300,""))</f>
        <v/>
      </c>
      <c r="U348" s="152">
        <f>IF($B348=1,$C$50,IF(N(Vintage_Input!M300)&gt;0,Vintage_Input!AC300/Vintage_Input!M300,""))</f>
        <v/>
      </c>
      <c r="V348" s="152">
        <f>IF($B348=1,$D$50,IF(N(Vintage_Input!N300)&gt;0,Vintage_Input!AD300/Vintage_Input!N300,""))</f>
        <v/>
      </c>
      <c r="W348" s="152">
        <f>IF($B348=1,$E$50,IF(N(Vintage_Input!O300)&gt;0,Vintage_Input!AE300/Vintage_Input!O300,""))</f>
        <v/>
      </c>
      <c r="X348" s="152">
        <f>IF($B348=1,$F$50,IF(N(Vintage_Input!P300)&gt;0,Vintage_Input!AF300/Vintage_Input!P300,""))</f>
        <v/>
      </c>
      <c r="Y348" s="152">
        <f>IF($B348=1,$G$50,IF(N(Vintage_Input!Q300)&gt;0,Vintage_Input!AG300/Vintage_Input!Q300,""))</f>
        <v/>
      </c>
      <c r="Z348" s="152">
        <f>IF($B348=1,$H$50,IF(N(Vintage_Input!R300)&gt;0,Vintage_Input!AH300/Vintage_Input!R300,""))</f>
        <v/>
      </c>
      <c r="AA348" s="152">
        <f>IF($B348=1,$I$50,IF(N(Vintage_Input!S300)&gt;0,Vintage_Input!AI300/Vintage_Input!S300,""))</f>
        <v/>
      </c>
      <c r="AB348" s="152">
        <f>IF($B348=1,$B$51,IF(N(Vintage_Input!L300)&gt;0,Vintage_Input!AJ300/Vintage_Input!L300,""))</f>
        <v/>
      </c>
      <c r="AC348" s="152">
        <f>IF($B348=1,$C$51,IF(N(Vintage_Input!M300)&gt;0,Vintage_Input!AK300/Vintage_Input!M300,""))</f>
        <v/>
      </c>
      <c r="AD348" s="152">
        <f>IF($B348=1,$D$51,IF(N(Vintage_Input!N300)&gt;0,Vintage_Input!AL300/Vintage_Input!N300,""))</f>
        <v/>
      </c>
      <c r="AE348" s="152">
        <f>IF($B348=1,$E$51,IF(N(Vintage_Input!O300)&gt;0,Vintage_Input!AM300/Vintage_Input!O300,""))</f>
        <v/>
      </c>
      <c r="AF348" s="152">
        <f>IF($B348=1,$F$51,IF(N(Vintage_Input!P300)&gt;0,Vintage_Input!AN300/Vintage_Input!P300,""))</f>
        <v/>
      </c>
      <c r="AG348" s="152">
        <f>IF($B348=1,$G$51,IF(N(Vintage_Input!Q300)&gt;0,Vintage_Input!AO300/Vintage_Input!Q300,""))</f>
        <v/>
      </c>
      <c r="AH348" s="152">
        <f>IF($B348=1,$H$51,IF(N(Vintage_Input!R300)&gt;0,Vintage_Input!AP300/Vintage_Input!R300,""))</f>
        <v/>
      </c>
      <c r="AI348" s="152">
        <f>IF($B348=1,$I$51,IF(N(Vintage_Input!S300)&gt;0,Vintage_Input!AQ300/Vintage_Input!S300,""))</f>
        <v/>
      </c>
      <c r="AJ348" s="152">
        <f>IF($B348=1,$B$52,IF(N(Vintage_Input!L300)&gt;0,IFERROR(Vintage_Input!AR300/Vintage_Input!AJ300,""),""))</f>
        <v/>
      </c>
      <c r="AK348" s="152">
        <f>IF($B348=1,$C$52,IF(N(Vintage_Input!M300)&gt;0,IFERROR(Vintage_Input!AS300/Vintage_Input!AK300,""),""))</f>
        <v/>
      </c>
      <c r="AL348" s="152">
        <f>IF($B348=1,$D$52,IF(N(Vintage_Input!N300)&gt;0,IFERROR(Vintage_Input!AT300/Vintage_Input!AL300,""),""))</f>
        <v/>
      </c>
      <c r="AM348" s="152">
        <f>IF($B348=1,$E$52,IF(N(Vintage_Input!O300)&gt;0,IFERROR(Vintage_Input!AU300/Vintage_Input!AM300,""),""))</f>
        <v/>
      </c>
      <c r="AN348" s="152">
        <f>IF($B348=1,$F$52,IF(N(Vintage_Input!P300)&gt;0,IFERROR(Vintage_Input!AV300/Vintage_Input!AN300,""),""))</f>
        <v/>
      </c>
      <c r="AO348" s="152">
        <f>IF($B348=1,$G$52,IF(N(Vintage_Input!Q300)&gt;0,IFERROR(Vintage_Input!AW300/Vintage_Input!AO300,""),""))</f>
        <v/>
      </c>
      <c r="AP348" s="152">
        <f>IF($B348=1,$H$52,IF(N(Vintage_Input!R300)&gt;0,IFERROR(Vintage_Input!AX300/Vintage_Input!AP300,""),""))</f>
        <v/>
      </c>
      <c r="AQ348" s="152">
        <f>IF($B348=1,$I$52,IF(N(Vintage_Input!S300)&gt;0,IFERROR(Vintage_Input!AY300/Vintage_Input!AQ300,""),""))</f>
        <v/>
      </c>
      <c r="AR348" s="152">
        <f>IF($B348=1,$B$53,IF(N(Vintage_Input!L300)&gt;0,IFERROR(Vintage_Input!AZ300/$C348,""),""))</f>
        <v/>
      </c>
      <c r="AS348" s="152">
        <f>IF($B348=1,$C$53,IF(N(Vintage_Input!M300)&gt;0,IFERROR(Vintage_Input!BA300/$C348,""),""))</f>
        <v/>
      </c>
      <c r="AT348" s="152">
        <f>IF($B348=1,$D$53,IF(N(Vintage_Input!N300)&gt;0,IFERROR(Vintage_Input!BB300/$C348,""),""))</f>
        <v/>
      </c>
      <c r="AU348" s="152">
        <f>IF($B348=1,$E$53,IF(N(Vintage_Input!O300)&gt;0,IFERROR(Vintage_Input!BC300/$C348,""),""))</f>
        <v/>
      </c>
      <c r="AV348" s="152">
        <f>IF($B348=1,$F$53,IF(N(Vintage_Input!P300)&gt;0,IFERROR(Vintage_Input!BD300/$C348,""),""))</f>
        <v/>
      </c>
      <c r="AW348" s="152">
        <f>IF($B348=1,$G$53,IF(N(Vintage_Input!Q300)&gt;0,IFERROR(Vintage_Input!BE300/$C348,""),""))</f>
        <v/>
      </c>
      <c r="AX348" s="152">
        <f>IF($B348=1,$H$53,IF(N(Vintage_Input!R300)&gt;0,IFERROR(Vintage_Input!BF300/$C348,""),""))</f>
        <v/>
      </c>
      <c r="AY348" s="152">
        <f>IF($B348=1,$I$53,IF(N(Vintage_Input!S300)&gt;0,IFERROR(Vintage_Input!BG300/$C348,""),""))</f>
        <v/>
      </c>
      <c r="AZ348" s="153">
        <f>IF($B348=1,$B$54,IF(N(Vintage_Input!L300)&gt;0,IFERROR((Vintage_Input!D300+Vintage_Input!AR300)/$C348+Products!$G$14-(Products!$G$43+Products!$G$19+Products!$G$43*Products!$G$22+Products!$G$44),""),""))</f>
        <v/>
      </c>
      <c r="BA348" s="153">
        <f>IF($B348=1,$C$54,IF(N(Vintage_Input!M300)&gt;0,IFERROR((Vintage_Input!E300+Vintage_Input!AS300)/$C348+Products!$G$14-(Products!$G$43+Products!$G$19+Products!$G$43*Products!$G$22+Products!$G$44),""),""))</f>
        <v/>
      </c>
      <c r="BB348" s="153">
        <f>IF($B348=1,$D$54,IF(N(Vintage_Input!N300)&gt;0,IFERROR((Vintage_Input!F300+Vintage_Input!AT300)/$C348+Products!$G$14-(Products!$G$43+Products!$G$19+Products!$G$43*Products!$G$22+Products!$G$44),""),""))</f>
        <v/>
      </c>
      <c r="BC348" s="153">
        <f>IF($B348=1,$E$54,IF(N(Vintage_Input!O300)&gt;0,IFERROR((Vintage_Input!G300+Vintage_Input!AU300)/$C348+Products!$G$14-(Products!$G$43+Products!$G$19+Products!$G$43*Products!$G$22+Products!$G$44),""),""))</f>
        <v/>
      </c>
      <c r="BD348" s="153">
        <f>IF($B348=1,$F$54,IF(N(Vintage_Input!P300)&gt;0,IFERROR((Vintage_Input!H300+Vintage_Input!AV300)/$C348+Products!$G$14-(Products!$G$43+Products!$G$19+Products!$G$43*Products!$G$22+Products!$G$44),""),""))</f>
        <v/>
      </c>
      <c r="BE348" s="153">
        <f>IF($B348=1,$G$54,IF(N(Vintage_Input!Q300)&gt;0,IFERROR((Vintage_Input!I300+Vintage_Input!AW300)/$C348+Products!$G$14-(Products!$G$43+Products!$G$19+Products!$G$43*Products!$G$22+Products!$G$44),""),""))</f>
        <v/>
      </c>
      <c r="BF348" s="153">
        <f>IF($B348=1,$H$54,IF(N(Vintage_Input!R300)&gt;0,IFERROR((Vintage_Input!J300+Vintage_Input!AX300)/$C348+Products!$G$14-(Products!$G$43+Products!$G$19+Products!$G$43*Products!$G$22+Products!$G$44),""),""))</f>
        <v/>
      </c>
      <c r="BG348" s="153">
        <f>IF($B348=1,$I$54,IF(N(Vintage_Input!S300)&gt;0,IFERROR((Vintage_Input!K300+Vintage_Input!AY300)/$C348+Products!$G$14-(Products!$G$43+Products!$G$19+Products!$G$43*Products!$G$22+Products!$G$44),""),""))</f>
        <v/>
      </c>
      <c r="BH348" s="81">
        <f>IF($B348=1,0,IF(Vintage_Input!$BH$300="","",Vintage_Input!$BH$300))</f>
        <v/>
      </c>
    </row>
    <row r="349">
      <c r="A349" s="23" t="n">
        <v>33</v>
      </c>
      <c r="B349" s="48">
        <f>Vintage_Input!$B$301</f>
        <v/>
      </c>
      <c r="C349" s="41">
        <f>IF(Vintage_Input!$C$301="",0,Vintage_Input!$C$301)</f>
        <v/>
      </c>
      <c r="D349" s="152">
        <f>IF($B349=1,$B$48,IF(N(Vintage_Input!L301)&gt;0,Vintage_Input!D301/Vintage_Input!L301,""))</f>
        <v/>
      </c>
      <c r="E349" s="152">
        <f>IF($B349=1,$C$48,IF(N(Vintage_Input!M301)&gt;0,Vintage_Input!E301/Vintage_Input!M301,""))</f>
        <v/>
      </c>
      <c r="F349" s="152">
        <f>IF($B349=1,$D$48,IF(N(Vintage_Input!N301)&gt;0,Vintage_Input!F301/Vintage_Input!N301,""))</f>
        <v/>
      </c>
      <c r="G349" s="152">
        <f>IF($B349=1,$E$48,IF(N(Vintage_Input!O301)&gt;0,Vintage_Input!G301/Vintage_Input!O301,""))</f>
        <v/>
      </c>
      <c r="H349" s="152">
        <f>IF($B349=1,$F$48,IF(N(Vintage_Input!P301)&gt;0,Vintage_Input!H301/Vintage_Input!P301,""))</f>
        <v/>
      </c>
      <c r="I349" s="152">
        <f>IF($B349=1,$G$48,IF(N(Vintage_Input!Q301)&gt;0,Vintage_Input!I301/Vintage_Input!Q301,""))</f>
        <v/>
      </c>
      <c r="J349" s="152">
        <f>IF($B349=1,$H$48,IF(N(Vintage_Input!R301)&gt;0,Vintage_Input!J301/Vintage_Input!R301,""))</f>
        <v/>
      </c>
      <c r="K349" s="152">
        <f>IF($B349=1,$I$48,IF(N(Vintage_Input!S301)&gt;0,Vintage_Input!K301/Vintage_Input!S301,""))</f>
        <v/>
      </c>
      <c r="L349" s="152">
        <f>IF($B349=1,$B$49,IF(N(Vintage_Input!L301)&gt;0,Vintage_Input!T301/Vintage_Input!L301,""))</f>
        <v/>
      </c>
      <c r="M349" s="152">
        <f>IF($B349=1,$C$49,IF(N(Vintage_Input!M301)&gt;0,Vintage_Input!U301/Vintage_Input!M301,""))</f>
        <v/>
      </c>
      <c r="N349" s="152">
        <f>IF($B349=1,$D$49,IF(N(Vintage_Input!N301)&gt;0,Vintage_Input!V301/Vintage_Input!N301,""))</f>
        <v/>
      </c>
      <c r="O349" s="152">
        <f>IF($B349=1,$E$49,IF(N(Vintage_Input!O301)&gt;0,Vintage_Input!W301/Vintage_Input!O301,""))</f>
        <v/>
      </c>
      <c r="P349" s="152">
        <f>IF($B349=1,$F$49,IF(N(Vintage_Input!P301)&gt;0,Vintage_Input!X301/Vintage_Input!P301,""))</f>
        <v/>
      </c>
      <c r="Q349" s="152">
        <f>IF($B349=1,$G$49,IF(N(Vintage_Input!Q301)&gt;0,Vintage_Input!Y301/Vintage_Input!Q301,""))</f>
        <v/>
      </c>
      <c r="R349" s="152">
        <f>IF($B349=1,$H$49,IF(N(Vintage_Input!R301)&gt;0,Vintage_Input!Z301/Vintage_Input!R301,""))</f>
        <v/>
      </c>
      <c r="S349" s="152">
        <f>IF($B349=1,$I$49,IF(N(Vintage_Input!S301)&gt;0,Vintage_Input!AA301/Vintage_Input!S301,""))</f>
        <v/>
      </c>
      <c r="T349" s="152">
        <f>IF($B349=1,$B$50,IF(N(Vintage_Input!L301)&gt;0,Vintage_Input!AB301/Vintage_Input!L301,""))</f>
        <v/>
      </c>
      <c r="U349" s="152">
        <f>IF($B349=1,$C$50,IF(N(Vintage_Input!M301)&gt;0,Vintage_Input!AC301/Vintage_Input!M301,""))</f>
        <v/>
      </c>
      <c r="V349" s="152">
        <f>IF($B349=1,$D$50,IF(N(Vintage_Input!N301)&gt;0,Vintage_Input!AD301/Vintage_Input!N301,""))</f>
        <v/>
      </c>
      <c r="W349" s="152">
        <f>IF($B349=1,$E$50,IF(N(Vintage_Input!O301)&gt;0,Vintage_Input!AE301/Vintage_Input!O301,""))</f>
        <v/>
      </c>
      <c r="X349" s="152">
        <f>IF($B349=1,$F$50,IF(N(Vintage_Input!P301)&gt;0,Vintage_Input!AF301/Vintage_Input!P301,""))</f>
        <v/>
      </c>
      <c r="Y349" s="152">
        <f>IF($B349=1,$G$50,IF(N(Vintage_Input!Q301)&gt;0,Vintage_Input!AG301/Vintage_Input!Q301,""))</f>
        <v/>
      </c>
      <c r="Z349" s="152">
        <f>IF($B349=1,$H$50,IF(N(Vintage_Input!R301)&gt;0,Vintage_Input!AH301/Vintage_Input!R301,""))</f>
        <v/>
      </c>
      <c r="AA349" s="152">
        <f>IF($B349=1,$I$50,IF(N(Vintage_Input!S301)&gt;0,Vintage_Input!AI301/Vintage_Input!S301,""))</f>
        <v/>
      </c>
      <c r="AB349" s="152">
        <f>IF($B349=1,$B$51,IF(N(Vintage_Input!L301)&gt;0,Vintage_Input!AJ301/Vintage_Input!L301,""))</f>
        <v/>
      </c>
      <c r="AC349" s="152">
        <f>IF($B349=1,$C$51,IF(N(Vintage_Input!M301)&gt;0,Vintage_Input!AK301/Vintage_Input!M301,""))</f>
        <v/>
      </c>
      <c r="AD349" s="152">
        <f>IF($B349=1,$D$51,IF(N(Vintage_Input!N301)&gt;0,Vintage_Input!AL301/Vintage_Input!N301,""))</f>
        <v/>
      </c>
      <c r="AE349" s="152">
        <f>IF($B349=1,$E$51,IF(N(Vintage_Input!O301)&gt;0,Vintage_Input!AM301/Vintage_Input!O301,""))</f>
        <v/>
      </c>
      <c r="AF349" s="152">
        <f>IF($B349=1,$F$51,IF(N(Vintage_Input!P301)&gt;0,Vintage_Input!AN301/Vintage_Input!P301,""))</f>
        <v/>
      </c>
      <c r="AG349" s="152">
        <f>IF($B349=1,$G$51,IF(N(Vintage_Input!Q301)&gt;0,Vintage_Input!AO301/Vintage_Input!Q301,""))</f>
        <v/>
      </c>
      <c r="AH349" s="152">
        <f>IF($B349=1,$H$51,IF(N(Vintage_Input!R301)&gt;0,Vintage_Input!AP301/Vintage_Input!R301,""))</f>
        <v/>
      </c>
      <c r="AI349" s="152">
        <f>IF($B349=1,$I$51,IF(N(Vintage_Input!S301)&gt;0,Vintage_Input!AQ301/Vintage_Input!S301,""))</f>
        <v/>
      </c>
      <c r="AJ349" s="152">
        <f>IF($B349=1,$B$52,IF(N(Vintage_Input!L301)&gt;0,IFERROR(Vintage_Input!AR301/Vintage_Input!AJ301,""),""))</f>
        <v/>
      </c>
      <c r="AK349" s="152">
        <f>IF($B349=1,$C$52,IF(N(Vintage_Input!M301)&gt;0,IFERROR(Vintage_Input!AS301/Vintage_Input!AK301,""),""))</f>
        <v/>
      </c>
      <c r="AL349" s="152">
        <f>IF($B349=1,$D$52,IF(N(Vintage_Input!N301)&gt;0,IFERROR(Vintage_Input!AT301/Vintage_Input!AL301,""),""))</f>
        <v/>
      </c>
      <c r="AM349" s="152">
        <f>IF($B349=1,$E$52,IF(N(Vintage_Input!O301)&gt;0,IFERROR(Vintage_Input!AU301/Vintage_Input!AM301,""),""))</f>
        <v/>
      </c>
      <c r="AN349" s="152">
        <f>IF($B349=1,$F$52,IF(N(Vintage_Input!P301)&gt;0,IFERROR(Vintage_Input!AV301/Vintage_Input!AN301,""),""))</f>
        <v/>
      </c>
      <c r="AO349" s="152">
        <f>IF($B349=1,$G$52,IF(N(Vintage_Input!Q301)&gt;0,IFERROR(Vintage_Input!AW301/Vintage_Input!AO301,""),""))</f>
        <v/>
      </c>
      <c r="AP349" s="152">
        <f>IF($B349=1,$H$52,IF(N(Vintage_Input!R301)&gt;0,IFERROR(Vintage_Input!AX301/Vintage_Input!AP301,""),""))</f>
        <v/>
      </c>
      <c r="AQ349" s="152">
        <f>IF($B349=1,$I$52,IF(N(Vintage_Input!S301)&gt;0,IFERROR(Vintage_Input!AY301/Vintage_Input!AQ301,""),""))</f>
        <v/>
      </c>
      <c r="AR349" s="152">
        <f>IF($B349=1,$B$53,IF(N(Vintage_Input!L301)&gt;0,IFERROR(Vintage_Input!AZ301/$C349,""),""))</f>
        <v/>
      </c>
      <c r="AS349" s="152">
        <f>IF($B349=1,$C$53,IF(N(Vintage_Input!M301)&gt;0,IFERROR(Vintage_Input!BA301/$C349,""),""))</f>
        <v/>
      </c>
      <c r="AT349" s="152">
        <f>IF($B349=1,$D$53,IF(N(Vintage_Input!N301)&gt;0,IFERROR(Vintage_Input!BB301/$C349,""),""))</f>
        <v/>
      </c>
      <c r="AU349" s="152">
        <f>IF($B349=1,$E$53,IF(N(Vintage_Input!O301)&gt;0,IFERROR(Vintage_Input!BC301/$C349,""),""))</f>
        <v/>
      </c>
      <c r="AV349" s="152">
        <f>IF($B349=1,$F$53,IF(N(Vintage_Input!P301)&gt;0,IFERROR(Vintage_Input!BD301/$C349,""),""))</f>
        <v/>
      </c>
      <c r="AW349" s="152">
        <f>IF($B349=1,$G$53,IF(N(Vintage_Input!Q301)&gt;0,IFERROR(Vintage_Input!BE301/$C349,""),""))</f>
        <v/>
      </c>
      <c r="AX349" s="152">
        <f>IF($B349=1,$H$53,IF(N(Vintage_Input!R301)&gt;0,IFERROR(Vintage_Input!BF301/$C349,""),""))</f>
        <v/>
      </c>
      <c r="AY349" s="152">
        <f>IF($B349=1,$I$53,IF(N(Vintage_Input!S301)&gt;0,IFERROR(Vintage_Input!BG301/$C349,""),""))</f>
        <v/>
      </c>
      <c r="AZ349" s="153">
        <f>IF($B349=1,$B$54,IF(N(Vintage_Input!L301)&gt;0,IFERROR((Vintage_Input!D301+Vintage_Input!AR301)/$C349+Products!$G$14-(Products!$G$43+Products!$G$19+Products!$G$43*Products!$G$22+Products!$G$44),""),""))</f>
        <v/>
      </c>
      <c r="BA349" s="153">
        <f>IF($B349=1,$C$54,IF(N(Vintage_Input!M301)&gt;0,IFERROR((Vintage_Input!E301+Vintage_Input!AS301)/$C349+Products!$G$14-(Products!$G$43+Products!$G$19+Products!$G$43*Products!$G$22+Products!$G$44),""),""))</f>
        <v/>
      </c>
      <c r="BB349" s="153">
        <f>IF($B349=1,$D$54,IF(N(Vintage_Input!N301)&gt;0,IFERROR((Vintage_Input!F301+Vintage_Input!AT301)/$C349+Products!$G$14-(Products!$G$43+Products!$G$19+Products!$G$43*Products!$G$22+Products!$G$44),""),""))</f>
        <v/>
      </c>
      <c r="BC349" s="153">
        <f>IF($B349=1,$E$54,IF(N(Vintage_Input!O301)&gt;0,IFERROR((Vintage_Input!G301+Vintage_Input!AU301)/$C349+Products!$G$14-(Products!$G$43+Products!$G$19+Products!$G$43*Products!$G$22+Products!$G$44),""),""))</f>
        <v/>
      </c>
      <c r="BD349" s="153">
        <f>IF($B349=1,$F$54,IF(N(Vintage_Input!P301)&gt;0,IFERROR((Vintage_Input!H301+Vintage_Input!AV301)/$C349+Products!$G$14-(Products!$G$43+Products!$G$19+Products!$G$43*Products!$G$22+Products!$G$44),""),""))</f>
        <v/>
      </c>
      <c r="BE349" s="153">
        <f>IF($B349=1,$G$54,IF(N(Vintage_Input!Q301)&gt;0,IFERROR((Vintage_Input!I301+Vintage_Input!AW301)/$C349+Products!$G$14-(Products!$G$43+Products!$G$19+Products!$G$43*Products!$G$22+Products!$G$44),""),""))</f>
        <v/>
      </c>
      <c r="BF349" s="153">
        <f>IF($B349=1,$H$54,IF(N(Vintage_Input!R301)&gt;0,IFERROR((Vintage_Input!J301+Vintage_Input!AX301)/$C349+Products!$G$14-(Products!$G$43+Products!$G$19+Products!$G$43*Products!$G$22+Products!$G$44),""),""))</f>
        <v/>
      </c>
      <c r="BG349" s="153">
        <f>IF($B349=1,$I$54,IF(N(Vintage_Input!S301)&gt;0,IFERROR((Vintage_Input!K301+Vintage_Input!AY301)/$C349+Products!$G$14-(Products!$G$43+Products!$G$19+Products!$G$43*Products!$G$22+Products!$G$44),""),""))</f>
        <v/>
      </c>
      <c r="BH349" s="81">
        <f>IF($B349=1,0,IF(Vintage_Input!$BH$301="","",Vintage_Input!$BH$301))</f>
        <v/>
      </c>
    </row>
    <row r="350">
      <c r="A350" s="23" t="n">
        <v>34</v>
      </c>
      <c r="B350" s="48">
        <f>Vintage_Input!$B$302</f>
        <v/>
      </c>
      <c r="C350" s="41">
        <f>IF(Vintage_Input!$C$302="",0,Vintage_Input!$C$302)</f>
        <v/>
      </c>
      <c r="D350" s="152">
        <f>IF($B350=1,$B$48,IF(N(Vintage_Input!L302)&gt;0,Vintage_Input!D302/Vintage_Input!L302,""))</f>
        <v/>
      </c>
      <c r="E350" s="152">
        <f>IF($B350=1,$C$48,IF(N(Vintage_Input!M302)&gt;0,Vintage_Input!E302/Vintage_Input!M302,""))</f>
        <v/>
      </c>
      <c r="F350" s="152">
        <f>IF($B350=1,$D$48,IF(N(Vintage_Input!N302)&gt;0,Vintage_Input!F302/Vintage_Input!N302,""))</f>
        <v/>
      </c>
      <c r="G350" s="152">
        <f>IF($B350=1,$E$48,IF(N(Vintage_Input!O302)&gt;0,Vintage_Input!G302/Vintage_Input!O302,""))</f>
        <v/>
      </c>
      <c r="H350" s="152">
        <f>IF($B350=1,$F$48,IF(N(Vintage_Input!P302)&gt;0,Vintage_Input!H302/Vintage_Input!P302,""))</f>
        <v/>
      </c>
      <c r="I350" s="152">
        <f>IF($B350=1,$G$48,IF(N(Vintage_Input!Q302)&gt;0,Vintage_Input!I302/Vintage_Input!Q302,""))</f>
        <v/>
      </c>
      <c r="J350" s="152">
        <f>IF($B350=1,$H$48,IF(N(Vintage_Input!R302)&gt;0,Vintage_Input!J302/Vintage_Input!R302,""))</f>
        <v/>
      </c>
      <c r="K350" s="152">
        <f>IF($B350=1,$I$48,IF(N(Vintage_Input!S302)&gt;0,Vintage_Input!K302/Vintage_Input!S302,""))</f>
        <v/>
      </c>
      <c r="L350" s="152">
        <f>IF($B350=1,$B$49,IF(N(Vintage_Input!L302)&gt;0,Vintage_Input!T302/Vintage_Input!L302,""))</f>
        <v/>
      </c>
      <c r="M350" s="152">
        <f>IF($B350=1,$C$49,IF(N(Vintage_Input!M302)&gt;0,Vintage_Input!U302/Vintage_Input!M302,""))</f>
        <v/>
      </c>
      <c r="N350" s="152">
        <f>IF($B350=1,$D$49,IF(N(Vintage_Input!N302)&gt;0,Vintage_Input!V302/Vintage_Input!N302,""))</f>
        <v/>
      </c>
      <c r="O350" s="152">
        <f>IF($B350=1,$E$49,IF(N(Vintage_Input!O302)&gt;0,Vintage_Input!W302/Vintage_Input!O302,""))</f>
        <v/>
      </c>
      <c r="P350" s="152">
        <f>IF($B350=1,$F$49,IF(N(Vintage_Input!P302)&gt;0,Vintage_Input!X302/Vintage_Input!P302,""))</f>
        <v/>
      </c>
      <c r="Q350" s="152">
        <f>IF($B350=1,$G$49,IF(N(Vintage_Input!Q302)&gt;0,Vintage_Input!Y302/Vintage_Input!Q302,""))</f>
        <v/>
      </c>
      <c r="R350" s="152">
        <f>IF($B350=1,$H$49,IF(N(Vintage_Input!R302)&gt;0,Vintage_Input!Z302/Vintage_Input!R302,""))</f>
        <v/>
      </c>
      <c r="S350" s="152">
        <f>IF($B350=1,$I$49,IF(N(Vintage_Input!S302)&gt;0,Vintage_Input!AA302/Vintage_Input!S302,""))</f>
        <v/>
      </c>
      <c r="T350" s="152">
        <f>IF($B350=1,$B$50,IF(N(Vintage_Input!L302)&gt;0,Vintage_Input!AB302/Vintage_Input!L302,""))</f>
        <v/>
      </c>
      <c r="U350" s="152">
        <f>IF($B350=1,$C$50,IF(N(Vintage_Input!M302)&gt;0,Vintage_Input!AC302/Vintage_Input!M302,""))</f>
        <v/>
      </c>
      <c r="V350" s="152">
        <f>IF($B350=1,$D$50,IF(N(Vintage_Input!N302)&gt;0,Vintage_Input!AD302/Vintage_Input!N302,""))</f>
        <v/>
      </c>
      <c r="W350" s="152">
        <f>IF($B350=1,$E$50,IF(N(Vintage_Input!O302)&gt;0,Vintage_Input!AE302/Vintage_Input!O302,""))</f>
        <v/>
      </c>
      <c r="X350" s="152">
        <f>IF($B350=1,$F$50,IF(N(Vintage_Input!P302)&gt;0,Vintage_Input!AF302/Vintage_Input!P302,""))</f>
        <v/>
      </c>
      <c r="Y350" s="152">
        <f>IF($B350=1,$G$50,IF(N(Vintage_Input!Q302)&gt;0,Vintage_Input!AG302/Vintage_Input!Q302,""))</f>
        <v/>
      </c>
      <c r="Z350" s="152">
        <f>IF($B350=1,$H$50,IF(N(Vintage_Input!R302)&gt;0,Vintage_Input!AH302/Vintage_Input!R302,""))</f>
        <v/>
      </c>
      <c r="AA350" s="152">
        <f>IF($B350=1,$I$50,IF(N(Vintage_Input!S302)&gt;0,Vintage_Input!AI302/Vintage_Input!S302,""))</f>
        <v/>
      </c>
      <c r="AB350" s="152">
        <f>IF($B350=1,$B$51,IF(N(Vintage_Input!L302)&gt;0,Vintage_Input!AJ302/Vintage_Input!L302,""))</f>
        <v/>
      </c>
      <c r="AC350" s="152">
        <f>IF($B350=1,$C$51,IF(N(Vintage_Input!M302)&gt;0,Vintage_Input!AK302/Vintage_Input!M302,""))</f>
        <v/>
      </c>
      <c r="AD350" s="152">
        <f>IF($B350=1,$D$51,IF(N(Vintage_Input!N302)&gt;0,Vintage_Input!AL302/Vintage_Input!N302,""))</f>
        <v/>
      </c>
      <c r="AE350" s="152">
        <f>IF($B350=1,$E$51,IF(N(Vintage_Input!O302)&gt;0,Vintage_Input!AM302/Vintage_Input!O302,""))</f>
        <v/>
      </c>
      <c r="AF350" s="152">
        <f>IF($B350=1,$F$51,IF(N(Vintage_Input!P302)&gt;0,Vintage_Input!AN302/Vintage_Input!P302,""))</f>
        <v/>
      </c>
      <c r="AG350" s="152">
        <f>IF($B350=1,$G$51,IF(N(Vintage_Input!Q302)&gt;0,Vintage_Input!AO302/Vintage_Input!Q302,""))</f>
        <v/>
      </c>
      <c r="AH350" s="152">
        <f>IF($B350=1,$H$51,IF(N(Vintage_Input!R302)&gt;0,Vintage_Input!AP302/Vintage_Input!R302,""))</f>
        <v/>
      </c>
      <c r="AI350" s="152">
        <f>IF($B350=1,$I$51,IF(N(Vintage_Input!S302)&gt;0,Vintage_Input!AQ302/Vintage_Input!S302,""))</f>
        <v/>
      </c>
      <c r="AJ350" s="152">
        <f>IF($B350=1,$B$52,IF(N(Vintage_Input!L302)&gt;0,IFERROR(Vintage_Input!AR302/Vintage_Input!AJ302,""),""))</f>
        <v/>
      </c>
      <c r="AK350" s="152">
        <f>IF($B350=1,$C$52,IF(N(Vintage_Input!M302)&gt;0,IFERROR(Vintage_Input!AS302/Vintage_Input!AK302,""),""))</f>
        <v/>
      </c>
      <c r="AL350" s="152">
        <f>IF($B350=1,$D$52,IF(N(Vintage_Input!N302)&gt;0,IFERROR(Vintage_Input!AT302/Vintage_Input!AL302,""),""))</f>
        <v/>
      </c>
      <c r="AM350" s="152">
        <f>IF($B350=1,$E$52,IF(N(Vintage_Input!O302)&gt;0,IFERROR(Vintage_Input!AU302/Vintage_Input!AM302,""),""))</f>
        <v/>
      </c>
      <c r="AN350" s="152">
        <f>IF($B350=1,$F$52,IF(N(Vintage_Input!P302)&gt;0,IFERROR(Vintage_Input!AV302/Vintage_Input!AN302,""),""))</f>
        <v/>
      </c>
      <c r="AO350" s="152">
        <f>IF($B350=1,$G$52,IF(N(Vintage_Input!Q302)&gt;0,IFERROR(Vintage_Input!AW302/Vintage_Input!AO302,""),""))</f>
        <v/>
      </c>
      <c r="AP350" s="152">
        <f>IF($B350=1,$H$52,IF(N(Vintage_Input!R302)&gt;0,IFERROR(Vintage_Input!AX302/Vintage_Input!AP302,""),""))</f>
        <v/>
      </c>
      <c r="AQ350" s="152">
        <f>IF($B350=1,$I$52,IF(N(Vintage_Input!S302)&gt;0,IFERROR(Vintage_Input!AY302/Vintage_Input!AQ302,""),""))</f>
        <v/>
      </c>
      <c r="AR350" s="152">
        <f>IF($B350=1,$B$53,IF(N(Vintage_Input!L302)&gt;0,IFERROR(Vintage_Input!AZ302/$C350,""),""))</f>
        <v/>
      </c>
      <c r="AS350" s="152">
        <f>IF($B350=1,$C$53,IF(N(Vintage_Input!M302)&gt;0,IFERROR(Vintage_Input!BA302/$C350,""),""))</f>
        <v/>
      </c>
      <c r="AT350" s="152">
        <f>IF($B350=1,$D$53,IF(N(Vintage_Input!N302)&gt;0,IFERROR(Vintage_Input!BB302/$C350,""),""))</f>
        <v/>
      </c>
      <c r="AU350" s="152">
        <f>IF($B350=1,$E$53,IF(N(Vintage_Input!O302)&gt;0,IFERROR(Vintage_Input!BC302/$C350,""),""))</f>
        <v/>
      </c>
      <c r="AV350" s="152">
        <f>IF($B350=1,$F$53,IF(N(Vintage_Input!P302)&gt;0,IFERROR(Vintage_Input!BD302/$C350,""),""))</f>
        <v/>
      </c>
      <c r="AW350" s="152">
        <f>IF($B350=1,$G$53,IF(N(Vintage_Input!Q302)&gt;0,IFERROR(Vintage_Input!BE302/$C350,""),""))</f>
        <v/>
      </c>
      <c r="AX350" s="152">
        <f>IF($B350=1,$H$53,IF(N(Vintage_Input!R302)&gt;0,IFERROR(Vintage_Input!BF302/$C350,""),""))</f>
        <v/>
      </c>
      <c r="AY350" s="152">
        <f>IF($B350=1,$I$53,IF(N(Vintage_Input!S302)&gt;0,IFERROR(Vintage_Input!BG302/$C350,""),""))</f>
        <v/>
      </c>
      <c r="AZ350" s="153">
        <f>IF($B350=1,$B$54,IF(N(Vintage_Input!L302)&gt;0,IFERROR((Vintage_Input!D302+Vintage_Input!AR302)/$C350+Products!$G$14-(Products!$G$43+Products!$G$19+Products!$G$43*Products!$G$22+Products!$G$44),""),""))</f>
        <v/>
      </c>
      <c r="BA350" s="153">
        <f>IF($B350=1,$C$54,IF(N(Vintage_Input!M302)&gt;0,IFERROR((Vintage_Input!E302+Vintage_Input!AS302)/$C350+Products!$G$14-(Products!$G$43+Products!$G$19+Products!$G$43*Products!$G$22+Products!$G$44),""),""))</f>
        <v/>
      </c>
      <c r="BB350" s="153">
        <f>IF($B350=1,$D$54,IF(N(Vintage_Input!N302)&gt;0,IFERROR((Vintage_Input!F302+Vintage_Input!AT302)/$C350+Products!$G$14-(Products!$G$43+Products!$G$19+Products!$G$43*Products!$G$22+Products!$G$44),""),""))</f>
        <v/>
      </c>
      <c r="BC350" s="153">
        <f>IF($B350=1,$E$54,IF(N(Vintage_Input!O302)&gt;0,IFERROR((Vintage_Input!G302+Vintage_Input!AU302)/$C350+Products!$G$14-(Products!$G$43+Products!$G$19+Products!$G$43*Products!$G$22+Products!$G$44),""),""))</f>
        <v/>
      </c>
      <c r="BD350" s="153">
        <f>IF($B350=1,$F$54,IF(N(Vintage_Input!P302)&gt;0,IFERROR((Vintage_Input!H302+Vintage_Input!AV302)/$C350+Products!$G$14-(Products!$G$43+Products!$G$19+Products!$G$43*Products!$G$22+Products!$G$44),""),""))</f>
        <v/>
      </c>
      <c r="BE350" s="153">
        <f>IF($B350=1,$G$54,IF(N(Vintage_Input!Q302)&gt;0,IFERROR((Vintage_Input!I302+Vintage_Input!AW302)/$C350+Products!$G$14-(Products!$G$43+Products!$G$19+Products!$G$43*Products!$G$22+Products!$G$44),""),""))</f>
        <v/>
      </c>
      <c r="BF350" s="153">
        <f>IF($B350=1,$H$54,IF(N(Vintage_Input!R302)&gt;0,IFERROR((Vintage_Input!J302+Vintage_Input!AX302)/$C350+Products!$G$14-(Products!$G$43+Products!$G$19+Products!$G$43*Products!$G$22+Products!$G$44),""),""))</f>
        <v/>
      </c>
      <c r="BG350" s="153">
        <f>IF($B350=1,$I$54,IF(N(Vintage_Input!S302)&gt;0,IFERROR((Vintage_Input!K302+Vintage_Input!AY302)/$C350+Products!$G$14-(Products!$G$43+Products!$G$19+Products!$G$43*Products!$G$22+Products!$G$44),""),""))</f>
        <v/>
      </c>
      <c r="BH350" s="81">
        <f>IF($B350=1,0,IF(Vintage_Input!$BH$302="","",Vintage_Input!$BH$302))</f>
        <v/>
      </c>
    </row>
    <row r="351">
      <c r="A351" s="23" t="n">
        <v>35</v>
      </c>
      <c r="B351" s="48">
        <f>Vintage_Input!$B$303</f>
        <v/>
      </c>
      <c r="C351" s="41">
        <f>IF(Vintage_Input!$C$303="",0,Vintage_Input!$C$303)</f>
        <v/>
      </c>
      <c r="D351" s="152">
        <f>IF($B351=1,$B$48,IF(N(Vintage_Input!L303)&gt;0,Vintage_Input!D303/Vintage_Input!L303,""))</f>
        <v/>
      </c>
      <c r="E351" s="152">
        <f>IF($B351=1,$C$48,IF(N(Vintage_Input!M303)&gt;0,Vintage_Input!E303/Vintage_Input!M303,""))</f>
        <v/>
      </c>
      <c r="F351" s="152">
        <f>IF($B351=1,$D$48,IF(N(Vintage_Input!N303)&gt;0,Vintage_Input!F303/Vintage_Input!N303,""))</f>
        <v/>
      </c>
      <c r="G351" s="152">
        <f>IF($B351=1,$E$48,IF(N(Vintage_Input!O303)&gt;0,Vintage_Input!G303/Vintage_Input!O303,""))</f>
        <v/>
      </c>
      <c r="H351" s="152">
        <f>IF($B351=1,$F$48,IF(N(Vintage_Input!P303)&gt;0,Vintage_Input!H303/Vintage_Input!P303,""))</f>
        <v/>
      </c>
      <c r="I351" s="152">
        <f>IF($B351=1,$G$48,IF(N(Vintage_Input!Q303)&gt;0,Vintage_Input!I303/Vintage_Input!Q303,""))</f>
        <v/>
      </c>
      <c r="J351" s="152">
        <f>IF($B351=1,$H$48,IF(N(Vintage_Input!R303)&gt;0,Vintage_Input!J303/Vintage_Input!R303,""))</f>
        <v/>
      </c>
      <c r="K351" s="152">
        <f>IF($B351=1,$I$48,IF(N(Vintage_Input!S303)&gt;0,Vintage_Input!K303/Vintage_Input!S303,""))</f>
        <v/>
      </c>
      <c r="L351" s="152">
        <f>IF($B351=1,$B$49,IF(N(Vintage_Input!L303)&gt;0,Vintage_Input!T303/Vintage_Input!L303,""))</f>
        <v/>
      </c>
      <c r="M351" s="152">
        <f>IF($B351=1,$C$49,IF(N(Vintage_Input!M303)&gt;0,Vintage_Input!U303/Vintage_Input!M303,""))</f>
        <v/>
      </c>
      <c r="N351" s="152">
        <f>IF($B351=1,$D$49,IF(N(Vintage_Input!N303)&gt;0,Vintage_Input!V303/Vintage_Input!N303,""))</f>
        <v/>
      </c>
      <c r="O351" s="152">
        <f>IF($B351=1,$E$49,IF(N(Vintage_Input!O303)&gt;0,Vintage_Input!W303/Vintage_Input!O303,""))</f>
        <v/>
      </c>
      <c r="P351" s="152">
        <f>IF($B351=1,$F$49,IF(N(Vintage_Input!P303)&gt;0,Vintage_Input!X303/Vintage_Input!P303,""))</f>
        <v/>
      </c>
      <c r="Q351" s="152">
        <f>IF($B351=1,$G$49,IF(N(Vintage_Input!Q303)&gt;0,Vintage_Input!Y303/Vintage_Input!Q303,""))</f>
        <v/>
      </c>
      <c r="R351" s="152">
        <f>IF($B351=1,$H$49,IF(N(Vintage_Input!R303)&gt;0,Vintage_Input!Z303/Vintage_Input!R303,""))</f>
        <v/>
      </c>
      <c r="S351" s="152">
        <f>IF($B351=1,$I$49,IF(N(Vintage_Input!S303)&gt;0,Vintage_Input!AA303/Vintage_Input!S303,""))</f>
        <v/>
      </c>
      <c r="T351" s="152">
        <f>IF($B351=1,$B$50,IF(N(Vintage_Input!L303)&gt;0,Vintage_Input!AB303/Vintage_Input!L303,""))</f>
        <v/>
      </c>
      <c r="U351" s="152">
        <f>IF($B351=1,$C$50,IF(N(Vintage_Input!M303)&gt;0,Vintage_Input!AC303/Vintage_Input!M303,""))</f>
        <v/>
      </c>
      <c r="V351" s="152">
        <f>IF($B351=1,$D$50,IF(N(Vintage_Input!N303)&gt;0,Vintage_Input!AD303/Vintage_Input!N303,""))</f>
        <v/>
      </c>
      <c r="W351" s="152">
        <f>IF($B351=1,$E$50,IF(N(Vintage_Input!O303)&gt;0,Vintage_Input!AE303/Vintage_Input!O303,""))</f>
        <v/>
      </c>
      <c r="X351" s="152">
        <f>IF($B351=1,$F$50,IF(N(Vintage_Input!P303)&gt;0,Vintage_Input!AF303/Vintage_Input!P303,""))</f>
        <v/>
      </c>
      <c r="Y351" s="152">
        <f>IF($B351=1,$G$50,IF(N(Vintage_Input!Q303)&gt;0,Vintage_Input!AG303/Vintage_Input!Q303,""))</f>
        <v/>
      </c>
      <c r="Z351" s="152">
        <f>IF($B351=1,$H$50,IF(N(Vintage_Input!R303)&gt;0,Vintage_Input!AH303/Vintage_Input!R303,""))</f>
        <v/>
      </c>
      <c r="AA351" s="152">
        <f>IF($B351=1,$I$50,IF(N(Vintage_Input!S303)&gt;0,Vintage_Input!AI303/Vintage_Input!S303,""))</f>
        <v/>
      </c>
      <c r="AB351" s="152">
        <f>IF($B351=1,$B$51,IF(N(Vintage_Input!L303)&gt;0,Vintage_Input!AJ303/Vintage_Input!L303,""))</f>
        <v/>
      </c>
      <c r="AC351" s="152">
        <f>IF($B351=1,$C$51,IF(N(Vintage_Input!M303)&gt;0,Vintage_Input!AK303/Vintage_Input!M303,""))</f>
        <v/>
      </c>
      <c r="AD351" s="152">
        <f>IF($B351=1,$D$51,IF(N(Vintage_Input!N303)&gt;0,Vintage_Input!AL303/Vintage_Input!N303,""))</f>
        <v/>
      </c>
      <c r="AE351" s="152">
        <f>IF($B351=1,$E$51,IF(N(Vintage_Input!O303)&gt;0,Vintage_Input!AM303/Vintage_Input!O303,""))</f>
        <v/>
      </c>
      <c r="AF351" s="152">
        <f>IF($B351=1,$F$51,IF(N(Vintage_Input!P303)&gt;0,Vintage_Input!AN303/Vintage_Input!P303,""))</f>
        <v/>
      </c>
      <c r="AG351" s="152">
        <f>IF($B351=1,$G$51,IF(N(Vintage_Input!Q303)&gt;0,Vintage_Input!AO303/Vintage_Input!Q303,""))</f>
        <v/>
      </c>
      <c r="AH351" s="152">
        <f>IF($B351=1,$H$51,IF(N(Vintage_Input!R303)&gt;0,Vintage_Input!AP303/Vintage_Input!R303,""))</f>
        <v/>
      </c>
      <c r="AI351" s="152">
        <f>IF($B351=1,$I$51,IF(N(Vintage_Input!S303)&gt;0,Vintage_Input!AQ303/Vintage_Input!S303,""))</f>
        <v/>
      </c>
      <c r="AJ351" s="152">
        <f>IF($B351=1,$B$52,IF(N(Vintage_Input!L303)&gt;0,IFERROR(Vintage_Input!AR303/Vintage_Input!AJ303,""),""))</f>
        <v/>
      </c>
      <c r="AK351" s="152">
        <f>IF($B351=1,$C$52,IF(N(Vintage_Input!M303)&gt;0,IFERROR(Vintage_Input!AS303/Vintage_Input!AK303,""),""))</f>
        <v/>
      </c>
      <c r="AL351" s="152">
        <f>IF($B351=1,$D$52,IF(N(Vintage_Input!N303)&gt;0,IFERROR(Vintage_Input!AT303/Vintage_Input!AL303,""),""))</f>
        <v/>
      </c>
      <c r="AM351" s="152">
        <f>IF($B351=1,$E$52,IF(N(Vintage_Input!O303)&gt;0,IFERROR(Vintage_Input!AU303/Vintage_Input!AM303,""),""))</f>
        <v/>
      </c>
      <c r="AN351" s="152">
        <f>IF($B351=1,$F$52,IF(N(Vintage_Input!P303)&gt;0,IFERROR(Vintage_Input!AV303/Vintage_Input!AN303,""),""))</f>
        <v/>
      </c>
      <c r="AO351" s="152">
        <f>IF($B351=1,$G$52,IF(N(Vintage_Input!Q303)&gt;0,IFERROR(Vintage_Input!AW303/Vintage_Input!AO303,""),""))</f>
        <v/>
      </c>
      <c r="AP351" s="152">
        <f>IF($B351=1,$H$52,IF(N(Vintage_Input!R303)&gt;0,IFERROR(Vintage_Input!AX303/Vintage_Input!AP303,""),""))</f>
        <v/>
      </c>
      <c r="AQ351" s="152">
        <f>IF($B351=1,$I$52,IF(N(Vintage_Input!S303)&gt;0,IFERROR(Vintage_Input!AY303/Vintage_Input!AQ303,""),""))</f>
        <v/>
      </c>
      <c r="AR351" s="152">
        <f>IF($B351=1,$B$53,IF(N(Vintage_Input!L303)&gt;0,IFERROR(Vintage_Input!AZ303/$C351,""),""))</f>
        <v/>
      </c>
      <c r="AS351" s="152">
        <f>IF($B351=1,$C$53,IF(N(Vintage_Input!M303)&gt;0,IFERROR(Vintage_Input!BA303/$C351,""),""))</f>
        <v/>
      </c>
      <c r="AT351" s="152">
        <f>IF($B351=1,$D$53,IF(N(Vintage_Input!N303)&gt;0,IFERROR(Vintage_Input!BB303/$C351,""),""))</f>
        <v/>
      </c>
      <c r="AU351" s="152">
        <f>IF($B351=1,$E$53,IF(N(Vintage_Input!O303)&gt;0,IFERROR(Vintage_Input!BC303/$C351,""),""))</f>
        <v/>
      </c>
      <c r="AV351" s="152">
        <f>IF($B351=1,$F$53,IF(N(Vintage_Input!P303)&gt;0,IFERROR(Vintage_Input!BD303/$C351,""),""))</f>
        <v/>
      </c>
      <c r="AW351" s="152">
        <f>IF($B351=1,$G$53,IF(N(Vintage_Input!Q303)&gt;0,IFERROR(Vintage_Input!BE303/$C351,""),""))</f>
        <v/>
      </c>
      <c r="AX351" s="152">
        <f>IF($B351=1,$H$53,IF(N(Vintage_Input!R303)&gt;0,IFERROR(Vintage_Input!BF303/$C351,""),""))</f>
        <v/>
      </c>
      <c r="AY351" s="152">
        <f>IF($B351=1,$I$53,IF(N(Vintage_Input!S303)&gt;0,IFERROR(Vintage_Input!BG303/$C351,""),""))</f>
        <v/>
      </c>
      <c r="AZ351" s="153">
        <f>IF($B351=1,$B$54,IF(N(Vintage_Input!L303)&gt;0,IFERROR((Vintage_Input!D303+Vintage_Input!AR303)/$C351+Products!$G$14-(Products!$G$43+Products!$G$19+Products!$G$43*Products!$G$22+Products!$G$44),""),""))</f>
        <v/>
      </c>
      <c r="BA351" s="153">
        <f>IF($B351=1,$C$54,IF(N(Vintage_Input!M303)&gt;0,IFERROR((Vintage_Input!E303+Vintage_Input!AS303)/$C351+Products!$G$14-(Products!$G$43+Products!$G$19+Products!$G$43*Products!$G$22+Products!$G$44),""),""))</f>
        <v/>
      </c>
      <c r="BB351" s="153">
        <f>IF($B351=1,$D$54,IF(N(Vintage_Input!N303)&gt;0,IFERROR((Vintage_Input!F303+Vintage_Input!AT303)/$C351+Products!$G$14-(Products!$G$43+Products!$G$19+Products!$G$43*Products!$G$22+Products!$G$44),""),""))</f>
        <v/>
      </c>
      <c r="BC351" s="153">
        <f>IF($B351=1,$E$54,IF(N(Vintage_Input!O303)&gt;0,IFERROR((Vintage_Input!G303+Vintage_Input!AU303)/$C351+Products!$G$14-(Products!$G$43+Products!$G$19+Products!$G$43*Products!$G$22+Products!$G$44),""),""))</f>
        <v/>
      </c>
      <c r="BD351" s="153">
        <f>IF($B351=1,$F$54,IF(N(Vintage_Input!P303)&gt;0,IFERROR((Vintage_Input!H303+Vintage_Input!AV303)/$C351+Products!$G$14-(Products!$G$43+Products!$G$19+Products!$G$43*Products!$G$22+Products!$G$44),""),""))</f>
        <v/>
      </c>
      <c r="BE351" s="153">
        <f>IF($B351=1,$G$54,IF(N(Vintage_Input!Q303)&gt;0,IFERROR((Vintage_Input!I303+Vintage_Input!AW303)/$C351+Products!$G$14-(Products!$G$43+Products!$G$19+Products!$G$43*Products!$G$22+Products!$G$44),""),""))</f>
        <v/>
      </c>
      <c r="BF351" s="153">
        <f>IF($B351=1,$H$54,IF(N(Vintage_Input!R303)&gt;0,IFERROR((Vintage_Input!J303+Vintage_Input!AX303)/$C351+Products!$G$14-(Products!$G$43+Products!$G$19+Products!$G$43*Products!$G$22+Products!$G$44),""),""))</f>
        <v/>
      </c>
      <c r="BG351" s="153">
        <f>IF($B351=1,$I$54,IF(N(Vintage_Input!S303)&gt;0,IFERROR((Vintage_Input!K303+Vintage_Input!AY303)/$C351+Products!$G$14-(Products!$G$43+Products!$G$19+Products!$G$43*Products!$G$22+Products!$G$44),""),""))</f>
        <v/>
      </c>
      <c r="BH351" s="81">
        <f>IF($B351=1,0,IF(Vintage_Input!$BH$303="","",Vintage_Input!$BH$303))</f>
        <v/>
      </c>
    </row>
    <row r="352">
      <c r="A352" s="23" t="n">
        <v>36</v>
      </c>
      <c r="B352" s="48">
        <f>Vintage_Input!$B$304</f>
        <v/>
      </c>
      <c r="C352" s="41">
        <f>IF(Vintage_Input!$C$304="",0,Vintage_Input!$C$304)</f>
        <v/>
      </c>
      <c r="D352" s="152">
        <f>IF($B352=1,$B$48,IF(N(Vintage_Input!L304)&gt;0,Vintage_Input!D304/Vintage_Input!L304,""))</f>
        <v/>
      </c>
      <c r="E352" s="152">
        <f>IF($B352=1,$C$48,IF(N(Vintage_Input!M304)&gt;0,Vintage_Input!E304/Vintage_Input!M304,""))</f>
        <v/>
      </c>
      <c r="F352" s="152">
        <f>IF($B352=1,$D$48,IF(N(Vintage_Input!N304)&gt;0,Vintage_Input!F304/Vintage_Input!N304,""))</f>
        <v/>
      </c>
      <c r="G352" s="152">
        <f>IF($B352=1,$E$48,IF(N(Vintage_Input!O304)&gt;0,Vintage_Input!G304/Vintage_Input!O304,""))</f>
        <v/>
      </c>
      <c r="H352" s="152">
        <f>IF($B352=1,$F$48,IF(N(Vintage_Input!P304)&gt;0,Vintage_Input!H304/Vintage_Input!P304,""))</f>
        <v/>
      </c>
      <c r="I352" s="152">
        <f>IF($B352=1,$G$48,IF(N(Vintage_Input!Q304)&gt;0,Vintage_Input!I304/Vintage_Input!Q304,""))</f>
        <v/>
      </c>
      <c r="J352" s="152">
        <f>IF($B352=1,$H$48,IF(N(Vintage_Input!R304)&gt;0,Vintage_Input!J304/Vintage_Input!R304,""))</f>
        <v/>
      </c>
      <c r="K352" s="152">
        <f>IF($B352=1,$I$48,IF(N(Vintage_Input!S304)&gt;0,Vintage_Input!K304/Vintage_Input!S304,""))</f>
        <v/>
      </c>
      <c r="L352" s="152">
        <f>IF($B352=1,$B$49,IF(N(Vintage_Input!L304)&gt;0,Vintage_Input!T304/Vintage_Input!L304,""))</f>
        <v/>
      </c>
      <c r="M352" s="152">
        <f>IF($B352=1,$C$49,IF(N(Vintage_Input!M304)&gt;0,Vintage_Input!U304/Vintage_Input!M304,""))</f>
        <v/>
      </c>
      <c r="N352" s="152">
        <f>IF($B352=1,$D$49,IF(N(Vintage_Input!N304)&gt;0,Vintage_Input!V304/Vintage_Input!N304,""))</f>
        <v/>
      </c>
      <c r="O352" s="152">
        <f>IF($B352=1,$E$49,IF(N(Vintage_Input!O304)&gt;0,Vintage_Input!W304/Vintage_Input!O304,""))</f>
        <v/>
      </c>
      <c r="P352" s="152">
        <f>IF($B352=1,$F$49,IF(N(Vintage_Input!P304)&gt;0,Vintage_Input!X304/Vintage_Input!P304,""))</f>
        <v/>
      </c>
      <c r="Q352" s="152">
        <f>IF($B352=1,$G$49,IF(N(Vintage_Input!Q304)&gt;0,Vintage_Input!Y304/Vintage_Input!Q304,""))</f>
        <v/>
      </c>
      <c r="R352" s="152">
        <f>IF($B352=1,$H$49,IF(N(Vintage_Input!R304)&gt;0,Vintage_Input!Z304/Vintage_Input!R304,""))</f>
        <v/>
      </c>
      <c r="S352" s="152">
        <f>IF($B352=1,$I$49,IF(N(Vintage_Input!S304)&gt;0,Vintage_Input!AA304/Vintage_Input!S304,""))</f>
        <v/>
      </c>
      <c r="T352" s="152">
        <f>IF($B352=1,$B$50,IF(N(Vintage_Input!L304)&gt;0,Vintage_Input!AB304/Vintage_Input!L304,""))</f>
        <v/>
      </c>
      <c r="U352" s="152">
        <f>IF($B352=1,$C$50,IF(N(Vintage_Input!M304)&gt;0,Vintage_Input!AC304/Vintage_Input!M304,""))</f>
        <v/>
      </c>
      <c r="V352" s="152">
        <f>IF($B352=1,$D$50,IF(N(Vintage_Input!N304)&gt;0,Vintage_Input!AD304/Vintage_Input!N304,""))</f>
        <v/>
      </c>
      <c r="W352" s="152">
        <f>IF($B352=1,$E$50,IF(N(Vintage_Input!O304)&gt;0,Vintage_Input!AE304/Vintage_Input!O304,""))</f>
        <v/>
      </c>
      <c r="X352" s="152">
        <f>IF($B352=1,$F$50,IF(N(Vintage_Input!P304)&gt;0,Vintage_Input!AF304/Vintage_Input!P304,""))</f>
        <v/>
      </c>
      <c r="Y352" s="152">
        <f>IF($B352=1,$G$50,IF(N(Vintage_Input!Q304)&gt;0,Vintage_Input!AG304/Vintage_Input!Q304,""))</f>
        <v/>
      </c>
      <c r="Z352" s="152">
        <f>IF($B352=1,$H$50,IF(N(Vintage_Input!R304)&gt;0,Vintage_Input!AH304/Vintage_Input!R304,""))</f>
        <v/>
      </c>
      <c r="AA352" s="152">
        <f>IF($B352=1,$I$50,IF(N(Vintage_Input!S304)&gt;0,Vintage_Input!AI304/Vintage_Input!S304,""))</f>
        <v/>
      </c>
      <c r="AB352" s="152">
        <f>IF($B352=1,$B$51,IF(N(Vintage_Input!L304)&gt;0,Vintage_Input!AJ304/Vintage_Input!L304,""))</f>
        <v/>
      </c>
      <c r="AC352" s="152">
        <f>IF($B352=1,$C$51,IF(N(Vintage_Input!M304)&gt;0,Vintage_Input!AK304/Vintage_Input!M304,""))</f>
        <v/>
      </c>
      <c r="AD352" s="152">
        <f>IF($B352=1,$D$51,IF(N(Vintage_Input!N304)&gt;0,Vintage_Input!AL304/Vintage_Input!N304,""))</f>
        <v/>
      </c>
      <c r="AE352" s="152">
        <f>IF($B352=1,$E$51,IF(N(Vintage_Input!O304)&gt;0,Vintage_Input!AM304/Vintage_Input!O304,""))</f>
        <v/>
      </c>
      <c r="AF352" s="152">
        <f>IF($B352=1,$F$51,IF(N(Vintage_Input!P304)&gt;0,Vintage_Input!AN304/Vintage_Input!P304,""))</f>
        <v/>
      </c>
      <c r="AG352" s="152">
        <f>IF($B352=1,$G$51,IF(N(Vintage_Input!Q304)&gt;0,Vintage_Input!AO304/Vintage_Input!Q304,""))</f>
        <v/>
      </c>
      <c r="AH352" s="152">
        <f>IF($B352=1,$H$51,IF(N(Vintage_Input!R304)&gt;0,Vintage_Input!AP304/Vintage_Input!R304,""))</f>
        <v/>
      </c>
      <c r="AI352" s="152">
        <f>IF($B352=1,$I$51,IF(N(Vintage_Input!S304)&gt;0,Vintage_Input!AQ304/Vintage_Input!S304,""))</f>
        <v/>
      </c>
      <c r="AJ352" s="152">
        <f>IF($B352=1,$B$52,IF(N(Vintage_Input!L304)&gt;0,IFERROR(Vintage_Input!AR304/Vintage_Input!AJ304,""),""))</f>
        <v/>
      </c>
      <c r="AK352" s="152">
        <f>IF($B352=1,$C$52,IF(N(Vintage_Input!M304)&gt;0,IFERROR(Vintage_Input!AS304/Vintage_Input!AK304,""),""))</f>
        <v/>
      </c>
      <c r="AL352" s="152">
        <f>IF($B352=1,$D$52,IF(N(Vintage_Input!N304)&gt;0,IFERROR(Vintage_Input!AT304/Vintage_Input!AL304,""),""))</f>
        <v/>
      </c>
      <c r="AM352" s="152">
        <f>IF($B352=1,$E$52,IF(N(Vintage_Input!O304)&gt;0,IFERROR(Vintage_Input!AU304/Vintage_Input!AM304,""),""))</f>
        <v/>
      </c>
      <c r="AN352" s="152">
        <f>IF($B352=1,$F$52,IF(N(Vintage_Input!P304)&gt;0,IFERROR(Vintage_Input!AV304/Vintage_Input!AN304,""),""))</f>
        <v/>
      </c>
      <c r="AO352" s="152">
        <f>IF($B352=1,$G$52,IF(N(Vintage_Input!Q304)&gt;0,IFERROR(Vintage_Input!AW304/Vintage_Input!AO304,""),""))</f>
        <v/>
      </c>
      <c r="AP352" s="152">
        <f>IF($B352=1,$H$52,IF(N(Vintage_Input!R304)&gt;0,IFERROR(Vintage_Input!AX304/Vintage_Input!AP304,""),""))</f>
        <v/>
      </c>
      <c r="AQ352" s="152">
        <f>IF($B352=1,$I$52,IF(N(Vintage_Input!S304)&gt;0,IFERROR(Vintage_Input!AY304/Vintage_Input!AQ304,""),""))</f>
        <v/>
      </c>
      <c r="AR352" s="152">
        <f>IF($B352=1,$B$53,IF(N(Vintage_Input!L304)&gt;0,IFERROR(Vintage_Input!AZ304/$C352,""),""))</f>
        <v/>
      </c>
      <c r="AS352" s="152">
        <f>IF($B352=1,$C$53,IF(N(Vintage_Input!M304)&gt;0,IFERROR(Vintage_Input!BA304/$C352,""),""))</f>
        <v/>
      </c>
      <c r="AT352" s="152">
        <f>IF($B352=1,$D$53,IF(N(Vintage_Input!N304)&gt;0,IFERROR(Vintage_Input!BB304/$C352,""),""))</f>
        <v/>
      </c>
      <c r="AU352" s="152">
        <f>IF($B352=1,$E$53,IF(N(Vintage_Input!O304)&gt;0,IFERROR(Vintage_Input!BC304/$C352,""),""))</f>
        <v/>
      </c>
      <c r="AV352" s="152">
        <f>IF($B352=1,$F$53,IF(N(Vintage_Input!P304)&gt;0,IFERROR(Vintage_Input!BD304/$C352,""),""))</f>
        <v/>
      </c>
      <c r="AW352" s="152">
        <f>IF($B352=1,$G$53,IF(N(Vintage_Input!Q304)&gt;0,IFERROR(Vintage_Input!BE304/$C352,""),""))</f>
        <v/>
      </c>
      <c r="AX352" s="152">
        <f>IF($B352=1,$H$53,IF(N(Vintage_Input!R304)&gt;0,IFERROR(Vintage_Input!BF304/$C352,""),""))</f>
        <v/>
      </c>
      <c r="AY352" s="152">
        <f>IF($B352=1,$I$53,IF(N(Vintage_Input!S304)&gt;0,IFERROR(Vintage_Input!BG304/$C352,""),""))</f>
        <v/>
      </c>
      <c r="AZ352" s="153">
        <f>IF($B352=1,$B$54,IF(N(Vintage_Input!L304)&gt;0,IFERROR((Vintage_Input!D304+Vintage_Input!AR304)/$C352+Products!$G$14-(Products!$G$43+Products!$G$19+Products!$G$43*Products!$G$22+Products!$G$44),""),""))</f>
        <v/>
      </c>
      <c r="BA352" s="153">
        <f>IF($B352=1,$C$54,IF(N(Vintage_Input!M304)&gt;0,IFERROR((Vintage_Input!E304+Vintage_Input!AS304)/$C352+Products!$G$14-(Products!$G$43+Products!$G$19+Products!$G$43*Products!$G$22+Products!$G$44),""),""))</f>
        <v/>
      </c>
      <c r="BB352" s="153">
        <f>IF($B352=1,$D$54,IF(N(Vintage_Input!N304)&gt;0,IFERROR((Vintage_Input!F304+Vintage_Input!AT304)/$C352+Products!$G$14-(Products!$G$43+Products!$G$19+Products!$G$43*Products!$G$22+Products!$G$44),""),""))</f>
        <v/>
      </c>
      <c r="BC352" s="153">
        <f>IF($B352=1,$E$54,IF(N(Vintage_Input!O304)&gt;0,IFERROR((Vintage_Input!G304+Vintage_Input!AU304)/$C352+Products!$G$14-(Products!$G$43+Products!$G$19+Products!$G$43*Products!$G$22+Products!$G$44),""),""))</f>
        <v/>
      </c>
      <c r="BD352" s="153">
        <f>IF($B352=1,$F$54,IF(N(Vintage_Input!P304)&gt;0,IFERROR((Vintage_Input!H304+Vintage_Input!AV304)/$C352+Products!$G$14-(Products!$G$43+Products!$G$19+Products!$G$43*Products!$G$22+Products!$G$44),""),""))</f>
        <v/>
      </c>
      <c r="BE352" s="153">
        <f>IF($B352=1,$G$54,IF(N(Vintage_Input!Q304)&gt;0,IFERROR((Vintage_Input!I304+Vintage_Input!AW304)/$C352+Products!$G$14-(Products!$G$43+Products!$G$19+Products!$G$43*Products!$G$22+Products!$G$44),""),""))</f>
        <v/>
      </c>
      <c r="BF352" s="153">
        <f>IF($B352=1,$H$54,IF(N(Vintage_Input!R304)&gt;0,IFERROR((Vintage_Input!J304+Vintage_Input!AX304)/$C352+Products!$G$14-(Products!$G$43+Products!$G$19+Products!$G$43*Products!$G$22+Products!$G$44),""),""))</f>
        <v/>
      </c>
      <c r="BG352" s="153">
        <f>IF($B352=1,$I$54,IF(N(Vintage_Input!S304)&gt;0,IFERROR((Vintage_Input!K304+Vintage_Input!AY304)/$C352+Products!$G$14-(Products!$G$43+Products!$G$19+Products!$G$43*Products!$G$22+Products!$G$44),""),""))</f>
        <v/>
      </c>
      <c r="BH352" s="81">
        <f>IF($B352=1,0,IF(Vintage_Input!$BH$304="","",Vintage_Input!$BH$304))</f>
        <v/>
      </c>
    </row>
    <row r="353">
      <c r="A353" s="23" t="n">
        <v>37</v>
      </c>
      <c r="B353" s="48">
        <f>Vintage_Input!$B$305</f>
        <v/>
      </c>
      <c r="C353" s="41">
        <f>IF(Vintage_Input!$C$305="",0,Vintage_Input!$C$305)</f>
        <v/>
      </c>
      <c r="D353" s="152">
        <f>IF($B353=1,$B$48,IF(N(Vintage_Input!L305)&gt;0,Vintage_Input!D305/Vintage_Input!L305,""))</f>
        <v/>
      </c>
      <c r="E353" s="152">
        <f>IF($B353=1,$C$48,IF(N(Vintage_Input!M305)&gt;0,Vintage_Input!E305/Vintage_Input!M305,""))</f>
        <v/>
      </c>
      <c r="F353" s="152">
        <f>IF($B353=1,$D$48,IF(N(Vintage_Input!N305)&gt;0,Vintage_Input!F305/Vintage_Input!N305,""))</f>
        <v/>
      </c>
      <c r="G353" s="152">
        <f>IF($B353=1,$E$48,IF(N(Vintage_Input!O305)&gt;0,Vintage_Input!G305/Vintage_Input!O305,""))</f>
        <v/>
      </c>
      <c r="H353" s="152">
        <f>IF($B353=1,$F$48,IF(N(Vintage_Input!P305)&gt;0,Vintage_Input!H305/Vintage_Input!P305,""))</f>
        <v/>
      </c>
      <c r="I353" s="152">
        <f>IF($B353=1,$G$48,IF(N(Vintage_Input!Q305)&gt;0,Vintage_Input!I305/Vintage_Input!Q305,""))</f>
        <v/>
      </c>
      <c r="J353" s="152">
        <f>IF($B353=1,$H$48,IF(N(Vintage_Input!R305)&gt;0,Vintage_Input!J305/Vintage_Input!R305,""))</f>
        <v/>
      </c>
      <c r="K353" s="152">
        <f>IF($B353=1,$I$48,IF(N(Vintage_Input!S305)&gt;0,Vintage_Input!K305/Vintage_Input!S305,""))</f>
        <v/>
      </c>
      <c r="L353" s="152">
        <f>IF($B353=1,$B$49,IF(N(Vintage_Input!L305)&gt;0,Vintage_Input!T305/Vintage_Input!L305,""))</f>
        <v/>
      </c>
      <c r="M353" s="152">
        <f>IF($B353=1,$C$49,IF(N(Vintage_Input!M305)&gt;0,Vintage_Input!U305/Vintage_Input!M305,""))</f>
        <v/>
      </c>
      <c r="N353" s="152">
        <f>IF($B353=1,$D$49,IF(N(Vintage_Input!N305)&gt;0,Vintage_Input!V305/Vintage_Input!N305,""))</f>
        <v/>
      </c>
      <c r="O353" s="152">
        <f>IF($B353=1,$E$49,IF(N(Vintage_Input!O305)&gt;0,Vintage_Input!W305/Vintage_Input!O305,""))</f>
        <v/>
      </c>
      <c r="P353" s="152">
        <f>IF($B353=1,$F$49,IF(N(Vintage_Input!P305)&gt;0,Vintage_Input!X305/Vintage_Input!P305,""))</f>
        <v/>
      </c>
      <c r="Q353" s="152">
        <f>IF($B353=1,$G$49,IF(N(Vintage_Input!Q305)&gt;0,Vintage_Input!Y305/Vintage_Input!Q305,""))</f>
        <v/>
      </c>
      <c r="R353" s="152">
        <f>IF($B353=1,$H$49,IF(N(Vintage_Input!R305)&gt;0,Vintage_Input!Z305/Vintage_Input!R305,""))</f>
        <v/>
      </c>
      <c r="S353" s="152">
        <f>IF($B353=1,$I$49,IF(N(Vintage_Input!S305)&gt;0,Vintage_Input!AA305/Vintage_Input!S305,""))</f>
        <v/>
      </c>
      <c r="T353" s="152">
        <f>IF($B353=1,$B$50,IF(N(Vintage_Input!L305)&gt;0,Vintage_Input!AB305/Vintage_Input!L305,""))</f>
        <v/>
      </c>
      <c r="U353" s="152">
        <f>IF($B353=1,$C$50,IF(N(Vintage_Input!M305)&gt;0,Vintage_Input!AC305/Vintage_Input!M305,""))</f>
        <v/>
      </c>
      <c r="V353" s="152">
        <f>IF($B353=1,$D$50,IF(N(Vintage_Input!N305)&gt;0,Vintage_Input!AD305/Vintage_Input!N305,""))</f>
        <v/>
      </c>
      <c r="W353" s="152">
        <f>IF($B353=1,$E$50,IF(N(Vintage_Input!O305)&gt;0,Vintage_Input!AE305/Vintage_Input!O305,""))</f>
        <v/>
      </c>
      <c r="X353" s="152">
        <f>IF($B353=1,$F$50,IF(N(Vintage_Input!P305)&gt;0,Vintage_Input!AF305/Vintage_Input!P305,""))</f>
        <v/>
      </c>
      <c r="Y353" s="152">
        <f>IF($B353=1,$G$50,IF(N(Vintage_Input!Q305)&gt;0,Vintage_Input!AG305/Vintage_Input!Q305,""))</f>
        <v/>
      </c>
      <c r="Z353" s="152">
        <f>IF($B353=1,$H$50,IF(N(Vintage_Input!R305)&gt;0,Vintage_Input!AH305/Vintage_Input!R305,""))</f>
        <v/>
      </c>
      <c r="AA353" s="152">
        <f>IF($B353=1,$I$50,IF(N(Vintage_Input!S305)&gt;0,Vintage_Input!AI305/Vintage_Input!S305,""))</f>
        <v/>
      </c>
      <c r="AB353" s="152">
        <f>IF($B353=1,$B$51,IF(N(Vintage_Input!L305)&gt;0,Vintage_Input!AJ305/Vintage_Input!L305,""))</f>
        <v/>
      </c>
      <c r="AC353" s="152">
        <f>IF($B353=1,$C$51,IF(N(Vintage_Input!M305)&gt;0,Vintage_Input!AK305/Vintage_Input!M305,""))</f>
        <v/>
      </c>
      <c r="AD353" s="152">
        <f>IF($B353=1,$D$51,IF(N(Vintage_Input!N305)&gt;0,Vintage_Input!AL305/Vintage_Input!N305,""))</f>
        <v/>
      </c>
      <c r="AE353" s="152">
        <f>IF($B353=1,$E$51,IF(N(Vintage_Input!O305)&gt;0,Vintage_Input!AM305/Vintage_Input!O305,""))</f>
        <v/>
      </c>
      <c r="AF353" s="152">
        <f>IF($B353=1,$F$51,IF(N(Vintage_Input!P305)&gt;0,Vintage_Input!AN305/Vintage_Input!P305,""))</f>
        <v/>
      </c>
      <c r="AG353" s="152">
        <f>IF($B353=1,$G$51,IF(N(Vintage_Input!Q305)&gt;0,Vintage_Input!AO305/Vintage_Input!Q305,""))</f>
        <v/>
      </c>
      <c r="AH353" s="152">
        <f>IF($B353=1,$H$51,IF(N(Vintage_Input!R305)&gt;0,Vintage_Input!AP305/Vintage_Input!R305,""))</f>
        <v/>
      </c>
      <c r="AI353" s="152">
        <f>IF($B353=1,$I$51,IF(N(Vintage_Input!S305)&gt;0,Vintage_Input!AQ305/Vintage_Input!S305,""))</f>
        <v/>
      </c>
      <c r="AJ353" s="152">
        <f>IF($B353=1,$B$52,IF(N(Vintage_Input!L305)&gt;0,IFERROR(Vintage_Input!AR305/Vintage_Input!AJ305,""),""))</f>
        <v/>
      </c>
      <c r="AK353" s="152">
        <f>IF($B353=1,$C$52,IF(N(Vintage_Input!M305)&gt;0,IFERROR(Vintage_Input!AS305/Vintage_Input!AK305,""),""))</f>
        <v/>
      </c>
      <c r="AL353" s="152">
        <f>IF($B353=1,$D$52,IF(N(Vintage_Input!N305)&gt;0,IFERROR(Vintage_Input!AT305/Vintage_Input!AL305,""),""))</f>
        <v/>
      </c>
      <c r="AM353" s="152">
        <f>IF($B353=1,$E$52,IF(N(Vintage_Input!O305)&gt;0,IFERROR(Vintage_Input!AU305/Vintage_Input!AM305,""),""))</f>
        <v/>
      </c>
      <c r="AN353" s="152">
        <f>IF($B353=1,$F$52,IF(N(Vintage_Input!P305)&gt;0,IFERROR(Vintage_Input!AV305/Vintage_Input!AN305,""),""))</f>
        <v/>
      </c>
      <c r="AO353" s="152">
        <f>IF($B353=1,$G$52,IF(N(Vintage_Input!Q305)&gt;0,IFERROR(Vintage_Input!AW305/Vintage_Input!AO305,""),""))</f>
        <v/>
      </c>
      <c r="AP353" s="152">
        <f>IF($B353=1,$H$52,IF(N(Vintage_Input!R305)&gt;0,IFERROR(Vintage_Input!AX305/Vintage_Input!AP305,""),""))</f>
        <v/>
      </c>
      <c r="AQ353" s="152">
        <f>IF($B353=1,$I$52,IF(N(Vintage_Input!S305)&gt;0,IFERROR(Vintage_Input!AY305/Vintage_Input!AQ305,""),""))</f>
        <v/>
      </c>
      <c r="AR353" s="152">
        <f>IF($B353=1,$B$53,IF(N(Vintage_Input!L305)&gt;0,IFERROR(Vintage_Input!AZ305/$C353,""),""))</f>
        <v/>
      </c>
      <c r="AS353" s="152">
        <f>IF($B353=1,$C$53,IF(N(Vintage_Input!M305)&gt;0,IFERROR(Vintage_Input!BA305/$C353,""),""))</f>
        <v/>
      </c>
      <c r="AT353" s="152">
        <f>IF($B353=1,$D$53,IF(N(Vintage_Input!N305)&gt;0,IFERROR(Vintage_Input!BB305/$C353,""),""))</f>
        <v/>
      </c>
      <c r="AU353" s="152">
        <f>IF($B353=1,$E$53,IF(N(Vintage_Input!O305)&gt;0,IFERROR(Vintage_Input!BC305/$C353,""),""))</f>
        <v/>
      </c>
      <c r="AV353" s="152">
        <f>IF($B353=1,$F$53,IF(N(Vintage_Input!P305)&gt;0,IFERROR(Vintage_Input!BD305/$C353,""),""))</f>
        <v/>
      </c>
      <c r="AW353" s="152">
        <f>IF($B353=1,$G$53,IF(N(Vintage_Input!Q305)&gt;0,IFERROR(Vintage_Input!BE305/$C353,""),""))</f>
        <v/>
      </c>
      <c r="AX353" s="152">
        <f>IF($B353=1,$H$53,IF(N(Vintage_Input!R305)&gt;0,IFERROR(Vintage_Input!BF305/$C353,""),""))</f>
        <v/>
      </c>
      <c r="AY353" s="152">
        <f>IF($B353=1,$I$53,IF(N(Vintage_Input!S305)&gt;0,IFERROR(Vintage_Input!BG305/$C353,""),""))</f>
        <v/>
      </c>
      <c r="AZ353" s="153">
        <f>IF($B353=1,$B$54,IF(N(Vintage_Input!L305)&gt;0,IFERROR((Vintage_Input!D305+Vintage_Input!AR305)/$C353+Products!$G$14-(Products!$G$43+Products!$G$19+Products!$G$43*Products!$G$22+Products!$G$44),""),""))</f>
        <v/>
      </c>
      <c r="BA353" s="153">
        <f>IF($B353=1,$C$54,IF(N(Vintage_Input!M305)&gt;0,IFERROR((Vintage_Input!E305+Vintage_Input!AS305)/$C353+Products!$G$14-(Products!$G$43+Products!$G$19+Products!$G$43*Products!$G$22+Products!$G$44),""),""))</f>
        <v/>
      </c>
      <c r="BB353" s="153">
        <f>IF($B353=1,$D$54,IF(N(Vintage_Input!N305)&gt;0,IFERROR((Vintage_Input!F305+Vintage_Input!AT305)/$C353+Products!$G$14-(Products!$G$43+Products!$G$19+Products!$G$43*Products!$G$22+Products!$G$44),""),""))</f>
        <v/>
      </c>
      <c r="BC353" s="153">
        <f>IF($B353=1,$E$54,IF(N(Vintage_Input!O305)&gt;0,IFERROR((Vintage_Input!G305+Vintage_Input!AU305)/$C353+Products!$G$14-(Products!$G$43+Products!$G$19+Products!$G$43*Products!$G$22+Products!$G$44),""),""))</f>
        <v/>
      </c>
      <c r="BD353" s="153">
        <f>IF($B353=1,$F$54,IF(N(Vintage_Input!P305)&gt;0,IFERROR((Vintage_Input!H305+Vintage_Input!AV305)/$C353+Products!$G$14-(Products!$G$43+Products!$G$19+Products!$G$43*Products!$G$22+Products!$G$44),""),""))</f>
        <v/>
      </c>
      <c r="BE353" s="153">
        <f>IF($B353=1,$G$54,IF(N(Vintage_Input!Q305)&gt;0,IFERROR((Vintage_Input!I305+Vintage_Input!AW305)/$C353+Products!$G$14-(Products!$G$43+Products!$G$19+Products!$G$43*Products!$G$22+Products!$G$44),""),""))</f>
        <v/>
      </c>
      <c r="BF353" s="153">
        <f>IF($B353=1,$H$54,IF(N(Vintage_Input!R305)&gt;0,IFERROR((Vintage_Input!J305+Vintage_Input!AX305)/$C353+Products!$G$14-(Products!$G$43+Products!$G$19+Products!$G$43*Products!$G$22+Products!$G$44),""),""))</f>
        <v/>
      </c>
      <c r="BG353" s="153">
        <f>IF($B353=1,$I$54,IF(N(Vintage_Input!S305)&gt;0,IFERROR((Vintage_Input!K305+Vintage_Input!AY305)/$C353+Products!$G$14-(Products!$G$43+Products!$G$19+Products!$G$43*Products!$G$22+Products!$G$44),""),""))</f>
        <v/>
      </c>
      <c r="BH353" s="81">
        <f>IF($B353=1,0,IF(Vintage_Input!$BH$305="","",Vintage_Input!$BH$305))</f>
        <v/>
      </c>
    </row>
    <row r="354">
      <c r="A354" s="23" t="n">
        <v>38</v>
      </c>
      <c r="B354" s="48">
        <f>Vintage_Input!$B$306</f>
        <v/>
      </c>
      <c r="C354" s="41">
        <f>IF(Vintage_Input!$C$306="",0,Vintage_Input!$C$306)</f>
        <v/>
      </c>
      <c r="D354" s="152">
        <f>IF($B354=1,$B$48,IF(N(Vintage_Input!L306)&gt;0,Vintage_Input!D306/Vintage_Input!L306,""))</f>
        <v/>
      </c>
      <c r="E354" s="152">
        <f>IF($B354=1,$C$48,IF(N(Vintage_Input!M306)&gt;0,Vintage_Input!E306/Vintage_Input!M306,""))</f>
        <v/>
      </c>
      <c r="F354" s="152">
        <f>IF($B354=1,$D$48,IF(N(Vintage_Input!N306)&gt;0,Vintage_Input!F306/Vintage_Input!N306,""))</f>
        <v/>
      </c>
      <c r="G354" s="152">
        <f>IF($B354=1,$E$48,IF(N(Vintage_Input!O306)&gt;0,Vintage_Input!G306/Vintage_Input!O306,""))</f>
        <v/>
      </c>
      <c r="H354" s="152">
        <f>IF($B354=1,$F$48,IF(N(Vintage_Input!P306)&gt;0,Vintage_Input!H306/Vintage_Input!P306,""))</f>
        <v/>
      </c>
      <c r="I354" s="152">
        <f>IF($B354=1,$G$48,IF(N(Vintage_Input!Q306)&gt;0,Vintage_Input!I306/Vintage_Input!Q306,""))</f>
        <v/>
      </c>
      <c r="J354" s="152">
        <f>IF($B354=1,$H$48,IF(N(Vintage_Input!R306)&gt;0,Vintage_Input!J306/Vintage_Input!R306,""))</f>
        <v/>
      </c>
      <c r="K354" s="152">
        <f>IF($B354=1,$I$48,IF(N(Vintage_Input!S306)&gt;0,Vintage_Input!K306/Vintage_Input!S306,""))</f>
        <v/>
      </c>
      <c r="L354" s="152">
        <f>IF($B354=1,$B$49,IF(N(Vintage_Input!L306)&gt;0,Vintage_Input!T306/Vintage_Input!L306,""))</f>
        <v/>
      </c>
      <c r="M354" s="152">
        <f>IF($B354=1,$C$49,IF(N(Vintage_Input!M306)&gt;0,Vintage_Input!U306/Vintage_Input!M306,""))</f>
        <v/>
      </c>
      <c r="N354" s="152">
        <f>IF($B354=1,$D$49,IF(N(Vintage_Input!N306)&gt;0,Vintage_Input!V306/Vintage_Input!N306,""))</f>
        <v/>
      </c>
      <c r="O354" s="152">
        <f>IF($B354=1,$E$49,IF(N(Vintage_Input!O306)&gt;0,Vintage_Input!W306/Vintage_Input!O306,""))</f>
        <v/>
      </c>
      <c r="P354" s="152">
        <f>IF($B354=1,$F$49,IF(N(Vintage_Input!P306)&gt;0,Vintage_Input!X306/Vintage_Input!P306,""))</f>
        <v/>
      </c>
      <c r="Q354" s="152">
        <f>IF($B354=1,$G$49,IF(N(Vintage_Input!Q306)&gt;0,Vintage_Input!Y306/Vintage_Input!Q306,""))</f>
        <v/>
      </c>
      <c r="R354" s="152">
        <f>IF($B354=1,$H$49,IF(N(Vintage_Input!R306)&gt;0,Vintage_Input!Z306/Vintage_Input!R306,""))</f>
        <v/>
      </c>
      <c r="S354" s="152">
        <f>IF($B354=1,$I$49,IF(N(Vintage_Input!S306)&gt;0,Vintage_Input!AA306/Vintage_Input!S306,""))</f>
        <v/>
      </c>
      <c r="T354" s="152">
        <f>IF($B354=1,$B$50,IF(N(Vintage_Input!L306)&gt;0,Vintage_Input!AB306/Vintage_Input!L306,""))</f>
        <v/>
      </c>
      <c r="U354" s="152">
        <f>IF($B354=1,$C$50,IF(N(Vintage_Input!M306)&gt;0,Vintage_Input!AC306/Vintage_Input!M306,""))</f>
        <v/>
      </c>
      <c r="V354" s="152">
        <f>IF($B354=1,$D$50,IF(N(Vintage_Input!N306)&gt;0,Vintage_Input!AD306/Vintage_Input!N306,""))</f>
        <v/>
      </c>
      <c r="W354" s="152">
        <f>IF($B354=1,$E$50,IF(N(Vintage_Input!O306)&gt;0,Vintage_Input!AE306/Vintage_Input!O306,""))</f>
        <v/>
      </c>
      <c r="X354" s="152">
        <f>IF($B354=1,$F$50,IF(N(Vintage_Input!P306)&gt;0,Vintage_Input!AF306/Vintage_Input!P306,""))</f>
        <v/>
      </c>
      <c r="Y354" s="152">
        <f>IF($B354=1,$G$50,IF(N(Vintage_Input!Q306)&gt;0,Vintage_Input!AG306/Vintage_Input!Q306,""))</f>
        <v/>
      </c>
      <c r="Z354" s="152">
        <f>IF($B354=1,$H$50,IF(N(Vintage_Input!R306)&gt;0,Vintage_Input!AH306/Vintage_Input!R306,""))</f>
        <v/>
      </c>
      <c r="AA354" s="152">
        <f>IF($B354=1,$I$50,IF(N(Vintage_Input!S306)&gt;0,Vintage_Input!AI306/Vintage_Input!S306,""))</f>
        <v/>
      </c>
      <c r="AB354" s="152">
        <f>IF($B354=1,$B$51,IF(N(Vintage_Input!L306)&gt;0,Vintage_Input!AJ306/Vintage_Input!L306,""))</f>
        <v/>
      </c>
      <c r="AC354" s="152">
        <f>IF($B354=1,$C$51,IF(N(Vintage_Input!M306)&gt;0,Vintage_Input!AK306/Vintage_Input!M306,""))</f>
        <v/>
      </c>
      <c r="AD354" s="152">
        <f>IF($B354=1,$D$51,IF(N(Vintage_Input!N306)&gt;0,Vintage_Input!AL306/Vintage_Input!N306,""))</f>
        <v/>
      </c>
      <c r="AE354" s="152">
        <f>IF($B354=1,$E$51,IF(N(Vintage_Input!O306)&gt;0,Vintage_Input!AM306/Vintage_Input!O306,""))</f>
        <v/>
      </c>
      <c r="AF354" s="152">
        <f>IF($B354=1,$F$51,IF(N(Vintage_Input!P306)&gt;0,Vintage_Input!AN306/Vintage_Input!P306,""))</f>
        <v/>
      </c>
      <c r="AG354" s="152">
        <f>IF($B354=1,$G$51,IF(N(Vintage_Input!Q306)&gt;0,Vintage_Input!AO306/Vintage_Input!Q306,""))</f>
        <v/>
      </c>
      <c r="AH354" s="152">
        <f>IF($B354=1,$H$51,IF(N(Vintage_Input!R306)&gt;0,Vintage_Input!AP306/Vintage_Input!R306,""))</f>
        <v/>
      </c>
      <c r="AI354" s="152">
        <f>IF($B354=1,$I$51,IF(N(Vintage_Input!S306)&gt;0,Vintage_Input!AQ306/Vintage_Input!S306,""))</f>
        <v/>
      </c>
      <c r="AJ354" s="152">
        <f>IF($B354=1,$B$52,IF(N(Vintage_Input!L306)&gt;0,IFERROR(Vintage_Input!AR306/Vintage_Input!AJ306,""),""))</f>
        <v/>
      </c>
      <c r="AK354" s="152">
        <f>IF($B354=1,$C$52,IF(N(Vintage_Input!M306)&gt;0,IFERROR(Vintage_Input!AS306/Vintage_Input!AK306,""),""))</f>
        <v/>
      </c>
      <c r="AL354" s="152">
        <f>IF($B354=1,$D$52,IF(N(Vintage_Input!N306)&gt;0,IFERROR(Vintage_Input!AT306/Vintage_Input!AL306,""),""))</f>
        <v/>
      </c>
      <c r="AM354" s="152">
        <f>IF($B354=1,$E$52,IF(N(Vintage_Input!O306)&gt;0,IFERROR(Vintage_Input!AU306/Vintage_Input!AM306,""),""))</f>
        <v/>
      </c>
      <c r="AN354" s="152">
        <f>IF($B354=1,$F$52,IF(N(Vintage_Input!P306)&gt;0,IFERROR(Vintage_Input!AV306/Vintage_Input!AN306,""),""))</f>
        <v/>
      </c>
      <c r="AO354" s="152">
        <f>IF($B354=1,$G$52,IF(N(Vintage_Input!Q306)&gt;0,IFERROR(Vintage_Input!AW306/Vintage_Input!AO306,""),""))</f>
        <v/>
      </c>
      <c r="AP354" s="152">
        <f>IF($B354=1,$H$52,IF(N(Vintage_Input!R306)&gt;0,IFERROR(Vintage_Input!AX306/Vintage_Input!AP306,""),""))</f>
        <v/>
      </c>
      <c r="AQ354" s="152">
        <f>IF($B354=1,$I$52,IF(N(Vintage_Input!S306)&gt;0,IFERROR(Vintage_Input!AY306/Vintage_Input!AQ306,""),""))</f>
        <v/>
      </c>
      <c r="AR354" s="152">
        <f>IF($B354=1,$B$53,IF(N(Vintage_Input!L306)&gt;0,IFERROR(Vintage_Input!AZ306/$C354,""),""))</f>
        <v/>
      </c>
      <c r="AS354" s="152">
        <f>IF($B354=1,$C$53,IF(N(Vintage_Input!M306)&gt;0,IFERROR(Vintage_Input!BA306/$C354,""),""))</f>
        <v/>
      </c>
      <c r="AT354" s="152">
        <f>IF($B354=1,$D$53,IF(N(Vintage_Input!N306)&gt;0,IFERROR(Vintage_Input!BB306/$C354,""),""))</f>
        <v/>
      </c>
      <c r="AU354" s="152">
        <f>IF($B354=1,$E$53,IF(N(Vintage_Input!O306)&gt;0,IFERROR(Vintage_Input!BC306/$C354,""),""))</f>
        <v/>
      </c>
      <c r="AV354" s="152">
        <f>IF($B354=1,$F$53,IF(N(Vintage_Input!P306)&gt;0,IFERROR(Vintage_Input!BD306/$C354,""),""))</f>
        <v/>
      </c>
      <c r="AW354" s="152">
        <f>IF($B354=1,$G$53,IF(N(Vintage_Input!Q306)&gt;0,IFERROR(Vintage_Input!BE306/$C354,""),""))</f>
        <v/>
      </c>
      <c r="AX354" s="152">
        <f>IF($B354=1,$H$53,IF(N(Vintage_Input!R306)&gt;0,IFERROR(Vintage_Input!BF306/$C354,""),""))</f>
        <v/>
      </c>
      <c r="AY354" s="152">
        <f>IF($B354=1,$I$53,IF(N(Vintage_Input!S306)&gt;0,IFERROR(Vintage_Input!BG306/$C354,""),""))</f>
        <v/>
      </c>
      <c r="AZ354" s="153">
        <f>IF($B354=1,$B$54,IF(N(Vintage_Input!L306)&gt;0,IFERROR((Vintage_Input!D306+Vintage_Input!AR306)/$C354+Products!$G$14-(Products!$G$43+Products!$G$19+Products!$G$43*Products!$G$22+Products!$G$44),""),""))</f>
        <v/>
      </c>
      <c r="BA354" s="153">
        <f>IF($B354=1,$C$54,IF(N(Vintage_Input!M306)&gt;0,IFERROR((Vintage_Input!E306+Vintage_Input!AS306)/$C354+Products!$G$14-(Products!$G$43+Products!$G$19+Products!$G$43*Products!$G$22+Products!$G$44),""),""))</f>
        <v/>
      </c>
      <c r="BB354" s="153">
        <f>IF($B354=1,$D$54,IF(N(Vintage_Input!N306)&gt;0,IFERROR((Vintage_Input!F306+Vintage_Input!AT306)/$C354+Products!$G$14-(Products!$G$43+Products!$G$19+Products!$G$43*Products!$G$22+Products!$G$44),""),""))</f>
        <v/>
      </c>
      <c r="BC354" s="153">
        <f>IF($B354=1,$E$54,IF(N(Vintage_Input!O306)&gt;0,IFERROR((Vintage_Input!G306+Vintage_Input!AU306)/$C354+Products!$G$14-(Products!$G$43+Products!$G$19+Products!$G$43*Products!$G$22+Products!$G$44),""),""))</f>
        <v/>
      </c>
      <c r="BD354" s="153">
        <f>IF($B354=1,$F$54,IF(N(Vintage_Input!P306)&gt;0,IFERROR((Vintage_Input!H306+Vintage_Input!AV306)/$C354+Products!$G$14-(Products!$G$43+Products!$G$19+Products!$G$43*Products!$G$22+Products!$G$44),""),""))</f>
        <v/>
      </c>
      <c r="BE354" s="153">
        <f>IF($B354=1,$G$54,IF(N(Vintage_Input!Q306)&gt;0,IFERROR((Vintage_Input!I306+Vintage_Input!AW306)/$C354+Products!$G$14-(Products!$G$43+Products!$G$19+Products!$G$43*Products!$G$22+Products!$G$44),""),""))</f>
        <v/>
      </c>
      <c r="BF354" s="153">
        <f>IF($B354=1,$H$54,IF(N(Vintage_Input!R306)&gt;0,IFERROR((Vintage_Input!J306+Vintage_Input!AX306)/$C354+Products!$G$14-(Products!$G$43+Products!$G$19+Products!$G$43*Products!$G$22+Products!$G$44),""),""))</f>
        <v/>
      </c>
      <c r="BG354" s="153">
        <f>IF($B354=1,$I$54,IF(N(Vintage_Input!S306)&gt;0,IFERROR((Vintage_Input!K306+Vintage_Input!AY306)/$C354+Products!$G$14-(Products!$G$43+Products!$G$19+Products!$G$43*Products!$G$22+Products!$G$44),""),""))</f>
        <v/>
      </c>
      <c r="BH354" s="81">
        <f>IF($B354=1,0,IF(Vintage_Input!$BH$306="","",Vintage_Input!$BH$306))</f>
        <v/>
      </c>
    </row>
    <row r="355">
      <c r="A355" s="23" t="n">
        <v>39</v>
      </c>
      <c r="B355" s="48">
        <f>Vintage_Input!$B$307</f>
        <v/>
      </c>
      <c r="C355" s="41">
        <f>IF(Vintage_Input!$C$307="",0,Vintage_Input!$C$307)</f>
        <v/>
      </c>
      <c r="D355" s="152">
        <f>IF($B355=1,$B$48,IF(N(Vintage_Input!L307)&gt;0,Vintage_Input!D307/Vintage_Input!L307,""))</f>
        <v/>
      </c>
      <c r="E355" s="152">
        <f>IF($B355=1,$C$48,IF(N(Vintage_Input!M307)&gt;0,Vintage_Input!E307/Vintage_Input!M307,""))</f>
        <v/>
      </c>
      <c r="F355" s="152">
        <f>IF($B355=1,$D$48,IF(N(Vintage_Input!N307)&gt;0,Vintage_Input!F307/Vintage_Input!N307,""))</f>
        <v/>
      </c>
      <c r="G355" s="152">
        <f>IF($B355=1,$E$48,IF(N(Vintage_Input!O307)&gt;0,Vintage_Input!G307/Vintage_Input!O307,""))</f>
        <v/>
      </c>
      <c r="H355" s="152">
        <f>IF($B355=1,$F$48,IF(N(Vintage_Input!P307)&gt;0,Vintage_Input!H307/Vintage_Input!P307,""))</f>
        <v/>
      </c>
      <c r="I355" s="152">
        <f>IF($B355=1,$G$48,IF(N(Vintage_Input!Q307)&gt;0,Vintage_Input!I307/Vintage_Input!Q307,""))</f>
        <v/>
      </c>
      <c r="J355" s="152">
        <f>IF($B355=1,$H$48,IF(N(Vintage_Input!R307)&gt;0,Vintage_Input!J307/Vintage_Input!R307,""))</f>
        <v/>
      </c>
      <c r="K355" s="152">
        <f>IF($B355=1,$I$48,IF(N(Vintage_Input!S307)&gt;0,Vintage_Input!K307/Vintage_Input!S307,""))</f>
        <v/>
      </c>
      <c r="L355" s="152">
        <f>IF($B355=1,$B$49,IF(N(Vintage_Input!L307)&gt;0,Vintage_Input!T307/Vintage_Input!L307,""))</f>
        <v/>
      </c>
      <c r="M355" s="152">
        <f>IF($B355=1,$C$49,IF(N(Vintage_Input!M307)&gt;0,Vintage_Input!U307/Vintage_Input!M307,""))</f>
        <v/>
      </c>
      <c r="N355" s="152">
        <f>IF($B355=1,$D$49,IF(N(Vintage_Input!N307)&gt;0,Vintage_Input!V307/Vintage_Input!N307,""))</f>
        <v/>
      </c>
      <c r="O355" s="152">
        <f>IF($B355=1,$E$49,IF(N(Vintage_Input!O307)&gt;0,Vintage_Input!W307/Vintage_Input!O307,""))</f>
        <v/>
      </c>
      <c r="P355" s="152">
        <f>IF($B355=1,$F$49,IF(N(Vintage_Input!P307)&gt;0,Vintage_Input!X307/Vintage_Input!P307,""))</f>
        <v/>
      </c>
      <c r="Q355" s="152">
        <f>IF($B355=1,$G$49,IF(N(Vintage_Input!Q307)&gt;0,Vintage_Input!Y307/Vintage_Input!Q307,""))</f>
        <v/>
      </c>
      <c r="R355" s="152">
        <f>IF($B355=1,$H$49,IF(N(Vintage_Input!R307)&gt;0,Vintage_Input!Z307/Vintage_Input!R307,""))</f>
        <v/>
      </c>
      <c r="S355" s="152">
        <f>IF($B355=1,$I$49,IF(N(Vintage_Input!S307)&gt;0,Vintage_Input!AA307/Vintage_Input!S307,""))</f>
        <v/>
      </c>
      <c r="T355" s="152">
        <f>IF($B355=1,$B$50,IF(N(Vintage_Input!L307)&gt;0,Vintage_Input!AB307/Vintage_Input!L307,""))</f>
        <v/>
      </c>
      <c r="U355" s="152">
        <f>IF($B355=1,$C$50,IF(N(Vintage_Input!M307)&gt;0,Vintage_Input!AC307/Vintage_Input!M307,""))</f>
        <v/>
      </c>
      <c r="V355" s="152">
        <f>IF($B355=1,$D$50,IF(N(Vintage_Input!N307)&gt;0,Vintage_Input!AD307/Vintage_Input!N307,""))</f>
        <v/>
      </c>
      <c r="W355" s="152">
        <f>IF($B355=1,$E$50,IF(N(Vintage_Input!O307)&gt;0,Vintage_Input!AE307/Vintage_Input!O307,""))</f>
        <v/>
      </c>
      <c r="X355" s="152">
        <f>IF($B355=1,$F$50,IF(N(Vintage_Input!P307)&gt;0,Vintage_Input!AF307/Vintage_Input!P307,""))</f>
        <v/>
      </c>
      <c r="Y355" s="152">
        <f>IF($B355=1,$G$50,IF(N(Vintage_Input!Q307)&gt;0,Vintage_Input!AG307/Vintage_Input!Q307,""))</f>
        <v/>
      </c>
      <c r="Z355" s="152">
        <f>IF($B355=1,$H$50,IF(N(Vintage_Input!R307)&gt;0,Vintage_Input!AH307/Vintage_Input!R307,""))</f>
        <v/>
      </c>
      <c r="AA355" s="152">
        <f>IF($B355=1,$I$50,IF(N(Vintage_Input!S307)&gt;0,Vintage_Input!AI307/Vintage_Input!S307,""))</f>
        <v/>
      </c>
      <c r="AB355" s="152">
        <f>IF($B355=1,$B$51,IF(N(Vintage_Input!L307)&gt;0,Vintage_Input!AJ307/Vintage_Input!L307,""))</f>
        <v/>
      </c>
      <c r="AC355" s="152">
        <f>IF($B355=1,$C$51,IF(N(Vintage_Input!M307)&gt;0,Vintage_Input!AK307/Vintage_Input!M307,""))</f>
        <v/>
      </c>
      <c r="AD355" s="152">
        <f>IF($B355=1,$D$51,IF(N(Vintage_Input!N307)&gt;0,Vintage_Input!AL307/Vintage_Input!N307,""))</f>
        <v/>
      </c>
      <c r="AE355" s="152">
        <f>IF($B355=1,$E$51,IF(N(Vintage_Input!O307)&gt;0,Vintage_Input!AM307/Vintage_Input!O307,""))</f>
        <v/>
      </c>
      <c r="AF355" s="152">
        <f>IF($B355=1,$F$51,IF(N(Vintage_Input!P307)&gt;0,Vintage_Input!AN307/Vintage_Input!P307,""))</f>
        <v/>
      </c>
      <c r="AG355" s="152">
        <f>IF($B355=1,$G$51,IF(N(Vintage_Input!Q307)&gt;0,Vintage_Input!AO307/Vintage_Input!Q307,""))</f>
        <v/>
      </c>
      <c r="AH355" s="152">
        <f>IF($B355=1,$H$51,IF(N(Vintage_Input!R307)&gt;0,Vintage_Input!AP307/Vintage_Input!R307,""))</f>
        <v/>
      </c>
      <c r="AI355" s="152">
        <f>IF($B355=1,$I$51,IF(N(Vintage_Input!S307)&gt;0,Vintage_Input!AQ307/Vintage_Input!S307,""))</f>
        <v/>
      </c>
      <c r="AJ355" s="152">
        <f>IF($B355=1,$B$52,IF(N(Vintage_Input!L307)&gt;0,IFERROR(Vintage_Input!AR307/Vintage_Input!AJ307,""),""))</f>
        <v/>
      </c>
      <c r="AK355" s="152">
        <f>IF($B355=1,$C$52,IF(N(Vintage_Input!M307)&gt;0,IFERROR(Vintage_Input!AS307/Vintage_Input!AK307,""),""))</f>
        <v/>
      </c>
      <c r="AL355" s="152">
        <f>IF($B355=1,$D$52,IF(N(Vintage_Input!N307)&gt;0,IFERROR(Vintage_Input!AT307/Vintage_Input!AL307,""),""))</f>
        <v/>
      </c>
      <c r="AM355" s="152">
        <f>IF($B355=1,$E$52,IF(N(Vintage_Input!O307)&gt;0,IFERROR(Vintage_Input!AU307/Vintage_Input!AM307,""),""))</f>
        <v/>
      </c>
      <c r="AN355" s="152">
        <f>IF($B355=1,$F$52,IF(N(Vintage_Input!P307)&gt;0,IFERROR(Vintage_Input!AV307/Vintage_Input!AN307,""),""))</f>
        <v/>
      </c>
      <c r="AO355" s="152">
        <f>IF($B355=1,$G$52,IF(N(Vintage_Input!Q307)&gt;0,IFERROR(Vintage_Input!AW307/Vintage_Input!AO307,""),""))</f>
        <v/>
      </c>
      <c r="AP355" s="152">
        <f>IF($B355=1,$H$52,IF(N(Vintage_Input!R307)&gt;0,IFERROR(Vintage_Input!AX307/Vintage_Input!AP307,""),""))</f>
        <v/>
      </c>
      <c r="AQ355" s="152">
        <f>IF($B355=1,$I$52,IF(N(Vintage_Input!S307)&gt;0,IFERROR(Vintage_Input!AY307/Vintage_Input!AQ307,""),""))</f>
        <v/>
      </c>
      <c r="AR355" s="152">
        <f>IF($B355=1,$B$53,IF(N(Vintage_Input!L307)&gt;0,IFERROR(Vintage_Input!AZ307/$C355,""),""))</f>
        <v/>
      </c>
      <c r="AS355" s="152">
        <f>IF($B355=1,$C$53,IF(N(Vintage_Input!M307)&gt;0,IFERROR(Vintage_Input!BA307/$C355,""),""))</f>
        <v/>
      </c>
      <c r="AT355" s="152">
        <f>IF($B355=1,$D$53,IF(N(Vintage_Input!N307)&gt;0,IFERROR(Vintage_Input!BB307/$C355,""),""))</f>
        <v/>
      </c>
      <c r="AU355" s="152">
        <f>IF($B355=1,$E$53,IF(N(Vintage_Input!O307)&gt;0,IFERROR(Vintage_Input!BC307/$C355,""),""))</f>
        <v/>
      </c>
      <c r="AV355" s="152">
        <f>IF($B355=1,$F$53,IF(N(Vintage_Input!P307)&gt;0,IFERROR(Vintage_Input!BD307/$C355,""),""))</f>
        <v/>
      </c>
      <c r="AW355" s="152">
        <f>IF($B355=1,$G$53,IF(N(Vintage_Input!Q307)&gt;0,IFERROR(Vintage_Input!BE307/$C355,""),""))</f>
        <v/>
      </c>
      <c r="AX355" s="152">
        <f>IF($B355=1,$H$53,IF(N(Vintage_Input!R307)&gt;0,IFERROR(Vintage_Input!BF307/$C355,""),""))</f>
        <v/>
      </c>
      <c r="AY355" s="152">
        <f>IF($B355=1,$I$53,IF(N(Vintage_Input!S307)&gt;0,IFERROR(Vintage_Input!BG307/$C355,""),""))</f>
        <v/>
      </c>
      <c r="AZ355" s="153">
        <f>IF($B355=1,$B$54,IF(N(Vintage_Input!L307)&gt;0,IFERROR((Vintage_Input!D307+Vintage_Input!AR307)/$C355+Products!$G$14-(Products!$G$43+Products!$G$19+Products!$G$43*Products!$G$22+Products!$G$44),""),""))</f>
        <v/>
      </c>
      <c r="BA355" s="153">
        <f>IF($B355=1,$C$54,IF(N(Vintage_Input!M307)&gt;0,IFERROR((Vintage_Input!E307+Vintage_Input!AS307)/$C355+Products!$G$14-(Products!$G$43+Products!$G$19+Products!$G$43*Products!$G$22+Products!$G$44),""),""))</f>
        <v/>
      </c>
      <c r="BB355" s="153">
        <f>IF($B355=1,$D$54,IF(N(Vintage_Input!N307)&gt;0,IFERROR((Vintage_Input!F307+Vintage_Input!AT307)/$C355+Products!$G$14-(Products!$G$43+Products!$G$19+Products!$G$43*Products!$G$22+Products!$G$44),""),""))</f>
        <v/>
      </c>
      <c r="BC355" s="153">
        <f>IF($B355=1,$E$54,IF(N(Vintage_Input!O307)&gt;0,IFERROR((Vintage_Input!G307+Vintage_Input!AU307)/$C355+Products!$G$14-(Products!$G$43+Products!$G$19+Products!$G$43*Products!$G$22+Products!$G$44),""),""))</f>
        <v/>
      </c>
      <c r="BD355" s="153">
        <f>IF($B355=1,$F$54,IF(N(Vintage_Input!P307)&gt;0,IFERROR((Vintage_Input!H307+Vintage_Input!AV307)/$C355+Products!$G$14-(Products!$G$43+Products!$G$19+Products!$G$43*Products!$G$22+Products!$G$44),""),""))</f>
        <v/>
      </c>
      <c r="BE355" s="153">
        <f>IF($B355=1,$G$54,IF(N(Vintage_Input!Q307)&gt;0,IFERROR((Vintage_Input!I307+Vintage_Input!AW307)/$C355+Products!$G$14-(Products!$G$43+Products!$G$19+Products!$G$43*Products!$G$22+Products!$G$44),""),""))</f>
        <v/>
      </c>
      <c r="BF355" s="153">
        <f>IF($B355=1,$H$54,IF(N(Vintage_Input!R307)&gt;0,IFERROR((Vintage_Input!J307+Vintage_Input!AX307)/$C355+Products!$G$14-(Products!$G$43+Products!$G$19+Products!$G$43*Products!$G$22+Products!$G$44),""),""))</f>
        <v/>
      </c>
      <c r="BG355" s="153">
        <f>IF($B355=1,$I$54,IF(N(Vintage_Input!S307)&gt;0,IFERROR((Vintage_Input!K307+Vintage_Input!AY307)/$C355+Products!$G$14-(Products!$G$43+Products!$G$19+Products!$G$43*Products!$G$22+Products!$G$44),""),""))</f>
        <v/>
      </c>
      <c r="BH355" s="81">
        <f>IF($B355=1,0,IF(Vintage_Input!$BH$307="","",Vintage_Input!$BH$307))</f>
        <v/>
      </c>
    </row>
    <row r="356">
      <c r="A356" s="23" t="n">
        <v>40</v>
      </c>
      <c r="B356" s="48">
        <f>Vintage_Input!$B$308</f>
        <v/>
      </c>
      <c r="C356" s="41">
        <f>IF(Vintage_Input!$C$308="",0,Vintage_Input!$C$308)</f>
        <v/>
      </c>
      <c r="D356" s="152">
        <f>IF($B356=1,$B$48,IF(N(Vintage_Input!L308)&gt;0,Vintage_Input!D308/Vintage_Input!L308,""))</f>
        <v/>
      </c>
      <c r="E356" s="152">
        <f>IF($B356=1,$C$48,IF(N(Vintage_Input!M308)&gt;0,Vintage_Input!E308/Vintage_Input!M308,""))</f>
        <v/>
      </c>
      <c r="F356" s="152">
        <f>IF($B356=1,$D$48,IF(N(Vintage_Input!N308)&gt;0,Vintage_Input!F308/Vintage_Input!N308,""))</f>
        <v/>
      </c>
      <c r="G356" s="152">
        <f>IF($B356=1,$E$48,IF(N(Vintage_Input!O308)&gt;0,Vintage_Input!G308/Vintage_Input!O308,""))</f>
        <v/>
      </c>
      <c r="H356" s="152">
        <f>IF($B356=1,$F$48,IF(N(Vintage_Input!P308)&gt;0,Vintage_Input!H308/Vintage_Input!P308,""))</f>
        <v/>
      </c>
      <c r="I356" s="152">
        <f>IF($B356=1,$G$48,IF(N(Vintage_Input!Q308)&gt;0,Vintage_Input!I308/Vintage_Input!Q308,""))</f>
        <v/>
      </c>
      <c r="J356" s="152">
        <f>IF($B356=1,$H$48,IF(N(Vintage_Input!R308)&gt;0,Vintage_Input!J308/Vintage_Input!R308,""))</f>
        <v/>
      </c>
      <c r="K356" s="152">
        <f>IF($B356=1,$I$48,IF(N(Vintage_Input!S308)&gt;0,Vintage_Input!K308/Vintage_Input!S308,""))</f>
        <v/>
      </c>
      <c r="L356" s="152">
        <f>IF($B356=1,$B$49,IF(N(Vintage_Input!L308)&gt;0,Vintage_Input!T308/Vintage_Input!L308,""))</f>
        <v/>
      </c>
      <c r="M356" s="152">
        <f>IF($B356=1,$C$49,IF(N(Vintage_Input!M308)&gt;0,Vintage_Input!U308/Vintage_Input!M308,""))</f>
        <v/>
      </c>
      <c r="N356" s="152">
        <f>IF($B356=1,$D$49,IF(N(Vintage_Input!N308)&gt;0,Vintage_Input!V308/Vintage_Input!N308,""))</f>
        <v/>
      </c>
      <c r="O356" s="152">
        <f>IF($B356=1,$E$49,IF(N(Vintage_Input!O308)&gt;0,Vintage_Input!W308/Vintage_Input!O308,""))</f>
        <v/>
      </c>
      <c r="P356" s="152">
        <f>IF($B356=1,$F$49,IF(N(Vintage_Input!P308)&gt;0,Vintage_Input!X308/Vintage_Input!P308,""))</f>
        <v/>
      </c>
      <c r="Q356" s="152">
        <f>IF($B356=1,$G$49,IF(N(Vintage_Input!Q308)&gt;0,Vintage_Input!Y308/Vintage_Input!Q308,""))</f>
        <v/>
      </c>
      <c r="R356" s="152">
        <f>IF($B356=1,$H$49,IF(N(Vintage_Input!R308)&gt;0,Vintage_Input!Z308/Vintage_Input!R308,""))</f>
        <v/>
      </c>
      <c r="S356" s="152">
        <f>IF($B356=1,$I$49,IF(N(Vintage_Input!S308)&gt;0,Vintage_Input!AA308/Vintage_Input!S308,""))</f>
        <v/>
      </c>
      <c r="T356" s="152">
        <f>IF($B356=1,$B$50,IF(N(Vintage_Input!L308)&gt;0,Vintage_Input!AB308/Vintage_Input!L308,""))</f>
        <v/>
      </c>
      <c r="U356" s="152">
        <f>IF($B356=1,$C$50,IF(N(Vintage_Input!M308)&gt;0,Vintage_Input!AC308/Vintage_Input!M308,""))</f>
        <v/>
      </c>
      <c r="V356" s="152">
        <f>IF($B356=1,$D$50,IF(N(Vintage_Input!N308)&gt;0,Vintage_Input!AD308/Vintage_Input!N308,""))</f>
        <v/>
      </c>
      <c r="W356" s="152">
        <f>IF($B356=1,$E$50,IF(N(Vintage_Input!O308)&gt;0,Vintage_Input!AE308/Vintage_Input!O308,""))</f>
        <v/>
      </c>
      <c r="X356" s="152">
        <f>IF($B356=1,$F$50,IF(N(Vintage_Input!P308)&gt;0,Vintage_Input!AF308/Vintage_Input!P308,""))</f>
        <v/>
      </c>
      <c r="Y356" s="152">
        <f>IF($B356=1,$G$50,IF(N(Vintage_Input!Q308)&gt;0,Vintage_Input!AG308/Vintage_Input!Q308,""))</f>
        <v/>
      </c>
      <c r="Z356" s="152">
        <f>IF($B356=1,$H$50,IF(N(Vintage_Input!R308)&gt;0,Vintage_Input!AH308/Vintage_Input!R308,""))</f>
        <v/>
      </c>
      <c r="AA356" s="152">
        <f>IF($B356=1,$I$50,IF(N(Vintage_Input!S308)&gt;0,Vintage_Input!AI308/Vintage_Input!S308,""))</f>
        <v/>
      </c>
      <c r="AB356" s="152">
        <f>IF($B356=1,$B$51,IF(N(Vintage_Input!L308)&gt;0,Vintage_Input!AJ308/Vintage_Input!L308,""))</f>
        <v/>
      </c>
      <c r="AC356" s="152">
        <f>IF($B356=1,$C$51,IF(N(Vintage_Input!M308)&gt;0,Vintage_Input!AK308/Vintage_Input!M308,""))</f>
        <v/>
      </c>
      <c r="AD356" s="152">
        <f>IF($B356=1,$D$51,IF(N(Vintage_Input!N308)&gt;0,Vintage_Input!AL308/Vintage_Input!N308,""))</f>
        <v/>
      </c>
      <c r="AE356" s="152">
        <f>IF($B356=1,$E$51,IF(N(Vintage_Input!O308)&gt;0,Vintage_Input!AM308/Vintage_Input!O308,""))</f>
        <v/>
      </c>
      <c r="AF356" s="152">
        <f>IF($B356=1,$F$51,IF(N(Vintage_Input!P308)&gt;0,Vintage_Input!AN308/Vintage_Input!P308,""))</f>
        <v/>
      </c>
      <c r="AG356" s="152">
        <f>IF($B356=1,$G$51,IF(N(Vintage_Input!Q308)&gt;0,Vintage_Input!AO308/Vintage_Input!Q308,""))</f>
        <v/>
      </c>
      <c r="AH356" s="152">
        <f>IF($B356=1,$H$51,IF(N(Vintage_Input!R308)&gt;0,Vintage_Input!AP308/Vintage_Input!R308,""))</f>
        <v/>
      </c>
      <c r="AI356" s="152">
        <f>IF($B356=1,$I$51,IF(N(Vintage_Input!S308)&gt;0,Vintage_Input!AQ308/Vintage_Input!S308,""))</f>
        <v/>
      </c>
      <c r="AJ356" s="152">
        <f>IF($B356=1,$B$52,IF(N(Vintage_Input!L308)&gt;0,IFERROR(Vintage_Input!AR308/Vintage_Input!AJ308,""),""))</f>
        <v/>
      </c>
      <c r="AK356" s="152">
        <f>IF($B356=1,$C$52,IF(N(Vintage_Input!M308)&gt;0,IFERROR(Vintage_Input!AS308/Vintage_Input!AK308,""),""))</f>
        <v/>
      </c>
      <c r="AL356" s="152">
        <f>IF($B356=1,$D$52,IF(N(Vintage_Input!N308)&gt;0,IFERROR(Vintage_Input!AT308/Vintage_Input!AL308,""),""))</f>
        <v/>
      </c>
      <c r="AM356" s="152">
        <f>IF($B356=1,$E$52,IF(N(Vintage_Input!O308)&gt;0,IFERROR(Vintage_Input!AU308/Vintage_Input!AM308,""),""))</f>
        <v/>
      </c>
      <c r="AN356" s="152">
        <f>IF($B356=1,$F$52,IF(N(Vintage_Input!P308)&gt;0,IFERROR(Vintage_Input!AV308/Vintage_Input!AN308,""),""))</f>
        <v/>
      </c>
      <c r="AO356" s="152">
        <f>IF($B356=1,$G$52,IF(N(Vintage_Input!Q308)&gt;0,IFERROR(Vintage_Input!AW308/Vintage_Input!AO308,""),""))</f>
        <v/>
      </c>
      <c r="AP356" s="152">
        <f>IF($B356=1,$H$52,IF(N(Vintage_Input!R308)&gt;0,IFERROR(Vintage_Input!AX308/Vintage_Input!AP308,""),""))</f>
        <v/>
      </c>
      <c r="AQ356" s="152">
        <f>IF($B356=1,$I$52,IF(N(Vintage_Input!S308)&gt;0,IFERROR(Vintage_Input!AY308/Vintage_Input!AQ308,""),""))</f>
        <v/>
      </c>
      <c r="AR356" s="152">
        <f>IF($B356=1,$B$53,IF(N(Vintage_Input!L308)&gt;0,IFERROR(Vintage_Input!AZ308/$C356,""),""))</f>
        <v/>
      </c>
      <c r="AS356" s="152">
        <f>IF($B356=1,$C$53,IF(N(Vintage_Input!M308)&gt;0,IFERROR(Vintage_Input!BA308/$C356,""),""))</f>
        <v/>
      </c>
      <c r="AT356" s="152">
        <f>IF($B356=1,$D$53,IF(N(Vintage_Input!N308)&gt;0,IFERROR(Vintage_Input!BB308/$C356,""),""))</f>
        <v/>
      </c>
      <c r="AU356" s="152">
        <f>IF($B356=1,$E$53,IF(N(Vintage_Input!O308)&gt;0,IFERROR(Vintage_Input!BC308/$C356,""),""))</f>
        <v/>
      </c>
      <c r="AV356" s="152">
        <f>IF($B356=1,$F$53,IF(N(Vintage_Input!P308)&gt;0,IFERROR(Vintage_Input!BD308/$C356,""),""))</f>
        <v/>
      </c>
      <c r="AW356" s="152">
        <f>IF($B356=1,$G$53,IF(N(Vintage_Input!Q308)&gt;0,IFERROR(Vintage_Input!BE308/$C356,""),""))</f>
        <v/>
      </c>
      <c r="AX356" s="152">
        <f>IF($B356=1,$H$53,IF(N(Vintage_Input!R308)&gt;0,IFERROR(Vintage_Input!BF308/$C356,""),""))</f>
        <v/>
      </c>
      <c r="AY356" s="152">
        <f>IF($B356=1,$I$53,IF(N(Vintage_Input!S308)&gt;0,IFERROR(Vintage_Input!BG308/$C356,""),""))</f>
        <v/>
      </c>
      <c r="AZ356" s="153">
        <f>IF($B356=1,$B$54,IF(N(Vintage_Input!L308)&gt;0,IFERROR((Vintage_Input!D308+Vintage_Input!AR308)/$C356+Products!$G$14-(Products!$G$43+Products!$G$19+Products!$G$43*Products!$G$22+Products!$G$44),""),""))</f>
        <v/>
      </c>
      <c r="BA356" s="153">
        <f>IF($B356=1,$C$54,IF(N(Vintage_Input!M308)&gt;0,IFERROR((Vintage_Input!E308+Vintage_Input!AS308)/$C356+Products!$G$14-(Products!$G$43+Products!$G$19+Products!$G$43*Products!$G$22+Products!$G$44),""),""))</f>
        <v/>
      </c>
      <c r="BB356" s="153">
        <f>IF($B356=1,$D$54,IF(N(Vintage_Input!N308)&gt;0,IFERROR((Vintage_Input!F308+Vintage_Input!AT308)/$C356+Products!$G$14-(Products!$G$43+Products!$G$19+Products!$G$43*Products!$G$22+Products!$G$44),""),""))</f>
        <v/>
      </c>
      <c r="BC356" s="153">
        <f>IF($B356=1,$E$54,IF(N(Vintage_Input!O308)&gt;0,IFERROR((Vintage_Input!G308+Vintage_Input!AU308)/$C356+Products!$G$14-(Products!$G$43+Products!$G$19+Products!$G$43*Products!$G$22+Products!$G$44),""),""))</f>
        <v/>
      </c>
      <c r="BD356" s="153">
        <f>IF($B356=1,$F$54,IF(N(Vintage_Input!P308)&gt;0,IFERROR((Vintage_Input!H308+Vintage_Input!AV308)/$C356+Products!$G$14-(Products!$G$43+Products!$G$19+Products!$G$43*Products!$G$22+Products!$G$44),""),""))</f>
        <v/>
      </c>
      <c r="BE356" s="153">
        <f>IF($B356=1,$G$54,IF(N(Vintage_Input!Q308)&gt;0,IFERROR((Vintage_Input!I308+Vintage_Input!AW308)/$C356+Products!$G$14-(Products!$G$43+Products!$G$19+Products!$G$43*Products!$G$22+Products!$G$44),""),""))</f>
        <v/>
      </c>
      <c r="BF356" s="153">
        <f>IF($B356=1,$H$54,IF(N(Vintage_Input!R308)&gt;0,IFERROR((Vintage_Input!J308+Vintage_Input!AX308)/$C356+Products!$G$14-(Products!$G$43+Products!$G$19+Products!$G$43*Products!$G$22+Products!$G$44),""),""))</f>
        <v/>
      </c>
      <c r="BG356" s="153">
        <f>IF($B356=1,$I$54,IF(N(Vintage_Input!S308)&gt;0,IFERROR((Vintage_Input!K308+Vintage_Input!AY308)/$C356+Products!$G$14-(Products!$G$43+Products!$G$19+Products!$G$43*Products!$G$22+Products!$G$44),""),""))</f>
        <v/>
      </c>
      <c r="BH356" s="81">
        <f>IF($B356=1,0,IF(Vintage_Input!$BH$308="","",Vintage_Input!$BH$308))</f>
        <v/>
      </c>
    </row>
    <row r="357">
      <c r="A357" s="23" t="n">
        <v>41</v>
      </c>
      <c r="B357" s="48">
        <f>Vintage_Input!$B$309</f>
        <v/>
      </c>
      <c r="C357" s="41">
        <f>IF(Vintage_Input!$C$309="",0,Vintage_Input!$C$309)</f>
        <v/>
      </c>
      <c r="D357" s="152">
        <f>IF($B357=1,$B$48,IF(N(Vintage_Input!L309)&gt;0,Vintage_Input!D309/Vintage_Input!L309,""))</f>
        <v/>
      </c>
      <c r="E357" s="152">
        <f>IF($B357=1,$C$48,IF(N(Vintage_Input!M309)&gt;0,Vintage_Input!E309/Vintage_Input!M309,""))</f>
        <v/>
      </c>
      <c r="F357" s="152">
        <f>IF($B357=1,$D$48,IF(N(Vintage_Input!N309)&gt;0,Vintage_Input!F309/Vintage_Input!N309,""))</f>
        <v/>
      </c>
      <c r="G357" s="152">
        <f>IF($B357=1,$E$48,IF(N(Vintage_Input!O309)&gt;0,Vintage_Input!G309/Vintage_Input!O309,""))</f>
        <v/>
      </c>
      <c r="H357" s="152">
        <f>IF($B357=1,$F$48,IF(N(Vintage_Input!P309)&gt;0,Vintage_Input!H309/Vintage_Input!P309,""))</f>
        <v/>
      </c>
      <c r="I357" s="152">
        <f>IF($B357=1,$G$48,IF(N(Vintage_Input!Q309)&gt;0,Vintage_Input!I309/Vintage_Input!Q309,""))</f>
        <v/>
      </c>
      <c r="J357" s="152">
        <f>IF($B357=1,$H$48,IF(N(Vintage_Input!R309)&gt;0,Vintage_Input!J309/Vintage_Input!R309,""))</f>
        <v/>
      </c>
      <c r="K357" s="152">
        <f>IF($B357=1,$I$48,IF(N(Vintage_Input!S309)&gt;0,Vintage_Input!K309/Vintage_Input!S309,""))</f>
        <v/>
      </c>
      <c r="L357" s="152">
        <f>IF($B357=1,$B$49,IF(N(Vintage_Input!L309)&gt;0,Vintage_Input!T309/Vintage_Input!L309,""))</f>
        <v/>
      </c>
      <c r="M357" s="152">
        <f>IF($B357=1,$C$49,IF(N(Vintage_Input!M309)&gt;0,Vintage_Input!U309/Vintage_Input!M309,""))</f>
        <v/>
      </c>
      <c r="N357" s="152">
        <f>IF($B357=1,$D$49,IF(N(Vintage_Input!N309)&gt;0,Vintage_Input!V309/Vintage_Input!N309,""))</f>
        <v/>
      </c>
      <c r="O357" s="152">
        <f>IF($B357=1,$E$49,IF(N(Vintage_Input!O309)&gt;0,Vintage_Input!W309/Vintage_Input!O309,""))</f>
        <v/>
      </c>
      <c r="P357" s="152">
        <f>IF($B357=1,$F$49,IF(N(Vintage_Input!P309)&gt;0,Vintage_Input!X309/Vintage_Input!P309,""))</f>
        <v/>
      </c>
      <c r="Q357" s="152">
        <f>IF($B357=1,$G$49,IF(N(Vintage_Input!Q309)&gt;0,Vintage_Input!Y309/Vintage_Input!Q309,""))</f>
        <v/>
      </c>
      <c r="R357" s="152">
        <f>IF($B357=1,$H$49,IF(N(Vintage_Input!R309)&gt;0,Vintage_Input!Z309/Vintage_Input!R309,""))</f>
        <v/>
      </c>
      <c r="S357" s="152">
        <f>IF($B357=1,$I$49,IF(N(Vintage_Input!S309)&gt;0,Vintage_Input!AA309/Vintage_Input!S309,""))</f>
        <v/>
      </c>
      <c r="T357" s="152">
        <f>IF($B357=1,$B$50,IF(N(Vintage_Input!L309)&gt;0,Vintage_Input!AB309/Vintage_Input!L309,""))</f>
        <v/>
      </c>
      <c r="U357" s="152">
        <f>IF($B357=1,$C$50,IF(N(Vintage_Input!M309)&gt;0,Vintage_Input!AC309/Vintage_Input!M309,""))</f>
        <v/>
      </c>
      <c r="V357" s="152">
        <f>IF($B357=1,$D$50,IF(N(Vintage_Input!N309)&gt;0,Vintage_Input!AD309/Vintage_Input!N309,""))</f>
        <v/>
      </c>
      <c r="W357" s="152">
        <f>IF($B357=1,$E$50,IF(N(Vintage_Input!O309)&gt;0,Vintage_Input!AE309/Vintage_Input!O309,""))</f>
        <v/>
      </c>
      <c r="X357" s="152">
        <f>IF($B357=1,$F$50,IF(N(Vintage_Input!P309)&gt;0,Vintage_Input!AF309/Vintage_Input!P309,""))</f>
        <v/>
      </c>
      <c r="Y357" s="152">
        <f>IF($B357=1,$G$50,IF(N(Vintage_Input!Q309)&gt;0,Vintage_Input!AG309/Vintage_Input!Q309,""))</f>
        <v/>
      </c>
      <c r="Z357" s="152">
        <f>IF($B357=1,$H$50,IF(N(Vintage_Input!R309)&gt;0,Vintage_Input!AH309/Vintage_Input!R309,""))</f>
        <v/>
      </c>
      <c r="AA357" s="152">
        <f>IF($B357=1,$I$50,IF(N(Vintage_Input!S309)&gt;0,Vintage_Input!AI309/Vintage_Input!S309,""))</f>
        <v/>
      </c>
      <c r="AB357" s="152">
        <f>IF($B357=1,$B$51,IF(N(Vintage_Input!L309)&gt;0,Vintage_Input!AJ309/Vintage_Input!L309,""))</f>
        <v/>
      </c>
      <c r="AC357" s="152">
        <f>IF($B357=1,$C$51,IF(N(Vintage_Input!M309)&gt;0,Vintage_Input!AK309/Vintage_Input!M309,""))</f>
        <v/>
      </c>
      <c r="AD357" s="152">
        <f>IF($B357=1,$D$51,IF(N(Vintage_Input!N309)&gt;0,Vintage_Input!AL309/Vintage_Input!N309,""))</f>
        <v/>
      </c>
      <c r="AE357" s="152">
        <f>IF($B357=1,$E$51,IF(N(Vintage_Input!O309)&gt;0,Vintage_Input!AM309/Vintage_Input!O309,""))</f>
        <v/>
      </c>
      <c r="AF357" s="152">
        <f>IF($B357=1,$F$51,IF(N(Vintage_Input!P309)&gt;0,Vintage_Input!AN309/Vintage_Input!P309,""))</f>
        <v/>
      </c>
      <c r="AG357" s="152">
        <f>IF($B357=1,$G$51,IF(N(Vintage_Input!Q309)&gt;0,Vintage_Input!AO309/Vintage_Input!Q309,""))</f>
        <v/>
      </c>
      <c r="AH357" s="152">
        <f>IF($B357=1,$H$51,IF(N(Vintage_Input!R309)&gt;0,Vintage_Input!AP309/Vintage_Input!R309,""))</f>
        <v/>
      </c>
      <c r="AI357" s="152">
        <f>IF($B357=1,$I$51,IF(N(Vintage_Input!S309)&gt;0,Vintage_Input!AQ309/Vintage_Input!S309,""))</f>
        <v/>
      </c>
      <c r="AJ357" s="152">
        <f>IF($B357=1,$B$52,IF(N(Vintage_Input!L309)&gt;0,IFERROR(Vintage_Input!AR309/Vintage_Input!AJ309,""),""))</f>
        <v/>
      </c>
      <c r="AK357" s="152">
        <f>IF($B357=1,$C$52,IF(N(Vintage_Input!M309)&gt;0,IFERROR(Vintage_Input!AS309/Vintage_Input!AK309,""),""))</f>
        <v/>
      </c>
      <c r="AL357" s="152">
        <f>IF($B357=1,$D$52,IF(N(Vintage_Input!N309)&gt;0,IFERROR(Vintage_Input!AT309/Vintage_Input!AL309,""),""))</f>
        <v/>
      </c>
      <c r="AM357" s="152">
        <f>IF($B357=1,$E$52,IF(N(Vintage_Input!O309)&gt;0,IFERROR(Vintage_Input!AU309/Vintage_Input!AM309,""),""))</f>
        <v/>
      </c>
      <c r="AN357" s="152">
        <f>IF($B357=1,$F$52,IF(N(Vintage_Input!P309)&gt;0,IFERROR(Vintage_Input!AV309/Vintage_Input!AN309,""),""))</f>
        <v/>
      </c>
      <c r="AO357" s="152">
        <f>IF($B357=1,$G$52,IF(N(Vintage_Input!Q309)&gt;0,IFERROR(Vintage_Input!AW309/Vintage_Input!AO309,""),""))</f>
        <v/>
      </c>
      <c r="AP357" s="152">
        <f>IF($B357=1,$H$52,IF(N(Vintage_Input!R309)&gt;0,IFERROR(Vintage_Input!AX309/Vintage_Input!AP309,""),""))</f>
        <v/>
      </c>
      <c r="AQ357" s="152">
        <f>IF($B357=1,$I$52,IF(N(Vintage_Input!S309)&gt;0,IFERROR(Vintage_Input!AY309/Vintage_Input!AQ309,""),""))</f>
        <v/>
      </c>
      <c r="AR357" s="152">
        <f>IF($B357=1,$B$53,IF(N(Vintage_Input!L309)&gt;0,IFERROR(Vintage_Input!AZ309/$C357,""),""))</f>
        <v/>
      </c>
      <c r="AS357" s="152">
        <f>IF($B357=1,$C$53,IF(N(Vintage_Input!M309)&gt;0,IFERROR(Vintage_Input!BA309/$C357,""),""))</f>
        <v/>
      </c>
      <c r="AT357" s="152">
        <f>IF($B357=1,$D$53,IF(N(Vintage_Input!N309)&gt;0,IFERROR(Vintage_Input!BB309/$C357,""),""))</f>
        <v/>
      </c>
      <c r="AU357" s="152">
        <f>IF($B357=1,$E$53,IF(N(Vintage_Input!O309)&gt;0,IFERROR(Vintage_Input!BC309/$C357,""),""))</f>
        <v/>
      </c>
      <c r="AV357" s="152">
        <f>IF($B357=1,$F$53,IF(N(Vintage_Input!P309)&gt;0,IFERROR(Vintage_Input!BD309/$C357,""),""))</f>
        <v/>
      </c>
      <c r="AW357" s="152">
        <f>IF($B357=1,$G$53,IF(N(Vintage_Input!Q309)&gt;0,IFERROR(Vintage_Input!BE309/$C357,""),""))</f>
        <v/>
      </c>
      <c r="AX357" s="152">
        <f>IF($B357=1,$H$53,IF(N(Vintage_Input!R309)&gt;0,IFERROR(Vintage_Input!BF309/$C357,""),""))</f>
        <v/>
      </c>
      <c r="AY357" s="152">
        <f>IF($B357=1,$I$53,IF(N(Vintage_Input!S309)&gt;0,IFERROR(Vintage_Input!BG309/$C357,""),""))</f>
        <v/>
      </c>
      <c r="AZ357" s="153">
        <f>IF($B357=1,$B$54,IF(N(Vintage_Input!L309)&gt;0,IFERROR((Vintage_Input!D309+Vintage_Input!AR309)/$C357+Products!$G$14-(Products!$G$43+Products!$G$19+Products!$G$43*Products!$G$22+Products!$G$44),""),""))</f>
        <v/>
      </c>
      <c r="BA357" s="153">
        <f>IF($B357=1,$C$54,IF(N(Vintage_Input!M309)&gt;0,IFERROR((Vintage_Input!E309+Vintage_Input!AS309)/$C357+Products!$G$14-(Products!$G$43+Products!$G$19+Products!$G$43*Products!$G$22+Products!$G$44),""),""))</f>
        <v/>
      </c>
      <c r="BB357" s="153">
        <f>IF($B357=1,$D$54,IF(N(Vintage_Input!N309)&gt;0,IFERROR((Vintage_Input!F309+Vintage_Input!AT309)/$C357+Products!$G$14-(Products!$G$43+Products!$G$19+Products!$G$43*Products!$G$22+Products!$G$44),""),""))</f>
        <v/>
      </c>
      <c r="BC357" s="153">
        <f>IF($B357=1,$E$54,IF(N(Vintage_Input!O309)&gt;0,IFERROR((Vintage_Input!G309+Vintage_Input!AU309)/$C357+Products!$G$14-(Products!$G$43+Products!$G$19+Products!$G$43*Products!$G$22+Products!$G$44),""),""))</f>
        <v/>
      </c>
      <c r="BD357" s="153">
        <f>IF($B357=1,$F$54,IF(N(Vintage_Input!P309)&gt;0,IFERROR((Vintage_Input!H309+Vintage_Input!AV309)/$C357+Products!$G$14-(Products!$G$43+Products!$G$19+Products!$G$43*Products!$G$22+Products!$G$44),""),""))</f>
        <v/>
      </c>
      <c r="BE357" s="153">
        <f>IF($B357=1,$G$54,IF(N(Vintage_Input!Q309)&gt;0,IFERROR((Vintage_Input!I309+Vintage_Input!AW309)/$C357+Products!$G$14-(Products!$G$43+Products!$G$19+Products!$G$43*Products!$G$22+Products!$G$44),""),""))</f>
        <v/>
      </c>
      <c r="BF357" s="153">
        <f>IF($B357=1,$H$54,IF(N(Vintage_Input!R309)&gt;0,IFERROR((Vintage_Input!J309+Vintage_Input!AX309)/$C357+Products!$G$14-(Products!$G$43+Products!$G$19+Products!$G$43*Products!$G$22+Products!$G$44),""),""))</f>
        <v/>
      </c>
      <c r="BG357" s="153">
        <f>IF($B357=1,$I$54,IF(N(Vintage_Input!S309)&gt;0,IFERROR((Vintage_Input!K309+Vintage_Input!AY309)/$C357+Products!$G$14-(Products!$G$43+Products!$G$19+Products!$G$43*Products!$G$22+Products!$G$44),""),""))</f>
        <v/>
      </c>
      <c r="BH357" s="81">
        <f>IF($B357=1,0,IF(Vintage_Input!$BH$309="","",Vintage_Input!$BH$309))</f>
        <v/>
      </c>
    </row>
    <row r="358">
      <c r="A358" s="23" t="n">
        <v>42</v>
      </c>
      <c r="B358" s="48">
        <f>Vintage_Input!$B$310</f>
        <v/>
      </c>
      <c r="C358" s="41">
        <f>IF(Vintage_Input!$C$310="",0,Vintage_Input!$C$310)</f>
        <v/>
      </c>
      <c r="D358" s="152">
        <f>IF($B358=1,$B$48,IF(N(Vintage_Input!L310)&gt;0,Vintage_Input!D310/Vintage_Input!L310,""))</f>
        <v/>
      </c>
      <c r="E358" s="152">
        <f>IF($B358=1,$C$48,IF(N(Vintage_Input!M310)&gt;0,Vintage_Input!E310/Vintage_Input!M310,""))</f>
        <v/>
      </c>
      <c r="F358" s="152">
        <f>IF($B358=1,$D$48,IF(N(Vintage_Input!N310)&gt;0,Vintage_Input!F310/Vintage_Input!N310,""))</f>
        <v/>
      </c>
      <c r="G358" s="152">
        <f>IF($B358=1,$E$48,IF(N(Vintage_Input!O310)&gt;0,Vintage_Input!G310/Vintage_Input!O310,""))</f>
        <v/>
      </c>
      <c r="H358" s="152">
        <f>IF($B358=1,$F$48,IF(N(Vintage_Input!P310)&gt;0,Vintage_Input!H310/Vintage_Input!P310,""))</f>
        <v/>
      </c>
      <c r="I358" s="152">
        <f>IF($B358=1,$G$48,IF(N(Vintage_Input!Q310)&gt;0,Vintage_Input!I310/Vintage_Input!Q310,""))</f>
        <v/>
      </c>
      <c r="J358" s="152">
        <f>IF($B358=1,$H$48,IF(N(Vintage_Input!R310)&gt;0,Vintage_Input!J310/Vintage_Input!R310,""))</f>
        <v/>
      </c>
      <c r="K358" s="152">
        <f>IF($B358=1,$I$48,IF(N(Vintage_Input!S310)&gt;0,Vintage_Input!K310/Vintage_Input!S310,""))</f>
        <v/>
      </c>
      <c r="L358" s="152">
        <f>IF($B358=1,$B$49,IF(N(Vintage_Input!L310)&gt;0,Vintage_Input!T310/Vintage_Input!L310,""))</f>
        <v/>
      </c>
      <c r="M358" s="152">
        <f>IF($B358=1,$C$49,IF(N(Vintage_Input!M310)&gt;0,Vintage_Input!U310/Vintage_Input!M310,""))</f>
        <v/>
      </c>
      <c r="N358" s="152">
        <f>IF($B358=1,$D$49,IF(N(Vintage_Input!N310)&gt;0,Vintage_Input!V310/Vintage_Input!N310,""))</f>
        <v/>
      </c>
      <c r="O358" s="152">
        <f>IF($B358=1,$E$49,IF(N(Vintage_Input!O310)&gt;0,Vintage_Input!W310/Vintage_Input!O310,""))</f>
        <v/>
      </c>
      <c r="P358" s="152">
        <f>IF($B358=1,$F$49,IF(N(Vintage_Input!P310)&gt;0,Vintage_Input!X310/Vintage_Input!P310,""))</f>
        <v/>
      </c>
      <c r="Q358" s="152">
        <f>IF($B358=1,$G$49,IF(N(Vintage_Input!Q310)&gt;0,Vintage_Input!Y310/Vintage_Input!Q310,""))</f>
        <v/>
      </c>
      <c r="R358" s="152">
        <f>IF($B358=1,$H$49,IF(N(Vintage_Input!R310)&gt;0,Vintage_Input!Z310/Vintage_Input!R310,""))</f>
        <v/>
      </c>
      <c r="S358" s="152">
        <f>IF($B358=1,$I$49,IF(N(Vintage_Input!S310)&gt;0,Vintage_Input!AA310/Vintage_Input!S310,""))</f>
        <v/>
      </c>
      <c r="T358" s="152">
        <f>IF($B358=1,$B$50,IF(N(Vintage_Input!L310)&gt;0,Vintage_Input!AB310/Vintage_Input!L310,""))</f>
        <v/>
      </c>
      <c r="U358" s="152">
        <f>IF($B358=1,$C$50,IF(N(Vintage_Input!M310)&gt;0,Vintage_Input!AC310/Vintage_Input!M310,""))</f>
        <v/>
      </c>
      <c r="V358" s="152">
        <f>IF($B358=1,$D$50,IF(N(Vintage_Input!N310)&gt;0,Vintage_Input!AD310/Vintage_Input!N310,""))</f>
        <v/>
      </c>
      <c r="W358" s="152">
        <f>IF($B358=1,$E$50,IF(N(Vintage_Input!O310)&gt;0,Vintage_Input!AE310/Vintage_Input!O310,""))</f>
        <v/>
      </c>
      <c r="X358" s="152">
        <f>IF($B358=1,$F$50,IF(N(Vintage_Input!P310)&gt;0,Vintage_Input!AF310/Vintage_Input!P310,""))</f>
        <v/>
      </c>
      <c r="Y358" s="152">
        <f>IF($B358=1,$G$50,IF(N(Vintage_Input!Q310)&gt;0,Vintage_Input!AG310/Vintage_Input!Q310,""))</f>
        <v/>
      </c>
      <c r="Z358" s="152">
        <f>IF($B358=1,$H$50,IF(N(Vintage_Input!R310)&gt;0,Vintage_Input!AH310/Vintage_Input!R310,""))</f>
        <v/>
      </c>
      <c r="AA358" s="152">
        <f>IF($B358=1,$I$50,IF(N(Vintage_Input!S310)&gt;0,Vintage_Input!AI310/Vintage_Input!S310,""))</f>
        <v/>
      </c>
      <c r="AB358" s="152">
        <f>IF($B358=1,$B$51,IF(N(Vintage_Input!L310)&gt;0,Vintage_Input!AJ310/Vintage_Input!L310,""))</f>
        <v/>
      </c>
      <c r="AC358" s="152">
        <f>IF($B358=1,$C$51,IF(N(Vintage_Input!M310)&gt;0,Vintage_Input!AK310/Vintage_Input!M310,""))</f>
        <v/>
      </c>
      <c r="AD358" s="152">
        <f>IF($B358=1,$D$51,IF(N(Vintage_Input!N310)&gt;0,Vintage_Input!AL310/Vintage_Input!N310,""))</f>
        <v/>
      </c>
      <c r="AE358" s="152">
        <f>IF($B358=1,$E$51,IF(N(Vintage_Input!O310)&gt;0,Vintage_Input!AM310/Vintage_Input!O310,""))</f>
        <v/>
      </c>
      <c r="AF358" s="152">
        <f>IF($B358=1,$F$51,IF(N(Vintage_Input!P310)&gt;0,Vintage_Input!AN310/Vintage_Input!P310,""))</f>
        <v/>
      </c>
      <c r="AG358" s="152">
        <f>IF($B358=1,$G$51,IF(N(Vintage_Input!Q310)&gt;0,Vintage_Input!AO310/Vintage_Input!Q310,""))</f>
        <v/>
      </c>
      <c r="AH358" s="152">
        <f>IF($B358=1,$H$51,IF(N(Vintage_Input!R310)&gt;0,Vintage_Input!AP310/Vintage_Input!R310,""))</f>
        <v/>
      </c>
      <c r="AI358" s="152">
        <f>IF($B358=1,$I$51,IF(N(Vintage_Input!S310)&gt;0,Vintage_Input!AQ310/Vintage_Input!S310,""))</f>
        <v/>
      </c>
      <c r="AJ358" s="152">
        <f>IF($B358=1,$B$52,IF(N(Vintage_Input!L310)&gt;0,IFERROR(Vintage_Input!AR310/Vintage_Input!AJ310,""),""))</f>
        <v/>
      </c>
      <c r="AK358" s="152">
        <f>IF($B358=1,$C$52,IF(N(Vintage_Input!M310)&gt;0,IFERROR(Vintage_Input!AS310/Vintage_Input!AK310,""),""))</f>
        <v/>
      </c>
      <c r="AL358" s="152">
        <f>IF($B358=1,$D$52,IF(N(Vintage_Input!N310)&gt;0,IFERROR(Vintage_Input!AT310/Vintage_Input!AL310,""),""))</f>
        <v/>
      </c>
      <c r="AM358" s="152">
        <f>IF($B358=1,$E$52,IF(N(Vintage_Input!O310)&gt;0,IFERROR(Vintage_Input!AU310/Vintage_Input!AM310,""),""))</f>
        <v/>
      </c>
      <c r="AN358" s="152">
        <f>IF($B358=1,$F$52,IF(N(Vintage_Input!P310)&gt;0,IFERROR(Vintage_Input!AV310/Vintage_Input!AN310,""),""))</f>
        <v/>
      </c>
      <c r="AO358" s="152">
        <f>IF($B358=1,$G$52,IF(N(Vintage_Input!Q310)&gt;0,IFERROR(Vintage_Input!AW310/Vintage_Input!AO310,""),""))</f>
        <v/>
      </c>
      <c r="AP358" s="152">
        <f>IF($B358=1,$H$52,IF(N(Vintage_Input!R310)&gt;0,IFERROR(Vintage_Input!AX310/Vintage_Input!AP310,""),""))</f>
        <v/>
      </c>
      <c r="AQ358" s="152">
        <f>IF($B358=1,$I$52,IF(N(Vintage_Input!S310)&gt;0,IFERROR(Vintage_Input!AY310/Vintage_Input!AQ310,""),""))</f>
        <v/>
      </c>
      <c r="AR358" s="152">
        <f>IF($B358=1,$B$53,IF(N(Vintage_Input!L310)&gt;0,IFERROR(Vintage_Input!AZ310/$C358,""),""))</f>
        <v/>
      </c>
      <c r="AS358" s="152">
        <f>IF($B358=1,$C$53,IF(N(Vintage_Input!M310)&gt;0,IFERROR(Vintage_Input!BA310/$C358,""),""))</f>
        <v/>
      </c>
      <c r="AT358" s="152">
        <f>IF($B358=1,$D$53,IF(N(Vintage_Input!N310)&gt;0,IFERROR(Vintage_Input!BB310/$C358,""),""))</f>
        <v/>
      </c>
      <c r="AU358" s="152">
        <f>IF($B358=1,$E$53,IF(N(Vintage_Input!O310)&gt;0,IFERROR(Vintage_Input!BC310/$C358,""),""))</f>
        <v/>
      </c>
      <c r="AV358" s="152">
        <f>IF($B358=1,$F$53,IF(N(Vintage_Input!P310)&gt;0,IFERROR(Vintage_Input!BD310/$C358,""),""))</f>
        <v/>
      </c>
      <c r="AW358" s="152">
        <f>IF($B358=1,$G$53,IF(N(Vintage_Input!Q310)&gt;0,IFERROR(Vintage_Input!BE310/$C358,""),""))</f>
        <v/>
      </c>
      <c r="AX358" s="152">
        <f>IF($B358=1,$H$53,IF(N(Vintage_Input!R310)&gt;0,IFERROR(Vintage_Input!BF310/$C358,""),""))</f>
        <v/>
      </c>
      <c r="AY358" s="152">
        <f>IF($B358=1,$I$53,IF(N(Vintage_Input!S310)&gt;0,IFERROR(Vintage_Input!BG310/$C358,""),""))</f>
        <v/>
      </c>
      <c r="AZ358" s="153">
        <f>IF($B358=1,$B$54,IF(N(Vintage_Input!L310)&gt;0,IFERROR((Vintage_Input!D310+Vintage_Input!AR310)/$C358+Products!$G$14-(Products!$G$43+Products!$G$19+Products!$G$43*Products!$G$22+Products!$G$44),""),""))</f>
        <v/>
      </c>
      <c r="BA358" s="153">
        <f>IF($B358=1,$C$54,IF(N(Vintage_Input!M310)&gt;0,IFERROR((Vintage_Input!E310+Vintage_Input!AS310)/$C358+Products!$G$14-(Products!$G$43+Products!$G$19+Products!$G$43*Products!$G$22+Products!$G$44),""),""))</f>
        <v/>
      </c>
      <c r="BB358" s="153">
        <f>IF($B358=1,$D$54,IF(N(Vintage_Input!N310)&gt;0,IFERROR((Vintage_Input!F310+Vintage_Input!AT310)/$C358+Products!$G$14-(Products!$G$43+Products!$G$19+Products!$G$43*Products!$G$22+Products!$G$44),""),""))</f>
        <v/>
      </c>
      <c r="BC358" s="153">
        <f>IF($B358=1,$E$54,IF(N(Vintage_Input!O310)&gt;0,IFERROR((Vintage_Input!G310+Vintage_Input!AU310)/$C358+Products!$G$14-(Products!$G$43+Products!$G$19+Products!$G$43*Products!$G$22+Products!$G$44),""),""))</f>
        <v/>
      </c>
      <c r="BD358" s="153">
        <f>IF($B358=1,$F$54,IF(N(Vintage_Input!P310)&gt;0,IFERROR((Vintage_Input!H310+Vintage_Input!AV310)/$C358+Products!$G$14-(Products!$G$43+Products!$G$19+Products!$G$43*Products!$G$22+Products!$G$44),""),""))</f>
        <v/>
      </c>
      <c r="BE358" s="153">
        <f>IF($B358=1,$G$54,IF(N(Vintage_Input!Q310)&gt;0,IFERROR((Vintage_Input!I310+Vintage_Input!AW310)/$C358+Products!$G$14-(Products!$G$43+Products!$G$19+Products!$G$43*Products!$G$22+Products!$G$44),""),""))</f>
        <v/>
      </c>
      <c r="BF358" s="153">
        <f>IF($B358=1,$H$54,IF(N(Vintage_Input!R310)&gt;0,IFERROR((Vintage_Input!J310+Vintage_Input!AX310)/$C358+Products!$G$14-(Products!$G$43+Products!$G$19+Products!$G$43*Products!$G$22+Products!$G$44),""),""))</f>
        <v/>
      </c>
      <c r="BG358" s="153">
        <f>IF($B358=1,$I$54,IF(N(Vintage_Input!S310)&gt;0,IFERROR((Vintage_Input!K310+Vintage_Input!AY310)/$C358+Products!$G$14-(Products!$G$43+Products!$G$19+Products!$G$43*Products!$G$22+Products!$G$44),""),""))</f>
        <v/>
      </c>
      <c r="BH358" s="81">
        <f>IF($B358=1,0,IF(Vintage_Input!$BH$310="","",Vintage_Input!$BH$310))</f>
        <v/>
      </c>
    </row>
    <row r="359">
      <c r="A359" s="23" t="n">
        <v>43</v>
      </c>
      <c r="B359" s="48">
        <f>Vintage_Input!$B$311</f>
        <v/>
      </c>
      <c r="C359" s="41">
        <f>IF(Vintage_Input!$C$311="",0,Vintage_Input!$C$311)</f>
        <v/>
      </c>
      <c r="D359" s="152">
        <f>IF($B359=1,$B$48,IF(N(Vintage_Input!L311)&gt;0,Vintage_Input!D311/Vintage_Input!L311,""))</f>
        <v/>
      </c>
      <c r="E359" s="152">
        <f>IF($B359=1,$C$48,IF(N(Vintage_Input!M311)&gt;0,Vintage_Input!E311/Vintage_Input!M311,""))</f>
        <v/>
      </c>
      <c r="F359" s="152">
        <f>IF($B359=1,$D$48,IF(N(Vintage_Input!N311)&gt;0,Vintage_Input!F311/Vintage_Input!N311,""))</f>
        <v/>
      </c>
      <c r="G359" s="152">
        <f>IF($B359=1,$E$48,IF(N(Vintage_Input!O311)&gt;0,Vintage_Input!G311/Vintage_Input!O311,""))</f>
        <v/>
      </c>
      <c r="H359" s="152">
        <f>IF($B359=1,$F$48,IF(N(Vintage_Input!P311)&gt;0,Vintage_Input!H311/Vintage_Input!P311,""))</f>
        <v/>
      </c>
      <c r="I359" s="152">
        <f>IF($B359=1,$G$48,IF(N(Vintage_Input!Q311)&gt;0,Vintage_Input!I311/Vintage_Input!Q311,""))</f>
        <v/>
      </c>
      <c r="J359" s="152">
        <f>IF($B359=1,$H$48,IF(N(Vintage_Input!R311)&gt;0,Vintage_Input!J311/Vintage_Input!R311,""))</f>
        <v/>
      </c>
      <c r="K359" s="152">
        <f>IF($B359=1,$I$48,IF(N(Vintage_Input!S311)&gt;0,Vintage_Input!K311/Vintage_Input!S311,""))</f>
        <v/>
      </c>
      <c r="L359" s="152">
        <f>IF($B359=1,$B$49,IF(N(Vintage_Input!L311)&gt;0,Vintage_Input!T311/Vintage_Input!L311,""))</f>
        <v/>
      </c>
      <c r="M359" s="152">
        <f>IF($B359=1,$C$49,IF(N(Vintage_Input!M311)&gt;0,Vintage_Input!U311/Vintage_Input!M311,""))</f>
        <v/>
      </c>
      <c r="N359" s="152">
        <f>IF($B359=1,$D$49,IF(N(Vintage_Input!N311)&gt;0,Vintage_Input!V311/Vintage_Input!N311,""))</f>
        <v/>
      </c>
      <c r="O359" s="152">
        <f>IF($B359=1,$E$49,IF(N(Vintage_Input!O311)&gt;0,Vintage_Input!W311/Vintage_Input!O311,""))</f>
        <v/>
      </c>
      <c r="P359" s="152">
        <f>IF($B359=1,$F$49,IF(N(Vintage_Input!P311)&gt;0,Vintage_Input!X311/Vintage_Input!P311,""))</f>
        <v/>
      </c>
      <c r="Q359" s="152">
        <f>IF($B359=1,$G$49,IF(N(Vintage_Input!Q311)&gt;0,Vintage_Input!Y311/Vintage_Input!Q311,""))</f>
        <v/>
      </c>
      <c r="R359" s="152">
        <f>IF($B359=1,$H$49,IF(N(Vintage_Input!R311)&gt;0,Vintage_Input!Z311/Vintage_Input!R311,""))</f>
        <v/>
      </c>
      <c r="S359" s="152">
        <f>IF($B359=1,$I$49,IF(N(Vintage_Input!S311)&gt;0,Vintage_Input!AA311/Vintage_Input!S311,""))</f>
        <v/>
      </c>
      <c r="T359" s="152">
        <f>IF($B359=1,$B$50,IF(N(Vintage_Input!L311)&gt;0,Vintage_Input!AB311/Vintage_Input!L311,""))</f>
        <v/>
      </c>
      <c r="U359" s="152">
        <f>IF($B359=1,$C$50,IF(N(Vintage_Input!M311)&gt;0,Vintage_Input!AC311/Vintage_Input!M311,""))</f>
        <v/>
      </c>
      <c r="V359" s="152">
        <f>IF($B359=1,$D$50,IF(N(Vintage_Input!N311)&gt;0,Vintage_Input!AD311/Vintage_Input!N311,""))</f>
        <v/>
      </c>
      <c r="W359" s="152">
        <f>IF($B359=1,$E$50,IF(N(Vintage_Input!O311)&gt;0,Vintage_Input!AE311/Vintage_Input!O311,""))</f>
        <v/>
      </c>
      <c r="X359" s="152">
        <f>IF($B359=1,$F$50,IF(N(Vintage_Input!P311)&gt;0,Vintage_Input!AF311/Vintage_Input!P311,""))</f>
        <v/>
      </c>
      <c r="Y359" s="152">
        <f>IF($B359=1,$G$50,IF(N(Vintage_Input!Q311)&gt;0,Vintage_Input!AG311/Vintage_Input!Q311,""))</f>
        <v/>
      </c>
      <c r="Z359" s="152">
        <f>IF($B359=1,$H$50,IF(N(Vintage_Input!R311)&gt;0,Vintage_Input!AH311/Vintage_Input!R311,""))</f>
        <v/>
      </c>
      <c r="AA359" s="152">
        <f>IF($B359=1,$I$50,IF(N(Vintage_Input!S311)&gt;0,Vintage_Input!AI311/Vintage_Input!S311,""))</f>
        <v/>
      </c>
      <c r="AB359" s="152">
        <f>IF($B359=1,$B$51,IF(N(Vintage_Input!L311)&gt;0,Vintage_Input!AJ311/Vintage_Input!L311,""))</f>
        <v/>
      </c>
      <c r="AC359" s="152">
        <f>IF($B359=1,$C$51,IF(N(Vintage_Input!M311)&gt;0,Vintage_Input!AK311/Vintage_Input!M311,""))</f>
        <v/>
      </c>
      <c r="AD359" s="152">
        <f>IF($B359=1,$D$51,IF(N(Vintage_Input!N311)&gt;0,Vintage_Input!AL311/Vintage_Input!N311,""))</f>
        <v/>
      </c>
      <c r="AE359" s="152">
        <f>IF($B359=1,$E$51,IF(N(Vintage_Input!O311)&gt;0,Vintage_Input!AM311/Vintage_Input!O311,""))</f>
        <v/>
      </c>
      <c r="AF359" s="152">
        <f>IF($B359=1,$F$51,IF(N(Vintage_Input!P311)&gt;0,Vintage_Input!AN311/Vintage_Input!P311,""))</f>
        <v/>
      </c>
      <c r="AG359" s="152">
        <f>IF($B359=1,$G$51,IF(N(Vintage_Input!Q311)&gt;0,Vintage_Input!AO311/Vintage_Input!Q311,""))</f>
        <v/>
      </c>
      <c r="AH359" s="152">
        <f>IF($B359=1,$H$51,IF(N(Vintage_Input!R311)&gt;0,Vintage_Input!AP311/Vintage_Input!R311,""))</f>
        <v/>
      </c>
      <c r="AI359" s="152">
        <f>IF($B359=1,$I$51,IF(N(Vintage_Input!S311)&gt;0,Vintage_Input!AQ311/Vintage_Input!S311,""))</f>
        <v/>
      </c>
      <c r="AJ359" s="152">
        <f>IF($B359=1,$B$52,IF(N(Vintage_Input!L311)&gt;0,IFERROR(Vintage_Input!AR311/Vintage_Input!AJ311,""),""))</f>
        <v/>
      </c>
      <c r="AK359" s="152">
        <f>IF($B359=1,$C$52,IF(N(Vintage_Input!M311)&gt;0,IFERROR(Vintage_Input!AS311/Vintage_Input!AK311,""),""))</f>
        <v/>
      </c>
      <c r="AL359" s="152">
        <f>IF($B359=1,$D$52,IF(N(Vintage_Input!N311)&gt;0,IFERROR(Vintage_Input!AT311/Vintage_Input!AL311,""),""))</f>
        <v/>
      </c>
      <c r="AM359" s="152">
        <f>IF($B359=1,$E$52,IF(N(Vintage_Input!O311)&gt;0,IFERROR(Vintage_Input!AU311/Vintage_Input!AM311,""),""))</f>
        <v/>
      </c>
      <c r="AN359" s="152">
        <f>IF($B359=1,$F$52,IF(N(Vintage_Input!P311)&gt;0,IFERROR(Vintage_Input!AV311/Vintage_Input!AN311,""),""))</f>
        <v/>
      </c>
      <c r="AO359" s="152">
        <f>IF($B359=1,$G$52,IF(N(Vintage_Input!Q311)&gt;0,IFERROR(Vintage_Input!AW311/Vintage_Input!AO311,""),""))</f>
        <v/>
      </c>
      <c r="AP359" s="152">
        <f>IF($B359=1,$H$52,IF(N(Vintage_Input!R311)&gt;0,IFERROR(Vintage_Input!AX311/Vintage_Input!AP311,""),""))</f>
        <v/>
      </c>
      <c r="AQ359" s="152">
        <f>IF($B359=1,$I$52,IF(N(Vintage_Input!S311)&gt;0,IFERROR(Vintage_Input!AY311/Vintage_Input!AQ311,""),""))</f>
        <v/>
      </c>
      <c r="AR359" s="152">
        <f>IF($B359=1,$B$53,IF(N(Vintage_Input!L311)&gt;0,IFERROR(Vintage_Input!AZ311/$C359,""),""))</f>
        <v/>
      </c>
      <c r="AS359" s="152">
        <f>IF($B359=1,$C$53,IF(N(Vintage_Input!M311)&gt;0,IFERROR(Vintage_Input!BA311/$C359,""),""))</f>
        <v/>
      </c>
      <c r="AT359" s="152">
        <f>IF($B359=1,$D$53,IF(N(Vintage_Input!N311)&gt;0,IFERROR(Vintage_Input!BB311/$C359,""),""))</f>
        <v/>
      </c>
      <c r="AU359" s="152">
        <f>IF($B359=1,$E$53,IF(N(Vintage_Input!O311)&gt;0,IFERROR(Vintage_Input!BC311/$C359,""),""))</f>
        <v/>
      </c>
      <c r="AV359" s="152">
        <f>IF($B359=1,$F$53,IF(N(Vintage_Input!P311)&gt;0,IFERROR(Vintage_Input!BD311/$C359,""),""))</f>
        <v/>
      </c>
      <c r="AW359" s="152">
        <f>IF($B359=1,$G$53,IF(N(Vintage_Input!Q311)&gt;0,IFERROR(Vintage_Input!BE311/$C359,""),""))</f>
        <v/>
      </c>
      <c r="AX359" s="152">
        <f>IF($B359=1,$H$53,IF(N(Vintage_Input!R311)&gt;0,IFERROR(Vintage_Input!BF311/$C359,""),""))</f>
        <v/>
      </c>
      <c r="AY359" s="152">
        <f>IF($B359=1,$I$53,IF(N(Vintage_Input!S311)&gt;0,IFERROR(Vintage_Input!BG311/$C359,""),""))</f>
        <v/>
      </c>
      <c r="AZ359" s="153">
        <f>IF($B359=1,$B$54,IF(N(Vintage_Input!L311)&gt;0,IFERROR((Vintage_Input!D311+Vintage_Input!AR311)/$C359+Products!$G$14-(Products!$G$43+Products!$G$19+Products!$G$43*Products!$G$22+Products!$G$44),""),""))</f>
        <v/>
      </c>
      <c r="BA359" s="153">
        <f>IF($B359=1,$C$54,IF(N(Vintage_Input!M311)&gt;0,IFERROR((Vintage_Input!E311+Vintage_Input!AS311)/$C359+Products!$G$14-(Products!$G$43+Products!$G$19+Products!$G$43*Products!$G$22+Products!$G$44),""),""))</f>
        <v/>
      </c>
      <c r="BB359" s="153">
        <f>IF($B359=1,$D$54,IF(N(Vintage_Input!N311)&gt;0,IFERROR((Vintage_Input!F311+Vintage_Input!AT311)/$C359+Products!$G$14-(Products!$G$43+Products!$G$19+Products!$G$43*Products!$G$22+Products!$G$44),""),""))</f>
        <v/>
      </c>
      <c r="BC359" s="153">
        <f>IF($B359=1,$E$54,IF(N(Vintage_Input!O311)&gt;0,IFERROR((Vintage_Input!G311+Vintage_Input!AU311)/$C359+Products!$G$14-(Products!$G$43+Products!$G$19+Products!$G$43*Products!$G$22+Products!$G$44),""),""))</f>
        <v/>
      </c>
      <c r="BD359" s="153">
        <f>IF($B359=1,$F$54,IF(N(Vintage_Input!P311)&gt;0,IFERROR((Vintage_Input!H311+Vintage_Input!AV311)/$C359+Products!$G$14-(Products!$G$43+Products!$G$19+Products!$G$43*Products!$G$22+Products!$G$44),""),""))</f>
        <v/>
      </c>
      <c r="BE359" s="153">
        <f>IF($B359=1,$G$54,IF(N(Vintage_Input!Q311)&gt;0,IFERROR((Vintage_Input!I311+Vintage_Input!AW311)/$C359+Products!$G$14-(Products!$G$43+Products!$G$19+Products!$G$43*Products!$G$22+Products!$G$44),""),""))</f>
        <v/>
      </c>
      <c r="BF359" s="153">
        <f>IF($B359=1,$H$54,IF(N(Vintage_Input!R311)&gt;0,IFERROR((Vintage_Input!J311+Vintage_Input!AX311)/$C359+Products!$G$14-(Products!$G$43+Products!$G$19+Products!$G$43*Products!$G$22+Products!$G$44),""),""))</f>
        <v/>
      </c>
      <c r="BG359" s="153">
        <f>IF($B359=1,$I$54,IF(N(Vintage_Input!S311)&gt;0,IFERROR((Vintage_Input!K311+Vintage_Input!AY311)/$C359+Products!$G$14-(Products!$G$43+Products!$G$19+Products!$G$43*Products!$G$22+Products!$G$44),""),""))</f>
        <v/>
      </c>
      <c r="BH359" s="81">
        <f>IF($B359=1,0,IF(Vintage_Input!$BH$311="","",Vintage_Input!$BH$311))</f>
        <v/>
      </c>
    </row>
    <row r="360">
      <c r="A360" s="23" t="n">
        <v>44</v>
      </c>
      <c r="B360" s="48">
        <f>Vintage_Input!$B$312</f>
        <v/>
      </c>
      <c r="C360" s="41">
        <f>IF(Vintage_Input!$C$312="",0,Vintage_Input!$C$312)</f>
        <v/>
      </c>
      <c r="D360" s="152">
        <f>IF($B360=1,$B$48,IF(N(Vintage_Input!L312)&gt;0,Vintage_Input!D312/Vintage_Input!L312,""))</f>
        <v/>
      </c>
      <c r="E360" s="152">
        <f>IF($B360=1,$C$48,IF(N(Vintage_Input!M312)&gt;0,Vintage_Input!E312/Vintage_Input!M312,""))</f>
        <v/>
      </c>
      <c r="F360" s="152">
        <f>IF($B360=1,$D$48,IF(N(Vintage_Input!N312)&gt;0,Vintage_Input!F312/Vintage_Input!N312,""))</f>
        <v/>
      </c>
      <c r="G360" s="152">
        <f>IF($B360=1,$E$48,IF(N(Vintage_Input!O312)&gt;0,Vintage_Input!G312/Vintage_Input!O312,""))</f>
        <v/>
      </c>
      <c r="H360" s="152">
        <f>IF($B360=1,$F$48,IF(N(Vintage_Input!P312)&gt;0,Vintage_Input!H312/Vintage_Input!P312,""))</f>
        <v/>
      </c>
      <c r="I360" s="152">
        <f>IF($B360=1,$G$48,IF(N(Vintage_Input!Q312)&gt;0,Vintage_Input!I312/Vintage_Input!Q312,""))</f>
        <v/>
      </c>
      <c r="J360" s="152">
        <f>IF($B360=1,$H$48,IF(N(Vintage_Input!R312)&gt;0,Vintage_Input!J312/Vintage_Input!R312,""))</f>
        <v/>
      </c>
      <c r="K360" s="152">
        <f>IF($B360=1,$I$48,IF(N(Vintage_Input!S312)&gt;0,Vintage_Input!K312/Vintage_Input!S312,""))</f>
        <v/>
      </c>
      <c r="L360" s="152">
        <f>IF($B360=1,$B$49,IF(N(Vintage_Input!L312)&gt;0,Vintage_Input!T312/Vintage_Input!L312,""))</f>
        <v/>
      </c>
      <c r="M360" s="152">
        <f>IF($B360=1,$C$49,IF(N(Vintage_Input!M312)&gt;0,Vintage_Input!U312/Vintage_Input!M312,""))</f>
        <v/>
      </c>
      <c r="N360" s="152">
        <f>IF($B360=1,$D$49,IF(N(Vintage_Input!N312)&gt;0,Vintage_Input!V312/Vintage_Input!N312,""))</f>
        <v/>
      </c>
      <c r="O360" s="152">
        <f>IF($B360=1,$E$49,IF(N(Vintage_Input!O312)&gt;0,Vintage_Input!W312/Vintage_Input!O312,""))</f>
        <v/>
      </c>
      <c r="P360" s="152">
        <f>IF($B360=1,$F$49,IF(N(Vintage_Input!P312)&gt;0,Vintage_Input!X312/Vintage_Input!P312,""))</f>
        <v/>
      </c>
      <c r="Q360" s="152">
        <f>IF($B360=1,$G$49,IF(N(Vintage_Input!Q312)&gt;0,Vintage_Input!Y312/Vintage_Input!Q312,""))</f>
        <v/>
      </c>
      <c r="R360" s="152">
        <f>IF($B360=1,$H$49,IF(N(Vintage_Input!R312)&gt;0,Vintage_Input!Z312/Vintage_Input!R312,""))</f>
        <v/>
      </c>
      <c r="S360" s="152">
        <f>IF($B360=1,$I$49,IF(N(Vintage_Input!S312)&gt;0,Vintage_Input!AA312/Vintage_Input!S312,""))</f>
        <v/>
      </c>
      <c r="T360" s="152">
        <f>IF($B360=1,$B$50,IF(N(Vintage_Input!L312)&gt;0,Vintage_Input!AB312/Vintage_Input!L312,""))</f>
        <v/>
      </c>
      <c r="U360" s="152">
        <f>IF($B360=1,$C$50,IF(N(Vintage_Input!M312)&gt;0,Vintage_Input!AC312/Vintage_Input!M312,""))</f>
        <v/>
      </c>
      <c r="V360" s="152">
        <f>IF($B360=1,$D$50,IF(N(Vintage_Input!N312)&gt;0,Vintage_Input!AD312/Vintage_Input!N312,""))</f>
        <v/>
      </c>
      <c r="W360" s="152">
        <f>IF($B360=1,$E$50,IF(N(Vintage_Input!O312)&gt;0,Vintage_Input!AE312/Vintage_Input!O312,""))</f>
        <v/>
      </c>
      <c r="X360" s="152">
        <f>IF($B360=1,$F$50,IF(N(Vintage_Input!P312)&gt;0,Vintage_Input!AF312/Vintage_Input!P312,""))</f>
        <v/>
      </c>
      <c r="Y360" s="152">
        <f>IF($B360=1,$G$50,IF(N(Vintage_Input!Q312)&gt;0,Vintage_Input!AG312/Vintage_Input!Q312,""))</f>
        <v/>
      </c>
      <c r="Z360" s="152">
        <f>IF($B360=1,$H$50,IF(N(Vintage_Input!R312)&gt;0,Vintage_Input!AH312/Vintage_Input!R312,""))</f>
        <v/>
      </c>
      <c r="AA360" s="152">
        <f>IF($B360=1,$I$50,IF(N(Vintage_Input!S312)&gt;0,Vintage_Input!AI312/Vintage_Input!S312,""))</f>
        <v/>
      </c>
      <c r="AB360" s="152">
        <f>IF($B360=1,$B$51,IF(N(Vintage_Input!L312)&gt;0,Vintage_Input!AJ312/Vintage_Input!L312,""))</f>
        <v/>
      </c>
      <c r="AC360" s="152">
        <f>IF($B360=1,$C$51,IF(N(Vintage_Input!M312)&gt;0,Vintage_Input!AK312/Vintage_Input!M312,""))</f>
        <v/>
      </c>
      <c r="AD360" s="152">
        <f>IF($B360=1,$D$51,IF(N(Vintage_Input!N312)&gt;0,Vintage_Input!AL312/Vintage_Input!N312,""))</f>
        <v/>
      </c>
      <c r="AE360" s="152">
        <f>IF($B360=1,$E$51,IF(N(Vintage_Input!O312)&gt;0,Vintage_Input!AM312/Vintage_Input!O312,""))</f>
        <v/>
      </c>
      <c r="AF360" s="152">
        <f>IF($B360=1,$F$51,IF(N(Vintage_Input!P312)&gt;0,Vintage_Input!AN312/Vintage_Input!P312,""))</f>
        <v/>
      </c>
      <c r="AG360" s="152">
        <f>IF($B360=1,$G$51,IF(N(Vintage_Input!Q312)&gt;0,Vintage_Input!AO312/Vintage_Input!Q312,""))</f>
        <v/>
      </c>
      <c r="AH360" s="152">
        <f>IF($B360=1,$H$51,IF(N(Vintage_Input!R312)&gt;0,Vintage_Input!AP312/Vintage_Input!R312,""))</f>
        <v/>
      </c>
      <c r="AI360" s="152">
        <f>IF($B360=1,$I$51,IF(N(Vintage_Input!S312)&gt;0,Vintage_Input!AQ312/Vintage_Input!S312,""))</f>
        <v/>
      </c>
      <c r="AJ360" s="152">
        <f>IF($B360=1,$B$52,IF(N(Vintage_Input!L312)&gt;0,IFERROR(Vintage_Input!AR312/Vintage_Input!AJ312,""),""))</f>
        <v/>
      </c>
      <c r="AK360" s="152">
        <f>IF($B360=1,$C$52,IF(N(Vintage_Input!M312)&gt;0,IFERROR(Vintage_Input!AS312/Vintage_Input!AK312,""),""))</f>
        <v/>
      </c>
      <c r="AL360" s="152">
        <f>IF($B360=1,$D$52,IF(N(Vintage_Input!N312)&gt;0,IFERROR(Vintage_Input!AT312/Vintage_Input!AL312,""),""))</f>
        <v/>
      </c>
      <c r="AM360" s="152">
        <f>IF($B360=1,$E$52,IF(N(Vintage_Input!O312)&gt;0,IFERROR(Vintage_Input!AU312/Vintage_Input!AM312,""),""))</f>
        <v/>
      </c>
      <c r="AN360" s="152">
        <f>IF($B360=1,$F$52,IF(N(Vintage_Input!P312)&gt;0,IFERROR(Vintage_Input!AV312/Vintage_Input!AN312,""),""))</f>
        <v/>
      </c>
      <c r="AO360" s="152">
        <f>IF($B360=1,$G$52,IF(N(Vintage_Input!Q312)&gt;0,IFERROR(Vintage_Input!AW312/Vintage_Input!AO312,""),""))</f>
        <v/>
      </c>
      <c r="AP360" s="152">
        <f>IF($B360=1,$H$52,IF(N(Vintage_Input!R312)&gt;0,IFERROR(Vintage_Input!AX312/Vintage_Input!AP312,""),""))</f>
        <v/>
      </c>
      <c r="AQ360" s="152">
        <f>IF($B360=1,$I$52,IF(N(Vintage_Input!S312)&gt;0,IFERROR(Vintage_Input!AY312/Vintage_Input!AQ312,""),""))</f>
        <v/>
      </c>
      <c r="AR360" s="152">
        <f>IF($B360=1,$B$53,IF(N(Vintage_Input!L312)&gt;0,IFERROR(Vintage_Input!AZ312/$C360,""),""))</f>
        <v/>
      </c>
      <c r="AS360" s="152">
        <f>IF($B360=1,$C$53,IF(N(Vintage_Input!M312)&gt;0,IFERROR(Vintage_Input!BA312/$C360,""),""))</f>
        <v/>
      </c>
      <c r="AT360" s="152">
        <f>IF($B360=1,$D$53,IF(N(Vintage_Input!N312)&gt;0,IFERROR(Vintage_Input!BB312/$C360,""),""))</f>
        <v/>
      </c>
      <c r="AU360" s="152">
        <f>IF($B360=1,$E$53,IF(N(Vintage_Input!O312)&gt;0,IFERROR(Vintage_Input!BC312/$C360,""),""))</f>
        <v/>
      </c>
      <c r="AV360" s="152">
        <f>IF($B360=1,$F$53,IF(N(Vintage_Input!P312)&gt;0,IFERROR(Vintage_Input!BD312/$C360,""),""))</f>
        <v/>
      </c>
      <c r="AW360" s="152">
        <f>IF($B360=1,$G$53,IF(N(Vintage_Input!Q312)&gt;0,IFERROR(Vintage_Input!BE312/$C360,""),""))</f>
        <v/>
      </c>
      <c r="AX360" s="152">
        <f>IF($B360=1,$H$53,IF(N(Vintage_Input!R312)&gt;0,IFERROR(Vintage_Input!BF312/$C360,""),""))</f>
        <v/>
      </c>
      <c r="AY360" s="152">
        <f>IF($B360=1,$I$53,IF(N(Vintage_Input!S312)&gt;0,IFERROR(Vintage_Input!BG312/$C360,""),""))</f>
        <v/>
      </c>
      <c r="AZ360" s="153">
        <f>IF($B360=1,$B$54,IF(N(Vintage_Input!L312)&gt;0,IFERROR((Vintage_Input!D312+Vintage_Input!AR312)/$C360+Products!$G$14-(Products!$G$43+Products!$G$19+Products!$G$43*Products!$G$22+Products!$G$44),""),""))</f>
        <v/>
      </c>
      <c r="BA360" s="153">
        <f>IF($B360=1,$C$54,IF(N(Vintage_Input!M312)&gt;0,IFERROR((Vintage_Input!E312+Vintage_Input!AS312)/$C360+Products!$G$14-(Products!$G$43+Products!$G$19+Products!$G$43*Products!$G$22+Products!$G$44),""),""))</f>
        <v/>
      </c>
      <c r="BB360" s="153">
        <f>IF($B360=1,$D$54,IF(N(Vintage_Input!N312)&gt;0,IFERROR((Vintage_Input!F312+Vintage_Input!AT312)/$C360+Products!$G$14-(Products!$G$43+Products!$G$19+Products!$G$43*Products!$G$22+Products!$G$44),""),""))</f>
        <v/>
      </c>
      <c r="BC360" s="153">
        <f>IF($B360=1,$E$54,IF(N(Vintage_Input!O312)&gt;0,IFERROR((Vintage_Input!G312+Vintage_Input!AU312)/$C360+Products!$G$14-(Products!$G$43+Products!$G$19+Products!$G$43*Products!$G$22+Products!$G$44),""),""))</f>
        <v/>
      </c>
      <c r="BD360" s="153">
        <f>IF($B360=1,$F$54,IF(N(Vintage_Input!P312)&gt;0,IFERROR((Vintage_Input!H312+Vintage_Input!AV312)/$C360+Products!$G$14-(Products!$G$43+Products!$G$19+Products!$G$43*Products!$G$22+Products!$G$44),""),""))</f>
        <v/>
      </c>
      <c r="BE360" s="153">
        <f>IF($B360=1,$G$54,IF(N(Vintage_Input!Q312)&gt;0,IFERROR((Vintage_Input!I312+Vintage_Input!AW312)/$C360+Products!$G$14-(Products!$G$43+Products!$G$19+Products!$G$43*Products!$G$22+Products!$G$44),""),""))</f>
        <v/>
      </c>
      <c r="BF360" s="153">
        <f>IF($B360=1,$H$54,IF(N(Vintage_Input!R312)&gt;0,IFERROR((Vintage_Input!J312+Vintage_Input!AX312)/$C360+Products!$G$14-(Products!$G$43+Products!$G$19+Products!$G$43*Products!$G$22+Products!$G$44),""),""))</f>
        <v/>
      </c>
      <c r="BG360" s="153">
        <f>IF($B360=1,$I$54,IF(N(Vintage_Input!S312)&gt;0,IFERROR((Vintage_Input!K312+Vintage_Input!AY312)/$C360+Products!$G$14-(Products!$G$43+Products!$G$19+Products!$G$43*Products!$G$22+Products!$G$44),""),""))</f>
        <v/>
      </c>
      <c r="BH360" s="81">
        <f>IF($B360=1,0,IF(Vintage_Input!$BH$312="","",Vintage_Input!$BH$312))</f>
        <v/>
      </c>
    </row>
    <row r="361">
      <c r="A361" s="23" t="n">
        <v>45</v>
      </c>
      <c r="B361" s="48">
        <f>Vintage_Input!$B$313</f>
        <v/>
      </c>
      <c r="C361" s="41">
        <f>IF(Vintage_Input!$C$313="",0,Vintage_Input!$C$313)</f>
        <v/>
      </c>
      <c r="D361" s="152">
        <f>IF($B361=1,$B$48,IF(N(Vintage_Input!L313)&gt;0,Vintage_Input!D313/Vintage_Input!L313,""))</f>
        <v/>
      </c>
      <c r="E361" s="152">
        <f>IF($B361=1,$C$48,IF(N(Vintage_Input!M313)&gt;0,Vintage_Input!E313/Vintage_Input!M313,""))</f>
        <v/>
      </c>
      <c r="F361" s="152">
        <f>IF($B361=1,$D$48,IF(N(Vintage_Input!N313)&gt;0,Vintage_Input!F313/Vintage_Input!N313,""))</f>
        <v/>
      </c>
      <c r="G361" s="152">
        <f>IF($B361=1,$E$48,IF(N(Vintage_Input!O313)&gt;0,Vintage_Input!G313/Vintage_Input!O313,""))</f>
        <v/>
      </c>
      <c r="H361" s="152">
        <f>IF($B361=1,$F$48,IF(N(Vintage_Input!P313)&gt;0,Vintage_Input!H313/Vintage_Input!P313,""))</f>
        <v/>
      </c>
      <c r="I361" s="152">
        <f>IF($B361=1,$G$48,IF(N(Vintage_Input!Q313)&gt;0,Vintage_Input!I313/Vintage_Input!Q313,""))</f>
        <v/>
      </c>
      <c r="J361" s="152">
        <f>IF($B361=1,$H$48,IF(N(Vintage_Input!R313)&gt;0,Vintage_Input!J313/Vintage_Input!R313,""))</f>
        <v/>
      </c>
      <c r="K361" s="152">
        <f>IF($B361=1,$I$48,IF(N(Vintage_Input!S313)&gt;0,Vintage_Input!K313/Vintage_Input!S313,""))</f>
        <v/>
      </c>
      <c r="L361" s="152">
        <f>IF($B361=1,$B$49,IF(N(Vintage_Input!L313)&gt;0,Vintage_Input!T313/Vintage_Input!L313,""))</f>
        <v/>
      </c>
      <c r="M361" s="152">
        <f>IF($B361=1,$C$49,IF(N(Vintage_Input!M313)&gt;0,Vintage_Input!U313/Vintage_Input!M313,""))</f>
        <v/>
      </c>
      <c r="N361" s="152">
        <f>IF($B361=1,$D$49,IF(N(Vintage_Input!N313)&gt;0,Vintage_Input!V313/Vintage_Input!N313,""))</f>
        <v/>
      </c>
      <c r="O361" s="152">
        <f>IF($B361=1,$E$49,IF(N(Vintage_Input!O313)&gt;0,Vintage_Input!W313/Vintage_Input!O313,""))</f>
        <v/>
      </c>
      <c r="P361" s="152">
        <f>IF($B361=1,$F$49,IF(N(Vintage_Input!P313)&gt;0,Vintage_Input!X313/Vintage_Input!P313,""))</f>
        <v/>
      </c>
      <c r="Q361" s="152">
        <f>IF($B361=1,$G$49,IF(N(Vintage_Input!Q313)&gt;0,Vintage_Input!Y313/Vintage_Input!Q313,""))</f>
        <v/>
      </c>
      <c r="R361" s="152">
        <f>IF($B361=1,$H$49,IF(N(Vintage_Input!R313)&gt;0,Vintage_Input!Z313/Vintage_Input!R313,""))</f>
        <v/>
      </c>
      <c r="S361" s="152">
        <f>IF($B361=1,$I$49,IF(N(Vintage_Input!S313)&gt;0,Vintage_Input!AA313/Vintage_Input!S313,""))</f>
        <v/>
      </c>
      <c r="T361" s="152">
        <f>IF($B361=1,$B$50,IF(N(Vintage_Input!L313)&gt;0,Vintage_Input!AB313/Vintage_Input!L313,""))</f>
        <v/>
      </c>
      <c r="U361" s="152">
        <f>IF($B361=1,$C$50,IF(N(Vintage_Input!M313)&gt;0,Vintage_Input!AC313/Vintage_Input!M313,""))</f>
        <v/>
      </c>
      <c r="V361" s="152">
        <f>IF($B361=1,$D$50,IF(N(Vintage_Input!N313)&gt;0,Vintage_Input!AD313/Vintage_Input!N313,""))</f>
        <v/>
      </c>
      <c r="W361" s="152">
        <f>IF($B361=1,$E$50,IF(N(Vintage_Input!O313)&gt;0,Vintage_Input!AE313/Vintage_Input!O313,""))</f>
        <v/>
      </c>
      <c r="X361" s="152">
        <f>IF($B361=1,$F$50,IF(N(Vintage_Input!P313)&gt;0,Vintage_Input!AF313/Vintage_Input!P313,""))</f>
        <v/>
      </c>
      <c r="Y361" s="152">
        <f>IF($B361=1,$G$50,IF(N(Vintage_Input!Q313)&gt;0,Vintage_Input!AG313/Vintage_Input!Q313,""))</f>
        <v/>
      </c>
      <c r="Z361" s="152">
        <f>IF($B361=1,$H$50,IF(N(Vintage_Input!R313)&gt;0,Vintage_Input!AH313/Vintage_Input!R313,""))</f>
        <v/>
      </c>
      <c r="AA361" s="152">
        <f>IF($B361=1,$I$50,IF(N(Vintage_Input!S313)&gt;0,Vintage_Input!AI313/Vintage_Input!S313,""))</f>
        <v/>
      </c>
      <c r="AB361" s="152">
        <f>IF($B361=1,$B$51,IF(N(Vintage_Input!L313)&gt;0,Vintage_Input!AJ313/Vintage_Input!L313,""))</f>
        <v/>
      </c>
      <c r="AC361" s="152">
        <f>IF($B361=1,$C$51,IF(N(Vintage_Input!M313)&gt;0,Vintage_Input!AK313/Vintage_Input!M313,""))</f>
        <v/>
      </c>
      <c r="AD361" s="152">
        <f>IF($B361=1,$D$51,IF(N(Vintage_Input!N313)&gt;0,Vintage_Input!AL313/Vintage_Input!N313,""))</f>
        <v/>
      </c>
      <c r="AE361" s="152">
        <f>IF($B361=1,$E$51,IF(N(Vintage_Input!O313)&gt;0,Vintage_Input!AM313/Vintage_Input!O313,""))</f>
        <v/>
      </c>
      <c r="AF361" s="152">
        <f>IF($B361=1,$F$51,IF(N(Vintage_Input!P313)&gt;0,Vintage_Input!AN313/Vintage_Input!P313,""))</f>
        <v/>
      </c>
      <c r="AG361" s="152">
        <f>IF($B361=1,$G$51,IF(N(Vintage_Input!Q313)&gt;0,Vintage_Input!AO313/Vintage_Input!Q313,""))</f>
        <v/>
      </c>
      <c r="AH361" s="152">
        <f>IF($B361=1,$H$51,IF(N(Vintage_Input!R313)&gt;0,Vintage_Input!AP313/Vintage_Input!R313,""))</f>
        <v/>
      </c>
      <c r="AI361" s="152">
        <f>IF($B361=1,$I$51,IF(N(Vintage_Input!S313)&gt;0,Vintage_Input!AQ313/Vintage_Input!S313,""))</f>
        <v/>
      </c>
      <c r="AJ361" s="152">
        <f>IF($B361=1,$B$52,IF(N(Vintage_Input!L313)&gt;0,IFERROR(Vintage_Input!AR313/Vintage_Input!AJ313,""),""))</f>
        <v/>
      </c>
      <c r="AK361" s="152">
        <f>IF($B361=1,$C$52,IF(N(Vintage_Input!M313)&gt;0,IFERROR(Vintage_Input!AS313/Vintage_Input!AK313,""),""))</f>
        <v/>
      </c>
      <c r="AL361" s="152">
        <f>IF($B361=1,$D$52,IF(N(Vintage_Input!N313)&gt;0,IFERROR(Vintage_Input!AT313/Vintage_Input!AL313,""),""))</f>
        <v/>
      </c>
      <c r="AM361" s="152">
        <f>IF($B361=1,$E$52,IF(N(Vintage_Input!O313)&gt;0,IFERROR(Vintage_Input!AU313/Vintage_Input!AM313,""),""))</f>
        <v/>
      </c>
      <c r="AN361" s="152">
        <f>IF($B361=1,$F$52,IF(N(Vintage_Input!P313)&gt;0,IFERROR(Vintage_Input!AV313/Vintage_Input!AN313,""),""))</f>
        <v/>
      </c>
      <c r="AO361" s="152">
        <f>IF($B361=1,$G$52,IF(N(Vintage_Input!Q313)&gt;0,IFERROR(Vintage_Input!AW313/Vintage_Input!AO313,""),""))</f>
        <v/>
      </c>
      <c r="AP361" s="152">
        <f>IF($B361=1,$H$52,IF(N(Vintage_Input!R313)&gt;0,IFERROR(Vintage_Input!AX313/Vintage_Input!AP313,""),""))</f>
        <v/>
      </c>
      <c r="AQ361" s="152">
        <f>IF($B361=1,$I$52,IF(N(Vintage_Input!S313)&gt;0,IFERROR(Vintage_Input!AY313/Vintage_Input!AQ313,""),""))</f>
        <v/>
      </c>
      <c r="AR361" s="152">
        <f>IF($B361=1,$B$53,IF(N(Vintage_Input!L313)&gt;0,IFERROR(Vintage_Input!AZ313/$C361,""),""))</f>
        <v/>
      </c>
      <c r="AS361" s="152">
        <f>IF($B361=1,$C$53,IF(N(Vintage_Input!M313)&gt;0,IFERROR(Vintage_Input!BA313/$C361,""),""))</f>
        <v/>
      </c>
      <c r="AT361" s="152">
        <f>IF($B361=1,$D$53,IF(N(Vintage_Input!N313)&gt;0,IFERROR(Vintage_Input!BB313/$C361,""),""))</f>
        <v/>
      </c>
      <c r="AU361" s="152">
        <f>IF($B361=1,$E$53,IF(N(Vintage_Input!O313)&gt;0,IFERROR(Vintage_Input!BC313/$C361,""),""))</f>
        <v/>
      </c>
      <c r="AV361" s="152">
        <f>IF($B361=1,$F$53,IF(N(Vintage_Input!P313)&gt;0,IFERROR(Vintage_Input!BD313/$C361,""),""))</f>
        <v/>
      </c>
      <c r="AW361" s="152">
        <f>IF($B361=1,$G$53,IF(N(Vintage_Input!Q313)&gt;0,IFERROR(Vintage_Input!BE313/$C361,""),""))</f>
        <v/>
      </c>
      <c r="AX361" s="152">
        <f>IF($B361=1,$H$53,IF(N(Vintage_Input!R313)&gt;0,IFERROR(Vintage_Input!BF313/$C361,""),""))</f>
        <v/>
      </c>
      <c r="AY361" s="152">
        <f>IF($B361=1,$I$53,IF(N(Vintage_Input!S313)&gt;0,IFERROR(Vintage_Input!BG313/$C361,""),""))</f>
        <v/>
      </c>
      <c r="AZ361" s="153">
        <f>IF($B361=1,$B$54,IF(N(Vintage_Input!L313)&gt;0,IFERROR((Vintage_Input!D313+Vintage_Input!AR313)/$C361+Products!$G$14-(Products!$G$43+Products!$G$19+Products!$G$43*Products!$G$22+Products!$G$44),""),""))</f>
        <v/>
      </c>
      <c r="BA361" s="153">
        <f>IF($B361=1,$C$54,IF(N(Vintage_Input!M313)&gt;0,IFERROR((Vintage_Input!E313+Vintage_Input!AS313)/$C361+Products!$G$14-(Products!$G$43+Products!$G$19+Products!$G$43*Products!$G$22+Products!$G$44),""),""))</f>
        <v/>
      </c>
      <c r="BB361" s="153">
        <f>IF($B361=1,$D$54,IF(N(Vintage_Input!N313)&gt;0,IFERROR((Vintage_Input!F313+Vintage_Input!AT313)/$C361+Products!$G$14-(Products!$G$43+Products!$G$19+Products!$G$43*Products!$G$22+Products!$G$44),""),""))</f>
        <v/>
      </c>
      <c r="BC361" s="153">
        <f>IF($B361=1,$E$54,IF(N(Vintage_Input!O313)&gt;0,IFERROR((Vintage_Input!G313+Vintage_Input!AU313)/$C361+Products!$G$14-(Products!$G$43+Products!$G$19+Products!$G$43*Products!$G$22+Products!$G$44),""),""))</f>
        <v/>
      </c>
      <c r="BD361" s="153">
        <f>IF($B361=1,$F$54,IF(N(Vintage_Input!P313)&gt;0,IFERROR((Vintage_Input!H313+Vintage_Input!AV313)/$C361+Products!$G$14-(Products!$G$43+Products!$G$19+Products!$G$43*Products!$G$22+Products!$G$44),""),""))</f>
        <v/>
      </c>
      <c r="BE361" s="153">
        <f>IF($B361=1,$G$54,IF(N(Vintage_Input!Q313)&gt;0,IFERROR((Vintage_Input!I313+Vintage_Input!AW313)/$C361+Products!$G$14-(Products!$G$43+Products!$G$19+Products!$G$43*Products!$G$22+Products!$G$44),""),""))</f>
        <v/>
      </c>
      <c r="BF361" s="153">
        <f>IF($B361=1,$H$54,IF(N(Vintage_Input!R313)&gt;0,IFERROR((Vintage_Input!J313+Vintage_Input!AX313)/$C361+Products!$G$14-(Products!$G$43+Products!$G$19+Products!$G$43*Products!$G$22+Products!$G$44),""),""))</f>
        <v/>
      </c>
      <c r="BG361" s="153">
        <f>IF($B361=1,$I$54,IF(N(Vintage_Input!S313)&gt;0,IFERROR((Vintage_Input!K313+Vintage_Input!AY313)/$C361+Products!$G$14-(Products!$G$43+Products!$G$19+Products!$G$43*Products!$G$22+Products!$G$44),""),""))</f>
        <v/>
      </c>
      <c r="BH361" s="81">
        <f>IF($B361=1,0,IF(Vintage_Input!$BH$313="","",Vintage_Input!$BH$313))</f>
        <v/>
      </c>
    </row>
    <row r="362">
      <c r="A362" s="23" t="n">
        <v>46</v>
      </c>
      <c r="B362" s="48">
        <f>Vintage_Input!$B$314</f>
        <v/>
      </c>
      <c r="C362" s="41">
        <f>IF(Vintage_Input!$C$314="",0,Vintage_Input!$C$314)</f>
        <v/>
      </c>
      <c r="D362" s="152">
        <f>IF($B362=1,$B$48,IF(N(Vintage_Input!L314)&gt;0,Vintage_Input!D314/Vintage_Input!L314,""))</f>
        <v/>
      </c>
      <c r="E362" s="152">
        <f>IF($B362=1,$C$48,IF(N(Vintage_Input!M314)&gt;0,Vintage_Input!E314/Vintage_Input!M314,""))</f>
        <v/>
      </c>
      <c r="F362" s="152">
        <f>IF($B362=1,$D$48,IF(N(Vintage_Input!N314)&gt;0,Vintage_Input!F314/Vintage_Input!N314,""))</f>
        <v/>
      </c>
      <c r="G362" s="152">
        <f>IF($B362=1,$E$48,IF(N(Vintage_Input!O314)&gt;0,Vintage_Input!G314/Vintage_Input!O314,""))</f>
        <v/>
      </c>
      <c r="H362" s="152">
        <f>IF($B362=1,$F$48,IF(N(Vintage_Input!P314)&gt;0,Vintage_Input!H314/Vintage_Input!P314,""))</f>
        <v/>
      </c>
      <c r="I362" s="152">
        <f>IF($B362=1,$G$48,IF(N(Vintage_Input!Q314)&gt;0,Vintage_Input!I314/Vintage_Input!Q314,""))</f>
        <v/>
      </c>
      <c r="J362" s="152">
        <f>IF($B362=1,$H$48,IF(N(Vintage_Input!R314)&gt;0,Vintage_Input!J314/Vintage_Input!R314,""))</f>
        <v/>
      </c>
      <c r="K362" s="152">
        <f>IF($B362=1,$I$48,IF(N(Vintage_Input!S314)&gt;0,Vintage_Input!K314/Vintage_Input!S314,""))</f>
        <v/>
      </c>
      <c r="L362" s="152">
        <f>IF($B362=1,$B$49,IF(N(Vintage_Input!L314)&gt;0,Vintage_Input!T314/Vintage_Input!L314,""))</f>
        <v/>
      </c>
      <c r="M362" s="152">
        <f>IF($B362=1,$C$49,IF(N(Vintage_Input!M314)&gt;0,Vintage_Input!U314/Vintage_Input!M314,""))</f>
        <v/>
      </c>
      <c r="N362" s="152">
        <f>IF($B362=1,$D$49,IF(N(Vintage_Input!N314)&gt;0,Vintage_Input!V314/Vintage_Input!N314,""))</f>
        <v/>
      </c>
      <c r="O362" s="152">
        <f>IF($B362=1,$E$49,IF(N(Vintage_Input!O314)&gt;0,Vintage_Input!W314/Vintage_Input!O314,""))</f>
        <v/>
      </c>
      <c r="P362" s="152">
        <f>IF($B362=1,$F$49,IF(N(Vintage_Input!P314)&gt;0,Vintage_Input!X314/Vintage_Input!P314,""))</f>
        <v/>
      </c>
      <c r="Q362" s="152">
        <f>IF($B362=1,$G$49,IF(N(Vintage_Input!Q314)&gt;0,Vintage_Input!Y314/Vintage_Input!Q314,""))</f>
        <v/>
      </c>
      <c r="R362" s="152">
        <f>IF($B362=1,$H$49,IF(N(Vintage_Input!R314)&gt;0,Vintage_Input!Z314/Vintage_Input!R314,""))</f>
        <v/>
      </c>
      <c r="S362" s="152">
        <f>IF($B362=1,$I$49,IF(N(Vintage_Input!S314)&gt;0,Vintage_Input!AA314/Vintage_Input!S314,""))</f>
        <v/>
      </c>
      <c r="T362" s="152">
        <f>IF($B362=1,$B$50,IF(N(Vintage_Input!L314)&gt;0,Vintage_Input!AB314/Vintage_Input!L314,""))</f>
        <v/>
      </c>
      <c r="U362" s="152">
        <f>IF($B362=1,$C$50,IF(N(Vintage_Input!M314)&gt;0,Vintage_Input!AC314/Vintage_Input!M314,""))</f>
        <v/>
      </c>
      <c r="V362" s="152">
        <f>IF($B362=1,$D$50,IF(N(Vintage_Input!N314)&gt;0,Vintage_Input!AD314/Vintage_Input!N314,""))</f>
        <v/>
      </c>
      <c r="W362" s="152">
        <f>IF($B362=1,$E$50,IF(N(Vintage_Input!O314)&gt;0,Vintage_Input!AE314/Vintage_Input!O314,""))</f>
        <v/>
      </c>
      <c r="X362" s="152">
        <f>IF($B362=1,$F$50,IF(N(Vintage_Input!P314)&gt;0,Vintage_Input!AF314/Vintage_Input!P314,""))</f>
        <v/>
      </c>
      <c r="Y362" s="152">
        <f>IF($B362=1,$G$50,IF(N(Vintage_Input!Q314)&gt;0,Vintage_Input!AG314/Vintage_Input!Q314,""))</f>
        <v/>
      </c>
      <c r="Z362" s="152">
        <f>IF($B362=1,$H$50,IF(N(Vintage_Input!R314)&gt;0,Vintage_Input!AH314/Vintage_Input!R314,""))</f>
        <v/>
      </c>
      <c r="AA362" s="152">
        <f>IF($B362=1,$I$50,IF(N(Vintage_Input!S314)&gt;0,Vintage_Input!AI314/Vintage_Input!S314,""))</f>
        <v/>
      </c>
      <c r="AB362" s="152">
        <f>IF($B362=1,$B$51,IF(N(Vintage_Input!L314)&gt;0,Vintage_Input!AJ314/Vintage_Input!L314,""))</f>
        <v/>
      </c>
      <c r="AC362" s="152">
        <f>IF($B362=1,$C$51,IF(N(Vintage_Input!M314)&gt;0,Vintage_Input!AK314/Vintage_Input!M314,""))</f>
        <v/>
      </c>
      <c r="AD362" s="152">
        <f>IF($B362=1,$D$51,IF(N(Vintage_Input!N314)&gt;0,Vintage_Input!AL314/Vintage_Input!N314,""))</f>
        <v/>
      </c>
      <c r="AE362" s="152">
        <f>IF($B362=1,$E$51,IF(N(Vintage_Input!O314)&gt;0,Vintage_Input!AM314/Vintage_Input!O314,""))</f>
        <v/>
      </c>
      <c r="AF362" s="152">
        <f>IF($B362=1,$F$51,IF(N(Vintage_Input!P314)&gt;0,Vintage_Input!AN314/Vintage_Input!P314,""))</f>
        <v/>
      </c>
      <c r="AG362" s="152">
        <f>IF($B362=1,$G$51,IF(N(Vintage_Input!Q314)&gt;0,Vintage_Input!AO314/Vintage_Input!Q314,""))</f>
        <v/>
      </c>
      <c r="AH362" s="152">
        <f>IF($B362=1,$H$51,IF(N(Vintage_Input!R314)&gt;0,Vintage_Input!AP314/Vintage_Input!R314,""))</f>
        <v/>
      </c>
      <c r="AI362" s="152">
        <f>IF($B362=1,$I$51,IF(N(Vintage_Input!S314)&gt;0,Vintage_Input!AQ314/Vintage_Input!S314,""))</f>
        <v/>
      </c>
      <c r="AJ362" s="152">
        <f>IF($B362=1,$B$52,IF(N(Vintage_Input!L314)&gt;0,IFERROR(Vintage_Input!AR314/Vintage_Input!AJ314,""),""))</f>
        <v/>
      </c>
      <c r="AK362" s="152">
        <f>IF($B362=1,$C$52,IF(N(Vintage_Input!M314)&gt;0,IFERROR(Vintage_Input!AS314/Vintage_Input!AK314,""),""))</f>
        <v/>
      </c>
      <c r="AL362" s="152">
        <f>IF($B362=1,$D$52,IF(N(Vintage_Input!N314)&gt;0,IFERROR(Vintage_Input!AT314/Vintage_Input!AL314,""),""))</f>
        <v/>
      </c>
      <c r="AM362" s="152">
        <f>IF($B362=1,$E$52,IF(N(Vintage_Input!O314)&gt;0,IFERROR(Vintage_Input!AU314/Vintage_Input!AM314,""),""))</f>
        <v/>
      </c>
      <c r="AN362" s="152">
        <f>IF($B362=1,$F$52,IF(N(Vintage_Input!P314)&gt;0,IFERROR(Vintage_Input!AV314/Vintage_Input!AN314,""),""))</f>
        <v/>
      </c>
      <c r="AO362" s="152">
        <f>IF($B362=1,$G$52,IF(N(Vintage_Input!Q314)&gt;0,IFERROR(Vintage_Input!AW314/Vintage_Input!AO314,""),""))</f>
        <v/>
      </c>
      <c r="AP362" s="152">
        <f>IF($B362=1,$H$52,IF(N(Vintage_Input!R314)&gt;0,IFERROR(Vintage_Input!AX314/Vintage_Input!AP314,""),""))</f>
        <v/>
      </c>
      <c r="AQ362" s="152">
        <f>IF($B362=1,$I$52,IF(N(Vintage_Input!S314)&gt;0,IFERROR(Vintage_Input!AY314/Vintage_Input!AQ314,""),""))</f>
        <v/>
      </c>
      <c r="AR362" s="152">
        <f>IF($B362=1,$B$53,IF(N(Vintage_Input!L314)&gt;0,IFERROR(Vintage_Input!AZ314/$C362,""),""))</f>
        <v/>
      </c>
      <c r="AS362" s="152">
        <f>IF($B362=1,$C$53,IF(N(Vintage_Input!M314)&gt;0,IFERROR(Vintage_Input!BA314/$C362,""),""))</f>
        <v/>
      </c>
      <c r="AT362" s="152">
        <f>IF($B362=1,$D$53,IF(N(Vintage_Input!N314)&gt;0,IFERROR(Vintage_Input!BB314/$C362,""),""))</f>
        <v/>
      </c>
      <c r="AU362" s="152">
        <f>IF($B362=1,$E$53,IF(N(Vintage_Input!O314)&gt;0,IFERROR(Vintage_Input!BC314/$C362,""),""))</f>
        <v/>
      </c>
      <c r="AV362" s="152">
        <f>IF($B362=1,$F$53,IF(N(Vintage_Input!P314)&gt;0,IFERROR(Vintage_Input!BD314/$C362,""),""))</f>
        <v/>
      </c>
      <c r="AW362" s="152">
        <f>IF($B362=1,$G$53,IF(N(Vintage_Input!Q314)&gt;0,IFERROR(Vintage_Input!BE314/$C362,""),""))</f>
        <v/>
      </c>
      <c r="AX362" s="152">
        <f>IF($B362=1,$H$53,IF(N(Vintage_Input!R314)&gt;0,IFERROR(Vintage_Input!BF314/$C362,""),""))</f>
        <v/>
      </c>
      <c r="AY362" s="152">
        <f>IF($B362=1,$I$53,IF(N(Vintage_Input!S314)&gt;0,IFERROR(Vintage_Input!BG314/$C362,""),""))</f>
        <v/>
      </c>
      <c r="AZ362" s="153">
        <f>IF($B362=1,$B$54,IF(N(Vintage_Input!L314)&gt;0,IFERROR((Vintage_Input!D314+Vintage_Input!AR314)/$C362+Products!$G$14-(Products!$G$43+Products!$G$19+Products!$G$43*Products!$G$22+Products!$G$44),""),""))</f>
        <v/>
      </c>
      <c r="BA362" s="153">
        <f>IF($B362=1,$C$54,IF(N(Vintage_Input!M314)&gt;0,IFERROR((Vintage_Input!E314+Vintage_Input!AS314)/$C362+Products!$G$14-(Products!$G$43+Products!$G$19+Products!$G$43*Products!$G$22+Products!$G$44),""),""))</f>
        <v/>
      </c>
      <c r="BB362" s="153">
        <f>IF($B362=1,$D$54,IF(N(Vintage_Input!N314)&gt;0,IFERROR((Vintage_Input!F314+Vintage_Input!AT314)/$C362+Products!$G$14-(Products!$G$43+Products!$G$19+Products!$G$43*Products!$G$22+Products!$G$44),""),""))</f>
        <v/>
      </c>
      <c r="BC362" s="153">
        <f>IF($B362=1,$E$54,IF(N(Vintage_Input!O314)&gt;0,IFERROR((Vintage_Input!G314+Vintage_Input!AU314)/$C362+Products!$G$14-(Products!$G$43+Products!$G$19+Products!$G$43*Products!$G$22+Products!$G$44),""),""))</f>
        <v/>
      </c>
      <c r="BD362" s="153">
        <f>IF($B362=1,$F$54,IF(N(Vintage_Input!P314)&gt;0,IFERROR((Vintage_Input!H314+Vintage_Input!AV314)/$C362+Products!$G$14-(Products!$G$43+Products!$G$19+Products!$G$43*Products!$G$22+Products!$G$44),""),""))</f>
        <v/>
      </c>
      <c r="BE362" s="153">
        <f>IF($B362=1,$G$54,IF(N(Vintage_Input!Q314)&gt;0,IFERROR((Vintage_Input!I314+Vintage_Input!AW314)/$C362+Products!$G$14-(Products!$G$43+Products!$G$19+Products!$G$43*Products!$G$22+Products!$G$44),""),""))</f>
        <v/>
      </c>
      <c r="BF362" s="153">
        <f>IF($B362=1,$H$54,IF(N(Vintage_Input!R314)&gt;0,IFERROR((Vintage_Input!J314+Vintage_Input!AX314)/$C362+Products!$G$14-(Products!$G$43+Products!$G$19+Products!$G$43*Products!$G$22+Products!$G$44),""),""))</f>
        <v/>
      </c>
      <c r="BG362" s="153">
        <f>IF($B362=1,$I$54,IF(N(Vintage_Input!S314)&gt;0,IFERROR((Vintage_Input!K314+Vintage_Input!AY314)/$C362+Products!$G$14-(Products!$G$43+Products!$G$19+Products!$G$43*Products!$G$22+Products!$G$44),""),""))</f>
        <v/>
      </c>
      <c r="BH362" s="81">
        <f>IF($B362=1,0,IF(Vintage_Input!$BH$314="","",Vintage_Input!$BH$314))</f>
        <v/>
      </c>
    </row>
    <row r="363">
      <c r="A363" s="23" t="n">
        <v>47</v>
      </c>
      <c r="B363" s="48">
        <f>Vintage_Input!$B$315</f>
        <v/>
      </c>
      <c r="C363" s="41">
        <f>IF(Vintage_Input!$C$315="",0,Vintage_Input!$C$315)</f>
        <v/>
      </c>
      <c r="D363" s="152">
        <f>IF($B363=1,$B$48,IF(N(Vintage_Input!L315)&gt;0,Vintage_Input!D315/Vintage_Input!L315,""))</f>
        <v/>
      </c>
      <c r="E363" s="152">
        <f>IF($B363=1,$C$48,IF(N(Vintage_Input!M315)&gt;0,Vintage_Input!E315/Vintage_Input!M315,""))</f>
        <v/>
      </c>
      <c r="F363" s="152">
        <f>IF($B363=1,$D$48,IF(N(Vintage_Input!N315)&gt;0,Vintage_Input!F315/Vintage_Input!N315,""))</f>
        <v/>
      </c>
      <c r="G363" s="152">
        <f>IF($B363=1,$E$48,IF(N(Vintage_Input!O315)&gt;0,Vintage_Input!G315/Vintage_Input!O315,""))</f>
        <v/>
      </c>
      <c r="H363" s="152">
        <f>IF($B363=1,$F$48,IF(N(Vintage_Input!P315)&gt;0,Vintage_Input!H315/Vintage_Input!P315,""))</f>
        <v/>
      </c>
      <c r="I363" s="152">
        <f>IF($B363=1,$G$48,IF(N(Vintage_Input!Q315)&gt;0,Vintage_Input!I315/Vintage_Input!Q315,""))</f>
        <v/>
      </c>
      <c r="J363" s="152">
        <f>IF($B363=1,$H$48,IF(N(Vintage_Input!R315)&gt;0,Vintage_Input!J315/Vintage_Input!R315,""))</f>
        <v/>
      </c>
      <c r="K363" s="152">
        <f>IF($B363=1,$I$48,IF(N(Vintage_Input!S315)&gt;0,Vintage_Input!K315/Vintage_Input!S315,""))</f>
        <v/>
      </c>
      <c r="L363" s="152">
        <f>IF($B363=1,$B$49,IF(N(Vintage_Input!L315)&gt;0,Vintage_Input!T315/Vintage_Input!L315,""))</f>
        <v/>
      </c>
      <c r="M363" s="152">
        <f>IF($B363=1,$C$49,IF(N(Vintage_Input!M315)&gt;0,Vintage_Input!U315/Vintage_Input!M315,""))</f>
        <v/>
      </c>
      <c r="N363" s="152">
        <f>IF($B363=1,$D$49,IF(N(Vintage_Input!N315)&gt;0,Vintage_Input!V315/Vintage_Input!N315,""))</f>
        <v/>
      </c>
      <c r="O363" s="152">
        <f>IF($B363=1,$E$49,IF(N(Vintage_Input!O315)&gt;0,Vintage_Input!W315/Vintage_Input!O315,""))</f>
        <v/>
      </c>
      <c r="P363" s="152">
        <f>IF($B363=1,$F$49,IF(N(Vintage_Input!P315)&gt;0,Vintage_Input!X315/Vintage_Input!P315,""))</f>
        <v/>
      </c>
      <c r="Q363" s="152">
        <f>IF($B363=1,$G$49,IF(N(Vintage_Input!Q315)&gt;0,Vintage_Input!Y315/Vintage_Input!Q315,""))</f>
        <v/>
      </c>
      <c r="R363" s="152">
        <f>IF($B363=1,$H$49,IF(N(Vintage_Input!R315)&gt;0,Vintage_Input!Z315/Vintage_Input!R315,""))</f>
        <v/>
      </c>
      <c r="S363" s="152">
        <f>IF($B363=1,$I$49,IF(N(Vintage_Input!S315)&gt;0,Vintage_Input!AA315/Vintage_Input!S315,""))</f>
        <v/>
      </c>
      <c r="T363" s="152">
        <f>IF($B363=1,$B$50,IF(N(Vintage_Input!L315)&gt;0,Vintage_Input!AB315/Vintage_Input!L315,""))</f>
        <v/>
      </c>
      <c r="U363" s="152">
        <f>IF($B363=1,$C$50,IF(N(Vintage_Input!M315)&gt;0,Vintage_Input!AC315/Vintage_Input!M315,""))</f>
        <v/>
      </c>
      <c r="V363" s="152">
        <f>IF($B363=1,$D$50,IF(N(Vintage_Input!N315)&gt;0,Vintage_Input!AD315/Vintage_Input!N315,""))</f>
        <v/>
      </c>
      <c r="W363" s="152">
        <f>IF($B363=1,$E$50,IF(N(Vintage_Input!O315)&gt;0,Vintage_Input!AE315/Vintage_Input!O315,""))</f>
        <v/>
      </c>
      <c r="X363" s="152">
        <f>IF($B363=1,$F$50,IF(N(Vintage_Input!P315)&gt;0,Vintage_Input!AF315/Vintage_Input!P315,""))</f>
        <v/>
      </c>
      <c r="Y363" s="152">
        <f>IF($B363=1,$G$50,IF(N(Vintage_Input!Q315)&gt;0,Vintage_Input!AG315/Vintage_Input!Q315,""))</f>
        <v/>
      </c>
      <c r="Z363" s="152">
        <f>IF($B363=1,$H$50,IF(N(Vintage_Input!R315)&gt;0,Vintage_Input!AH315/Vintage_Input!R315,""))</f>
        <v/>
      </c>
      <c r="AA363" s="152">
        <f>IF($B363=1,$I$50,IF(N(Vintage_Input!S315)&gt;0,Vintage_Input!AI315/Vintage_Input!S315,""))</f>
        <v/>
      </c>
      <c r="AB363" s="152">
        <f>IF($B363=1,$B$51,IF(N(Vintage_Input!L315)&gt;0,Vintage_Input!AJ315/Vintage_Input!L315,""))</f>
        <v/>
      </c>
      <c r="AC363" s="152">
        <f>IF($B363=1,$C$51,IF(N(Vintage_Input!M315)&gt;0,Vintage_Input!AK315/Vintage_Input!M315,""))</f>
        <v/>
      </c>
      <c r="AD363" s="152">
        <f>IF($B363=1,$D$51,IF(N(Vintage_Input!N315)&gt;0,Vintage_Input!AL315/Vintage_Input!N315,""))</f>
        <v/>
      </c>
      <c r="AE363" s="152">
        <f>IF($B363=1,$E$51,IF(N(Vintage_Input!O315)&gt;0,Vintage_Input!AM315/Vintage_Input!O315,""))</f>
        <v/>
      </c>
      <c r="AF363" s="152">
        <f>IF($B363=1,$F$51,IF(N(Vintage_Input!P315)&gt;0,Vintage_Input!AN315/Vintage_Input!P315,""))</f>
        <v/>
      </c>
      <c r="AG363" s="152">
        <f>IF($B363=1,$G$51,IF(N(Vintage_Input!Q315)&gt;0,Vintage_Input!AO315/Vintage_Input!Q315,""))</f>
        <v/>
      </c>
      <c r="AH363" s="152">
        <f>IF($B363=1,$H$51,IF(N(Vintage_Input!R315)&gt;0,Vintage_Input!AP315/Vintage_Input!R315,""))</f>
        <v/>
      </c>
      <c r="AI363" s="152">
        <f>IF($B363=1,$I$51,IF(N(Vintage_Input!S315)&gt;0,Vintage_Input!AQ315/Vintage_Input!S315,""))</f>
        <v/>
      </c>
      <c r="AJ363" s="152">
        <f>IF($B363=1,$B$52,IF(N(Vintage_Input!L315)&gt;0,IFERROR(Vintage_Input!AR315/Vintage_Input!AJ315,""),""))</f>
        <v/>
      </c>
      <c r="AK363" s="152">
        <f>IF($B363=1,$C$52,IF(N(Vintage_Input!M315)&gt;0,IFERROR(Vintage_Input!AS315/Vintage_Input!AK315,""),""))</f>
        <v/>
      </c>
      <c r="AL363" s="152">
        <f>IF($B363=1,$D$52,IF(N(Vintage_Input!N315)&gt;0,IFERROR(Vintage_Input!AT315/Vintage_Input!AL315,""),""))</f>
        <v/>
      </c>
      <c r="AM363" s="152">
        <f>IF($B363=1,$E$52,IF(N(Vintage_Input!O315)&gt;0,IFERROR(Vintage_Input!AU315/Vintage_Input!AM315,""),""))</f>
        <v/>
      </c>
      <c r="AN363" s="152">
        <f>IF($B363=1,$F$52,IF(N(Vintage_Input!P315)&gt;0,IFERROR(Vintage_Input!AV315/Vintage_Input!AN315,""),""))</f>
        <v/>
      </c>
      <c r="AO363" s="152">
        <f>IF($B363=1,$G$52,IF(N(Vintage_Input!Q315)&gt;0,IFERROR(Vintage_Input!AW315/Vintage_Input!AO315,""),""))</f>
        <v/>
      </c>
      <c r="AP363" s="152">
        <f>IF($B363=1,$H$52,IF(N(Vintage_Input!R315)&gt;0,IFERROR(Vintage_Input!AX315/Vintage_Input!AP315,""),""))</f>
        <v/>
      </c>
      <c r="AQ363" s="152">
        <f>IF($B363=1,$I$52,IF(N(Vintage_Input!S315)&gt;0,IFERROR(Vintage_Input!AY315/Vintage_Input!AQ315,""),""))</f>
        <v/>
      </c>
      <c r="AR363" s="152">
        <f>IF($B363=1,$B$53,IF(N(Vintage_Input!L315)&gt;0,IFERROR(Vintage_Input!AZ315/$C363,""),""))</f>
        <v/>
      </c>
      <c r="AS363" s="152">
        <f>IF($B363=1,$C$53,IF(N(Vintage_Input!M315)&gt;0,IFERROR(Vintage_Input!BA315/$C363,""),""))</f>
        <v/>
      </c>
      <c r="AT363" s="152">
        <f>IF($B363=1,$D$53,IF(N(Vintage_Input!N315)&gt;0,IFERROR(Vintage_Input!BB315/$C363,""),""))</f>
        <v/>
      </c>
      <c r="AU363" s="152">
        <f>IF($B363=1,$E$53,IF(N(Vintage_Input!O315)&gt;0,IFERROR(Vintage_Input!BC315/$C363,""),""))</f>
        <v/>
      </c>
      <c r="AV363" s="152">
        <f>IF($B363=1,$F$53,IF(N(Vintage_Input!P315)&gt;0,IFERROR(Vintage_Input!BD315/$C363,""),""))</f>
        <v/>
      </c>
      <c r="AW363" s="152">
        <f>IF($B363=1,$G$53,IF(N(Vintage_Input!Q315)&gt;0,IFERROR(Vintage_Input!BE315/$C363,""),""))</f>
        <v/>
      </c>
      <c r="AX363" s="152">
        <f>IF($B363=1,$H$53,IF(N(Vintage_Input!R315)&gt;0,IFERROR(Vintage_Input!BF315/$C363,""),""))</f>
        <v/>
      </c>
      <c r="AY363" s="152">
        <f>IF($B363=1,$I$53,IF(N(Vintage_Input!S315)&gt;0,IFERROR(Vintage_Input!BG315/$C363,""),""))</f>
        <v/>
      </c>
      <c r="AZ363" s="153">
        <f>IF($B363=1,$B$54,IF(N(Vintage_Input!L315)&gt;0,IFERROR((Vintage_Input!D315+Vintage_Input!AR315)/$C363+Products!$G$14-(Products!$G$43+Products!$G$19+Products!$G$43*Products!$G$22+Products!$G$44),""),""))</f>
        <v/>
      </c>
      <c r="BA363" s="153">
        <f>IF($B363=1,$C$54,IF(N(Vintage_Input!M315)&gt;0,IFERROR((Vintage_Input!E315+Vintage_Input!AS315)/$C363+Products!$G$14-(Products!$G$43+Products!$G$19+Products!$G$43*Products!$G$22+Products!$G$44),""),""))</f>
        <v/>
      </c>
      <c r="BB363" s="153">
        <f>IF($B363=1,$D$54,IF(N(Vintage_Input!N315)&gt;0,IFERROR((Vintage_Input!F315+Vintage_Input!AT315)/$C363+Products!$G$14-(Products!$G$43+Products!$G$19+Products!$G$43*Products!$G$22+Products!$G$44),""),""))</f>
        <v/>
      </c>
      <c r="BC363" s="153">
        <f>IF($B363=1,$E$54,IF(N(Vintage_Input!O315)&gt;0,IFERROR((Vintage_Input!G315+Vintage_Input!AU315)/$C363+Products!$G$14-(Products!$G$43+Products!$G$19+Products!$G$43*Products!$G$22+Products!$G$44),""),""))</f>
        <v/>
      </c>
      <c r="BD363" s="153">
        <f>IF($B363=1,$F$54,IF(N(Vintage_Input!P315)&gt;0,IFERROR((Vintage_Input!H315+Vintage_Input!AV315)/$C363+Products!$G$14-(Products!$G$43+Products!$G$19+Products!$G$43*Products!$G$22+Products!$G$44),""),""))</f>
        <v/>
      </c>
      <c r="BE363" s="153">
        <f>IF($B363=1,$G$54,IF(N(Vintage_Input!Q315)&gt;0,IFERROR((Vintage_Input!I315+Vintage_Input!AW315)/$C363+Products!$G$14-(Products!$G$43+Products!$G$19+Products!$G$43*Products!$G$22+Products!$G$44),""),""))</f>
        <v/>
      </c>
      <c r="BF363" s="153">
        <f>IF($B363=1,$H$54,IF(N(Vintage_Input!R315)&gt;0,IFERROR((Vintage_Input!J315+Vintage_Input!AX315)/$C363+Products!$G$14-(Products!$G$43+Products!$G$19+Products!$G$43*Products!$G$22+Products!$G$44),""),""))</f>
        <v/>
      </c>
      <c r="BG363" s="153">
        <f>IF($B363=1,$I$54,IF(N(Vintage_Input!S315)&gt;0,IFERROR((Vintage_Input!K315+Vintage_Input!AY315)/$C363+Products!$G$14-(Products!$G$43+Products!$G$19+Products!$G$43*Products!$G$22+Products!$G$44),""),""))</f>
        <v/>
      </c>
      <c r="BH363" s="81">
        <f>IF($B363=1,0,IF(Vintage_Input!$BH$315="","",Vintage_Input!$BH$315))</f>
        <v/>
      </c>
    </row>
    <row r="364">
      <c r="A364" s="23" t="n">
        <v>48</v>
      </c>
      <c r="B364" s="48">
        <f>Vintage_Input!$B$316</f>
        <v/>
      </c>
      <c r="C364" s="41">
        <f>IF(Vintage_Input!$C$316="",0,Vintage_Input!$C$316)</f>
        <v/>
      </c>
      <c r="D364" s="152">
        <f>IF($B364=1,$B$48,IF(N(Vintage_Input!L316)&gt;0,Vintage_Input!D316/Vintage_Input!L316,""))</f>
        <v/>
      </c>
      <c r="E364" s="152">
        <f>IF($B364=1,$C$48,IF(N(Vintage_Input!M316)&gt;0,Vintage_Input!E316/Vintage_Input!M316,""))</f>
        <v/>
      </c>
      <c r="F364" s="152">
        <f>IF($B364=1,$D$48,IF(N(Vintage_Input!N316)&gt;0,Vintage_Input!F316/Vintage_Input!N316,""))</f>
        <v/>
      </c>
      <c r="G364" s="152">
        <f>IF($B364=1,$E$48,IF(N(Vintage_Input!O316)&gt;0,Vintage_Input!G316/Vintage_Input!O316,""))</f>
        <v/>
      </c>
      <c r="H364" s="152">
        <f>IF($B364=1,$F$48,IF(N(Vintage_Input!P316)&gt;0,Vintage_Input!H316/Vintage_Input!P316,""))</f>
        <v/>
      </c>
      <c r="I364" s="152">
        <f>IF($B364=1,$G$48,IF(N(Vintage_Input!Q316)&gt;0,Vintage_Input!I316/Vintage_Input!Q316,""))</f>
        <v/>
      </c>
      <c r="J364" s="152">
        <f>IF($B364=1,$H$48,IF(N(Vintage_Input!R316)&gt;0,Vintage_Input!J316/Vintage_Input!R316,""))</f>
        <v/>
      </c>
      <c r="K364" s="152">
        <f>IF($B364=1,$I$48,IF(N(Vintage_Input!S316)&gt;0,Vintage_Input!K316/Vintage_Input!S316,""))</f>
        <v/>
      </c>
      <c r="L364" s="152">
        <f>IF($B364=1,$B$49,IF(N(Vintage_Input!L316)&gt;0,Vintage_Input!T316/Vintage_Input!L316,""))</f>
        <v/>
      </c>
      <c r="M364" s="152">
        <f>IF($B364=1,$C$49,IF(N(Vintage_Input!M316)&gt;0,Vintage_Input!U316/Vintage_Input!M316,""))</f>
        <v/>
      </c>
      <c r="N364" s="152">
        <f>IF($B364=1,$D$49,IF(N(Vintage_Input!N316)&gt;0,Vintage_Input!V316/Vintage_Input!N316,""))</f>
        <v/>
      </c>
      <c r="O364" s="152">
        <f>IF($B364=1,$E$49,IF(N(Vintage_Input!O316)&gt;0,Vintage_Input!W316/Vintage_Input!O316,""))</f>
        <v/>
      </c>
      <c r="P364" s="152">
        <f>IF($B364=1,$F$49,IF(N(Vintage_Input!P316)&gt;0,Vintage_Input!X316/Vintage_Input!P316,""))</f>
        <v/>
      </c>
      <c r="Q364" s="152">
        <f>IF($B364=1,$G$49,IF(N(Vintage_Input!Q316)&gt;0,Vintage_Input!Y316/Vintage_Input!Q316,""))</f>
        <v/>
      </c>
      <c r="R364" s="152">
        <f>IF($B364=1,$H$49,IF(N(Vintage_Input!R316)&gt;0,Vintage_Input!Z316/Vintage_Input!R316,""))</f>
        <v/>
      </c>
      <c r="S364" s="152">
        <f>IF($B364=1,$I$49,IF(N(Vintage_Input!S316)&gt;0,Vintage_Input!AA316/Vintage_Input!S316,""))</f>
        <v/>
      </c>
      <c r="T364" s="152">
        <f>IF($B364=1,$B$50,IF(N(Vintage_Input!L316)&gt;0,Vintage_Input!AB316/Vintage_Input!L316,""))</f>
        <v/>
      </c>
      <c r="U364" s="152">
        <f>IF($B364=1,$C$50,IF(N(Vintage_Input!M316)&gt;0,Vintage_Input!AC316/Vintage_Input!M316,""))</f>
        <v/>
      </c>
      <c r="V364" s="152">
        <f>IF($B364=1,$D$50,IF(N(Vintage_Input!N316)&gt;0,Vintage_Input!AD316/Vintage_Input!N316,""))</f>
        <v/>
      </c>
      <c r="W364" s="152">
        <f>IF($B364=1,$E$50,IF(N(Vintage_Input!O316)&gt;0,Vintage_Input!AE316/Vintage_Input!O316,""))</f>
        <v/>
      </c>
      <c r="X364" s="152">
        <f>IF($B364=1,$F$50,IF(N(Vintage_Input!P316)&gt;0,Vintage_Input!AF316/Vintage_Input!P316,""))</f>
        <v/>
      </c>
      <c r="Y364" s="152">
        <f>IF($B364=1,$G$50,IF(N(Vintage_Input!Q316)&gt;0,Vintage_Input!AG316/Vintage_Input!Q316,""))</f>
        <v/>
      </c>
      <c r="Z364" s="152">
        <f>IF($B364=1,$H$50,IF(N(Vintage_Input!R316)&gt;0,Vintage_Input!AH316/Vintage_Input!R316,""))</f>
        <v/>
      </c>
      <c r="AA364" s="152">
        <f>IF($B364=1,$I$50,IF(N(Vintage_Input!S316)&gt;0,Vintage_Input!AI316/Vintage_Input!S316,""))</f>
        <v/>
      </c>
      <c r="AB364" s="152">
        <f>IF($B364=1,$B$51,IF(N(Vintage_Input!L316)&gt;0,Vintage_Input!AJ316/Vintage_Input!L316,""))</f>
        <v/>
      </c>
      <c r="AC364" s="152">
        <f>IF($B364=1,$C$51,IF(N(Vintage_Input!M316)&gt;0,Vintage_Input!AK316/Vintage_Input!M316,""))</f>
        <v/>
      </c>
      <c r="AD364" s="152">
        <f>IF($B364=1,$D$51,IF(N(Vintage_Input!N316)&gt;0,Vintage_Input!AL316/Vintage_Input!N316,""))</f>
        <v/>
      </c>
      <c r="AE364" s="152">
        <f>IF($B364=1,$E$51,IF(N(Vintage_Input!O316)&gt;0,Vintage_Input!AM316/Vintage_Input!O316,""))</f>
        <v/>
      </c>
      <c r="AF364" s="152">
        <f>IF($B364=1,$F$51,IF(N(Vintage_Input!P316)&gt;0,Vintage_Input!AN316/Vintage_Input!P316,""))</f>
        <v/>
      </c>
      <c r="AG364" s="152">
        <f>IF($B364=1,$G$51,IF(N(Vintage_Input!Q316)&gt;0,Vintage_Input!AO316/Vintage_Input!Q316,""))</f>
        <v/>
      </c>
      <c r="AH364" s="152">
        <f>IF($B364=1,$H$51,IF(N(Vintage_Input!R316)&gt;0,Vintage_Input!AP316/Vintage_Input!R316,""))</f>
        <v/>
      </c>
      <c r="AI364" s="152">
        <f>IF($B364=1,$I$51,IF(N(Vintage_Input!S316)&gt;0,Vintage_Input!AQ316/Vintage_Input!S316,""))</f>
        <v/>
      </c>
      <c r="AJ364" s="152">
        <f>IF($B364=1,$B$52,IF(N(Vintage_Input!L316)&gt;0,IFERROR(Vintage_Input!AR316/Vintage_Input!AJ316,""),""))</f>
        <v/>
      </c>
      <c r="AK364" s="152">
        <f>IF($B364=1,$C$52,IF(N(Vintage_Input!M316)&gt;0,IFERROR(Vintage_Input!AS316/Vintage_Input!AK316,""),""))</f>
        <v/>
      </c>
      <c r="AL364" s="152">
        <f>IF($B364=1,$D$52,IF(N(Vintage_Input!N316)&gt;0,IFERROR(Vintage_Input!AT316/Vintage_Input!AL316,""),""))</f>
        <v/>
      </c>
      <c r="AM364" s="152">
        <f>IF($B364=1,$E$52,IF(N(Vintage_Input!O316)&gt;0,IFERROR(Vintage_Input!AU316/Vintage_Input!AM316,""),""))</f>
        <v/>
      </c>
      <c r="AN364" s="152">
        <f>IF($B364=1,$F$52,IF(N(Vintage_Input!P316)&gt;0,IFERROR(Vintage_Input!AV316/Vintage_Input!AN316,""),""))</f>
        <v/>
      </c>
      <c r="AO364" s="152">
        <f>IF($B364=1,$G$52,IF(N(Vintage_Input!Q316)&gt;0,IFERROR(Vintage_Input!AW316/Vintage_Input!AO316,""),""))</f>
        <v/>
      </c>
      <c r="AP364" s="152">
        <f>IF($B364=1,$H$52,IF(N(Vintage_Input!R316)&gt;0,IFERROR(Vintage_Input!AX316/Vintage_Input!AP316,""),""))</f>
        <v/>
      </c>
      <c r="AQ364" s="152">
        <f>IF($B364=1,$I$52,IF(N(Vintage_Input!S316)&gt;0,IFERROR(Vintage_Input!AY316/Vintage_Input!AQ316,""),""))</f>
        <v/>
      </c>
      <c r="AR364" s="152">
        <f>IF($B364=1,$B$53,IF(N(Vintage_Input!L316)&gt;0,IFERROR(Vintage_Input!AZ316/$C364,""),""))</f>
        <v/>
      </c>
      <c r="AS364" s="152">
        <f>IF($B364=1,$C$53,IF(N(Vintage_Input!M316)&gt;0,IFERROR(Vintage_Input!BA316/$C364,""),""))</f>
        <v/>
      </c>
      <c r="AT364" s="152">
        <f>IF($B364=1,$D$53,IF(N(Vintage_Input!N316)&gt;0,IFERROR(Vintage_Input!BB316/$C364,""),""))</f>
        <v/>
      </c>
      <c r="AU364" s="152">
        <f>IF($B364=1,$E$53,IF(N(Vintage_Input!O316)&gt;0,IFERROR(Vintage_Input!BC316/$C364,""),""))</f>
        <v/>
      </c>
      <c r="AV364" s="152">
        <f>IF($B364=1,$F$53,IF(N(Vintage_Input!P316)&gt;0,IFERROR(Vintage_Input!BD316/$C364,""),""))</f>
        <v/>
      </c>
      <c r="AW364" s="152">
        <f>IF($B364=1,$G$53,IF(N(Vintage_Input!Q316)&gt;0,IFERROR(Vintage_Input!BE316/$C364,""),""))</f>
        <v/>
      </c>
      <c r="AX364" s="152">
        <f>IF($B364=1,$H$53,IF(N(Vintage_Input!R316)&gt;0,IFERROR(Vintage_Input!BF316/$C364,""),""))</f>
        <v/>
      </c>
      <c r="AY364" s="152">
        <f>IF($B364=1,$I$53,IF(N(Vintage_Input!S316)&gt;0,IFERROR(Vintage_Input!BG316/$C364,""),""))</f>
        <v/>
      </c>
      <c r="AZ364" s="153">
        <f>IF($B364=1,$B$54,IF(N(Vintage_Input!L316)&gt;0,IFERROR((Vintage_Input!D316+Vintage_Input!AR316)/$C364+Products!$G$14-(Products!$G$43+Products!$G$19+Products!$G$43*Products!$G$22+Products!$G$44),""),""))</f>
        <v/>
      </c>
      <c r="BA364" s="153">
        <f>IF($B364=1,$C$54,IF(N(Vintage_Input!M316)&gt;0,IFERROR((Vintage_Input!E316+Vintage_Input!AS316)/$C364+Products!$G$14-(Products!$G$43+Products!$G$19+Products!$G$43*Products!$G$22+Products!$G$44),""),""))</f>
        <v/>
      </c>
      <c r="BB364" s="153">
        <f>IF($B364=1,$D$54,IF(N(Vintage_Input!N316)&gt;0,IFERROR((Vintage_Input!F316+Vintage_Input!AT316)/$C364+Products!$G$14-(Products!$G$43+Products!$G$19+Products!$G$43*Products!$G$22+Products!$G$44),""),""))</f>
        <v/>
      </c>
      <c r="BC364" s="153">
        <f>IF($B364=1,$E$54,IF(N(Vintage_Input!O316)&gt;0,IFERROR((Vintage_Input!G316+Vintage_Input!AU316)/$C364+Products!$G$14-(Products!$G$43+Products!$G$19+Products!$G$43*Products!$G$22+Products!$G$44),""),""))</f>
        <v/>
      </c>
      <c r="BD364" s="153">
        <f>IF($B364=1,$F$54,IF(N(Vintage_Input!P316)&gt;0,IFERROR((Vintage_Input!H316+Vintage_Input!AV316)/$C364+Products!$G$14-(Products!$G$43+Products!$G$19+Products!$G$43*Products!$G$22+Products!$G$44),""),""))</f>
        <v/>
      </c>
      <c r="BE364" s="153">
        <f>IF($B364=1,$G$54,IF(N(Vintage_Input!Q316)&gt;0,IFERROR((Vintage_Input!I316+Vintage_Input!AW316)/$C364+Products!$G$14-(Products!$G$43+Products!$G$19+Products!$G$43*Products!$G$22+Products!$G$44),""),""))</f>
        <v/>
      </c>
      <c r="BF364" s="153">
        <f>IF($B364=1,$H$54,IF(N(Vintage_Input!R316)&gt;0,IFERROR((Vintage_Input!J316+Vintage_Input!AX316)/$C364+Products!$G$14-(Products!$G$43+Products!$G$19+Products!$G$43*Products!$G$22+Products!$G$44),""),""))</f>
        <v/>
      </c>
      <c r="BG364" s="153">
        <f>IF($B364=1,$I$54,IF(N(Vintage_Input!S316)&gt;0,IFERROR((Vintage_Input!K316+Vintage_Input!AY316)/$C364+Products!$G$14-(Products!$G$43+Products!$G$19+Products!$G$43*Products!$G$22+Products!$G$44),""),""))</f>
        <v/>
      </c>
      <c r="BH364" s="81">
        <f>IF($B364=1,0,IF(Vintage_Input!$BH$316="","",Vintage_Input!$BH$316))</f>
        <v/>
      </c>
    </row>
    <row r="365">
      <c r="A365" s="23" t="n">
        <v>49</v>
      </c>
      <c r="B365" s="48">
        <f>Vintage_Input!$B$317</f>
        <v/>
      </c>
      <c r="C365" s="41">
        <f>IF(Vintage_Input!$C$317="",0,Vintage_Input!$C$317)</f>
        <v/>
      </c>
      <c r="D365" s="152">
        <f>IF($B365=1,$B$48,IF(N(Vintage_Input!L317)&gt;0,Vintage_Input!D317/Vintage_Input!L317,""))</f>
        <v/>
      </c>
      <c r="E365" s="152">
        <f>IF($B365=1,$C$48,IF(N(Vintage_Input!M317)&gt;0,Vintage_Input!E317/Vintage_Input!M317,""))</f>
        <v/>
      </c>
      <c r="F365" s="152">
        <f>IF($B365=1,$D$48,IF(N(Vintage_Input!N317)&gt;0,Vintage_Input!F317/Vintage_Input!N317,""))</f>
        <v/>
      </c>
      <c r="G365" s="152">
        <f>IF($B365=1,$E$48,IF(N(Vintage_Input!O317)&gt;0,Vintage_Input!G317/Vintage_Input!O317,""))</f>
        <v/>
      </c>
      <c r="H365" s="152">
        <f>IF($B365=1,$F$48,IF(N(Vintage_Input!P317)&gt;0,Vintage_Input!H317/Vintage_Input!P317,""))</f>
        <v/>
      </c>
      <c r="I365" s="152">
        <f>IF($B365=1,$G$48,IF(N(Vintage_Input!Q317)&gt;0,Vintage_Input!I317/Vintage_Input!Q317,""))</f>
        <v/>
      </c>
      <c r="J365" s="152">
        <f>IF($B365=1,$H$48,IF(N(Vintage_Input!R317)&gt;0,Vintage_Input!J317/Vintage_Input!R317,""))</f>
        <v/>
      </c>
      <c r="K365" s="152">
        <f>IF($B365=1,$I$48,IF(N(Vintage_Input!S317)&gt;0,Vintage_Input!K317/Vintage_Input!S317,""))</f>
        <v/>
      </c>
      <c r="L365" s="152">
        <f>IF($B365=1,$B$49,IF(N(Vintage_Input!L317)&gt;0,Vintage_Input!T317/Vintage_Input!L317,""))</f>
        <v/>
      </c>
      <c r="M365" s="152">
        <f>IF($B365=1,$C$49,IF(N(Vintage_Input!M317)&gt;0,Vintage_Input!U317/Vintage_Input!M317,""))</f>
        <v/>
      </c>
      <c r="N365" s="152">
        <f>IF($B365=1,$D$49,IF(N(Vintage_Input!N317)&gt;0,Vintage_Input!V317/Vintage_Input!N317,""))</f>
        <v/>
      </c>
      <c r="O365" s="152">
        <f>IF($B365=1,$E$49,IF(N(Vintage_Input!O317)&gt;0,Vintage_Input!W317/Vintage_Input!O317,""))</f>
        <v/>
      </c>
      <c r="P365" s="152">
        <f>IF($B365=1,$F$49,IF(N(Vintage_Input!P317)&gt;0,Vintage_Input!X317/Vintage_Input!P317,""))</f>
        <v/>
      </c>
      <c r="Q365" s="152">
        <f>IF($B365=1,$G$49,IF(N(Vintage_Input!Q317)&gt;0,Vintage_Input!Y317/Vintage_Input!Q317,""))</f>
        <v/>
      </c>
      <c r="R365" s="152">
        <f>IF($B365=1,$H$49,IF(N(Vintage_Input!R317)&gt;0,Vintage_Input!Z317/Vintage_Input!R317,""))</f>
        <v/>
      </c>
      <c r="S365" s="152">
        <f>IF($B365=1,$I$49,IF(N(Vintage_Input!S317)&gt;0,Vintage_Input!AA317/Vintage_Input!S317,""))</f>
        <v/>
      </c>
      <c r="T365" s="152">
        <f>IF($B365=1,$B$50,IF(N(Vintage_Input!L317)&gt;0,Vintage_Input!AB317/Vintage_Input!L317,""))</f>
        <v/>
      </c>
      <c r="U365" s="152">
        <f>IF($B365=1,$C$50,IF(N(Vintage_Input!M317)&gt;0,Vintage_Input!AC317/Vintage_Input!M317,""))</f>
        <v/>
      </c>
      <c r="V365" s="152">
        <f>IF($B365=1,$D$50,IF(N(Vintage_Input!N317)&gt;0,Vintage_Input!AD317/Vintage_Input!N317,""))</f>
        <v/>
      </c>
      <c r="W365" s="152">
        <f>IF($B365=1,$E$50,IF(N(Vintage_Input!O317)&gt;0,Vintage_Input!AE317/Vintage_Input!O317,""))</f>
        <v/>
      </c>
      <c r="X365" s="152">
        <f>IF($B365=1,$F$50,IF(N(Vintage_Input!P317)&gt;0,Vintage_Input!AF317/Vintage_Input!P317,""))</f>
        <v/>
      </c>
      <c r="Y365" s="152">
        <f>IF($B365=1,$G$50,IF(N(Vintage_Input!Q317)&gt;0,Vintage_Input!AG317/Vintage_Input!Q317,""))</f>
        <v/>
      </c>
      <c r="Z365" s="152">
        <f>IF($B365=1,$H$50,IF(N(Vintage_Input!R317)&gt;0,Vintage_Input!AH317/Vintage_Input!R317,""))</f>
        <v/>
      </c>
      <c r="AA365" s="152">
        <f>IF($B365=1,$I$50,IF(N(Vintage_Input!S317)&gt;0,Vintage_Input!AI317/Vintage_Input!S317,""))</f>
        <v/>
      </c>
      <c r="AB365" s="152">
        <f>IF($B365=1,$B$51,IF(N(Vintage_Input!L317)&gt;0,Vintage_Input!AJ317/Vintage_Input!L317,""))</f>
        <v/>
      </c>
      <c r="AC365" s="152">
        <f>IF($B365=1,$C$51,IF(N(Vintage_Input!M317)&gt;0,Vintage_Input!AK317/Vintage_Input!M317,""))</f>
        <v/>
      </c>
      <c r="AD365" s="152">
        <f>IF($B365=1,$D$51,IF(N(Vintage_Input!N317)&gt;0,Vintage_Input!AL317/Vintage_Input!N317,""))</f>
        <v/>
      </c>
      <c r="AE365" s="152">
        <f>IF($B365=1,$E$51,IF(N(Vintage_Input!O317)&gt;0,Vintage_Input!AM317/Vintage_Input!O317,""))</f>
        <v/>
      </c>
      <c r="AF365" s="152">
        <f>IF($B365=1,$F$51,IF(N(Vintage_Input!P317)&gt;0,Vintage_Input!AN317/Vintage_Input!P317,""))</f>
        <v/>
      </c>
      <c r="AG365" s="152">
        <f>IF($B365=1,$G$51,IF(N(Vintage_Input!Q317)&gt;0,Vintage_Input!AO317/Vintage_Input!Q317,""))</f>
        <v/>
      </c>
      <c r="AH365" s="152">
        <f>IF($B365=1,$H$51,IF(N(Vintage_Input!R317)&gt;0,Vintage_Input!AP317/Vintage_Input!R317,""))</f>
        <v/>
      </c>
      <c r="AI365" s="152">
        <f>IF($B365=1,$I$51,IF(N(Vintage_Input!S317)&gt;0,Vintage_Input!AQ317/Vintage_Input!S317,""))</f>
        <v/>
      </c>
      <c r="AJ365" s="152">
        <f>IF($B365=1,$B$52,IF(N(Vintage_Input!L317)&gt;0,IFERROR(Vintage_Input!AR317/Vintage_Input!AJ317,""),""))</f>
        <v/>
      </c>
      <c r="AK365" s="152">
        <f>IF($B365=1,$C$52,IF(N(Vintage_Input!M317)&gt;0,IFERROR(Vintage_Input!AS317/Vintage_Input!AK317,""),""))</f>
        <v/>
      </c>
      <c r="AL365" s="152">
        <f>IF($B365=1,$D$52,IF(N(Vintage_Input!N317)&gt;0,IFERROR(Vintage_Input!AT317/Vintage_Input!AL317,""),""))</f>
        <v/>
      </c>
      <c r="AM365" s="152">
        <f>IF($B365=1,$E$52,IF(N(Vintage_Input!O317)&gt;0,IFERROR(Vintage_Input!AU317/Vintage_Input!AM317,""),""))</f>
        <v/>
      </c>
      <c r="AN365" s="152">
        <f>IF($B365=1,$F$52,IF(N(Vintage_Input!P317)&gt;0,IFERROR(Vintage_Input!AV317/Vintage_Input!AN317,""),""))</f>
        <v/>
      </c>
      <c r="AO365" s="152">
        <f>IF($B365=1,$G$52,IF(N(Vintage_Input!Q317)&gt;0,IFERROR(Vintage_Input!AW317/Vintage_Input!AO317,""),""))</f>
        <v/>
      </c>
      <c r="AP365" s="152">
        <f>IF($B365=1,$H$52,IF(N(Vintage_Input!R317)&gt;0,IFERROR(Vintage_Input!AX317/Vintage_Input!AP317,""),""))</f>
        <v/>
      </c>
      <c r="AQ365" s="152">
        <f>IF($B365=1,$I$52,IF(N(Vintage_Input!S317)&gt;0,IFERROR(Vintage_Input!AY317/Vintage_Input!AQ317,""),""))</f>
        <v/>
      </c>
      <c r="AR365" s="152">
        <f>IF($B365=1,$B$53,IF(N(Vintage_Input!L317)&gt;0,IFERROR(Vintage_Input!AZ317/$C365,""),""))</f>
        <v/>
      </c>
      <c r="AS365" s="152">
        <f>IF($B365=1,$C$53,IF(N(Vintage_Input!M317)&gt;0,IFERROR(Vintage_Input!BA317/$C365,""),""))</f>
        <v/>
      </c>
      <c r="AT365" s="152">
        <f>IF($B365=1,$D$53,IF(N(Vintage_Input!N317)&gt;0,IFERROR(Vintage_Input!BB317/$C365,""),""))</f>
        <v/>
      </c>
      <c r="AU365" s="152">
        <f>IF($B365=1,$E$53,IF(N(Vintage_Input!O317)&gt;0,IFERROR(Vintage_Input!BC317/$C365,""),""))</f>
        <v/>
      </c>
      <c r="AV365" s="152">
        <f>IF($B365=1,$F$53,IF(N(Vintage_Input!P317)&gt;0,IFERROR(Vintage_Input!BD317/$C365,""),""))</f>
        <v/>
      </c>
      <c r="AW365" s="152">
        <f>IF($B365=1,$G$53,IF(N(Vintage_Input!Q317)&gt;0,IFERROR(Vintage_Input!BE317/$C365,""),""))</f>
        <v/>
      </c>
      <c r="AX365" s="152">
        <f>IF($B365=1,$H$53,IF(N(Vintage_Input!R317)&gt;0,IFERROR(Vintage_Input!BF317/$C365,""),""))</f>
        <v/>
      </c>
      <c r="AY365" s="152">
        <f>IF($B365=1,$I$53,IF(N(Vintage_Input!S317)&gt;0,IFERROR(Vintage_Input!BG317/$C365,""),""))</f>
        <v/>
      </c>
      <c r="AZ365" s="153">
        <f>IF($B365=1,$B$54,IF(N(Vintage_Input!L317)&gt;0,IFERROR((Vintage_Input!D317+Vintage_Input!AR317)/$C365+Products!$G$14-(Products!$G$43+Products!$G$19+Products!$G$43*Products!$G$22+Products!$G$44),""),""))</f>
        <v/>
      </c>
      <c r="BA365" s="153">
        <f>IF($B365=1,$C$54,IF(N(Vintage_Input!M317)&gt;0,IFERROR((Vintage_Input!E317+Vintage_Input!AS317)/$C365+Products!$G$14-(Products!$G$43+Products!$G$19+Products!$G$43*Products!$G$22+Products!$G$44),""),""))</f>
        <v/>
      </c>
      <c r="BB365" s="153">
        <f>IF($B365=1,$D$54,IF(N(Vintage_Input!N317)&gt;0,IFERROR((Vintage_Input!F317+Vintage_Input!AT317)/$C365+Products!$G$14-(Products!$G$43+Products!$G$19+Products!$G$43*Products!$G$22+Products!$G$44),""),""))</f>
        <v/>
      </c>
      <c r="BC365" s="153">
        <f>IF($B365=1,$E$54,IF(N(Vintage_Input!O317)&gt;0,IFERROR((Vintage_Input!G317+Vintage_Input!AU317)/$C365+Products!$G$14-(Products!$G$43+Products!$G$19+Products!$G$43*Products!$G$22+Products!$G$44),""),""))</f>
        <v/>
      </c>
      <c r="BD365" s="153">
        <f>IF($B365=1,$F$54,IF(N(Vintage_Input!P317)&gt;0,IFERROR((Vintage_Input!H317+Vintage_Input!AV317)/$C365+Products!$G$14-(Products!$G$43+Products!$G$19+Products!$G$43*Products!$G$22+Products!$G$44),""),""))</f>
        <v/>
      </c>
      <c r="BE365" s="153">
        <f>IF($B365=1,$G$54,IF(N(Vintage_Input!Q317)&gt;0,IFERROR((Vintage_Input!I317+Vintage_Input!AW317)/$C365+Products!$G$14-(Products!$G$43+Products!$G$19+Products!$G$43*Products!$G$22+Products!$G$44),""),""))</f>
        <v/>
      </c>
      <c r="BF365" s="153">
        <f>IF($B365=1,$H$54,IF(N(Vintage_Input!R317)&gt;0,IFERROR((Vintage_Input!J317+Vintage_Input!AX317)/$C365+Products!$G$14-(Products!$G$43+Products!$G$19+Products!$G$43*Products!$G$22+Products!$G$44),""),""))</f>
        <v/>
      </c>
      <c r="BG365" s="153">
        <f>IF($B365=1,$I$54,IF(N(Vintage_Input!S317)&gt;0,IFERROR((Vintage_Input!K317+Vintage_Input!AY317)/$C365+Products!$G$14-(Products!$G$43+Products!$G$19+Products!$G$43*Products!$G$22+Products!$G$44),""),""))</f>
        <v/>
      </c>
      <c r="BH365" s="81">
        <f>IF($B365=1,0,IF(Vintage_Input!$BH$317="","",Vintage_Input!$BH$317))</f>
        <v/>
      </c>
    </row>
    <row r="366">
      <c r="A366" s="23" t="n">
        <v>50</v>
      </c>
      <c r="B366" s="48">
        <f>Vintage_Input!$B$318</f>
        <v/>
      </c>
      <c r="C366" s="41">
        <f>IF(Vintage_Input!$C$318="",0,Vintage_Input!$C$318)</f>
        <v/>
      </c>
      <c r="D366" s="152">
        <f>IF($B366=1,$B$48,IF(N(Vintage_Input!L318)&gt;0,Vintage_Input!D318/Vintage_Input!L318,""))</f>
        <v/>
      </c>
      <c r="E366" s="152">
        <f>IF($B366=1,$C$48,IF(N(Vintage_Input!M318)&gt;0,Vintage_Input!E318/Vintage_Input!M318,""))</f>
        <v/>
      </c>
      <c r="F366" s="152">
        <f>IF($B366=1,$D$48,IF(N(Vintage_Input!N318)&gt;0,Vintage_Input!F318/Vintage_Input!N318,""))</f>
        <v/>
      </c>
      <c r="G366" s="152">
        <f>IF($B366=1,$E$48,IF(N(Vintage_Input!O318)&gt;0,Vintage_Input!G318/Vintage_Input!O318,""))</f>
        <v/>
      </c>
      <c r="H366" s="152">
        <f>IF($B366=1,$F$48,IF(N(Vintage_Input!P318)&gt;0,Vintage_Input!H318/Vintage_Input!P318,""))</f>
        <v/>
      </c>
      <c r="I366" s="152">
        <f>IF($B366=1,$G$48,IF(N(Vintage_Input!Q318)&gt;0,Vintage_Input!I318/Vintage_Input!Q318,""))</f>
        <v/>
      </c>
      <c r="J366" s="152">
        <f>IF($B366=1,$H$48,IF(N(Vintage_Input!R318)&gt;0,Vintage_Input!J318/Vintage_Input!R318,""))</f>
        <v/>
      </c>
      <c r="K366" s="152">
        <f>IF($B366=1,$I$48,IF(N(Vintage_Input!S318)&gt;0,Vintage_Input!K318/Vintage_Input!S318,""))</f>
        <v/>
      </c>
      <c r="L366" s="152">
        <f>IF($B366=1,$B$49,IF(N(Vintage_Input!L318)&gt;0,Vintage_Input!T318/Vintage_Input!L318,""))</f>
        <v/>
      </c>
      <c r="M366" s="152">
        <f>IF($B366=1,$C$49,IF(N(Vintage_Input!M318)&gt;0,Vintage_Input!U318/Vintage_Input!M318,""))</f>
        <v/>
      </c>
      <c r="N366" s="152">
        <f>IF($B366=1,$D$49,IF(N(Vintage_Input!N318)&gt;0,Vintage_Input!V318/Vintage_Input!N318,""))</f>
        <v/>
      </c>
      <c r="O366" s="152">
        <f>IF($B366=1,$E$49,IF(N(Vintage_Input!O318)&gt;0,Vintage_Input!W318/Vintage_Input!O318,""))</f>
        <v/>
      </c>
      <c r="P366" s="152">
        <f>IF($B366=1,$F$49,IF(N(Vintage_Input!P318)&gt;0,Vintage_Input!X318/Vintage_Input!P318,""))</f>
        <v/>
      </c>
      <c r="Q366" s="152">
        <f>IF($B366=1,$G$49,IF(N(Vintage_Input!Q318)&gt;0,Vintage_Input!Y318/Vintage_Input!Q318,""))</f>
        <v/>
      </c>
      <c r="R366" s="152">
        <f>IF($B366=1,$H$49,IF(N(Vintage_Input!R318)&gt;0,Vintage_Input!Z318/Vintage_Input!R318,""))</f>
        <v/>
      </c>
      <c r="S366" s="152">
        <f>IF($B366=1,$I$49,IF(N(Vintage_Input!S318)&gt;0,Vintage_Input!AA318/Vintage_Input!S318,""))</f>
        <v/>
      </c>
      <c r="T366" s="152">
        <f>IF($B366=1,$B$50,IF(N(Vintage_Input!L318)&gt;0,Vintage_Input!AB318/Vintage_Input!L318,""))</f>
        <v/>
      </c>
      <c r="U366" s="152">
        <f>IF($B366=1,$C$50,IF(N(Vintage_Input!M318)&gt;0,Vintage_Input!AC318/Vintage_Input!M318,""))</f>
        <v/>
      </c>
      <c r="V366" s="152">
        <f>IF($B366=1,$D$50,IF(N(Vintage_Input!N318)&gt;0,Vintage_Input!AD318/Vintage_Input!N318,""))</f>
        <v/>
      </c>
      <c r="W366" s="152">
        <f>IF($B366=1,$E$50,IF(N(Vintage_Input!O318)&gt;0,Vintage_Input!AE318/Vintage_Input!O318,""))</f>
        <v/>
      </c>
      <c r="X366" s="152">
        <f>IF($B366=1,$F$50,IF(N(Vintage_Input!P318)&gt;0,Vintage_Input!AF318/Vintage_Input!P318,""))</f>
        <v/>
      </c>
      <c r="Y366" s="152">
        <f>IF($B366=1,$G$50,IF(N(Vintage_Input!Q318)&gt;0,Vintage_Input!AG318/Vintage_Input!Q318,""))</f>
        <v/>
      </c>
      <c r="Z366" s="152">
        <f>IF($B366=1,$H$50,IF(N(Vintage_Input!R318)&gt;0,Vintage_Input!AH318/Vintage_Input!R318,""))</f>
        <v/>
      </c>
      <c r="AA366" s="152">
        <f>IF($B366=1,$I$50,IF(N(Vintage_Input!S318)&gt;0,Vintage_Input!AI318/Vintage_Input!S318,""))</f>
        <v/>
      </c>
      <c r="AB366" s="152">
        <f>IF($B366=1,$B$51,IF(N(Vintage_Input!L318)&gt;0,Vintage_Input!AJ318/Vintage_Input!L318,""))</f>
        <v/>
      </c>
      <c r="AC366" s="152">
        <f>IF($B366=1,$C$51,IF(N(Vintage_Input!M318)&gt;0,Vintage_Input!AK318/Vintage_Input!M318,""))</f>
        <v/>
      </c>
      <c r="AD366" s="152">
        <f>IF($B366=1,$D$51,IF(N(Vintage_Input!N318)&gt;0,Vintage_Input!AL318/Vintage_Input!N318,""))</f>
        <v/>
      </c>
      <c r="AE366" s="152">
        <f>IF($B366=1,$E$51,IF(N(Vintage_Input!O318)&gt;0,Vintage_Input!AM318/Vintage_Input!O318,""))</f>
        <v/>
      </c>
      <c r="AF366" s="152">
        <f>IF($B366=1,$F$51,IF(N(Vintage_Input!P318)&gt;0,Vintage_Input!AN318/Vintage_Input!P318,""))</f>
        <v/>
      </c>
      <c r="AG366" s="152">
        <f>IF($B366=1,$G$51,IF(N(Vintage_Input!Q318)&gt;0,Vintage_Input!AO318/Vintage_Input!Q318,""))</f>
        <v/>
      </c>
      <c r="AH366" s="152">
        <f>IF($B366=1,$H$51,IF(N(Vintage_Input!R318)&gt;0,Vintage_Input!AP318/Vintage_Input!R318,""))</f>
        <v/>
      </c>
      <c r="AI366" s="152">
        <f>IF($B366=1,$I$51,IF(N(Vintage_Input!S318)&gt;0,Vintage_Input!AQ318/Vintage_Input!S318,""))</f>
        <v/>
      </c>
      <c r="AJ366" s="152">
        <f>IF($B366=1,$B$52,IF(N(Vintage_Input!L318)&gt;0,IFERROR(Vintage_Input!AR318/Vintage_Input!AJ318,""),""))</f>
        <v/>
      </c>
      <c r="AK366" s="152">
        <f>IF($B366=1,$C$52,IF(N(Vintage_Input!M318)&gt;0,IFERROR(Vintage_Input!AS318/Vintage_Input!AK318,""),""))</f>
        <v/>
      </c>
      <c r="AL366" s="152">
        <f>IF($B366=1,$D$52,IF(N(Vintage_Input!N318)&gt;0,IFERROR(Vintage_Input!AT318/Vintage_Input!AL318,""),""))</f>
        <v/>
      </c>
      <c r="AM366" s="152">
        <f>IF($B366=1,$E$52,IF(N(Vintage_Input!O318)&gt;0,IFERROR(Vintage_Input!AU318/Vintage_Input!AM318,""),""))</f>
        <v/>
      </c>
      <c r="AN366" s="152">
        <f>IF($B366=1,$F$52,IF(N(Vintage_Input!P318)&gt;0,IFERROR(Vintage_Input!AV318/Vintage_Input!AN318,""),""))</f>
        <v/>
      </c>
      <c r="AO366" s="152">
        <f>IF($B366=1,$G$52,IF(N(Vintage_Input!Q318)&gt;0,IFERROR(Vintage_Input!AW318/Vintage_Input!AO318,""),""))</f>
        <v/>
      </c>
      <c r="AP366" s="152">
        <f>IF($B366=1,$H$52,IF(N(Vintage_Input!R318)&gt;0,IFERROR(Vintage_Input!AX318/Vintage_Input!AP318,""),""))</f>
        <v/>
      </c>
      <c r="AQ366" s="152">
        <f>IF($B366=1,$I$52,IF(N(Vintage_Input!S318)&gt;0,IFERROR(Vintage_Input!AY318/Vintage_Input!AQ318,""),""))</f>
        <v/>
      </c>
      <c r="AR366" s="152">
        <f>IF($B366=1,$B$53,IF(N(Vintage_Input!L318)&gt;0,IFERROR(Vintage_Input!AZ318/$C366,""),""))</f>
        <v/>
      </c>
      <c r="AS366" s="152">
        <f>IF($B366=1,$C$53,IF(N(Vintage_Input!M318)&gt;0,IFERROR(Vintage_Input!BA318/$C366,""),""))</f>
        <v/>
      </c>
      <c r="AT366" s="152">
        <f>IF($B366=1,$D$53,IF(N(Vintage_Input!N318)&gt;0,IFERROR(Vintage_Input!BB318/$C366,""),""))</f>
        <v/>
      </c>
      <c r="AU366" s="152">
        <f>IF($B366=1,$E$53,IF(N(Vintage_Input!O318)&gt;0,IFERROR(Vintage_Input!BC318/$C366,""),""))</f>
        <v/>
      </c>
      <c r="AV366" s="152">
        <f>IF($B366=1,$F$53,IF(N(Vintage_Input!P318)&gt;0,IFERROR(Vintage_Input!BD318/$C366,""),""))</f>
        <v/>
      </c>
      <c r="AW366" s="152">
        <f>IF($B366=1,$G$53,IF(N(Vintage_Input!Q318)&gt;0,IFERROR(Vintage_Input!BE318/$C366,""),""))</f>
        <v/>
      </c>
      <c r="AX366" s="152">
        <f>IF($B366=1,$H$53,IF(N(Vintage_Input!R318)&gt;0,IFERROR(Vintage_Input!BF318/$C366,""),""))</f>
        <v/>
      </c>
      <c r="AY366" s="152">
        <f>IF($B366=1,$I$53,IF(N(Vintage_Input!S318)&gt;0,IFERROR(Vintage_Input!BG318/$C366,""),""))</f>
        <v/>
      </c>
      <c r="AZ366" s="153">
        <f>IF($B366=1,$B$54,IF(N(Vintage_Input!L318)&gt;0,IFERROR((Vintage_Input!D318+Vintage_Input!AR318)/$C366+Products!$G$14-(Products!$G$43+Products!$G$19+Products!$G$43*Products!$G$22+Products!$G$44),""),""))</f>
        <v/>
      </c>
      <c r="BA366" s="153">
        <f>IF($B366=1,$C$54,IF(N(Vintage_Input!M318)&gt;0,IFERROR((Vintage_Input!E318+Vintage_Input!AS318)/$C366+Products!$G$14-(Products!$G$43+Products!$G$19+Products!$G$43*Products!$G$22+Products!$G$44),""),""))</f>
        <v/>
      </c>
      <c r="BB366" s="153">
        <f>IF($B366=1,$D$54,IF(N(Vintage_Input!N318)&gt;0,IFERROR((Vintage_Input!F318+Vintage_Input!AT318)/$C366+Products!$G$14-(Products!$G$43+Products!$G$19+Products!$G$43*Products!$G$22+Products!$G$44),""),""))</f>
        <v/>
      </c>
      <c r="BC366" s="153">
        <f>IF($B366=1,$E$54,IF(N(Vintage_Input!O318)&gt;0,IFERROR((Vintage_Input!G318+Vintage_Input!AU318)/$C366+Products!$G$14-(Products!$G$43+Products!$G$19+Products!$G$43*Products!$G$22+Products!$G$44),""),""))</f>
        <v/>
      </c>
      <c r="BD366" s="153">
        <f>IF($B366=1,$F$54,IF(N(Vintage_Input!P318)&gt;0,IFERROR((Vintage_Input!H318+Vintage_Input!AV318)/$C366+Products!$G$14-(Products!$G$43+Products!$G$19+Products!$G$43*Products!$G$22+Products!$G$44),""),""))</f>
        <v/>
      </c>
      <c r="BE366" s="153">
        <f>IF($B366=1,$G$54,IF(N(Vintage_Input!Q318)&gt;0,IFERROR((Vintage_Input!I318+Vintage_Input!AW318)/$C366+Products!$G$14-(Products!$G$43+Products!$G$19+Products!$G$43*Products!$G$22+Products!$G$44),""),""))</f>
        <v/>
      </c>
      <c r="BF366" s="153">
        <f>IF($B366=1,$H$54,IF(N(Vintage_Input!R318)&gt;0,IFERROR((Vintage_Input!J318+Vintage_Input!AX318)/$C366+Products!$G$14-(Products!$G$43+Products!$G$19+Products!$G$43*Products!$G$22+Products!$G$44),""),""))</f>
        <v/>
      </c>
      <c r="BG366" s="153">
        <f>IF($B366=1,$I$54,IF(N(Vintage_Input!S318)&gt;0,IFERROR((Vintage_Input!K318+Vintage_Input!AY318)/$C366+Products!$G$14-(Products!$G$43+Products!$G$19+Products!$G$43*Products!$G$22+Products!$G$44),""),""))</f>
        <v/>
      </c>
      <c r="BH366" s="81">
        <f>IF($B366=1,0,IF(Vintage_Input!$BH$318="","",Vintage_Input!$BH$318))</f>
        <v/>
      </c>
    </row>
    <row r="367">
      <c r="A367" s="23" t="n">
        <v>51</v>
      </c>
      <c r="B367" s="48">
        <f>Vintage_Input!$B$319</f>
        <v/>
      </c>
      <c r="C367" s="41">
        <f>IF(Vintage_Input!$C$319="",0,Vintage_Input!$C$319)</f>
        <v/>
      </c>
      <c r="D367" s="152">
        <f>IF($B367=1,$B$48,IF(N(Vintage_Input!L319)&gt;0,Vintage_Input!D319/Vintage_Input!L319,""))</f>
        <v/>
      </c>
      <c r="E367" s="152">
        <f>IF($B367=1,$C$48,IF(N(Vintage_Input!M319)&gt;0,Vintage_Input!E319/Vintage_Input!M319,""))</f>
        <v/>
      </c>
      <c r="F367" s="152">
        <f>IF($B367=1,$D$48,IF(N(Vintage_Input!N319)&gt;0,Vintage_Input!F319/Vintage_Input!N319,""))</f>
        <v/>
      </c>
      <c r="G367" s="152">
        <f>IF($B367=1,$E$48,IF(N(Vintage_Input!O319)&gt;0,Vintage_Input!G319/Vintage_Input!O319,""))</f>
        <v/>
      </c>
      <c r="H367" s="152">
        <f>IF($B367=1,$F$48,IF(N(Vintage_Input!P319)&gt;0,Vintage_Input!H319/Vintage_Input!P319,""))</f>
        <v/>
      </c>
      <c r="I367" s="152">
        <f>IF($B367=1,$G$48,IF(N(Vintage_Input!Q319)&gt;0,Vintage_Input!I319/Vintage_Input!Q319,""))</f>
        <v/>
      </c>
      <c r="J367" s="152">
        <f>IF($B367=1,$H$48,IF(N(Vintage_Input!R319)&gt;0,Vintage_Input!J319/Vintage_Input!R319,""))</f>
        <v/>
      </c>
      <c r="K367" s="152">
        <f>IF($B367=1,$I$48,IF(N(Vintage_Input!S319)&gt;0,Vintage_Input!K319/Vintage_Input!S319,""))</f>
        <v/>
      </c>
      <c r="L367" s="152">
        <f>IF($B367=1,$B$49,IF(N(Vintage_Input!L319)&gt;0,Vintage_Input!T319/Vintage_Input!L319,""))</f>
        <v/>
      </c>
      <c r="M367" s="152">
        <f>IF($B367=1,$C$49,IF(N(Vintage_Input!M319)&gt;0,Vintage_Input!U319/Vintage_Input!M319,""))</f>
        <v/>
      </c>
      <c r="N367" s="152">
        <f>IF($B367=1,$D$49,IF(N(Vintage_Input!N319)&gt;0,Vintage_Input!V319/Vintage_Input!N319,""))</f>
        <v/>
      </c>
      <c r="O367" s="152">
        <f>IF($B367=1,$E$49,IF(N(Vintage_Input!O319)&gt;0,Vintage_Input!W319/Vintage_Input!O319,""))</f>
        <v/>
      </c>
      <c r="P367" s="152">
        <f>IF($B367=1,$F$49,IF(N(Vintage_Input!P319)&gt;0,Vintage_Input!X319/Vintage_Input!P319,""))</f>
        <v/>
      </c>
      <c r="Q367" s="152">
        <f>IF($B367=1,$G$49,IF(N(Vintage_Input!Q319)&gt;0,Vintage_Input!Y319/Vintage_Input!Q319,""))</f>
        <v/>
      </c>
      <c r="R367" s="152">
        <f>IF($B367=1,$H$49,IF(N(Vintage_Input!R319)&gt;0,Vintage_Input!Z319/Vintage_Input!R319,""))</f>
        <v/>
      </c>
      <c r="S367" s="152">
        <f>IF($B367=1,$I$49,IF(N(Vintage_Input!S319)&gt;0,Vintage_Input!AA319/Vintage_Input!S319,""))</f>
        <v/>
      </c>
      <c r="T367" s="152">
        <f>IF($B367=1,$B$50,IF(N(Vintage_Input!L319)&gt;0,Vintage_Input!AB319/Vintage_Input!L319,""))</f>
        <v/>
      </c>
      <c r="U367" s="152">
        <f>IF($B367=1,$C$50,IF(N(Vintage_Input!M319)&gt;0,Vintage_Input!AC319/Vintage_Input!M319,""))</f>
        <v/>
      </c>
      <c r="V367" s="152">
        <f>IF($B367=1,$D$50,IF(N(Vintage_Input!N319)&gt;0,Vintage_Input!AD319/Vintage_Input!N319,""))</f>
        <v/>
      </c>
      <c r="W367" s="152">
        <f>IF($B367=1,$E$50,IF(N(Vintage_Input!O319)&gt;0,Vintage_Input!AE319/Vintage_Input!O319,""))</f>
        <v/>
      </c>
      <c r="X367" s="152">
        <f>IF($B367=1,$F$50,IF(N(Vintage_Input!P319)&gt;0,Vintage_Input!AF319/Vintage_Input!P319,""))</f>
        <v/>
      </c>
      <c r="Y367" s="152">
        <f>IF($B367=1,$G$50,IF(N(Vintage_Input!Q319)&gt;0,Vintage_Input!AG319/Vintage_Input!Q319,""))</f>
        <v/>
      </c>
      <c r="Z367" s="152">
        <f>IF($B367=1,$H$50,IF(N(Vintage_Input!R319)&gt;0,Vintage_Input!AH319/Vintage_Input!R319,""))</f>
        <v/>
      </c>
      <c r="AA367" s="152">
        <f>IF($B367=1,$I$50,IF(N(Vintage_Input!S319)&gt;0,Vintage_Input!AI319/Vintage_Input!S319,""))</f>
        <v/>
      </c>
      <c r="AB367" s="152">
        <f>IF($B367=1,$B$51,IF(N(Vintage_Input!L319)&gt;0,Vintage_Input!AJ319/Vintage_Input!L319,""))</f>
        <v/>
      </c>
      <c r="AC367" s="152">
        <f>IF($B367=1,$C$51,IF(N(Vintage_Input!M319)&gt;0,Vintage_Input!AK319/Vintage_Input!M319,""))</f>
        <v/>
      </c>
      <c r="AD367" s="152">
        <f>IF($B367=1,$D$51,IF(N(Vintage_Input!N319)&gt;0,Vintage_Input!AL319/Vintage_Input!N319,""))</f>
        <v/>
      </c>
      <c r="AE367" s="152">
        <f>IF($B367=1,$E$51,IF(N(Vintage_Input!O319)&gt;0,Vintage_Input!AM319/Vintage_Input!O319,""))</f>
        <v/>
      </c>
      <c r="AF367" s="152">
        <f>IF($B367=1,$F$51,IF(N(Vintage_Input!P319)&gt;0,Vintage_Input!AN319/Vintage_Input!P319,""))</f>
        <v/>
      </c>
      <c r="AG367" s="152">
        <f>IF($B367=1,$G$51,IF(N(Vintage_Input!Q319)&gt;0,Vintage_Input!AO319/Vintage_Input!Q319,""))</f>
        <v/>
      </c>
      <c r="AH367" s="152">
        <f>IF($B367=1,$H$51,IF(N(Vintage_Input!R319)&gt;0,Vintage_Input!AP319/Vintage_Input!R319,""))</f>
        <v/>
      </c>
      <c r="AI367" s="152">
        <f>IF($B367=1,$I$51,IF(N(Vintage_Input!S319)&gt;0,Vintage_Input!AQ319/Vintage_Input!S319,""))</f>
        <v/>
      </c>
      <c r="AJ367" s="152">
        <f>IF($B367=1,$B$52,IF(N(Vintage_Input!L319)&gt;0,IFERROR(Vintage_Input!AR319/Vintage_Input!AJ319,""),""))</f>
        <v/>
      </c>
      <c r="AK367" s="152">
        <f>IF($B367=1,$C$52,IF(N(Vintage_Input!M319)&gt;0,IFERROR(Vintage_Input!AS319/Vintage_Input!AK319,""),""))</f>
        <v/>
      </c>
      <c r="AL367" s="152">
        <f>IF($B367=1,$D$52,IF(N(Vintage_Input!N319)&gt;0,IFERROR(Vintage_Input!AT319/Vintage_Input!AL319,""),""))</f>
        <v/>
      </c>
      <c r="AM367" s="152">
        <f>IF($B367=1,$E$52,IF(N(Vintage_Input!O319)&gt;0,IFERROR(Vintage_Input!AU319/Vintage_Input!AM319,""),""))</f>
        <v/>
      </c>
      <c r="AN367" s="152">
        <f>IF($B367=1,$F$52,IF(N(Vintage_Input!P319)&gt;0,IFERROR(Vintage_Input!AV319/Vintage_Input!AN319,""),""))</f>
        <v/>
      </c>
      <c r="AO367" s="152">
        <f>IF($B367=1,$G$52,IF(N(Vintage_Input!Q319)&gt;0,IFERROR(Vintage_Input!AW319/Vintage_Input!AO319,""),""))</f>
        <v/>
      </c>
      <c r="AP367" s="152">
        <f>IF($B367=1,$H$52,IF(N(Vintage_Input!R319)&gt;0,IFERROR(Vintage_Input!AX319/Vintage_Input!AP319,""),""))</f>
        <v/>
      </c>
      <c r="AQ367" s="152">
        <f>IF($B367=1,$I$52,IF(N(Vintage_Input!S319)&gt;0,IFERROR(Vintage_Input!AY319/Vintage_Input!AQ319,""),""))</f>
        <v/>
      </c>
      <c r="AR367" s="152">
        <f>IF($B367=1,$B$53,IF(N(Vintage_Input!L319)&gt;0,IFERROR(Vintage_Input!AZ319/$C367,""),""))</f>
        <v/>
      </c>
      <c r="AS367" s="152">
        <f>IF($B367=1,$C$53,IF(N(Vintage_Input!M319)&gt;0,IFERROR(Vintage_Input!BA319/$C367,""),""))</f>
        <v/>
      </c>
      <c r="AT367" s="152">
        <f>IF($B367=1,$D$53,IF(N(Vintage_Input!N319)&gt;0,IFERROR(Vintage_Input!BB319/$C367,""),""))</f>
        <v/>
      </c>
      <c r="AU367" s="152">
        <f>IF($B367=1,$E$53,IF(N(Vintage_Input!O319)&gt;0,IFERROR(Vintage_Input!BC319/$C367,""),""))</f>
        <v/>
      </c>
      <c r="AV367" s="152">
        <f>IF($B367=1,$F$53,IF(N(Vintage_Input!P319)&gt;0,IFERROR(Vintage_Input!BD319/$C367,""),""))</f>
        <v/>
      </c>
      <c r="AW367" s="152">
        <f>IF($B367=1,$G$53,IF(N(Vintage_Input!Q319)&gt;0,IFERROR(Vintage_Input!BE319/$C367,""),""))</f>
        <v/>
      </c>
      <c r="AX367" s="152">
        <f>IF($B367=1,$H$53,IF(N(Vintage_Input!R319)&gt;0,IFERROR(Vintage_Input!BF319/$C367,""),""))</f>
        <v/>
      </c>
      <c r="AY367" s="152">
        <f>IF($B367=1,$I$53,IF(N(Vintage_Input!S319)&gt;0,IFERROR(Vintage_Input!BG319/$C367,""),""))</f>
        <v/>
      </c>
      <c r="AZ367" s="153">
        <f>IF($B367=1,$B$54,IF(N(Vintage_Input!L319)&gt;0,IFERROR((Vintage_Input!D319+Vintage_Input!AR319)/$C367+Products!$G$14-(Products!$G$43+Products!$G$19+Products!$G$43*Products!$G$22+Products!$G$44),""),""))</f>
        <v/>
      </c>
      <c r="BA367" s="153">
        <f>IF($B367=1,$C$54,IF(N(Vintage_Input!M319)&gt;0,IFERROR((Vintage_Input!E319+Vintage_Input!AS319)/$C367+Products!$G$14-(Products!$G$43+Products!$G$19+Products!$G$43*Products!$G$22+Products!$G$44),""),""))</f>
        <v/>
      </c>
      <c r="BB367" s="153">
        <f>IF($B367=1,$D$54,IF(N(Vintage_Input!N319)&gt;0,IFERROR((Vintage_Input!F319+Vintage_Input!AT319)/$C367+Products!$G$14-(Products!$G$43+Products!$G$19+Products!$G$43*Products!$G$22+Products!$G$44),""),""))</f>
        <v/>
      </c>
      <c r="BC367" s="153">
        <f>IF($B367=1,$E$54,IF(N(Vintage_Input!O319)&gt;0,IFERROR((Vintage_Input!G319+Vintage_Input!AU319)/$C367+Products!$G$14-(Products!$G$43+Products!$G$19+Products!$G$43*Products!$G$22+Products!$G$44),""),""))</f>
        <v/>
      </c>
      <c r="BD367" s="153">
        <f>IF($B367=1,$F$54,IF(N(Vintage_Input!P319)&gt;0,IFERROR((Vintage_Input!H319+Vintage_Input!AV319)/$C367+Products!$G$14-(Products!$G$43+Products!$G$19+Products!$G$43*Products!$G$22+Products!$G$44),""),""))</f>
        <v/>
      </c>
      <c r="BE367" s="153">
        <f>IF($B367=1,$G$54,IF(N(Vintage_Input!Q319)&gt;0,IFERROR((Vintage_Input!I319+Vintage_Input!AW319)/$C367+Products!$G$14-(Products!$G$43+Products!$G$19+Products!$G$43*Products!$G$22+Products!$G$44),""),""))</f>
        <v/>
      </c>
      <c r="BF367" s="153">
        <f>IF($B367=1,$H$54,IF(N(Vintage_Input!R319)&gt;0,IFERROR((Vintage_Input!J319+Vintage_Input!AX319)/$C367+Products!$G$14-(Products!$G$43+Products!$G$19+Products!$G$43*Products!$G$22+Products!$G$44),""),""))</f>
        <v/>
      </c>
      <c r="BG367" s="153">
        <f>IF($B367=1,$I$54,IF(N(Vintage_Input!S319)&gt;0,IFERROR((Vintage_Input!K319+Vintage_Input!AY319)/$C367+Products!$G$14-(Products!$G$43+Products!$G$19+Products!$G$43*Products!$G$22+Products!$G$44),""),""))</f>
        <v/>
      </c>
      <c r="BH367" s="81">
        <f>IF($B367=1,0,IF(Vintage_Input!$BH$319="","",Vintage_Input!$BH$319))</f>
        <v/>
      </c>
    </row>
    <row r="368">
      <c r="A368" s="23" t="n">
        <v>52</v>
      </c>
      <c r="B368" s="48">
        <f>Vintage_Input!$B$320</f>
        <v/>
      </c>
      <c r="C368" s="41">
        <f>IF(Vintage_Input!$C$320="",0,Vintage_Input!$C$320)</f>
        <v/>
      </c>
      <c r="D368" s="152">
        <f>IF($B368=1,$B$48,IF(N(Vintage_Input!L320)&gt;0,Vintage_Input!D320/Vintage_Input!L320,""))</f>
        <v/>
      </c>
      <c r="E368" s="152">
        <f>IF($B368=1,$C$48,IF(N(Vintage_Input!M320)&gt;0,Vintage_Input!E320/Vintage_Input!M320,""))</f>
        <v/>
      </c>
      <c r="F368" s="152">
        <f>IF($B368=1,$D$48,IF(N(Vintage_Input!N320)&gt;0,Vintage_Input!F320/Vintage_Input!N320,""))</f>
        <v/>
      </c>
      <c r="G368" s="152">
        <f>IF($B368=1,$E$48,IF(N(Vintage_Input!O320)&gt;0,Vintage_Input!G320/Vintage_Input!O320,""))</f>
        <v/>
      </c>
      <c r="H368" s="152">
        <f>IF($B368=1,$F$48,IF(N(Vintage_Input!P320)&gt;0,Vintage_Input!H320/Vintage_Input!P320,""))</f>
        <v/>
      </c>
      <c r="I368" s="152">
        <f>IF($B368=1,$G$48,IF(N(Vintage_Input!Q320)&gt;0,Vintage_Input!I320/Vintage_Input!Q320,""))</f>
        <v/>
      </c>
      <c r="J368" s="152">
        <f>IF($B368=1,$H$48,IF(N(Vintage_Input!R320)&gt;0,Vintage_Input!J320/Vintage_Input!R320,""))</f>
        <v/>
      </c>
      <c r="K368" s="152">
        <f>IF($B368=1,$I$48,IF(N(Vintage_Input!S320)&gt;0,Vintage_Input!K320/Vintage_Input!S320,""))</f>
        <v/>
      </c>
      <c r="L368" s="152">
        <f>IF($B368=1,$B$49,IF(N(Vintage_Input!L320)&gt;0,Vintage_Input!T320/Vintage_Input!L320,""))</f>
        <v/>
      </c>
      <c r="M368" s="152">
        <f>IF($B368=1,$C$49,IF(N(Vintage_Input!M320)&gt;0,Vintage_Input!U320/Vintage_Input!M320,""))</f>
        <v/>
      </c>
      <c r="N368" s="152">
        <f>IF($B368=1,$D$49,IF(N(Vintage_Input!N320)&gt;0,Vintage_Input!V320/Vintage_Input!N320,""))</f>
        <v/>
      </c>
      <c r="O368" s="152">
        <f>IF($B368=1,$E$49,IF(N(Vintage_Input!O320)&gt;0,Vintage_Input!W320/Vintage_Input!O320,""))</f>
        <v/>
      </c>
      <c r="P368" s="152">
        <f>IF($B368=1,$F$49,IF(N(Vintage_Input!P320)&gt;0,Vintage_Input!X320/Vintage_Input!P320,""))</f>
        <v/>
      </c>
      <c r="Q368" s="152">
        <f>IF($B368=1,$G$49,IF(N(Vintage_Input!Q320)&gt;0,Vintage_Input!Y320/Vintage_Input!Q320,""))</f>
        <v/>
      </c>
      <c r="R368" s="152">
        <f>IF($B368=1,$H$49,IF(N(Vintage_Input!R320)&gt;0,Vintage_Input!Z320/Vintage_Input!R320,""))</f>
        <v/>
      </c>
      <c r="S368" s="152">
        <f>IF($B368=1,$I$49,IF(N(Vintage_Input!S320)&gt;0,Vintage_Input!AA320/Vintage_Input!S320,""))</f>
        <v/>
      </c>
      <c r="T368" s="152">
        <f>IF($B368=1,$B$50,IF(N(Vintage_Input!L320)&gt;0,Vintage_Input!AB320/Vintage_Input!L320,""))</f>
        <v/>
      </c>
      <c r="U368" s="152">
        <f>IF($B368=1,$C$50,IF(N(Vintage_Input!M320)&gt;0,Vintage_Input!AC320/Vintage_Input!M320,""))</f>
        <v/>
      </c>
      <c r="V368" s="152">
        <f>IF($B368=1,$D$50,IF(N(Vintage_Input!N320)&gt;0,Vintage_Input!AD320/Vintage_Input!N320,""))</f>
        <v/>
      </c>
      <c r="W368" s="152">
        <f>IF($B368=1,$E$50,IF(N(Vintage_Input!O320)&gt;0,Vintage_Input!AE320/Vintage_Input!O320,""))</f>
        <v/>
      </c>
      <c r="X368" s="152">
        <f>IF($B368=1,$F$50,IF(N(Vintage_Input!P320)&gt;0,Vintage_Input!AF320/Vintage_Input!P320,""))</f>
        <v/>
      </c>
      <c r="Y368" s="152">
        <f>IF($B368=1,$G$50,IF(N(Vintage_Input!Q320)&gt;0,Vintage_Input!AG320/Vintage_Input!Q320,""))</f>
        <v/>
      </c>
      <c r="Z368" s="152">
        <f>IF($B368=1,$H$50,IF(N(Vintage_Input!R320)&gt;0,Vintage_Input!AH320/Vintage_Input!R320,""))</f>
        <v/>
      </c>
      <c r="AA368" s="152">
        <f>IF($B368=1,$I$50,IF(N(Vintage_Input!S320)&gt;0,Vintage_Input!AI320/Vintage_Input!S320,""))</f>
        <v/>
      </c>
      <c r="AB368" s="152">
        <f>IF($B368=1,$B$51,IF(N(Vintage_Input!L320)&gt;0,Vintage_Input!AJ320/Vintage_Input!L320,""))</f>
        <v/>
      </c>
      <c r="AC368" s="152">
        <f>IF($B368=1,$C$51,IF(N(Vintage_Input!M320)&gt;0,Vintage_Input!AK320/Vintage_Input!M320,""))</f>
        <v/>
      </c>
      <c r="AD368" s="152">
        <f>IF($B368=1,$D$51,IF(N(Vintage_Input!N320)&gt;0,Vintage_Input!AL320/Vintage_Input!N320,""))</f>
        <v/>
      </c>
      <c r="AE368" s="152">
        <f>IF($B368=1,$E$51,IF(N(Vintage_Input!O320)&gt;0,Vintage_Input!AM320/Vintage_Input!O320,""))</f>
        <v/>
      </c>
      <c r="AF368" s="152">
        <f>IF($B368=1,$F$51,IF(N(Vintage_Input!P320)&gt;0,Vintage_Input!AN320/Vintage_Input!P320,""))</f>
        <v/>
      </c>
      <c r="AG368" s="152">
        <f>IF($B368=1,$G$51,IF(N(Vintage_Input!Q320)&gt;0,Vintage_Input!AO320/Vintage_Input!Q320,""))</f>
        <v/>
      </c>
      <c r="AH368" s="152">
        <f>IF($B368=1,$H$51,IF(N(Vintage_Input!R320)&gt;0,Vintage_Input!AP320/Vintage_Input!R320,""))</f>
        <v/>
      </c>
      <c r="AI368" s="152">
        <f>IF($B368=1,$I$51,IF(N(Vintage_Input!S320)&gt;0,Vintage_Input!AQ320/Vintage_Input!S320,""))</f>
        <v/>
      </c>
      <c r="AJ368" s="152">
        <f>IF($B368=1,$B$52,IF(N(Vintage_Input!L320)&gt;0,IFERROR(Vintage_Input!AR320/Vintage_Input!AJ320,""),""))</f>
        <v/>
      </c>
      <c r="AK368" s="152">
        <f>IF($B368=1,$C$52,IF(N(Vintage_Input!M320)&gt;0,IFERROR(Vintage_Input!AS320/Vintage_Input!AK320,""),""))</f>
        <v/>
      </c>
      <c r="AL368" s="152">
        <f>IF($B368=1,$D$52,IF(N(Vintage_Input!N320)&gt;0,IFERROR(Vintage_Input!AT320/Vintage_Input!AL320,""),""))</f>
        <v/>
      </c>
      <c r="AM368" s="152">
        <f>IF($B368=1,$E$52,IF(N(Vintage_Input!O320)&gt;0,IFERROR(Vintage_Input!AU320/Vintage_Input!AM320,""),""))</f>
        <v/>
      </c>
      <c r="AN368" s="152">
        <f>IF($B368=1,$F$52,IF(N(Vintage_Input!P320)&gt;0,IFERROR(Vintage_Input!AV320/Vintage_Input!AN320,""),""))</f>
        <v/>
      </c>
      <c r="AO368" s="152">
        <f>IF($B368=1,$G$52,IF(N(Vintage_Input!Q320)&gt;0,IFERROR(Vintage_Input!AW320/Vintage_Input!AO320,""),""))</f>
        <v/>
      </c>
      <c r="AP368" s="152">
        <f>IF($B368=1,$H$52,IF(N(Vintage_Input!R320)&gt;0,IFERROR(Vintage_Input!AX320/Vintage_Input!AP320,""),""))</f>
        <v/>
      </c>
      <c r="AQ368" s="152">
        <f>IF($B368=1,$I$52,IF(N(Vintage_Input!S320)&gt;0,IFERROR(Vintage_Input!AY320/Vintage_Input!AQ320,""),""))</f>
        <v/>
      </c>
      <c r="AR368" s="152">
        <f>IF($B368=1,$B$53,IF(N(Vintage_Input!L320)&gt;0,IFERROR(Vintage_Input!AZ320/$C368,""),""))</f>
        <v/>
      </c>
      <c r="AS368" s="152">
        <f>IF($B368=1,$C$53,IF(N(Vintage_Input!M320)&gt;0,IFERROR(Vintage_Input!BA320/$C368,""),""))</f>
        <v/>
      </c>
      <c r="AT368" s="152">
        <f>IF($B368=1,$D$53,IF(N(Vintage_Input!N320)&gt;0,IFERROR(Vintage_Input!BB320/$C368,""),""))</f>
        <v/>
      </c>
      <c r="AU368" s="152">
        <f>IF($B368=1,$E$53,IF(N(Vintage_Input!O320)&gt;0,IFERROR(Vintage_Input!BC320/$C368,""),""))</f>
        <v/>
      </c>
      <c r="AV368" s="152">
        <f>IF($B368=1,$F$53,IF(N(Vintage_Input!P320)&gt;0,IFERROR(Vintage_Input!BD320/$C368,""),""))</f>
        <v/>
      </c>
      <c r="AW368" s="152">
        <f>IF($B368=1,$G$53,IF(N(Vintage_Input!Q320)&gt;0,IFERROR(Vintage_Input!BE320/$C368,""),""))</f>
        <v/>
      </c>
      <c r="AX368" s="152">
        <f>IF($B368=1,$H$53,IF(N(Vintage_Input!R320)&gt;0,IFERROR(Vintage_Input!BF320/$C368,""),""))</f>
        <v/>
      </c>
      <c r="AY368" s="152">
        <f>IF($B368=1,$I$53,IF(N(Vintage_Input!S320)&gt;0,IFERROR(Vintage_Input!BG320/$C368,""),""))</f>
        <v/>
      </c>
      <c r="AZ368" s="153">
        <f>IF($B368=1,$B$54,IF(N(Vintage_Input!L320)&gt;0,IFERROR((Vintage_Input!D320+Vintage_Input!AR320)/$C368+Products!$G$14-(Products!$G$43+Products!$G$19+Products!$G$43*Products!$G$22+Products!$G$44),""),""))</f>
        <v/>
      </c>
      <c r="BA368" s="153">
        <f>IF($B368=1,$C$54,IF(N(Vintage_Input!M320)&gt;0,IFERROR((Vintage_Input!E320+Vintage_Input!AS320)/$C368+Products!$G$14-(Products!$G$43+Products!$G$19+Products!$G$43*Products!$G$22+Products!$G$44),""),""))</f>
        <v/>
      </c>
      <c r="BB368" s="153">
        <f>IF($B368=1,$D$54,IF(N(Vintage_Input!N320)&gt;0,IFERROR((Vintage_Input!F320+Vintage_Input!AT320)/$C368+Products!$G$14-(Products!$G$43+Products!$G$19+Products!$G$43*Products!$G$22+Products!$G$44),""),""))</f>
        <v/>
      </c>
      <c r="BC368" s="153">
        <f>IF($B368=1,$E$54,IF(N(Vintage_Input!O320)&gt;0,IFERROR((Vintage_Input!G320+Vintage_Input!AU320)/$C368+Products!$G$14-(Products!$G$43+Products!$G$19+Products!$G$43*Products!$G$22+Products!$G$44),""),""))</f>
        <v/>
      </c>
      <c r="BD368" s="153">
        <f>IF($B368=1,$F$54,IF(N(Vintage_Input!P320)&gt;0,IFERROR((Vintage_Input!H320+Vintage_Input!AV320)/$C368+Products!$G$14-(Products!$G$43+Products!$G$19+Products!$G$43*Products!$G$22+Products!$G$44),""),""))</f>
        <v/>
      </c>
      <c r="BE368" s="153">
        <f>IF($B368=1,$G$54,IF(N(Vintage_Input!Q320)&gt;0,IFERROR((Vintage_Input!I320+Vintage_Input!AW320)/$C368+Products!$G$14-(Products!$G$43+Products!$G$19+Products!$G$43*Products!$G$22+Products!$G$44),""),""))</f>
        <v/>
      </c>
      <c r="BF368" s="153">
        <f>IF($B368=1,$H$54,IF(N(Vintage_Input!R320)&gt;0,IFERROR((Vintage_Input!J320+Vintage_Input!AX320)/$C368+Products!$G$14-(Products!$G$43+Products!$G$19+Products!$G$43*Products!$G$22+Products!$G$44),""),""))</f>
        <v/>
      </c>
      <c r="BG368" s="153">
        <f>IF($B368=1,$I$54,IF(N(Vintage_Input!S320)&gt;0,IFERROR((Vintage_Input!K320+Vintage_Input!AY320)/$C368+Products!$G$14-(Products!$G$43+Products!$G$19+Products!$G$43*Products!$G$22+Products!$G$44),""),""))</f>
        <v/>
      </c>
      <c r="BH368" s="81">
        <f>IF($B368=1,0,IF(Vintage_Input!$BH$320="","",Vintage_Input!$BH$320))</f>
        <v/>
      </c>
    </row>
    <row r="369">
      <c r="A369" s="23" t="n">
        <v>53</v>
      </c>
      <c r="B369" s="48">
        <f>Vintage_Input!$B$321</f>
        <v/>
      </c>
      <c r="C369" s="41">
        <f>IF(Vintage_Input!$C$321="",0,Vintage_Input!$C$321)</f>
        <v/>
      </c>
      <c r="D369" s="152">
        <f>IF($B369=1,$B$48,IF(N(Vintage_Input!L321)&gt;0,Vintage_Input!D321/Vintage_Input!L321,""))</f>
        <v/>
      </c>
      <c r="E369" s="152">
        <f>IF($B369=1,$C$48,IF(N(Vintage_Input!M321)&gt;0,Vintage_Input!E321/Vintage_Input!M321,""))</f>
        <v/>
      </c>
      <c r="F369" s="152">
        <f>IF($B369=1,$D$48,IF(N(Vintage_Input!N321)&gt;0,Vintage_Input!F321/Vintage_Input!N321,""))</f>
        <v/>
      </c>
      <c r="G369" s="152">
        <f>IF($B369=1,$E$48,IF(N(Vintage_Input!O321)&gt;0,Vintage_Input!G321/Vintage_Input!O321,""))</f>
        <v/>
      </c>
      <c r="H369" s="152">
        <f>IF($B369=1,$F$48,IF(N(Vintage_Input!P321)&gt;0,Vintage_Input!H321/Vintage_Input!P321,""))</f>
        <v/>
      </c>
      <c r="I369" s="152">
        <f>IF($B369=1,$G$48,IF(N(Vintage_Input!Q321)&gt;0,Vintage_Input!I321/Vintage_Input!Q321,""))</f>
        <v/>
      </c>
      <c r="J369" s="152">
        <f>IF($B369=1,$H$48,IF(N(Vintage_Input!R321)&gt;0,Vintage_Input!J321/Vintage_Input!R321,""))</f>
        <v/>
      </c>
      <c r="K369" s="152">
        <f>IF($B369=1,$I$48,IF(N(Vintage_Input!S321)&gt;0,Vintage_Input!K321/Vintage_Input!S321,""))</f>
        <v/>
      </c>
      <c r="L369" s="152">
        <f>IF($B369=1,$B$49,IF(N(Vintage_Input!L321)&gt;0,Vintage_Input!T321/Vintage_Input!L321,""))</f>
        <v/>
      </c>
      <c r="M369" s="152">
        <f>IF($B369=1,$C$49,IF(N(Vintage_Input!M321)&gt;0,Vintage_Input!U321/Vintage_Input!M321,""))</f>
        <v/>
      </c>
      <c r="N369" s="152">
        <f>IF($B369=1,$D$49,IF(N(Vintage_Input!N321)&gt;0,Vintage_Input!V321/Vintage_Input!N321,""))</f>
        <v/>
      </c>
      <c r="O369" s="152">
        <f>IF($B369=1,$E$49,IF(N(Vintage_Input!O321)&gt;0,Vintage_Input!W321/Vintage_Input!O321,""))</f>
        <v/>
      </c>
      <c r="P369" s="152">
        <f>IF($B369=1,$F$49,IF(N(Vintage_Input!P321)&gt;0,Vintage_Input!X321/Vintage_Input!P321,""))</f>
        <v/>
      </c>
      <c r="Q369" s="152">
        <f>IF($B369=1,$G$49,IF(N(Vintage_Input!Q321)&gt;0,Vintage_Input!Y321/Vintage_Input!Q321,""))</f>
        <v/>
      </c>
      <c r="R369" s="152">
        <f>IF($B369=1,$H$49,IF(N(Vintage_Input!R321)&gt;0,Vintage_Input!Z321/Vintage_Input!R321,""))</f>
        <v/>
      </c>
      <c r="S369" s="152">
        <f>IF($B369=1,$I$49,IF(N(Vintage_Input!S321)&gt;0,Vintage_Input!AA321/Vintage_Input!S321,""))</f>
        <v/>
      </c>
      <c r="T369" s="152">
        <f>IF($B369=1,$B$50,IF(N(Vintage_Input!L321)&gt;0,Vintage_Input!AB321/Vintage_Input!L321,""))</f>
        <v/>
      </c>
      <c r="U369" s="152">
        <f>IF($B369=1,$C$50,IF(N(Vintage_Input!M321)&gt;0,Vintage_Input!AC321/Vintage_Input!M321,""))</f>
        <v/>
      </c>
      <c r="V369" s="152">
        <f>IF($B369=1,$D$50,IF(N(Vintage_Input!N321)&gt;0,Vintage_Input!AD321/Vintage_Input!N321,""))</f>
        <v/>
      </c>
      <c r="W369" s="152">
        <f>IF($B369=1,$E$50,IF(N(Vintage_Input!O321)&gt;0,Vintage_Input!AE321/Vintage_Input!O321,""))</f>
        <v/>
      </c>
      <c r="X369" s="152">
        <f>IF($B369=1,$F$50,IF(N(Vintage_Input!P321)&gt;0,Vintage_Input!AF321/Vintage_Input!P321,""))</f>
        <v/>
      </c>
      <c r="Y369" s="152">
        <f>IF($B369=1,$G$50,IF(N(Vintage_Input!Q321)&gt;0,Vintage_Input!AG321/Vintage_Input!Q321,""))</f>
        <v/>
      </c>
      <c r="Z369" s="152">
        <f>IF($B369=1,$H$50,IF(N(Vintage_Input!R321)&gt;0,Vintage_Input!AH321/Vintage_Input!R321,""))</f>
        <v/>
      </c>
      <c r="AA369" s="152">
        <f>IF($B369=1,$I$50,IF(N(Vintage_Input!S321)&gt;0,Vintage_Input!AI321/Vintage_Input!S321,""))</f>
        <v/>
      </c>
      <c r="AB369" s="152">
        <f>IF($B369=1,$B$51,IF(N(Vintage_Input!L321)&gt;0,Vintage_Input!AJ321/Vintage_Input!L321,""))</f>
        <v/>
      </c>
      <c r="AC369" s="152">
        <f>IF($B369=1,$C$51,IF(N(Vintage_Input!M321)&gt;0,Vintage_Input!AK321/Vintage_Input!M321,""))</f>
        <v/>
      </c>
      <c r="AD369" s="152">
        <f>IF($B369=1,$D$51,IF(N(Vintage_Input!N321)&gt;0,Vintage_Input!AL321/Vintage_Input!N321,""))</f>
        <v/>
      </c>
      <c r="AE369" s="152">
        <f>IF($B369=1,$E$51,IF(N(Vintage_Input!O321)&gt;0,Vintage_Input!AM321/Vintage_Input!O321,""))</f>
        <v/>
      </c>
      <c r="AF369" s="152">
        <f>IF($B369=1,$F$51,IF(N(Vintage_Input!P321)&gt;0,Vintage_Input!AN321/Vintage_Input!P321,""))</f>
        <v/>
      </c>
      <c r="AG369" s="152">
        <f>IF($B369=1,$G$51,IF(N(Vintage_Input!Q321)&gt;0,Vintage_Input!AO321/Vintage_Input!Q321,""))</f>
        <v/>
      </c>
      <c r="AH369" s="152">
        <f>IF($B369=1,$H$51,IF(N(Vintage_Input!R321)&gt;0,Vintage_Input!AP321/Vintage_Input!R321,""))</f>
        <v/>
      </c>
      <c r="AI369" s="152">
        <f>IF($B369=1,$I$51,IF(N(Vintage_Input!S321)&gt;0,Vintage_Input!AQ321/Vintage_Input!S321,""))</f>
        <v/>
      </c>
      <c r="AJ369" s="152">
        <f>IF($B369=1,$B$52,IF(N(Vintage_Input!L321)&gt;0,IFERROR(Vintage_Input!AR321/Vintage_Input!AJ321,""),""))</f>
        <v/>
      </c>
      <c r="AK369" s="152">
        <f>IF($B369=1,$C$52,IF(N(Vintage_Input!M321)&gt;0,IFERROR(Vintage_Input!AS321/Vintage_Input!AK321,""),""))</f>
        <v/>
      </c>
      <c r="AL369" s="152">
        <f>IF($B369=1,$D$52,IF(N(Vintage_Input!N321)&gt;0,IFERROR(Vintage_Input!AT321/Vintage_Input!AL321,""),""))</f>
        <v/>
      </c>
      <c r="AM369" s="152">
        <f>IF($B369=1,$E$52,IF(N(Vintage_Input!O321)&gt;0,IFERROR(Vintage_Input!AU321/Vintage_Input!AM321,""),""))</f>
        <v/>
      </c>
      <c r="AN369" s="152">
        <f>IF($B369=1,$F$52,IF(N(Vintage_Input!P321)&gt;0,IFERROR(Vintage_Input!AV321/Vintage_Input!AN321,""),""))</f>
        <v/>
      </c>
      <c r="AO369" s="152">
        <f>IF($B369=1,$G$52,IF(N(Vintage_Input!Q321)&gt;0,IFERROR(Vintage_Input!AW321/Vintage_Input!AO321,""),""))</f>
        <v/>
      </c>
      <c r="AP369" s="152">
        <f>IF($B369=1,$H$52,IF(N(Vintage_Input!R321)&gt;0,IFERROR(Vintage_Input!AX321/Vintage_Input!AP321,""),""))</f>
        <v/>
      </c>
      <c r="AQ369" s="152">
        <f>IF($B369=1,$I$52,IF(N(Vintage_Input!S321)&gt;0,IFERROR(Vintage_Input!AY321/Vintage_Input!AQ321,""),""))</f>
        <v/>
      </c>
      <c r="AR369" s="152">
        <f>IF($B369=1,$B$53,IF(N(Vintage_Input!L321)&gt;0,IFERROR(Vintage_Input!AZ321/$C369,""),""))</f>
        <v/>
      </c>
      <c r="AS369" s="152">
        <f>IF($B369=1,$C$53,IF(N(Vintage_Input!M321)&gt;0,IFERROR(Vintage_Input!BA321/$C369,""),""))</f>
        <v/>
      </c>
      <c r="AT369" s="152">
        <f>IF($B369=1,$D$53,IF(N(Vintage_Input!N321)&gt;0,IFERROR(Vintage_Input!BB321/$C369,""),""))</f>
        <v/>
      </c>
      <c r="AU369" s="152">
        <f>IF($B369=1,$E$53,IF(N(Vintage_Input!O321)&gt;0,IFERROR(Vintage_Input!BC321/$C369,""),""))</f>
        <v/>
      </c>
      <c r="AV369" s="152">
        <f>IF($B369=1,$F$53,IF(N(Vintage_Input!P321)&gt;0,IFERROR(Vintage_Input!BD321/$C369,""),""))</f>
        <v/>
      </c>
      <c r="AW369" s="152">
        <f>IF($B369=1,$G$53,IF(N(Vintage_Input!Q321)&gt;0,IFERROR(Vintage_Input!BE321/$C369,""),""))</f>
        <v/>
      </c>
      <c r="AX369" s="152">
        <f>IF($B369=1,$H$53,IF(N(Vintage_Input!R321)&gt;0,IFERROR(Vintage_Input!BF321/$C369,""),""))</f>
        <v/>
      </c>
      <c r="AY369" s="152">
        <f>IF($B369=1,$I$53,IF(N(Vintage_Input!S321)&gt;0,IFERROR(Vintage_Input!BG321/$C369,""),""))</f>
        <v/>
      </c>
      <c r="AZ369" s="153">
        <f>IF($B369=1,$B$54,IF(N(Vintage_Input!L321)&gt;0,IFERROR((Vintage_Input!D321+Vintage_Input!AR321)/$C369+Products!$G$14-(Products!$G$43+Products!$G$19+Products!$G$43*Products!$G$22+Products!$G$44),""),""))</f>
        <v/>
      </c>
      <c r="BA369" s="153">
        <f>IF($B369=1,$C$54,IF(N(Vintage_Input!M321)&gt;0,IFERROR((Vintage_Input!E321+Vintage_Input!AS321)/$C369+Products!$G$14-(Products!$G$43+Products!$G$19+Products!$G$43*Products!$G$22+Products!$G$44),""),""))</f>
        <v/>
      </c>
      <c r="BB369" s="153">
        <f>IF($B369=1,$D$54,IF(N(Vintage_Input!N321)&gt;0,IFERROR((Vintage_Input!F321+Vintage_Input!AT321)/$C369+Products!$G$14-(Products!$G$43+Products!$G$19+Products!$G$43*Products!$G$22+Products!$G$44),""),""))</f>
        <v/>
      </c>
      <c r="BC369" s="153">
        <f>IF($B369=1,$E$54,IF(N(Vintage_Input!O321)&gt;0,IFERROR((Vintage_Input!G321+Vintage_Input!AU321)/$C369+Products!$G$14-(Products!$G$43+Products!$G$19+Products!$G$43*Products!$G$22+Products!$G$44),""),""))</f>
        <v/>
      </c>
      <c r="BD369" s="153">
        <f>IF($B369=1,$F$54,IF(N(Vintage_Input!P321)&gt;0,IFERROR((Vintage_Input!H321+Vintage_Input!AV321)/$C369+Products!$G$14-(Products!$G$43+Products!$G$19+Products!$G$43*Products!$G$22+Products!$G$44),""),""))</f>
        <v/>
      </c>
      <c r="BE369" s="153">
        <f>IF($B369=1,$G$54,IF(N(Vintage_Input!Q321)&gt;0,IFERROR((Vintage_Input!I321+Vintage_Input!AW321)/$C369+Products!$G$14-(Products!$G$43+Products!$G$19+Products!$G$43*Products!$G$22+Products!$G$44),""),""))</f>
        <v/>
      </c>
      <c r="BF369" s="153">
        <f>IF($B369=1,$H$54,IF(N(Vintage_Input!R321)&gt;0,IFERROR((Vintage_Input!J321+Vintage_Input!AX321)/$C369+Products!$G$14-(Products!$G$43+Products!$G$19+Products!$G$43*Products!$G$22+Products!$G$44),""),""))</f>
        <v/>
      </c>
      <c r="BG369" s="153">
        <f>IF($B369=1,$I$54,IF(N(Vintage_Input!S321)&gt;0,IFERROR((Vintage_Input!K321+Vintage_Input!AY321)/$C369+Products!$G$14-(Products!$G$43+Products!$G$19+Products!$G$43*Products!$G$22+Products!$G$44),""),""))</f>
        <v/>
      </c>
      <c r="BH369" s="81">
        <f>IF($B369=1,0,IF(Vintage_Input!$BH$321="","",Vintage_Input!$BH$321))</f>
        <v/>
      </c>
    </row>
    <row r="370">
      <c r="A370" s="23" t="n">
        <v>54</v>
      </c>
      <c r="B370" s="48">
        <f>Vintage_Input!$B$322</f>
        <v/>
      </c>
      <c r="C370" s="41">
        <f>IF(Vintage_Input!$C$322="",0,Vintage_Input!$C$322)</f>
        <v/>
      </c>
      <c r="D370" s="152">
        <f>IF($B370=1,$B$48,IF(N(Vintage_Input!L322)&gt;0,Vintage_Input!D322/Vintage_Input!L322,""))</f>
        <v/>
      </c>
      <c r="E370" s="152">
        <f>IF($B370=1,$C$48,IF(N(Vintage_Input!M322)&gt;0,Vintage_Input!E322/Vintage_Input!M322,""))</f>
        <v/>
      </c>
      <c r="F370" s="152">
        <f>IF($B370=1,$D$48,IF(N(Vintage_Input!N322)&gt;0,Vintage_Input!F322/Vintage_Input!N322,""))</f>
        <v/>
      </c>
      <c r="G370" s="152">
        <f>IF($B370=1,$E$48,IF(N(Vintage_Input!O322)&gt;0,Vintage_Input!G322/Vintage_Input!O322,""))</f>
        <v/>
      </c>
      <c r="H370" s="152">
        <f>IF($B370=1,$F$48,IF(N(Vintage_Input!P322)&gt;0,Vintage_Input!H322/Vintage_Input!P322,""))</f>
        <v/>
      </c>
      <c r="I370" s="152">
        <f>IF($B370=1,$G$48,IF(N(Vintage_Input!Q322)&gt;0,Vintage_Input!I322/Vintage_Input!Q322,""))</f>
        <v/>
      </c>
      <c r="J370" s="152">
        <f>IF($B370=1,$H$48,IF(N(Vintage_Input!R322)&gt;0,Vintage_Input!J322/Vintage_Input!R322,""))</f>
        <v/>
      </c>
      <c r="K370" s="152">
        <f>IF($B370=1,$I$48,IF(N(Vintage_Input!S322)&gt;0,Vintage_Input!K322/Vintage_Input!S322,""))</f>
        <v/>
      </c>
      <c r="L370" s="152">
        <f>IF($B370=1,$B$49,IF(N(Vintage_Input!L322)&gt;0,Vintage_Input!T322/Vintage_Input!L322,""))</f>
        <v/>
      </c>
      <c r="M370" s="152">
        <f>IF($B370=1,$C$49,IF(N(Vintage_Input!M322)&gt;0,Vintage_Input!U322/Vintage_Input!M322,""))</f>
        <v/>
      </c>
      <c r="N370" s="152">
        <f>IF($B370=1,$D$49,IF(N(Vintage_Input!N322)&gt;0,Vintage_Input!V322/Vintage_Input!N322,""))</f>
        <v/>
      </c>
      <c r="O370" s="152">
        <f>IF($B370=1,$E$49,IF(N(Vintage_Input!O322)&gt;0,Vintage_Input!W322/Vintage_Input!O322,""))</f>
        <v/>
      </c>
      <c r="P370" s="152">
        <f>IF($B370=1,$F$49,IF(N(Vintage_Input!P322)&gt;0,Vintage_Input!X322/Vintage_Input!P322,""))</f>
        <v/>
      </c>
      <c r="Q370" s="152">
        <f>IF($B370=1,$G$49,IF(N(Vintage_Input!Q322)&gt;0,Vintage_Input!Y322/Vintage_Input!Q322,""))</f>
        <v/>
      </c>
      <c r="R370" s="152">
        <f>IF($B370=1,$H$49,IF(N(Vintage_Input!R322)&gt;0,Vintage_Input!Z322/Vintage_Input!R322,""))</f>
        <v/>
      </c>
      <c r="S370" s="152">
        <f>IF($B370=1,$I$49,IF(N(Vintage_Input!S322)&gt;0,Vintage_Input!AA322/Vintage_Input!S322,""))</f>
        <v/>
      </c>
      <c r="T370" s="152">
        <f>IF($B370=1,$B$50,IF(N(Vintage_Input!L322)&gt;0,Vintage_Input!AB322/Vintage_Input!L322,""))</f>
        <v/>
      </c>
      <c r="U370" s="152">
        <f>IF($B370=1,$C$50,IF(N(Vintage_Input!M322)&gt;0,Vintage_Input!AC322/Vintage_Input!M322,""))</f>
        <v/>
      </c>
      <c r="V370" s="152">
        <f>IF($B370=1,$D$50,IF(N(Vintage_Input!N322)&gt;0,Vintage_Input!AD322/Vintage_Input!N322,""))</f>
        <v/>
      </c>
      <c r="W370" s="152">
        <f>IF($B370=1,$E$50,IF(N(Vintage_Input!O322)&gt;0,Vintage_Input!AE322/Vintage_Input!O322,""))</f>
        <v/>
      </c>
      <c r="X370" s="152">
        <f>IF($B370=1,$F$50,IF(N(Vintage_Input!P322)&gt;0,Vintage_Input!AF322/Vintage_Input!P322,""))</f>
        <v/>
      </c>
      <c r="Y370" s="152">
        <f>IF($B370=1,$G$50,IF(N(Vintage_Input!Q322)&gt;0,Vintage_Input!AG322/Vintage_Input!Q322,""))</f>
        <v/>
      </c>
      <c r="Z370" s="152">
        <f>IF($B370=1,$H$50,IF(N(Vintage_Input!R322)&gt;0,Vintage_Input!AH322/Vintage_Input!R322,""))</f>
        <v/>
      </c>
      <c r="AA370" s="152">
        <f>IF($B370=1,$I$50,IF(N(Vintage_Input!S322)&gt;0,Vintage_Input!AI322/Vintage_Input!S322,""))</f>
        <v/>
      </c>
      <c r="AB370" s="152">
        <f>IF($B370=1,$B$51,IF(N(Vintage_Input!L322)&gt;0,Vintage_Input!AJ322/Vintage_Input!L322,""))</f>
        <v/>
      </c>
      <c r="AC370" s="152">
        <f>IF($B370=1,$C$51,IF(N(Vintage_Input!M322)&gt;0,Vintage_Input!AK322/Vintage_Input!M322,""))</f>
        <v/>
      </c>
      <c r="AD370" s="152">
        <f>IF($B370=1,$D$51,IF(N(Vintage_Input!N322)&gt;0,Vintage_Input!AL322/Vintage_Input!N322,""))</f>
        <v/>
      </c>
      <c r="AE370" s="152">
        <f>IF($B370=1,$E$51,IF(N(Vintage_Input!O322)&gt;0,Vintage_Input!AM322/Vintage_Input!O322,""))</f>
        <v/>
      </c>
      <c r="AF370" s="152">
        <f>IF($B370=1,$F$51,IF(N(Vintage_Input!P322)&gt;0,Vintage_Input!AN322/Vintage_Input!P322,""))</f>
        <v/>
      </c>
      <c r="AG370" s="152">
        <f>IF($B370=1,$G$51,IF(N(Vintage_Input!Q322)&gt;0,Vintage_Input!AO322/Vintage_Input!Q322,""))</f>
        <v/>
      </c>
      <c r="AH370" s="152">
        <f>IF($B370=1,$H$51,IF(N(Vintage_Input!R322)&gt;0,Vintage_Input!AP322/Vintage_Input!R322,""))</f>
        <v/>
      </c>
      <c r="AI370" s="152">
        <f>IF($B370=1,$I$51,IF(N(Vintage_Input!S322)&gt;0,Vintage_Input!AQ322/Vintage_Input!S322,""))</f>
        <v/>
      </c>
      <c r="AJ370" s="152">
        <f>IF($B370=1,$B$52,IF(N(Vintage_Input!L322)&gt;0,IFERROR(Vintage_Input!AR322/Vintage_Input!AJ322,""),""))</f>
        <v/>
      </c>
      <c r="AK370" s="152">
        <f>IF($B370=1,$C$52,IF(N(Vintage_Input!M322)&gt;0,IFERROR(Vintage_Input!AS322/Vintage_Input!AK322,""),""))</f>
        <v/>
      </c>
      <c r="AL370" s="152">
        <f>IF($B370=1,$D$52,IF(N(Vintage_Input!N322)&gt;0,IFERROR(Vintage_Input!AT322/Vintage_Input!AL322,""),""))</f>
        <v/>
      </c>
      <c r="AM370" s="152">
        <f>IF($B370=1,$E$52,IF(N(Vintage_Input!O322)&gt;0,IFERROR(Vintage_Input!AU322/Vintage_Input!AM322,""),""))</f>
        <v/>
      </c>
      <c r="AN370" s="152">
        <f>IF($B370=1,$F$52,IF(N(Vintage_Input!P322)&gt;0,IFERROR(Vintage_Input!AV322/Vintage_Input!AN322,""),""))</f>
        <v/>
      </c>
      <c r="AO370" s="152">
        <f>IF($B370=1,$G$52,IF(N(Vintage_Input!Q322)&gt;0,IFERROR(Vintage_Input!AW322/Vintage_Input!AO322,""),""))</f>
        <v/>
      </c>
      <c r="AP370" s="152">
        <f>IF($B370=1,$H$52,IF(N(Vintage_Input!R322)&gt;0,IFERROR(Vintage_Input!AX322/Vintage_Input!AP322,""),""))</f>
        <v/>
      </c>
      <c r="AQ370" s="152">
        <f>IF($B370=1,$I$52,IF(N(Vintage_Input!S322)&gt;0,IFERROR(Vintage_Input!AY322/Vintage_Input!AQ322,""),""))</f>
        <v/>
      </c>
      <c r="AR370" s="152">
        <f>IF($B370=1,$B$53,IF(N(Vintage_Input!L322)&gt;0,IFERROR(Vintage_Input!AZ322/$C370,""),""))</f>
        <v/>
      </c>
      <c r="AS370" s="152">
        <f>IF($B370=1,$C$53,IF(N(Vintage_Input!M322)&gt;0,IFERROR(Vintage_Input!BA322/$C370,""),""))</f>
        <v/>
      </c>
      <c r="AT370" s="152">
        <f>IF($B370=1,$D$53,IF(N(Vintage_Input!N322)&gt;0,IFERROR(Vintage_Input!BB322/$C370,""),""))</f>
        <v/>
      </c>
      <c r="AU370" s="152">
        <f>IF($B370=1,$E$53,IF(N(Vintage_Input!O322)&gt;0,IFERROR(Vintage_Input!BC322/$C370,""),""))</f>
        <v/>
      </c>
      <c r="AV370" s="152">
        <f>IF($B370=1,$F$53,IF(N(Vintage_Input!P322)&gt;0,IFERROR(Vintage_Input!BD322/$C370,""),""))</f>
        <v/>
      </c>
      <c r="AW370" s="152">
        <f>IF($B370=1,$G$53,IF(N(Vintage_Input!Q322)&gt;0,IFERROR(Vintage_Input!BE322/$C370,""),""))</f>
        <v/>
      </c>
      <c r="AX370" s="152">
        <f>IF($B370=1,$H$53,IF(N(Vintage_Input!R322)&gt;0,IFERROR(Vintage_Input!BF322/$C370,""),""))</f>
        <v/>
      </c>
      <c r="AY370" s="152">
        <f>IF($B370=1,$I$53,IF(N(Vintage_Input!S322)&gt;0,IFERROR(Vintage_Input!BG322/$C370,""),""))</f>
        <v/>
      </c>
      <c r="AZ370" s="153">
        <f>IF($B370=1,$B$54,IF(N(Vintage_Input!L322)&gt;0,IFERROR((Vintage_Input!D322+Vintage_Input!AR322)/$C370+Products!$G$14-(Products!$G$43+Products!$G$19+Products!$G$43*Products!$G$22+Products!$G$44),""),""))</f>
        <v/>
      </c>
      <c r="BA370" s="153">
        <f>IF($B370=1,$C$54,IF(N(Vintage_Input!M322)&gt;0,IFERROR((Vintage_Input!E322+Vintage_Input!AS322)/$C370+Products!$G$14-(Products!$G$43+Products!$G$19+Products!$G$43*Products!$G$22+Products!$G$44),""),""))</f>
        <v/>
      </c>
      <c r="BB370" s="153">
        <f>IF($B370=1,$D$54,IF(N(Vintage_Input!N322)&gt;0,IFERROR((Vintage_Input!F322+Vintage_Input!AT322)/$C370+Products!$G$14-(Products!$G$43+Products!$G$19+Products!$G$43*Products!$G$22+Products!$G$44),""),""))</f>
        <v/>
      </c>
      <c r="BC370" s="153">
        <f>IF($B370=1,$E$54,IF(N(Vintage_Input!O322)&gt;0,IFERROR((Vintage_Input!G322+Vintage_Input!AU322)/$C370+Products!$G$14-(Products!$G$43+Products!$G$19+Products!$G$43*Products!$G$22+Products!$G$44),""),""))</f>
        <v/>
      </c>
      <c r="BD370" s="153">
        <f>IF($B370=1,$F$54,IF(N(Vintage_Input!P322)&gt;0,IFERROR((Vintage_Input!H322+Vintage_Input!AV322)/$C370+Products!$G$14-(Products!$G$43+Products!$G$19+Products!$G$43*Products!$G$22+Products!$G$44),""),""))</f>
        <v/>
      </c>
      <c r="BE370" s="153">
        <f>IF($B370=1,$G$54,IF(N(Vintage_Input!Q322)&gt;0,IFERROR((Vintage_Input!I322+Vintage_Input!AW322)/$C370+Products!$G$14-(Products!$G$43+Products!$G$19+Products!$G$43*Products!$G$22+Products!$G$44),""),""))</f>
        <v/>
      </c>
      <c r="BF370" s="153">
        <f>IF($B370=1,$H$54,IF(N(Vintage_Input!R322)&gt;0,IFERROR((Vintage_Input!J322+Vintage_Input!AX322)/$C370+Products!$G$14-(Products!$G$43+Products!$G$19+Products!$G$43*Products!$G$22+Products!$G$44),""),""))</f>
        <v/>
      </c>
      <c r="BG370" s="153">
        <f>IF($B370=1,$I$54,IF(N(Vintage_Input!S322)&gt;0,IFERROR((Vintage_Input!K322+Vintage_Input!AY322)/$C370+Products!$G$14-(Products!$G$43+Products!$G$19+Products!$G$43*Products!$G$22+Products!$G$44),""),""))</f>
        <v/>
      </c>
      <c r="BH370" s="81">
        <f>IF($B370=1,0,IF(Vintage_Input!$BH$322="","",Vintage_Input!$BH$322))</f>
        <v/>
      </c>
    </row>
    <row r="371">
      <c r="A371" s="23" t="n">
        <v>55</v>
      </c>
      <c r="B371" s="48">
        <f>Vintage_Input!$B$323</f>
        <v/>
      </c>
      <c r="C371" s="41">
        <f>IF(Vintage_Input!$C$323="",0,Vintage_Input!$C$323)</f>
        <v/>
      </c>
      <c r="D371" s="152">
        <f>IF($B371=1,$B$48,IF(N(Vintage_Input!L323)&gt;0,Vintage_Input!D323/Vintage_Input!L323,""))</f>
        <v/>
      </c>
      <c r="E371" s="152">
        <f>IF($B371=1,$C$48,IF(N(Vintage_Input!M323)&gt;0,Vintage_Input!E323/Vintage_Input!M323,""))</f>
        <v/>
      </c>
      <c r="F371" s="152">
        <f>IF($B371=1,$D$48,IF(N(Vintage_Input!N323)&gt;0,Vintage_Input!F323/Vintage_Input!N323,""))</f>
        <v/>
      </c>
      <c r="G371" s="152">
        <f>IF($B371=1,$E$48,IF(N(Vintage_Input!O323)&gt;0,Vintage_Input!G323/Vintage_Input!O323,""))</f>
        <v/>
      </c>
      <c r="H371" s="152">
        <f>IF($B371=1,$F$48,IF(N(Vintage_Input!P323)&gt;0,Vintage_Input!H323/Vintage_Input!P323,""))</f>
        <v/>
      </c>
      <c r="I371" s="152">
        <f>IF($B371=1,$G$48,IF(N(Vintage_Input!Q323)&gt;0,Vintage_Input!I323/Vintage_Input!Q323,""))</f>
        <v/>
      </c>
      <c r="J371" s="152">
        <f>IF($B371=1,$H$48,IF(N(Vintage_Input!R323)&gt;0,Vintage_Input!J323/Vintage_Input!R323,""))</f>
        <v/>
      </c>
      <c r="K371" s="152">
        <f>IF($B371=1,$I$48,IF(N(Vintage_Input!S323)&gt;0,Vintage_Input!K323/Vintage_Input!S323,""))</f>
        <v/>
      </c>
      <c r="L371" s="152">
        <f>IF($B371=1,$B$49,IF(N(Vintage_Input!L323)&gt;0,Vintage_Input!T323/Vintage_Input!L323,""))</f>
        <v/>
      </c>
      <c r="M371" s="152">
        <f>IF($B371=1,$C$49,IF(N(Vintage_Input!M323)&gt;0,Vintage_Input!U323/Vintage_Input!M323,""))</f>
        <v/>
      </c>
      <c r="N371" s="152">
        <f>IF($B371=1,$D$49,IF(N(Vintage_Input!N323)&gt;0,Vintage_Input!V323/Vintage_Input!N323,""))</f>
        <v/>
      </c>
      <c r="O371" s="152">
        <f>IF($B371=1,$E$49,IF(N(Vintage_Input!O323)&gt;0,Vintage_Input!W323/Vintage_Input!O323,""))</f>
        <v/>
      </c>
      <c r="P371" s="152">
        <f>IF($B371=1,$F$49,IF(N(Vintage_Input!P323)&gt;0,Vintage_Input!X323/Vintage_Input!P323,""))</f>
        <v/>
      </c>
      <c r="Q371" s="152">
        <f>IF($B371=1,$G$49,IF(N(Vintage_Input!Q323)&gt;0,Vintage_Input!Y323/Vintage_Input!Q323,""))</f>
        <v/>
      </c>
      <c r="R371" s="152">
        <f>IF($B371=1,$H$49,IF(N(Vintage_Input!R323)&gt;0,Vintage_Input!Z323/Vintage_Input!R323,""))</f>
        <v/>
      </c>
      <c r="S371" s="152">
        <f>IF($B371=1,$I$49,IF(N(Vintage_Input!S323)&gt;0,Vintage_Input!AA323/Vintage_Input!S323,""))</f>
        <v/>
      </c>
      <c r="T371" s="152">
        <f>IF($B371=1,$B$50,IF(N(Vintage_Input!L323)&gt;0,Vintage_Input!AB323/Vintage_Input!L323,""))</f>
        <v/>
      </c>
      <c r="U371" s="152">
        <f>IF($B371=1,$C$50,IF(N(Vintage_Input!M323)&gt;0,Vintage_Input!AC323/Vintage_Input!M323,""))</f>
        <v/>
      </c>
      <c r="V371" s="152">
        <f>IF($B371=1,$D$50,IF(N(Vintage_Input!N323)&gt;0,Vintage_Input!AD323/Vintage_Input!N323,""))</f>
        <v/>
      </c>
      <c r="W371" s="152">
        <f>IF($B371=1,$E$50,IF(N(Vintage_Input!O323)&gt;0,Vintage_Input!AE323/Vintage_Input!O323,""))</f>
        <v/>
      </c>
      <c r="X371" s="152">
        <f>IF($B371=1,$F$50,IF(N(Vintage_Input!P323)&gt;0,Vintage_Input!AF323/Vintage_Input!P323,""))</f>
        <v/>
      </c>
      <c r="Y371" s="152">
        <f>IF($B371=1,$G$50,IF(N(Vintage_Input!Q323)&gt;0,Vintage_Input!AG323/Vintage_Input!Q323,""))</f>
        <v/>
      </c>
      <c r="Z371" s="152">
        <f>IF($B371=1,$H$50,IF(N(Vintage_Input!R323)&gt;0,Vintage_Input!AH323/Vintage_Input!R323,""))</f>
        <v/>
      </c>
      <c r="AA371" s="152">
        <f>IF($B371=1,$I$50,IF(N(Vintage_Input!S323)&gt;0,Vintage_Input!AI323/Vintage_Input!S323,""))</f>
        <v/>
      </c>
      <c r="AB371" s="152">
        <f>IF($B371=1,$B$51,IF(N(Vintage_Input!L323)&gt;0,Vintage_Input!AJ323/Vintage_Input!L323,""))</f>
        <v/>
      </c>
      <c r="AC371" s="152">
        <f>IF($B371=1,$C$51,IF(N(Vintage_Input!M323)&gt;0,Vintage_Input!AK323/Vintage_Input!M323,""))</f>
        <v/>
      </c>
      <c r="AD371" s="152">
        <f>IF($B371=1,$D$51,IF(N(Vintage_Input!N323)&gt;0,Vintage_Input!AL323/Vintage_Input!N323,""))</f>
        <v/>
      </c>
      <c r="AE371" s="152">
        <f>IF($B371=1,$E$51,IF(N(Vintage_Input!O323)&gt;0,Vintage_Input!AM323/Vintage_Input!O323,""))</f>
        <v/>
      </c>
      <c r="AF371" s="152">
        <f>IF($B371=1,$F$51,IF(N(Vintage_Input!P323)&gt;0,Vintage_Input!AN323/Vintage_Input!P323,""))</f>
        <v/>
      </c>
      <c r="AG371" s="152">
        <f>IF($B371=1,$G$51,IF(N(Vintage_Input!Q323)&gt;0,Vintage_Input!AO323/Vintage_Input!Q323,""))</f>
        <v/>
      </c>
      <c r="AH371" s="152">
        <f>IF($B371=1,$H$51,IF(N(Vintage_Input!R323)&gt;0,Vintage_Input!AP323/Vintage_Input!R323,""))</f>
        <v/>
      </c>
      <c r="AI371" s="152">
        <f>IF($B371=1,$I$51,IF(N(Vintage_Input!S323)&gt;0,Vintage_Input!AQ323/Vintage_Input!S323,""))</f>
        <v/>
      </c>
      <c r="AJ371" s="152">
        <f>IF($B371=1,$B$52,IF(N(Vintage_Input!L323)&gt;0,IFERROR(Vintage_Input!AR323/Vintage_Input!AJ323,""),""))</f>
        <v/>
      </c>
      <c r="AK371" s="152">
        <f>IF($B371=1,$C$52,IF(N(Vintage_Input!M323)&gt;0,IFERROR(Vintage_Input!AS323/Vintage_Input!AK323,""),""))</f>
        <v/>
      </c>
      <c r="AL371" s="152">
        <f>IF($B371=1,$D$52,IF(N(Vintage_Input!N323)&gt;0,IFERROR(Vintage_Input!AT323/Vintage_Input!AL323,""),""))</f>
        <v/>
      </c>
      <c r="AM371" s="152">
        <f>IF($B371=1,$E$52,IF(N(Vintage_Input!O323)&gt;0,IFERROR(Vintage_Input!AU323/Vintage_Input!AM323,""),""))</f>
        <v/>
      </c>
      <c r="AN371" s="152">
        <f>IF($B371=1,$F$52,IF(N(Vintage_Input!P323)&gt;0,IFERROR(Vintage_Input!AV323/Vintage_Input!AN323,""),""))</f>
        <v/>
      </c>
      <c r="AO371" s="152">
        <f>IF($B371=1,$G$52,IF(N(Vintage_Input!Q323)&gt;0,IFERROR(Vintage_Input!AW323/Vintage_Input!AO323,""),""))</f>
        <v/>
      </c>
      <c r="AP371" s="152">
        <f>IF($B371=1,$H$52,IF(N(Vintage_Input!R323)&gt;0,IFERROR(Vintage_Input!AX323/Vintage_Input!AP323,""),""))</f>
        <v/>
      </c>
      <c r="AQ371" s="152">
        <f>IF($B371=1,$I$52,IF(N(Vintage_Input!S323)&gt;0,IFERROR(Vintage_Input!AY323/Vintage_Input!AQ323,""),""))</f>
        <v/>
      </c>
      <c r="AR371" s="152">
        <f>IF($B371=1,$B$53,IF(N(Vintage_Input!L323)&gt;0,IFERROR(Vintage_Input!AZ323/$C371,""),""))</f>
        <v/>
      </c>
      <c r="AS371" s="152">
        <f>IF($B371=1,$C$53,IF(N(Vintage_Input!M323)&gt;0,IFERROR(Vintage_Input!BA323/$C371,""),""))</f>
        <v/>
      </c>
      <c r="AT371" s="152">
        <f>IF($B371=1,$D$53,IF(N(Vintage_Input!N323)&gt;0,IFERROR(Vintage_Input!BB323/$C371,""),""))</f>
        <v/>
      </c>
      <c r="AU371" s="152">
        <f>IF($B371=1,$E$53,IF(N(Vintage_Input!O323)&gt;0,IFERROR(Vintage_Input!BC323/$C371,""),""))</f>
        <v/>
      </c>
      <c r="AV371" s="152">
        <f>IF($B371=1,$F$53,IF(N(Vintage_Input!P323)&gt;0,IFERROR(Vintage_Input!BD323/$C371,""),""))</f>
        <v/>
      </c>
      <c r="AW371" s="152">
        <f>IF($B371=1,$G$53,IF(N(Vintage_Input!Q323)&gt;0,IFERROR(Vintage_Input!BE323/$C371,""),""))</f>
        <v/>
      </c>
      <c r="AX371" s="152">
        <f>IF($B371=1,$H$53,IF(N(Vintage_Input!R323)&gt;0,IFERROR(Vintage_Input!BF323/$C371,""),""))</f>
        <v/>
      </c>
      <c r="AY371" s="152">
        <f>IF($B371=1,$I$53,IF(N(Vintage_Input!S323)&gt;0,IFERROR(Vintage_Input!BG323/$C371,""),""))</f>
        <v/>
      </c>
      <c r="AZ371" s="153">
        <f>IF($B371=1,$B$54,IF(N(Vintage_Input!L323)&gt;0,IFERROR((Vintage_Input!D323+Vintage_Input!AR323)/$C371+Products!$G$14-(Products!$G$43+Products!$G$19+Products!$G$43*Products!$G$22+Products!$G$44),""),""))</f>
        <v/>
      </c>
      <c r="BA371" s="153">
        <f>IF($B371=1,$C$54,IF(N(Vintage_Input!M323)&gt;0,IFERROR((Vintage_Input!E323+Vintage_Input!AS323)/$C371+Products!$G$14-(Products!$G$43+Products!$G$19+Products!$G$43*Products!$G$22+Products!$G$44),""),""))</f>
        <v/>
      </c>
      <c r="BB371" s="153">
        <f>IF($B371=1,$D$54,IF(N(Vintage_Input!N323)&gt;0,IFERROR((Vintage_Input!F323+Vintage_Input!AT323)/$C371+Products!$G$14-(Products!$G$43+Products!$G$19+Products!$G$43*Products!$G$22+Products!$G$44),""),""))</f>
        <v/>
      </c>
      <c r="BC371" s="153">
        <f>IF($B371=1,$E$54,IF(N(Vintage_Input!O323)&gt;0,IFERROR((Vintage_Input!G323+Vintage_Input!AU323)/$C371+Products!$G$14-(Products!$G$43+Products!$G$19+Products!$G$43*Products!$G$22+Products!$G$44),""),""))</f>
        <v/>
      </c>
      <c r="BD371" s="153">
        <f>IF($B371=1,$F$54,IF(N(Vintage_Input!P323)&gt;0,IFERROR((Vintage_Input!H323+Vintage_Input!AV323)/$C371+Products!$G$14-(Products!$G$43+Products!$G$19+Products!$G$43*Products!$G$22+Products!$G$44),""),""))</f>
        <v/>
      </c>
      <c r="BE371" s="153">
        <f>IF($B371=1,$G$54,IF(N(Vintage_Input!Q323)&gt;0,IFERROR((Vintage_Input!I323+Vintage_Input!AW323)/$C371+Products!$G$14-(Products!$G$43+Products!$G$19+Products!$G$43*Products!$G$22+Products!$G$44),""),""))</f>
        <v/>
      </c>
      <c r="BF371" s="153">
        <f>IF($B371=1,$H$54,IF(N(Vintage_Input!R323)&gt;0,IFERROR((Vintage_Input!J323+Vintage_Input!AX323)/$C371+Products!$G$14-(Products!$G$43+Products!$G$19+Products!$G$43*Products!$G$22+Products!$G$44),""),""))</f>
        <v/>
      </c>
      <c r="BG371" s="153">
        <f>IF($B371=1,$I$54,IF(N(Vintage_Input!S323)&gt;0,IFERROR((Vintage_Input!K323+Vintage_Input!AY323)/$C371+Products!$G$14-(Products!$G$43+Products!$G$19+Products!$G$43*Products!$G$22+Products!$G$44),""),""))</f>
        <v/>
      </c>
      <c r="BH371" s="81">
        <f>IF($B371=1,0,IF(Vintage_Input!$BH$323="","",Vintage_Input!$BH$323))</f>
        <v/>
      </c>
    </row>
    <row r="372">
      <c r="A372" s="23" t="n">
        <v>56</v>
      </c>
      <c r="B372" s="48">
        <f>Vintage_Input!$B$324</f>
        <v/>
      </c>
      <c r="C372" s="41">
        <f>IF(Vintage_Input!$C$324="",0,Vintage_Input!$C$324)</f>
        <v/>
      </c>
      <c r="D372" s="152">
        <f>IF($B372=1,$B$48,IF(N(Vintage_Input!L324)&gt;0,Vintage_Input!D324/Vintage_Input!L324,""))</f>
        <v/>
      </c>
      <c r="E372" s="152">
        <f>IF($B372=1,$C$48,IF(N(Vintage_Input!M324)&gt;0,Vintage_Input!E324/Vintage_Input!M324,""))</f>
        <v/>
      </c>
      <c r="F372" s="152">
        <f>IF($B372=1,$D$48,IF(N(Vintage_Input!N324)&gt;0,Vintage_Input!F324/Vintage_Input!N324,""))</f>
        <v/>
      </c>
      <c r="G372" s="152">
        <f>IF($B372=1,$E$48,IF(N(Vintage_Input!O324)&gt;0,Vintage_Input!G324/Vintage_Input!O324,""))</f>
        <v/>
      </c>
      <c r="H372" s="152">
        <f>IF($B372=1,$F$48,IF(N(Vintage_Input!P324)&gt;0,Vintage_Input!H324/Vintage_Input!P324,""))</f>
        <v/>
      </c>
      <c r="I372" s="152">
        <f>IF($B372=1,$G$48,IF(N(Vintage_Input!Q324)&gt;0,Vintage_Input!I324/Vintage_Input!Q324,""))</f>
        <v/>
      </c>
      <c r="J372" s="152">
        <f>IF($B372=1,$H$48,IF(N(Vintage_Input!R324)&gt;0,Vintage_Input!J324/Vintage_Input!R324,""))</f>
        <v/>
      </c>
      <c r="K372" s="152">
        <f>IF($B372=1,$I$48,IF(N(Vintage_Input!S324)&gt;0,Vintage_Input!K324/Vintage_Input!S324,""))</f>
        <v/>
      </c>
      <c r="L372" s="152">
        <f>IF($B372=1,$B$49,IF(N(Vintage_Input!L324)&gt;0,Vintage_Input!T324/Vintage_Input!L324,""))</f>
        <v/>
      </c>
      <c r="M372" s="152">
        <f>IF($B372=1,$C$49,IF(N(Vintage_Input!M324)&gt;0,Vintage_Input!U324/Vintage_Input!M324,""))</f>
        <v/>
      </c>
      <c r="N372" s="152">
        <f>IF($B372=1,$D$49,IF(N(Vintage_Input!N324)&gt;0,Vintage_Input!V324/Vintage_Input!N324,""))</f>
        <v/>
      </c>
      <c r="O372" s="152">
        <f>IF($B372=1,$E$49,IF(N(Vintage_Input!O324)&gt;0,Vintage_Input!W324/Vintage_Input!O324,""))</f>
        <v/>
      </c>
      <c r="P372" s="152">
        <f>IF($B372=1,$F$49,IF(N(Vintage_Input!P324)&gt;0,Vintage_Input!X324/Vintage_Input!P324,""))</f>
        <v/>
      </c>
      <c r="Q372" s="152">
        <f>IF($B372=1,$G$49,IF(N(Vintage_Input!Q324)&gt;0,Vintage_Input!Y324/Vintage_Input!Q324,""))</f>
        <v/>
      </c>
      <c r="R372" s="152">
        <f>IF($B372=1,$H$49,IF(N(Vintage_Input!R324)&gt;0,Vintage_Input!Z324/Vintage_Input!R324,""))</f>
        <v/>
      </c>
      <c r="S372" s="152">
        <f>IF($B372=1,$I$49,IF(N(Vintage_Input!S324)&gt;0,Vintage_Input!AA324/Vintage_Input!S324,""))</f>
        <v/>
      </c>
      <c r="T372" s="152">
        <f>IF($B372=1,$B$50,IF(N(Vintage_Input!L324)&gt;0,Vintage_Input!AB324/Vintage_Input!L324,""))</f>
        <v/>
      </c>
      <c r="U372" s="152">
        <f>IF($B372=1,$C$50,IF(N(Vintage_Input!M324)&gt;0,Vintage_Input!AC324/Vintage_Input!M324,""))</f>
        <v/>
      </c>
      <c r="V372" s="152">
        <f>IF($B372=1,$D$50,IF(N(Vintage_Input!N324)&gt;0,Vintage_Input!AD324/Vintage_Input!N324,""))</f>
        <v/>
      </c>
      <c r="W372" s="152">
        <f>IF($B372=1,$E$50,IF(N(Vintage_Input!O324)&gt;0,Vintage_Input!AE324/Vintage_Input!O324,""))</f>
        <v/>
      </c>
      <c r="X372" s="152">
        <f>IF($B372=1,$F$50,IF(N(Vintage_Input!P324)&gt;0,Vintage_Input!AF324/Vintage_Input!P324,""))</f>
        <v/>
      </c>
      <c r="Y372" s="152">
        <f>IF($B372=1,$G$50,IF(N(Vintage_Input!Q324)&gt;0,Vintage_Input!AG324/Vintage_Input!Q324,""))</f>
        <v/>
      </c>
      <c r="Z372" s="152">
        <f>IF($B372=1,$H$50,IF(N(Vintage_Input!R324)&gt;0,Vintage_Input!AH324/Vintage_Input!R324,""))</f>
        <v/>
      </c>
      <c r="AA372" s="152">
        <f>IF($B372=1,$I$50,IF(N(Vintage_Input!S324)&gt;0,Vintage_Input!AI324/Vintage_Input!S324,""))</f>
        <v/>
      </c>
      <c r="AB372" s="152">
        <f>IF($B372=1,$B$51,IF(N(Vintage_Input!L324)&gt;0,Vintage_Input!AJ324/Vintage_Input!L324,""))</f>
        <v/>
      </c>
      <c r="AC372" s="152">
        <f>IF($B372=1,$C$51,IF(N(Vintage_Input!M324)&gt;0,Vintage_Input!AK324/Vintage_Input!M324,""))</f>
        <v/>
      </c>
      <c r="AD372" s="152">
        <f>IF($B372=1,$D$51,IF(N(Vintage_Input!N324)&gt;0,Vintage_Input!AL324/Vintage_Input!N324,""))</f>
        <v/>
      </c>
      <c r="AE372" s="152">
        <f>IF($B372=1,$E$51,IF(N(Vintage_Input!O324)&gt;0,Vintage_Input!AM324/Vintage_Input!O324,""))</f>
        <v/>
      </c>
      <c r="AF372" s="152">
        <f>IF($B372=1,$F$51,IF(N(Vintage_Input!P324)&gt;0,Vintage_Input!AN324/Vintage_Input!P324,""))</f>
        <v/>
      </c>
      <c r="AG372" s="152">
        <f>IF($B372=1,$G$51,IF(N(Vintage_Input!Q324)&gt;0,Vintage_Input!AO324/Vintage_Input!Q324,""))</f>
        <v/>
      </c>
      <c r="AH372" s="152">
        <f>IF($B372=1,$H$51,IF(N(Vintage_Input!R324)&gt;0,Vintage_Input!AP324/Vintage_Input!R324,""))</f>
        <v/>
      </c>
      <c r="AI372" s="152">
        <f>IF($B372=1,$I$51,IF(N(Vintage_Input!S324)&gt;0,Vintage_Input!AQ324/Vintage_Input!S324,""))</f>
        <v/>
      </c>
      <c r="AJ372" s="152">
        <f>IF($B372=1,$B$52,IF(N(Vintage_Input!L324)&gt;0,IFERROR(Vintage_Input!AR324/Vintage_Input!AJ324,""),""))</f>
        <v/>
      </c>
      <c r="AK372" s="152">
        <f>IF($B372=1,$C$52,IF(N(Vintage_Input!M324)&gt;0,IFERROR(Vintage_Input!AS324/Vintage_Input!AK324,""),""))</f>
        <v/>
      </c>
      <c r="AL372" s="152">
        <f>IF($B372=1,$D$52,IF(N(Vintage_Input!N324)&gt;0,IFERROR(Vintage_Input!AT324/Vintage_Input!AL324,""),""))</f>
        <v/>
      </c>
      <c r="AM372" s="152">
        <f>IF($B372=1,$E$52,IF(N(Vintage_Input!O324)&gt;0,IFERROR(Vintage_Input!AU324/Vintage_Input!AM324,""),""))</f>
        <v/>
      </c>
      <c r="AN372" s="152">
        <f>IF($B372=1,$F$52,IF(N(Vintage_Input!P324)&gt;0,IFERROR(Vintage_Input!AV324/Vintage_Input!AN324,""),""))</f>
        <v/>
      </c>
      <c r="AO372" s="152">
        <f>IF($B372=1,$G$52,IF(N(Vintage_Input!Q324)&gt;0,IFERROR(Vintage_Input!AW324/Vintage_Input!AO324,""),""))</f>
        <v/>
      </c>
      <c r="AP372" s="152">
        <f>IF($B372=1,$H$52,IF(N(Vintage_Input!R324)&gt;0,IFERROR(Vintage_Input!AX324/Vintage_Input!AP324,""),""))</f>
        <v/>
      </c>
      <c r="AQ372" s="152">
        <f>IF($B372=1,$I$52,IF(N(Vintage_Input!S324)&gt;0,IFERROR(Vintage_Input!AY324/Vintage_Input!AQ324,""),""))</f>
        <v/>
      </c>
      <c r="AR372" s="152">
        <f>IF($B372=1,$B$53,IF(N(Vintage_Input!L324)&gt;0,IFERROR(Vintage_Input!AZ324/$C372,""),""))</f>
        <v/>
      </c>
      <c r="AS372" s="152">
        <f>IF($B372=1,$C$53,IF(N(Vintage_Input!M324)&gt;0,IFERROR(Vintage_Input!BA324/$C372,""),""))</f>
        <v/>
      </c>
      <c r="AT372" s="152">
        <f>IF($B372=1,$D$53,IF(N(Vintage_Input!N324)&gt;0,IFERROR(Vintage_Input!BB324/$C372,""),""))</f>
        <v/>
      </c>
      <c r="AU372" s="152">
        <f>IF($B372=1,$E$53,IF(N(Vintage_Input!O324)&gt;0,IFERROR(Vintage_Input!BC324/$C372,""),""))</f>
        <v/>
      </c>
      <c r="AV372" s="152">
        <f>IF($B372=1,$F$53,IF(N(Vintage_Input!P324)&gt;0,IFERROR(Vintage_Input!BD324/$C372,""),""))</f>
        <v/>
      </c>
      <c r="AW372" s="152">
        <f>IF($B372=1,$G$53,IF(N(Vintage_Input!Q324)&gt;0,IFERROR(Vintage_Input!BE324/$C372,""),""))</f>
        <v/>
      </c>
      <c r="AX372" s="152">
        <f>IF($B372=1,$H$53,IF(N(Vintage_Input!R324)&gt;0,IFERROR(Vintage_Input!BF324/$C372,""),""))</f>
        <v/>
      </c>
      <c r="AY372" s="152">
        <f>IF($B372=1,$I$53,IF(N(Vintage_Input!S324)&gt;0,IFERROR(Vintage_Input!BG324/$C372,""),""))</f>
        <v/>
      </c>
      <c r="AZ372" s="153">
        <f>IF($B372=1,$B$54,IF(N(Vintage_Input!L324)&gt;0,IFERROR((Vintage_Input!D324+Vintage_Input!AR324)/$C372+Products!$G$14-(Products!$G$43+Products!$G$19+Products!$G$43*Products!$G$22+Products!$G$44),""),""))</f>
        <v/>
      </c>
      <c r="BA372" s="153">
        <f>IF($B372=1,$C$54,IF(N(Vintage_Input!M324)&gt;0,IFERROR((Vintage_Input!E324+Vintage_Input!AS324)/$C372+Products!$G$14-(Products!$G$43+Products!$G$19+Products!$G$43*Products!$G$22+Products!$G$44),""),""))</f>
        <v/>
      </c>
      <c r="BB372" s="153">
        <f>IF($B372=1,$D$54,IF(N(Vintage_Input!N324)&gt;0,IFERROR((Vintage_Input!F324+Vintage_Input!AT324)/$C372+Products!$G$14-(Products!$G$43+Products!$G$19+Products!$G$43*Products!$G$22+Products!$G$44),""),""))</f>
        <v/>
      </c>
      <c r="BC372" s="153">
        <f>IF($B372=1,$E$54,IF(N(Vintage_Input!O324)&gt;0,IFERROR((Vintage_Input!G324+Vintage_Input!AU324)/$C372+Products!$G$14-(Products!$G$43+Products!$G$19+Products!$G$43*Products!$G$22+Products!$G$44),""),""))</f>
        <v/>
      </c>
      <c r="BD372" s="153">
        <f>IF($B372=1,$F$54,IF(N(Vintage_Input!P324)&gt;0,IFERROR((Vintage_Input!H324+Vintage_Input!AV324)/$C372+Products!$G$14-(Products!$G$43+Products!$G$19+Products!$G$43*Products!$G$22+Products!$G$44),""),""))</f>
        <v/>
      </c>
      <c r="BE372" s="153">
        <f>IF($B372=1,$G$54,IF(N(Vintage_Input!Q324)&gt;0,IFERROR((Vintage_Input!I324+Vintage_Input!AW324)/$C372+Products!$G$14-(Products!$G$43+Products!$G$19+Products!$G$43*Products!$G$22+Products!$G$44),""),""))</f>
        <v/>
      </c>
      <c r="BF372" s="153">
        <f>IF($B372=1,$H$54,IF(N(Vintage_Input!R324)&gt;0,IFERROR((Vintage_Input!J324+Vintage_Input!AX324)/$C372+Products!$G$14-(Products!$G$43+Products!$G$19+Products!$G$43*Products!$G$22+Products!$G$44),""),""))</f>
        <v/>
      </c>
      <c r="BG372" s="153">
        <f>IF($B372=1,$I$54,IF(N(Vintage_Input!S324)&gt;0,IFERROR((Vintage_Input!K324+Vintage_Input!AY324)/$C372+Products!$G$14-(Products!$G$43+Products!$G$19+Products!$G$43*Products!$G$22+Products!$G$44),""),""))</f>
        <v/>
      </c>
      <c r="BH372" s="81">
        <f>IF($B372=1,0,IF(Vintage_Input!$BH$324="","",Vintage_Input!$BH$324))</f>
        <v/>
      </c>
    </row>
    <row r="373">
      <c r="A373" s="23" t="n">
        <v>57</v>
      </c>
      <c r="B373" s="48">
        <f>Vintage_Input!$B$325</f>
        <v/>
      </c>
      <c r="C373" s="41">
        <f>IF(Vintage_Input!$C$325="",0,Vintage_Input!$C$325)</f>
        <v/>
      </c>
      <c r="D373" s="152">
        <f>IF($B373=1,$B$48,IF(N(Vintage_Input!L325)&gt;0,Vintage_Input!D325/Vintage_Input!L325,""))</f>
        <v/>
      </c>
      <c r="E373" s="152">
        <f>IF($B373=1,$C$48,IF(N(Vintage_Input!M325)&gt;0,Vintage_Input!E325/Vintage_Input!M325,""))</f>
        <v/>
      </c>
      <c r="F373" s="152">
        <f>IF($B373=1,$D$48,IF(N(Vintage_Input!N325)&gt;0,Vintage_Input!F325/Vintage_Input!N325,""))</f>
        <v/>
      </c>
      <c r="G373" s="152">
        <f>IF($B373=1,$E$48,IF(N(Vintage_Input!O325)&gt;0,Vintage_Input!G325/Vintage_Input!O325,""))</f>
        <v/>
      </c>
      <c r="H373" s="152">
        <f>IF($B373=1,$F$48,IF(N(Vintage_Input!P325)&gt;0,Vintage_Input!H325/Vintage_Input!P325,""))</f>
        <v/>
      </c>
      <c r="I373" s="152">
        <f>IF($B373=1,$G$48,IF(N(Vintage_Input!Q325)&gt;0,Vintage_Input!I325/Vintage_Input!Q325,""))</f>
        <v/>
      </c>
      <c r="J373" s="152">
        <f>IF($B373=1,$H$48,IF(N(Vintage_Input!R325)&gt;0,Vintage_Input!J325/Vintage_Input!R325,""))</f>
        <v/>
      </c>
      <c r="K373" s="152">
        <f>IF($B373=1,$I$48,IF(N(Vintage_Input!S325)&gt;0,Vintage_Input!K325/Vintage_Input!S325,""))</f>
        <v/>
      </c>
      <c r="L373" s="152">
        <f>IF($B373=1,$B$49,IF(N(Vintage_Input!L325)&gt;0,Vintage_Input!T325/Vintage_Input!L325,""))</f>
        <v/>
      </c>
      <c r="M373" s="152">
        <f>IF($B373=1,$C$49,IF(N(Vintage_Input!M325)&gt;0,Vintage_Input!U325/Vintage_Input!M325,""))</f>
        <v/>
      </c>
      <c r="N373" s="152">
        <f>IF($B373=1,$D$49,IF(N(Vintage_Input!N325)&gt;0,Vintage_Input!V325/Vintage_Input!N325,""))</f>
        <v/>
      </c>
      <c r="O373" s="152">
        <f>IF($B373=1,$E$49,IF(N(Vintage_Input!O325)&gt;0,Vintage_Input!W325/Vintage_Input!O325,""))</f>
        <v/>
      </c>
      <c r="P373" s="152">
        <f>IF($B373=1,$F$49,IF(N(Vintage_Input!P325)&gt;0,Vintage_Input!X325/Vintage_Input!P325,""))</f>
        <v/>
      </c>
      <c r="Q373" s="152">
        <f>IF($B373=1,$G$49,IF(N(Vintage_Input!Q325)&gt;0,Vintage_Input!Y325/Vintage_Input!Q325,""))</f>
        <v/>
      </c>
      <c r="R373" s="152">
        <f>IF($B373=1,$H$49,IF(N(Vintage_Input!R325)&gt;0,Vintage_Input!Z325/Vintage_Input!R325,""))</f>
        <v/>
      </c>
      <c r="S373" s="152">
        <f>IF($B373=1,$I$49,IF(N(Vintage_Input!S325)&gt;0,Vintage_Input!AA325/Vintage_Input!S325,""))</f>
        <v/>
      </c>
      <c r="T373" s="152">
        <f>IF($B373=1,$B$50,IF(N(Vintage_Input!L325)&gt;0,Vintage_Input!AB325/Vintage_Input!L325,""))</f>
        <v/>
      </c>
      <c r="U373" s="152">
        <f>IF($B373=1,$C$50,IF(N(Vintage_Input!M325)&gt;0,Vintage_Input!AC325/Vintage_Input!M325,""))</f>
        <v/>
      </c>
      <c r="V373" s="152">
        <f>IF($B373=1,$D$50,IF(N(Vintage_Input!N325)&gt;0,Vintage_Input!AD325/Vintage_Input!N325,""))</f>
        <v/>
      </c>
      <c r="W373" s="152">
        <f>IF($B373=1,$E$50,IF(N(Vintage_Input!O325)&gt;0,Vintage_Input!AE325/Vintage_Input!O325,""))</f>
        <v/>
      </c>
      <c r="X373" s="152">
        <f>IF($B373=1,$F$50,IF(N(Vintage_Input!P325)&gt;0,Vintage_Input!AF325/Vintage_Input!P325,""))</f>
        <v/>
      </c>
      <c r="Y373" s="152">
        <f>IF($B373=1,$G$50,IF(N(Vintage_Input!Q325)&gt;0,Vintage_Input!AG325/Vintage_Input!Q325,""))</f>
        <v/>
      </c>
      <c r="Z373" s="152">
        <f>IF($B373=1,$H$50,IF(N(Vintage_Input!R325)&gt;0,Vintage_Input!AH325/Vintage_Input!R325,""))</f>
        <v/>
      </c>
      <c r="AA373" s="152">
        <f>IF($B373=1,$I$50,IF(N(Vintage_Input!S325)&gt;0,Vintage_Input!AI325/Vintage_Input!S325,""))</f>
        <v/>
      </c>
      <c r="AB373" s="152">
        <f>IF($B373=1,$B$51,IF(N(Vintage_Input!L325)&gt;0,Vintage_Input!AJ325/Vintage_Input!L325,""))</f>
        <v/>
      </c>
      <c r="AC373" s="152">
        <f>IF($B373=1,$C$51,IF(N(Vintage_Input!M325)&gt;0,Vintage_Input!AK325/Vintage_Input!M325,""))</f>
        <v/>
      </c>
      <c r="AD373" s="152">
        <f>IF($B373=1,$D$51,IF(N(Vintage_Input!N325)&gt;0,Vintage_Input!AL325/Vintage_Input!N325,""))</f>
        <v/>
      </c>
      <c r="AE373" s="152">
        <f>IF($B373=1,$E$51,IF(N(Vintage_Input!O325)&gt;0,Vintage_Input!AM325/Vintage_Input!O325,""))</f>
        <v/>
      </c>
      <c r="AF373" s="152">
        <f>IF($B373=1,$F$51,IF(N(Vintage_Input!P325)&gt;0,Vintage_Input!AN325/Vintage_Input!P325,""))</f>
        <v/>
      </c>
      <c r="AG373" s="152">
        <f>IF($B373=1,$G$51,IF(N(Vintage_Input!Q325)&gt;0,Vintage_Input!AO325/Vintage_Input!Q325,""))</f>
        <v/>
      </c>
      <c r="AH373" s="152">
        <f>IF($B373=1,$H$51,IF(N(Vintage_Input!R325)&gt;0,Vintage_Input!AP325/Vintage_Input!R325,""))</f>
        <v/>
      </c>
      <c r="AI373" s="152">
        <f>IF($B373=1,$I$51,IF(N(Vintage_Input!S325)&gt;0,Vintage_Input!AQ325/Vintage_Input!S325,""))</f>
        <v/>
      </c>
      <c r="AJ373" s="152">
        <f>IF($B373=1,$B$52,IF(N(Vintage_Input!L325)&gt;0,IFERROR(Vintage_Input!AR325/Vintage_Input!AJ325,""),""))</f>
        <v/>
      </c>
      <c r="AK373" s="152">
        <f>IF($B373=1,$C$52,IF(N(Vintage_Input!M325)&gt;0,IFERROR(Vintage_Input!AS325/Vintage_Input!AK325,""),""))</f>
        <v/>
      </c>
      <c r="AL373" s="152">
        <f>IF($B373=1,$D$52,IF(N(Vintage_Input!N325)&gt;0,IFERROR(Vintage_Input!AT325/Vintage_Input!AL325,""),""))</f>
        <v/>
      </c>
      <c r="AM373" s="152">
        <f>IF($B373=1,$E$52,IF(N(Vintage_Input!O325)&gt;0,IFERROR(Vintage_Input!AU325/Vintage_Input!AM325,""),""))</f>
        <v/>
      </c>
      <c r="AN373" s="152">
        <f>IF($B373=1,$F$52,IF(N(Vintage_Input!P325)&gt;0,IFERROR(Vintage_Input!AV325/Vintage_Input!AN325,""),""))</f>
        <v/>
      </c>
      <c r="AO373" s="152">
        <f>IF($B373=1,$G$52,IF(N(Vintage_Input!Q325)&gt;0,IFERROR(Vintage_Input!AW325/Vintage_Input!AO325,""),""))</f>
        <v/>
      </c>
      <c r="AP373" s="152">
        <f>IF($B373=1,$H$52,IF(N(Vintage_Input!R325)&gt;0,IFERROR(Vintage_Input!AX325/Vintage_Input!AP325,""),""))</f>
        <v/>
      </c>
      <c r="AQ373" s="152">
        <f>IF($B373=1,$I$52,IF(N(Vintage_Input!S325)&gt;0,IFERROR(Vintage_Input!AY325/Vintage_Input!AQ325,""),""))</f>
        <v/>
      </c>
      <c r="AR373" s="152">
        <f>IF($B373=1,$B$53,IF(N(Vintage_Input!L325)&gt;0,IFERROR(Vintage_Input!AZ325/$C373,""),""))</f>
        <v/>
      </c>
      <c r="AS373" s="152">
        <f>IF($B373=1,$C$53,IF(N(Vintage_Input!M325)&gt;0,IFERROR(Vintage_Input!BA325/$C373,""),""))</f>
        <v/>
      </c>
      <c r="AT373" s="152">
        <f>IF($B373=1,$D$53,IF(N(Vintage_Input!N325)&gt;0,IFERROR(Vintage_Input!BB325/$C373,""),""))</f>
        <v/>
      </c>
      <c r="AU373" s="152">
        <f>IF($B373=1,$E$53,IF(N(Vintage_Input!O325)&gt;0,IFERROR(Vintage_Input!BC325/$C373,""),""))</f>
        <v/>
      </c>
      <c r="AV373" s="152">
        <f>IF($B373=1,$F$53,IF(N(Vintage_Input!P325)&gt;0,IFERROR(Vintage_Input!BD325/$C373,""),""))</f>
        <v/>
      </c>
      <c r="AW373" s="152">
        <f>IF($B373=1,$G$53,IF(N(Vintage_Input!Q325)&gt;0,IFERROR(Vintage_Input!BE325/$C373,""),""))</f>
        <v/>
      </c>
      <c r="AX373" s="152">
        <f>IF($B373=1,$H$53,IF(N(Vintage_Input!R325)&gt;0,IFERROR(Vintage_Input!BF325/$C373,""),""))</f>
        <v/>
      </c>
      <c r="AY373" s="152">
        <f>IF($B373=1,$I$53,IF(N(Vintage_Input!S325)&gt;0,IFERROR(Vintage_Input!BG325/$C373,""),""))</f>
        <v/>
      </c>
      <c r="AZ373" s="153">
        <f>IF($B373=1,$B$54,IF(N(Vintage_Input!L325)&gt;0,IFERROR((Vintage_Input!D325+Vintage_Input!AR325)/$C373+Products!$G$14-(Products!$G$43+Products!$G$19+Products!$G$43*Products!$G$22+Products!$G$44),""),""))</f>
        <v/>
      </c>
      <c r="BA373" s="153">
        <f>IF($B373=1,$C$54,IF(N(Vintage_Input!M325)&gt;0,IFERROR((Vintage_Input!E325+Vintage_Input!AS325)/$C373+Products!$G$14-(Products!$G$43+Products!$G$19+Products!$G$43*Products!$G$22+Products!$G$44),""),""))</f>
        <v/>
      </c>
      <c r="BB373" s="153">
        <f>IF($B373=1,$D$54,IF(N(Vintage_Input!N325)&gt;0,IFERROR((Vintage_Input!F325+Vintage_Input!AT325)/$C373+Products!$G$14-(Products!$G$43+Products!$G$19+Products!$G$43*Products!$G$22+Products!$G$44),""),""))</f>
        <v/>
      </c>
      <c r="BC373" s="153">
        <f>IF($B373=1,$E$54,IF(N(Vintage_Input!O325)&gt;0,IFERROR((Vintage_Input!G325+Vintage_Input!AU325)/$C373+Products!$G$14-(Products!$G$43+Products!$G$19+Products!$G$43*Products!$G$22+Products!$G$44),""),""))</f>
        <v/>
      </c>
      <c r="BD373" s="153">
        <f>IF($B373=1,$F$54,IF(N(Vintage_Input!P325)&gt;0,IFERROR((Vintage_Input!H325+Vintage_Input!AV325)/$C373+Products!$G$14-(Products!$G$43+Products!$G$19+Products!$G$43*Products!$G$22+Products!$G$44),""),""))</f>
        <v/>
      </c>
      <c r="BE373" s="153">
        <f>IF($B373=1,$G$54,IF(N(Vintage_Input!Q325)&gt;0,IFERROR((Vintage_Input!I325+Vintage_Input!AW325)/$C373+Products!$G$14-(Products!$G$43+Products!$G$19+Products!$G$43*Products!$G$22+Products!$G$44),""),""))</f>
        <v/>
      </c>
      <c r="BF373" s="153">
        <f>IF($B373=1,$H$54,IF(N(Vintage_Input!R325)&gt;0,IFERROR((Vintage_Input!J325+Vintage_Input!AX325)/$C373+Products!$G$14-(Products!$G$43+Products!$G$19+Products!$G$43*Products!$G$22+Products!$G$44),""),""))</f>
        <v/>
      </c>
      <c r="BG373" s="153">
        <f>IF($B373=1,$I$54,IF(N(Vintage_Input!S325)&gt;0,IFERROR((Vintage_Input!K325+Vintage_Input!AY325)/$C373+Products!$G$14-(Products!$G$43+Products!$G$19+Products!$G$43*Products!$G$22+Products!$G$44),""),""))</f>
        <v/>
      </c>
      <c r="BH373" s="81">
        <f>IF($B373=1,0,IF(Vintage_Input!$BH$325="","",Vintage_Input!$BH$325))</f>
        <v/>
      </c>
    </row>
    <row r="374">
      <c r="A374" s="23" t="n">
        <v>58</v>
      </c>
      <c r="B374" s="48">
        <f>Vintage_Input!$B$326</f>
        <v/>
      </c>
      <c r="C374" s="41">
        <f>IF(Vintage_Input!$C$326="",0,Vintage_Input!$C$326)</f>
        <v/>
      </c>
      <c r="D374" s="152">
        <f>IF($B374=1,$B$48,IF(N(Vintage_Input!L326)&gt;0,Vintage_Input!D326/Vintage_Input!L326,""))</f>
        <v/>
      </c>
      <c r="E374" s="152">
        <f>IF($B374=1,$C$48,IF(N(Vintage_Input!M326)&gt;0,Vintage_Input!E326/Vintage_Input!M326,""))</f>
        <v/>
      </c>
      <c r="F374" s="152">
        <f>IF($B374=1,$D$48,IF(N(Vintage_Input!N326)&gt;0,Vintage_Input!F326/Vintage_Input!N326,""))</f>
        <v/>
      </c>
      <c r="G374" s="152">
        <f>IF($B374=1,$E$48,IF(N(Vintage_Input!O326)&gt;0,Vintage_Input!G326/Vintage_Input!O326,""))</f>
        <v/>
      </c>
      <c r="H374" s="152">
        <f>IF($B374=1,$F$48,IF(N(Vintage_Input!P326)&gt;0,Vintage_Input!H326/Vintage_Input!P326,""))</f>
        <v/>
      </c>
      <c r="I374" s="152">
        <f>IF($B374=1,$G$48,IF(N(Vintage_Input!Q326)&gt;0,Vintage_Input!I326/Vintage_Input!Q326,""))</f>
        <v/>
      </c>
      <c r="J374" s="152">
        <f>IF($B374=1,$H$48,IF(N(Vintage_Input!R326)&gt;0,Vintage_Input!J326/Vintage_Input!R326,""))</f>
        <v/>
      </c>
      <c r="K374" s="152">
        <f>IF($B374=1,$I$48,IF(N(Vintage_Input!S326)&gt;0,Vintage_Input!K326/Vintage_Input!S326,""))</f>
        <v/>
      </c>
      <c r="L374" s="152">
        <f>IF($B374=1,$B$49,IF(N(Vintage_Input!L326)&gt;0,Vintage_Input!T326/Vintage_Input!L326,""))</f>
        <v/>
      </c>
      <c r="M374" s="152">
        <f>IF($B374=1,$C$49,IF(N(Vintage_Input!M326)&gt;0,Vintage_Input!U326/Vintage_Input!M326,""))</f>
        <v/>
      </c>
      <c r="N374" s="152">
        <f>IF($B374=1,$D$49,IF(N(Vintage_Input!N326)&gt;0,Vintage_Input!V326/Vintage_Input!N326,""))</f>
        <v/>
      </c>
      <c r="O374" s="152">
        <f>IF($B374=1,$E$49,IF(N(Vintage_Input!O326)&gt;0,Vintage_Input!W326/Vintage_Input!O326,""))</f>
        <v/>
      </c>
      <c r="P374" s="152">
        <f>IF($B374=1,$F$49,IF(N(Vintage_Input!P326)&gt;0,Vintage_Input!X326/Vintage_Input!P326,""))</f>
        <v/>
      </c>
      <c r="Q374" s="152">
        <f>IF($B374=1,$G$49,IF(N(Vintage_Input!Q326)&gt;0,Vintage_Input!Y326/Vintage_Input!Q326,""))</f>
        <v/>
      </c>
      <c r="R374" s="152">
        <f>IF($B374=1,$H$49,IF(N(Vintage_Input!R326)&gt;0,Vintage_Input!Z326/Vintage_Input!R326,""))</f>
        <v/>
      </c>
      <c r="S374" s="152">
        <f>IF($B374=1,$I$49,IF(N(Vintage_Input!S326)&gt;0,Vintage_Input!AA326/Vintage_Input!S326,""))</f>
        <v/>
      </c>
      <c r="T374" s="152">
        <f>IF($B374=1,$B$50,IF(N(Vintage_Input!L326)&gt;0,Vintage_Input!AB326/Vintage_Input!L326,""))</f>
        <v/>
      </c>
      <c r="U374" s="152">
        <f>IF($B374=1,$C$50,IF(N(Vintage_Input!M326)&gt;0,Vintage_Input!AC326/Vintage_Input!M326,""))</f>
        <v/>
      </c>
      <c r="V374" s="152">
        <f>IF($B374=1,$D$50,IF(N(Vintage_Input!N326)&gt;0,Vintage_Input!AD326/Vintage_Input!N326,""))</f>
        <v/>
      </c>
      <c r="W374" s="152">
        <f>IF($B374=1,$E$50,IF(N(Vintage_Input!O326)&gt;0,Vintage_Input!AE326/Vintage_Input!O326,""))</f>
        <v/>
      </c>
      <c r="X374" s="152">
        <f>IF($B374=1,$F$50,IF(N(Vintage_Input!P326)&gt;0,Vintage_Input!AF326/Vintage_Input!P326,""))</f>
        <v/>
      </c>
      <c r="Y374" s="152">
        <f>IF($B374=1,$G$50,IF(N(Vintage_Input!Q326)&gt;0,Vintage_Input!AG326/Vintage_Input!Q326,""))</f>
        <v/>
      </c>
      <c r="Z374" s="152">
        <f>IF($B374=1,$H$50,IF(N(Vintage_Input!R326)&gt;0,Vintage_Input!AH326/Vintage_Input!R326,""))</f>
        <v/>
      </c>
      <c r="AA374" s="152">
        <f>IF($B374=1,$I$50,IF(N(Vintage_Input!S326)&gt;0,Vintage_Input!AI326/Vintage_Input!S326,""))</f>
        <v/>
      </c>
      <c r="AB374" s="152">
        <f>IF($B374=1,$B$51,IF(N(Vintage_Input!L326)&gt;0,Vintage_Input!AJ326/Vintage_Input!L326,""))</f>
        <v/>
      </c>
      <c r="AC374" s="152">
        <f>IF($B374=1,$C$51,IF(N(Vintage_Input!M326)&gt;0,Vintage_Input!AK326/Vintage_Input!M326,""))</f>
        <v/>
      </c>
      <c r="AD374" s="152">
        <f>IF($B374=1,$D$51,IF(N(Vintage_Input!N326)&gt;0,Vintage_Input!AL326/Vintage_Input!N326,""))</f>
        <v/>
      </c>
      <c r="AE374" s="152">
        <f>IF($B374=1,$E$51,IF(N(Vintage_Input!O326)&gt;0,Vintage_Input!AM326/Vintage_Input!O326,""))</f>
        <v/>
      </c>
      <c r="AF374" s="152">
        <f>IF($B374=1,$F$51,IF(N(Vintage_Input!P326)&gt;0,Vintage_Input!AN326/Vintage_Input!P326,""))</f>
        <v/>
      </c>
      <c r="AG374" s="152">
        <f>IF($B374=1,$G$51,IF(N(Vintage_Input!Q326)&gt;0,Vintage_Input!AO326/Vintage_Input!Q326,""))</f>
        <v/>
      </c>
      <c r="AH374" s="152">
        <f>IF($B374=1,$H$51,IF(N(Vintage_Input!R326)&gt;0,Vintage_Input!AP326/Vintage_Input!R326,""))</f>
        <v/>
      </c>
      <c r="AI374" s="152">
        <f>IF($B374=1,$I$51,IF(N(Vintage_Input!S326)&gt;0,Vintage_Input!AQ326/Vintage_Input!S326,""))</f>
        <v/>
      </c>
      <c r="AJ374" s="152">
        <f>IF($B374=1,$B$52,IF(N(Vintage_Input!L326)&gt;0,IFERROR(Vintage_Input!AR326/Vintage_Input!AJ326,""),""))</f>
        <v/>
      </c>
      <c r="AK374" s="152">
        <f>IF($B374=1,$C$52,IF(N(Vintage_Input!M326)&gt;0,IFERROR(Vintage_Input!AS326/Vintage_Input!AK326,""),""))</f>
        <v/>
      </c>
      <c r="AL374" s="152">
        <f>IF($B374=1,$D$52,IF(N(Vintage_Input!N326)&gt;0,IFERROR(Vintage_Input!AT326/Vintage_Input!AL326,""),""))</f>
        <v/>
      </c>
      <c r="AM374" s="152">
        <f>IF($B374=1,$E$52,IF(N(Vintage_Input!O326)&gt;0,IFERROR(Vintage_Input!AU326/Vintage_Input!AM326,""),""))</f>
        <v/>
      </c>
      <c r="AN374" s="152">
        <f>IF($B374=1,$F$52,IF(N(Vintage_Input!P326)&gt;0,IFERROR(Vintage_Input!AV326/Vintage_Input!AN326,""),""))</f>
        <v/>
      </c>
      <c r="AO374" s="152">
        <f>IF($B374=1,$G$52,IF(N(Vintage_Input!Q326)&gt;0,IFERROR(Vintage_Input!AW326/Vintage_Input!AO326,""),""))</f>
        <v/>
      </c>
      <c r="AP374" s="152">
        <f>IF($B374=1,$H$52,IF(N(Vintage_Input!R326)&gt;0,IFERROR(Vintage_Input!AX326/Vintage_Input!AP326,""),""))</f>
        <v/>
      </c>
      <c r="AQ374" s="152">
        <f>IF($B374=1,$I$52,IF(N(Vintage_Input!S326)&gt;0,IFERROR(Vintage_Input!AY326/Vintage_Input!AQ326,""),""))</f>
        <v/>
      </c>
      <c r="AR374" s="152">
        <f>IF($B374=1,$B$53,IF(N(Vintage_Input!L326)&gt;0,IFERROR(Vintage_Input!AZ326/$C374,""),""))</f>
        <v/>
      </c>
      <c r="AS374" s="152">
        <f>IF($B374=1,$C$53,IF(N(Vintage_Input!M326)&gt;0,IFERROR(Vintage_Input!BA326/$C374,""),""))</f>
        <v/>
      </c>
      <c r="AT374" s="152">
        <f>IF($B374=1,$D$53,IF(N(Vintage_Input!N326)&gt;0,IFERROR(Vintage_Input!BB326/$C374,""),""))</f>
        <v/>
      </c>
      <c r="AU374" s="152">
        <f>IF($B374=1,$E$53,IF(N(Vintage_Input!O326)&gt;0,IFERROR(Vintage_Input!BC326/$C374,""),""))</f>
        <v/>
      </c>
      <c r="AV374" s="152">
        <f>IF($B374=1,$F$53,IF(N(Vintage_Input!P326)&gt;0,IFERROR(Vintage_Input!BD326/$C374,""),""))</f>
        <v/>
      </c>
      <c r="AW374" s="152">
        <f>IF($B374=1,$G$53,IF(N(Vintage_Input!Q326)&gt;0,IFERROR(Vintage_Input!BE326/$C374,""),""))</f>
        <v/>
      </c>
      <c r="AX374" s="152">
        <f>IF($B374=1,$H$53,IF(N(Vintage_Input!R326)&gt;0,IFERROR(Vintage_Input!BF326/$C374,""),""))</f>
        <v/>
      </c>
      <c r="AY374" s="152">
        <f>IF($B374=1,$I$53,IF(N(Vintage_Input!S326)&gt;0,IFERROR(Vintage_Input!BG326/$C374,""),""))</f>
        <v/>
      </c>
      <c r="AZ374" s="153">
        <f>IF($B374=1,$B$54,IF(N(Vintage_Input!L326)&gt;0,IFERROR((Vintage_Input!D326+Vintage_Input!AR326)/$C374+Products!$G$14-(Products!$G$43+Products!$G$19+Products!$G$43*Products!$G$22+Products!$G$44),""),""))</f>
        <v/>
      </c>
      <c r="BA374" s="153">
        <f>IF($B374=1,$C$54,IF(N(Vintage_Input!M326)&gt;0,IFERROR((Vintage_Input!E326+Vintage_Input!AS326)/$C374+Products!$G$14-(Products!$G$43+Products!$G$19+Products!$G$43*Products!$G$22+Products!$G$44),""),""))</f>
        <v/>
      </c>
      <c r="BB374" s="153">
        <f>IF($B374=1,$D$54,IF(N(Vintage_Input!N326)&gt;0,IFERROR((Vintage_Input!F326+Vintage_Input!AT326)/$C374+Products!$G$14-(Products!$G$43+Products!$G$19+Products!$G$43*Products!$G$22+Products!$G$44),""),""))</f>
        <v/>
      </c>
      <c r="BC374" s="153">
        <f>IF($B374=1,$E$54,IF(N(Vintage_Input!O326)&gt;0,IFERROR((Vintage_Input!G326+Vintage_Input!AU326)/$C374+Products!$G$14-(Products!$G$43+Products!$G$19+Products!$G$43*Products!$G$22+Products!$G$44),""),""))</f>
        <v/>
      </c>
      <c r="BD374" s="153">
        <f>IF($B374=1,$F$54,IF(N(Vintage_Input!P326)&gt;0,IFERROR((Vintage_Input!H326+Vintage_Input!AV326)/$C374+Products!$G$14-(Products!$G$43+Products!$G$19+Products!$G$43*Products!$G$22+Products!$G$44),""),""))</f>
        <v/>
      </c>
      <c r="BE374" s="153">
        <f>IF($B374=1,$G$54,IF(N(Vintage_Input!Q326)&gt;0,IFERROR((Vintage_Input!I326+Vintage_Input!AW326)/$C374+Products!$G$14-(Products!$G$43+Products!$G$19+Products!$G$43*Products!$G$22+Products!$G$44),""),""))</f>
        <v/>
      </c>
      <c r="BF374" s="153">
        <f>IF($B374=1,$H$54,IF(N(Vintage_Input!R326)&gt;0,IFERROR((Vintage_Input!J326+Vintage_Input!AX326)/$C374+Products!$G$14-(Products!$G$43+Products!$G$19+Products!$G$43*Products!$G$22+Products!$G$44),""),""))</f>
        <v/>
      </c>
      <c r="BG374" s="153">
        <f>IF($B374=1,$I$54,IF(N(Vintage_Input!S326)&gt;0,IFERROR((Vintage_Input!K326+Vintage_Input!AY326)/$C374+Products!$G$14-(Products!$G$43+Products!$G$19+Products!$G$43*Products!$G$22+Products!$G$44),""),""))</f>
        <v/>
      </c>
      <c r="BH374" s="81">
        <f>IF($B374=1,0,IF(Vintage_Input!$BH$326="","",Vintage_Input!$BH$326))</f>
        <v/>
      </c>
    </row>
    <row r="375">
      <c r="A375" s="23" t="n">
        <v>59</v>
      </c>
      <c r="B375" s="48">
        <f>Vintage_Input!$B$327</f>
        <v/>
      </c>
      <c r="C375" s="41">
        <f>IF(Vintage_Input!$C$327="",0,Vintage_Input!$C$327)</f>
        <v/>
      </c>
      <c r="D375" s="152">
        <f>IF($B375=1,$B$48,IF(N(Vintage_Input!L327)&gt;0,Vintage_Input!D327/Vintage_Input!L327,""))</f>
        <v/>
      </c>
      <c r="E375" s="152">
        <f>IF($B375=1,$C$48,IF(N(Vintage_Input!M327)&gt;0,Vintage_Input!E327/Vintage_Input!M327,""))</f>
        <v/>
      </c>
      <c r="F375" s="152">
        <f>IF($B375=1,$D$48,IF(N(Vintage_Input!N327)&gt;0,Vintage_Input!F327/Vintage_Input!N327,""))</f>
        <v/>
      </c>
      <c r="G375" s="152">
        <f>IF($B375=1,$E$48,IF(N(Vintage_Input!O327)&gt;0,Vintage_Input!G327/Vintage_Input!O327,""))</f>
        <v/>
      </c>
      <c r="H375" s="152">
        <f>IF($B375=1,$F$48,IF(N(Vintage_Input!P327)&gt;0,Vintage_Input!H327/Vintage_Input!P327,""))</f>
        <v/>
      </c>
      <c r="I375" s="152">
        <f>IF($B375=1,$G$48,IF(N(Vintage_Input!Q327)&gt;0,Vintage_Input!I327/Vintage_Input!Q327,""))</f>
        <v/>
      </c>
      <c r="J375" s="152">
        <f>IF($B375=1,$H$48,IF(N(Vintage_Input!R327)&gt;0,Vintage_Input!J327/Vintage_Input!R327,""))</f>
        <v/>
      </c>
      <c r="K375" s="152">
        <f>IF($B375=1,$I$48,IF(N(Vintage_Input!S327)&gt;0,Vintage_Input!K327/Vintage_Input!S327,""))</f>
        <v/>
      </c>
      <c r="L375" s="152">
        <f>IF($B375=1,$B$49,IF(N(Vintage_Input!L327)&gt;0,Vintage_Input!T327/Vintage_Input!L327,""))</f>
        <v/>
      </c>
      <c r="M375" s="152">
        <f>IF($B375=1,$C$49,IF(N(Vintage_Input!M327)&gt;0,Vintage_Input!U327/Vintage_Input!M327,""))</f>
        <v/>
      </c>
      <c r="N375" s="152">
        <f>IF($B375=1,$D$49,IF(N(Vintage_Input!N327)&gt;0,Vintage_Input!V327/Vintage_Input!N327,""))</f>
        <v/>
      </c>
      <c r="O375" s="152">
        <f>IF($B375=1,$E$49,IF(N(Vintage_Input!O327)&gt;0,Vintage_Input!W327/Vintage_Input!O327,""))</f>
        <v/>
      </c>
      <c r="P375" s="152">
        <f>IF($B375=1,$F$49,IF(N(Vintage_Input!P327)&gt;0,Vintage_Input!X327/Vintage_Input!P327,""))</f>
        <v/>
      </c>
      <c r="Q375" s="152">
        <f>IF($B375=1,$G$49,IF(N(Vintage_Input!Q327)&gt;0,Vintage_Input!Y327/Vintage_Input!Q327,""))</f>
        <v/>
      </c>
      <c r="R375" s="152">
        <f>IF($B375=1,$H$49,IF(N(Vintage_Input!R327)&gt;0,Vintage_Input!Z327/Vintage_Input!R327,""))</f>
        <v/>
      </c>
      <c r="S375" s="152">
        <f>IF($B375=1,$I$49,IF(N(Vintage_Input!S327)&gt;0,Vintage_Input!AA327/Vintage_Input!S327,""))</f>
        <v/>
      </c>
      <c r="T375" s="152">
        <f>IF($B375=1,$B$50,IF(N(Vintage_Input!L327)&gt;0,Vintage_Input!AB327/Vintage_Input!L327,""))</f>
        <v/>
      </c>
      <c r="U375" s="152">
        <f>IF($B375=1,$C$50,IF(N(Vintage_Input!M327)&gt;0,Vintage_Input!AC327/Vintage_Input!M327,""))</f>
        <v/>
      </c>
      <c r="V375" s="152">
        <f>IF($B375=1,$D$50,IF(N(Vintage_Input!N327)&gt;0,Vintage_Input!AD327/Vintage_Input!N327,""))</f>
        <v/>
      </c>
      <c r="W375" s="152">
        <f>IF($B375=1,$E$50,IF(N(Vintage_Input!O327)&gt;0,Vintage_Input!AE327/Vintage_Input!O327,""))</f>
        <v/>
      </c>
      <c r="X375" s="152">
        <f>IF($B375=1,$F$50,IF(N(Vintage_Input!P327)&gt;0,Vintage_Input!AF327/Vintage_Input!P327,""))</f>
        <v/>
      </c>
      <c r="Y375" s="152">
        <f>IF($B375=1,$G$50,IF(N(Vintage_Input!Q327)&gt;0,Vintage_Input!AG327/Vintage_Input!Q327,""))</f>
        <v/>
      </c>
      <c r="Z375" s="152">
        <f>IF($B375=1,$H$50,IF(N(Vintage_Input!R327)&gt;0,Vintage_Input!AH327/Vintage_Input!R327,""))</f>
        <v/>
      </c>
      <c r="AA375" s="152">
        <f>IF($B375=1,$I$50,IF(N(Vintage_Input!S327)&gt;0,Vintage_Input!AI327/Vintage_Input!S327,""))</f>
        <v/>
      </c>
      <c r="AB375" s="152">
        <f>IF($B375=1,$B$51,IF(N(Vintage_Input!L327)&gt;0,Vintage_Input!AJ327/Vintage_Input!L327,""))</f>
        <v/>
      </c>
      <c r="AC375" s="152">
        <f>IF($B375=1,$C$51,IF(N(Vintage_Input!M327)&gt;0,Vintage_Input!AK327/Vintage_Input!M327,""))</f>
        <v/>
      </c>
      <c r="AD375" s="152">
        <f>IF($B375=1,$D$51,IF(N(Vintage_Input!N327)&gt;0,Vintage_Input!AL327/Vintage_Input!N327,""))</f>
        <v/>
      </c>
      <c r="AE375" s="152">
        <f>IF($B375=1,$E$51,IF(N(Vintage_Input!O327)&gt;0,Vintage_Input!AM327/Vintage_Input!O327,""))</f>
        <v/>
      </c>
      <c r="AF375" s="152">
        <f>IF($B375=1,$F$51,IF(N(Vintage_Input!P327)&gt;0,Vintage_Input!AN327/Vintage_Input!P327,""))</f>
        <v/>
      </c>
      <c r="AG375" s="152">
        <f>IF($B375=1,$G$51,IF(N(Vintage_Input!Q327)&gt;0,Vintage_Input!AO327/Vintage_Input!Q327,""))</f>
        <v/>
      </c>
      <c r="AH375" s="152">
        <f>IF($B375=1,$H$51,IF(N(Vintage_Input!R327)&gt;0,Vintage_Input!AP327/Vintage_Input!R327,""))</f>
        <v/>
      </c>
      <c r="AI375" s="152">
        <f>IF($B375=1,$I$51,IF(N(Vintage_Input!S327)&gt;0,Vintage_Input!AQ327/Vintage_Input!S327,""))</f>
        <v/>
      </c>
      <c r="AJ375" s="152">
        <f>IF($B375=1,$B$52,IF(N(Vintage_Input!L327)&gt;0,IFERROR(Vintage_Input!AR327/Vintage_Input!AJ327,""),""))</f>
        <v/>
      </c>
      <c r="AK375" s="152">
        <f>IF($B375=1,$C$52,IF(N(Vintage_Input!M327)&gt;0,IFERROR(Vintage_Input!AS327/Vintage_Input!AK327,""),""))</f>
        <v/>
      </c>
      <c r="AL375" s="152">
        <f>IF($B375=1,$D$52,IF(N(Vintage_Input!N327)&gt;0,IFERROR(Vintage_Input!AT327/Vintage_Input!AL327,""),""))</f>
        <v/>
      </c>
      <c r="AM375" s="152">
        <f>IF($B375=1,$E$52,IF(N(Vintage_Input!O327)&gt;0,IFERROR(Vintage_Input!AU327/Vintage_Input!AM327,""),""))</f>
        <v/>
      </c>
      <c r="AN375" s="152">
        <f>IF($B375=1,$F$52,IF(N(Vintage_Input!P327)&gt;0,IFERROR(Vintage_Input!AV327/Vintage_Input!AN327,""),""))</f>
        <v/>
      </c>
      <c r="AO375" s="152">
        <f>IF($B375=1,$G$52,IF(N(Vintage_Input!Q327)&gt;0,IFERROR(Vintage_Input!AW327/Vintage_Input!AO327,""),""))</f>
        <v/>
      </c>
      <c r="AP375" s="152">
        <f>IF($B375=1,$H$52,IF(N(Vintage_Input!R327)&gt;0,IFERROR(Vintage_Input!AX327/Vintage_Input!AP327,""),""))</f>
        <v/>
      </c>
      <c r="AQ375" s="152">
        <f>IF($B375=1,$I$52,IF(N(Vintage_Input!S327)&gt;0,IFERROR(Vintage_Input!AY327/Vintage_Input!AQ327,""),""))</f>
        <v/>
      </c>
      <c r="AR375" s="152">
        <f>IF($B375=1,$B$53,IF(N(Vintage_Input!L327)&gt;0,IFERROR(Vintage_Input!AZ327/$C375,""),""))</f>
        <v/>
      </c>
      <c r="AS375" s="152">
        <f>IF($B375=1,$C$53,IF(N(Vintage_Input!M327)&gt;0,IFERROR(Vintage_Input!BA327/$C375,""),""))</f>
        <v/>
      </c>
      <c r="AT375" s="152">
        <f>IF($B375=1,$D$53,IF(N(Vintage_Input!N327)&gt;0,IFERROR(Vintage_Input!BB327/$C375,""),""))</f>
        <v/>
      </c>
      <c r="AU375" s="152">
        <f>IF($B375=1,$E$53,IF(N(Vintage_Input!O327)&gt;0,IFERROR(Vintage_Input!BC327/$C375,""),""))</f>
        <v/>
      </c>
      <c r="AV375" s="152">
        <f>IF($B375=1,$F$53,IF(N(Vintage_Input!P327)&gt;0,IFERROR(Vintage_Input!BD327/$C375,""),""))</f>
        <v/>
      </c>
      <c r="AW375" s="152">
        <f>IF($B375=1,$G$53,IF(N(Vintage_Input!Q327)&gt;0,IFERROR(Vintage_Input!BE327/$C375,""),""))</f>
        <v/>
      </c>
      <c r="AX375" s="152">
        <f>IF($B375=1,$H$53,IF(N(Vintage_Input!R327)&gt;0,IFERROR(Vintage_Input!BF327/$C375,""),""))</f>
        <v/>
      </c>
      <c r="AY375" s="152">
        <f>IF($B375=1,$I$53,IF(N(Vintage_Input!S327)&gt;0,IFERROR(Vintage_Input!BG327/$C375,""),""))</f>
        <v/>
      </c>
      <c r="AZ375" s="153">
        <f>IF($B375=1,$B$54,IF(N(Vintage_Input!L327)&gt;0,IFERROR((Vintage_Input!D327+Vintage_Input!AR327)/$C375+Products!$G$14-(Products!$G$43+Products!$G$19+Products!$G$43*Products!$G$22+Products!$G$44),""),""))</f>
        <v/>
      </c>
      <c r="BA375" s="153">
        <f>IF($B375=1,$C$54,IF(N(Vintage_Input!M327)&gt;0,IFERROR((Vintage_Input!E327+Vintage_Input!AS327)/$C375+Products!$G$14-(Products!$G$43+Products!$G$19+Products!$G$43*Products!$G$22+Products!$G$44),""),""))</f>
        <v/>
      </c>
      <c r="BB375" s="153">
        <f>IF($B375=1,$D$54,IF(N(Vintage_Input!N327)&gt;0,IFERROR((Vintage_Input!F327+Vintage_Input!AT327)/$C375+Products!$G$14-(Products!$G$43+Products!$G$19+Products!$G$43*Products!$G$22+Products!$G$44),""),""))</f>
        <v/>
      </c>
      <c r="BC375" s="153">
        <f>IF($B375=1,$E$54,IF(N(Vintage_Input!O327)&gt;0,IFERROR((Vintage_Input!G327+Vintage_Input!AU327)/$C375+Products!$G$14-(Products!$G$43+Products!$G$19+Products!$G$43*Products!$G$22+Products!$G$44),""),""))</f>
        <v/>
      </c>
      <c r="BD375" s="153">
        <f>IF($B375=1,$F$54,IF(N(Vintage_Input!P327)&gt;0,IFERROR((Vintage_Input!H327+Vintage_Input!AV327)/$C375+Products!$G$14-(Products!$G$43+Products!$G$19+Products!$G$43*Products!$G$22+Products!$G$44),""),""))</f>
        <v/>
      </c>
      <c r="BE375" s="153">
        <f>IF($B375=1,$G$54,IF(N(Vintage_Input!Q327)&gt;0,IFERROR((Vintage_Input!I327+Vintage_Input!AW327)/$C375+Products!$G$14-(Products!$G$43+Products!$G$19+Products!$G$43*Products!$G$22+Products!$G$44),""),""))</f>
        <v/>
      </c>
      <c r="BF375" s="153">
        <f>IF($B375=1,$H$54,IF(N(Vintage_Input!R327)&gt;0,IFERROR((Vintage_Input!J327+Vintage_Input!AX327)/$C375+Products!$G$14-(Products!$G$43+Products!$G$19+Products!$G$43*Products!$G$22+Products!$G$44),""),""))</f>
        <v/>
      </c>
      <c r="BG375" s="153">
        <f>IF($B375=1,$I$54,IF(N(Vintage_Input!S327)&gt;0,IFERROR((Vintage_Input!K327+Vintage_Input!AY327)/$C375+Products!$G$14-(Products!$G$43+Products!$G$19+Products!$G$43*Products!$G$22+Products!$G$44),""),""))</f>
        <v/>
      </c>
      <c r="BH375" s="81">
        <f>IF($B375=1,0,IF(Vintage_Input!$BH$327="","",Vintage_Input!$BH$327))</f>
        <v/>
      </c>
    </row>
    <row r="376">
      <c r="A376" s="23" t="n">
        <v>60</v>
      </c>
      <c r="B376" s="48">
        <f>Vintage_Input!$B$328</f>
        <v/>
      </c>
      <c r="C376" s="41">
        <f>IF(Vintage_Input!$C$328="",0,Vintage_Input!$C$328)</f>
        <v/>
      </c>
      <c r="D376" s="152">
        <f>IF($B376=1,$B$48,IF(N(Vintage_Input!L328)&gt;0,Vintage_Input!D328/Vintage_Input!L328,""))</f>
        <v/>
      </c>
      <c r="E376" s="152">
        <f>IF($B376=1,$C$48,IF(N(Vintage_Input!M328)&gt;0,Vintage_Input!E328/Vintage_Input!M328,""))</f>
        <v/>
      </c>
      <c r="F376" s="152">
        <f>IF($B376=1,$D$48,IF(N(Vintage_Input!N328)&gt;0,Vintage_Input!F328/Vintage_Input!N328,""))</f>
        <v/>
      </c>
      <c r="G376" s="152">
        <f>IF($B376=1,$E$48,IF(N(Vintage_Input!O328)&gt;0,Vintage_Input!G328/Vintage_Input!O328,""))</f>
        <v/>
      </c>
      <c r="H376" s="152">
        <f>IF($B376=1,$F$48,IF(N(Vintage_Input!P328)&gt;0,Vintage_Input!H328/Vintage_Input!P328,""))</f>
        <v/>
      </c>
      <c r="I376" s="152">
        <f>IF($B376=1,$G$48,IF(N(Vintage_Input!Q328)&gt;0,Vintage_Input!I328/Vintage_Input!Q328,""))</f>
        <v/>
      </c>
      <c r="J376" s="152">
        <f>IF($B376=1,$H$48,IF(N(Vintage_Input!R328)&gt;0,Vintage_Input!J328/Vintage_Input!R328,""))</f>
        <v/>
      </c>
      <c r="K376" s="152">
        <f>IF($B376=1,$I$48,IF(N(Vintage_Input!S328)&gt;0,Vintage_Input!K328/Vintage_Input!S328,""))</f>
        <v/>
      </c>
      <c r="L376" s="152">
        <f>IF($B376=1,$B$49,IF(N(Vintage_Input!L328)&gt;0,Vintage_Input!T328/Vintage_Input!L328,""))</f>
        <v/>
      </c>
      <c r="M376" s="152">
        <f>IF($B376=1,$C$49,IF(N(Vintage_Input!M328)&gt;0,Vintage_Input!U328/Vintage_Input!M328,""))</f>
        <v/>
      </c>
      <c r="N376" s="152">
        <f>IF($B376=1,$D$49,IF(N(Vintage_Input!N328)&gt;0,Vintage_Input!V328/Vintage_Input!N328,""))</f>
        <v/>
      </c>
      <c r="O376" s="152">
        <f>IF($B376=1,$E$49,IF(N(Vintage_Input!O328)&gt;0,Vintage_Input!W328/Vintage_Input!O328,""))</f>
        <v/>
      </c>
      <c r="P376" s="152">
        <f>IF($B376=1,$F$49,IF(N(Vintage_Input!P328)&gt;0,Vintage_Input!X328/Vintage_Input!P328,""))</f>
        <v/>
      </c>
      <c r="Q376" s="152">
        <f>IF($B376=1,$G$49,IF(N(Vintage_Input!Q328)&gt;0,Vintage_Input!Y328/Vintage_Input!Q328,""))</f>
        <v/>
      </c>
      <c r="R376" s="152">
        <f>IF($B376=1,$H$49,IF(N(Vintage_Input!R328)&gt;0,Vintage_Input!Z328/Vintage_Input!R328,""))</f>
        <v/>
      </c>
      <c r="S376" s="152">
        <f>IF($B376=1,$I$49,IF(N(Vintage_Input!S328)&gt;0,Vintage_Input!AA328/Vintage_Input!S328,""))</f>
        <v/>
      </c>
      <c r="T376" s="152">
        <f>IF($B376=1,$B$50,IF(N(Vintage_Input!L328)&gt;0,Vintage_Input!AB328/Vintage_Input!L328,""))</f>
        <v/>
      </c>
      <c r="U376" s="152">
        <f>IF($B376=1,$C$50,IF(N(Vintage_Input!M328)&gt;0,Vintage_Input!AC328/Vintage_Input!M328,""))</f>
        <v/>
      </c>
      <c r="V376" s="152">
        <f>IF($B376=1,$D$50,IF(N(Vintage_Input!N328)&gt;0,Vintage_Input!AD328/Vintage_Input!N328,""))</f>
        <v/>
      </c>
      <c r="W376" s="152">
        <f>IF($B376=1,$E$50,IF(N(Vintage_Input!O328)&gt;0,Vintage_Input!AE328/Vintage_Input!O328,""))</f>
        <v/>
      </c>
      <c r="X376" s="152">
        <f>IF($B376=1,$F$50,IF(N(Vintage_Input!P328)&gt;0,Vintage_Input!AF328/Vintage_Input!P328,""))</f>
        <v/>
      </c>
      <c r="Y376" s="152">
        <f>IF($B376=1,$G$50,IF(N(Vintage_Input!Q328)&gt;0,Vintage_Input!AG328/Vintage_Input!Q328,""))</f>
        <v/>
      </c>
      <c r="Z376" s="152">
        <f>IF($B376=1,$H$50,IF(N(Vintage_Input!R328)&gt;0,Vintage_Input!AH328/Vintage_Input!R328,""))</f>
        <v/>
      </c>
      <c r="AA376" s="152">
        <f>IF($B376=1,$I$50,IF(N(Vintage_Input!S328)&gt;0,Vintage_Input!AI328/Vintage_Input!S328,""))</f>
        <v/>
      </c>
      <c r="AB376" s="152">
        <f>IF($B376=1,$B$51,IF(N(Vintage_Input!L328)&gt;0,Vintage_Input!AJ328/Vintage_Input!L328,""))</f>
        <v/>
      </c>
      <c r="AC376" s="152">
        <f>IF($B376=1,$C$51,IF(N(Vintage_Input!M328)&gt;0,Vintage_Input!AK328/Vintage_Input!M328,""))</f>
        <v/>
      </c>
      <c r="AD376" s="152">
        <f>IF($B376=1,$D$51,IF(N(Vintage_Input!N328)&gt;0,Vintage_Input!AL328/Vintage_Input!N328,""))</f>
        <v/>
      </c>
      <c r="AE376" s="152">
        <f>IF($B376=1,$E$51,IF(N(Vintage_Input!O328)&gt;0,Vintage_Input!AM328/Vintage_Input!O328,""))</f>
        <v/>
      </c>
      <c r="AF376" s="152">
        <f>IF($B376=1,$F$51,IF(N(Vintage_Input!P328)&gt;0,Vintage_Input!AN328/Vintage_Input!P328,""))</f>
        <v/>
      </c>
      <c r="AG376" s="152">
        <f>IF($B376=1,$G$51,IF(N(Vintage_Input!Q328)&gt;0,Vintage_Input!AO328/Vintage_Input!Q328,""))</f>
        <v/>
      </c>
      <c r="AH376" s="152">
        <f>IF($B376=1,$H$51,IF(N(Vintage_Input!R328)&gt;0,Vintage_Input!AP328/Vintage_Input!R328,""))</f>
        <v/>
      </c>
      <c r="AI376" s="152">
        <f>IF($B376=1,$I$51,IF(N(Vintage_Input!S328)&gt;0,Vintage_Input!AQ328/Vintage_Input!S328,""))</f>
        <v/>
      </c>
      <c r="AJ376" s="152">
        <f>IF($B376=1,$B$52,IF(N(Vintage_Input!L328)&gt;0,IFERROR(Vintage_Input!AR328/Vintage_Input!AJ328,""),""))</f>
        <v/>
      </c>
      <c r="AK376" s="152">
        <f>IF($B376=1,$C$52,IF(N(Vintage_Input!M328)&gt;0,IFERROR(Vintage_Input!AS328/Vintage_Input!AK328,""),""))</f>
        <v/>
      </c>
      <c r="AL376" s="152">
        <f>IF($B376=1,$D$52,IF(N(Vintage_Input!N328)&gt;0,IFERROR(Vintage_Input!AT328/Vintage_Input!AL328,""),""))</f>
        <v/>
      </c>
      <c r="AM376" s="152">
        <f>IF($B376=1,$E$52,IF(N(Vintage_Input!O328)&gt;0,IFERROR(Vintage_Input!AU328/Vintage_Input!AM328,""),""))</f>
        <v/>
      </c>
      <c r="AN376" s="152">
        <f>IF($B376=1,$F$52,IF(N(Vintage_Input!P328)&gt;0,IFERROR(Vintage_Input!AV328/Vintage_Input!AN328,""),""))</f>
        <v/>
      </c>
      <c r="AO376" s="152">
        <f>IF($B376=1,$G$52,IF(N(Vintage_Input!Q328)&gt;0,IFERROR(Vintage_Input!AW328/Vintage_Input!AO328,""),""))</f>
        <v/>
      </c>
      <c r="AP376" s="152">
        <f>IF($B376=1,$H$52,IF(N(Vintage_Input!R328)&gt;0,IFERROR(Vintage_Input!AX328/Vintage_Input!AP328,""),""))</f>
        <v/>
      </c>
      <c r="AQ376" s="152">
        <f>IF($B376=1,$I$52,IF(N(Vintage_Input!S328)&gt;0,IFERROR(Vintage_Input!AY328/Vintage_Input!AQ328,""),""))</f>
        <v/>
      </c>
      <c r="AR376" s="152">
        <f>IF($B376=1,$B$53,IF(N(Vintage_Input!L328)&gt;0,IFERROR(Vintage_Input!AZ328/$C376,""),""))</f>
        <v/>
      </c>
      <c r="AS376" s="152">
        <f>IF($B376=1,$C$53,IF(N(Vintage_Input!M328)&gt;0,IFERROR(Vintage_Input!BA328/$C376,""),""))</f>
        <v/>
      </c>
      <c r="AT376" s="152">
        <f>IF($B376=1,$D$53,IF(N(Vintage_Input!N328)&gt;0,IFERROR(Vintage_Input!BB328/$C376,""),""))</f>
        <v/>
      </c>
      <c r="AU376" s="152">
        <f>IF($B376=1,$E$53,IF(N(Vintage_Input!O328)&gt;0,IFERROR(Vintage_Input!BC328/$C376,""),""))</f>
        <v/>
      </c>
      <c r="AV376" s="152">
        <f>IF($B376=1,$F$53,IF(N(Vintage_Input!P328)&gt;0,IFERROR(Vintage_Input!BD328/$C376,""),""))</f>
        <v/>
      </c>
      <c r="AW376" s="152">
        <f>IF($B376=1,$G$53,IF(N(Vintage_Input!Q328)&gt;0,IFERROR(Vintage_Input!BE328/$C376,""),""))</f>
        <v/>
      </c>
      <c r="AX376" s="152">
        <f>IF($B376=1,$H$53,IF(N(Vintage_Input!R328)&gt;0,IFERROR(Vintage_Input!BF328/$C376,""),""))</f>
        <v/>
      </c>
      <c r="AY376" s="152">
        <f>IF($B376=1,$I$53,IF(N(Vintage_Input!S328)&gt;0,IFERROR(Vintage_Input!BG328/$C376,""),""))</f>
        <v/>
      </c>
      <c r="AZ376" s="153">
        <f>IF($B376=1,$B$54,IF(N(Vintage_Input!L328)&gt;0,IFERROR((Vintage_Input!D328+Vintage_Input!AR328)/$C376+Products!$G$14-(Products!$G$43+Products!$G$19+Products!$G$43*Products!$G$22+Products!$G$44),""),""))</f>
        <v/>
      </c>
      <c r="BA376" s="153">
        <f>IF($B376=1,$C$54,IF(N(Vintage_Input!M328)&gt;0,IFERROR((Vintage_Input!E328+Vintage_Input!AS328)/$C376+Products!$G$14-(Products!$G$43+Products!$G$19+Products!$G$43*Products!$G$22+Products!$G$44),""),""))</f>
        <v/>
      </c>
      <c r="BB376" s="153">
        <f>IF($B376=1,$D$54,IF(N(Vintage_Input!N328)&gt;0,IFERROR((Vintage_Input!F328+Vintage_Input!AT328)/$C376+Products!$G$14-(Products!$G$43+Products!$G$19+Products!$G$43*Products!$G$22+Products!$G$44),""),""))</f>
        <v/>
      </c>
      <c r="BC376" s="153">
        <f>IF($B376=1,$E$54,IF(N(Vintage_Input!O328)&gt;0,IFERROR((Vintage_Input!G328+Vintage_Input!AU328)/$C376+Products!$G$14-(Products!$G$43+Products!$G$19+Products!$G$43*Products!$G$22+Products!$G$44),""),""))</f>
        <v/>
      </c>
      <c r="BD376" s="153">
        <f>IF($B376=1,$F$54,IF(N(Vintage_Input!P328)&gt;0,IFERROR((Vintage_Input!H328+Vintage_Input!AV328)/$C376+Products!$G$14-(Products!$G$43+Products!$G$19+Products!$G$43*Products!$G$22+Products!$G$44),""),""))</f>
        <v/>
      </c>
      <c r="BE376" s="153">
        <f>IF($B376=1,$G$54,IF(N(Vintage_Input!Q328)&gt;0,IFERROR((Vintage_Input!I328+Vintage_Input!AW328)/$C376+Products!$G$14-(Products!$G$43+Products!$G$19+Products!$G$43*Products!$G$22+Products!$G$44),""),""))</f>
        <v/>
      </c>
      <c r="BF376" s="153">
        <f>IF($B376=1,$H$54,IF(N(Vintage_Input!R328)&gt;0,IFERROR((Vintage_Input!J328+Vintage_Input!AX328)/$C376+Products!$G$14-(Products!$G$43+Products!$G$19+Products!$G$43*Products!$G$22+Products!$G$44),""),""))</f>
        <v/>
      </c>
      <c r="BG376" s="153">
        <f>IF($B376=1,$I$54,IF(N(Vintage_Input!S328)&gt;0,IFERROR((Vintage_Input!K328+Vintage_Input!AY328)/$C376+Products!$G$14-(Products!$G$43+Products!$G$19+Products!$G$43*Products!$G$22+Products!$G$44),""),""))</f>
        <v/>
      </c>
      <c r="BH376" s="81">
        <f>IF($B376=1,0,IF(Vintage_Input!$BH$328="","",Vintage_Input!$BH$328))</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35.xml><?xml version="1.0" encoding="utf-8"?>
<worksheet xmlns="http://schemas.openxmlformats.org/spreadsheetml/2006/main">
  <sheetPr>
    <outlinePr summaryBelow="1" summaryRight="1"/>
    <pageSetUpPr fitToPage="1"/>
  </sheetPr>
  <dimension ref="A1:BL30"/>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Operating costs, working capital &amp; capex</t>
        </is>
      </c>
    </row>
    <row r="2">
      <c r="A2" s="18" t="inlineStr">
        <is>
          <t>[FORECAST]  LCY</t>
        </is>
      </c>
    </row>
    <row r="3"/>
    <row r="4">
      <c r="A4" s="94" t="inlineStr">
        <is>
          <t>Month #</t>
        </is>
      </c>
      <c r="B4" s="95" t="n"/>
      <c r="C4" s="95" t="n"/>
      <c r="D4" s="94" t="inlineStr">
        <is>
          <t>Opening</t>
        </is>
      </c>
      <c r="E4" s="96">
        <f>Timeline!E4</f>
        <v/>
      </c>
      <c r="F4" s="96">
        <f>Timeline!F4</f>
        <v/>
      </c>
      <c r="G4" s="96">
        <f>Timeline!G4</f>
        <v/>
      </c>
      <c r="H4" s="96">
        <f>Timeline!H4</f>
        <v/>
      </c>
      <c r="I4" s="96">
        <f>Timeline!I4</f>
        <v/>
      </c>
      <c r="J4" s="96">
        <f>Timeline!J4</f>
        <v/>
      </c>
      <c r="K4" s="96">
        <f>Timeline!K4</f>
        <v/>
      </c>
      <c r="L4" s="96">
        <f>Timeline!L4</f>
        <v/>
      </c>
      <c r="M4" s="96">
        <f>Timeline!M4</f>
        <v/>
      </c>
      <c r="N4" s="96">
        <f>Timeline!N4</f>
        <v/>
      </c>
      <c r="O4" s="96">
        <f>Timeline!O4</f>
        <v/>
      </c>
      <c r="P4" s="96">
        <f>Timeline!P4</f>
        <v/>
      </c>
      <c r="Q4" s="96">
        <f>Timeline!Q4</f>
        <v/>
      </c>
      <c r="R4" s="96">
        <f>Timeline!R4</f>
        <v/>
      </c>
      <c r="S4" s="96">
        <f>Timeline!S4</f>
        <v/>
      </c>
      <c r="T4" s="96">
        <f>Timeline!T4</f>
        <v/>
      </c>
      <c r="U4" s="96">
        <f>Timeline!U4</f>
        <v/>
      </c>
      <c r="V4" s="96">
        <f>Timeline!V4</f>
        <v/>
      </c>
      <c r="W4" s="96">
        <f>Timeline!W4</f>
        <v/>
      </c>
      <c r="X4" s="96">
        <f>Timeline!X4</f>
        <v/>
      </c>
      <c r="Y4" s="96">
        <f>Timeline!Y4</f>
        <v/>
      </c>
      <c r="Z4" s="96">
        <f>Timeline!Z4</f>
        <v/>
      </c>
      <c r="AA4" s="96">
        <f>Timeline!AA4</f>
        <v/>
      </c>
      <c r="AB4" s="96">
        <f>Timeline!AB4</f>
        <v/>
      </c>
      <c r="AC4" s="96">
        <f>Timeline!AC4</f>
        <v/>
      </c>
      <c r="AD4" s="96">
        <f>Timeline!AD4</f>
        <v/>
      </c>
      <c r="AE4" s="96">
        <f>Timeline!AE4</f>
        <v/>
      </c>
      <c r="AF4" s="96">
        <f>Timeline!AF4</f>
        <v/>
      </c>
      <c r="AG4" s="96">
        <f>Timeline!AG4</f>
        <v/>
      </c>
      <c r="AH4" s="96">
        <f>Timeline!AH4</f>
        <v/>
      </c>
      <c r="AI4" s="96">
        <f>Timeline!AI4</f>
        <v/>
      </c>
      <c r="AJ4" s="96">
        <f>Timeline!AJ4</f>
        <v/>
      </c>
      <c r="AK4" s="96">
        <f>Timeline!AK4</f>
        <v/>
      </c>
      <c r="AL4" s="96">
        <f>Timeline!AL4</f>
        <v/>
      </c>
      <c r="AM4" s="96">
        <f>Timeline!AM4</f>
        <v/>
      </c>
      <c r="AN4" s="96">
        <f>Timeline!AN4</f>
        <v/>
      </c>
      <c r="AO4" s="96">
        <f>Timeline!AO4</f>
        <v/>
      </c>
      <c r="AP4" s="96">
        <f>Timeline!AP4</f>
        <v/>
      </c>
      <c r="AQ4" s="96">
        <f>Timeline!AQ4</f>
        <v/>
      </c>
      <c r="AR4" s="96">
        <f>Timeline!AR4</f>
        <v/>
      </c>
      <c r="AS4" s="96">
        <f>Timeline!AS4</f>
        <v/>
      </c>
      <c r="AT4" s="96">
        <f>Timeline!AT4</f>
        <v/>
      </c>
      <c r="AU4" s="96">
        <f>Timeline!AU4</f>
        <v/>
      </c>
      <c r="AV4" s="96">
        <f>Timeline!AV4</f>
        <v/>
      </c>
      <c r="AW4" s="96">
        <f>Timeline!AW4</f>
        <v/>
      </c>
      <c r="AX4" s="96">
        <f>Timeline!AX4</f>
        <v/>
      </c>
      <c r="AY4" s="96">
        <f>Timeline!AY4</f>
        <v/>
      </c>
      <c r="AZ4" s="96">
        <f>Timeline!AZ4</f>
        <v/>
      </c>
      <c r="BA4" s="96">
        <f>Timeline!BA4</f>
        <v/>
      </c>
      <c r="BB4" s="96">
        <f>Timeline!BB4</f>
        <v/>
      </c>
      <c r="BC4" s="96">
        <f>Timeline!BC4</f>
        <v/>
      </c>
      <c r="BD4" s="96">
        <f>Timeline!BD4</f>
        <v/>
      </c>
      <c r="BE4" s="96">
        <f>Timeline!BE4</f>
        <v/>
      </c>
      <c r="BF4" s="96">
        <f>Timeline!BF4</f>
        <v/>
      </c>
      <c r="BG4" s="96">
        <f>Timeline!BG4</f>
        <v/>
      </c>
      <c r="BH4" s="96">
        <f>Timeline!BH4</f>
        <v/>
      </c>
      <c r="BI4" s="96">
        <f>Timeline!BI4</f>
        <v/>
      </c>
      <c r="BJ4" s="96">
        <f>Timeline!BJ4</f>
        <v/>
      </c>
      <c r="BK4" s="96">
        <f>Timeline!BK4</f>
        <v/>
      </c>
      <c r="BL4" s="96">
        <f>Timeline!BL4</f>
        <v/>
      </c>
    </row>
    <row r="5">
      <c r="A5" s="94" t="inlineStr">
        <is>
          <t>Period end</t>
        </is>
      </c>
      <c r="B5" s="95" t="n"/>
      <c r="C5" s="95" t="n"/>
      <c r="D5" s="94" t="n"/>
      <c r="E5" s="97">
        <f>Timeline!E5</f>
        <v/>
      </c>
      <c r="F5" s="97">
        <f>Timeline!F5</f>
        <v/>
      </c>
      <c r="G5" s="97">
        <f>Timeline!G5</f>
        <v/>
      </c>
      <c r="H5" s="97">
        <f>Timeline!H5</f>
        <v/>
      </c>
      <c r="I5" s="97">
        <f>Timeline!I5</f>
        <v/>
      </c>
      <c r="J5" s="97">
        <f>Timeline!J5</f>
        <v/>
      </c>
      <c r="K5" s="97">
        <f>Timeline!K5</f>
        <v/>
      </c>
      <c r="L5" s="97">
        <f>Timeline!L5</f>
        <v/>
      </c>
      <c r="M5" s="97">
        <f>Timeline!M5</f>
        <v/>
      </c>
      <c r="N5" s="97">
        <f>Timeline!N5</f>
        <v/>
      </c>
      <c r="O5" s="97">
        <f>Timeline!O5</f>
        <v/>
      </c>
      <c r="P5" s="97">
        <f>Timeline!P5</f>
        <v/>
      </c>
      <c r="Q5" s="97">
        <f>Timeline!Q5</f>
        <v/>
      </c>
      <c r="R5" s="97">
        <f>Timeline!R5</f>
        <v/>
      </c>
      <c r="S5" s="97">
        <f>Timeline!S5</f>
        <v/>
      </c>
      <c r="T5" s="97">
        <f>Timeline!T5</f>
        <v/>
      </c>
      <c r="U5" s="97">
        <f>Timeline!U5</f>
        <v/>
      </c>
      <c r="V5" s="97">
        <f>Timeline!V5</f>
        <v/>
      </c>
      <c r="W5" s="97">
        <f>Timeline!W5</f>
        <v/>
      </c>
      <c r="X5" s="97">
        <f>Timeline!X5</f>
        <v/>
      </c>
      <c r="Y5" s="97">
        <f>Timeline!Y5</f>
        <v/>
      </c>
      <c r="Z5" s="97">
        <f>Timeline!Z5</f>
        <v/>
      </c>
      <c r="AA5" s="97">
        <f>Timeline!AA5</f>
        <v/>
      </c>
      <c r="AB5" s="97">
        <f>Timeline!AB5</f>
        <v/>
      </c>
      <c r="AC5" s="97">
        <f>Timeline!AC5</f>
        <v/>
      </c>
      <c r="AD5" s="97">
        <f>Timeline!AD5</f>
        <v/>
      </c>
      <c r="AE5" s="97">
        <f>Timeline!AE5</f>
        <v/>
      </c>
      <c r="AF5" s="97">
        <f>Timeline!AF5</f>
        <v/>
      </c>
      <c r="AG5" s="97">
        <f>Timeline!AG5</f>
        <v/>
      </c>
      <c r="AH5" s="97">
        <f>Timeline!AH5</f>
        <v/>
      </c>
      <c r="AI5" s="97">
        <f>Timeline!AI5</f>
        <v/>
      </c>
      <c r="AJ5" s="97">
        <f>Timeline!AJ5</f>
        <v/>
      </c>
      <c r="AK5" s="97">
        <f>Timeline!AK5</f>
        <v/>
      </c>
      <c r="AL5" s="97">
        <f>Timeline!AL5</f>
        <v/>
      </c>
      <c r="AM5" s="97">
        <f>Timeline!AM5</f>
        <v/>
      </c>
      <c r="AN5" s="97">
        <f>Timeline!AN5</f>
        <v/>
      </c>
      <c r="AO5" s="97">
        <f>Timeline!AO5</f>
        <v/>
      </c>
      <c r="AP5" s="97">
        <f>Timeline!AP5</f>
        <v/>
      </c>
      <c r="AQ5" s="97">
        <f>Timeline!AQ5</f>
        <v/>
      </c>
      <c r="AR5" s="97">
        <f>Timeline!AR5</f>
        <v/>
      </c>
      <c r="AS5" s="97">
        <f>Timeline!AS5</f>
        <v/>
      </c>
      <c r="AT5" s="97">
        <f>Timeline!AT5</f>
        <v/>
      </c>
      <c r="AU5" s="97">
        <f>Timeline!AU5</f>
        <v/>
      </c>
      <c r="AV5" s="97">
        <f>Timeline!AV5</f>
        <v/>
      </c>
      <c r="AW5" s="97">
        <f>Timeline!AW5</f>
        <v/>
      </c>
      <c r="AX5" s="97">
        <f>Timeline!AX5</f>
        <v/>
      </c>
      <c r="AY5" s="97">
        <f>Timeline!AY5</f>
        <v/>
      </c>
      <c r="AZ5" s="97">
        <f>Timeline!AZ5</f>
        <v/>
      </c>
      <c r="BA5" s="97">
        <f>Timeline!BA5</f>
        <v/>
      </c>
      <c r="BB5" s="97">
        <f>Timeline!BB5</f>
        <v/>
      </c>
      <c r="BC5" s="97">
        <f>Timeline!BC5</f>
        <v/>
      </c>
      <c r="BD5" s="97">
        <f>Timeline!BD5</f>
        <v/>
      </c>
      <c r="BE5" s="97">
        <f>Timeline!BE5</f>
        <v/>
      </c>
      <c r="BF5" s="97">
        <f>Timeline!BF5</f>
        <v/>
      </c>
      <c r="BG5" s="97">
        <f>Timeline!BG5</f>
        <v/>
      </c>
      <c r="BH5" s="97">
        <f>Timeline!BH5</f>
        <v/>
      </c>
      <c r="BI5" s="97">
        <f>Timeline!BI5</f>
        <v/>
      </c>
      <c r="BJ5" s="97">
        <f>Timeline!BJ5</f>
        <v/>
      </c>
      <c r="BK5" s="97">
        <f>Timeline!BK5</f>
        <v/>
      </c>
      <c r="BL5" s="97">
        <f>Timeline!BL5</f>
        <v/>
      </c>
    </row>
    <row r="6">
      <c r="A6" s="94" t="inlineStr">
        <is>
          <t>Year #</t>
        </is>
      </c>
      <c r="B6" s="95" t="n"/>
      <c r="C6" s="95" t="n"/>
      <c r="D6" s="94" t="n"/>
      <c r="E6" s="96">
        <f>Timeline!E6</f>
        <v/>
      </c>
      <c r="F6" s="96">
        <f>Timeline!F6</f>
        <v/>
      </c>
      <c r="G6" s="96">
        <f>Timeline!G6</f>
        <v/>
      </c>
      <c r="H6" s="96">
        <f>Timeline!H6</f>
        <v/>
      </c>
      <c r="I6" s="96">
        <f>Timeline!I6</f>
        <v/>
      </c>
      <c r="J6" s="96">
        <f>Timeline!J6</f>
        <v/>
      </c>
      <c r="K6" s="96">
        <f>Timeline!K6</f>
        <v/>
      </c>
      <c r="L6" s="96">
        <f>Timeline!L6</f>
        <v/>
      </c>
      <c r="M6" s="96">
        <f>Timeline!M6</f>
        <v/>
      </c>
      <c r="N6" s="96">
        <f>Timeline!N6</f>
        <v/>
      </c>
      <c r="O6" s="96">
        <f>Timeline!O6</f>
        <v/>
      </c>
      <c r="P6" s="96">
        <f>Timeline!P6</f>
        <v/>
      </c>
      <c r="Q6" s="96">
        <f>Timeline!Q6</f>
        <v/>
      </c>
      <c r="R6" s="96">
        <f>Timeline!R6</f>
        <v/>
      </c>
      <c r="S6" s="96">
        <f>Timeline!S6</f>
        <v/>
      </c>
      <c r="T6" s="96">
        <f>Timeline!T6</f>
        <v/>
      </c>
      <c r="U6" s="96">
        <f>Timeline!U6</f>
        <v/>
      </c>
      <c r="V6" s="96">
        <f>Timeline!V6</f>
        <v/>
      </c>
      <c r="W6" s="96">
        <f>Timeline!W6</f>
        <v/>
      </c>
      <c r="X6" s="96">
        <f>Timeline!X6</f>
        <v/>
      </c>
      <c r="Y6" s="96">
        <f>Timeline!Y6</f>
        <v/>
      </c>
      <c r="Z6" s="96">
        <f>Timeline!Z6</f>
        <v/>
      </c>
      <c r="AA6" s="96">
        <f>Timeline!AA6</f>
        <v/>
      </c>
      <c r="AB6" s="96">
        <f>Timeline!AB6</f>
        <v/>
      </c>
      <c r="AC6" s="96">
        <f>Timeline!AC6</f>
        <v/>
      </c>
      <c r="AD6" s="96">
        <f>Timeline!AD6</f>
        <v/>
      </c>
      <c r="AE6" s="96">
        <f>Timeline!AE6</f>
        <v/>
      </c>
      <c r="AF6" s="96">
        <f>Timeline!AF6</f>
        <v/>
      </c>
      <c r="AG6" s="96">
        <f>Timeline!AG6</f>
        <v/>
      </c>
      <c r="AH6" s="96">
        <f>Timeline!AH6</f>
        <v/>
      </c>
      <c r="AI6" s="96">
        <f>Timeline!AI6</f>
        <v/>
      </c>
      <c r="AJ6" s="96">
        <f>Timeline!AJ6</f>
        <v/>
      </c>
      <c r="AK6" s="96">
        <f>Timeline!AK6</f>
        <v/>
      </c>
      <c r="AL6" s="96">
        <f>Timeline!AL6</f>
        <v/>
      </c>
      <c r="AM6" s="96">
        <f>Timeline!AM6</f>
        <v/>
      </c>
      <c r="AN6" s="96">
        <f>Timeline!AN6</f>
        <v/>
      </c>
      <c r="AO6" s="96">
        <f>Timeline!AO6</f>
        <v/>
      </c>
      <c r="AP6" s="96">
        <f>Timeline!AP6</f>
        <v/>
      </c>
      <c r="AQ6" s="96">
        <f>Timeline!AQ6</f>
        <v/>
      </c>
      <c r="AR6" s="96">
        <f>Timeline!AR6</f>
        <v/>
      </c>
      <c r="AS6" s="96">
        <f>Timeline!AS6</f>
        <v/>
      </c>
      <c r="AT6" s="96">
        <f>Timeline!AT6</f>
        <v/>
      </c>
      <c r="AU6" s="96">
        <f>Timeline!AU6</f>
        <v/>
      </c>
      <c r="AV6" s="96">
        <f>Timeline!AV6</f>
        <v/>
      </c>
      <c r="AW6" s="96">
        <f>Timeline!AW6</f>
        <v/>
      </c>
      <c r="AX6" s="96">
        <f>Timeline!AX6</f>
        <v/>
      </c>
      <c r="AY6" s="96">
        <f>Timeline!AY6</f>
        <v/>
      </c>
      <c r="AZ6" s="96">
        <f>Timeline!AZ6</f>
        <v/>
      </c>
      <c r="BA6" s="96">
        <f>Timeline!BA6</f>
        <v/>
      </c>
      <c r="BB6" s="96">
        <f>Timeline!BB6</f>
        <v/>
      </c>
      <c r="BC6" s="96">
        <f>Timeline!BC6</f>
        <v/>
      </c>
      <c r="BD6" s="96">
        <f>Timeline!BD6</f>
        <v/>
      </c>
      <c r="BE6" s="96">
        <f>Timeline!BE6</f>
        <v/>
      </c>
      <c r="BF6" s="96">
        <f>Timeline!BF6</f>
        <v/>
      </c>
      <c r="BG6" s="96">
        <f>Timeline!BG6</f>
        <v/>
      </c>
      <c r="BH6" s="96">
        <f>Timeline!BH6</f>
        <v/>
      </c>
      <c r="BI6" s="96">
        <f>Timeline!BI6</f>
        <v/>
      </c>
      <c r="BJ6" s="96">
        <f>Timeline!BJ6</f>
        <v/>
      </c>
      <c r="BK6" s="96">
        <f>Timeline!BK6</f>
        <v/>
      </c>
      <c r="BL6" s="96">
        <f>Timeline!BL6</f>
        <v/>
      </c>
    </row>
    <row r="7"/>
    <row r="8">
      <c r="A8" s="98" t="inlineStr">
        <is>
          <t>Landed hardware cost (COGS)</t>
        </is>
      </c>
      <c r="B8" s="65" t="inlineStr">
        <is>
          <t>LCY</t>
        </is>
      </c>
      <c r="C8" s="105">
        <f>SUM(E8:BL8)</f>
        <v/>
      </c>
      <c r="E8" s="41">
        <f>Ops!E$152</f>
        <v/>
      </c>
      <c r="F8" s="41">
        <f>Ops!F$152</f>
        <v/>
      </c>
      <c r="G8" s="41">
        <f>Ops!G$152</f>
        <v/>
      </c>
      <c r="H8" s="41">
        <f>Ops!H$152</f>
        <v/>
      </c>
      <c r="I8" s="41">
        <f>Ops!I$152</f>
        <v/>
      </c>
      <c r="J8" s="41">
        <f>Ops!J$152</f>
        <v/>
      </c>
      <c r="K8" s="41">
        <f>Ops!K$152</f>
        <v/>
      </c>
      <c r="L8" s="41">
        <f>Ops!L$152</f>
        <v/>
      </c>
      <c r="M8" s="41">
        <f>Ops!M$152</f>
        <v/>
      </c>
      <c r="N8" s="41">
        <f>Ops!N$152</f>
        <v/>
      </c>
      <c r="O8" s="41">
        <f>Ops!O$152</f>
        <v/>
      </c>
      <c r="P8" s="41">
        <f>Ops!P$152</f>
        <v/>
      </c>
      <c r="Q8" s="41">
        <f>Ops!Q$152</f>
        <v/>
      </c>
      <c r="R8" s="41">
        <f>Ops!R$152</f>
        <v/>
      </c>
      <c r="S8" s="41">
        <f>Ops!S$152</f>
        <v/>
      </c>
      <c r="T8" s="41">
        <f>Ops!T$152</f>
        <v/>
      </c>
      <c r="U8" s="41">
        <f>Ops!U$152</f>
        <v/>
      </c>
      <c r="V8" s="41">
        <f>Ops!V$152</f>
        <v/>
      </c>
      <c r="W8" s="41">
        <f>Ops!W$152</f>
        <v/>
      </c>
      <c r="X8" s="41">
        <f>Ops!X$152</f>
        <v/>
      </c>
      <c r="Y8" s="41">
        <f>Ops!Y$152</f>
        <v/>
      </c>
      <c r="Z8" s="41">
        <f>Ops!Z$152</f>
        <v/>
      </c>
      <c r="AA8" s="41">
        <f>Ops!AA$152</f>
        <v/>
      </c>
      <c r="AB8" s="41">
        <f>Ops!AB$152</f>
        <v/>
      </c>
      <c r="AC8" s="41">
        <f>Ops!AC$152</f>
        <v/>
      </c>
      <c r="AD8" s="41">
        <f>Ops!AD$152</f>
        <v/>
      </c>
      <c r="AE8" s="41">
        <f>Ops!AE$152</f>
        <v/>
      </c>
      <c r="AF8" s="41">
        <f>Ops!AF$152</f>
        <v/>
      </c>
      <c r="AG8" s="41">
        <f>Ops!AG$152</f>
        <v/>
      </c>
      <c r="AH8" s="41">
        <f>Ops!AH$152</f>
        <v/>
      </c>
      <c r="AI8" s="41">
        <f>Ops!AI$152</f>
        <v/>
      </c>
      <c r="AJ8" s="41">
        <f>Ops!AJ$152</f>
        <v/>
      </c>
      <c r="AK8" s="41">
        <f>Ops!AK$152</f>
        <v/>
      </c>
      <c r="AL8" s="41">
        <f>Ops!AL$152</f>
        <v/>
      </c>
      <c r="AM8" s="41">
        <f>Ops!AM$152</f>
        <v/>
      </c>
      <c r="AN8" s="41">
        <f>Ops!AN$152</f>
        <v/>
      </c>
      <c r="AO8" s="41">
        <f>Ops!AO$152</f>
        <v/>
      </c>
      <c r="AP8" s="41">
        <f>Ops!AP$152</f>
        <v/>
      </c>
      <c r="AQ8" s="41">
        <f>Ops!AQ$152</f>
        <v/>
      </c>
      <c r="AR8" s="41">
        <f>Ops!AR$152</f>
        <v/>
      </c>
      <c r="AS8" s="41">
        <f>Ops!AS$152</f>
        <v/>
      </c>
      <c r="AT8" s="41">
        <f>Ops!AT$152</f>
        <v/>
      </c>
      <c r="AU8" s="41">
        <f>Ops!AU$152</f>
        <v/>
      </c>
      <c r="AV8" s="41">
        <f>Ops!AV$152</f>
        <v/>
      </c>
      <c r="AW8" s="41">
        <f>Ops!AW$152</f>
        <v/>
      </c>
      <c r="AX8" s="41">
        <f>Ops!AX$152</f>
        <v/>
      </c>
      <c r="AY8" s="41">
        <f>Ops!AY$152</f>
        <v/>
      </c>
      <c r="AZ8" s="41">
        <f>Ops!AZ$152</f>
        <v/>
      </c>
      <c r="BA8" s="41">
        <f>Ops!BA$152</f>
        <v/>
      </c>
      <c r="BB8" s="41">
        <f>Ops!BB$152</f>
        <v/>
      </c>
      <c r="BC8" s="41">
        <f>Ops!BC$152</f>
        <v/>
      </c>
      <c r="BD8" s="41">
        <f>Ops!BD$152</f>
        <v/>
      </c>
      <c r="BE8" s="41">
        <f>Ops!BE$152</f>
        <v/>
      </c>
      <c r="BF8" s="41">
        <f>Ops!BF$152</f>
        <v/>
      </c>
      <c r="BG8" s="41">
        <f>Ops!BG$152</f>
        <v/>
      </c>
      <c r="BH8" s="41">
        <f>Ops!BH$152</f>
        <v/>
      </c>
      <c r="BI8" s="41">
        <f>Ops!BI$152</f>
        <v/>
      </c>
      <c r="BJ8" s="41">
        <f>Ops!BJ$152</f>
        <v/>
      </c>
      <c r="BK8" s="41">
        <f>Ops!BK$152</f>
        <v/>
      </c>
      <c r="BL8" s="41">
        <f>Ops!BL$152</f>
        <v/>
      </c>
    </row>
    <row r="9">
      <c r="A9" s="98" t="inlineStr">
        <is>
          <t>Installation &amp; logistics (cost of sales)</t>
        </is>
      </c>
      <c r="B9" s="65" t="inlineStr">
        <is>
          <t>LCY</t>
        </is>
      </c>
      <c r="C9" s="105">
        <f>SUM(E9:BL9)</f>
        <v/>
      </c>
      <c r="E9" s="41">
        <f>Ops!E$153</f>
        <v/>
      </c>
      <c r="F9" s="41">
        <f>Ops!F$153</f>
        <v/>
      </c>
      <c r="G9" s="41">
        <f>Ops!G$153</f>
        <v/>
      </c>
      <c r="H9" s="41">
        <f>Ops!H$153</f>
        <v/>
      </c>
      <c r="I9" s="41">
        <f>Ops!I$153</f>
        <v/>
      </c>
      <c r="J9" s="41">
        <f>Ops!J$153</f>
        <v/>
      </c>
      <c r="K9" s="41">
        <f>Ops!K$153</f>
        <v/>
      </c>
      <c r="L9" s="41">
        <f>Ops!L$153</f>
        <v/>
      </c>
      <c r="M9" s="41">
        <f>Ops!M$153</f>
        <v/>
      </c>
      <c r="N9" s="41">
        <f>Ops!N$153</f>
        <v/>
      </c>
      <c r="O9" s="41">
        <f>Ops!O$153</f>
        <v/>
      </c>
      <c r="P9" s="41">
        <f>Ops!P$153</f>
        <v/>
      </c>
      <c r="Q9" s="41">
        <f>Ops!Q$153</f>
        <v/>
      </c>
      <c r="R9" s="41">
        <f>Ops!R$153</f>
        <v/>
      </c>
      <c r="S9" s="41">
        <f>Ops!S$153</f>
        <v/>
      </c>
      <c r="T9" s="41">
        <f>Ops!T$153</f>
        <v/>
      </c>
      <c r="U9" s="41">
        <f>Ops!U$153</f>
        <v/>
      </c>
      <c r="V9" s="41">
        <f>Ops!V$153</f>
        <v/>
      </c>
      <c r="W9" s="41">
        <f>Ops!W$153</f>
        <v/>
      </c>
      <c r="X9" s="41">
        <f>Ops!X$153</f>
        <v/>
      </c>
      <c r="Y9" s="41">
        <f>Ops!Y$153</f>
        <v/>
      </c>
      <c r="Z9" s="41">
        <f>Ops!Z$153</f>
        <v/>
      </c>
      <c r="AA9" s="41">
        <f>Ops!AA$153</f>
        <v/>
      </c>
      <c r="AB9" s="41">
        <f>Ops!AB$153</f>
        <v/>
      </c>
      <c r="AC9" s="41">
        <f>Ops!AC$153</f>
        <v/>
      </c>
      <c r="AD9" s="41">
        <f>Ops!AD$153</f>
        <v/>
      </c>
      <c r="AE9" s="41">
        <f>Ops!AE$153</f>
        <v/>
      </c>
      <c r="AF9" s="41">
        <f>Ops!AF$153</f>
        <v/>
      </c>
      <c r="AG9" s="41">
        <f>Ops!AG$153</f>
        <v/>
      </c>
      <c r="AH9" s="41">
        <f>Ops!AH$153</f>
        <v/>
      </c>
      <c r="AI9" s="41">
        <f>Ops!AI$153</f>
        <v/>
      </c>
      <c r="AJ9" s="41">
        <f>Ops!AJ$153</f>
        <v/>
      </c>
      <c r="AK9" s="41">
        <f>Ops!AK$153</f>
        <v/>
      </c>
      <c r="AL9" s="41">
        <f>Ops!AL$153</f>
        <v/>
      </c>
      <c r="AM9" s="41">
        <f>Ops!AM$153</f>
        <v/>
      </c>
      <c r="AN9" s="41">
        <f>Ops!AN$153</f>
        <v/>
      </c>
      <c r="AO9" s="41">
        <f>Ops!AO$153</f>
        <v/>
      </c>
      <c r="AP9" s="41">
        <f>Ops!AP$153</f>
        <v/>
      </c>
      <c r="AQ9" s="41">
        <f>Ops!AQ$153</f>
        <v/>
      </c>
      <c r="AR9" s="41">
        <f>Ops!AR$153</f>
        <v/>
      </c>
      <c r="AS9" s="41">
        <f>Ops!AS$153</f>
        <v/>
      </c>
      <c r="AT9" s="41">
        <f>Ops!AT$153</f>
        <v/>
      </c>
      <c r="AU9" s="41">
        <f>Ops!AU$153</f>
        <v/>
      </c>
      <c r="AV9" s="41">
        <f>Ops!AV$153</f>
        <v/>
      </c>
      <c r="AW9" s="41">
        <f>Ops!AW$153</f>
        <v/>
      </c>
      <c r="AX9" s="41">
        <f>Ops!AX$153</f>
        <v/>
      </c>
      <c r="AY9" s="41">
        <f>Ops!AY$153</f>
        <v/>
      </c>
      <c r="AZ9" s="41">
        <f>Ops!AZ$153</f>
        <v/>
      </c>
      <c r="BA9" s="41">
        <f>Ops!BA$153</f>
        <v/>
      </c>
      <c r="BB9" s="41">
        <f>Ops!BB$153</f>
        <v/>
      </c>
      <c r="BC9" s="41">
        <f>Ops!BC$153</f>
        <v/>
      </c>
      <c r="BD9" s="41">
        <f>Ops!BD$153</f>
        <v/>
      </c>
      <c r="BE9" s="41">
        <f>Ops!BE$153</f>
        <v/>
      </c>
      <c r="BF9" s="41">
        <f>Ops!BF$153</f>
        <v/>
      </c>
      <c r="BG9" s="41">
        <f>Ops!BG$153</f>
        <v/>
      </c>
      <c r="BH9" s="41">
        <f>Ops!BH$153</f>
        <v/>
      </c>
      <c r="BI9" s="41">
        <f>Ops!BI$153</f>
        <v/>
      </c>
      <c r="BJ9" s="41">
        <f>Ops!BJ$153</f>
        <v/>
      </c>
      <c r="BK9" s="41">
        <f>Ops!BK$153</f>
        <v/>
      </c>
      <c r="BL9" s="41">
        <f>Ops!BL$153</f>
        <v/>
      </c>
    </row>
    <row r="10">
      <c r="A10" s="98" t="inlineStr">
        <is>
          <t>Cost of other revenue</t>
        </is>
      </c>
      <c r="B10" s="65" t="inlineStr">
        <is>
          <t>LCY</t>
        </is>
      </c>
      <c r="C10" s="105">
        <f>SUM(E10:BL10)</f>
        <v/>
      </c>
      <c r="E10" s="41">
        <f>Ops!E$163</f>
        <v/>
      </c>
      <c r="F10" s="41">
        <f>Ops!F$163</f>
        <v/>
      </c>
      <c r="G10" s="41">
        <f>Ops!G$163</f>
        <v/>
      </c>
      <c r="H10" s="41">
        <f>Ops!H$163</f>
        <v/>
      </c>
      <c r="I10" s="41">
        <f>Ops!I$163</f>
        <v/>
      </c>
      <c r="J10" s="41">
        <f>Ops!J$163</f>
        <v/>
      </c>
      <c r="K10" s="41">
        <f>Ops!K$163</f>
        <v/>
      </c>
      <c r="L10" s="41">
        <f>Ops!L$163</f>
        <v/>
      </c>
      <c r="M10" s="41">
        <f>Ops!M$163</f>
        <v/>
      </c>
      <c r="N10" s="41">
        <f>Ops!N$163</f>
        <v/>
      </c>
      <c r="O10" s="41">
        <f>Ops!O$163</f>
        <v/>
      </c>
      <c r="P10" s="41">
        <f>Ops!P$163</f>
        <v/>
      </c>
      <c r="Q10" s="41">
        <f>Ops!Q$163</f>
        <v/>
      </c>
      <c r="R10" s="41">
        <f>Ops!R$163</f>
        <v/>
      </c>
      <c r="S10" s="41">
        <f>Ops!S$163</f>
        <v/>
      </c>
      <c r="T10" s="41">
        <f>Ops!T$163</f>
        <v/>
      </c>
      <c r="U10" s="41">
        <f>Ops!U$163</f>
        <v/>
      </c>
      <c r="V10" s="41">
        <f>Ops!V$163</f>
        <v/>
      </c>
      <c r="W10" s="41">
        <f>Ops!W$163</f>
        <v/>
      </c>
      <c r="X10" s="41">
        <f>Ops!X$163</f>
        <v/>
      </c>
      <c r="Y10" s="41">
        <f>Ops!Y$163</f>
        <v/>
      </c>
      <c r="Z10" s="41">
        <f>Ops!Z$163</f>
        <v/>
      </c>
      <c r="AA10" s="41">
        <f>Ops!AA$163</f>
        <v/>
      </c>
      <c r="AB10" s="41">
        <f>Ops!AB$163</f>
        <v/>
      </c>
      <c r="AC10" s="41">
        <f>Ops!AC$163</f>
        <v/>
      </c>
      <c r="AD10" s="41">
        <f>Ops!AD$163</f>
        <v/>
      </c>
      <c r="AE10" s="41">
        <f>Ops!AE$163</f>
        <v/>
      </c>
      <c r="AF10" s="41">
        <f>Ops!AF$163</f>
        <v/>
      </c>
      <c r="AG10" s="41">
        <f>Ops!AG$163</f>
        <v/>
      </c>
      <c r="AH10" s="41">
        <f>Ops!AH$163</f>
        <v/>
      </c>
      <c r="AI10" s="41">
        <f>Ops!AI$163</f>
        <v/>
      </c>
      <c r="AJ10" s="41">
        <f>Ops!AJ$163</f>
        <v/>
      </c>
      <c r="AK10" s="41">
        <f>Ops!AK$163</f>
        <v/>
      </c>
      <c r="AL10" s="41">
        <f>Ops!AL$163</f>
        <v/>
      </c>
      <c r="AM10" s="41">
        <f>Ops!AM$163</f>
        <v/>
      </c>
      <c r="AN10" s="41">
        <f>Ops!AN$163</f>
        <v/>
      </c>
      <c r="AO10" s="41">
        <f>Ops!AO$163</f>
        <v/>
      </c>
      <c r="AP10" s="41">
        <f>Ops!AP$163</f>
        <v/>
      </c>
      <c r="AQ10" s="41">
        <f>Ops!AQ$163</f>
        <v/>
      </c>
      <c r="AR10" s="41">
        <f>Ops!AR$163</f>
        <v/>
      </c>
      <c r="AS10" s="41">
        <f>Ops!AS$163</f>
        <v/>
      </c>
      <c r="AT10" s="41">
        <f>Ops!AT$163</f>
        <v/>
      </c>
      <c r="AU10" s="41">
        <f>Ops!AU$163</f>
        <v/>
      </c>
      <c r="AV10" s="41">
        <f>Ops!AV$163</f>
        <v/>
      </c>
      <c r="AW10" s="41">
        <f>Ops!AW$163</f>
        <v/>
      </c>
      <c r="AX10" s="41">
        <f>Ops!AX$163</f>
        <v/>
      </c>
      <c r="AY10" s="41">
        <f>Ops!AY$163</f>
        <v/>
      </c>
      <c r="AZ10" s="41">
        <f>Ops!AZ$163</f>
        <v/>
      </c>
      <c r="BA10" s="41">
        <f>Ops!BA$163</f>
        <v/>
      </c>
      <c r="BB10" s="41">
        <f>Ops!BB$163</f>
        <v/>
      </c>
      <c r="BC10" s="41">
        <f>Ops!BC$163</f>
        <v/>
      </c>
      <c r="BD10" s="41">
        <f>Ops!BD$163</f>
        <v/>
      </c>
      <c r="BE10" s="41">
        <f>Ops!BE$163</f>
        <v/>
      </c>
      <c r="BF10" s="41">
        <f>Ops!BF$163</f>
        <v/>
      </c>
      <c r="BG10" s="41">
        <f>Ops!BG$163</f>
        <v/>
      </c>
      <c r="BH10" s="41">
        <f>Ops!BH$163</f>
        <v/>
      </c>
      <c r="BI10" s="41">
        <f>Ops!BI$163</f>
        <v/>
      </c>
      <c r="BJ10" s="41">
        <f>Ops!BJ$163</f>
        <v/>
      </c>
      <c r="BK10" s="41">
        <f>Ops!BK$163</f>
        <v/>
      </c>
      <c r="BL10" s="41">
        <f>Ops!BL$163</f>
        <v/>
      </c>
    </row>
    <row r="11">
      <c r="A11" s="100" t="inlineStr">
        <is>
          <t>Total cost of sales (incl. inventory write-down)</t>
        </is>
      </c>
      <c r="B11" s="101" t="inlineStr">
        <is>
          <t>LCY</t>
        </is>
      </c>
      <c r="C11" s="102">
        <f>SUM(E11:BL11)</f>
        <v/>
      </c>
      <c r="D11" s="103" t="n"/>
      <c r="E11" s="104">
        <f>E8+E9+E10+E30</f>
        <v/>
      </c>
      <c r="F11" s="104">
        <f>F8+F9+F10+F30</f>
        <v/>
      </c>
      <c r="G11" s="104">
        <f>G8+G9+G10+G30</f>
        <v/>
      </c>
      <c r="H11" s="104">
        <f>H8+H9+H10+H30</f>
        <v/>
      </c>
      <c r="I11" s="104">
        <f>I8+I9+I10+I30</f>
        <v/>
      </c>
      <c r="J11" s="104">
        <f>J8+J9+J10+J30</f>
        <v/>
      </c>
      <c r="K11" s="104">
        <f>K8+K9+K10+K30</f>
        <v/>
      </c>
      <c r="L11" s="104">
        <f>L8+L9+L10+L30</f>
        <v/>
      </c>
      <c r="M11" s="104">
        <f>M8+M9+M10+M30</f>
        <v/>
      </c>
      <c r="N11" s="104">
        <f>N8+N9+N10+N30</f>
        <v/>
      </c>
      <c r="O11" s="104">
        <f>O8+O9+O10+O30</f>
        <v/>
      </c>
      <c r="P11" s="104">
        <f>P8+P9+P10+P30</f>
        <v/>
      </c>
      <c r="Q11" s="104">
        <f>Q8+Q9+Q10+Q30</f>
        <v/>
      </c>
      <c r="R11" s="104">
        <f>R8+R9+R10+R30</f>
        <v/>
      </c>
      <c r="S11" s="104">
        <f>S8+S9+S10+S30</f>
        <v/>
      </c>
      <c r="T11" s="104">
        <f>T8+T9+T10+T30</f>
        <v/>
      </c>
      <c r="U11" s="104">
        <f>U8+U9+U10+U30</f>
        <v/>
      </c>
      <c r="V11" s="104">
        <f>V8+V9+V10+V30</f>
        <v/>
      </c>
      <c r="W11" s="104">
        <f>W8+W9+W10+W30</f>
        <v/>
      </c>
      <c r="X11" s="104">
        <f>X8+X9+X10+X30</f>
        <v/>
      </c>
      <c r="Y11" s="104">
        <f>Y8+Y9+Y10+Y30</f>
        <v/>
      </c>
      <c r="Z11" s="104">
        <f>Z8+Z9+Z10+Z30</f>
        <v/>
      </c>
      <c r="AA11" s="104">
        <f>AA8+AA9+AA10+AA30</f>
        <v/>
      </c>
      <c r="AB11" s="104">
        <f>AB8+AB9+AB10+AB30</f>
        <v/>
      </c>
      <c r="AC11" s="104">
        <f>AC8+AC9+AC10+AC30</f>
        <v/>
      </c>
      <c r="AD11" s="104">
        <f>AD8+AD9+AD10+AD30</f>
        <v/>
      </c>
      <c r="AE11" s="104">
        <f>AE8+AE9+AE10+AE30</f>
        <v/>
      </c>
      <c r="AF11" s="104">
        <f>AF8+AF9+AF10+AF30</f>
        <v/>
      </c>
      <c r="AG11" s="104">
        <f>AG8+AG9+AG10+AG30</f>
        <v/>
      </c>
      <c r="AH11" s="104">
        <f>AH8+AH9+AH10+AH30</f>
        <v/>
      </c>
      <c r="AI11" s="104">
        <f>AI8+AI9+AI10+AI30</f>
        <v/>
      </c>
      <c r="AJ11" s="104">
        <f>AJ8+AJ9+AJ10+AJ30</f>
        <v/>
      </c>
      <c r="AK11" s="104">
        <f>AK8+AK9+AK10+AK30</f>
        <v/>
      </c>
      <c r="AL11" s="104">
        <f>AL8+AL9+AL10+AL30</f>
        <v/>
      </c>
      <c r="AM11" s="104">
        <f>AM8+AM9+AM10+AM30</f>
        <v/>
      </c>
      <c r="AN11" s="104">
        <f>AN8+AN9+AN10+AN30</f>
        <v/>
      </c>
      <c r="AO11" s="104">
        <f>AO8+AO9+AO10+AO30</f>
        <v/>
      </c>
      <c r="AP11" s="104">
        <f>AP8+AP9+AP10+AP30</f>
        <v/>
      </c>
      <c r="AQ11" s="104">
        <f>AQ8+AQ9+AQ10+AQ30</f>
        <v/>
      </c>
      <c r="AR11" s="104">
        <f>AR8+AR9+AR10+AR30</f>
        <v/>
      </c>
      <c r="AS11" s="104">
        <f>AS8+AS9+AS10+AS30</f>
        <v/>
      </c>
      <c r="AT11" s="104">
        <f>AT8+AT9+AT10+AT30</f>
        <v/>
      </c>
      <c r="AU11" s="104">
        <f>AU8+AU9+AU10+AU30</f>
        <v/>
      </c>
      <c r="AV11" s="104">
        <f>AV8+AV9+AV10+AV30</f>
        <v/>
      </c>
      <c r="AW11" s="104">
        <f>AW8+AW9+AW10+AW30</f>
        <v/>
      </c>
      <c r="AX11" s="104">
        <f>AX8+AX9+AX10+AX30</f>
        <v/>
      </c>
      <c r="AY11" s="104">
        <f>AY8+AY9+AY10+AY30</f>
        <v/>
      </c>
      <c r="AZ11" s="104">
        <f>AZ8+AZ9+AZ10+AZ30</f>
        <v/>
      </c>
      <c r="BA11" s="104">
        <f>BA8+BA9+BA10+BA30</f>
        <v/>
      </c>
      <c r="BB11" s="104">
        <f>BB8+BB9+BB10+BB30</f>
        <v/>
      </c>
      <c r="BC11" s="104">
        <f>BC8+BC9+BC10+BC30</f>
        <v/>
      </c>
      <c r="BD11" s="104">
        <f>BD8+BD9+BD10+BD30</f>
        <v/>
      </c>
      <c r="BE11" s="104">
        <f>BE8+BE9+BE10+BE30</f>
        <v/>
      </c>
      <c r="BF11" s="104">
        <f>BF8+BF9+BF10+BF30</f>
        <v/>
      </c>
      <c r="BG11" s="104">
        <f>BG8+BG9+BG10+BG30</f>
        <v/>
      </c>
      <c r="BH11" s="104">
        <f>BH8+BH9+BH10+BH30</f>
        <v/>
      </c>
      <c r="BI11" s="104">
        <f>BI8+BI9+BI10+BI30</f>
        <v/>
      </c>
      <c r="BJ11" s="104">
        <f>BJ8+BJ9+BJ10+BJ30</f>
        <v/>
      </c>
      <c r="BK11" s="104">
        <f>BK8+BK9+BK10+BK30</f>
        <v/>
      </c>
      <c r="BL11" s="104">
        <f>BL8+BL9+BL10+BL30</f>
        <v/>
      </c>
    </row>
    <row r="12"/>
    <row r="13">
      <c r="A13" s="98" t="inlineStr">
        <is>
          <t>Warranty &amp; after-sales</t>
        </is>
      </c>
      <c r="B13" s="65" t="inlineStr">
        <is>
          <t>LCY</t>
        </is>
      </c>
      <c r="C13" s="105">
        <f>SUM(E13:BL13)</f>
        <v/>
      </c>
      <c r="E13" s="41">
        <f>Ops!E$154</f>
        <v/>
      </c>
      <c r="F13" s="41">
        <f>Ops!F$154</f>
        <v/>
      </c>
      <c r="G13" s="41">
        <f>Ops!G$154</f>
        <v/>
      </c>
      <c r="H13" s="41">
        <f>Ops!H$154</f>
        <v/>
      </c>
      <c r="I13" s="41">
        <f>Ops!I$154</f>
        <v/>
      </c>
      <c r="J13" s="41">
        <f>Ops!J$154</f>
        <v/>
      </c>
      <c r="K13" s="41">
        <f>Ops!K$154</f>
        <v/>
      </c>
      <c r="L13" s="41">
        <f>Ops!L$154</f>
        <v/>
      </c>
      <c r="M13" s="41">
        <f>Ops!M$154</f>
        <v/>
      </c>
      <c r="N13" s="41">
        <f>Ops!N$154</f>
        <v/>
      </c>
      <c r="O13" s="41">
        <f>Ops!O$154</f>
        <v/>
      </c>
      <c r="P13" s="41">
        <f>Ops!P$154</f>
        <v/>
      </c>
      <c r="Q13" s="41">
        <f>Ops!Q$154</f>
        <v/>
      </c>
      <c r="R13" s="41">
        <f>Ops!R$154</f>
        <v/>
      </c>
      <c r="S13" s="41">
        <f>Ops!S$154</f>
        <v/>
      </c>
      <c r="T13" s="41">
        <f>Ops!T$154</f>
        <v/>
      </c>
      <c r="U13" s="41">
        <f>Ops!U$154</f>
        <v/>
      </c>
      <c r="V13" s="41">
        <f>Ops!V$154</f>
        <v/>
      </c>
      <c r="W13" s="41">
        <f>Ops!W$154</f>
        <v/>
      </c>
      <c r="X13" s="41">
        <f>Ops!X$154</f>
        <v/>
      </c>
      <c r="Y13" s="41">
        <f>Ops!Y$154</f>
        <v/>
      </c>
      <c r="Z13" s="41">
        <f>Ops!Z$154</f>
        <v/>
      </c>
      <c r="AA13" s="41">
        <f>Ops!AA$154</f>
        <v/>
      </c>
      <c r="AB13" s="41">
        <f>Ops!AB$154</f>
        <v/>
      </c>
      <c r="AC13" s="41">
        <f>Ops!AC$154</f>
        <v/>
      </c>
      <c r="AD13" s="41">
        <f>Ops!AD$154</f>
        <v/>
      </c>
      <c r="AE13" s="41">
        <f>Ops!AE$154</f>
        <v/>
      </c>
      <c r="AF13" s="41">
        <f>Ops!AF$154</f>
        <v/>
      </c>
      <c r="AG13" s="41">
        <f>Ops!AG$154</f>
        <v/>
      </c>
      <c r="AH13" s="41">
        <f>Ops!AH$154</f>
        <v/>
      </c>
      <c r="AI13" s="41">
        <f>Ops!AI$154</f>
        <v/>
      </c>
      <c r="AJ13" s="41">
        <f>Ops!AJ$154</f>
        <v/>
      </c>
      <c r="AK13" s="41">
        <f>Ops!AK$154</f>
        <v/>
      </c>
      <c r="AL13" s="41">
        <f>Ops!AL$154</f>
        <v/>
      </c>
      <c r="AM13" s="41">
        <f>Ops!AM$154</f>
        <v/>
      </c>
      <c r="AN13" s="41">
        <f>Ops!AN$154</f>
        <v/>
      </c>
      <c r="AO13" s="41">
        <f>Ops!AO$154</f>
        <v/>
      </c>
      <c r="AP13" s="41">
        <f>Ops!AP$154</f>
        <v/>
      </c>
      <c r="AQ13" s="41">
        <f>Ops!AQ$154</f>
        <v/>
      </c>
      <c r="AR13" s="41">
        <f>Ops!AR$154</f>
        <v/>
      </c>
      <c r="AS13" s="41">
        <f>Ops!AS$154</f>
        <v/>
      </c>
      <c r="AT13" s="41">
        <f>Ops!AT$154</f>
        <v/>
      </c>
      <c r="AU13" s="41">
        <f>Ops!AU$154</f>
        <v/>
      </c>
      <c r="AV13" s="41">
        <f>Ops!AV$154</f>
        <v/>
      </c>
      <c r="AW13" s="41">
        <f>Ops!AW$154</f>
        <v/>
      </c>
      <c r="AX13" s="41">
        <f>Ops!AX$154</f>
        <v/>
      </c>
      <c r="AY13" s="41">
        <f>Ops!AY$154</f>
        <v/>
      </c>
      <c r="AZ13" s="41">
        <f>Ops!AZ$154</f>
        <v/>
      </c>
      <c r="BA13" s="41">
        <f>Ops!BA$154</f>
        <v/>
      </c>
      <c r="BB13" s="41">
        <f>Ops!BB$154</f>
        <v/>
      </c>
      <c r="BC13" s="41">
        <f>Ops!BC$154</f>
        <v/>
      </c>
      <c r="BD13" s="41">
        <f>Ops!BD$154</f>
        <v/>
      </c>
      <c r="BE13" s="41">
        <f>Ops!BE$154</f>
        <v/>
      </c>
      <c r="BF13" s="41">
        <f>Ops!BF$154</f>
        <v/>
      </c>
      <c r="BG13" s="41">
        <f>Ops!BG$154</f>
        <v/>
      </c>
      <c r="BH13" s="41">
        <f>Ops!BH$154</f>
        <v/>
      </c>
      <c r="BI13" s="41">
        <f>Ops!BI$154</f>
        <v/>
      </c>
      <c r="BJ13" s="41">
        <f>Ops!BJ$154</f>
        <v/>
      </c>
      <c r="BK13" s="41">
        <f>Ops!BK$154</f>
        <v/>
      </c>
      <c r="BL13" s="41">
        <f>Ops!BL$154</f>
        <v/>
      </c>
    </row>
    <row r="14">
      <c r="A14" s="98" t="inlineStr">
        <is>
          <t>Agent / installer commissions</t>
        </is>
      </c>
      <c r="B14" s="65" t="inlineStr">
        <is>
          <t>LCY</t>
        </is>
      </c>
      <c r="C14" s="105">
        <f>SUM(E14:BL14)</f>
        <v/>
      </c>
      <c r="E14" s="41">
        <f>Ops!E$155</f>
        <v/>
      </c>
      <c r="F14" s="41">
        <f>Ops!F$155</f>
        <v/>
      </c>
      <c r="G14" s="41">
        <f>Ops!G$155</f>
        <v/>
      </c>
      <c r="H14" s="41">
        <f>Ops!H$155</f>
        <v/>
      </c>
      <c r="I14" s="41">
        <f>Ops!I$155</f>
        <v/>
      </c>
      <c r="J14" s="41">
        <f>Ops!J$155</f>
        <v/>
      </c>
      <c r="K14" s="41">
        <f>Ops!K$155</f>
        <v/>
      </c>
      <c r="L14" s="41">
        <f>Ops!L$155</f>
        <v/>
      </c>
      <c r="M14" s="41">
        <f>Ops!M$155</f>
        <v/>
      </c>
      <c r="N14" s="41">
        <f>Ops!N$155</f>
        <v/>
      </c>
      <c r="O14" s="41">
        <f>Ops!O$155</f>
        <v/>
      </c>
      <c r="P14" s="41">
        <f>Ops!P$155</f>
        <v/>
      </c>
      <c r="Q14" s="41">
        <f>Ops!Q$155</f>
        <v/>
      </c>
      <c r="R14" s="41">
        <f>Ops!R$155</f>
        <v/>
      </c>
      <c r="S14" s="41">
        <f>Ops!S$155</f>
        <v/>
      </c>
      <c r="T14" s="41">
        <f>Ops!T$155</f>
        <v/>
      </c>
      <c r="U14" s="41">
        <f>Ops!U$155</f>
        <v/>
      </c>
      <c r="V14" s="41">
        <f>Ops!V$155</f>
        <v/>
      </c>
      <c r="W14" s="41">
        <f>Ops!W$155</f>
        <v/>
      </c>
      <c r="X14" s="41">
        <f>Ops!X$155</f>
        <v/>
      </c>
      <c r="Y14" s="41">
        <f>Ops!Y$155</f>
        <v/>
      </c>
      <c r="Z14" s="41">
        <f>Ops!Z$155</f>
        <v/>
      </c>
      <c r="AA14" s="41">
        <f>Ops!AA$155</f>
        <v/>
      </c>
      <c r="AB14" s="41">
        <f>Ops!AB$155</f>
        <v/>
      </c>
      <c r="AC14" s="41">
        <f>Ops!AC$155</f>
        <v/>
      </c>
      <c r="AD14" s="41">
        <f>Ops!AD$155</f>
        <v/>
      </c>
      <c r="AE14" s="41">
        <f>Ops!AE$155</f>
        <v/>
      </c>
      <c r="AF14" s="41">
        <f>Ops!AF$155</f>
        <v/>
      </c>
      <c r="AG14" s="41">
        <f>Ops!AG$155</f>
        <v/>
      </c>
      <c r="AH14" s="41">
        <f>Ops!AH$155</f>
        <v/>
      </c>
      <c r="AI14" s="41">
        <f>Ops!AI$155</f>
        <v/>
      </c>
      <c r="AJ14" s="41">
        <f>Ops!AJ$155</f>
        <v/>
      </c>
      <c r="AK14" s="41">
        <f>Ops!AK$155</f>
        <v/>
      </c>
      <c r="AL14" s="41">
        <f>Ops!AL$155</f>
        <v/>
      </c>
      <c r="AM14" s="41">
        <f>Ops!AM$155</f>
        <v/>
      </c>
      <c r="AN14" s="41">
        <f>Ops!AN$155</f>
        <v/>
      </c>
      <c r="AO14" s="41">
        <f>Ops!AO$155</f>
        <v/>
      </c>
      <c r="AP14" s="41">
        <f>Ops!AP$155</f>
        <v/>
      </c>
      <c r="AQ14" s="41">
        <f>Ops!AQ$155</f>
        <v/>
      </c>
      <c r="AR14" s="41">
        <f>Ops!AR$155</f>
        <v/>
      </c>
      <c r="AS14" s="41">
        <f>Ops!AS$155</f>
        <v/>
      </c>
      <c r="AT14" s="41">
        <f>Ops!AT$155</f>
        <v/>
      </c>
      <c r="AU14" s="41">
        <f>Ops!AU$155</f>
        <v/>
      </c>
      <c r="AV14" s="41">
        <f>Ops!AV$155</f>
        <v/>
      </c>
      <c r="AW14" s="41">
        <f>Ops!AW$155</f>
        <v/>
      </c>
      <c r="AX14" s="41">
        <f>Ops!AX$155</f>
        <v/>
      </c>
      <c r="AY14" s="41">
        <f>Ops!AY$155</f>
        <v/>
      </c>
      <c r="AZ14" s="41">
        <f>Ops!AZ$155</f>
        <v/>
      </c>
      <c r="BA14" s="41">
        <f>Ops!BA$155</f>
        <v/>
      </c>
      <c r="BB14" s="41">
        <f>Ops!BB$155</f>
        <v/>
      </c>
      <c r="BC14" s="41">
        <f>Ops!BC$155</f>
        <v/>
      </c>
      <c r="BD14" s="41">
        <f>Ops!BD$155</f>
        <v/>
      </c>
      <c r="BE14" s="41">
        <f>Ops!BE$155</f>
        <v/>
      </c>
      <c r="BF14" s="41">
        <f>Ops!BF$155</f>
        <v/>
      </c>
      <c r="BG14" s="41">
        <f>Ops!BG$155</f>
        <v/>
      </c>
      <c r="BH14" s="41">
        <f>Ops!BH$155</f>
        <v/>
      </c>
      <c r="BI14" s="41">
        <f>Ops!BI$155</f>
        <v/>
      </c>
      <c r="BJ14" s="41">
        <f>Ops!BJ$155</f>
        <v/>
      </c>
      <c r="BK14" s="41">
        <f>Ops!BK$155</f>
        <v/>
      </c>
      <c r="BL14" s="41">
        <f>Ops!BL$155</f>
        <v/>
      </c>
    </row>
    <row r="15">
      <c r="A15" s="98" t="inlineStr">
        <is>
          <t>Marketing &amp; acquisition</t>
        </is>
      </c>
      <c r="B15" s="65" t="inlineStr">
        <is>
          <t>LCY</t>
        </is>
      </c>
      <c r="C15" s="105">
        <f>SUM(E15:BL15)</f>
        <v/>
      </c>
      <c r="E15" s="41">
        <f>Ops!E$156</f>
        <v/>
      </c>
      <c r="F15" s="41">
        <f>Ops!F$156</f>
        <v/>
      </c>
      <c r="G15" s="41">
        <f>Ops!G$156</f>
        <v/>
      </c>
      <c r="H15" s="41">
        <f>Ops!H$156</f>
        <v/>
      </c>
      <c r="I15" s="41">
        <f>Ops!I$156</f>
        <v/>
      </c>
      <c r="J15" s="41">
        <f>Ops!J$156</f>
        <v/>
      </c>
      <c r="K15" s="41">
        <f>Ops!K$156</f>
        <v/>
      </c>
      <c r="L15" s="41">
        <f>Ops!L$156</f>
        <v/>
      </c>
      <c r="M15" s="41">
        <f>Ops!M$156</f>
        <v/>
      </c>
      <c r="N15" s="41">
        <f>Ops!N$156</f>
        <v/>
      </c>
      <c r="O15" s="41">
        <f>Ops!O$156</f>
        <v/>
      </c>
      <c r="P15" s="41">
        <f>Ops!P$156</f>
        <v/>
      </c>
      <c r="Q15" s="41">
        <f>Ops!Q$156</f>
        <v/>
      </c>
      <c r="R15" s="41">
        <f>Ops!R$156</f>
        <v/>
      </c>
      <c r="S15" s="41">
        <f>Ops!S$156</f>
        <v/>
      </c>
      <c r="T15" s="41">
        <f>Ops!T$156</f>
        <v/>
      </c>
      <c r="U15" s="41">
        <f>Ops!U$156</f>
        <v/>
      </c>
      <c r="V15" s="41">
        <f>Ops!V$156</f>
        <v/>
      </c>
      <c r="W15" s="41">
        <f>Ops!W$156</f>
        <v/>
      </c>
      <c r="X15" s="41">
        <f>Ops!X$156</f>
        <v/>
      </c>
      <c r="Y15" s="41">
        <f>Ops!Y$156</f>
        <v/>
      </c>
      <c r="Z15" s="41">
        <f>Ops!Z$156</f>
        <v/>
      </c>
      <c r="AA15" s="41">
        <f>Ops!AA$156</f>
        <v/>
      </c>
      <c r="AB15" s="41">
        <f>Ops!AB$156</f>
        <v/>
      </c>
      <c r="AC15" s="41">
        <f>Ops!AC$156</f>
        <v/>
      </c>
      <c r="AD15" s="41">
        <f>Ops!AD$156</f>
        <v/>
      </c>
      <c r="AE15" s="41">
        <f>Ops!AE$156</f>
        <v/>
      </c>
      <c r="AF15" s="41">
        <f>Ops!AF$156</f>
        <v/>
      </c>
      <c r="AG15" s="41">
        <f>Ops!AG$156</f>
        <v/>
      </c>
      <c r="AH15" s="41">
        <f>Ops!AH$156</f>
        <v/>
      </c>
      <c r="AI15" s="41">
        <f>Ops!AI$156</f>
        <v/>
      </c>
      <c r="AJ15" s="41">
        <f>Ops!AJ$156</f>
        <v/>
      </c>
      <c r="AK15" s="41">
        <f>Ops!AK$156</f>
        <v/>
      </c>
      <c r="AL15" s="41">
        <f>Ops!AL$156</f>
        <v/>
      </c>
      <c r="AM15" s="41">
        <f>Ops!AM$156</f>
        <v/>
      </c>
      <c r="AN15" s="41">
        <f>Ops!AN$156</f>
        <v/>
      </c>
      <c r="AO15" s="41">
        <f>Ops!AO$156</f>
        <v/>
      </c>
      <c r="AP15" s="41">
        <f>Ops!AP$156</f>
        <v/>
      </c>
      <c r="AQ15" s="41">
        <f>Ops!AQ$156</f>
        <v/>
      </c>
      <c r="AR15" s="41">
        <f>Ops!AR$156</f>
        <v/>
      </c>
      <c r="AS15" s="41">
        <f>Ops!AS$156</f>
        <v/>
      </c>
      <c r="AT15" s="41">
        <f>Ops!AT$156</f>
        <v/>
      </c>
      <c r="AU15" s="41">
        <f>Ops!AU$156</f>
        <v/>
      </c>
      <c r="AV15" s="41">
        <f>Ops!AV$156</f>
        <v/>
      </c>
      <c r="AW15" s="41">
        <f>Ops!AW$156</f>
        <v/>
      </c>
      <c r="AX15" s="41">
        <f>Ops!AX$156</f>
        <v/>
      </c>
      <c r="AY15" s="41">
        <f>Ops!AY$156</f>
        <v/>
      </c>
      <c r="AZ15" s="41">
        <f>Ops!AZ$156</f>
        <v/>
      </c>
      <c r="BA15" s="41">
        <f>Ops!BA$156</f>
        <v/>
      </c>
      <c r="BB15" s="41">
        <f>Ops!BB$156</f>
        <v/>
      </c>
      <c r="BC15" s="41">
        <f>Ops!BC$156</f>
        <v/>
      </c>
      <c r="BD15" s="41">
        <f>Ops!BD$156</f>
        <v/>
      </c>
      <c r="BE15" s="41">
        <f>Ops!BE$156</f>
        <v/>
      </c>
      <c r="BF15" s="41">
        <f>Ops!BF$156</f>
        <v/>
      </c>
      <c r="BG15" s="41">
        <f>Ops!BG$156</f>
        <v/>
      </c>
      <c r="BH15" s="41">
        <f>Ops!BH$156</f>
        <v/>
      </c>
      <c r="BI15" s="41">
        <f>Ops!BI$156</f>
        <v/>
      </c>
      <c r="BJ15" s="41">
        <f>Ops!BJ$156</f>
        <v/>
      </c>
      <c r="BK15" s="41">
        <f>Ops!BK$156</f>
        <v/>
      </c>
      <c r="BL15" s="41">
        <f>Ops!BL$156</f>
        <v/>
      </c>
    </row>
    <row r="16">
      <c r="A16" s="98" t="inlineStr">
        <is>
          <t>Payment processing fees</t>
        </is>
      </c>
      <c r="B16" s="65" t="inlineStr">
        <is>
          <t>LCY</t>
        </is>
      </c>
      <c r="C16" s="105">
        <f>SUM(E16:BL16)</f>
        <v/>
      </c>
      <c r="E16" s="80">
        <f>(Ops!E$136+Ops!E$140)*Inputs!$C$24</f>
        <v/>
      </c>
      <c r="F16" s="80">
        <f>(Ops!F$136+Ops!F$140)*Inputs!$C$24</f>
        <v/>
      </c>
      <c r="G16" s="80">
        <f>(Ops!G$136+Ops!G$140)*Inputs!$C$24</f>
        <v/>
      </c>
      <c r="H16" s="80">
        <f>(Ops!H$136+Ops!H$140)*Inputs!$C$24</f>
        <v/>
      </c>
      <c r="I16" s="80">
        <f>(Ops!I$136+Ops!I$140)*Inputs!$C$24</f>
        <v/>
      </c>
      <c r="J16" s="80">
        <f>(Ops!J$136+Ops!J$140)*Inputs!$C$24</f>
        <v/>
      </c>
      <c r="K16" s="80">
        <f>(Ops!K$136+Ops!K$140)*Inputs!$C$24</f>
        <v/>
      </c>
      <c r="L16" s="80">
        <f>(Ops!L$136+Ops!L$140)*Inputs!$C$24</f>
        <v/>
      </c>
      <c r="M16" s="80">
        <f>(Ops!M$136+Ops!M$140)*Inputs!$C$24</f>
        <v/>
      </c>
      <c r="N16" s="80">
        <f>(Ops!N$136+Ops!N$140)*Inputs!$C$24</f>
        <v/>
      </c>
      <c r="O16" s="80">
        <f>(Ops!O$136+Ops!O$140)*Inputs!$C$24</f>
        <v/>
      </c>
      <c r="P16" s="80">
        <f>(Ops!P$136+Ops!P$140)*Inputs!$C$24</f>
        <v/>
      </c>
      <c r="Q16" s="80">
        <f>(Ops!Q$136+Ops!Q$140)*Inputs!$C$24</f>
        <v/>
      </c>
      <c r="R16" s="80">
        <f>(Ops!R$136+Ops!R$140)*Inputs!$C$24</f>
        <v/>
      </c>
      <c r="S16" s="80">
        <f>(Ops!S$136+Ops!S$140)*Inputs!$C$24</f>
        <v/>
      </c>
      <c r="T16" s="80">
        <f>(Ops!T$136+Ops!T$140)*Inputs!$C$24</f>
        <v/>
      </c>
      <c r="U16" s="80">
        <f>(Ops!U$136+Ops!U$140)*Inputs!$C$24</f>
        <v/>
      </c>
      <c r="V16" s="80">
        <f>(Ops!V$136+Ops!V$140)*Inputs!$C$24</f>
        <v/>
      </c>
      <c r="W16" s="80">
        <f>(Ops!W$136+Ops!W$140)*Inputs!$C$24</f>
        <v/>
      </c>
      <c r="X16" s="80">
        <f>(Ops!X$136+Ops!X$140)*Inputs!$C$24</f>
        <v/>
      </c>
      <c r="Y16" s="80">
        <f>(Ops!Y$136+Ops!Y$140)*Inputs!$C$24</f>
        <v/>
      </c>
      <c r="Z16" s="80">
        <f>(Ops!Z$136+Ops!Z$140)*Inputs!$C$24</f>
        <v/>
      </c>
      <c r="AA16" s="80">
        <f>(Ops!AA$136+Ops!AA$140)*Inputs!$C$24</f>
        <v/>
      </c>
      <c r="AB16" s="80">
        <f>(Ops!AB$136+Ops!AB$140)*Inputs!$C$24</f>
        <v/>
      </c>
      <c r="AC16" s="80">
        <f>(Ops!AC$136+Ops!AC$140)*Inputs!$C$24</f>
        <v/>
      </c>
      <c r="AD16" s="80">
        <f>(Ops!AD$136+Ops!AD$140)*Inputs!$C$24</f>
        <v/>
      </c>
      <c r="AE16" s="80">
        <f>(Ops!AE$136+Ops!AE$140)*Inputs!$C$24</f>
        <v/>
      </c>
      <c r="AF16" s="80">
        <f>(Ops!AF$136+Ops!AF$140)*Inputs!$C$24</f>
        <v/>
      </c>
      <c r="AG16" s="80">
        <f>(Ops!AG$136+Ops!AG$140)*Inputs!$C$24</f>
        <v/>
      </c>
      <c r="AH16" s="80">
        <f>(Ops!AH$136+Ops!AH$140)*Inputs!$C$24</f>
        <v/>
      </c>
      <c r="AI16" s="80">
        <f>(Ops!AI$136+Ops!AI$140)*Inputs!$C$24</f>
        <v/>
      </c>
      <c r="AJ16" s="80">
        <f>(Ops!AJ$136+Ops!AJ$140)*Inputs!$C$24</f>
        <v/>
      </c>
      <c r="AK16" s="80">
        <f>(Ops!AK$136+Ops!AK$140)*Inputs!$C$24</f>
        <v/>
      </c>
      <c r="AL16" s="80">
        <f>(Ops!AL$136+Ops!AL$140)*Inputs!$C$24</f>
        <v/>
      </c>
      <c r="AM16" s="80">
        <f>(Ops!AM$136+Ops!AM$140)*Inputs!$C$24</f>
        <v/>
      </c>
      <c r="AN16" s="80">
        <f>(Ops!AN$136+Ops!AN$140)*Inputs!$C$24</f>
        <v/>
      </c>
      <c r="AO16" s="80">
        <f>(Ops!AO$136+Ops!AO$140)*Inputs!$C$24</f>
        <v/>
      </c>
      <c r="AP16" s="80">
        <f>(Ops!AP$136+Ops!AP$140)*Inputs!$C$24</f>
        <v/>
      </c>
      <c r="AQ16" s="80">
        <f>(Ops!AQ$136+Ops!AQ$140)*Inputs!$C$24</f>
        <v/>
      </c>
      <c r="AR16" s="80">
        <f>(Ops!AR$136+Ops!AR$140)*Inputs!$C$24</f>
        <v/>
      </c>
      <c r="AS16" s="80">
        <f>(Ops!AS$136+Ops!AS$140)*Inputs!$C$24</f>
        <v/>
      </c>
      <c r="AT16" s="80">
        <f>(Ops!AT$136+Ops!AT$140)*Inputs!$C$24</f>
        <v/>
      </c>
      <c r="AU16" s="80">
        <f>(Ops!AU$136+Ops!AU$140)*Inputs!$C$24</f>
        <v/>
      </c>
      <c r="AV16" s="80">
        <f>(Ops!AV$136+Ops!AV$140)*Inputs!$C$24</f>
        <v/>
      </c>
      <c r="AW16" s="80">
        <f>(Ops!AW$136+Ops!AW$140)*Inputs!$C$24</f>
        <v/>
      </c>
      <c r="AX16" s="80">
        <f>(Ops!AX$136+Ops!AX$140)*Inputs!$C$24</f>
        <v/>
      </c>
      <c r="AY16" s="80">
        <f>(Ops!AY$136+Ops!AY$140)*Inputs!$C$24</f>
        <v/>
      </c>
      <c r="AZ16" s="80">
        <f>(Ops!AZ$136+Ops!AZ$140)*Inputs!$C$24</f>
        <v/>
      </c>
      <c r="BA16" s="80">
        <f>(Ops!BA$136+Ops!BA$140)*Inputs!$C$24</f>
        <v/>
      </c>
      <c r="BB16" s="80">
        <f>(Ops!BB$136+Ops!BB$140)*Inputs!$C$24</f>
        <v/>
      </c>
      <c r="BC16" s="80">
        <f>(Ops!BC$136+Ops!BC$140)*Inputs!$C$24</f>
        <v/>
      </c>
      <c r="BD16" s="80">
        <f>(Ops!BD$136+Ops!BD$140)*Inputs!$C$24</f>
        <v/>
      </c>
      <c r="BE16" s="80">
        <f>(Ops!BE$136+Ops!BE$140)*Inputs!$C$24</f>
        <v/>
      </c>
      <c r="BF16" s="80">
        <f>(Ops!BF$136+Ops!BF$140)*Inputs!$C$24</f>
        <v/>
      </c>
      <c r="BG16" s="80">
        <f>(Ops!BG$136+Ops!BG$140)*Inputs!$C$24</f>
        <v/>
      </c>
      <c r="BH16" s="80">
        <f>(Ops!BH$136+Ops!BH$140)*Inputs!$C$24</f>
        <v/>
      </c>
      <c r="BI16" s="80">
        <f>(Ops!BI$136+Ops!BI$140)*Inputs!$C$24</f>
        <v/>
      </c>
      <c r="BJ16" s="80">
        <f>(Ops!BJ$136+Ops!BJ$140)*Inputs!$C$24</f>
        <v/>
      </c>
      <c r="BK16" s="80">
        <f>(Ops!BK$136+Ops!BK$140)*Inputs!$C$24</f>
        <v/>
      </c>
      <c r="BL16" s="80">
        <f>(Ops!BL$136+Ops!BL$140)*Inputs!$C$24</f>
        <v/>
      </c>
    </row>
    <row r="17">
      <c r="A17" s="98" t="inlineStr">
        <is>
          <t>Customer service &amp; collections</t>
        </is>
      </c>
      <c r="B17" s="65" t="inlineStr">
        <is>
          <t>LCY</t>
        </is>
      </c>
      <c r="C17" s="105">
        <f>SUM(E17:BL17)</f>
        <v/>
      </c>
      <c r="E17" s="80">
        <f>Ops!E$146*Inputs!$C$25*Timeline!E$9</f>
        <v/>
      </c>
      <c r="F17" s="80">
        <f>Ops!F$146*Inputs!$C$25*Timeline!F$9</f>
        <v/>
      </c>
      <c r="G17" s="80">
        <f>Ops!G$146*Inputs!$C$25*Timeline!G$9</f>
        <v/>
      </c>
      <c r="H17" s="80">
        <f>Ops!H$146*Inputs!$C$25*Timeline!H$9</f>
        <v/>
      </c>
      <c r="I17" s="80">
        <f>Ops!I$146*Inputs!$C$25*Timeline!I$9</f>
        <v/>
      </c>
      <c r="J17" s="80">
        <f>Ops!J$146*Inputs!$C$25*Timeline!J$9</f>
        <v/>
      </c>
      <c r="K17" s="80">
        <f>Ops!K$146*Inputs!$C$25*Timeline!K$9</f>
        <v/>
      </c>
      <c r="L17" s="80">
        <f>Ops!L$146*Inputs!$C$25*Timeline!L$9</f>
        <v/>
      </c>
      <c r="M17" s="80">
        <f>Ops!M$146*Inputs!$C$25*Timeline!M$9</f>
        <v/>
      </c>
      <c r="N17" s="80">
        <f>Ops!N$146*Inputs!$C$25*Timeline!N$9</f>
        <v/>
      </c>
      <c r="O17" s="80">
        <f>Ops!O$146*Inputs!$C$25*Timeline!O$9</f>
        <v/>
      </c>
      <c r="P17" s="80">
        <f>Ops!P$146*Inputs!$C$25*Timeline!P$9</f>
        <v/>
      </c>
      <c r="Q17" s="80">
        <f>Ops!Q$146*Inputs!$C$25*Timeline!Q$9</f>
        <v/>
      </c>
      <c r="R17" s="80">
        <f>Ops!R$146*Inputs!$C$25*Timeline!R$9</f>
        <v/>
      </c>
      <c r="S17" s="80">
        <f>Ops!S$146*Inputs!$C$25*Timeline!S$9</f>
        <v/>
      </c>
      <c r="T17" s="80">
        <f>Ops!T$146*Inputs!$C$25*Timeline!T$9</f>
        <v/>
      </c>
      <c r="U17" s="80">
        <f>Ops!U$146*Inputs!$C$25*Timeline!U$9</f>
        <v/>
      </c>
      <c r="V17" s="80">
        <f>Ops!V$146*Inputs!$C$25*Timeline!V$9</f>
        <v/>
      </c>
      <c r="W17" s="80">
        <f>Ops!W$146*Inputs!$C$25*Timeline!W$9</f>
        <v/>
      </c>
      <c r="X17" s="80">
        <f>Ops!X$146*Inputs!$C$25*Timeline!X$9</f>
        <v/>
      </c>
      <c r="Y17" s="80">
        <f>Ops!Y$146*Inputs!$C$25*Timeline!Y$9</f>
        <v/>
      </c>
      <c r="Z17" s="80">
        <f>Ops!Z$146*Inputs!$C$25*Timeline!Z$9</f>
        <v/>
      </c>
      <c r="AA17" s="80">
        <f>Ops!AA$146*Inputs!$C$25*Timeline!AA$9</f>
        <v/>
      </c>
      <c r="AB17" s="80">
        <f>Ops!AB$146*Inputs!$C$25*Timeline!AB$9</f>
        <v/>
      </c>
      <c r="AC17" s="80">
        <f>Ops!AC$146*Inputs!$C$25*Timeline!AC$9</f>
        <v/>
      </c>
      <c r="AD17" s="80">
        <f>Ops!AD$146*Inputs!$C$25*Timeline!AD$9</f>
        <v/>
      </c>
      <c r="AE17" s="80">
        <f>Ops!AE$146*Inputs!$C$25*Timeline!AE$9</f>
        <v/>
      </c>
      <c r="AF17" s="80">
        <f>Ops!AF$146*Inputs!$C$25*Timeline!AF$9</f>
        <v/>
      </c>
      <c r="AG17" s="80">
        <f>Ops!AG$146*Inputs!$C$25*Timeline!AG$9</f>
        <v/>
      </c>
      <c r="AH17" s="80">
        <f>Ops!AH$146*Inputs!$C$25*Timeline!AH$9</f>
        <v/>
      </c>
      <c r="AI17" s="80">
        <f>Ops!AI$146*Inputs!$C$25*Timeline!AI$9</f>
        <v/>
      </c>
      <c r="AJ17" s="80">
        <f>Ops!AJ$146*Inputs!$C$25*Timeline!AJ$9</f>
        <v/>
      </c>
      <c r="AK17" s="80">
        <f>Ops!AK$146*Inputs!$C$25*Timeline!AK$9</f>
        <v/>
      </c>
      <c r="AL17" s="80">
        <f>Ops!AL$146*Inputs!$C$25*Timeline!AL$9</f>
        <v/>
      </c>
      <c r="AM17" s="80">
        <f>Ops!AM$146*Inputs!$C$25*Timeline!AM$9</f>
        <v/>
      </c>
      <c r="AN17" s="80">
        <f>Ops!AN$146*Inputs!$C$25*Timeline!AN$9</f>
        <v/>
      </c>
      <c r="AO17" s="80">
        <f>Ops!AO$146*Inputs!$C$25*Timeline!AO$9</f>
        <v/>
      </c>
      <c r="AP17" s="80">
        <f>Ops!AP$146*Inputs!$C$25*Timeline!AP$9</f>
        <v/>
      </c>
      <c r="AQ17" s="80">
        <f>Ops!AQ$146*Inputs!$C$25*Timeline!AQ$9</f>
        <v/>
      </c>
      <c r="AR17" s="80">
        <f>Ops!AR$146*Inputs!$C$25*Timeline!AR$9</f>
        <v/>
      </c>
      <c r="AS17" s="80">
        <f>Ops!AS$146*Inputs!$C$25*Timeline!AS$9</f>
        <v/>
      </c>
      <c r="AT17" s="80">
        <f>Ops!AT$146*Inputs!$C$25*Timeline!AT$9</f>
        <v/>
      </c>
      <c r="AU17" s="80">
        <f>Ops!AU$146*Inputs!$C$25*Timeline!AU$9</f>
        <v/>
      </c>
      <c r="AV17" s="80">
        <f>Ops!AV$146*Inputs!$C$25*Timeline!AV$9</f>
        <v/>
      </c>
      <c r="AW17" s="80">
        <f>Ops!AW$146*Inputs!$C$25*Timeline!AW$9</f>
        <v/>
      </c>
      <c r="AX17" s="80">
        <f>Ops!AX$146*Inputs!$C$25*Timeline!AX$9</f>
        <v/>
      </c>
      <c r="AY17" s="80">
        <f>Ops!AY$146*Inputs!$C$25*Timeline!AY$9</f>
        <v/>
      </c>
      <c r="AZ17" s="80">
        <f>Ops!AZ$146*Inputs!$C$25*Timeline!AZ$9</f>
        <v/>
      </c>
      <c r="BA17" s="80">
        <f>Ops!BA$146*Inputs!$C$25*Timeline!BA$9</f>
        <v/>
      </c>
      <c r="BB17" s="80">
        <f>Ops!BB$146*Inputs!$C$25*Timeline!BB$9</f>
        <v/>
      </c>
      <c r="BC17" s="80">
        <f>Ops!BC$146*Inputs!$C$25*Timeline!BC$9</f>
        <v/>
      </c>
      <c r="BD17" s="80">
        <f>Ops!BD$146*Inputs!$C$25*Timeline!BD$9</f>
        <v/>
      </c>
      <c r="BE17" s="80">
        <f>Ops!BE$146*Inputs!$C$25*Timeline!BE$9</f>
        <v/>
      </c>
      <c r="BF17" s="80">
        <f>Ops!BF$146*Inputs!$C$25*Timeline!BF$9</f>
        <v/>
      </c>
      <c r="BG17" s="80">
        <f>Ops!BG$146*Inputs!$C$25*Timeline!BG$9</f>
        <v/>
      </c>
      <c r="BH17" s="80">
        <f>Ops!BH$146*Inputs!$C$25*Timeline!BH$9</f>
        <v/>
      </c>
      <c r="BI17" s="80">
        <f>Ops!BI$146*Inputs!$C$25*Timeline!BI$9</f>
        <v/>
      </c>
      <c r="BJ17" s="80">
        <f>Ops!BJ$146*Inputs!$C$25*Timeline!BJ$9</f>
        <v/>
      </c>
      <c r="BK17" s="80">
        <f>Ops!BK$146*Inputs!$C$25*Timeline!BK$9</f>
        <v/>
      </c>
      <c r="BL17" s="80">
        <f>Ops!BL$146*Inputs!$C$25*Timeline!BL$9</f>
        <v/>
      </c>
    </row>
    <row r="18">
      <c r="A18" s="98" t="inlineStr">
        <is>
          <t>Staff</t>
        </is>
      </c>
      <c r="B18" s="65" t="inlineStr">
        <is>
          <t>LCY</t>
        </is>
      </c>
      <c r="C18" s="105">
        <f>SUM(E18:BL18)</f>
        <v/>
      </c>
      <c r="E18" s="80">
        <f>Inputs!$C$26*Timeline!E$9</f>
        <v/>
      </c>
      <c r="F18" s="80">
        <f>Inputs!$C$26*Timeline!F$9</f>
        <v/>
      </c>
      <c r="G18" s="80">
        <f>Inputs!$C$26*Timeline!G$9</f>
        <v/>
      </c>
      <c r="H18" s="80">
        <f>Inputs!$C$26*Timeline!H$9</f>
        <v/>
      </c>
      <c r="I18" s="80">
        <f>Inputs!$C$26*Timeline!I$9</f>
        <v/>
      </c>
      <c r="J18" s="80">
        <f>Inputs!$C$26*Timeline!J$9</f>
        <v/>
      </c>
      <c r="K18" s="80">
        <f>Inputs!$C$26*Timeline!K$9</f>
        <v/>
      </c>
      <c r="L18" s="80">
        <f>Inputs!$C$26*Timeline!L$9</f>
        <v/>
      </c>
      <c r="M18" s="80">
        <f>Inputs!$C$26*Timeline!M$9</f>
        <v/>
      </c>
      <c r="N18" s="80">
        <f>Inputs!$C$26*Timeline!N$9</f>
        <v/>
      </c>
      <c r="O18" s="80">
        <f>Inputs!$C$26*Timeline!O$9</f>
        <v/>
      </c>
      <c r="P18" s="80">
        <f>Inputs!$C$26*Timeline!P$9</f>
        <v/>
      </c>
      <c r="Q18" s="80">
        <f>Inputs!$C$26*Timeline!Q$9</f>
        <v/>
      </c>
      <c r="R18" s="80">
        <f>Inputs!$C$26*Timeline!R$9</f>
        <v/>
      </c>
      <c r="S18" s="80">
        <f>Inputs!$C$26*Timeline!S$9</f>
        <v/>
      </c>
      <c r="T18" s="80">
        <f>Inputs!$C$26*Timeline!T$9</f>
        <v/>
      </c>
      <c r="U18" s="80">
        <f>Inputs!$C$26*Timeline!U$9</f>
        <v/>
      </c>
      <c r="V18" s="80">
        <f>Inputs!$C$26*Timeline!V$9</f>
        <v/>
      </c>
      <c r="W18" s="80">
        <f>Inputs!$C$26*Timeline!W$9</f>
        <v/>
      </c>
      <c r="X18" s="80">
        <f>Inputs!$C$26*Timeline!X$9</f>
        <v/>
      </c>
      <c r="Y18" s="80">
        <f>Inputs!$C$26*Timeline!Y$9</f>
        <v/>
      </c>
      <c r="Z18" s="80">
        <f>Inputs!$C$26*Timeline!Z$9</f>
        <v/>
      </c>
      <c r="AA18" s="80">
        <f>Inputs!$C$26*Timeline!AA$9</f>
        <v/>
      </c>
      <c r="AB18" s="80">
        <f>Inputs!$C$26*Timeline!AB$9</f>
        <v/>
      </c>
      <c r="AC18" s="80">
        <f>Inputs!$C$26*Timeline!AC$9</f>
        <v/>
      </c>
      <c r="AD18" s="80">
        <f>Inputs!$C$26*Timeline!AD$9</f>
        <v/>
      </c>
      <c r="AE18" s="80">
        <f>Inputs!$C$26*Timeline!AE$9</f>
        <v/>
      </c>
      <c r="AF18" s="80">
        <f>Inputs!$C$26*Timeline!AF$9</f>
        <v/>
      </c>
      <c r="AG18" s="80">
        <f>Inputs!$C$26*Timeline!AG$9</f>
        <v/>
      </c>
      <c r="AH18" s="80">
        <f>Inputs!$C$26*Timeline!AH$9</f>
        <v/>
      </c>
      <c r="AI18" s="80">
        <f>Inputs!$C$26*Timeline!AI$9</f>
        <v/>
      </c>
      <c r="AJ18" s="80">
        <f>Inputs!$C$26*Timeline!AJ$9</f>
        <v/>
      </c>
      <c r="AK18" s="80">
        <f>Inputs!$C$26*Timeline!AK$9</f>
        <v/>
      </c>
      <c r="AL18" s="80">
        <f>Inputs!$C$26*Timeline!AL$9</f>
        <v/>
      </c>
      <c r="AM18" s="80">
        <f>Inputs!$C$26*Timeline!AM$9</f>
        <v/>
      </c>
      <c r="AN18" s="80">
        <f>Inputs!$C$26*Timeline!AN$9</f>
        <v/>
      </c>
      <c r="AO18" s="80">
        <f>Inputs!$C$26*Timeline!AO$9</f>
        <v/>
      </c>
      <c r="AP18" s="80">
        <f>Inputs!$C$26*Timeline!AP$9</f>
        <v/>
      </c>
      <c r="AQ18" s="80">
        <f>Inputs!$C$26*Timeline!AQ$9</f>
        <v/>
      </c>
      <c r="AR18" s="80">
        <f>Inputs!$C$26*Timeline!AR$9</f>
        <v/>
      </c>
      <c r="AS18" s="80">
        <f>Inputs!$C$26*Timeline!AS$9</f>
        <v/>
      </c>
      <c r="AT18" s="80">
        <f>Inputs!$C$26*Timeline!AT$9</f>
        <v/>
      </c>
      <c r="AU18" s="80">
        <f>Inputs!$C$26*Timeline!AU$9</f>
        <v/>
      </c>
      <c r="AV18" s="80">
        <f>Inputs!$C$26*Timeline!AV$9</f>
        <v/>
      </c>
      <c r="AW18" s="80">
        <f>Inputs!$C$26*Timeline!AW$9</f>
        <v/>
      </c>
      <c r="AX18" s="80">
        <f>Inputs!$C$26*Timeline!AX$9</f>
        <v/>
      </c>
      <c r="AY18" s="80">
        <f>Inputs!$C$26*Timeline!AY$9</f>
        <v/>
      </c>
      <c r="AZ18" s="80">
        <f>Inputs!$C$26*Timeline!AZ$9</f>
        <v/>
      </c>
      <c r="BA18" s="80">
        <f>Inputs!$C$26*Timeline!BA$9</f>
        <v/>
      </c>
      <c r="BB18" s="80">
        <f>Inputs!$C$26*Timeline!BB$9</f>
        <v/>
      </c>
      <c r="BC18" s="80">
        <f>Inputs!$C$26*Timeline!BC$9</f>
        <v/>
      </c>
      <c r="BD18" s="80">
        <f>Inputs!$C$26*Timeline!BD$9</f>
        <v/>
      </c>
      <c r="BE18" s="80">
        <f>Inputs!$C$26*Timeline!BE$9</f>
        <v/>
      </c>
      <c r="BF18" s="80">
        <f>Inputs!$C$26*Timeline!BF$9</f>
        <v/>
      </c>
      <c r="BG18" s="80">
        <f>Inputs!$C$26*Timeline!BG$9</f>
        <v/>
      </c>
      <c r="BH18" s="80">
        <f>Inputs!$C$26*Timeline!BH$9</f>
        <v/>
      </c>
      <c r="BI18" s="80">
        <f>Inputs!$C$26*Timeline!BI$9</f>
        <v/>
      </c>
      <c r="BJ18" s="80">
        <f>Inputs!$C$26*Timeline!BJ$9</f>
        <v/>
      </c>
      <c r="BK18" s="80">
        <f>Inputs!$C$26*Timeline!BK$9</f>
        <v/>
      </c>
      <c r="BL18" s="80">
        <f>Inputs!$C$26*Timeline!BL$9</f>
        <v/>
      </c>
    </row>
    <row r="19">
      <c r="A19" s="98" t="inlineStr">
        <is>
          <t>G&amp;A, rent, IT</t>
        </is>
      </c>
      <c r="B19" s="65" t="inlineStr">
        <is>
          <t>LCY</t>
        </is>
      </c>
      <c r="C19" s="105">
        <f>SUM(E19:BL19)</f>
        <v/>
      </c>
      <c r="E19" s="80">
        <f>Inputs!$C$27*Timeline!E$9</f>
        <v/>
      </c>
      <c r="F19" s="80">
        <f>Inputs!$C$27*Timeline!F$9</f>
        <v/>
      </c>
      <c r="G19" s="80">
        <f>Inputs!$C$27*Timeline!G$9</f>
        <v/>
      </c>
      <c r="H19" s="80">
        <f>Inputs!$C$27*Timeline!H$9</f>
        <v/>
      </c>
      <c r="I19" s="80">
        <f>Inputs!$C$27*Timeline!I$9</f>
        <v/>
      </c>
      <c r="J19" s="80">
        <f>Inputs!$C$27*Timeline!J$9</f>
        <v/>
      </c>
      <c r="K19" s="80">
        <f>Inputs!$C$27*Timeline!K$9</f>
        <v/>
      </c>
      <c r="L19" s="80">
        <f>Inputs!$C$27*Timeline!L$9</f>
        <v/>
      </c>
      <c r="M19" s="80">
        <f>Inputs!$C$27*Timeline!M$9</f>
        <v/>
      </c>
      <c r="N19" s="80">
        <f>Inputs!$C$27*Timeline!N$9</f>
        <v/>
      </c>
      <c r="O19" s="80">
        <f>Inputs!$C$27*Timeline!O$9</f>
        <v/>
      </c>
      <c r="P19" s="80">
        <f>Inputs!$C$27*Timeline!P$9</f>
        <v/>
      </c>
      <c r="Q19" s="80">
        <f>Inputs!$C$27*Timeline!Q$9</f>
        <v/>
      </c>
      <c r="R19" s="80">
        <f>Inputs!$C$27*Timeline!R$9</f>
        <v/>
      </c>
      <c r="S19" s="80">
        <f>Inputs!$C$27*Timeline!S$9</f>
        <v/>
      </c>
      <c r="T19" s="80">
        <f>Inputs!$C$27*Timeline!T$9</f>
        <v/>
      </c>
      <c r="U19" s="80">
        <f>Inputs!$C$27*Timeline!U$9</f>
        <v/>
      </c>
      <c r="V19" s="80">
        <f>Inputs!$C$27*Timeline!V$9</f>
        <v/>
      </c>
      <c r="W19" s="80">
        <f>Inputs!$C$27*Timeline!W$9</f>
        <v/>
      </c>
      <c r="X19" s="80">
        <f>Inputs!$C$27*Timeline!X$9</f>
        <v/>
      </c>
      <c r="Y19" s="80">
        <f>Inputs!$C$27*Timeline!Y$9</f>
        <v/>
      </c>
      <c r="Z19" s="80">
        <f>Inputs!$C$27*Timeline!Z$9</f>
        <v/>
      </c>
      <c r="AA19" s="80">
        <f>Inputs!$C$27*Timeline!AA$9</f>
        <v/>
      </c>
      <c r="AB19" s="80">
        <f>Inputs!$C$27*Timeline!AB$9</f>
        <v/>
      </c>
      <c r="AC19" s="80">
        <f>Inputs!$C$27*Timeline!AC$9</f>
        <v/>
      </c>
      <c r="AD19" s="80">
        <f>Inputs!$C$27*Timeline!AD$9</f>
        <v/>
      </c>
      <c r="AE19" s="80">
        <f>Inputs!$C$27*Timeline!AE$9</f>
        <v/>
      </c>
      <c r="AF19" s="80">
        <f>Inputs!$C$27*Timeline!AF$9</f>
        <v/>
      </c>
      <c r="AG19" s="80">
        <f>Inputs!$C$27*Timeline!AG$9</f>
        <v/>
      </c>
      <c r="AH19" s="80">
        <f>Inputs!$C$27*Timeline!AH$9</f>
        <v/>
      </c>
      <c r="AI19" s="80">
        <f>Inputs!$C$27*Timeline!AI$9</f>
        <v/>
      </c>
      <c r="AJ19" s="80">
        <f>Inputs!$C$27*Timeline!AJ$9</f>
        <v/>
      </c>
      <c r="AK19" s="80">
        <f>Inputs!$C$27*Timeline!AK$9</f>
        <v/>
      </c>
      <c r="AL19" s="80">
        <f>Inputs!$C$27*Timeline!AL$9</f>
        <v/>
      </c>
      <c r="AM19" s="80">
        <f>Inputs!$C$27*Timeline!AM$9</f>
        <v/>
      </c>
      <c r="AN19" s="80">
        <f>Inputs!$C$27*Timeline!AN$9</f>
        <v/>
      </c>
      <c r="AO19" s="80">
        <f>Inputs!$C$27*Timeline!AO$9</f>
        <v/>
      </c>
      <c r="AP19" s="80">
        <f>Inputs!$C$27*Timeline!AP$9</f>
        <v/>
      </c>
      <c r="AQ19" s="80">
        <f>Inputs!$C$27*Timeline!AQ$9</f>
        <v/>
      </c>
      <c r="AR19" s="80">
        <f>Inputs!$C$27*Timeline!AR$9</f>
        <v/>
      </c>
      <c r="AS19" s="80">
        <f>Inputs!$C$27*Timeline!AS$9</f>
        <v/>
      </c>
      <c r="AT19" s="80">
        <f>Inputs!$C$27*Timeline!AT$9</f>
        <v/>
      </c>
      <c r="AU19" s="80">
        <f>Inputs!$C$27*Timeline!AU$9</f>
        <v/>
      </c>
      <c r="AV19" s="80">
        <f>Inputs!$C$27*Timeline!AV$9</f>
        <v/>
      </c>
      <c r="AW19" s="80">
        <f>Inputs!$C$27*Timeline!AW$9</f>
        <v/>
      </c>
      <c r="AX19" s="80">
        <f>Inputs!$C$27*Timeline!AX$9</f>
        <v/>
      </c>
      <c r="AY19" s="80">
        <f>Inputs!$C$27*Timeline!AY$9</f>
        <v/>
      </c>
      <c r="AZ19" s="80">
        <f>Inputs!$C$27*Timeline!AZ$9</f>
        <v/>
      </c>
      <c r="BA19" s="80">
        <f>Inputs!$C$27*Timeline!BA$9</f>
        <v/>
      </c>
      <c r="BB19" s="80">
        <f>Inputs!$C$27*Timeline!BB$9</f>
        <v/>
      </c>
      <c r="BC19" s="80">
        <f>Inputs!$C$27*Timeline!BC$9</f>
        <v/>
      </c>
      <c r="BD19" s="80">
        <f>Inputs!$C$27*Timeline!BD$9</f>
        <v/>
      </c>
      <c r="BE19" s="80">
        <f>Inputs!$C$27*Timeline!BE$9</f>
        <v/>
      </c>
      <c r="BF19" s="80">
        <f>Inputs!$C$27*Timeline!BF$9</f>
        <v/>
      </c>
      <c r="BG19" s="80">
        <f>Inputs!$C$27*Timeline!BG$9</f>
        <v/>
      </c>
      <c r="BH19" s="80">
        <f>Inputs!$C$27*Timeline!BH$9</f>
        <v/>
      </c>
      <c r="BI19" s="80">
        <f>Inputs!$C$27*Timeline!BI$9</f>
        <v/>
      </c>
      <c r="BJ19" s="80">
        <f>Inputs!$C$27*Timeline!BJ$9</f>
        <v/>
      </c>
      <c r="BK19" s="80">
        <f>Inputs!$C$27*Timeline!BK$9</f>
        <v/>
      </c>
      <c r="BL19" s="80">
        <f>Inputs!$C$27*Timeline!BL$9</f>
        <v/>
      </c>
    </row>
    <row r="20">
      <c r="A20" s="100" t="inlineStr">
        <is>
          <t>Total operating expenses</t>
        </is>
      </c>
      <c r="B20" s="101" t="inlineStr">
        <is>
          <t>LCY</t>
        </is>
      </c>
      <c r="C20" s="102">
        <f>SUM(E20:BL20)</f>
        <v/>
      </c>
      <c r="D20" s="103" t="n"/>
      <c r="E20" s="104">
        <f>SUM(E13:E19)</f>
        <v/>
      </c>
      <c r="F20" s="104">
        <f>SUM(F13:F19)</f>
        <v/>
      </c>
      <c r="G20" s="104">
        <f>SUM(G13:G19)</f>
        <v/>
      </c>
      <c r="H20" s="104">
        <f>SUM(H13:H19)</f>
        <v/>
      </c>
      <c r="I20" s="104">
        <f>SUM(I13:I19)</f>
        <v/>
      </c>
      <c r="J20" s="104">
        <f>SUM(J13:J19)</f>
        <v/>
      </c>
      <c r="K20" s="104">
        <f>SUM(K13:K19)</f>
        <v/>
      </c>
      <c r="L20" s="104">
        <f>SUM(L13:L19)</f>
        <v/>
      </c>
      <c r="M20" s="104">
        <f>SUM(M13:M19)</f>
        <v/>
      </c>
      <c r="N20" s="104">
        <f>SUM(N13:N19)</f>
        <v/>
      </c>
      <c r="O20" s="104">
        <f>SUM(O13:O19)</f>
        <v/>
      </c>
      <c r="P20" s="104">
        <f>SUM(P13:P19)</f>
        <v/>
      </c>
      <c r="Q20" s="104">
        <f>SUM(Q13:Q19)</f>
        <v/>
      </c>
      <c r="R20" s="104">
        <f>SUM(R13:R19)</f>
        <v/>
      </c>
      <c r="S20" s="104">
        <f>SUM(S13:S19)</f>
        <v/>
      </c>
      <c r="T20" s="104">
        <f>SUM(T13:T19)</f>
        <v/>
      </c>
      <c r="U20" s="104">
        <f>SUM(U13:U19)</f>
        <v/>
      </c>
      <c r="V20" s="104">
        <f>SUM(V13:V19)</f>
        <v/>
      </c>
      <c r="W20" s="104">
        <f>SUM(W13:W19)</f>
        <v/>
      </c>
      <c r="X20" s="104">
        <f>SUM(X13:X19)</f>
        <v/>
      </c>
      <c r="Y20" s="104">
        <f>SUM(Y13:Y19)</f>
        <v/>
      </c>
      <c r="Z20" s="104">
        <f>SUM(Z13:Z19)</f>
        <v/>
      </c>
      <c r="AA20" s="104">
        <f>SUM(AA13:AA19)</f>
        <v/>
      </c>
      <c r="AB20" s="104">
        <f>SUM(AB13:AB19)</f>
        <v/>
      </c>
      <c r="AC20" s="104">
        <f>SUM(AC13:AC19)</f>
        <v/>
      </c>
      <c r="AD20" s="104">
        <f>SUM(AD13:AD19)</f>
        <v/>
      </c>
      <c r="AE20" s="104">
        <f>SUM(AE13:AE19)</f>
        <v/>
      </c>
      <c r="AF20" s="104">
        <f>SUM(AF13:AF19)</f>
        <v/>
      </c>
      <c r="AG20" s="104">
        <f>SUM(AG13:AG19)</f>
        <v/>
      </c>
      <c r="AH20" s="104">
        <f>SUM(AH13:AH19)</f>
        <v/>
      </c>
      <c r="AI20" s="104">
        <f>SUM(AI13:AI19)</f>
        <v/>
      </c>
      <c r="AJ20" s="104">
        <f>SUM(AJ13:AJ19)</f>
        <v/>
      </c>
      <c r="AK20" s="104">
        <f>SUM(AK13:AK19)</f>
        <v/>
      </c>
      <c r="AL20" s="104">
        <f>SUM(AL13:AL19)</f>
        <v/>
      </c>
      <c r="AM20" s="104">
        <f>SUM(AM13:AM19)</f>
        <v/>
      </c>
      <c r="AN20" s="104">
        <f>SUM(AN13:AN19)</f>
        <v/>
      </c>
      <c r="AO20" s="104">
        <f>SUM(AO13:AO19)</f>
        <v/>
      </c>
      <c r="AP20" s="104">
        <f>SUM(AP13:AP19)</f>
        <v/>
      </c>
      <c r="AQ20" s="104">
        <f>SUM(AQ13:AQ19)</f>
        <v/>
      </c>
      <c r="AR20" s="104">
        <f>SUM(AR13:AR19)</f>
        <v/>
      </c>
      <c r="AS20" s="104">
        <f>SUM(AS13:AS19)</f>
        <v/>
      </c>
      <c r="AT20" s="104">
        <f>SUM(AT13:AT19)</f>
        <v/>
      </c>
      <c r="AU20" s="104">
        <f>SUM(AU13:AU19)</f>
        <v/>
      </c>
      <c r="AV20" s="104">
        <f>SUM(AV13:AV19)</f>
        <v/>
      </c>
      <c r="AW20" s="104">
        <f>SUM(AW13:AW19)</f>
        <v/>
      </c>
      <c r="AX20" s="104">
        <f>SUM(AX13:AX19)</f>
        <v/>
      </c>
      <c r="AY20" s="104">
        <f>SUM(AY13:AY19)</f>
        <v/>
      </c>
      <c r="AZ20" s="104">
        <f>SUM(AZ13:AZ19)</f>
        <v/>
      </c>
      <c r="BA20" s="104">
        <f>SUM(BA13:BA19)</f>
        <v/>
      </c>
      <c r="BB20" s="104">
        <f>SUM(BB13:BB19)</f>
        <v/>
      </c>
      <c r="BC20" s="104">
        <f>SUM(BC13:BC19)</f>
        <v/>
      </c>
      <c r="BD20" s="104">
        <f>SUM(BD13:BD19)</f>
        <v/>
      </c>
      <c r="BE20" s="104">
        <f>SUM(BE13:BE19)</f>
        <v/>
      </c>
      <c r="BF20" s="104">
        <f>SUM(BF13:BF19)</f>
        <v/>
      </c>
      <c r="BG20" s="104">
        <f>SUM(BG13:BG19)</f>
        <v/>
      </c>
      <c r="BH20" s="104">
        <f>SUM(BH13:BH19)</f>
        <v/>
      </c>
      <c r="BI20" s="104">
        <f>SUM(BI13:BI19)</f>
        <v/>
      </c>
      <c r="BJ20" s="104">
        <f>SUM(BJ13:BJ19)</f>
        <v/>
      </c>
      <c r="BK20" s="104">
        <f>SUM(BK13:BK19)</f>
        <v/>
      </c>
      <c r="BL20" s="104">
        <f>SUM(BL13:BL19)</f>
        <v/>
      </c>
    </row>
    <row r="21"/>
    <row r="22">
      <c r="A22" s="98" t="inlineStr">
        <is>
          <t>Inventory (closing; target cover, run down by consumption when sales fall, written off when sales stop)</t>
        </is>
      </c>
      <c r="B22" s="65" t="inlineStr">
        <is>
          <t>LCY</t>
        </is>
      </c>
      <c r="C22" s="105">
        <f>BL22</f>
        <v/>
      </c>
      <c r="E22" s="80">
        <f>MAX(E8*Inputs!$C$42,D22-E8-E30)</f>
        <v/>
      </c>
      <c r="F22" s="80">
        <f>MAX(F8*Inputs!$C$42,E22-F8-F30)</f>
        <v/>
      </c>
      <c r="G22" s="80">
        <f>MAX(G8*Inputs!$C$42,F22-G8-G30)</f>
        <v/>
      </c>
      <c r="H22" s="80">
        <f>MAX(H8*Inputs!$C$42,G22-H8-H30)</f>
        <v/>
      </c>
      <c r="I22" s="80">
        <f>MAX(I8*Inputs!$C$42,H22-I8-I30)</f>
        <v/>
      </c>
      <c r="J22" s="80">
        <f>MAX(J8*Inputs!$C$42,I22-J8-J30)</f>
        <v/>
      </c>
      <c r="K22" s="80">
        <f>MAX(K8*Inputs!$C$42,J22-K8-K30)</f>
        <v/>
      </c>
      <c r="L22" s="80">
        <f>MAX(L8*Inputs!$C$42,K22-L8-L30)</f>
        <v/>
      </c>
      <c r="M22" s="80">
        <f>MAX(M8*Inputs!$C$42,L22-M8-M30)</f>
        <v/>
      </c>
      <c r="N22" s="80">
        <f>MAX(N8*Inputs!$C$42,M22-N8-N30)</f>
        <v/>
      </c>
      <c r="O22" s="80">
        <f>MAX(O8*Inputs!$C$42,N22-O8-O30)</f>
        <v/>
      </c>
      <c r="P22" s="80">
        <f>MAX(P8*Inputs!$C$42,O22-P8-P30)</f>
        <v/>
      </c>
      <c r="Q22" s="80">
        <f>MAX(Q8*Inputs!$C$42,P22-Q8-Q30)</f>
        <v/>
      </c>
      <c r="R22" s="80">
        <f>MAX(R8*Inputs!$C$42,Q22-R8-R30)</f>
        <v/>
      </c>
      <c r="S22" s="80">
        <f>MAX(S8*Inputs!$C$42,R22-S8-S30)</f>
        <v/>
      </c>
      <c r="T22" s="80">
        <f>MAX(T8*Inputs!$C$42,S22-T8-T30)</f>
        <v/>
      </c>
      <c r="U22" s="80">
        <f>MAX(U8*Inputs!$C$42,T22-U8-U30)</f>
        <v/>
      </c>
      <c r="V22" s="80">
        <f>MAX(V8*Inputs!$C$42,U22-V8-V30)</f>
        <v/>
      </c>
      <c r="W22" s="80">
        <f>MAX(W8*Inputs!$C$42,V22-W8-W30)</f>
        <v/>
      </c>
      <c r="X22" s="80">
        <f>MAX(X8*Inputs!$C$42,W22-X8-X30)</f>
        <v/>
      </c>
      <c r="Y22" s="80">
        <f>MAX(Y8*Inputs!$C$42,X22-Y8-Y30)</f>
        <v/>
      </c>
      <c r="Z22" s="80">
        <f>MAX(Z8*Inputs!$C$42,Y22-Z8-Z30)</f>
        <v/>
      </c>
      <c r="AA22" s="80">
        <f>MAX(AA8*Inputs!$C$42,Z22-AA8-AA30)</f>
        <v/>
      </c>
      <c r="AB22" s="80">
        <f>MAX(AB8*Inputs!$C$42,AA22-AB8-AB30)</f>
        <v/>
      </c>
      <c r="AC22" s="80">
        <f>MAX(AC8*Inputs!$C$42,AB22-AC8-AC30)</f>
        <v/>
      </c>
      <c r="AD22" s="80">
        <f>MAX(AD8*Inputs!$C$42,AC22-AD8-AD30)</f>
        <v/>
      </c>
      <c r="AE22" s="80">
        <f>MAX(AE8*Inputs!$C$42,AD22-AE8-AE30)</f>
        <v/>
      </c>
      <c r="AF22" s="80">
        <f>MAX(AF8*Inputs!$C$42,AE22-AF8-AF30)</f>
        <v/>
      </c>
      <c r="AG22" s="80">
        <f>MAX(AG8*Inputs!$C$42,AF22-AG8-AG30)</f>
        <v/>
      </c>
      <c r="AH22" s="80">
        <f>MAX(AH8*Inputs!$C$42,AG22-AH8-AH30)</f>
        <v/>
      </c>
      <c r="AI22" s="80">
        <f>MAX(AI8*Inputs!$C$42,AH22-AI8-AI30)</f>
        <v/>
      </c>
      <c r="AJ22" s="80">
        <f>MAX(AJ8*Inputs!$C$42,AI22-AJ8-AJ30)</f>
        <v/>
      </c>
      <c r="AK22" s="80">
        <f>MAX(AK8*Inputs!$C$42,AJ22-AK8-AK30)</f>
        <v/>
      </c>
      <c r="AL22" s="80">
        <f>MAX(AL8*Inputs!$C$42,AK22-AL8-AL30)</f>
        <v/>
      </c>
      <c r="AM22" s="80">
        <f>MAX(AM8*Inputs!$C$42,AL22-AM8-AM30)</f>
        <v/>
      </c>
      <c r="AN22" s="80">
        <f>MAX(AN8*Inputs!$C$42,AM22-AN8-AN30)</f>
        <v/>
      </c>
      <c r="AO22" s="80">
        <f>MAX(AO8*Inputs!$C$42,AN22-AO8-AO30)</f>
        <v/>
      </c>
      <c r="AP22" s="80">
        <f>MAX(AP8*Inputs!$C$42,AO22-AP8-AP30)</f>
        <v/>
      </c>
      <c r="AQ22" s="80">
        <f>MAX(AQ8*Inputs!$C$42,AP22-AQ8-AQ30)</f>
        <v/>
      </c>
      <c r="AR22" s="80">
        <f>MAX(AR8*Inputs!$C$42,AQ22-AR8-AR30)</f>
        <v/>
      </c>
      <c r="AS22" s="80">
        <f>MAX(AS8*Inputs!$C$42,AR22-AS8-AS30)</f>
        <v/>
      </c>
      <c r="AT22" s="80">
        <f>MAX(AT8*Inputs!$C$42,AS22-AT8-AT30)</f>
        <v/>
      </c>
      <c r="AU22" s="80">
        <f>MAX(AU8*Inputs!$C$42,AT22-AU8-AU30)</f>
        <v/>
      </c>
      <c r="AV22" s="80">
        <f>MAX(AV8*Inputs!$C$42,AU22-AV8-AV30)</f>
        <v/>
      </c>
      <c r="AW22" s="80">
        <f>MAX(AW8*Inputs!$C$42,AV22-AW8-AW30)</f>
        <v/>
      </c>
      <c r="AX22" s="80">
        <f>MAX(AX8*Inputs!$C$42,AW22-AX8-AX30)</f>
        <v/>
      </c>
      <c r="AY22" s="80">
        <f>MAX(AY8*Inputs!$C$42,AX22-AY8-AY30)</f>
        <v/>
      </c>
      <c r="AZ22" s="80">
        <f>MAX(AZ8*Inputs!$C$42,AY22-AZ8-AZ30)</f>
        <v/>
      </c>
      <c r="BA22" s="80">
        <f>MAX(BA8*Inputs!$C$42,AZ22-BA8-BA30)</f>
        <v/>
      </c>
      <c r="BB22" s="80">
        <f>MAX(BB8*Inputs!$C$42,BA22-BB8-BB30)</f>
        <v/>
      </c>
      <c r="BC22" s="80">
        <f>MAX(BC8*Inputs!$C$42,BB22-BC8-BC30)</f>
        <v/>
      </c>
      <c r="BD22" s="80">
        <f>MAX(BD8*Inputs!$C$42,BC22-BD8-BD30)</f>
        <v/>
      </c>
      <c r="BE22" s="80">
        <f>MAX(BE8*Inputs!$C$42,BD22-BE8-BE30)</f>
        <v/>
      </c>
      <c r="BF22" s="80">
        <f>MAX(BF8*Inputs!$C$42,BE22-BF8-BF30)</f>
        <v/>
      </c>
      <c r="BG22" s="80">
        <f>MAX(BG8*Inputs!$C$42,BF22-BG8-BG30)</f>
        <v/>
      </c>
      <c r="BH22" s="80">
        <f>MAX(BH8*Inputs!$C$42,BG22-BH8-BH30)</f>
        <v/>
      </c>
      <c r="BI22" s="80">
        <f>MAX(BI8*Inputs!$C$42,BH22-BI8-BI30)</f>
        <v/>
      </c>
      <c r="BJ22" s="80">
        <f>MAX(BJ8*Inputs!$C$42,BI22-BJ8-BJ30)</f>
        <v/>
      </c>
      <c r="BK22" s="80">
        <f>MAX(BK8*Inputs!$C$42,BJ22-BK8-BK30)</f>
        <v/>
      </c>
      <c r="BL22" s="80">
        <f>MAX(BL8*Inputs!$C$42,BK22-BL8-BL30)</f>
        <v/>
      </c>
    </row>
    <row r="23">
      <c r="A23" s="98" t="inlineStr">
        <is>
          <t>Hardware purchases</t>
        </is>
      </c>
      <c r="B23" s="65" t="inlineStr">
        <is>
          <t>LCY</t>
        </is>
      </c>
      <c r="C23" s="105">
        <f>SUM(E23:BL23)</f>
        <v/>
      </c>
      <c r="E23" s="80">
        <f>E8+E22-D22+E30</f>
        <v/>
      </c>
      <c r="F23" s="80">
        <f>F8+F22-E22+F30</f>
        <v/>
      </c>
      <c r="G23" s="80">
        <f>G8+G22-F22+G30</f>
        <v/>
      </c>
      <c r="H23" s="80">
        <f>H8+H22-G22+H30</f>
        <v/>
      </c>
      <c r="I23" s="80">
        <f>I8+I22-H22+I30</f>
        <v/>
      </c>
      <c r="J23" s="80">
        <f>J8+J22-I22+J30</f>
        <v/>
      </c>
      <c r="K23" s="80">
        <f>K8+K22-J22+K30</f>
        <v/>
      </c>
      <c r="L23" s="80">
        <f>L8+L22-K22+L30</f>
        <v/>
      </c>
      <c r="M23" s="80">
        <f>M8+M22-L22+M30</f>
        <v/>
      </c>
      <c r="N23" s="80">
        <f>N8+N22-M22+N30</f>
        <v/>
      </c>
      <c r="O23" s="80">
        <f>O8+O22-N22+O30</f>
        <v/>
      </c>
      <c r="P23" s="80">
        <f>P8+P22-O22+P30</f>
        <v/>
      </c>
      <c r="Q23" s="80">
        <f>Q8+Q22-P22+Q30</f>
        <v/>
      </c>
      <c r="R23" s="80">
        <f>R8+R22-Q22+R30</f>
        <v/>
      </c>
      <c r="S23" s="80">
        <f>S8+S22-R22+S30</f>
        <v/>
      </c>
      <c r="T23" s="80">
        <f>T8+T22-S22+T30</f>
        <v/>
      </c>
      <c r="U23" s="80">
        <f>U8+U22-T22+U30</f>
        <v/>
      </c>
      <c r="V23" s="80">
        <f>V8+V22-U22+V30</f>
        <v/>
      </c>
      <c r="W23" s="80">
        <f>W8+W22-V22+W30</f>
        <v/>
      </c>
      <c r="X23" s="80">
        <f>X8+X22-W22+X30</f>
        <v/>
      </c>
      <c r="Y23" s="80">
        <f>Y8+Y22-X22+Y30</f>
        <v/>
      </c>
      <c r="Z23" s="80">
        <f>Z8+Z22-Y22+Z30</f>
        <v/>
      </c>
      <c r="AA23" s="80">
        <f>AA8+AA22-Z22+AA30</f>
        <v/>
      </c>
      <c r="AB23" s="80">
        <f>AB8+AB22-AA22+AB30</f>
        <v/>
      </c>
      <c r="AC23" s="80">
        <f>AC8+AC22-AB22+AC30</f>
        <v/>
      </c>
      <c r="AD23" s="80">
        <f>AD8+AD22-AC22+AD30</f>
        <v/>
      </c>
      <c r="AE23" s="80">
        <f>AE8+AE22-AD22+AE30</f>
        <v/>
      </c>
      <c r="AF23" s="80">
        <f>AF8+AF22-AE22+AF30</f>
        <v/>
      </c>
      <c r="AG23" s="80">
        <f>AG8+AG22-AF22+AG30</f>
        <v/>
      </c>
      <c r="AH23" s="80">
        <f>AH8+AH22-AG22+AH30</f>
        <v/>
      </c>
      <c r="AI23" s="80">
        <f>AI8+AI22-AH22+AI30</f>
        <v/>
      </c>
      <c r="AJ23" s="80">
        <f>AJ8+AJ22-AI22+AJ30</f>
        <v/>
      </c>
      <c r="AK23" s="80">
        <f>AK8+AK22-AJ22+AK30</f>
        <v/>
      </c>
      <c r="AL23" s="80">
        <f>AL8+AL22-AK22+AL30</f>
        <v/>
      </c>
      <c r="AM23" s="80">
        <f>AM8+AM22-AL22+AM30</f>
        <v/>
      </c>
      <c r="AN23" s="80">
        <f>AN8+AN22-AM22+AN30</f>
        <v/>
      </c>
      <c r="AO23" s="80">
        <f>AO8+AO22-AN22+AO30</f>
        <v/>
      </c>
      <c r="AP23" s="80">
        <f>AP8+AP22-AO22+AP30</f>
        <v/>
      </c>
      <c r="AQ23" s="80">
        <f>AQ8+AQ22-AP22+AQ30</f>
        <v/>
      </c>
      <c r="AR23" s="80">
        <f>AR8+AR22-AQ22+AR30</f>
        <v/>
      </c>
      <c r="AS23" s="80">
        <f>AS8+AS22-AR22+AS30</f>
        <v/>
      </c>
      <c r="AT23" s="80">
        <f>AT8+AT22-AS22+AT30</f>
        <v/>
      </c>
      <c r="AU23" s="80">
        <f>AU8+AU22-AT22+AU30</f>
        <v/>
      </c>
      <c r="AV23" s="80">
        <f>AV8+AV22-AU22+AV30</f>
        <v/>
      </c>
      <c r="AW23" s="80">
        <f>AW8+AW22-AV22+AW30</f>
        <v/>
      </c>
      <c r="AX23" s="80">
        <f>AX8+AX22-AW22+AX30</f>
        <v/>
      </c>
      <c r="AY23" s="80">
        <f>AY8+AY22-AX22+AY30</f>
        <v/>
      </c>
      <c r="AZ23" s="80">
        <f>AZ8+AZ22-AY22+AZ30</f>
        <v/>
      </c>
      <c r="BA23" s="80">
        <f>BA8+BA22-AZ22+BA30</f>
        <v/>
      </c>
      <c r="BB23" s="80">
        <f>BB8+BB22-BA22+BB30</f>
        <v/>
      </c>
      <c r="BC23" s="80">
        <f>BC8+BC22-BB22+BC30</f>
        <v/>
      </c>
      <c r="BD23" s="80">
        <f>BD8+BD22-BC22+BD30</f>
        <v/>
      </c>
      <c r="BE23" s="80">
        <f>BE8+BE22-BD22+BE30</f>
        <v/>
      </c>
      <c r="BF23" s="80">
        <f>BF8+BF22-BE22+BF30</f>
        <v/>
      </c>
      <c r="BG23" s="80">
        <f>BG8+BG22-BF22+BG30</f>
        <v/>
      </c>
      <c r="BH23" s="80">
        <f>BH8+BH22-BG22+BH30</f>
        <v/>
      </c>
      <c r="BI23" s="80">
        <f>BI8+BI22-BH22+BI30</f>
        <v/>
      </c>
      <c r="BJ23" s="80">
        <f>BJ8+BJ22-BI22+BJ30</f>
        <v/>
      </c>
      <c r="BK23" s="80">
        <f>BK8+BK22-BJ22+BK30</f>
        <v/>
      </c>
      <c r="BL23" s="80">
        <f>BL8+BL22-BK22+BL30</f>
        <v/>
      </c>
    </row>
    <row r="24">
      <c r="A24" s="98" t="inlineStr">
        <is>
          <t>Supplier payables (closing)</t>
        </is>
      </c>
      <c r="B24" s="65" t="inlineStr">
        <is>
          <t>LCY</t>
        </is>
      </c>
      <c r="C24" s="105">
        <f>BL24</f>
        <v/>
      </c>
      <c r="E24" s="80">
        <f>E23*Inputs!$C$43/(365/12)</f>
        <v/>
      </c>
      <c r="F24" s="80">
        <f>F23*Inputs!$C$43/(365/12)</f>
        <v/>
      </c>
      <c r="G24" s="80">
        <f>G23*Inputs!$C$43/(365/12)</f>
        <v/>
      </c>
      <c r="H24" s="80">
        <f>H23*Inputs!$C$43/(365/12)</f>
        <v/>
      </c>
      <c r="I24" s="80">
        <f>I23*Inputs!$C$43/(365/12)</f>
        <v/>
      </c>
      <c r="J24" s="80">
        <f>J23*Inputs!$C$43/(365/12)</f>
        <v/>
      </c>
      <c r="K24" s="80">
        <f>K23*Inputs!$C$43/(365/12)</f>
        <v/>
      </c>
      <c r="L24" s="80">
        <f>L23*Inputs!$C$43/(365/12)</f>
        <v/>
      </c>
      <c r="M24" s="80">
        <f>M23*Inputs!$C$43/(365/12)</f>
        <v/>
      </c>
      <c r="N24" s="80">
        <f>N23*Inputs!$C$43/(365/12)</f>
        <v/>
      </c>
      <c r="O24" s="80">
        <f>O23*Inputs!$C$43/(365/12)</f>
        <v/>
      </c>
      <c r="P24" s="80">
        <f>P23*Inputs!$C$43/(365/12)</f>
        <v/>
      </c>
      <c r="Q24" s="80">
        <f>Q23*Inputs!$C$43/(365/12)</f>
        <v/>
      </c>
      <c r="R24" s="80">
        <f>R23*Inputs!$C$43/(365/12)</f>
        <v/>
      </c>
      <c r="S24" s="80">
        <f>S23*Inputs!$C$43/(365/12)</f>
        <v/>
      </c>
      <c r="T24" s="80">
        <f>T23*Inputs!$C$43/(365/12)</f>
        <v/>
      </c>
      <c r="U24" s="80">
        <f>U23*Inputs!$C$43/(365/12)</f>
        <v/>
      </c>
      <c r="V24" s="80">
        <f>V23*Inputs!$C$43/(365/12)</f>
        <v/>
      </c>
      <c r="W24" s="80">
        <f>W23*Inputs!$C$43/(365/12)</f>
        <v/>
      </c>
      <c r="X24" s="80">
        <f>X23*Inputs!$C$43/(365/12)</f>
        <v/>
      </c>
      <c r="Y24" s="80">
        <f>Y23*Inputs!$C$43/(365/12)</f>
        <v/>
      </c>
      <c r="Z24" s="80">
        <f>Z23*Inputs!$C$43/(365/12)</f>
        <v/>
      </c>
      <c r="AA24" s="80">
        <f>AA23*Inputs!$C$43/(365/12)</f>
        <v/>
      </c>
      <c r="AB24" s="80">
        <f>AB23*Inputs!$C$43/(365/12)</f>
        <v/>
      </c>
      <c r="AC24" s="80">
        <f>AC23*Inputs!$C$43/(365/12)</f>
        <v/>
      </c>
      <c r="AD24" s="80">
        <f>AD23*Inputs!$C$43/(365/12)</f>
        <v/>
      </c>
      <c r="AE24" s="80">
        <f>AE23*Inputs!$C$43/(365/12)</f>
        <v/>
      </c>
      <c r="AF24" s="80">
        <f>AF23*Inputs!$C$43/(365/12)</f>
        <v/>
      </c>
      <c r="AG24" s="80">
        <f>AG23*Inputs!$C$43/(365/12)</f>
        <v/>
      </c>
      <c r="AH24" s="80">
        <f>AH23*Inputs!$C$43/(365/12)</f>
        <v/>
      </c>
      <c r="AI24" s="80">
        <f>AI23*Inputs!$C$43/(365/12)</f>
        <v/>
      </c>
      <c r="AJ24" s="80">
        <f>AJ23*Inputs!$C$43/(365/12)</f>
        <v/>
      </c>
      <c r="AK24" s="80">
        <f>AK23*Inputs!$C$43/(365/12)</f>
        <v/>
      </c>
      <c r="AL24" s="80">
        <f>AL23*Inputs!$C$43/(365/12)</f>
        <v/>
      </c>
      <c r="AM24" s="80">
        <f>AM23*Inputs!$C$43/(365/12)</f>
        <v/>
      </c>
      <c r="AN24" s="80">
        <f>AN23*Inputs!$C$43/(365/12)</f>
        <v/>
      </c>
      <c r="AO24" s="80">
        <f>AO23*Inputs!$C$43/(365/12)</f>
        <v/>
      </c>
      <c r="AP24" s="80">
        <f>AP23*Inputs!$C$43/(365/12)</f>
        <v/>
      </c>
      <c r="AQ24" s="80">
        <f>AQ23*Inputs!$C$43/(365/12)</f>
        <v/>
      </c>
      <c r="AR24" s="80">
        <f>AR23*Inputs!$C$43/(365/12)</f>
        <v/>
      </c>
      <c r="AS24" s="80">
        <f>AS23*Inputs!$C$43/(365/12)</f>
        <v/>
      </c>
      <c r="AT24" s="80">
        <f>AT23*Inputs!$C$43/(365/12)</f>
        <v/>
      </c>
      <c r="AU24" s="80">
        <f>AU23*Inputs!$C$43/(365/12)</f>
        <v/>
      </c>
      <c r="AV24" s="80">
        <f>AV23*Inputs!$C$43/(365/12)</f>
        <v/>
      </c>
      <c r="AW24" s="80">
        <f>AW23*Inputs!$C$43/(365/12)</f>
        <v/>
      </c>
      <c r="AX24" s="80">
        <f>AX23*Inputs!$C$43/(365/12)</f>
        <v/>
      </c>
      <c r="AY24" s="80">
        <f>AY23*Inputs!$C$43/(365/12)</f>
        <v/>
      </c>
      <c r="AZ24" s="80">
        <f>AZ23*Inputs!$C$43/(365/12)</f>
        <v/>
      </c>
      <c r="BA24" s="80">
        <f>BA23*Inputs!$C$43/(365/12)</f>
        <v/>
      </c>
      <c r="BB24" s="80">
        <f>BB23*Inputs!$C$43/(365/12)</f>
        <v/>
      </c>
      <c r="BC24" s="80">
        <f>BC23*Inputs!$C$43/(365/12)</f>
        <v/>
      </c>
      <c r="BD24" s="80">
        <f>BD23*Inputs!$C$43/(365/12)</f>
        <v/>
      </c>
      <c r="BE24" s="80">
        <f>BE23*Inputs!$C$43/(365/12)</f>
        <v/>
      </c>
      <c r="BF24" s="80">
        <f>BF23*Inputs!$C$43/(365/12)</f>
        <v/>
      </c>
      <c r="BG24" s="80">
        <f>BG23*Inputs!$C$43/(365/12)</f>
        <v/>
      </c>
      <c r="BH24" s="80">
        <f>BH23*Inputs!$C$43/(365/12)</f>
        <v/>
      </c>
      <c r="BI24" s="80">
        <f>BI23*Inputs!$C$43/(365/12)</f>
        <v/>
      </c>
      <c r="BJ24" s="80">
        <f>BJ23*Inputs!$C$43/(365/12)</f>
        <v/>
      </c>
      <c r="BK24" s="80">
        <f>BK23*Inputs!$C$43/(365/12)</f>
        <v/>
      </c>
      <c r="BL24" s="80">
        <f>BL23*Inputs!$C$43/(365/12)</f>
        <v/>
      </c>
    </row>
    <row r="25"/>
    <row r="26">
      <c r="A26" s="98" t="inlineStr">
        <is>
          <t>Fixed capex</t>
        </is>
      </c>
      <c r="B26" s="65" t="inlineStr">
        <is>
          <t>LCY</t>
        </is>
      </c>
      <c r="C26" s="105">
        <f>SUM(E26:BL26)</f>
        <v/>
      </c>
      <c r="E26" s="80">
        <f>Inputs!$C$44*Timeline!E$9</f>
        <v/>
      </c>
      <c r="F26" s="80">
        <f>Inputs!$C$44*Timeline!F$9</f>
        <v/>
      </c>
      <c r="G26" s="80">
        <f>Inputs!$C$44*Timeline!G$9</f>
        <v/>
      </c>
      <c r="H26" s="80">
        <f>Inputs!$C$44*Timeline!H$9</f>
        <v/>
      </c>
      <c r="I26" s="80">
        <f>Inputs!$C$44*Timeline!I$9</f>
        <v/>
      </c>
      <c r="J26" s="80">
        <f>Inputs!$C$44*Timeline!J$9</f>
        <v/>
      </c>
      <c r="K26" s="80">
        <f>Inputs!$C$44*Timeline!K$9</f>
        <v/>
      </c>
      <c r="L26" s="80">
        <f>Inputs!$C$44*Timeline!L$9</f>
        <v/>
      </c>
      <c r="M26" s="80">
        <f>Inputs!$C$44*Timeline!M$9</f>
        <v/>
      </c>
      <c r="N26" s="80">
        <f>Inputs!$C$44*Timeline!N$9</f>
        <v/>
      </c>
      <c r="O26" s="80">
        <f>Inputs!$C$44*Timeline!O$9</f>
        <v/>
      </c>
      <c r="P26" s="80">
        <f>Inputs!$C$44*Timeline!P$9</f>
        <v/>
      </c>
      <c r="Q26" s="80">
        <f>Inputs!$C$44*Timeline!Q$9</f>
        <v/>
      </c>
      <c r="R26" s="80">
        <f>Inputs!$C$44*Timeline!R$9</f>
        <v/>
      </c>
      <c r="S26" s="80">
        <f>Inputs!$C$44*Timeline!S$9</f>
        <v/>
      </c>
      <c r="T26" s="80">
        <f>Inputs!$C$44*Timeline!T$9</f>
        <v/>
      </c>
      <c r="U26" s="80">
        <f>Inputs!$C$44*Timeline!U$9</f>
        <v/>
      </c>
      <c r="V26" s="80">
        <f>Inputs!$C$44*Timeline!V$9</f>
        <v/>
      </c>
      <c r="W26" s="80">
        <f>Inputs!$C$44*Timeline!W$9</f>
        <v/>
      </c>
      <c r="X26" s="80">
        <f>Inputs!$C$44*Timeline!X$9</f>
        <v/>
      </c>
      <c r="Y26" s="80">
        <f>Inputs!$C$44*Timeline!Y$9</f>
        <v/>
      </c>
      <c r="Z26" s="80">
        <f>Inputs!$C$44*Timeline!Z$9</f>
        <v/>
      </c>
      <c r="AA26" s="80">
        <f>Inputs!$C$44*Timeline!AA$9</f>
        <v/>
      </c>
      <c r="AB26" s="80">
        <f>Inputs!$C$44*Timeline!AB$9</f>
        <v/>
      </c>
      <c r="AC26" s="80">
        <f>Inputs!$C$44*Timeline!AC$9</f>
        <v/>
      </c>
      <c r="AD26" s="80">
        <f>Inputs!$C$44*Timeline!AD$9</f>
        <v/>
      </c>
      <c r="AE26" s="80">
        <f>Inputs!$C$44*Timeline!AE$9</f>
        <v/>
      </c>
      <c r="AF26" s="80">
        <f>Inputs!$C$44*Timeline!AF$9</f>
        <v/>
      </c>
      <c r="AG26" s="80">
        <f>Inputs!$C$44*Timeline!AG$9</f>
        <v/>
      </c>
      <c r="AH26" s="80">
        <f>Inputs!$C$44*Timeline!AH$9</f>
        <v/>
      </c>
      <c r="AI26" s="80">
        <f>Inputs!$C$44*Timeline!AI$9</f>
        <v/>
      </c>
      <c r="AJ26" s="80">
        <f>Inputs!$C$44*Timeline!AJ$9</f>
        <v/>
      </c>
      <c r="AK26" s="80">
        <f>Inputs!$C$44*Timeline!AK$9</f>
        <v/>
      </c>
      <c r="AL26" s="80">
        <f>Inputs!$C$44*Timeline!AL$9</f>
        <v/>
      </c>
      <c r="AM26" s="80">
        <f>Inputs!$C$44*Timeline!AM$9</f>
        <v/>
      </c>
      <c r="AN26" s="80">
        <f>Inputs!$C$44*Timeline!AN$9</f>
        <v/>
      </c>
      <c r="AO26" s="80">
        <f>Inputs!$C$44*Timeline!AO$9</f>
        <v/>
      </c>
      <c r="AP26" s="80">
        <f>Inputs!$C$44*Timeline!AP$9</f>
        <v/>
      </c>
      <c r="AQ26" s="80">
        <f>Inputs!$C$44*Timeline!AQ$9</f>
        <v/>
      </c>
      <c r="AR26" s="80">
        <f>Inputs!$C$44*Timeline!AR$9</f>
        <v/>
      </c>
      <c r="AS26" s="80">
        <f>Inputs!$C$44*Timeline!AS$9</f>
        <v/>
      </c>
      <c r="AT26" s="80">
        <f>Inputs!$C$44*Timeline!AT$9</f>
        <v/>
      </c>
      <c r="AU26" s="80">
        <f>Inputs!$C$44*Timeline!AU$9</f>
        <v/>
      </c>
      <c r="AV26" s="80">
        <f>Inputs!$C$44*Timeline!AV$9</f>
        <v/>
      </c>
      <c r="AW26" s="80">
        <f>Inputs!$C$44*Timeline!AW$9</f>
        <v/>
      </c>
      <c r="AX26" s="80">
        <f>Inputs!$C$44*Timeline!AX$9</f>
        <v/>
      </c>
      <c r="AY26" s="80">
        <f>Inputs!$C$44*Timeline!AY$9</f>
        <v/>
      </c>
      <c r="AZ26" s="80">
        <f>Inputs!$C$44*Timeline!AZ$9</f>
        <v/>
      </c>
      <c r="BA26" s="80">
        <f>Inputs!$C$44*Timeline!BA$9</f>
        <v/>
      </c>
      <c r="BB26" s="80">
        <f>Inputs!$C$44*Timeline!BB$9</f>
        <v/>
      </c>
      <c r="BC26" s="80">
        <f>Inputs!$C$44*Timeline!BC$9</f>
        <v/>
      </c>
      <c r="BD26" s="80">
        <f>Inputs!$C$44*Timeline!BD$9</f>
        <v/>
      </c>
      <c r="BE26" s="80">
        <f>Inputs!$C$44*Timeline!BE$9</f>
        <v/>
      </c>
      <c r="BF26" s="80">
        <f>Inputs!$C$44*Timeline!BF$9</f>
        <v/>
      </c>
      <c r="BG26" s="80">
        <f>Inputs!$C$44*Timeline!BG$9</f>
        <v/>
      </c>
      <c r="BH26" s="80">
        <f>Inputs!$C$44*Timeline!BH$9</f>
        <v/>
      </c>
      <c r="BI26" s="80">
        <f>Inputs!$C$44*Timeline!BI$9</f>
        <v/>
      </c>
      <c r="BJ26" s="80">
        <f>Inputs!$C$44*Timeline!BJ$9</f>
        <v/>
      </c>
      <c r="BK26" s="80">
        <f>Inputs!$C$44*Timeline!BK$9</f>
        <v/>
      </c>
      <c r="BL26" s="80">
        <f>Inputs!$C$44*Timeline!BL$9</f>
        <v/>
      </c>
    </row>
    <row r="27">
      <c r="A27" s="98" t="inlineStr">
        <is>
          <t>Depreciation (straight-line by vintage)</t>
        </is>
      </c>
      <c r="B27" s="65" t="inlineStr">
        <is>
          <t>LCY</t>
        </is>
      </c>
      <c r="C27" s="105">
        <f>SUM(E27:BL27)</f>
        <v/>
      </c>
      <c r="E27" s="80">
        <f>SUMIFS($E26:E26,$E$4:E$4,"&gt;"&amp;(E$4-Inputs!$C$45))/Inputs!$C$45</f>
        <v/>
      </c>
      <c r="F27" s="80">
        <f>SUMIFS($E26:F26,$E$4:F$4,"&gt;"&amp;(F$4-Inputs!$C$45))/Inputs!$C$45</f>
        <v/>
      </c>
      <c r="G27" s="80">
        <f>SUMIFS($E26:G26,$E$4:G$4,"&gt;"&amp;(G$4-Inputs!$C$45))/Inputs!$C$45</f>
        <v/>
      </c>
      <c r="H27" s="80">
        <f>SUMIFS($E26:H26,$E$4:H$4,"&gt;"&amp;(H$4-Inputs!$C$45))/Inputs!$C$45</f>
        <v/>
      </c>
      <c r="I27" s="80">
        <f>SUMIFS($E26:I26,$E$4:I$4,"&gt;"&amp;(I$4-Inputs!$C$45))/Inputs!$C$45</f>
        <v/>
      </c>
      <c r="J27" s="80">
        <f>SUMIFS($E26:J26,$E$4:J$4,"&gt;"&amp;(J$4-Inputs!$C$45))/Inputs!$C$45</f>
        <v/>
      </c>
      <c r="K27" s="80">
        <f>SUMIFS($E26:K26,$E$4:K$4,"&gt;"&amp;(K$4-Inputs!$C$45))/Inputs!$C$45</f>
        <v/>
      </c>
      <c r="L27" s="80">
        <f>SUMIFS($E26:L26,$E$4:L$4,"&gt;"&amp;(L$4-Inputs!$C$45))/Inputs!$C$45</f>
        <v/>
      </c>
      <c r="M27" s="80">
        <f>SUMIFS($E26:M26,$E$4:M$4,"&gt;"&amp;(M$4-Inputs!$C$45))/Inputs!$C$45</f>
        <v/>
      </c>
      <c r="N27" s="80">
        <f>SUMIFS($E26:N26,$E$4:N$4,"&gt;"&amp;(N$4-Inputs!$C$45))/Inputs!$C$45</f>
        <v/>
      </c>
      <c r="O27" s="80">
        <f>SUMIFS($E26:O26,$E$4:O$4,"&gt;"&amp;(O$4-Inputs!$C$45))/Inputs!$C$45</f>
        <v/>
      </c>
      <c r="P27" s="80">
        <f>SUMIFS($E26:P26,$E$4:P$4,"&gt;"&amp;(P$4-Inputs!$C$45))/Inputs!$C$45</f>
        <v/>
      </c>
      <c r="Q27" s="80">
        <f>SUMIFS($E26:Q26,$E$4:Q$4,"&gt;"&amp;(Q$4-Inputs!$C$45))/Inputs!$C$45</f>
        <v/>
      </c>
      <c r="R27" s="80">
        <f>SUMIFS($E26:R26,$E$4:R$4,"&gt;"&amp;(R$4-Inputs!$C$45))/Inputs!$C$45</f>
        <v/>
      </c>
      <c r="S27" s="80">
        <f>SUMIFS($E26:S26,$E$4:S$4,"&gt;"&amp;(S$4-Inputs!$C$45))/Inputs!$C$45</f>
        <v/>
      </c>
      <c r="T27" s="80">
        <f>SUMIFS($E26:T26,$E$4:T$4,"&gt;"&amp;(T$4-Inputs!$C$45))/Inputs!$C$45</f>
        <v/>
      </c>
      <c r="U27" s="80">
        <f>SUMIFS($E26:U26,$E$4:U$4,"&gt;"&amp;(U$4-Inputs!$C$45))/Inputs!$C$45</f>
        <v/>
      </c>
      <c r="V27" s="80">
        <f>SUMIFS($E26:V26,$E$4:V$4,"&gt;"&amp;(V$4-Inputs!$C$45))/Inputs!$C$45</f>
        <v/>
      </c>
      <c r="W27" s="80">
        <f>SUMIFS($E26:W26,$E$4:W$4,"&gt;"&amp;(W$4-Inputs!$C$45))/Inputs!$C$45</f>
        <v/>
      </c>
      <c r="X27" s="80">
        <f>SUMIFS($E26:X26,$E$4:X$4,"&gt;"&amp;(X$4-Inputs!$C$45))/Inputs!$C$45</f>
        <v/>
      </c>
      <c r="Y27" s="80">
        <f>SUMIFS($E26:Y26,$E$4:Y$4,"&gt;"&amp;(Y$4-Inputs!$C$45))/Inputs!$C$45</f>
        <v/>
      </c>
      <c r="Z27" s="80">
        <f>SUMIFS($E26:Z26,$E$4:Z$4,"&gt;"&amp;(Z$4-Inputs!$C$45))/Inputs!$C$45</f>
        <v/>
      </c>
      <c r="AA27" s="80">
        <f>SUMIFS($E26:AA26,$E$4:AA$4,"&gt;"&amp;(AA$4-Inputs!$C$45))/Inputs!$C$45</f>
        <v/>
      </c>
      <c r="AB27" s="80">
        <f>SUMIFS($E26:AB26,$E$4:AB$4,"&gt;"&amp;(AB$4-Inputs!$C$45))/Inputs!$C$45</f>
        <v/>
      </c>
      <c r="AC27" s="80">
        <f>SUMIFS($E26:AC26,$E$4:AC$4,"&gt;"&amp;(AC$4-Inputs!$C$45))/Inputs!$C$45</f>
        <v/>
      </c>
      <c r="AD27" s="80">
        <f>SUMIFS($E26:AD26,$E$4:AD$4,"&gt;"&amp;(AD$4-Inputs!$C$45))/Inputs!$C$45</f>
        <v/>
      </c>
      <c r="AE27" s="80">
        <f>SUMIFS($E26:AE26,$E$4:AE$4,"&gt;"&amp;(AE$4-Inputs!$C$45))/Inputs!$C$45</f>
        <v/>
      </c>
      <c r="AF27" s="80">
        <f>SUMIFS($E26:AF26,$E$4:AF$4,"&gt;"&amp;(AF$4-Inputs!$C$45))/Inputs!$C$45</f>
        <v/>
      </c>
      <c r="AG27" s="80">
        <f>SUMIFS($E26:AG26,$E$4:AG$4,"&gt;"&amp;(AG$4-Inputs!$C$45))/Inputs!$C$45</f>
        <v/>
      </c>
      <c r="AH27" s="80">
        <f>SUMIFS($E26:AH26,$E$4:AH$4,"&gt;"&amp;(AH$4-Inputs!$C$45))/Inputs!$C$45</f>
        <v/>
      </c>
      <c r="AI27" s="80">
        <f>SUMIFS($E26:AI26,$E$4:AI$4,"&gt;"&amp;(AI$4-Inputs!$C$45))/Inputs!$C$45</f>
        <v/>
      </c>
      <c r="AJ27" s="80">
        <f>SUMIFS($E26:AJ26,$E$4:AJ$4,"&gt;"&amp;(AJ$4-Inputs!$C$45))/Inputs!$C$45</f>
        <v/>
      </c>
      <c r="AK27" s="80">
        <f>SUMIFS($E26:AK26,$E$4:AK$4,"&gt;"&amp;(AK$4-Inputs!$C$45))/Inputs!$C$45</f>
        <v/>
      </c>
      <c r="AL27" s="80">
        <f>SUMIFS($E26:AL26,$E$4:AL$4,"&gt;"&amp;(AL$4-Inputs!$C$45))/Inputs!$C$45</f>
        <v/>
      </c>
      <c r="AM27" s="80">
        <f>SUMIFS($E26:AM26,$E$4:AM$4,"&gt;"&amp;(AM$4-Inputs!$C$45))/Inputs!$C$45</f>
        <v/>
      </c>
      <c r="AN27" s="80">
        <f>SUMIFS($E26:AN26,$E$4:AN$4,"&gt;"&amp;(AN$4-Inputs!$C$45))/Inputs!$C$45</f>
        <v/>
      </c>
      <c r="AO27" s="80">
        <f>SUMIFS($E26:AO26,$E$4:AO$4,"&gt;"&amp;(AO$4-Inputs!$C$45))/Inputs!$C$45</f>
        <v/>
      </c>
      <c r="AP27" s="80">
        <f>SUMIFS($E26:AP26,$E$4:AP$4,"&gt;"&amp;(AP$4-Inputs!$C$45))/Inputs!$C$45</f>
        <v/>
      </c>
      <c r="AQ27" s="80">
        <f>SUMIFS($E26:AQ26,$E$4:AQ$4,"&gt;"&amp;(AQ$4-Inputs!$C$45))/Inputs!$C$45</f>
        <v/>
      </c>
      <c r="AR27" s="80">
        <f>SUMIFS($E26:AR26,$E$4:AR$4,"&gt;"&amp;(AR$4-Inputs!$C$45))/Inputs!$C$45</f>
        <v/>
      </c>
      <c r="AS27" s="80">
        <f>SUMIFS($E26:AS26,$E$4:AS$4,"&gt;"&amp;(AS$4-Inputs!$C$45))/Inputs!$C$45</f>
        <v/>
      </c>
      <c r="AT27" s="80">
        <f>SUMIFS($E26:AT26,$E$4:AT$4,"&gt;"&amp;(AT$4-Inputs!$C$45))/Inputs!$C$45</f>
        <v/>
      </c>
      <c r="AU27" s="80">
        <f>SUMIFS($E26:AU26,$E$4:AU$4,"&gt;"&amp;(AU$4-Inputs!$C$45))/Inputs!$C$45</f>
        <v/>
      </c>
      <c r="AV27" s="80">
        <f>SUMIFS($E26:AV26,$E$4:AV$4,"&gt;"&amp;(AV$4-Inputs!$C$45))/Inputs!$C$45</f>
        <v/>
      </c>
      <c r="AW27" s="80">
        <f>SUMIFS($E26:AW26,$E$4:AW$4,"&gt;"&amp;(AW$4-Inputs!$C$45))/Inputs!$C$45</f>
        <v/>
      </c>
      <c r="AX27" s="80">
        <f>SUMIFS($E26:AX26,$E$4:AX$4,"&gt;"&amp;(AX$4-Inputs!$C$45))/Inputs!$C$45</f>
        <v/>
      </c>
      <c r="AY27" s="80">
        <f>SUMIFS($E26:AY26,$E$4:AY$4,"&gt;"&amp;(AY$4-Inputs!$C$45))/Inputs!$C$45</f>
        <v/>
      </c>
      <c r="AZ27" s="80">
        <f>SUMIFS($E26:AZ26,$E$4:AZ$4,"&gt;"&amp;(AZ$4-Inputs!$C$45))/Inputs!$C$45</f>
        <v/>
      </c>
      <c r="BA27" s="80">
        <f>SUMIFS($E26:BA26,$E$4:BA$4,"&gt;"&amp;(BA$4-Inputs!$C$45))/Inputs!$C$45</f>
        <v/>
      </c>
      <c r="BB27" s="80">
        <f>SUMIFS($E26:BB26,$E$4:BB$4,"&gt;"&amp;(BB$4-Inputs!$C$45))/Inputs!$C$45</f>
        <v/>
      </c>
      <c r="BC27" s="80">
        <f>SUMIFS($E26:BC26,$E$4:BC$4,"&gt;"&amp;(BC$4-Inputs!$C$45))/Inputs!$C$45</f>
        <v/>
      </c>
      <c r="BD27" s="80">
        <f>SUMIFS($E26:BD26,$E$4:BD$4,"&gt;"&amp;(BD$4-Inputs!$C$45))/Inputs!$C$45</f>
        <v/>
      </c>
      <c r="BE27" s="80">
        <f>SUMIFS($E26:BE26,$E$4:BE$4,"&gt;"&amp;(BE$4-Inputs!$C$45))/Inputs!$C$45</f>
        <v/>
      </c>
      <c r="BF27" s="80">
        <f>SUMIFS($E26:BF26,$E$4:BF$4,"&gt;"&amp;(BF$4-Inputs!$C$45))/Inputs!$C$45</f>
        <v/>
      </c>
      <c r="BG27" s="80">
        <f>SUMIFS($E26:BG26,$E$4:BG$4,"&gt;"&amp;(BG$4-Inputs!$C$45))/Inputs!$C$45</f>
        <v/>
      </c>
      <c r="BH27" s="80">
        <f>SUMIFS($E26:BH26,$E$4:BH$4,"&gt;"&amp;(BH$4-Inputs!$C$45))/Inputs!$C$45</f>
        <v/>
      </c>
      <c r="BI27" s="80">
        <f>SUMIFS($E26:BI26,$E$4:BI$4,"&gt;"&amp;(BI$4-Inputs!$C$45))/Inputs!$C$45</f>
        <v/>
      </c>
      <c r="BJ27" s="80">
        <f>SUMIFS($E26:BJ26,$E$4:BJ$4,"&gt;"&amp;(BJ$4-Inputs!$C$45))/Inputs!$C$45</f>
        <v/>
      </c>
      <c r="BK27" s="80">
        <f>SUMIFS($E26:BK26,$E$4:BK$4,"&gt;"&amp;(BK$4-Inputs!$C$45))/Inputs!$C$45</f>
        <v/>
      </c>
      <c r="BL27" s="80">
        <f>SUMIFS($E26:BL26,$E$4:BL$4,"&gt;"&amp;(BL$4-Inputs!$C$45))/Inputs!$C$45</f>
        <v/>
      </c>
    </row>
    <row r="28">
      <c r="A28" s="98" t="inlineStr">
        <is>
          <t>Net fixed assets (closing)</t>
        </is>
      </c>
      <c r="B28" s="65" t="inlineStr">
        <is>
          <t>LCY</t>
        </is>
      </c>
      <c r="C28" s="105">
        <f>BL28</f>
        <v/>
      </c>
      <c r="E28" s="80">
        <f>D28+E26-E27</f>
        <v/>
      </c>
      <c r="F28" s="80">
        <f>E28+F26-F27</f>
        <v/>
      </c>
      <c r="G28" s="80">
        <f>F28+G26-G27</f>
        <v/>
      </c>
      <c r="H28" s="80">
        <f>G28+H26-H27</f>
        <v/>
      </c>
      <c r="I28" s="80">
        <f>H28+I26-I27</f>
        <v/>
      </c>
      <c r="J28" s="80">
        <f>I28+J26-J27</f>
        <v/>
      </c>
      <c r="K28" s="80">
        <f>J28+K26-K27</f>
        <v/>
      </c>
      <c r="L28" s="80">
        <f>K28+L26-L27</f>
        <v/>
      </c>
      <c r="M28" s="80">
        <f>L28+M26-M27</f>
        <v/>
      </c>
      <c r="N28" s="80">
        <f>M28+N26-N27</f>
        <v/>
      </c>
      <c r="O28" s="80">
        <f>N28+O26-O27</f>
        <v/>
      </c>
      <c r="P28" s="80">
        <f>O28+P26-P27</f>
        <v/>
      </c>
      <c r="Q28" s="80">
        <f>P28+Q26-Q27</f>
        <v/>
      </c>
      <c r="R28" s="80">
        <f>Q28+R26-R27</f>
        <v/>
      </c>
      <c r="S28" s="80">
        <f>R28+S26-S27</f>
        <v/>
      </c>
      <c r="T28" s="80">
        <f>S28+T26-T27</f>
        <v/>
      </c>
      <c r="U28" s="80">
        <f>T28+U26-U27</f>
        <v/>
      </c>
      <c r="V28" s="80">
        <f>U28+V26-V27</f>
        <v/>
      </c>
      <c r="W28" s="80">
        <f>V28+W26-W27</f>
        <v/>
      </c>
      <c r="X28" s="80">
        <f>W28+X26-X27</f>
        <v/>
      </c>
      <c r="Y28" s="80">
        <f>X28+Y26-Y27</f>
        <v/>
      </c>
      <c r="Z28" s="80">
        <f>Y28+Z26-Z27</f>
        <v/>
      </c>
      <c r="AA28" s="80">
        <f>Z28+AA26-AA27</f>
        <v/>
      </c>
      <c r="AB28" s="80">
        <f>AA28+AB26-AB27</f>
        <v/>
      </c>
      <c r="AC28" s="80">
        <f>AB28+AC26-AC27</f>
        <v/>
      </c>
      <c r="AD28" s="80">
        <f>AC28+AD26-AD27</f>
        <v/>
      </c>
      <c r="AE28" s="80">
        <f>AD28+AE26-AE27</f>
        <v/>
      </c>
      <c r="AF28" s="80">
        <f>AE28+AF26-AF27</f>
        <v/>
      </c>
      <c r="AG28" s="80">
        <f>AF28+AG26-AG27</f>
        <v/>
      </c>
      <c r="AH28" s="80">
        <f>AG28+AH26-AH27</f>
        <v/>
      </c>
      <c r="AI28" s="80">
        <f>AH28+AI26-AI27</f>
        <v/>
      </c>
      <c r="AJ28" s="80">
        <f>AI28+AJ26-AJ27</f>
        <v/>
      </c>
      <c r="AK28" s="80">
        <f>AJ28+AK26-AK27</f>
        <v/>
      </c>
      <c r="AL28" s="80">
        <f>AK28+AL26-AL27</f>
        <v/>
      </c>
      <c r="AM28" s="80">
        <f>AL28+AM26-AM27</f>
        <v/>
      </c>
      <c r="AN28" s="80">
        <f>AM28+AN26-AN27</f>
        <v/>
      </c>
      <c r="AO28" s="80">
        <f>AN28+AO26-AO27</f>
        <v/>
      </c>
      <c r="AP28" s="80">
        <f>AO28+AP26-AP27</f>
        <v/>
      </c>
      <c r="AQ28" s="80">
        <f>AP28+AQ26-AQ27</f>
        <v/>
      </c>
      <c r="AR28" s="80">
        <f>AQ28+AR26-AR27</f>
        <v/>
      </c>
      <c r="AS28" s="80">
        <f>AR28+AS26-AS27</f>
        <v/>
      </c>
      <c r="AT28" s="80">
        <f>AS28+AT26-AT27</f>
        <v/>
      </c>
      <c r="AU28" s="80">
        <f>AT28+AU26-AU27</f>
        <v/>
      </c>
      <c r="AV28" s="80">
        <f>AU28+AV26-AV27</f>
        <v/>
      </c>
      <c r="AW28" s="80">
        <f>AV28+AW26-AW27</f>
        <v/>
      </c>
      <c r="AX28" s="80">
        <f>AW28+AX26-AX27</f>
        <v/>
      </c>
      <c r="AY28" s="80">
        <f>AX28+AY26-AY27</f>
        <v/>
      </c>
      <c r="AZ28" s="80">
        <f>AY28+AZ26-AZ27</f>
        <v/>
      </c>
      <c r="BA28" s="80">
        <f>AZ28+BA26-BA27</f>
        <v/>
      </c>
      <c r="BB28" s="80">
        <f>BA28+BB26-BB27</f>
        <v/>
      </c>
      <c r="BC28" s="80">
        <f>BB28+BC26-BC27</f>
        <v/>
      </c>
      <c r="BD28" s="80">
        <f>BC28+BD26-BD27</f>
        <v/>
      </c>
      <c r="BE28" s="80">
        <f>BD28+BE26-BE27</f>
        <v/>
      </c>
      <c r="BF28" s="80">
        <f>BE28+BF26-BF27</f>
        <v/>
      </c>
      <c r="BG28" s="80">
        <f>BF28+BG26-BG27</f>
        <v/>
      </c>
      <c r="BH28" s="80">
        <f>BG28+BH26-BH27</f>
        <v/>
      </c>
      <c r="BI28" s="80">
        <f>BH28+BI26-BI27</f>
        <v/>
      </c>
      <c r="BJ28" s="80">
        <f>BI28+BJ26-BJ27</f>
        <v/>
      </c>
      <c r="BK28" s="80">
        <f>BJ28+BK26-BK27</f>
        <v/>
      </c>
      <c r="BL28" s="80">
        <f>BK28+BL26-BL27</f>
        <v/>
      </c>
    </row>
    <row r="29"/>
    <row r="30">
      <c r="A30" s="98" t="inlineStr">
        <is>
          <t>Inventory write-down (stock left in a month with no hardware sales)</t>
        </is>
      </c>
      <c r="B30" s="65" t="inlineStr">
        <is>
          <t>LCY</t>
        </is>
      </c>
      <c r="C30" s="105">
        <f>SUM(E30:BL30)</f>
        <v/>
      </c>
      <c r="E30" s="80">
        <f>IF(E8&lt;=0,D22,0)</f>
        <v/>
      </c>
      <c r="F30" s="80">
        <f>IF(F8&lt;=0,E22,0)</f>
        <v/>
      </c>
      <c r="G30" s="80">
        <f>IF(G8&lt;=0,F22,0)</f>
        <v/>
      </c>
      <c r="H30" s="80">
        <f>IF(H8&lt;=0,G22,0)</f>
        <v/>
      </c>
      <c r="I30" s="80">
        <f>IF(I8&lt;=0,H22,0)</f>
        <v/>
      </c>
      <c r="J30" s="80">
        <f>IF(J8&lt;=0,I22,0)</f>
        <v/>
      </c>
      <c r="K30" s="80">
        <f>IF(K8&lt;=0,J22,0)</f>
        <v/>
      </c>
      <c r="L30" s="80">
        <f>IF(L8&lt;=0,K22,0)</f>
        <v/>
      </c>
      <c r="M30" s="80">
        <f>IF(M8&lt;=0,L22,0)</f>
        <v/>
      </c>
      <c r="N30" s="80">
        <f>IF(N8&lt;=0,M22,0)</f>
        <v/>
      </c>
      <c r="O30" s="80">
        <f>IF(O8&lt;=0,N22,0)</f>
        <v/>
      </c>
      <c r="P30" s="80">
        <f>IF(P8&lt;=0,O22,0)</f>
        <v/>
      </c>
      <c r="Q30" s="80">
        <f>IF(Q8&lt;=0,P22,0)</f>
        <v/>
      </c>
      <c r="R30" s="80">
        <f>IF(R8&lt;=0,Q22,0)</f>
        <v/>
      </c>
      <c r="S30" s="80">
        <f>IF(S8&lt;=0,R22,0)</f>
        <v/>
      </c>
      <c r="T30" s="80">
        <f>IF(T8&lt;=0,S22,0)</f>
        <v/>
      </c>
      <c r="U30" s="80">
        <f>IF(U8&lt;=0,T22,0)</f>
        <v/>
      </c>
      <c r="V30" s="80">
        <f>IF(V8&lt;=0,U22,0)</f>
        <v/>
      </c>
      <c r="W30" s="80">
        <f>IF(W8&lt;=0,V22,0)</f>
        <v/>
      </c>
      <c r="X30" s="80">
        <f>IF(X8&lt;=0,W22,0)</f>
        <v/>
      </c>
      <c r="Y30" s="80">
        <f>IF(Y8&lt;=0,X22,0)</f>
        <v/>
      </c>
      <c r="Z30" s="80">
        <f>IF(Z8&lt;=0,Y22,0)</f>
        <v/>
      </c>
      <c r="AA30" s="80">
        <f>IF(AA8&lt;=0,Z22,0)</f>
        <v/>
      </c>
      <c r="AB30" s="80">
        <f>IF(AB8&lt;=0,AA22,0)</f>
        <v/>
      </c>
      <c r="AC30" s="80">
        <f>IF(AC8&lt;=0,AB22,0)</f>
        <v/>
      </c>
      <c r="AD30" s="80">
        <f>IF(AD8&lt;=0,AC22,0)</f>
        <v/>
      </c>
      <c r="AE30" s="80">
        <f>IF(AE8&lt;=0,AD22,0)</f>
        <v/>
      </c>
      <c r="AF30" s="80">
        <f>IF(AF8&lt;=0,AE22,0)</f>
        <v/>
      </c>
      <c r="AG30" s="80">
        <f>IF(AG8&lt;=0,AF22,0)</f>
        <v/>
      </c>
      <c r="AH30" s="80">
        <f>IF(AH8&lt;=0,AG22,0)</f>
        <v/>
      </c>
      <c r="AI30" s="80">
        <f>IF(AI8&lt;=0,AH22,0)</f>
        <v/>
      </c>
      <c r="AJ30" s="80">
        <f>IF(AJ8&lt;=0,AI22,0)</f>
        <v/>
      </c>
      <c r="AK30" s="80">
        <f>IF(AK8&lt;=0,AJ22,0)</f>
        <v/>
      </c>
      <c r="AL30" s="80">
        <f>IF(AL8&lt;=0,AK22,0)</f>
        <v/>
      </c>
      <c r="AM30" s="80">
        <f>IF(AM8&lt;=0,AL22,0)</f>
        <v/>
      </c>
      <c r="AN30" s="80">
        <f>IF(AN8&lt;=0,AM22,0)</f>
        <v/>
      </c>
      <c r="AO30" s="80">
        <f>IF(AO8&lt;=0,AN22,0)</f>
        <v/>
      </c>
      <c r="AP30" s="80">
        <f>IF(AP8&lt;=0,AO22,0)</f>
        <v/>
      </c>
      <c r="AQ30" s="80">
        <f>IF(AQ8&lt;=0,AP22,0)</f>
        <v/>
      </c>
      <c r="AR30" s="80">
        <f>IF(AR8&lt;=0,AQ22,0)</f>
        <v/>
      </c>
      <c r="AS30" s="80">
        <f>IF(AS8&lt;=0,AR22,0)</f>
        <v/>
      </c>
      <c r="AT30" s="80">
        <f>IF(AT8&lt;=0,AS22,0)</f>
        <v/>
      </c>
      <c r="AU30" s="80">
        <f>IF(AU8&lt;=0,AT22,0)</f>
        <v/>
      </c>
      <c r="AV30" s="80">
        <f>IF(AV8&lt;=0,AU22,0)</f>
        <v/>
      </c>
      <c r="AW30" s="80">
        <f>IF(AW8&lt;=0,AV22,0)</f>
        <v/>
      </c>
      <c r="AX30" s="80">
        <f>IF(AX8&lt;=0,AW22,0)</f>
        <v/>
      </c>
      <c r="AY30" s="80">
        <f>IF(AY8&lt;=0,AX22,0)</f>
        <v/>
      </c>
      <c r="AZ30" s="80">
        <f>IF(AZ8&lt;=0,AY22,0)</f>
        <v/>
      </c>
      <c r="BA30" s="80">
        <f>IF(BA8&lt;=0,AZ22,0)</f>
        <v/>
      </c>
      <c r="BB30" s="80">
        <f>IF(BB8&lt;=0,BA22,0)</f>
        <v/>
      </c>
      <c r="BC30" s="80">
        <f>IF(BC8&lt;=0,BB22,0)</f>
        <v/>
      </c>
      <c r="BD30" s="80">
        <f>IF(BD8&lt;=0,BC22,0)</f>
        <v/>
      </c>
      <c r="BE30" s="80">
        <f>IF(BE8&lt;=0,BD22,0)</f>
        <v/>
      </c>
      <c r="BF30" s="80">
        <f>IF(BF8&lt;=0,BE22,0)</f>
        <v/>
      </c>
      <c r="BG30" s="80">
        <f>IF(BG8&lt;=0,BF22,0)</f>
        <v/>
      </c>
      <c r="BH30" s="80">
        <f>IF(BH8&lt;=0,BG22,0)</f>
        <v/>
      </c>
      <c r="BI30" s="80">
        <f>IF(BI8&lt;=0,BH22,0)</f>
        <v/>
      </c>
      <c r="BJ30" s="80">
        <f>IF(BJ8&lt;=0,BI22,0)</f>
        <v/>
      </c>
      <c r="BK30" s="80">
        <f>IF(BK8&lt;=0,BJ22,0)</f>
        <v/>
      </c>
      <c r="BL30" s="80">
        <f>IF(BL8&lt;=0,BK22,0)</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36.xml><?xml version="1.0" encoding="utf-8"?>
<worksheet xmlns="http://schemas.openxmlformats.org/spreadsheetml/2006/main">
  <sheetPr>
    <outlinePr summaryBelow="1" summaryRight="1"/>
    <pageSetUpPr fitToPage="1"/>
  </sheetPr>
  <dimension ref="A1:BL27"/>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Financing</t>
        </is>
      </c>
    </row>
    <row r="2">
      <c r="A2" s="18" t="inlineStr">
        <is>
          <t>[FORECAST]  Equity, USD term loan with FX translation, receivables-backed facility</t>
        </is>
      </c>
    </row>
    <row r="3"/>
    <row r="4">
      <c r="A4" s="94" t="inlineStr">
        <is>
          <t>Month #</t>
        </is>
      </c>
      <c r="B4" s="95" t="n"/>
      <c r="C4" s="95" t="n"/>
      <c r="D4" s="94" t="inlineStr">
        <is>
          <t>Opening</t>
        </is>
      </c>
      <c r="E4" s="96">
        <f>Timeline!E4</f>
        <v/>
      </c>
      <c r="F4" s="96">
        <f>Timeline!F4</f>
        <v/>
      </c>
      <c r="G4" s="96">
        <f>Timeline!G4</f>
        <v/>
      </c>
      <c r="H4" s="96">
        <f>Timeline!H4</f>
        <v/>
      </c>
      <c r="I4" s="96">
        <f>Timeline!I4</f>
        <v/>
      </c>
      <c r="J4" s="96">
        <f>Timeline!J4</f>
        <v/>
      </c>
      <c r="K4" s="96">
        <f>Timeline!K4</f>
        <v/>
      </c>
      <c r="L4" s="96">
        <f>Timeline!L4</f>
        <v/>
      </c>
      <c r="M4" s="96">
        <f>Timeline!M4</f>
        <v/>
      </c>
      <c r="N4" s="96">
        <f>Timeline!N4</f>
        <v/>
      </c>
      <c r="O4" s="96">
        <f>Timeline!O4</f>
        <v/>
      </c>
      <c r="P4" s="96">
        <f>Timeline!P4</f>
        <v/>
      </c>
      <c r="Q4" s="96">
        <f>Timeline!Q4</f>
        <v/>
      </c>
      <c r="R4" s="96">
        <f>Timeline!R4</f>
        <v/>
      </c>
      <c r="S4" s="96">
        <f>Timeline!S4</f>
        <v/>
      </c>
      <c r="T4" s="96">
        <f>Timeline!T4</f>
        <v/>
      </c>
      <c r="U4" s="96">
        <f>Timeline!U4</f>
        <v/>
      </c>
      <c r="V4" s="96">
        <f>Timeline!V4</f>
        <v/>
      </c>
      <c r="W4" s="96">
        <f>Timeline!W4</f>
        <v/>
      </c>
      <c r="X4" s="96">
        <f>Timeline!X4</f>
        <v/>
      </c>
      <c r="Y4" s="96">
        <f>Timeline!Y4</f>
        <v/>
      </c>
      <c r="Z4" s="96">
        <f>Timeline!Z4</f>
        <v/>
      </c>
      <c r="AA4" s="96">
        <f>Timeline!AA4</f>
        <v/>
      </c>
      <c r="AB4" s="96">
        <f>Timeline!AB4</f>
        <v/>
      </c>
      <c r="AC4" s="96">
        <f>Timeline!AC4</f>
        <v/>
      </c>
      <c r="AD4" s="96">
        <f>Timeline!AD4</f>
        <v/>
      </c>
      <c r="AE4" s="96">
        <f>Timeline!AE4</f>
        <v/>
      </c>
      <c r="AF4" s="96">
        <f>Timeline!AF4</f>
        <v/>
      </c>
      <c r="AG4" s="96">
        <f>Timeline!AG4</f>
        <v/>
      </c>
      <c r="AH4" s="96">
        <f>Timeline!AH4</f>
        <v/>
      </c>
      <c r="AI4" s="96">
        <f>Timeline!AI4</f>
        <v/>
      </c>
      <c r="AJ4" s="96">
        <f>Timeline!AJ4</f>
        <v/>
      </c>
      <c r="AK4" s="96">
        <f>Timeline!AK4</f>
        <v/>
      </c>
      <c r="AL4" s="96">
        <f>Timeline!AL4</f>
        <v/>
      </c>
      <c r="AM4" s="96">
        <f>Timeline!AM4</f>
        <v/>
      </c>
      <c r="AN4" s="96">
        <f>Timeline!AN4</f>
        <v/>
      </c>
      <c r="AO4" s="96">
        <f>Timeline!AO4</f>
        <v/>
      </c>
      <c r="AP4" s="96">
        <f>Timeline!AP4</f>
        <v/>
      </c>
      <c r="AQ4" s="96">
        <f>Timeline!AQ4</f>
        <v/>
      </c>
      <c r="AR4" s="96">
        <f>Timeline!AR4</f>
        <v/>
      </c>
      <c r="AS4" s="96">
        <f>Timeline!AS4</f>
        <v/>
      </c>
      <c r="AT4" s="96">
        <f>Timeline!AT4</f>
        <v/>
      </c>
      <c r="AU4" s="96">
        <f>Timeline!AU4</f>
        <v/>
      </c>
      <c r="AV4" s="96">
        <f>Timeline!AV4</f>
        <v/>
      </c>
      <c r="AW4" s="96">
        <f>Timeline!AW4</f>
        <v/>
      </c>
      <c r="AX4" s="96">
        <f>Timeline!AX4</f>
        <v/>
      </c>
      <c r="AY4" s="96">
        <f>Timeline!AY4</f>
        <v/>
      </c>
      <c r="AZ4" s="96">
        <f>Timeline!AZ4</f>
        <v/>
      </c>
      <c r="BA4" s="96">
        <f>Timeline!BA4</f>
        <v/>
      </c>
      <c r="BB4" s="96">
        <f>Timeline!BB4</f>
        <v/>
      </c>
      <c r="BC4" s="96">
        <f>Timeline!BC4</f>
        <v/>
      </c>
      <c r="BD4" s="96">
        <f>Timeline!BD4</f>
        <v/>
      </c>
      <c r="BE4" s="96">
        <f>Timeline!BE4</f>
        <v/>
      </c>
      <c r="BF4" s="96">
        <f>Timeline!BF4</f>
        <v/>
      </c>
      <c r="BG4" s="96">
        <f>Timeline!BG4</f>
        <v/>
      </c>
      <c r="BH4" s="96">
        <f>Timeline!BH4</f>
        <v/>
      </c>
      <c r="BI4" s="96">
        <f>Timeline!BI4</f>
        <v/>
      </c>
      <c r="BJ4" s="96">
        <f>Timeline!BJ4</f>
        <v/>
      </c>
      <c r="BK4" s="96">
        <f>Timeline!BK4</f>
        <v/>
      </c>
      <c r="BL4" s="96">
        <f>Timeline!BL4</f>
        <v/>
      </c>
    </row>
    <row r="5">
      <c r="A5" s="94" t="inlineStr">
        <is>
          <t>Period end</t>
        </is>
      </c>
      <c r="B5" s="95" t="n"/>
      <c r="C5" s="95" t="n"/>
      <c r="D5" s="94" t="n"/>
      <c r="E5" s="97">
        <f>Timeline!E5</f>
        <v/>
      </c>
      <c r="F5" s="97">
        <f>Timeline!F5</f>
        <v/>
      </c>
      <c r="G5" s="97">
        <f>Timeline!G5</f>
        <v/>
      </c>
      <c r="H5" s="97">
        <f>Timeline!H5</f>
        <v/>
      </c>
      <c r="I5" s="97">
        <f>Timeline!I5</f>
        <v/>
      </c>
      <c r="J5" s="97">
        <f>Timeline!J5</f>
        <v/>
      </c>
      <c r="K5" s="97">
        <f>Timeline!K5</f>
        <v/>
      </c>
      <c r="L5" s="97">
        <f>Timeline!L5</f>
        <v/>
      </c>
      <c r="M5" s="97">
        <f>Timeline!M5</f>
        <v/>
      </c>
      <c r="N5" s="97">
        <f>Timeline!N5</f>
        <v/>
      </c>
      <c r="O5" s="97">
        <f>Timeline!O5</f>
        <v/>
      </c>
      <c r="P5" s="97">
        <f>Timeline!P5</f>
        <v/>
      </c>
      <c r="Q5" s="97">
        <f>Timeline!Q5</f>
        <v/>
      </c>
      <c r="R5" s="97">
        <f>Timeline!R5</f>
        <v/>
      </c>
      <c r="S5" s="97">
        <f>Timeline!S5</f>
        <v/>
      </c>
      <c r="T5" s="97">
        <f>Timeline!T5</f>
        <v/>
      </c>
      <c r="U5" s="97">
        <f>Timeline!U5</f>
        <v/>
      </c>
      <c r="V5" s="97">
        <f>Timeline!V5</f>
        <v/>
      </c>
      <c r="W5" s="97">
        <f>Timeline!W5</f>
        <v/>
      </c>
      <c r="X5" s="97">
        <f>Timeline!X5</f>
        <v/>
      </c>
      <c r="Y5" s="97">
        <f>Timeline!Y5</f>
        <v/>
      </c>
      <c r="Z5" s="97">
        <f>Timeline!Z5</f>
        <v/>
      </c>
      <c r="AA5" s="97">
        <f>Timeline!AA5</f>
        <v/>
      </c>
      <c r="AB5" s="97">
        <f>Timeline!AB5</f>
        <v/>
      </c>
      <c r="AC5" s="97">
        <f>Timeline!AC5</f>
        <v/>
      </c>
      <c r="AD5" s="97">
        <f>Timeline!AD5</f>
        <v/>
      </c>
      <c r="AE5" s="97">
        <f>Timeline!AE5</f>
        <v/>
      </c>
      <c r="AF5" s="97">
        <f>Timeline!AF5</f>
        <v/>
      </c>
      <c r="AG5" s="97">
        <f>Timeline!AG5</f>
        <v/>
      </c>
      <c r="AH5" s="97">
        <f>Timeline!AH5</f>
        <v/>
      </c>
      <c r="AI5" s="97">
        <f>Timeline!AI5</f>
        <v/>
      </c>
      <c r="AJ5" s="97">
        <f>Timeline!AJ5</f>
        <v/>
      </c>
      <c r="AK5" s="97">
        <f>Timeline!AK5</f>
        <v/>
      </c>
      <c r="AL5" s="97">
        <f>Timeline!AL5</f>
        <v/>
      </c>
      <c r="AM5" s="97">
        <f>Timeline!AM5</f>
        <v/>
      </c>
      <c r="AN5" s="97">
        <f>Timeline!AN5</f>
        <v/>
      </c>
      <c r="AO5" s="97">
        <f>Timeline!AO5</f>
        <v/>
      </c>
      <c r="AP5" s="97">
        <f>Timeline!AP5</f>
        <v/>
      </c>
      <c r="AQ5" s="97">
        <f>Timeline!AQ5</f>
        <v/>
      </c>
      <c r="AR5" s="97">
        <f>Timeline!AR5</f>
        <v/>
      </c>
      <c r="AS5" s="97">
        <f>Timeline!AS5</f>
        <v/>
      </c>
      <c r="AT5" s="97">
        <f>Timeline!AT5</f>
        <v/>
      </c>
      <c r="AU5" s="97">
        <f>Timeline!AU5</f>
        <v/>
      </c>
      <c r="AV5" s="97">
        <f>Timeline!AV5</f>
        <v/>
      </c>
      <c r="AW5" s="97">
        <f>Timeline!AW5</f>
        <v/>
      </c>
      <c r="AX5" s="97">
        <f>Timeline!AX5</f>
        <v/>
      </c>
      <c r="AY5" s="97">
        <f>Timeline!AY5</f>
        <v/>
      </c>
      <c r="AZ5" s="97">
        <f>Timeline!AZ5</f>
        <v/>
      </c>
      <c r="BA5" s="97">
        <f>Timeline!BA5</f>
        <v/>
      </c>
      <c r="BB5" s="97">
        <f>Timeline!BB5</f>
        <v/>
      </c>
      <c r="BC5" s="97">
        <f>Timeline!BC5</f>
        <v/>
      </c>
      <c r="BD5" s="97">
        <f>Timeline!BD5</f>
        <v/>
      </c>
      <c r="BE5" s="97">
        <f>Timeline!BE5</f>
        <v/>
      </c>
      <c r="BF5" s="97">
        <f>Timeline!BF5</f>
        <v/>
      </c>
      <c r="BG5" s="97">
        <f>Timeline!BG5</f>
        <v/>
      </c>
      <c r="BH5" s="97">
        <f>Timeline!BH5</f>
        <v/>
      </c>
      <c r="BI5" s="97">
        <f>Timeline!BI5</f>
        <v/>
      </c>
      <c r="BJ5" s="97">
        <f>Timeline!BJ5</f>
        <v/>
      </c>
      <c r="BK5" s="97">
        <f>Timeline!BK5</f>
        <v/>
      </c>
      <c r="BL5" s="97">
        <f>Timeline!BL5</f>
        <v/>
      </c>
    </row>
    <row r="6">
      <c r="A6" s="94" t="inlineStr">
        <is>
          <t>Year #</t>
        </is>
      </c>
      <c r="B6" s="95" t="n"/>
      <c r="C6" s="95" t="n"/>
      <c r="D6" s="94" t="n"/>
      <c r="E6" s="96">
        <f>Timeline!E6</f>
        <v/>
      </c>
      <c r="F6" s="96">
        <f>Timeline!F6</f>
        <v/>
      </c>
      <c r="G6" s="96">
        <f>Timeline!G6</f>
        <v/>
      </c>
      <c r="H6" s="96">
        <f>Timeline!H6</f>
        <v/>
      </c>
      <c r="I6" s="96">
        <f>Timeline!I6</f>
        <v/>
      </c>
      <c r="J6" s="96">
        <f>Timeline!J6</f>
        <v/>
      </c>
      <c r="K6" s="96">
        <f>Timeline!K6</f>
        <v/>
      </c>
      <c r="L6" s="96">
        <f>Timeline!L6</f>
        <v/>
      </c>
      <c r="M6" s="96">
        <f>Timeline!M6</f>
        <v/>
      </c>
      <c r="N6" s="96">
        <f>Timeline!N6</f>
        <v/>
      </c>
      <c r="O6" s="96">
        <f>Timeline!O6</f>
        <v/>
      </c>
      <c r="P6" s="96">
        <f>Timeline!P6</f>
        <v/>
      </c>
      <c r="Q6" s="96">
        <f>Timeline!Q6</f>
        <v/>
      </c>
      <c r="R6" s="96">
        <f>Timeline!R6</f>
        <v/>
      </c>
      <c r="S6" s="96">
        <f>Timeline!S6</f>
        <v/>
      </c>
      <c r="T6" s="96">
        <f>Timeline!T6</f>
        <v/>
      </c>
      <c r="U6" s="96">
        <f>Timeline!U6</f>
        <v/>
      </c>
      <c r="V6" s="96">
        <f>Timeline!V6</f>
        <v/>
      </c>
      <c r="W6" s="96">
        <f>Timeline!W6</f>
        <v/>
      </c>
      <c r="X6" s="96">
        <f>Timeline!X6</f>
        <v/>
      </c>
      <c r="Y6" s="96">
        <f>Timeline!Y6</f>
        <v/>
      </c>
      <c r="Z6" s="96">
        <f>Timeline!Z6</f>
        <v/>
      </c>
      <c r="AA6" s="96">
        <f>Timeline!AA6</f>
        <v/>
      </c>
      <c r="AB6" s="96">
        <f>Timeline!AB6</f>
        <v/>
      </c>
      <c r="AC6" s="96">
        <f>Timeline!AC6</f>
        <v/>
      </c>
      <c r="AD6" s="96">
        <f>Timeline!AD6</f>
        <v/>
      </c>
      <c r="AE6" s="96">
        <f>Timeline!AE6</f>
        <v/>
      </c>
      <c r="AF6" s="96">
        <f>Timeline!AF6</f>
        <v/>
      </c>
      <c r="AG6" s="96">
        <f>Timeline!AG6</f>
        <v/>
      </c>
      <c r="AH6" s="96">
        <f>Timeline!AH6</f>
        <v/>
      </c>
      <c r="AI6" s="96">
        <f>Timeline!AI6</f>
        <v/>
      </c>
      <c r="AJ6" s="96">
        <f>Timeline!AJ6</f>
        <v/>
      </c>
      <c r="AK6" s="96">
        <f>Timeline!AK6</f>
        <v/>
      </c>
      <c r="AL6" s="96">
        <f>Timeline!AL6</f>
        <v/>
      </c>
      <c r="AM6" s="96">
        <f>Timeline!AM6</f>
        <v/>
      </c>
      <c r="AN6" s="96">
        <f>Timeline!AN6</f>
        <v/>
      </c>
      <c r="AO6" s="96">
        <f>Timeline!AO6</f>
        <v/>
      </c>
      <c r="AP6" s="96">
        <f>Timeline!AP6</f>
        <v/>
      </c>
      <c r="AQ6" s="96">
        <f>Timeline!AQ6</f>
        <v/>
      </c>
      <c r="AR6" s="96">
        <f>Timeline!AR6</f>
        <v/>
      </c>
      <c r="AS6" s="96">
        <f>Timeline!AS6</f>
        <v/>
      </c>
      <c r="AT6" s="96">
        <f>Timeline!AT6</f>
        <v/>
      </c>
      <c r="AU6" s="96">
        <f>Timeline!AU6</f>
        <v/>
      </c>
      <c r="AV6" s="96">
        <f>Timeline!AV6</f>
        <v/>
      </c>
      <c r="AW6" s="96">
        <f>Timeline!AW6</f>
        <v/>
      </c>
      <c r="AX6" s="96">
        <f>Timeline!AX6</f>
        <v/>
      </c>
      <c r="AY6" s="96">
        <f>Timeline!AY6</f>
        <v/>
      </c>
      <c r="AZ6" s="96">
        <f>Timeline!AZ6</f>
        <v/>
      </c>
      <c r="BA6" s="96">
        <f>Timeline!BA6</f>
        <v/>
      </c>
      <c r="BB6" s="96">
        <f>Timeline!BB6</f>
        <v/>
      </c>
      <c r="BC6" s="96">
        <f>Timeline!BC6</f>
        <v/>
      </c>
      <c r="BD6" s="96">
        <f>Timeline!BD6</f>
        <v/>
      </c>
      <c r="BE6" s="96">
        <f>Timeline!BE6</f>
        <v/>
      </c>
      <c r="BF6" s="96">
        <f>Timeline!BF6</f>
        <v/>
      </c>
      <c r="BG6" s="96">
        <f>Timeline!BG6</f>
        <v/>
      </c>
      <c r="BH6" s="96">
        <f>Timeline!BH6</f>
        <v/>
      </c>
      <c r="BI6" s="96">
        <f>Timeline!BI6</f>
        <v/>
      </c>
      <c r="BJ6" s="96">
        <f>Timeline!BJ6</f>
        <v/>
      </c>
      <c r="BK6" s="96">
        <f>Timeline!BK6</f>
        <v/>
      </c>
      <c r="BL6" s="96">
        <f>Timeline!BL6</f>
        <v/>
      </c>
    </row>
    <row r="7"/>
    <row r="8">
      <c r="A8" s="21" t="inlineStr">
        <is>
          <t>EQUITY</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98" t="inlineStr">
        <is>
          <t>Initial equity injection</t>
        </is>
      </c>
      <c r="B9" s="65" t="inlineStr">
        <is>
          <t>LCY</t>
        </is>
      </c>
      <c r="C9" s="105">
        <f>SUM(E9:BL9)</f>
        <v/>
      </c>
      <c r="E9" s="80">
        <f>IF(E$4=1,Inputs!$C$49,0)</f>
        <v/>
      </c>
      <c r="F9" s="80">
        <f>IF(F$4=1,Inputs!$C$49,0)</f>
        <v/>
      </c>
      <c r="G9" s="80">
        <f>IF(G$4=1,Inputs!$C$49,0)</f>
        <v/>
      </c>
      <c r="H9" s="80">
        <f>IF(H$4=1,Inputs!$C$49,0)</f>
        <v/>
      </c>
      <c r="I9" s="80">
        <f>IF(I$4=1,Inputs!$C$49,0)</f>
        <v/>
      </c>
      <c r="J9" s="80">
        <f>IF(J$4=1,Inputs!$C$49,0)</f>
        <v/>
      </c>
      <c r="K9" s="80">
        <f>IF(K$4=1,Inputs!$C$49,0)</f>
        <v/>
      </c>
      <c r="L9" s="80">
        <f>IF(L$4=1,Inputs!$C$49,0)</f>
        <v/>
      </c>
      <c r="M9" s="80">
        <f>IF(M$4=1,Inputs!$C$49,0)</f>
        <v/>
      </c>
      <c r="N9" s="80">
        <f>IF(N$4=1,Inputs!$C$49,0)</f>
        <v/>
      </c>
      <c r="O9" s="80">
        <f>IF(O$4=1,Inputs!$C$49,0)</f>
        <v/>
      </c>
      <c r="P9" s="80">
        <f>IF(P$4=1,Inputs!$C$49,0)</f>
        <v/>
      </c>
      <c r="Q9" s="80">
        <f>IF(Q$4=1,Inputs!$C$49,0)</f>
        <v/>
      </c>
      <c r="R9" s="80">
        <f>IF(R$4=1,Inputs!$C$49,0)</f>
        <v/>
      </c>
      <c r="S9" s="80">
        <f>IF(S$4=1,Inputs!$C$49,0)</f>
        <v/>
      </c>
      <c r="T9" s="80">
        <f>IF(T$4=1,Inputs!$C$49,0)</f>
        <v/>
      </c>
      <c r="U9" s="80">
        <f>IF(U$4=1,Inputs!$C$49,0)</f>
        <v/>
      </c>
      <c r="V9" s="80">
        <f>IF(V$4=1,Inputs!$C$49,0)</f>
        <v/>
      </c>
      <c r="W9" s="80">
        <f>IF(W$4=1,Inputs!$C$49,0)</f>
        <v/>
      </c>
      <c r="X9" s="80">
        <f>IF(X$4=1,Inputs!$C$49,0)</f>
        <v/>
      </c>
      <c r="Y9" s="80">
        <f>IF(Y$4=1,Inputs!$C$49,0)</f>
        <v/>
      </c>
      <c r="Z9" s="80">
        <f>IF(Z$4=1,Inputs!$C$49,0)</f>
        <v/>
      </c>
      <c r="AA9" s="80">
        <f>IF(AA$4=1,Inputs!$C$49,0)</f>
        <v/>
      </c>
      <c r="AB9" s="80">
        <f>IF(AB$4=1,Inputs!$C$49,0)</f>
        <v/>
      </c>
      <c r="AC9" s="80">
        <f>IF(AC$4=1,Inputs!$C$49,0)</f>
        <v/>
      </c>
      <c r="AD9" s="80">
        <f>IF(AD$4=1,Inputs!$C$49,0)</f>
        <v/>
      </c>
      <c r="AE9" s="80">
        <f>IF(AE$4=1,Inputs!$C$49,0)</f>
        <v/>
      </c>
      <c r="AF9" s="80">
        <f>IF(AF$4=1,Inputs!$C$49,0)</f>
        <v/>
      </c>
      <c r="AG9" s="80">
        <f>IF(AG$4=1,Inputs!$C$49,0)</f>
        <v/>
      </c>
      <c r="AH9" s="80">
        <f>IF(AH$4=1,Inputs!$C$49,0)</f>
        <v/>
      </c>
      <c r="AI9" s="80">
        <f>IF(AI$4=1,Inputs!$C$49,0)</f>
        <v/>
      </c>
      <c r="AJ9" s="80">
        <f>IF(AJ$4=1,Inputs!$C$49,0)</f>
        <v/>
      </c>
      <c r="AK9" s="80">
        <f>IF(AK$4=1,Inputs!$C$49,0)</f>
        <v/>
      </c>
      <c r="AL9" s="80">
        <f>IF(AL$4=1,Inputs!$C$49,0)</f>
        <v/>
      </c>
      <c r="AM9" s="80">
        <f>IF(AM$4=1,Inputs!$C$49,0)</f>
        <v/>
      </c>
      <c r="AN9" s="80">
        <f>IF(AN$4=1,Inputs!$C$49,0)</f>
        <v/>
      </c>
      <c r="AO9" s="80">
        <f>IF(AO$4=1,Inputs!$C$49,0)</f>
        <v/>
      </c>
      <c r="AP9" s="80">
        <f>IF(AP$4=1,Inputs!$C$49,0)</f>
        <v/>
      </c>
      <c r="AQ9" s="80">
        <f>IF(AQ$4=1,Inputs!$C$49,0)</f>
        <v/>
      </c>
      <c r="AR9" s="80">
        <f>IF(AR$4=1,Inputs!$C$49,0)</f>
        <v/>
      </c>
      <c r="AS9" s="80">
        <f>IF(AS$4=1,Inputs!$C$49,0)</f>
        <v/>
      </c>
      <c r="AT9" s="80">
        <f>IF(AT$4=1,Inputs!$C$49,0)</f>
        <v/>
      </c>
      <c r="AU9" s="80">
        <f>IF(AU$4=1,Inputs!$C$49,0)</f>
        <v/>
      </c>
      <c r="AV9" s="80">
        <f>IF(AV$4=1,Inputs!$C$49,0)</f>
        <v/>
      </c>
      <c r="AW9" s="80">
        <f>IF(AW$4=1,Inputs!$C$49,0)</f>
        <v/>
      </c>
      <c r="AX9" s="80">
        <f>IF(AX$4=1,Inputs!$C$49,0)</f>
        <v/>
      </c>
      <c r="AY9" s="80">
        <f>IF(AY$4=1,Inputs!$C$49,0)</f>
        <v/>
      </c>
      <c r="AZ9" s="80">
        <f>IF(AZ$4=1,Inputs!$C$49,0)</f>
        <v/>
      </c>
      <c r="BA9" s="80">
        <f>IF(BA$4=1,Inputs!$C$49,0)</f>
        <v/>
      </c>
      <c r="BB9" s="80">
        <f>IF(BB$4=1,Inputs!$C$49,0)</f>
        <v/>
      </c>
      <c r="BC9" s="80">
        <f>IF(BC$4=1,Inputs!$C$49,0)</f>
        <v/>
      </c>
      <c r="BD9" s="80">
        <f>IF(BD$4=1,Inputs!$C$49,0)</f>
        <v/>
      </c>
      <c r="BE9" s="80">
        <f>IF(BE$4=1,Inputs!$C$49,0)</f>
        <v/>
      </c>
      <c r="BF9" s="80">
        <f>IF(BF$4=1,Inputs!$C$49,0)</f>
        <v/>
      </c>
      <c r="BG9" s="80">
        <f>IF(BG$4=1,Inputs!$C$49,0)</f>
        <v/>
      </c>
      <c r="BH9" s="80">
        <f>IF(BH$4=1,Inputs!$C$49,0)</f>
        <v/>
      </c>
      <c r="BI9" s="80">
        <f>IF(BI$4=1,Inputs!$C$49,0)</f>
        <v/>
      </c>
      <c r="BJ9" s="80">
        <f>IF(BJ$4=1,Inputs!$C$49,0)</f>
        <v/>
      </c>
      <c r="BK9" s="80">
        <f>IF(BK$4=1,Inputs!$C$49,0)</f>
        <v/>
      </c>
      <c r="BL9" s="80">
        <f>IF(BL$4=1,Inputs!$C$49,0)</f>
        <v/>
      </c>
    </row>
    <row r="10">
      <c r="A10" s="98" t="inlineStr">
        <is>
          <t>Automatic equity top-up (funding requirement)</t>
        </is>
      </c>
      <c r="B10" s="65" t="inlineStr">
        <is>
          <t>LCY</t>
        </is>
      </c>
      <c r="C10" s="105">
        <f>SUM(E10:BL10)</f>
        <v/>
      </c>
      <c r="E10" s="80">
        <f>FS!E$64</f>
        <v/>
      </c>
      <c r="F10" s="80">
        <f>FS!F$64</f>
        <v/>
      </c>
      <c r="G10" s="80">
        <f>FS!G$64</f>
        <v/>
      </c>
      <c r="H10" s="80">
        <f>FS!H$64</f>
        <v/>
      </c>
      <c r="I10" s="80">
        <f>FS!I$64</f>
        <v/>
      </c>
      <c r="J10" s="80">
        <f>FS!J$64</f>
        <v/>
      </c>
      <c r="K10" s="80">
        <f>FS!K$64</f>
        <v/>
      </c>
      <c r="L10" s="80">
        <f>FS!L$64</f>
        <v/>
      </c>
      <c r="M10" s="80">
        <f>FS!M$64</f>
        <v/>
      </c>
      <c r="N10" s="80">
        <f>FS!N$64</f>
        <v/>
      </c>
      <c r="O10" s="80">
        <f>FS!O$64</f>
        <v/>
      </c>
      <c r="P10" s="80">
        <f>FS!P$64</f>
        <v/>
      </c>
      <c r="Q10" s="80">
        <f>FS!Q$64</f>
        <v/>
      </c>
      <c r="R10" s="80">
        <f>FS!R$64</f>
        <v/>
      </c>
      <c r="S10" s="80">
        <f>FS!S$64</f>
        <v/>
      </c>
      <c r="T10" s="80">
        <f>FS!T$64</f>
        <v/>
      </c>
      <c r="U10" s="80">
        <f>FS!U$64</f>
        <v/>
      </c>
      <c r="V10" s="80">
        <f>FS!V$64</f>
        <v/>
      </c>
      <c r="W10" s="80">
        <f>FS!W$64</f>
        <v/>
      </c>
      <c r="X10" s="80">
        <f>FS!X$64</f>
        <v/>
      </c>
      <c r="Y10" s="80">
        <f>FS!Y$64</f>
        <v/>
      </c>
      <c r="Z10" s="80">
        <f>FS!Z$64</f>
        <v/>
      </c>
      <c r="AA10" s="80">
        <f>FS!AA$64</f>
        <v/>
      </c>
      <c r="AB10" s="80">
        <f>FS!AB$64</f>
        <v/>
      </c>
      <c r="AC10" s="80">
        <f>FS!AC$64</f>
        <v/>
      </c>
      <c r="AD10" s="80">
        <f>FS!AD$64</f>
        <v/>
      </c>
      <c r="AE10" s="80">
        <f>FS!AE$64</f>
        <v/>
      </c>
      <c r="AF10" s="80">
        <f>FS!AF$64</f>
        <v/>
      </c>
      <c r="AG10" s="80">
        <f>FS!AG$64</f>
        <v/>
      </c>
      <c r="AH10" s="80">
        <f>FS!AH$64</f>
        <v/>
      </c>
      <c r="AI10" s="80">
        <f>FS!AI$64</f>
        <v/>
      </c>
      <c r="AJ10" s="80">
        <f>FS!AJ$64</f>
        <v/>
      </c>
      <c r="AK10" s="80">
        <f>FS!AK$64</f>
        <v/>
      </c>
      <c r="AL10" s="80">
        <f>FS!AL$64</f>
        <v/>
      </c>
      <c r="AM10" s="80">
        <f>FS!AM$64</f>
        <v/>
      </c>
      <c r="AN10" s="80">
        <f>FS!AN$64</f>
        <v/>
      </c>
      <c r="AO10" s="80">
        <f>FS!AO$64</f>
        <v/>
      </c>
      <c r="AP10" s="80">
        <f>FS!AP$64</f>
        <v/>
      </c>
      <c r="AQ10" s="80">
        <f>FS!AQ$64</f>
        <v/>
      </c>
      <c r="AR10" s="80">
        <f>FS!AR$64</f>
        <v/>
      </c>
      <c r="AS10" s="80">
        <f>FS!AS$64</f>
        <v/>
      </c>
      <c r="AT10" s="80">
        <f>FS!AT$64</f>
        <v/>
      </c>
      <c r="AU10" s="80">
        <f>FS!AU$64</f>
        <v/>
      </c>
      <c r="AV10" s="80">
        <f>FS!AV$64</f>
        <v/>
      </c>
      <c r="AW10" s="80">
        <f>FS!AW$64</f>
        <v/>
      </c>
      <c r="AX10" s="80">
        <f>FS!AX$64</f>
        <v/>
      </c>
      <c r="AY10" s="80">
        <f>FS!AY$64</f>
        <v/>
      </c>
      <c r="AZ10" s="80">
        <f>FS!AZ$64</f>
        <v/>
      </c>
      <c r="BA10" s="80">
        <f>FS!BA$64</f>
        <v/>
      </c>
      <c r="BB10" s="80">
        <f>FS!BB$64</f>
        <v/>
      </c>
      <c r="BC10" s="80">
        <f>FS!BC$64</f>
        <v/>
      </c>
      <c r="BD10" s="80">
        <f>FS!BD$64</f>
        <v/>
      </c>
      <c r="BE10" s="80">
        <f>FS!BE$64</f>
        <v/>
      </c>
      <c r="BF10" s="80">
        <f>FS!BF$64</f>
        <v/>
      </c>
      <c r="BG10" s="80">
        <f>FS!BG$64</f>
        <v/>
      </c>
      <c r="BH10" s="80">
        <f>FS!BH$64</f>
        <v/>
      </c>
      <c r="BI10" s="80">
        <f>FS!BI$64</f>
        <v/>
      </c>
      <c r="BJ10" s="80">
        <f>FS!BJ$64</f>
        <v/>
      </c>
      <c r="BK10" s="80">
        <f>FS!BK$64</f>
        <v/>
      </c>
      <c r="BL10" s="80">
        <f>FS!BL$64</f>
        <v/>
      </c>
    </row>
    <row r="11">
      <c r="A11" s="98" t="inlineStr">
        <is>
          <t>Cumulative equity invested</t>
        </is>
      </c>
      <c r="B11" s="65" t="inlineStr">
        <is>
          <t>LCY</t>
        </is>
      </c>
      <c r="C11" s="105">
        <f>BL11</f>
        <v/>
      </c>
      <c r="E11" s="80">
        <f>D11+E9+E10</f>
        <v/>
      </c>
      <c r="F11" s="80">
        <f>E11+F9+F10</f>
        <v/>
      </c>
      <c r="G11" s="80">
        <f>F11+G9+G10</f>
        <v/>
      </c>
      <c r="H11" s="80">
        <f>G11+H9+H10</f>
        <v/>
      </c>
      <c r="I11" s="80">
        <f>H11+I9+I10</f>
        <v/>
      </c>
      <c r="J11" s="80">
        <f>I11+J9+J10</f>
        <v/>
      </c>
      <c r="K11" s="80">
        <f>J11+K9+K10</f>
        <v/>
      </c>
      <c r="L11" s="80">
        <f>K11+L9+L10</f>
        <v/>
      </c>
      <c r="M11" s="80">
        <f>L11+M9+M10</f>
        <v/>
      </c>
      <c r="N11" s="80">
        <f>M11+N9+N10</f>
        <v/>
      </c>
      <c r="O11" s="80">
        <f>N11+O9+O10</f>
        <v/>
      </c>
      <c r="P11" s="80">
        <f>O11+P9+P10</f>
        <v/>
      </c>
      <c r="Q11" s="80">
        <f>P11+Q9+Q10</f>
        <v/>
      </c>
      <c r="R11" s="80">
        <f>Q11+R9+R10</f>
        <v/>
      </c>
      <c r="S11" s="80">
        <f>R11+S9+S10</f>
        <v/>
      </c>
      <c r="T11" s="80">
        <f>S11+T9+T10</f>
        <v/>
      </c>
      <c r="U11" s="80">
        <f>T11+U9+U10</f>
        <v/>
      </c>
      <c r="V11" s="80">
        <f>U11+V9+V10</f>
        <v/>
      </c>
      <c r="W11" s="80">
        <f>V11+W9+W10</f>
        <v/>
      </c>
      <c r="X11" s="80">
        <f>W11+X9+X10</f>
        <v/>
      </c>
      <c r="Y11" s="80">
        <f>X11+Y9+Y10</f>
        <v/>
      </c>
      <c r="Z11" s="80">
        <f>Y11+Z9+Z10</f>
        <v/>
      </c>
      <c r="AA11" s="80">
        <f>Z11+AA9+AA10</f>
        <v/>
      </c>
      <c r="AB11" s="80">
        <f>AA11+AB9+AB10</f>
        <v/>
      </c>
      <c r="AC11" s="80">
        <f>AB11+AC9+AC10</f>
        <v/>
      </c>
      <c r="AD11" s="80">
        <f>AC11+AD9+AD10</f>
        <v/>
      </c>
      <c r="AE11" s="80">
        <f>AD11+AE9+AE10</f>
        <v/>
      </c>
      <c r="AF11" s="80">
        <f>AE11+AF9+AF10</f>
        <v/>
      </c>
      <c r="AG11" s="80">
        <f>AF11+AG9+AG10</f>
        <v/>
      </c>
      <c r="AH11" s="80">
        <f>AG11+AH9+AH10</f>
        <v/>
      </c>
      <c r="AI11" s="80">
        <f>AH11+AI9+AI10</f>
        <v/>
      </c>
      <c r="AJ11" s="80">
        <f>AI11+AJ9+AJ10</f>
        <v/>
      </c>
      <c r="AK11" s="80">
        <f>AJ11+AK9+AK10</f>
        <v/>
      </c>
      <c r="AL11" s="80">
        <f>AK11+AL9+AL10</f>
        <v/>
      </c>
      <c r="AM11" s="80">
        <f>AL11+AM9+AM10</f>
        <v/>
      </c>
      <c r="AN11" s="80">
        <f>AM11+AN9+AN10</f>
        <v/>
      </c>
      <c r="AO11" s="80">
        <f>AN11+AO9+AO10</f>
        <v/>
      </c>
      <c r="AP11" s="80">
        <f>AO11+AP9+AP10</f>
        <v/>
      </c>
      <c r="AQ11" s="80">
        <f>AP11+AQ9+AQ10</f>
        <v/>
      </c>
      <c r="AR11" s="80">
        <f>AQ11+AR9+AR10</f>
        <v/>
      </c>
      <c r="AS11" s="80">
        <f>AR11+AS9+AS10</f>
        <v/>
      </c>
      <c r="AT11" s="80">
        <f>AS11+AT9+AT10</f>
        <v/>
      </c>
      <c r="AU11" s="80">
        <f>AT11+AU9+AU10</f>
        <v/>
      </c>
      <c r="AV11" s="80">
        <f>AU11+AV9+AV10</f>
        <v/>
      </c>
      <c r="AW11" s="80">
        <f>AV11+AW9+AW10</f>
        <v/>
      </c>
      <c r="AX11" s="80">
        <f>AW11+AX9+AX10</f>
        <v/>
      </c>
      <c r="AY11" s="80">
        <f>AX11+AY9+AY10</f>
        <v/>
      </c>
      <c r="AZ11" s="80">
        <f>AY11+AZ9+AZ10</f>
        <v/>
      </c>
      <c r="BA11" s="80">
        <f>AZ11+BA9+BA10</f>
        <v/>
      </c>
      <c r="BB11" s="80">
        <f>BA11+BB9+BB10</f>
        <v/>
      </c>
      <c r="BC11" s="80">
        <f>BB11+BC9+BC10</f>
        <v/>
      </c>
      <c r="BD11" s="80">
        <f>BC11+BD9+BD10</f>
        <v/>
      </c>
      <c r="BE11" s="80">
        <f>BD11+BE9+BE10</f>
        <v/>
      </c>
      <c r="BF11" s="80">
        <f>BE11+BF9+BF10</f>
        <v/>
      </c>
      <c r="BG11" s="80">
        <f>BF11+BG9+BG10</f>
        <v/>
      </c>
      <c r="BH11" s="80">
        <f>BG11+BH9+BH10</f>
        <v/>
      </c>
      <c r="BI11" s="80">
        <f>BH11+BI9+BI10</f>
        <v/>
      </c>
      <c r="BJ11" s="80">
        <f>BI11+BJ9+BJ10</f>
        <v/>
      </c>
      <c r="BK11" s="80">
        <f>BJ11+BK9+BK10</f>
        <v/>
      </c>
      <c r="BL11" s="80">
        <f>BK11+BL9+BL10</f>
        <v/>
      </c>
    </row>
    <row r="12">
      <c r="A12" s="21" t="inlineStr">
        <is>
          <t>USD TERM LOAN</t>
        </is>
      </c>
      <c r="B12" s="22" t="n"/>
      <c r="C12" s="22" t="n"/>
      <c r="D12" s="22" t="n"/>
      <c r="E12" s="22" t="n"/>
      <c r="F12" s="22"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c r="AA12" s="22" t="n"/>
      <c r="AB12" s="22" t="n"/>
      <c r="AC12" s="22" t="n"/>
      <c r="AD12" s="22" t="n"/>
      <c r="AE12" s="22" t="n"/>
      <c r="AF12" s="22" t="n"/>
      <c r="AG12" s="22" t="n"/>
      <c r="AH12" s="22" t="n"/>
      <c r="AI12" s="22" t="n"/>
      <c r="AJ12" s="22" t="n"/>
      <c r="AK12" s="22" t="n"/>
      <c r="AL12" s="22" t="n"/>
      <c r="AM12" s="22" t="n"/>
      <c r="AN12" s="22" t="n"/>
      <c r="AO12" s="22" t="n"/>
      <c r="AP12" s="22" t="n"/>
      <c r="AQ12" s="22" t="n"/>
      <c r="AR12" s="22" t="n"/>
      <c r="AS12" s="22" t="n"/>
      <c r="AT12" s="22" t="n"/>
      <c r="AU12" s="22" t="n"/>
      <c r="AV12" s="22" t="n"/>
      <c r="AW12" s="22" t="n"/>
      <c r="AX12" s="22" t="n"/>
      <c r="AY12" s="22" t="n"/>
      <c r="AZ12" s="22" t="n"/>
      <c r="BA12" s="22" t="n"/>
      <c r="BB12" s="22" t="n"/>
      <c r="BC12" s="22" t="n"/>
      <c r="BD12" s="22" t="n"/>
      <c r="BE12" s="22" t="n"/>
      <c r="BF12" s="22" t="n"/>
      <c r="BG12" s="22" t="n"/>
      <c r="BH12" s="22" t="n"/>
      <c r="BI12" s="22" t="n"/>
      <c r="BJ12" s="22" t="n"/>
      <c r="BK12" s="22" t="n"/>
      <c r="BL12" s="22" t="n"/>
    </row>
    <row r="13">
      <c r="A13" s="98" t="inlineStr">
        <is>
          <t>Drawdown (USD)</t>
        </is>
      </c>
      <c r="B13" s="65" t="inlineStr">
        <is>
          <t>USD</t>
        </is>
      </c>
      <c r="C13" s="105">
        <f>SUM(E13:BL13)</f>
        <v/>
      </c>
      <c r="E13" s="80">
        <f>IF(E$4=Inputs!$C$51,Inputs!$C$50,0)</f>
        <v/>
      </c>
      <c r="F13" s="80">
        <f>IF(F$4=Inputs!$C$51,Inputs!$C$50,0)</f>
        <v/>
      </c>
      <c r="G13" s="80">
        <f>IF(G$4=Inputs!$C$51,Inputs!$C$50,0)</f>
        <v/>
      </c>
      <c r="H13" s="80">
        <f>IF(H$4=Inputs!$C$51,Inputs!$C$50,0)</f>
        <v/>
      </c>
      <c r="I13" s="80">
        <f>IF(I$4=Inputs!$C$51,Inputs!$C$50,0)</f>
        <v/>
      </c>
      <c r="J13" s="80">
        <f>IF(J$4=Inputs!$C$51,Inputs!$C$50,0)</f>
        <v/>
      </c>
      <c r="K13" s="80">
        <f>IF(K$4=Inputs!$C$51,Inputs!$C$50,0)</f>
        <v/>
      </c>
      <c r="L13" s="80">
        <f>IF(L$4=Inputs!$C$51,Inputs!$C$50,0)</f>
        <v/>
      </c>
      <c r="M13" s="80">
        <f>IF(M$4=Inputs!$C$51,Inputs!$C$50,0)</f>
        <v/>
      </c>
      <c r="N13" s="80">
        <f>IF(N$4=Inputs!$C$51,Inputs!$C$50,0)</f>
        <v/>
      </c>
      <c r="O13" s="80">
        <f>IF(O$4=Inputs!$C$51,Inputs!$C$50,0)</f>
        <v/>
      </c>
      <c r="P13" s="80">
        <f>IF(P$4=Inputs!$C$51,Inputs!$C$50,0)</f>
        <v/>
      </c>
      <c r="Q13" s="80">
        <f>IF(Q$4=Inputs!$C$51,Inputs!$C$50,0)</f>
        <v/>
      </c>
      <c r="R13" s="80">
        <f>IF(R$4=Inputs!$C$51,Inputs!$C$50,0)</f>
        <v/>
      </c>
      <c r="S13" s="80">
        <f>IF(S$4=Inputs!$C$51,Inputs!$C$50,0)</f>
        <v/>
      </c>
      <c r="T13" s="80">
        <f>IF(T$4=Inputs!$C$51,Inputs!$C$50,0)</f>
        <v/>
      </c>
      <c r="U13" s="80">
        <f>IF(U$4=Inputs!$C$51,Inputs!$C$50,0)</f>
        <v/>
      </c>
      <c r="V13" s="80">
        <f>IF(V$4=Inputs!$C$51,Inputs!$C$50,0)</f>
        <v/>
      </c>
      <c r="W13" s="80">
        <f>IF(W$4=Inputs!$C$51,Inputs!$C$50,0)</f>
        <v/>
      </c>
      <c r="X13" s="80">
        <f>IF(X$4=Inputs!$C$51,Inputs!$C$50,0)</f>
        <v/>
      </c>
      <c r="Y13" s="80">
        <f>IF(Y$4=Inputs!$C$51,Inputs!$C$50,0)</f>
        <v/>
      </c>
      <c r="Z13" s="80">
        <f>IF(Z$4=Inputs!$C$51,Inputs!$C$50,0)</f>
        <v/>
      </c>
      <c r="AA13" s="80">
        <f>IF(AA$4=Inputs!$C$51,Inputs!$C$50,0)</f>
        <v/>
      </c>
      <c r="AB13" s="80">
        <f>IF(AB$4=Inputs!$C$51,Inputs!$C$50,0)</f>
        <v/>
      </c>
      <c r="AC13" s="80">
        <f>IF(AC$4=Inputs!$C$51,Inputs!$C$50,0)</f>
        <v/>
      </c>
      <c r="AD13" s="80">
        <f>IF(AD$4=Inputs!$C$51,Inputs!$C$50,0)</f>
        <v/>
      </c>
      <c r="AE13" s="80">
        <f>IF(AE$4=Inputs!$C$51,Inputs!$C$50,0)</f>
        <v/>
      </c>
      <c r="AF13" s="80">
        <f>IF(AF$4=Inputs!$C$51,Inputs!$C$50,0)</f>
        <v/>
      </c>
      <c r="AG13" s="80">
        <f>IF(AG$4=Inputs!$C$51,Inputs!$C$50,0)</f>
        <v/>
      </c>
      <c r="AH13" s="80">
        <f>IF(AH$4=Inputs!$C$51,Inputs!$C$50,0)</f>
        <v/>
      </c>
      <c r="AI13" s="80">
        <f>IF(AI$4=Inputs!$C$51,Inputs!$C$50,0)</f>
        <v/>
      </c>
      <c r="AJ13" s="80">
        <f>IF(AJ$4=Inputs!$C$51,Inputs!$C$50,0)</f>
        <v/>
      </c>
      <c r="AK13" s="80">
        <f>IF(AK$4=Inputs!$C$51,Inputs!$C$50,0)</f>
        <v/>
      </c>
      <c r="AL13" s="80">
        <f>IF(AL$4=Inputs!$C$51,Inputs!$C$50,0)</f>
        <v/>
      </c>
      <c r="AM13" s="80">
        <f>IF(AM$4=Inputs!$C$51,Inputs!$C$50,0)</f>
        <v/>
      </c>
      <c r="AN13" s="80">
        <f>IF(AN$4=Inputs!$C$51,Inputs!$C$50,0)</f>
        <v/>
      </c>
      <c r="AO13" s="80">
        <f>IF(AO$4=Inputs!$C$51,Inputs!$C$50,0)</f>
        <v/>
      </c>
      <c r="AP13" s="80">
        <f>IF(AP$4=Inputs!$C$51,Inputs!$C$50,0)</f>
        <v/>
      </c>
      <c r="AQ13" s="80">
        <f>IF(AQ$4=Inputs!$C$51,Inputs!$C$50,0)</f>
        <v/>
      </c>
      <c r="AR13" s="80">
        <f>IF(AR$4=Inputs!$C$51,Inputs!$C$50,0)</f>
        <v/>
      </c>
      <c r="AS13" s="80">
        <f>IF(AS$4=Inputs!$C$51,Inputs!$C$50,0)</f>
        <v/>
      </c>
      <c r="AT13" s="80">
        <f>IF(AT$4=Inputs!$C$51,Inputs!$C$50,0)</f>
        <v/>
      </c>
      <c r="AU13" s="80">
        <f>IF(AU$4=Inputs!$C$51,Inputs!$C$50,0)</f>
        <v/>
      </c>
      <c r="AV13" s="80">
        <f>IF(AV$4=Inputs!$C$51,Inputs!$C$50,0)</f>
        <v/>
      </c>
      <c r="AW13" s="80">
        <f>IF(AW$4=Inputs!$C$51,Inputs!$C$50,0)</f>
        <v/>
      </c>
      <c r="AX13" s="80">
        <f>IF(AX$4=Inputs!$C$51,Inputs!$C$50,0)</f>
        <v/>
      </c>
      <c r="AY13" s="80">
        <f>IF(AY$4=Inputs!$C$51,Inputs!$C$50,0)</f>
        <v/>
      </c>
      <c r="AZ13" s="80">
        <f>IF(AZ$4=Inputs!$C$51,Inputs!$C$50,0)</f>
        <v/>
      </c>
      <c r="BA13" s="80">
        <f>IF(BA$4=Inputs!$C$51,Inputs!$C$50,0)</f>
        <v/>
      </c>
      <c r="BB13" s="80">
        <f>IF(BB$4=Inputs!$C$51,Inputs!$C$50,0)</f>
        <v/>
      </c>
      <c r="BC13" s="80">
        <f>IF(BC$4=Inputs!$C$51,Inputs!$C$50,0)</f>
        <v/>
      </c>
      <c r="BD13" s="80">
        <f>IF(BD$4=Inputs!$C$51,Inputs!$C$50,0)</f>
        <v/>
      </c>
      <c r="BE13" s="80">
        <f>IF(BE$4=Inputs!$C$51,Inputs!$C$50,0)</f>
        <v/>
      </c>
      <c r="BF13" s="80">
        <f>IF(BF$4=Inputs!$C$51,Inputs!$C$50,0)</f>
        <v/>
      </c>
      <c r="BG13" s="80">
        <f>IF(BG$4=Inputs!$C$51,Inputs!$C$50,0)</f>
        <v/>
      </c>
      <c r="BH13" s="80">
        <f>IF(BH$4=Inputs!$C$51,Inputs!$C$50,0)</f>
        <v/>
      </c>
      <c r="BI13" s="80">
        <f>IF(BI$4=Inputs!$C$51,Inputs!$C$50,0)</f>
        <v/>
      </c>
      <c r="BJ13" s="80">
        <f>IF(BJ$4=Inputs!$C$51,Inputs!$C$50,0)</f>
        <v/>
      </c>
      <c r="BK13" s="80">
        <f>IF(BK$4=Inputs!$C$51,Inputs!$C$50,0)</f>
        <v/>
      </c>
      <c r="BL13" s="80">
        <f>IF(BL$4=Inputs!$C$51,Inputs!$C$50,0)</f>
        <v/>
      </c>
    </row>
    <row r="14">
      <c r="A14" s="98" t="inlineStr">
        <is>
          <t>Repayment (USD)</t>
        </is>
      </c>
      <c r="B14" s="65" t="inlineStr">
        <is>
          <t>USD</t>
        </is>
      </c>
      <c r="C14" s="105">
        <f>SUM(E14:BL14)</f>
        <v/>
      </c>
      <c r="E14" s="80">
        <f>IF(AND(E$4&gt;Inputs!$C$51+Inputs!$C$53,E$4&lt;=Inputs!$C$51+Inputs!$C$53+Inputs!$C$54),MIN(D15,Inputs!$C$50/Inputs!$C$54),0)</f>
        <v/>
      </c>
      <c r="F14" s="80">
        <f>IF(AND(F$4&gt;Inputs!$C$51+Inputs!$C$53,F$4&lt;=Inputs!$C$51+Inputs!$C$53+Inputs!$C$54),MIN(E15,Inputs!$C$50/Inputs!$C$54),0)</f>
        <v/>
      </c>
      <c r="G14" s="80">
        <f>IF(AND(G$4&gt;Inputs!$C$51+Inputs!$C$53,G$4&lt;=Inputs!$C$51+Inputs!$C$53+Inputs!$C$54),MIN(F15,Inputs!$C$50/Inputs!$C$54),0)</f>
        <v/>
      </c>
      <c r="H14" s="80">
        <f>IF(AND(H$4&gt;Inputs!$C$51+Inputs!$C$53,H$4&lt;=Inputs!$C$51+Inputs!$C$53+Inputs!$C$54),MIN(G15,Inputs!$C$50/Inputs!$C$54),0)</f>
        <v/>
      </c>
      <c r="I14" s="80">
        <f>IF(AND(I$4&gt;Inputs!$C$51+Inputs!$C$53,I$4&lt;=Inputs!$C$51+Inputs!$C$53+Inputs!$C$54),MIN(H15,Inputs!$C$50/Inputs!$C$54),0)</f>
        <v/>
      </c>
      <c r="J14" s="80">
        <f>IF(AND(J$4&gt;Inputs!$C$51+Inputs!$C$53,J$4&lt;=Inputs!$C$51+Inputs!$C$53+Inputs!$C$54),MIN(I15,Inputs!$C$50/Inputs!$C$54),0)</f>
        <v/>
      </c>
      <c r="K14" s="80">
        <f>IF(AND(K$4&gt;Inputs!$C$51+Inputs!$C$53,K$4&lt;=Inputs!$C$51+Inputs!$C$53+Inputs!$C$54),MIN(J15,Inputs!$C$50/Inputs!$C$54),0)</f>
        <v/>
      </c>
      <c r="L14" s="80">
        <f>IF(AND(L$4&gt;Inputs!$C$51+Inputs!$C$53,L$4&lt;=Inputs!$C$51+Inputs!$C$53+Inputs!$C$54),MIN(K15,Inputs!$C$50/Inputs!$C$54),0)</f>
        <v/>
      </c>
      <c r="M14" s="80">
        <f>IF(AND(M$4&gt;Inputs!$C$51+Inputs!$C$53,M$4&lt;=Inputs!$C$51+Inputs!$C$53+Inputs!$C$54),MIN(L15,Inputs!$C$50/Inputs!$C$54),0)</f>
        <v/>
      </c>
      <c r="N14" s="80">
        <f>IF(AND(N$4&gt;Inputs!$C$51+Inputs!$C$53,N$4&lt;=Inputs!$C$51+Inputs!$C$53+Inputs!$C$54),MIN(M15,Inputs!$C$50/Inputs!$C$54),0)</f>
        <v/>
      </c>
      <c r="O14" s="80">
        <f>IF(AND(O$4&gt;Inputs!$C$51+Inputs!$C$53,O$4&lt;=Inputs!$C$51+Inputs!$C$53+Inputs!$C$54),MIN(N15,Inputs!$C$50/Inputs!$C$54),0)</f>
        <v/>
      </c>
      <c r="P14" s="80">
        <f>IF(AND(P$4&gt;Inputs!$C$51+Inputs!$C$53,P$4&lt;=Inputs!$C$51+Inputs!$C$53+Inputs!$C$54),MIN(O15,Inputs!$C$50/Inputs!$C$54),0)</f>
        <v/>
      </c>
      <c r="Q14" s="80">
        <f>IF(AND(Q$4&gt;Inputs!$C$51+Inputs!$C$53,Q$4&lt;=Inputs!$C$51+Inputs!$C$53+Inputs!$C$54),MIN(P15,Inputs!$C$50/Inputs!$C$54),0)</f>
        <v/>
      </c>
      <c r="R14" s="80">
        <f>IF(AND(R$4&gt;Inputs!$C$51+Inputs!$C$53,R$4&lt;=Inputs!$C$51+Inputs!$C$53+Inputs!$C$54),MIN(Q15,Inputs!$C$50/Inputs!$C$54),0)</f>
        <v/>
      </c>
      <c r="S14" s="80">
        <f>IF(AND(S$4&gt;Inputs!$C$51+Inputs!$C$53,S$4&lt;=Inputs!$C$51+Inputs!$C$53+Inputs!$C$54),MIN(R15,Inputs!$C$50/Inputs!$C$54),0)</f>
        <v/>
      </c>
      <c r="T14" s="80">
        <f>IF(AND(T$4&gt;Inputs!$C$51+Inputs!$C$53,T$4&lt;=Inputs!$C$51+Inputs!$C$53+Inputs!$C$54),MIN(S15,Inputs!$C$50/Inputs!$C$54),0)</f>
        <v/>
      </c>
      <c r="U14" s="80">
        <f>IF(AND(U$4&gt;Inputs!$C$51+Inputs!$C$53,U$4&lt;=Inputs!$C$51+Inputs!$C$53+Inputs!$C$54),MIN(T15,Inputs!$C$50/Inputs!$C$54),0)</f>
        <v/>
      </c>
      <c r="V14" s="80">
        <f>IF(AND(V$4&gt;Inputs!$C$51+Inputs!$C$53,V$4&lt;=Inputs!$C$51+Inputs!$C$53+Inputs!$C$54),MIN(U15,Inputs!$C$50/Inputs!$C$54),0)</f>
        <v/>
      </c>
      <c r="W14" s="80">
        <f>IF(AND(W$4&gt;Inputs!$C$51+Inputs!$C$53,W$4&lt;=Inputs!$C$51+Inputs!$C$53+Inputs!$C$54),MIN(V15,Inputs!$C$50/Inputs!$C$54),0)</f>
        <v/>
      </c>
      <c r="X14" s="80">
        <f>IF(AND(X$4&gt;Inputs!$C$51+Inputs!$C$53,X$4&lt;=Inputs!$C$51+Inputs!$C$53+Inputs!$C$54),MIN(W15,Inputs!$C$50/Inputs!$C$54),0)</f>
        <v/>
      </c>
      <c r="Y14" s="80">
        <f>IF(AND(Y$4&gt;Inputs!$C$51+Inputs!$C$53,Y$4&lt;=Inputs!$C$51+Inputs!$C$53+Inputs!$C$54),MIN(X15,Inputs!$C$50/Inputs!$C$54),0)</f>
        <v/>
      </c>
      <c r="Z14" s="80">
        <f>IF(AND(Z$4&gt;Inputs!$C$51+Inputs!$C$53,Z$4&lt;=Inputs!$C$51+Inputs!$C$53+Inputs!$C$54),MIN(Y15,Inputs!$C$50/Inputs!$C$54),0)</f>
        <v/>
      </c>
      <c r="AA14" s="80">
        <f>IF(AND(AA$4&gt;Inputs!$C$51+Inputs!$C$53,AA$4&lt;=Inputs!$C$51+Inputs!$C$53+Inputs!$C$54),MIN(Z15,Inputs!$C$50/Inputs!$C$54),0)</f>
        <v/>
      </c>
      <c r="AB14" s="80">
        <f>IF(AND(AB$4&gt;Inputs!$C$51+Inputs!$C$53,AB$4&lt;=Inputs!$C$51+Inputs!$C$53+Inputs!$C$54),MIN(AA15,Inputs!$C$50/Inputs!$C$54),0)</f>
        <v/>
      </c>
      <c r="AC14" s="80">
        <f>IF(AND(AC$4&gt;Inputs!$C$51+Inputs!$C$53,AC$4&lt;=Inputs!$C$51+Inputs!$C$53+Inputs!$C$54),MIN(AB15,Inputs!$C$50/Inputs!$C$54),0)</f>
        <v/>
      </c>
      <c r="AD14" s="80">
        <f>IF(AND(AD$4&gt;Inputs!$C$51+Inputs!$C$53,AD$4&lt;=Inputs!$C$51+Inputs!$C$53+Inputs!$C$54),MIN(AC15,Inputs!$C$50/Inputs!$C$54),0)</f>
        <v/>
      </c>
      <c r="AE14" s="80">
        <f>IF(AND(AE$4&gt;Inputs!$C$51+Inputs!$C$53,AE$4&lt;=Inputs!$C$51+Inputs!$C$53+Inputs!$C$54),MIN(AD15,Inputs!$C$50/Inputs!$C$54),0)</f>
        <v/>
      </c>
      <c r="AF14" s="80">
        <f>IF(AND(AF$4&gt;Inputs!$C$51+Inputs!$C$53,AF$4&lt;=Inputs!$C$51+Inputs!$C$53+Inputs!$C$54),MIN(AE15,Inputs!$C$50/Inputs!$C$54),0)</f>
        <v/>
      </c>
      <c r="AG14" s="80">
        <f>IF(AND(AG$4&gt;Inputs!$C$51+Inputs!$C$53,AG$4&lt;=Inputs!$C$51+Inputs!$C$53+Inputs!$C$54),MIN(AF15,Inputs!$C$50/Inputs!$C$54),0)</f>
        <v/>
      </c>
      <c r="AH14" s="80">
        <f>IF(AND(AH$4&gt;Inputs!$C$51+Inputs!$C$53,AH$4&lt;=Inputs!$C$51+Inputs!$C$53+Inputs!$C$54),MIN(AG15,Inputs!$C$50/Inputs!$C$54),0)</f>
        <v/>
      </c>
      <c r="AI14" s="80">
        <f>IF(AND(AI$4&gt;Inputs!$C$51+Inputs!$C$53,AI$4&lt;=Inputs!$C$51+Inputs!$C$53+Inputs!$C$54),MIN(AH15,Inputs!$C$50/Inputs!$C$54),0)</f>
        <v/>
      </c>
      <c r="AJ14" s="80">
        <f>IF(AND(AJ$4&gt;Inputs!$C$51+Inputs!$C$53,AJ$4&lt;=Inputs!$C$51+Inputs!$C$53+Inputs!$C$54),MIN(AI15,Inputs!$C$50/Inputs!$C$54),0)</f>
        <v/>
      </c>
      <c r="AK14" s="80">
        <f>IF(AND(AK$4&gt;Inputs!$C$51+Inputs!$C$53,AK$4&lt;=Inputs!$C$51+Inputs!$C$53+Inputs!$C$54),MIN(AJ15,Inputs!$C$50/Inputs!$C$54),0)</f>
        <v/>
      </c>
      <c r="AL14" s="80">
        <f>IF(AND(AL$4&gt;Inputs!$C$51+Inputs!$C$53,AL$4&lt;=Inputs!$C$51+Inputs!$C$53+Inputs!$C$54),MIN(AK15,Inputs!$C$50/Inputs!$C$54),0)</f>
        <v/>
      </c>
      <c r="AM14" s="80">
        <f>IF(AND(AM$4&gt;Inputs!$C$51+Inputs!$C$53,AM$4&lt;=Inputs!$C$51+Inputs!$C$53+Inputs!$C$54),MIN(AL15,Inputs!$C$50/Inputs!$C$54),0)</f>
        <v/>
      </c>
      <c r="AN14" s="80">
        <f>IF(AND(AN$4&gt;Inputs!$C$51+Inputs!$C$53,AN$4&lt;=Inputs!$C$51+Inputs!$C$53+Inputs!$C$54),MIN(AM15,Inputs!$C$50/Inputs!$C$54),0)</f>
        <v/>
      </c>
      <c r="AO14" s="80">
        <f>IF(AND(AO$4&gt;Inputs!$C$51+Inputs!$C$53,AO$4&lt;=Inputs!$C$51+Inputs!$C$53+Inputs!$C$54),MIN(AN15,Inputs!$C$50/Inputs!$C$54),0)</f>
        <v/>
      </c>
      <c r="AP14" s="80">
        <f>IF(AND(AP$4&gt;Inputs!$C$51+Inputs!$C$53,AP$4&lt;=Inputs!$C$51+Inputs!$C$53+Inputs!$C$54),MIN(AO15,Inputs!$C$50/Inputs!$C$54),0)</f>
        <v/>
      </c>
      <c r="AQ14" s="80">
        <f>IF(AND(AQ$4&gt;Inputs!$C$51+Inputs!$C$53,AQ$4&lt;=Inputs!$C$51+Inputs!$C$53+Inputs!$C$54),MIN(AP15,Inputs!$C$50/Inputs!$C$54),0)</f>
        <v/>
      </c>
      <c r="AR14" s="80">
        <f>IF(AND(AR$4&gt;Inputs!$C$51+Inputs!$C$53,AR$4&lt;=Inputs!$C$51+Inputs!$C$53+Inputs!$C$54),MIN(AQ15,Inputs!$C$50/Inputs!$C$54),0)</f>
        <v/>
      </c>
      <c r="AS14" s="80">
        <f>IF(AND(AS$4&gt;Inputs!$C$51+Inputs!$C$53,AS$4&lt;=Inputs!$C$51+Inputs!$C$53+Inputs!$C$54),MIN(AR15,Inputs!$C$50/Inputs!$C$54),0)</f>
        <v/>
      </c>
      <c r="AT14" s="80">
        <f>IF(AND(AT$4&gt;Inputs!$C$51+Inputs!$C$53,AT$4&lt;=Inputs!$C$51+Inputs!$C$53+Inputs!$C$54),MIN(AS15,Inputs!$C$50/Inputs!$C$54),0)</f>
        <v/>
      </c>
      <c r="AU14" s="80">
        <f>IF(AND(AU$4&gt;Inputs!$C$51+Inputs!$C$53,AU$4&lt;=Inputs!$C$51+Inputs!$C$53+Inputs!$C$54),MIN(AT15,Inputs!$C$50/Inputs!$C$54),0)</f>
        <v/>
      </c>
      <c r="AV14" s="80">
        <f>IF(AND(AV$4&gt;Inputs!$C$51+Inputs!$C$53,AV$4&lt;=Inputs!$C$51+Inputs!$C$53+Inputs!$C$54),MIN(AU15,Inputs!$C$50/Inputs!$C$54),0)</f>
        <v/>
      </c>
      <c r="AW14" s="80">
        <f>IF(AND(AW$4&gt;Inputs!$C$51+Inputs!$C$53,AW$4&lt;=Inputs!$C$51+Inputs!$C$53+Inputs!$C$54),MIN(AV15,Inputs!$C$50/Inputs!$C$54),0)</f>
        <v/>
      </c>
      <c r="AX14" s="80">
        <f>IF(AND(AX$4&gt;Inputs!$C$51+Inputs!$C$53,AX$4&lt;=Inputs!$C$51+Inputs!$C$53+Inputs!$C$54),MIN(AW15,Inputs!$C$50/Inputs!$C$54),0)</f>
        <v/>
      </c>
      <c r="AY14" s="80">
        <f>IF(AND(AY$4&gt;Inputs!$C$51+Inputs!$C$53,AY$4&lt;=Inputs!$C$51+Inputs!$C$53+Inputs!$C$54),MIN(AX15,Inputs!$C$50/Inputs!$C$54),0)</f>
        <v/>
      </c>
      <c r="AZ14" s="80">
        <f>IF(AND(AZ$4&gt;Inputs!$C$51+Inputs!$C$53,AZ$4&lt;=Inputs!$C$51+Inputs!$C$53+Inputs!$C$54),MIN(AY15,Inputs!$C$50/Inputs!$C$54),0)</f>
        <v/>
      </c>
      <c r="BA14" s="80">
        <f>IF(AND(BA$4&gt;Inputs!$C$51+Inputs!$C$53,BA$4&lt;=Inputs!$C$51+Inputs!$C$53+Inputs!$C$54),MIN(AZ15,Inputs!$C$50/Inputs!$C$54),0)</f>
        <v/>
      </c>
      <c r="BB14" s="80">
        <f>IF(AND(BB$4&gt;Inputs!$C$51+Inputs!$C$53,BB$4&lt;=Inputs!$C$51+Inputs!$C$53+Inputs!$C$54),MIN(BA15,Inputs!$C$50/Inputs!$C$54),0)</f>
        <v/>
      </c>
      <c r="BC14" s="80">
        <f>IF(AND(BC$4&gt;Inputs!$C$51+Inputs!$C$53,BC$4&lt;=Inputs!$C$51+Inputs!$C$53+Inputs!$C$54),MIN(BB15,Inputs!$C$50/Inputs!$C$54),0)</f>
        <v/>
      </c>
      <c r="BD14" s="80">
        <f>IF(AND(BD$4&gt;Inputs!$C$51+Inputs!$C$53,BD$4&lt;=Inputs!$C$51+Inputs!$C$53+Inputs!$C$54),MIN(BC15,Inputs!$C$50/Inputs!$C$54),0)</f>
        <v/>
      </c>
      <c r="BE14" s="80">
        <f>IF(AND(BE$4&gt;Inputs!$C$51+Inputs!$C$53,BE$4&lt;=Inputs!$C$51+Inputs!$C$53+Inputs!$C$54),MIN(BD15,Inputs!$C$50/Inputs!$C$54),0)</f>
        <v/>
      </c>
      <c r="BF14" s="80">
        <f>IF(AND(BF$4&gt;Inputs!$C$51+Inputs!$C$53,BF$4&lt;=Inputs!$C$51+Inputs!$C$53+Inputs!$C$54),MIN(BE15,Inputs!$C$50/Inputs!$C$54),0)</f>
        <v/>
      </c>
      <c r="BG14" s="80">
        <f>IF(AND(BG$4&gt;Inputs!$C$51+Inputs!$C$53,BG$4&lt;=Inputs!$C$51+Inputs!$C$53+Inputs!$C$54),MIN(BF15,Inputs!$C$50/Inputs!$C$54),0)</f>
        <v/>
      </c>
      <c r="BH14" s="80">
        <f>IF(AND(BH$4&gt;Inputs!$C$51+Inputs!$C$53,BH$4&lt;=Inputs!$C$51+Inputs!$C$53+Inputs!$C$54),MIN(BG15,Inputs!$C$50/Inputs!$C$54),0)</f>
        <v/>
      </c>
      <c r="BI14" s="80">
        <f>IF(AND(BI$4&gt;Inputs!$C$51+Inputs!$C$53,BI$4&lt;=Inputs!$C$51+Inputs!$C$53+Inputs!$C$54),MIN(BH15,Inputs!$C$50/Inputs!$C$54),0)</f>
        <v/>
      </c>
      <c r="BJ14" s="80">
        <f>IF(AND(BJ$4&gt;Inputs!$C$51+Inputs!$C$53,BJ$4&lt;=Inputs!$C$51+Inputs!$C$53+Inputs!$C$54),MIN(BI15,Inputs!$C$50/Inputs!$C$54),0)</f>
        <v/>
      </c>
      <c r="BK14" s="80">
        <f>IF(AND(BK$4&gt;Inputs!$C$51+Inputs!$C$53,BK$4&lt;=Inputs!$C$51+Inputs!$C$53+Inputs!$C$54),MIN(BJ15,Inputs!$C$50/Inputs!$C$54),0)</f>
        <v/>
      </c>
      <c r="BL14" s="80">
        <f>IF(AND(BL$4&gt;Inputs!$C$51+Inputs!$C$53,BL$4&lt;=Inputs!$C$51+Inputs!$C$53+Inputs!$C$54),MIN(BK15,Inputs!$C$50/Inputs!$C$54),0)</f>
        <v/>
      </c>
    </row>
    <row r="15">
      <c r="A15" s="98" t="inlineStr">
        <is>
          <t>Closing balance (USD)</t>
        </is>
      </c>
      <c r="B15" s="65" t="inlineStr">
        <is>
          <t>USD</t>
        </is>
      </c>
      <c r="C15" s="105">
        <f>BL15</f>
        <v/>
      </c>
      <c r="E15" s="80">
        <f>D15+E13-E14</f>
        <v/>
      </c>
      <c r="F15" s="80">
        <f>E15+F13-F14</f>
        <v/>
      </c>
      <c r="G15" s="80">
        <f>F15+G13-G14</f>
        <v/>
      </c>
      <c r="H15" s="80">
        <f>G15+H13-H14</f>
        <v/>
      </c>
      <c r="I15" s="80">
        <f>H15+I13-I14</f>
        <v/>
      </c>
      <c r="J15" s="80">
        <f>I15+J13-J14</f>
        <v/>
      </c>
      <c r="K15" s="80">
        <f>J15+K13-K14</f>
        <v/>
      </c>
      <c r="L15" s="80">
        <f>K15+L13-L14</f>
        <v/>
      </c>
      <c r="M15" s="80">
        <f>L15+M13-M14</f>
        <v/>
      </c>
      <c r="N15" s="80">
        <f>M15+N13-N14</f>
        <v/>
      </c>
      <c r="O15" s="80">
        <f>N15+O13-O14</f>
        <v/>
      </c>
      <c r="P15" s="80">
        <f>O15+P13-P14</f>
        <v/>
      </c>
      <c r="Q15" s="80">
        <f>P15+Q13-Q14</f>
        <v/>
      </c>
      <c r="R15" s="80">
        <f>Q15+R13-R14</f>
        <v/>
      </c>
      <c r="S15" s="80">
        <f>R15+S13-S14</f>
        <v/>
      </c>
      <c r="T15" s="80">
        <f>S15+T13-T14</f>
        <v/>
      </c>
      <c r="U15" s="80">
        <f>T15+U13-U14</f>
        <v/>
      </c>
      <c r="V15" s="80">
        <f>U15+V13-V14</f>
        <v/>
      </c>
      <c r="W15" s="80">
        <f>V15+W13-W14</f>
        <v/>
      </c>
      <c r="X15" s="80">
        <f>W15+X13-X14</f>
        <v/>
      </c>
      <c r="Y15" s="80">
        <f>X15+Y13-Y14</f>
        <v/>
      </c>
      <c r="Z15" s="80">
        <f>Y15+Z13-Z14</f>
        <v/>
      </c>
      <c r="AA15" s="80">
        <f>Z15+AA13-AA14</f>
        <v/>
      </c>
      <c r="AB15" s="80">
        <f>AA15+AB13-AB14</f>
        <v/>
      </c>
      <c r="AC15" s="80">
        <f>AB15+AC13-AC14</f>
        <v/>
      </c>
      <c r="AD15" s="80">
        <f>AC15+AD13-AD14</f>
        <v/>
      </c>
      <c r="AE15" s="80">
        <f>AD15+AE13-AE14</f>
        <v/>
      </c>
      <c r="AF15" s="80">
        <f>AE15+AF13-AF14</f>
        <v/>
      </c>
      <c r="AG15" s="80">
        <f>AF15+AG13-AG14</f>
        <v/>
      </c>
      <c r="AH15" s="80">
        <f>AG15+AH13-AH14</f>
        <v/>
      </c>
      <c r="AI15" s="80">
        <f>AH15+AI13-AI14</f>
        <v/>
      </c>
      <c r="AJ15" s="80">
        <f>AI15+AJ13-AJ14</f>
        <v/>
      </c>
      <c r="AK15" s="80">
        <f>AJ15+AK13-AK14</f>
        <v/>
      </c>
      <c r="AL15" s="80">
        <f>AK15+AL13-AL14</f>
        <v/>
      </c>
      <c r="AM15" s="80">
        <f>AL15+AM13-AM14</f>
        <v/>
      </c>
      <c r="AN15" s="80">
        <f>AM15+AN13-AN14</f>
        <v/>
      </c>
      <c r="AO15" s="80">
        <f>AN15+AO13-AO14</f>
        <v/>
      </c>
      <c r="AP15" s="80">
        <f>AO15+AP13-AP14</f>
        <v/>
      </c>
      <c r="AQ15" s="80">
        <f>AP15+AQ13-AQ14</f>
        <v/>
      </c>
      <c r="AR15" s="80">
        <f>AQ15+AR13-AR14</f>
        <v/>
      </c>
      <c r="AS15" s="80">
        <f>AR15+AS13-AS14</f>
        <v/>
      </c>
      <c r="AT15" s="80">
        <f>AS15+AT13-AT14</f>
        <v/>
      </c>
      <c r="AU15" s="80">
        <f>AT15+AU13-AU14</f>
        <v/>
      </c>
      <c r="AV15" s="80">
        <f>AU15+AV13-AV14</f>
        <v/>
      </c>
      <c r="AW15" s="80">
        <f>AV15+AW13-AW14</f>
        <v/>
      </c>
      <c r="AX15" s="80">
        <f>AW15+AX13-AX14</f>
        <v/>
      </c>
      <c r="AY15" s="80">
        <f>AX15+AY13-AY14</f>
        <v/>
      </c>
      <c r="AZ15" s="80">
        <f>AY15+AZ13-AZ14</f>
        <v/>
      </c>
      <c r="BA15" s="80">
        <f>AZ15+BA13-BA14</f>
        <v/>
      </c>
      <c r="BB15" s="80">
        <f>BA15+BB13-BB14</f>
        <v/>
      </c>
      <c r="BC15" s="80">
        <f>BB15+BC13-BC14</f>
        <v/>
      </c>
      <c r="BD15" s="80">
        <f>BC15+BD13-BD14</f>
        <v/>
      </c>
      <c r="BE15" s="80">
        <f>BD15+BE13-BE14</f>
        <v/>
      </c>
      <c r="BF15" s="80">
        <f>BE15+BF13-BF14</f>
        <v/>
      </c>
      <c r="BG15" s="80">
        <f>BF15+BG13-BG14</f>
        <v/>
      </c>
      <c r="BH15" s="80">
        <f>BG15+BH13-BH14</f>
        <v/>
      </c>
      <c r="BI15" s="80">
        <f>BH15+BI13-BI14</f>
        <v/>
      </c>
      <c r="BJ15" s="80">
        <f>BI15+BJ13-BJ14</f>
        <v/>
      </c>
      <c r="BK15" s="80">
        <f>BJ15+BK13-BK14</f>
        <v/>
      </c>
      <c r="BL15" s="80">
        <f>BK15+BL13-BL14</f>
        <v/>
      </c>
    </row>
    <row r="16">
      <c r="A16" s="98" t="inlineStr">
        <is>
          <t>Interest (LCY)</t>
        </is>
      </c>
      <c r="B16" s="65" t="inlineStr">
        <is>
          <t>LCY</t>
        </is>
      </c>
      <c r="C16" s="105">
        <f>SUM(E16:BL16)</f>
        <v/>
      </c>
      <c r="E16" s="80">
        <f>D15*Inputs!$C$52/12*Timeline!E$8</f>
        <v/>
      </c>
      <c r="F16" s="80">
        <f>E15*Inputs!$C$52/12*Timeline!F$8</f>
        <v/>
      </c>
      <c r="G16" s="80">
        <f>F15*Inputs!$C$52/12*Timeline!G$8</f>
        <v/>
      </c>
      <c r="H16" s="80">
        <f>G15*Inputs!$C$52/12*Timeline!H$8</f>
        <v/>
      </c>
      <c r="I16" s="80">
        <f>H15*Inputs!$C$52/12*Timeline!I$8</f>
        <v/>
      </c>
      <c r="J16" s="80">
        <f>I15*Inputs!$C$52/12*Timeline!J$8</f>
        <v/>
      </c>
      <c r="K16" s="80">
        <f>J15*Inputs!$C$52/12*Timeline!K$8</f>
        <v/>
      </c>
      <c r="L16" s="80">
        <f>K15*Inputs!$C$52/12*Timeline!L$8</f>
        <v/>
      </c>
      <c r="M16" s="80">
        <f>L15*Inputs!$C$52/12*Timeline!M$8</f>
        <v/>
      </c>
      <c r="N16" s="80">
        <f>M15*Inputs!$C$52/12*Timeline!N$8</f>
        <v/>
      </c>
      <c r="O16" s="80">
        <f>N15*Inputs!$C$52/12*Timeline!O$8</f>
        <v/>
      </c>
      <c r="P16" s="80">
        <f>O15*Inputs!$C$52/12*Timeline!P$8</f>
        <v/>
      </c>
      <c r="Q16" s="80">
        <f>P15*Inputs!$C$52/12*Timeline!Q$8</f>
        <v/>
      </c>
      <c r="R16" s="80">
        <f>Q15*Inputs!$C$52/12*Timeline!R$8</f>
        <v/>
      </c>
      <c r="S16" s="80">
        <f>R15*Inputs!$C$52/12*Timeline!S$8</f>
        <v/>
      </c>
      <c r="T16" s="80">
        <f>S15*Inputs!$C$52/12*Timeline!T$8</f>
        <v/>
      </c>
      <c r="U16" s="80">
        <f>T15*Inputs!$C$52/12*Timeline!U$8</f>
        <v/>
      </c>
      <c r="V16" s="80">
        <f>U15*Inputs!$C$52/12*Timeline!V$8</f>
        <v/>
      </c>
      <c r="W16" s="80">
        <f>V15*Inputs!$C$52/12*Timeline!W$8</f>
        <v/>
      </c>
      <c r="X16" s="80">
        <f>W15*Inputs!$C$52/12*Timeline!X$8</f>
        <v/>
      </c>
      <c r="Y16" s="80">
        <f>X15*Inputs!$C$52/12*Timeline!Y$8</f>
        <v/>
      </c>
      <c r="Z16" s="80">
        <f>Y15*Inputs!$C$52/12*Timeline!Z$8</f>
        <v/>
      </c>
      <c r="AA16" s="80">
        <f>Z15*Inputs!$C$52/12*Timeline!AA$8</f>
        <v/>
      </c>
      <c r="AB16" s="80">
        <f>AA15*Inputs!$C$52/12*Timeline!AB$8</f>
        <v/>
      </c>
      <c r="AC16" s="80">
        <f>AB15*Inputs!$C$52/12*Timeline!AC$8</f>
        <v/>
      </c>
      <c r="AD16" s="80">
        <f>AC15*Inputs!$C$52/12*Timeline!AD$8</f>
        <v/>
      </c>
      <c r="AE16" s="80">
        <f>AD15*Inputs!$C$52/12*Timeline!AE$8</f>
        <v/>
      </c>
      <c r="AF16" s="80">
        <f>AE15*Inputs!$C$52/12*Timeline!AF$8</f>
        <v/>
      </c>
      <c r="AG16" s="80">
        <f>AF15*Inputs!$C$52/12*Timeline!AG$8</f>
        <v/>
      </c>
      <c r="AH16" s="80">
        <f>AG15*Inputs!$C$52/12*Timeline!AH$8</f>
        <v/>
      </c>
      <c r="AI16" s="80">
        <f>AH15*Inputs!$C$52/12*Timeline!AI$8</f>
        <v/>
      </c>
      <c r="AJ16" s="80">
        <f>AI15*Inputs!$C$52/12*Timeline!AJ$8</f>
        <v/>
      </c>
      <c r="AK16" s="80">
        <f>AJ15*Inputs!$C$52/12*Timeline!AK$8</f>
        <v/>
      </c>
      <c r="AL16" s="80">
        <f>AK15*Inputs!$C$52/12*Timeline!AL$8</f>
        <v/>
      </c>
      <c r="AM16" s="80">
        <f>AL15*Inputs!$C$52/12*Timeline!AM$8</f>
        <v/>
      </c>
      <c r="AN16" s="80">
        <f>AM15*Inputs!$C$52/12*Timeline!AN$8</f>
        <v/>
      </c>
      <c r="AO16" s="80">
        <f>AN15*Inputs!$C$52/12*Timeline!AO$8</f>
        <v/>
      </c>
      <c r="AP16" s="80">
        <f>AO15*Inputs!$C$52/12*Timeline!AP$8</f>
        <v/>
      </c>
      <c r="AQ16" s="80">
        <f>AP15*Inputs!$C$52/12*Timeline!AQ$8</f>
        <v/>
      </c>
      <c r="AR16" s="80">
        <f>AQ15*Inputs!$C$52/12*Timeline!AR$8</f>
        <v/>
      </c>
      <c r="AS16" s="80">
        <f>AR15*Inputs!$C$52/12*Timeline!AS$8</f>
        <v/>
      </c>
      <c r="AT16" s="80">
        <f>AS15*Inputs!$C$52/12*Timeline!AT$8</f>
        <v/>
      </c>
      <c r="AU16" s="80">
        <f>AT15*Inputs!$C$52/12*Timeline!AU$8</f>
        <v/>
      </c>
      <c r="AV16" s="80">
        <f>AU15*Inputs!$C$52/12*Timeline!AV$8</f>
        <v/>
      </c>
      <c r="AW16" s="80">
        <f>AV15*Inputs!$C$52/12*Timeline!AW$8</f>
        <v/>
      </c>
      <c r="AX16" s="80">
        <f>AW15*Inputs!$C$52/12*Timeline!AX$8</f>
        <v/>
      </c>
      <c r="AY16" s="80">
        <f>AX15*Inputs!$C$52/12*Timeline!AY$8</f>
        <v/>
      </c>
      <c r="AZ16" s="80">
        <f>AY15*Inputs!$C$52/12*Timeline!AZ$8</f>
        <v/>
      </c>
      <c r="BA16" s="80">
        <f>AZ15*Inputs!$C$52/12*Timeline!BA$8</f>
        <v/>
      </c>
      <c r="BB16" s="80">
        <f>BA15*Inputs!$C$52/12*Timeline!BB$8</f>
        <v/>
      </c>
      <c r="BC16" s="80">
        <f>BB15*Inputs!$C$52/12*Timeline!BC$8</f>
        <v/>
      </c>
      <c r="BD16" s="80">
        <f>BC15*Inputs!$C$52/12*Timeline!BD$8</f>
        <v/>
      </c>
      <c r="BE16" s="80">
        <f>BD15*Inputs!$C$52/12*Timeline!BE$8</f>
        <v/>
      </c>
      <c r="BF16" s="80">
        <f>BE15*Inputs!$C$52/12*Timeline!BF$8</f>
        <v/>
      </c>
      <c r="BG16" s="80">
        <f>BF15*Inputs!$C$52/12*Timeline!BG$8</f>
        <v/>
      </c>
      <c r="BH16" s="80">
        <f>BG15*Inputs!$C$52/12*Timeline!BH$8</f>
        <v/>
      </c>
      <c r="BI16" s="80">
        <f>BH15*Inputs!$C$52/12*Timeline!BI$8</f>
        <v/>
      </c>
      <c r="BJ16" s="80">
        <f>BI15*Inputs!$C$52/12*Timeline!BJ$8</f>
        <v/>
      </c>
      <c r="BK16" s="80">
        <f>BJ15*Inputs!$C$52/12*Timeline!BK$8</f>
        <v/>
      </c>
      <c r="BL16" s="80">
        <f>BK15*Inputs!$C$52/12*Timeline!BL$8</f>
        <v/>
      </c>
    </row>
    <row r="17">
      <c r="A17" s="98" t="inlineStr">
        <is>
          <t>Drawdown (LCY)</t>
        </is>
      </c>
      <c r="B17" s="65" t="inlineStr">
        <is>
          <t>LCY</t>
        </is>
      </c>
      <c r="C17" s="105">
        <f>SUM(E17:BL17)</f>
        <v/>
      </c>
      <c r="E17" s="80">
        <f>E13*Timeline!E$8</f>
        <v/>
      </c>
      <c r="F17" s="80">
        <f>F13*Timeline!F$8</f>
        <v/>
      </c>
      <c r="G17" s="80">
        <f>G13*Timeline!G$8</f>
        <v/>
      </c>
      <c r="H17" s="80">
        <f>H13*Timeline!H$8</f>
        <v/>
      </c>
      <c r="I17" s="80">
        <f>I13*Timeline!I$8</f>
        <v/>
      </c>
      <c r="J17" s="80">
        <f>J13*Timeline!J$8</f>
        <v/>
      </c>
      <c r="K17" s="80">
        <f>K13*Timeline!K$8</f>
        <v/>
      </c>
      <c r="L17" s="80">
        <f>L13*Timeline!L$8</f>
        <v/>
      </c>
      <c r="M17" s="80">
        <f>M13*Timeline!M$8</f>
        <v/>
      </c>
      <c r="N17" s="80">
        <f>N13*Timeline!N$8</f>
        <v/>
      </c>
      <c r="O17" s="80">
        <f>O13*Timeline!O$8</f>
        <v/>
      </c>
      <c r="P17" s="80">
        <f>P13*Timeline!P$8</f>
        <v/>
      </c>
      <c r="Q17" s="80">
        <f>Q13*Timeline!Q$8</f>
        <v/>
      </c>
      <c r="R17" s="80">
        <f>R13*Timeline!R$8</f>
        <v/>
      </c>
      <c r="S17" s="80">
        <f>S13*Timeline!S$8</f>
        <v/>
      </c>
      <c r="T17" s="80">
        <f>T13*Timeline!T$8</f>
        <v/>
      </c>
      <c r="U17" s="80">
        <f>U13*Timeline!U$8</f>
        <v/>
      </c>
      <c r="V17" s="80">
        <f>V13*Timeline!V$8</f>
        <v/>
      </c>
      <c r="W17" s="80">
        <f>W13*Timeline!W$8</f>
        <v/>
      </c>
      <c r="X17" s="80">
        <f>X13*Timeline!X$8</f>
        <v/>
      </c>
      <c r="Y17" s="80">
        <f>Y13*Timeline!Y$8</f>
        <v/>
      </c>
      <c r="Z17" s="80">
        <f>Z13*Timeline!Z$8</f>
        <v/>
      </c>
      <c r="AA17" s="80">
        <f>AA13*Timeline!AA$8</f>
        <v/>
      </c>
      <c r="AB17" s="80">
        <f>AB13*Timeline!AB$8</f>
        <v/>
      </c>
      <c r="AC17" s="80">
        <f>AC13*Timeline!AC$8</f>
        <v/>
      </c>
      <c r="AD17" s="80">
        <f>AD13*Timeline!AD$8</f>
        <v/>
      </c>
      <c r="AE17" s="80">
        <f>AE13*Timeline!AE$8</f>
        <v/>
      </c>
      <c r="AF17" s="80">
        <f>AF13*Timeline!AF$8</f>
        <v/>
      </c>
      <c r="AG17" s="80">
        <f>AG13*Timeline!AG$8</f>
        <v/>
      </c>
      <c r="AH17" s="80">
        <f>AH13*Timeline!AH$8</f>
        <v/>
      </c>
      <c r="AI17" s="80">
        <f>AI13*Timeline!AI$8</f>
        <v/>
      </c>
      <c r="AJ17" s="80">
        <f>AJ13*Timeline!AJ$8</f>
        <v/>
      </c>
      <c r="AK17" s="80">
        <f>AK13*Timeline!AK$8</f>
        <v/>
      </c>
      <c r="AL17" s="80">
        <f>AL13*Timeline!AL$8</f>
        <v/>
      </c>
      <c r="AM17" s="80">
        <f>AM13*Timeline!AM$8</f>
        <v/>
      </c>
      <c r="AN17" s="80">
        <f>AN13*Timeline!AN$8</f>
        <v/>
      </c>
      <c r="AO17" s="80">
        <f>AO13*Timeline!AO$8</f>
        <v/>
      </c>
      <c r="AP17" s="80">
        <f>AP13*Timeline!AP$8</f>
        <v/>
      </c>
      <c r="AQ17" s="80">
        <f>AQ13*Timeline!AQ$8</f>
        <v/>
      </c>
      <c r="AR17" s="80">
        <f>AR13*Timeline!AR$8</f>
        <v/>
      </c>
      <c r="AS17" s="80">
        <f>AS13*Timeline!AS$8</f>
        <v/>
      </c>
      <c r="AT17" s="80">
        <f>AT13*Timeline!AT$8</f>
        <v/>
      </c>
      <c r="AU17" s="80">
        <f>AU13*Timeline!AU$8</f>
        <v/>
      </c>
      <c r="AV17" s="80">
        <f>AV13*Timeline!AV$8</f>
        <v/>
      </c>
      <c r="AW17" s="80">
        <f>AW13*Timeline!AW$8</f>
        <v/>
      </c>
      <c r="AX17" s="80">
        <f>AX13*Timeline!AX$8</f>
        <v/>
      </c>
      <c r="AY17" s="80">
        <f>AY13*Timeline!AY$8</f>
        <v/>
      </c>
      <c r="AZ17" s="80">
        <f>AZ13*Timeline!AZ$8</f>
        <v/>
      </c>
      <c r="BA17" s="80">
        <f>BA13*Timeline!BA$8</f>
        <v/>
      </c>
      <c r="BB17" s="80">
        <f>BB13*Timeline!BB$8</f>
        <v/>
      </c>
      <c r="BC17" s="80">
        <f>BC13*Timeline!BC$8</f>
        <v/>
      </c>
      <c r="BD17" s="80">
        <f>BD13*Timeline!BD$8</f>
        <v/>
      </c>
      <c r="BE17" s="80">
        <f>BE13*Timeline!BE$8</f>
        <v/>
      </c>
      <c r="BF17" s="80">
        <f>BF13*Timeline!BF$8</f>
        <v/>
      </c>
      <c r="BG17" s="80">
        <f>BG13*Timeline!BG$8</f>
        <v/>
      </c>
      <c r="BH17" s="80">
        <f>BH13*Timeline!BH$8</f>
        <v/>
      </c>
      <c r="BI17" s="80">
        <f>BI13*Timeline!BI$8</f>
        <v/>
      </c>
      <c r="BJ17" s="80">
        <f>BJ13*Timeline!BJ$8</f>
        <v/>
      </c>
      <c r="BK17" s="80">
        <f>BK13*Timeline!BK$8</f>
        <v/>
      </c>
      <c r="BL17" s="80">
        <f>BL13*Timeline!BL$8</f>
        <v/>
      </c>
    </row>
    <row r="18">
      <c r="A18" s="98" t="inlineStr">
        <is>
          <t>Repayment (LCY)</t>
        </is>
      </c>
      <c r="B18" s="65" t="inlineStr">
        <is>
          <t>LCY</t>
        </is>
      </c>
      <c r="C18" s="105">
        <f>SUM(E18:BL18)</f>
        <v/>
      </c>
      <c r="E18" s="80">
        <f>E14*Timeline!E$8</f>
        <v/>
      </c>
      <c r="F18" s="80">
        <f>F14*Timeline!F$8</f>
        <v/>
      </c>
      <c r="G18" s="80">
        <f>G14*Timeline!G$8</f>
        <v/>
      </c>
      <c r="H18" s="80">
        <f>H14*Timeline!H$8</f>
        <v/>
      </c>
      <c r="I18" s="80">
        <f>I14*Timeline!I$8</f>
        <v/>
      </c>
      <c r="J18" s="80">
        <f>J14*Timeline!J$8</f>
        <v/>
      </c>
      <c r="K18" s="80">
        <f>K14*Timeline!K$8</f>
        <v/>
      </c>
      <c r="L18" s="80">
        <f>L14*Timeline!L$8</f>
        <v/>
      </c>
      <c r="M18" s="80">
        <f>M14*Timeline!M$8</f>
        <v/>
      </c>
      <c r="N18" s="80">
        <f>N14*Timeline!N$8</f>
        <v/>
      </c>
      <c r="O18" s="80">
        <f>O14*Timeline!O$8</f>
        <v/>
      </c>
      <c r="P18" s="80">
        <f>P14*Timeline!P$8</f>
        <v/>
      </c>
      <c r="Q18" s="80">
        <f>Q14*Timeline!Q$8</f>
        <v/>
      </c>
      <c r="R18" s="80">
        <f>R14*Timeline!R$8</f>
        <v/>
      </c>
      <c r="S18" s="80">
        <f>S14*Timeline!S$8</f>
        <v/>
      </c>
      <c r="T18" s="80">
        <f>T14*Timeline!T$8</f>
        <v/>
      </c>
      <c r="U18" s="80">
        <f>U14*Timeline!U$8</f>
        <v/>
      </c>
      <c r="V18" s="80">
        <f>V14*Timeline!V$8</f>
        <v/>
      </c>
      <c r="W18" s="80">
        <f>W14*Timeline!W$8</f>
        <v/>
      </c>
      <c r="X18" s="80">
        <f>X14*Timeline!X$8</f>
        <v/>
      </c>
      <c r="Y18" s="80">
        <f>Y14*Timeline!Y$8</f>
        <v/>
      </c>
      <c r="Z18" s="80">
        <f>Z14*Timeline!Z$8</f>
        <v/>
      </c>
      <c r="AA18" s="80">
        <f>AA14*Timeline!AA$8</f>
        <v/>
      </c>
      <c r="AB18" s="80">
        <f>AB14*Timeline!AB$8</f>
        <v/>
      </c>
      <c r="AC18" s="80">
        <f>AC14*Timeline!AC$8</f>
        <v/>
      </c>
      <c r="AD18" s="80">
        <f>AD14*Timeline!AD$8</f>
        <v/>
      </c>
      <c r="AE18" s="80">
        <f>AE14*Timeline!AE$8</f>
        <v/>
      </c>
      <c r="AF18" s="80">
        <f>AF14*Timeline!AF$8</f>
        <v/>
      </c>
      <c r="AG18" s="80">
        <f>AG14*Timeline!AG$8</f>
        <v/>
      </c>
      <c r="AH18" s="80">
        <f>AH14*Timeline!AH$8</f>
        <v/>
      </c>
      <c r="AI18" s="80">
        <f>AI14*Timeline!AI$8</f>
        <v/>
      </c>
      <c r="AJ18" s="80">
        <f>AJ14*Timeline!AJ$8</f>
        <v/>
      </c>
      <c r="AK18" s="80">
        <f>AK14*Timeline!AK$8</f>
        <v/>
      </c>
      <c r="AL18" s="80">
        <f>AL14*Timeline!AL$8</f>
        <v/>
      </c>
      <c r="AM18" s="80">
        <f>AM14*Timeline!AM$8</f>
        <v/>
      </c>
      <c r="AN18" s="80">
        <f>AN14*Timeline!AN$8</f>
        <v/>
      </c>
      <c r="AO18" s="80">
        <f>AO14*Timeline!AO$8</f>
        <v/>
      </c>
      <c r="AP18" s="80">
        <f>AP14*Timeline!AP$8</f>
        <v/>
      </c>
      <c r="AQ18" s="80">
        <f>AQ14*Timeline!AQ$8</f>
        <v/>
      </c>
      <c r="AR18" s="80">
        <f>AR14*Timeline!AR$8</f>
        <v/>
      </c>
      <c r="AS18" s="80">
        <f>AS14*Timeline!AS$8</f>
        <v/>
      </c>
      <c r="AT18" s="80">
        <f>AT14*Timeline!AT$8</f>
        <v/>
      </c>
      <c r="AU18" s="80">
        <f>AU14*Timeline!AU$8</f>
        <v/>
      </c>
      <c r="AV18" s="80">
        <f>AV14*Timeline!AV$8</f>
        <v/>
      </c>
      <c r="AW18" s="80">
        <f>AW14*Timeline!AW$8</f>
        <v/>
      </c>
      <c r="AX18" s="80">
        <f>AX14*Timeline!AX$8</f>
        <v/>
      </c>
      <c r="AY18" s="80">
        <f>AY14*Timeline!AY$8</f>
        <v/>
      </c>
      <c r="AZ18" s="80">
        <f>AZ14*Timeline!AZ$8</f>
        <v/>
      </c>
      <c r="BA18" s="80">
        <f>BA14*Timeline!BA$8</f>
        <v/>
      </c>
      <c r="BB18" s="80">
        <f>BB14*Timeline!BB$8</f>
        <v/>
      </c>
      <c r="BC18" s="80">
        <f>BC14*Timeline!BC$8</f>
        <v/>
      </c>
      <c r="BD18" s="80">
        <f>BD14*Timeline!BD$8</f>
        <v/>
      </c>
      <c r="BE18" s="80">
        <f>BE14*Timeline!BE$8</f>
        <v/>
      </c>
      <c r="BF18" s="80">
        <f>BF14*Timeline!BF$8</f>
        <v/>
      </c>
      <c r="BG18" s="80">
        <f>BG14*Timeline!BG$8</f>
        <v/>
      </c>
      <c r="BH18" s="80">
        <f>BH14*Timeline!BH$8</f>
        <v/>
      </c>
      <c r="BI18" s="80">
        <f>BI14*Timeline!BI$8</f>
        <v/>
      </c>
      <c r="BJ18" s="80">
        <f>BJ14*Timeline!BJ$8</f>
        <v/>
      </c>
      <c r="BK18" s="80">
        <f>BK14*Timeline!BK$8</f>
        <v/>
      </c>
      <c r="BL18" s="80">
        <f>BL14*Timeline!BL$8</f>
        <v/>
      </c>
    </row>
    <row r="19">
      <c r="A19" s="98" t="inlineStr">
        <is>
          <t>Closing balance (LCY)</t>
        </is>
      </c>
      <c r="B19" s="65" t="inlineStr">
        <is>
          <t>LCY</t>
        </is>
      </c>
      <c r="C19" s="105">
        <f>BL19</f>
        <v/>
      </c>
      <c r="E19" s="80">
        <f>E15*Timeline!E$8</f>
        <v/>
      </c>
      <c r="F19" s="80">
        <f>F15*Timeline!F$8</f>
        <v/>
      </c>
      <c r="G19" s="80">
        <f>G15*Timeline!G$8</f>
        <v/>
      </c>
      <c r="H19" s="80">
        <f>H15*Timeline!H$8</f>
        <v/>
      </c>
      <c r="I19" s="80">
        <f>I15*Timeline!I$8</f>
        <v/>
      </c>
      <c r="J19" s="80">
        <f>J15*Timeline!J$8</f>
        <v/>
      </c>
      <c r="K19" s="80">
        <f>K15*Timeline!K$8</f>
        <v/>
      </c>
      <c r="L19" s="80">
        <f>L15*Timeline!L$8</f>
        <v/>
      </c>
      <c r="M19" s="80">
        <f>M15*Timeline!M$8</f>
        <v/>
      </c>
      <c r="N19" s="80">
        <f>N15*Timeline!N$8</f>
        <v/>
      </c>
      <c r="O19" s="80">
        <f>O15*Timeline!O$8</f>
        <v/>
      </c>
      <c r="P19" s="80">
        <f>P15*Timeline!P$8</f>
        <v/>
      </c>
      <c r="Q19" s="80">
        <f>Q15*Timeline!Q$8</f>
        <v/>
      </c>
      <c r="R19" s="80">
        <f>R15*Timeline!R$8</f>
        <v/>
      </c>
      <c r="S19" s="80">
        <f>S15*Timeline!S$8</f>
        <v/>
      </c>
      <c r="T19" s="80">
        <f>T15*Timeline!T$8</f>
        <v/>
      </c>
      <c r="U19" s="80">
        <f>U15*Timeline!U$8</f>
        <v/>
      </c>
      <c r="V19" s="80">
        <f>V15*Timeline!V$8</f>
        <v/>
      </c>
      <c r="W19" s="80">
        <f>W15*Timeline!W$8</f>
        <v/>
      </c>
      <c r="X19" s="80">
        <f>X15*Timeline!X$8</f>
        <v/>
      </c>
      <c r="Y19" s="80">
        <f>Y15*Timeline!Y$8</f>
        <v/>
      </c>
      <c r="Z19" s="80">
        <f>Z15*Timeline!Z$8</f>
        <v/>
      </c>
      <c r="AA19" s="80">
        <f>AA15*Timeline!AA$8</f>
        <v/>
      </c>
      <c r="AB19" s="80">
        <f>AB15*Timeline!AB$8</f>
        <v/>
      </c>
      <c r="AC19" s="80">
        <f>AC15*Timeline!AC$8</f>
        <v/>
      </c>
      <c r="AD19" s="80">
        <f>AD15*Timeline!AD$8</f>
        <v/>
      </c>
      <c r="AE19" s="80">
        <f>AE15*Timeline!AE$8</f>
        <v/>
      </c>
      <c r="AF19" s="80">
        <f>AF15*Timeline!AF$8</f>
        <v/>
      </c>
      <c r="AG19" s="80">
        <f>AG15*Timeline!AG$8</f>
        <v/>
      </c>
      <c r="AH19" s="80">
        <f>AH15*Timeline!AH$8</f>
        <v/>
      </c>
      <c r="AI19" s="80">
        <f>AI15*Timeline!AI$8</f>
        <v/>
      </c>
      <c r="AJ19" s="80">
        <f>AJ15*Timeline!AJ$8</f>
        <v/>
      </c>
      <c r="AK19" s="80">
        <f>AK15*Timeline!AK$8</f>
        <v/>
      </c>
      <c r="AL19" s="80">
        <f>AL15*Timeline!AL$8</f>
        <v/>
      </c>
      <c r="AM19" s="80">
        <f>AM15*Timeline!AM$8</f>
        <v/>
      </c>
      <c r="AN19" s="80">
        <f>AN15*Timeline!AN$8</f>
        <v/>
      </c>
      <c r="AO19" s="80">
        <f>AO15*Timeline!AO$8</f>
        <v/>
      </c>
      <c r="AP19" s="80">
        <f>AP15*Timeline!AP$8</f>
        <v/>
      </c>
      <c r="AQ19" s="80">
        <f>AQ15*Timeline!AQ$8</f>
        <v/>
      </c>
      <c r="AR19" s="80">
        <f>AR15*Timeline!AR$8</f>
        <v/>
      </c>
      <c r="AS19" s="80">
        <f>AS15*Timeline!AS$8</f>
        <v/>
      </c>
      <c r="AT19" s="80">
        <f>AT15*Timeline!AT$8</f>
        <v/>
      </c>
      <c r="AU19" s="80">
        <f>AU15*Timeline!AU$8</f>
        <v/>
      </c>
      <c r="AV19" s="80">
        <f>AV15*Timeline!AV$8</f>
        <v/>
      </c>
      <c r="AW19" s="80">
        <f>AW15*Timeline!AW$8</f>
        <v/>
      </c>
      <c r="AX19" s="80">
        <f>AX15*Timeline!AX$8</f>
        <v/>
      </c>
      <c r="AY19" s="80">
        <f>AY15*Timeline!AY$8</f>
        <v/>
      </c>
      <c r="AZ19" s="80">
        <f>AZ15*Timeline!AZ$8</f>
        <v/>
      </c>
      <c r="BA19" s="80">
        <f>BA15*Timeline!BA$8</f>
        <v/>
      </c>
      <c r="BB19" s="80">
        <f>BB15*Timeline!BB$8</f>
        <v/>
      </c>
      <c r="BC19" s="80">
        <f>BC15*Timeline!BC$8</f>
        <v/>
      </c>
      <c r="BD19" s="80">
        <f>BD15*Timeline!BD$8</f>
        <v/>
      </c>
      <c r="BE19" s="80">
        <f>BE15*Timeline!BE$8</f>
        <v/>
      </c>
      <c r="BF19" s="80">
        <f>BF15*Timeline!BF$8</f>
        <v/>
      </c>
      <c r="BG19" s="80">
        <f>BG15*Timeline!BG$8</f>
        <v/>
      </c>
      <c r="BH19" s="80">
        <f>BH15*Timeline!BH$8</f>
        <v/>
      </c>
      <c r="BI19" s="80">
        <f>BI15*Timeline!BI$8</f>
        <v/>
      </c>
      <c r="BJ19" s="80">
        <f>BJ15*Timeline!BJ$8</f>
        <v/>
      </c>
      <c r="BK19" s="80">
        <f>BK15*Timeline!BK$8</f>
        <v/>
      </c>
      <c r="BL19" s="80">
        <f>BL15*Timeline!BL$8</f>
        <v/>
      </c>
    </row>
    <row r="20">
      <c r="A20" s="98" t="inlineStr">
        <is>
          <t>Unrealised FX loss / (gain) on USD debt (LCY)</t>
        </is>
      </c>
      <c r="B20" s="65" t="inlineStr">
        <is>
          <t>LCY</t>
        </is>
      </c>
      <c r="C20" s="105">
        <f>SUM(E20:BL20)</f>
        <v/>
      </c>
      <c r="E20" s="80">
        <f>D15*(Timeline!E$8-Timeline!D$8)</f>
        <v/>
      </c>
      <c r="F20" s="80">
        <f>E15*(Timeline!F$8-Timeline!E$8)</f>
        <v/>
      </c>
      <c r="G20" s="80">
        <f>F15*(Timeline!G$8-Timeline!F$8)</f>
        <v/>
      </c>
      <c r="H20" s="80">
        <f>G15*(Timeline!H$8-Timeline!G$8)</f>
        <v/>
      </c>
      <c r="I20" s="80">
        <f>H15*(Timeline!I$8-Timeline!H$8)</f>
        <v/>
      </c>
      <c r="J20" s="80">
        <f>I15*(Timeline!J$8-Timeline!I$8)</f>
        <v/>
      </c>
      <c r="K20" s="80">
        <f>J15*(Timeline!K$8-Timeline!J$8)</f>
        <v/>
      </c>
      <c r="L20" s="80">
        <f>K15*(Timeline!L$8-Timeline!K$8)</f>
        <v/>
      </c>
      <c r="M20" s="80">
        <f>L15*(Timeline!M$8-Timeline!L$8)</f>
        <v/>
      </c>
      <c r="N20" s="80">
        <f>M15*(Timeline!N$8-Timeline!M$8)</f>
        <v/>
      </c>
      <c r="O20" s="80">
        <f>N15*(Timeline!O$8-Timeline!N$8)</f>
        <v/>
      </c>
      <c r="P20" s="80">
        <f>O15*(Timeline!P$8-Timeline!O$8)</f>
        <v/>
      </c>
      <c r="Q20" s="80">
        <f>P15*(Timeline!Q$8-Timeline!P$8)</f>
        <v/>
      </c>
      <c r="R20" s="80">
        <f>Q15*(Timeline!R$8-Timeline!Q$8)</f>
        <v/>
      </c>
      <c r="S20" s="80">
        <f>R15*(Timeline!S$8-Timeline!R$8)</f>
        <v/>
      </c>
      <c r="T20" s="80">
        <f>S15*(Timeline!T$8-Timeline!S$8)</f>
        <v/>
      </c>
      <c r="U20" s="80">
        <f>T15*(Timeline!U$8-Timeline!T$8)</f>
        <v/>
      </c>
      <c r="V20" s="80">
        <f>U15*(Timeline!V$8-Timeline!U$8)</f>
        <v/>
      </c>
      <c r="W20" s="80">
        <f>V15*(Timeline!W$8-Timeline!V$8)</f>
        <v/>
      </c>
      <c r="X20" s="80">
        <f>W15*(Timeline!X$8-Timeline!W$8)</f>
        <v/>
      </c>
      <c r="Y20" s="80">
        <f>X15*(Timeline!Y$8-Timeline!X$8)</f>
        <v/>
      </c>
      <c r="Z20" s="80">
        <f>Y15*(Timeline!Z$8-Timeline!Y$8)</f>
        <v/>
      </c>
      <c r="AA20" s="80">
        <f>Z15*(Timeline!AA$8-Timeline!Z$8)</f>
        <v/>
      </c>
      <c r="AB20" s="80">
        <f>AA15*(Timeline!AB$8-Timeline!AA$8)</f>
        <v/>
      </c>
      <c r="AC20" s="80">
        <f>AB15*(Timeline!AC$8-Timeline!AB$8)</f>
        <v/>
      </c>
      <c r="AD20" s="80">
        <f>AC15*(Timeline!AD$8-Timeline!AC$8)</f>
        <v/>
      </c>
      <c r="AE20" s="80">
        <f>AD15*(Timeline!AE$8-Timeline!AD$8)</f>
        <v/>
      </c>
      <c r="AF20" s="80">
        <f>AE15*(Timeline!AF$8-Timeline!AE$8)</f>
        <v/>
      </c>
      <c r="AG20" s="80">
        <f>AF15*(Timeline!AG$8-Timeline!AF$8)</f>
        <v/>
      </c>
      <c r="AH20" s="80">
        <f>AG15*(Timeline!AH$8-Timeline!AG$8)</f>
        <v/>
      </c>
      <c r="AI20" s="80">
        <f>AH15*(Timeline!AI$8-Timeline!AH$8)</f>
        <v/>
      </c>
      <c r="AJ20" s="80">
        <f>AI15*(Timeline!AJ$8-Timeline!AI$8)</f>
        <v/>
      </c>
      <c r="AK20" s="80">
        <f>AJ15*(Timeline!AK$8-Timeline!AJ$8)</f>
        <v/>
      </c>
      <c r="AL20" s="80">
        <f>AK15*(Timeline!AL$8-Timeline!AK$8)</f>
        <v/>
      </c>
      <c r="AM20" s="80">
        <f>AL15*(Timeline!AM$8-Timeline!AL$8)</f>
        <v/>
      </c>
      <c r="AN20" s="80">
        <f>AM15*(Timeline!AN$8-Timeline!AM$8)</f>
        <v/>
      </c>
      <c r="AO20" s="80">
        <f>AN15*(Timeline!AO$8-Timeline!AN$8)</f>
        <v/>
      </c>
      <c r="AP20" s="80">
        <f>AO15*(Timeline!AP$8-Timeline!AO$8)</f>
        <v/>
      </c>
      <c r="AQ20" s="80">
        <f>AP15*(Timeline!AQ$8-Timeline!AP$8)</f>
        <v/>
      </c>
      <c r="AR20" s="80">
        <f>AQ15*(Timeline!AR$8-Timeline!AQ$8)</f>
        <v/>
      </c>
      <c r="AS20" s="80">
        <f>AR15*(Timeline!AS$8-Timeline!AR$8)</f>
        <v/>
      </c>
      <c r="AT20" s="80">
        <f>AS15*(Timeline!AT$8-Timeline!AS$8)</f>
        <v/>
      </c>
      <c r="AU20" s="80">
        <f>AT15*(Timeline!AU$8-Timeline!AT$8)</f>
        <v/>
      </c>
      <c r="AV20" s="80">
        <f>AU15*(Timeline!AV$8-Timeline!AU$8)</f>
        <v/>
      </c>
      <c r="AW20" s="80">
        <f>AV15*(Timeline!AW$8-Timeline!AV$8)</f>
        <v/>
      </c>
      <c r="AX20" s="80">
        <f>AW15*(Timeline!AX$8-Timeline!AW$8)</f>
        <v/>
      </c>
      <c r="AY20" s="80">
        <f>AX15*(Timeline!AY$8-Timeline!AX$8)</f>
        <v/>
      </c>
      <c r="AZ20" s="80">
        <f>AY15*(Timeline!AZ$8-Timeline!AY$8)</f>
        <v/>
      </c>
      <c r="BA20" s="80">
        <f>AZ15*(Timeline!BA$8-Timeline!AZ$8)</f>
        <v/>
      </c>
      <c r="BB20" s="80">
        <f>BA15*(Timeline!BB$8-Timeline!BA$8)</f>
        <v/>
      </c>
      <c r="BC20" s="80">
        <f>BB15*(Timeline!BC$8-Timeline!BB$8)</f>
        <v/>
      </c>
      <c r="BD20" s="80">
        <f>BC15*(Timeline!BD$8-Timeline!BC$8)</f>
        <v/>
      </c>
      <c r="BE20" s="80">
        <f>BD15*(Timeline!BE$8-Timeline!BD$8)</f>
        <v/>
      </c>
      <c r="BF20" s="80">
        <f>BE15*(Timeline!BF$8-Timeline!BE$8)</f>
        <v/>
      </c>
      <c r="BG20" s="80">
        <f>BF15*(Timeline!BG$8-Timeline!BF$8)</f>
        <v/>
      </c>
      <c r="BH20" s="80">
        <f>BG15*(Timeline!BH$8-Timeline!BG$8)</f>
        <v/>
      </c>
      <c r="BI20" s="80">
        <f>BH15*(Timeline!BI$8-Timeline!BH$8)</f>
        <v/>
      </c>
      <c r="BJ20" s="80">
        <f>BI15*(Timeline!BJ$8-Timeline!BI$8)</f>
        <v/>
      </c>
      <c r="BK20" s="80">
        <f>BJ15*(Timeline!BK$8-Timeline!BJ$8)</f>
        <v/>
      </c>
      <c r="BL20" s="80">
        <f>BK15*(Timeline!BL$8-Timeline!BK$8)</f>
        <v/>
      </c>
    </row>
    <row r="21">
      <c r="A21" s="21" t="inlineStr">
        <is>
          <t>RECEIVABLES FACILITY (LCY)</t>
        </is>
      </c>
      <c r="B21" s="22" t="n"/>
      <c r="C21" s="22" t="n"/>
      <c r="D21" s="22" t="n"/>
      <c r="E21" s="22" t="n"/>
      <c r="F21" s="22"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c r="AA21" s="22" t="n"/>
      <c r="AB21" s="22" t="n"/>
      <c r="AC21" s="22" t="n"/>
      <c r="AD21" s="22" t="n"/>
      <c r="AE21" s="22" t="n"/>
      <c r="AF21" s="22" t="n"/>
      <c r="AG21" s="22" t="n"/>
      <c r="AH21" s="22" t="n"/>
      <c r="AI21" s="22" t="n"/>
      <c r="AJ21" s="22" t="n"/>
      <c r="AK21" s="22" t="n"/>
      <c r="AL21" s="22" t="n"/>
      <c r="AM21" s="22" t="n"/>
      <c r="AN21" s="22" t="n"/>
      <c r="AO21" s="22" t="n"/>
      <c r="AP21" s="22" t="n"/>
      <c r="AQ21" s="22" t="n"/>
      <c r="AR21" s="22" t="n"/>
      <c r="AS21" s="22" t="n"/>
      <c r="AT21" s="22" t="n"/>
      <c r="AU21" s="22" t="n"/>
      <c r="AV21" s="22" t="n"/>
      <c r="AW21" s="22" t="n"/>
      <c r="AX21" s="22" t="n"/>
      <c r="AY21" s="22" t="n"/>
      <c r="AZ21" s="22" t="n"/>
      <c r="BA21" s="22" t="n"/>
      <c r="BB21" s="22" t="n"/>
      <c r="BC21" s="22" t="n"/>
      <c r="BD21" s="22" t="n"/>
      <c r="BE21" s="22" t="n"/>
      <c r="BF21" s="22" t="n"/>
      <c r="BG21" s="22" t="n"/>
      <c r="BH21" s="22" t="n"/>
      <c r="BI21" s="22" t="n"/>
      <c r="BJ21" s="22" t="n"/>
      <c r="BK21" s="22" t="n"/>
      <c r="BL21" s="22" t="n"/>
    </row>
    <row r="22">
      <c r="A22" s="98" t="inlineStr">
        <is>
          <t>Borrowing base (sum of tier contributions)</t>
        </is>
      </c>
      <c r="B22" s="65" t="inlineStr">
        <is>
          <t>LCY</t>
        </is>
      </c>
      <c r="C22" s="105">
        <f>BL22</f>
        <v/>
      </c>
      <c r="E22" s="80">
        <f>Ops!E$151*IF(Inputs!$C$60=2,Inputs!$C$62,1)</f>
        <v/>
      </c>
      <c r="F22" s="80">
        <f>Ops!F$151*IF(Inputs!$C$60=2,Inputs!$C$62,1)</f>
        <v/>
      </c>
      <c r="G22" s="80">
        <f>Ops!G$151*IF(Inputs!$C$60=2,Inputs!$C$62,1)</f>
        <v/>
      </c>
      <c r="H22" s="80">
        <f>Ops!H$151*IF(Inputs!$C$60=2,Inputs!$C$62,1)</f>
        <v/>
      </c>
      <c r="I22" s="80">
        <f>Ops!I$151*IF(Inputs!$C$60=2,Inputs!$C$62,1)</f>
        <v/>
      </c>
      <c r="J22" s="80">
        <f>Ops!J$151*IF(Inputs!$C$60=2,Inputs!$C$62,1)</f>
        <v/>
      </c>
      <c r="K22" s="80">
        <f>Ops!K$151*IF(Inputs!$C$60=2,Inputs!$C$62,1)</f>
        <v/>
      </c>
      <c r="L22" s="80">
        <f>Ops!L$151*IF(Inputs!$C$60=2,Inputs!$C$62,1)</f>
        <v/>
      </c>
      <c r="M22" s="80">
        <f>Ops!M$151*IF(Inputs!$C$60=2,Inputs!$C$62,1)</f>
        <v/>
      </c>
      <c r="N22" s="80">
        <f>Ops!N$151*IF(Inputs!$C$60=2,Inputs!$C$62,1)</f>
        <v/>
      </c>
      <c r="O22" s="80">
        <f>Ops!O$151*IF(Inputs!$C$60=2,Inputs!$C$62,1)</f>
        <v/>
      </c>
      <c r="P22" s="80">
        <f>Ops!P$151*IF(Inputs!$C$60=2,Inputs!$C$62,1)</f>
        <v/>
      </c>
      <c r="Q22" s="80">
        <f>Ops!Q$151*IF(Inputs!$C$60=2,Inputs!$C$62,1)</f>
        <v/>
      </c>
      <c r="R22" s="80">
        <f>Ops!R$151*IF(Inputs!$C$60=2,Inputs!$C$62,1)</f>
        <v/>
      </c>
      <c r="S22" s="80">
        <f>Ops!S$151*IF(Inputs!$C$60=2,Inputs!$C$62,1)</f>
        <v/>
      </c>
      <c r="T22" s="80">
        <f>Ops!T$151*IF(Inputs!$C$60=2,Inputs!$C$62,1)</f>
        <v/>
      </c>
      <c r="U22" s="80">
        <f>Ops!U$151*IF(Inputs!$C$60=2,Inputs!$C$62,1)</f>
        <v/>
      </c>
      <c r="V22" s="80">
        <f>Ops!V$151*IF(Inputs!$C$60=2,Inputs!$C$62,1)</f>
        <v/>
      </c>
      <c r="W22" s="80">
        <f>Ops!W$151*IF(Inputs!$C$60=2,Inputs!$C$62,1)</f>
        <v/>
      </c>
      <c r="X22" s="80">
        <f>Ops!X$151*IF(Inputs!$C$60=2,Inputs!$C$62,1)</f>
        <v/>
      </c>
      <c r="Y22" s="80">
        <f>Ops!Y$151*IF(Inputs!$C$60=2,Inputs!$C$62,1)</f>
        <v/>
      </c>
      <c r="Z22" s="80">
        <f>Ops!Z$151*IF(Inputs!$C$60=2,Inputs!$C$62,1)</f>
        <v/>
      </c>
      <c r="AA22" s="80">
        <f>Ops!AA$151*IF(Inputs!$C$60=2,Inputs!$C$62,1)</f>
        <v/>
      </c>
      <c r="AB22" s="80">
        <f>Ops!AB$151*IF(Inputs!$C$60=2,Inputs!$C$62,1)</f>
        <v/>
      </c>
      <c r="AC22" s="80">
        <f>Ops!AC$151*IF(Inputs!$C$60=2,Inputs!$C$62,1)</f>
        <v/>
      </c>
      <c r="AD22" s="80">
        <f>Ops!AD$151*IF(Inputs!$C$60=2,Inputs!$C$62,1)</f>
        <v/>
      </c>
      <c r="AE22" s="80">
        <f>Ops!AE$151*IF(Inputs!$C$60=2,Inputs!$C$62,1)</f>
        <v/>
      </c>
      <c r="AF22" s="80">
        <f>Ops!AF$151*IF(Inputs!$C$60=2,Inputs!$C$62,1)</f>
        <v/>
      </c>
      <c r="AG22" s="80">
        <f>Ops!AG$151*IF(Inputs!$C$60=2,Inputs!$C$62,1)</f>
        <v/>
      </c>
      <c r="AH22" s="80">
        <f>Ops!AH$151*IF(Inputs!$C$60=2,Inputs!$C$62,1)</f>
        <v/>
      </c>
      <c r="AI22" s="80">
        <f>Ops!AI$151*IF(Inputs!$C$60=2,Inputs!$C$62,1)</f>
        <v/>
      </c>
      <c r="AJ22" s="80">
        <f>Ops!AJ$151*IF(Inputs!$C$60=2,Inputs!$C$62,1)</f>
        <v/>
      </c>
      <c r="AK22" s="80">
        <f>Ops!AK$151*IF(Inputs!$C$60=2,Inputs!$C$62,1)</f>
        <v/>
      </c>
      <c r="AL22" s="80">
        <f>Ops!AL$151*IF(Inputs!$C$60=2,Inputs!$C$62,1)</f>
        <v/>
      </c>
      <c r="AM22" s="80">
        <f>Ops!AM$151*IF(Inputs!$C$60=2,Inputs!$C$62,1)</f>
        <v/>
      </c>
      <c r="AN22" s="80">
        <f>Ops!AN$151*IF(Inputs!$C$60=2,Inputs!$C$62,1)</f>
        <v/>
      </c>
      <c r="AO22" s="80">
        <f>Ops!AO$151*IF(Inputs!$C$60=2,Inputs!$C$62,1)</f>
        <v/>
      </c>
      <c r="AP22" s="80">
        <f>Ops!AP$151*IF(Inputs!$C$60=2,Inputs!$C$62,1)</f>
        <v/>
      </c>
      <c r="AQ22" s="80">
        <f>Ops!AQ$151*IF(Inputs!$C$60=2,Inputs!$C$62,1)</f>
        <v/>
      </c>
      <c r="AR22" s="80">
        <f>Ops!AR$151*IF(Inputs!$C$60=2,Inputs!$C$62,1)</f>
        <v/>
      </c>
      <c r="AS22" s="80">
        <f>Ops!AS$151*IF(Inputs!$C$60=2,Inputs!$C$62,1)</f>
        <v/>
      </c>
      <c r="AT22" s="80">
        <f>Ops!AT$151*IF(Inputs!$C$60=2,Inputs!$C$62,1)</f>
        <v/>
      </c>
      <c r="AU22" s="80">
        <f>Ops!AU$151*IF(Inputs!$C$60=2,Inputs!$C$62,1)</f>
        <v/>
      </c>
      <c r="AV22" s="80">
        <f>Ops!AV$151*IF(Inputs!$C$60=2,Inputs!$C$62,1)</f>
        <v/>
      </c>
      <c r="AW22" s="80">
        <f>Ops!AW$151*IF(Inputs!$C$60=2,Inputs!$C$62,1)</f>
        <v/>
      </c>
      <c r="AX22" s="80">
        <f>Ops!AX$151*IF(Inputs!$C$60=2,Inputs!$C$62,1)</f>
        <v/>
      </c>
      <c r="AY22" s="80">
        <f>Ops!AY$151*IF(Inputs!$C$60=2,Inputs!$C$62,1)</f>
        <v/>
      </c>
      <c r="AZ22" s="80">
        <f>Ops!AZ$151*IF(Inputs!$C$60=2,Inputs!$C$62,1)</f>
        <v/>
      </c>
      <c r="BA22" s="80">
        <f>Ops!BA$151*IF(Inputs!$C$60=2,Inputs!$C$62,1)</f>
        <v/>
      </c>
      <c r="BB22" s="80">
        <f>Ops!BB$151*IF(Inputs!$C$60=2,Inputs!$C$62,1)</f>
        <v/>
      </c>
      <c r="BC22" s="80">
        <f>Ops!BC$151*IF(Inputs!$C$60=2,Inputs!$C$62,1)</f>
        <v/>
      </c>
      <c r="BD22" s="80">
        <f>Ops!BD$151*IF(Inputs!$C$60=2,Inputs!$C$62,1)</f>
        <v/>
      </c>
      <c r="BE22" s="80">
        <f>Ops!BE$151*IF(Inputs!$C$60=2,Inputs!$C$62,1)</f>
        <v/>
      </c>
      <c r="BF22" s="80">
        <f>Ops!BF$151*IF(Inputs!$C$60=2,Inputs!$C$62,1)</f>
        <v/>
      </c>
      <c r="BG22" s="80">
        <f>Ops!BG$151*IF(Inputs!$C$60=2,Inputs!$C$62,1)</f>
        <v/>
      </c>
      <c r="BH22" s="80">
        <f>Ops!BH$151*IF(Inputs!$C$60=2,Inputs!$C$62,1)</f>
        <v/>
      </c>
      <c r="BI22" s="80">
        <f>Ops!BI$151*IF(Inputs!$C$60=2,Inputs!$C$62,1)</f>
        <v/>
      </c>
      <c r="BJ22" s="80">
        <f>Ops!BJ$151*IF(Inputs!$C$60=2,Inputs!$C$62,1)</f>
        <v/>
      </c>
      <c r="BK22" s="80">
        <f>Ops!BK$151*IF(Inputs!$C$60=2,Inputs!$C$62,1)</f>
        <v/>
      </c>
      <c r="BL22" s="80">
        <f>Ops!BL$151*IF(Inputs!$C$60=2,Inputs!$C$62,1)</f>
        <v/>
      </c>
    </row>
    <row r="23">
      <c r="A23" s="98" t="inlineStr">
        <is>
          <t>Facility drawn (closing; cash sweep within borrowing base)</t>
        </is>
      </c>
      <c r="B23" s="65" t="inlineStr">
        <is>
          <t>LCY</t>
        </is>
      </c>
      <c r="C23" s="105">
        <f>BL23</f>
        <v/>
      </c>
      <c r="E23" s="80">
        <f>IF(E$4&gt;=Inputs!$C$57,MAX(0,MIN(Inputs!$C$55,E22,D23+Inputs!$C$46-FS!E$62)),0)</f>
        <v/>
      </c>
      <c r="F23" s="80">
        <f>IF(F$4&gt;=Inputs!$C$57,MAX(0,MIN(Inputs!$C$55,F22,E23+Inputs!$C$46-FS!F$62)),0)</f>
        <v/>
      </c>
      <c r="G23" s="80">
        <f>IF(G$4&gt;=Inputs!$C$57,MAX(0,MIN(Inputs!$C$55,G22,F23+Inputs!$C$46-FS!G$62)),0)</f>
        <v/>
      </c>
      <c r="H23" s="80">
        <f>IF(H$4&gt;=Inputs!$C$57,MAX(0,MIN(Inputs!$C$55,H22,G23+Inputs!$C$46-FS!H$62)),0)</f>
        <v/>
      </c>
      <c r="I23" s="80">
        <f>IF(I$4&gt;=Inputs!$C$57,MAX(0,MIN(Inputs!$C$55,I22,H23+Inputs!$C$46-FS!I$62)),0)</f>
        <v/>
      </c>
      <c r="J23" s="80">
        <f>IF(J$4&gt;=Inputs!$C$57,MAX(0,MIN(Inputs!$C$55,J22,I23+Inputs!$C$46-FS!J$62)),0)</f>
        <v/>
      </c>
      <c r="K23" s="80">
        <f>IF(K$4&gt;=Inputs!$C$57,MAX(0,MIN(Inputs!$C$55,K22,J23+Inputs!$C$46-FS!K$62)),0)</f>
        <v/>
      </c>
      <c r="L23" s="80">
        <f>IF(L$4&gt;=Inputs!$C$57,MAX(0,MIN(Inputs!$C$55,L22,K23+Inputs!$C$46-FS!L$62)),0)</f>
        <v/>
      </c>
      <c r="M23" s="80">
        <f>IF(M$4&gt;=Inputs!$C$57,MAX(0,MIN(Inputs!$C$55,M22,L23+Inputs!$C$46-FS!M$62)),0)</f>
        <v/>
      </c>
      <c r="N23" s="80">
        <f>IF(N$4&gt;=Inputs!$C$57,MAX(0,MIN(Inputs!$C$55,N22,M23+Inputs!$C$46-FS!N$62)),0)</f>
        <v/>
      </c>
      <c r="O23" s="80">
        <f>IF(O$4&gt;=Inputs!$C$57,MAX(0,MIN(Inputs!$C$55,O22,N23+Inputs!$C$46-FS!O$62)),0)</f>
        <v/>
      </c>
      <c r="P23" s="80">
        <f>IF(P$4&gt;=Inputs!$C$57,MAX(0,MIN(Inputs!$C$55,P22,O23+Inputs!$C$46-FS!P$62)),0)</f>
        <v/>
      </c>
      <c r="Q23" s="80">
        <f>IF(Q$4&gt;=Inputs!$C$57,MAX(0,MIN(Inputs!$C$55,Q22,P23+Inputs!$C$46-FS!Q$62)),0)</f>
        <v/>
      </c>
      <c r="R23" s="80">
        <f>IF(R$4&gt;=Inputs!$C$57,MAX(0,MIN(Inputs!$C$55,R22,Q23+Inputs!$C$46-FS!R$62)),0)</f>
        <v/>
      </c>
      <c r="S23" s="80">
        <f>IF(S$4&gt;=Inputs!$C$57,MAX(0,MIN(Inputs!$C$55,S22,R23+Inputs!$C$46-FS!S$62)),0)</f>
        <v/>
      </c>
      <c r="T23" s="80">
        <f>IF(T$4&gt;=Inputs!$C$57,MAX(0,MIN(Inputs!$C$55,T22,S23+Inputs!$C$46-FS!T$62)),0)</f>
        <v/>
      </c>
      <c r="U23" s="80">
        <f>IF(U$4&gt;=Inputs!$C$57,MAX(0,MIN(Inputs!$C$55,U22,T23+Inputs!$C$46-FS!U$62)),0)</f>
        <v/>
      </c>
      <c r="V23" s="80">
        <f>IF(V$4&gt;=Inputs!$C$57,MAX(0,MIN(Inputs!$C$55,V22,U23+Inputs!$C$46-FS!V$62)),0)</f>
        <v/>
      </c>
      <c r="W23" s="80">
        <f>IF(W$4&gt;=Inputs!$C$57,MAX(0,MIN(Inputs!$C$55,W22,V23+Inputs!$C$46-FS!W$62)),0)</f>
        <v/>
      </c>
      <c r="X23" s="80">
        <f>IF(X$4&gt;=Inputs!$C$57,MAX(0,MIN(Inputs!$C$55,X22,W23+Inputs!$C$46-FS!X$62)),0)</f>
        <v/>
      </c>
      <c r="Y23" s="80">
        <f>IF(Y$4&gt;=Inputs!$C$57,MAX(0,MIN(Inputs!$C$55,Y22,X23+Inputs!$C$46-FS!Y$62)),0)</f>
        <v/>
      </c>
      <c r="Z23" s="80">
        <f>IF(Z$4&gt;=Inputs!$C$57,MAX(0,MIN(Inputs!$C$55,Z22,Y23+Inputs!$C$46-FS!Z$62)),0)</f>
        <v/>
      </c>
      <c r="AA23" s="80">
        <f>IF(AA$4&gt;=Inputs!$C$57,MAX(0,MIN(Inputs!$C$55,AA22,Z23+Inputs!$C$46-FS!AA$62)),0)</f>
        <v/>
      </c>
      <c r="AB23" s="80">
        <f>IF(AB$4&gt;=Inputs!$C$57,MAX(0,MIN(Inputs!$C$55,AB22,AA23+Inputs!$C$46-FS!AB$62)),0)</f>
        <v/>
      </c>
      <c r="AC23" s="80">
        <f>IF(AC$4&gt;=Inputs!$C$57,MAX(0,MIN(Inputs!$C$55,AC22,AB23+Inputs!$C$46-FS!AC$62)),0)</f>
        <v/>
      </c>
      <c r="AD23" s="80">
        <f>IF(AD$4&gt;=Inputs!$C$57,MAX(0,MIN(Inputs!$C$55,AD22,AC23+Inputs!$C$46-FS!AD$62)),0)</f>
        <v/>
      </c>
      <c r="AE23" s="80">
        <f>IF(AE$4&gt;=Inputs!$C$57,MAX(0,MIN(Inputs!$C$55,AE22,AD23+Inputs!$C$46-FS!AE$62)),0)</f>
        <v/>
      </c>
      <c r="AF23" s="80">
        <f>IF(AF$4&gt;=Inputs!$C$57,MAX(0,MIN(Inputs!$C$55,AF22,AE23+Inputs!$C$46-FS!AF$62)),0)</f>
        <v/>
      </c>
      <c r="AG23" s="80">
        <f>IF(AG$4&gt;=Inputs!$C$57,MAX(0,MIN(Inputs!$C$55,AG22,AF23+Inputs!$C$46-FS!AG$62)),0)</f>
        <v/>
      </c>
      <c r="AH23" s="80">
        <f>IF(AH$4&gt;=Inputs!$C$57,MAX(0,MIN(Inputs!$C$55,AH22,AG23+Inputs!$C$46-FS!AH$62)),0)</f>
        <v/>
      </c>
      <c r="AI23" s="80">
        <f>IF(AI$4&gt;=Inputs!$C$57,MAX(0,MIN(Inputs!$C$55,AI22,AH23+Inputs!$C$46-FS!AI$62)),0)</f>
        <v/>
      </c>
      <c r="AJ23" s="80">
        <f>IF(AJ$4&gt;=Inputs!$C$57,MAX(0,MIN(Inputs!$C$55,AJ22,AI23+Inputs!$C$46-FS!AJ$62)),0)</f>
        <v/>
      </c>
      <c r="AK23" s="80">
        <f>IF(AK$4&gt;=Inputs!$C$57,MAX(0,MIN(Inputs!$C$55,AK22,AJ23+Inputs!$C$46-FS!AK$62)),0)</f>
        <v/>
      </c>
      <c r="AL23" s="80">
        <f>IF(AL$4&gt;=Inputs!$C$57,MAX(0,MIN(Inputs!$C$55,AL22,AK23+Inputs!$C$46-FS!AL$62)),0)</f>
        <v/>
      </c>
      <c r="AM23" s="80">
        <f>IF(AM$4&gt;=Inputs!$C$57,MAX(0,MIN(Inputs!$C$55,AM22,AL23+Inputs!$C$46-FS!AM$62)),0)</f>
        <v/>
      </c>
      <c r="AN23" s="80">
        <f>IF(AN$4&gt;=Inputs!$C$57,MAX(0,MIN(Inputs!$C$55,AN22,AM23+Inputs!$C$46-FS!AN$62)),0)</f>
        <v/>
      </c>
      <c r="AO23" s="80">
        <f>IF(AO$4&gt;=Inputs!$C$57,MAX(0,MIN(Inputs!$C$55,AO22,AN23+Inputs!$C$46-FS!AO$62)),0)</f>
        <v/>
      </c>
      <c r="AP23" s="80">
        <f>IF(AP$4&gt;=Inputs!$C$57,MAX(0,MIN(Inputs!$C$55,AP22,AO23+Inputs!$C$46-FS!AP$62)),0)</f>
        <v/>
      </c>
      <c r="AQ23" s="80">
        <f>IF(AQ$4&gt;=Inputs!$C$57,MAX(0,MIN(Inputs!$C$55,AQ22,AP23+Inputs!$C$46-FS!AQ$62)),0)</f>
        <v/>
      </c>
      <c r="AR23" s="80">
        <f>IF(AR$4&gt;=Inputs!$C$57,MAX(0,MIN(Inputs!$C$55,AR22,AQ23+Inputs!$C$46-FS!AR$62)),0)</f>
        <v/>
      </c>
      <c r="AS23" s="80">
        <f>IF(AS$4&gt;=Inputs!$C$57,MAX(0,MIN(Inputs!$C$55,AS22,AR23+Inputs!$C$46-FS!AS$62)),0)</f>
        <v/>
      </c>
      <c r="AT23" s="80">
        <f>IF(AT$4&gt;=Inputs!$C$57,MAX(0,MIN(Inputs!$C$55,AT22,AS23+Inputs!$C$46-FS!AT$62)),0)</f>
        <v/>
      </c>
      <c r="AU23" s="80">
        <f>IF(AU$4&gt;=Inputs!$C$57,MAX(0,MIN(Inputs!$C$55,AU22,AT23+Inputs!$C$46-FS!AU$62)),0)</f>
        <v/>
      </c>
      <c r="AV23" s="80">
        <f>IF(AV$4&gt;=Inputs!$C$57,MAX(0,MIN(Inputs!$C$55,AV22,AU23+Inputs!$C$46-FS!AV$62)),0)</f>
        <v/>
      </c>
      <c r="AW23" s="80">
        <f>IF(AW$4&gt;=Inputs!$C$57,MAX(0,MIN(Inputs!$C$55,AW22,AV23+Inputs!$C$46-FS!AW$62)),0)</f>
        <v/>
      </c>
      <c r="AX23" s="80">
        <f>IF(AX$4&gt;=Inputs!$C$57,MAX(0,MIN(Inputs!$C$55,AX22,AW23+Inputs!$C$46-FS!AX$62)),0)</f>
        <v/>
      </c>
      <c r="AY23" s="80">
        <f>IF(AY$4&gt;=Inputs!$C$57,MAX(0,MIN(Inputs!$C$55,AY22,AX23+Inputs!$C$46-FS!AY$62)),0)</f>
        <v/>
      </c>
      <c r="AZ23" s="80">
        <f>IF(AZ$4&gt;=Inputs!$C$57,MAX(0,MIN(Inputs!$C$55,AZ22,AY23+Inputs!$C$46-FS!AZ$62)),0)</f>
        <v/>
      </c>
      <c r="BA23" s="80">
        <f>IF(BA$4&gt;=Inputs!$C$57,MAX(0,MIN(Inputs!$C$55,BA22,AZ23+Inputs!$C$46-FS!BA$62)),0)</f>
        <v/>
      </c>
      <c r="BB23" s="80">
        <f>IF(BB$4&gt;=Inputs!$C$57,MAX(0,MIN(Inputs!$C$55,BB22,BA23+Inputs!$C$46-FS!BB$62)),0)</f>
        <v/>
      </c>
      <c r="BC23" s="80">
        <f>IF(BC$4&gt;=Inputs!$C$57,MAX(0,MIN(Inputs!$C$55,BC22,BB23+Inputs!$C$46-FS!BC$62)),0)</f>
        <v/>
      </c>
      <c r="BD23" s="80">
        <f>IF(BD$4&gt;=Inputs!$C$57,MAX(0,MIN(Inputs!$C$55,BD22,BC23+Inputs!$C$46-FS!BD$62)),0)</f>
        <v/>
      </c>
      <c r="BE23" s="80">
        <f>IF(BE$4&gt;=Inputs!$C$57,MAX(0,MIN(Inputs!$C$55,BE22,BD23+Inputs!$C$46-FS!BE$62)),0)</f>
        <v/>
      </c>
      <c r="BF23" s="80">
        <f>IF(BF$4&gt;=Inputs!$C$57,MAX(0,MIN(Inputs!$C$55,BF22,BE23+Inputs!$C$46-FS!BF$62)),0)</f>
        <v/>
      </c>
      <c r="BG23" s="80">
        <f>IF(BG$4&gt;=Inputs!$C$57,MAX(0,MIN(Inputs!$C$55,BG22,BF23+Inputs!$C$46-FS!BG$62)),0)</f>
        <v/>
      </c>
      <c r="BH23" s="80">
        <f>IF(BH$4&gt;=Inputs!$C$57,MAX(0,MIN(Inputs!$C$55,BH22,BG23+Inputs!$C$46-FS!BH$62)),0)</f>
        <v/>
      </c>
      <c r="BI23" s="80">
        <f>IF(BI$4&gt;=Inputs!$C$57,MAX(0,MIN(Inputs!$C$55,BI22,BH23+Inputs!$C$46-FS!BI$62)),0)</f>
        <v/>
      </c>
      <c r="BJ23" s="80">
        <f>IF(BJ$4&gt;=Inputs!$C$57,MAX(0,MIN(Inputs!$C$55,BJ22,BI23+Inputs!$C$46-FS!BJ$62)),0)</f>
        <v/>
      </c>
      <c r="BK23" s="80">
        <f>IF(BK$4&gt;=Inputs!$C$57,MAX(0,MIN(Inputs!$C$55,BK22,BJ23+Inputs!$C$46-FS!BK$62)),0)</f>
        <v/>
      </c>
      <c r="BL23" s="80">
        <f>IF(BL$4&gt;=Inputs!$C$57,MAX(0,MIN(Inputs!$C$55,BL22,BK23+Inputs!$C$46-FS!BL$62)),0)</f>
        <v/>
      </c>
    </row>
    <row r="24">
      <c r="A24" s="98" t="inlineStr">
        <is>
          <t>Net drawdown / (repayment)</t>
        </is>
      </c>
      <c r="B24" s="65" t="inlineStr">
        <is>
          <t>LCY</t>
        </is>
      </c>
      <c r="C24" s="105">
        <f>SUM(E24:BL24)</f>
        <v/>
      </c>
      <c r="E24" s="80">
        <f>E23-D23</f>
        <v/>
      </c>
      <c r="F24" s="80">
        <f>F23-E23</f>
        <v/>
      </c>
      <c r="G24" s="80">
        <f>G23-F23</f>
        <v/>
      </c>
      <c r="H24" s="80">
        <f>H23-G23</f>
        <v/>
      </c>
      <c r="I24" s="80">
        <f>I23-H23</f>
        <v/>
      </c>
      <c r="J24" s="80">
        <f>J23-I23</f>
        <v/>
      </c>
      <c r="K24" s="80">
        <f>K23-J23</f>
        <v/>
      </c>
      <c r="L24" s="80">
        <f>L23-K23</f>
        <v/>
      </c>
      <c r="M24" s="80">
        <f>M23-L23</f>
        <v/>
      </c>
      <c r="N24" s="80">
        <f>N23-M23</f>
        <v/>
      </c>
      <c r="O24" s="80">
        <f>O23-N23</f>
        <v/>
      </c>
      <c r="P24" s="80">
        <f>P23-O23</f>
        <v/>
      </c>
      <c r="Q24" s="80">
        <f>Q23-P23</f>
        <v/>
      </c>
      <c r="R24" s="80">
        <f>R23-Q23</f>
        <v/>
      </c>
      <c r="S24" s="80">
        <f>S23-R23</f>
        <v/>
      </c>
      <c r="T24" s="80">
        <f>T23-S23</f>
        <v/>
      </c>
      <c r="U24" s="80">
        <f>U23-T23</f>
        <v/>
      </c>
      <c r="V24" s="80">
        <f>V23-U23</f>
        <v/>
      </c>
      <c r="W24" s="80">
        <f>W23-V23</f>
        <v/>
      </c>
      <c r="X24" s="80">
        <f>X23-W23</f>
        <v/>
      </c>
      <c r="Y24" s="80">
        <f>Y23-X23</f>
        <v/>
      </c>
      <c r="Z24" s="80">
        <f>Z23-Y23</f>
        <v/>
      </c>
      <c r="AA24" s="80">
        <f>AA23-Z23</f>
        <v/>
      </c>
      <c r="AB24" s="80">
        <f>AB23-AA23</f>
        <v/>
      </c>
      <c r="AC24" s="80">
        <f>AC23-AB23</f>
        <v/>
      </c>
      <c r="AD24" s="80">
        <f>AD23-AC23</f>
        <v/>
      </c>
      <c r="AE24" s="80">
        <f>AE23-AD23</f>
        <v/>
      </c>
      <c r="AF24" s="80">
        <f>AF23-AE23</f>
        <v/>
      </c>
      <c r="AG24" s="80">
        <f>AG23-AF23</f>
        <v/>
      </c>
      <c r="AH24" s="80">
        <f>AH23-AG23</f>
        <v/>
      </c>
      <c r="AI24" s="80">
        <f>AI23-AH23</f>
        <v/>
      </c>
      <c r="AJ24" s="80">
        <f>AJ23-AI23</f>
        <v/>
      </c>
      <c r="AK24" s="80">
        <f>AK23-AJ23</f>
        <v/>
      </c>
      <c r="AL24" s="80">
        <f>AL23-AK23</f>
        <v/>
      </c>
      <c r="AM24" s="80">
        <f>AM23-AL23</f>
        <v/>
      </c>
      <c r="AN24" s="80">
        <f>AN23-AM23</f>
        <v/>
      </c>
      <c r="AO24" s="80">
        <f>AO23-AN23</f>
        <v/>
      </c>
      <c r="AP24" s="80">
        <f>AP23-AO23</f>
        <v/>
      </c>
      <c r="AQ24" s="80">
        <f>AQ23-AP23</f>
        <v/>
      </c>
      <c r="AR24" s="80">
        <f>AR23-AQ23</f>
        <v/>
      </c>
      <c r="AS24" s="80">
        <f>AS23-AR23</f>
        <v/>
      </c>
      <c r="AT24" s="80">
        <f>AT23-AS23</f>
        <v/>
      </c>
      <c r="AU24" s="80">
        <f>AU23-AT23</f>
        <v/>
      </c>
      <c r="AV24" s="80">
        <f>AV23-AU23</f>
        <v/>
      </c>
      <c r="AW24" s="80">
        <f>AW23-AV23</f>
        <v/>
      </c>
      <c r="AX24" s="80">
        <f>AX23-AW23</f>
        <v/>
      </c>
      <c r="AY24" s="80">
        <f>AY23-AX23</f>
        <v/>
      </c>
      <c r="AZ24" s="80">
        <f>AZ23-AY23</f>
        <v/>
      </c>
      <c r="BA24" s="80">
        <f>BA23-AZ23</f>
        <v/>
      </c>
      <c r="BB24" s="80">
        <f>BB23-BA23</f>
        <v/>
      </c>
      <c r="BC24" s="80">
        <f>BC23-BB23</f>
        <v/>
      </c>
      <c r="BD24" s="80">
        <f>BD23-BC23</f>
        <v/>
      </c>
      <c r="BE24" s="80">
        <f>BE23-BD23</f>
        <v/>
      </c>
      <c r="BF24" s="80">
        <f>BF23-BE23</f>
        <v/>
      </c>
      <c r="BG24" s="80">
        <f>BG23-BF23</f>
        <v/>
      </c>
      <c r="BH24" s="80">
        <f>BH23-BG23</f>
        <v/>
      </c>
      <c r="BI24" s="80">
        <f>BI23-BH23</f>
        <v/>
      </c>
      <c r="BJ24" s="80">
        <f>BJ23-BI23</f>
        <v/>
      </c>
      <c r="BK24" s="80">
        <f>BK23-BJ23</f>
        <v/>
      </c>
      <c r="BL24" s="80">
        <f>BL23-BK23</f>
        <v/>
      </c>
    </row>
    <row r="25">
      <c r="A25" s="98" t="inlineStr">
        <is>
          <t>Interest</t>
        </is>
      </c>
      <c r="B25" s="65" t="inlineStr">
        <is>
          <t>LCY</t>
        </is>
      </c>
      <c r="C25" s="105">
        <f>SUM(E25:BL25)</f>
        <v/>
      </c>
      <c r="E25" s="80">
        <f>D23*IF(Inputs!$C$60=2,Inputs!$C$61,Inputs!$C$56)/12</f>
        <v/>
      </c>
      <c r="F25" s="80">
        <f>E23*IF(Inputs!$C$60=2,Inputs!$C$61,Inputs!$C$56)/12</f>
        <v/>
      </c>
      <c r="G25" s="80">
        <f>F23*IF(Inputs!$C$60=2,Inputs!$C$61,Inputs!$C$56)/12</f>
        <v/>
      </c>
      <c r="H25" s="80">
        <f>G23*IF(Inputs!$C$60=2,Inputs!$C$61,Inputs!$C$56)/12</f>
        <v/>
      </c>
      <c r="I25" s="80">
        <f>H23*IF(Inputs!$C$60=2,Inputs!$C$61,Inputs!$C$56)/12</f>
        <v/>
      </c>
      <c r="J25" s="80">
        <f>I23*IF(Inputs!$C$60=2,Inputs!$C$61,Inputs!$C$56)/12</f>
        <v/>
      </c>
      <c r="K25" s="80">
        <f>J23*IF(Inputs!$C$60=2,Inputs!$C$61,Inputs!$C$56)/12</f>
        <v/>
      </c>
      <c r="L25" s="80">
        <f>K23*IF(Inputs!$C$60=2,Inputs!$C$61,Inputs!$C$56)/12</f>
        <v/>
      </c>
      <c r="M25" s="80">
        <f>L23*IF(Inputs!$C$60=2,Inputs!$C$61,Inputs!$C$56)/12</f>
        <v/>
      </c>
      <c r="N25" s="80">
        <f>M23*IF(Inputs!$C$60=2,Inputs!$C$61,Inputs!$C$56)/12</f>
        <v/>
      </c>
      <c r="O25" s="80">
        <f>N23*IF(Inputs!$C$60=2,Inputs!$C$61,Inputs!$C$56)/12</f>
        <v/>
      </c>
      <c r="P25" s="80">
        <f>O23*IF(Inputs!$C$60=2,Inputs!$C$61,Inputs!$C$56)/12</f>
        <v/>
      </c>
      <c r="Q25" s="80">
        <f>P23*IF(Inputs!$C$60=2,Inputs!$C$61,Inputs!$C$56)/12</f>
        <v/>
      </c>
      <c r="R25" s="80">
        <f>Q23*IF(Inputs!$C$60=2,Inputs!$C$61,Inputs!$C$56)/12</f>
        <v/>
      </c>
      <c r="S25" s="80">
        <f>R23*IF(Inputs!$C$60=2,Inputs!$C$61,Inputs!$C$56)/12</f>
        <v/>
      </c>
      <c r="T25" s="80">
        <f>S23*IF(Inputs!$C$60=2,Inputs!$C$61,Inputs!$C$56)/12</f>
        <v/>
      </c>
      <c r="U25" s="80">
        <f>T23*IF(Inputs!$C$60=2,Inputs!$C$61,Inputs!$C$56)/12</f>
        <v/>
      </c>
      <c r="V25" s="80">
        <f>U23*IF(Inputs!$C$60=2,Inputs!$C$61,Inputs!$C$56)/12</f>
        <v/>
      </c>
      <c r="W25" s="80">
        <f>V23*IF(Inputs!$C$60=2,Inputs!$C$61,Inputs!$C$56)/12</f>
        <v/>
      </c>
      <c r="X25" s="80">
        <f>W23*IF(Inputs!$C$60=2,Inputs!$C$61,Inputs!$C$56)/12</f>
        <v/>
      </c>
      <c r="Y25" s="80">
        <f>X23*IF(Inputs!$C$60=2,Inputs!$C$61,Inputs!$C$56)/12</f>
        <v/>
      </c>
      <c r="Z25" s="80">
        <f>Y23*IF(Inputs!$C$60=2,Inputs!$C$61,Inputs!$C$56)/12</f>
        <v/>
      </c>
      <c r="AA25" s="80">
        <f>Z23*IF(Inputs!$C$60=2,Inputs!$C$61,Inputs!$C$56)/12</f>
        <v/>
      </c>
      <c r="AB25" s="80">
        <f>AA23*IF(Inputs!$C$60=2,Inputs!$C$61,Inputs!$C$56)/12</f>
        <v/>
      </c>
      <c r="AC25" s="80">
        <f>AB23*IF(Inputs!$C$60=2,Inputs!$C$61,Inputs!$C$56)/12</f>
        <v/>
      </c>
      <c r="AD25" s="80">
        <f>AC23*IF(Inputs!$C$60=2,Inputs!$C$61,Inputs!$C$56)/12</f>
        <v/>
      </c>
      <c r="AE25" s="80">
        <f>AD23*IF(Inputs!$C$60=2,Inputs!$C$61,Inputs!$C$56)/12</f>
        <v/>
      </c>
      <c r="AF25" s="80">
        <f>AE23*IF(Inputs!$C$60=2,Inputs!$C$61,Inputs!$C$56)/12</f>
        <v/>
      </c>
      <c r="AG25" s="80">
        <f>AF23*IF(Inputs!$C$60=2,Inputs!$C$61,Inputs!$C$56)/12</f>
        <v/>
      </c>
      <c r="AH25" s="80">
        <f>AG23*IF(Inputs!$C$60=2,Inputs!$C$61,Inputs!$C$56)/12</f>
        <v/>
      </c>
      <c r="AI25" s="80">
        <f>AH23*IF(Inputs!$C$60=2,Inputs!$C$61,Inputs!$C$56)/12</f>
        <v/>
      </c>
      <c r="AJ25" s="80">
        <f>AI23*IF(Inputs!$C$60=2,Inputs!$C$61,Inputs!$C$56)/12</f>
        <v/>
      </c>
      <c r="AK25" s="80">
        <f>AJ23*IF(Inputs!$C$60=2,Inputs!$C$61,Inputs!$C$56)/12</f>
        <v/>
      </c>
      <c r="AL25" s="80">
        <f>AK23*IF(Inputs!$C$60=2,Inputs!$C$61,Inputs!$C$56)/12</f>
        <v/>
      </c>
      <c r="AM25" s="80">
        <f>AL23*IF(Inputs!$C$60=2,Inputs!$C$61,Inputs!$C$56)/12</f>
        <v/>
      </c>
      <c r="AN25" s="80">
        <f>AM23*IF(Inputs!$C$60=2,Inputs!$C$61,Inputs!$C$56)/12</f>
        <v/>
      </c>
      <c r="AO25" s="80">
        <f>AN23*IF(Inputs!$C$60=2,Inputs!$C$61,Inputs!$C$56)/12</f>
        <v/>
      </c>
      <c r="AP25" s="80">
        <f>AO23*IF(Inputs!$C$60=2,Inputs!$C$61,Inputs!$C$56)/12</f>
        <v/>
      </c>
      <c r="AQ25" s="80">
        <f>AP23*IF(Inputs!$C$60=2,Inputs!$C$61,Inputs!$C$56)/12</f>
        <v/>
      </c>
      <c r="AR25" s="80">
        <f>AQ23*IF(Inputs!$C$60=2,Inputs!$C$61,Inputs!$C$56)/12</f>
        <v/>
      </c>
      <c r="AS25" s="80">
        <f>AR23*IF(Inputs!$C$60=2,Inputs!$C$61,Inputs!$C$56)/12</f>
        <v/>
      </c>
      <c r="AT25" s="80">
        <f>AS23*IF(Inputs!$C$60=2,Inputs!$C$61,Inputs!$C$56)/12</f>
        <v/>
      </c>
      <c r="AU25" s="80">
        <f>AT23*IF(Inputs!$C$60=2,Inputs!$C$61,Inputs!$C$56)/12</f>
        <v/>
      </c>
      <c r="AV25" s="80">
        <f>AU23*IF(Inputs!$C$60=2,Inputs!$C$61,Inputs!$C$56)/12</f>
        <v/>
      </c>
      <c r="AW25" s="80">
        <f>AV23*IF(Inputs!$C$60=2,Inputs!$C$61,Inputs!$C$56)/12</f>
        <v/>
      </c>
      <c r="AX25" s="80">
        <f>AW23*IF(Inputs!$C$60=2,Inputs!$C$61,Inputs!$C$56)/12</f>
        <v/>
      </c>
      <c r="AY25" s="80">
        <f>AX23*IF(Inputs!$C$60=2,Inputs!$C$61,Inputs!$C$56)/12</f>
        <v/>
      </c>
      <c r="AZ25" s="80">
        <f>AY23*IF(Inputs!$C$60=2,Inputs!$C$61,Inputs!$C$56)/12</f>
        <v/>
      </c>
      <c r="BA25" s="80">
        <f>AZ23*IF(Inputs!$C$60=2,Inputs!$C$61,Inputs!$C$56)/12</f>
        <v/>
      </c>
      <c r="BB25" s="80">
        <f>BA23*IF(Inputs!$C$60=2,Inputs!$C$61,Inputs!$C$56)/12</f>
        <v/>
      </c>
      <c r="BC25" s="80">
        <f>BB23*IF(Inputs!$C$60=2,Inputs!$C$61,Inputs!$C$56)/12</f>
        <v/>
      </c>
      <c r="BD25" s="80">
        <f>BC23*IF(Inputs!$C$60=2,Inputs!$C$61,Inputs!$C$56)/12</f>
        <v/>
      </c>
      <c r="BE25" s="80">
        <f>BD23*IF(Inputs!$C$60=2,Inputs!$C$61,Inputs!$C$56)/12</f>
        <v/>
      </c>
      <c r="BF25" s="80">
        <f>BE23*IF(Inputs!$C$60=2,Inputs!$C$61,Inputs!$C$56)/12</f>
        <v/>
      </c>
      <c r="BG25" s="80">
        <f>BF23*IF(Inputs!$C$60=2,Inputs!$C$61,Inputs!$C$56)/12</f>
        <v/>
      </c>
      <c r="BH25" s="80">
        <f>BG23*IF(Inputs!$C$60=2,Inputs!$C$61,Inputs!$C$56)/12</f>
        <v/>
      </c>
      <c r="BI25" s="80">
        <f>BH23*IF(Inputs!$C$60=2,Inputs!$C$61,Inputs!$C$56)/12</f>
        <v/>
      </c>
      <c r="BJ25" s="80">
        <f>BI23*IF(Inputs!$C$60=2,Inputs!$C$61,Inputs!$C$56)/12</f>
        <v/>
      </c>
      <c r="BK25" s="80">
        <f>BJ23*IF(Inputs!$C$60=2,Inputs!$C$61,Inputs!$C$56)/12</f>
        <v/>
      </c>
      <c r="BL25" s="80">
        <f>BK23*IF(Inputs!$C$60=2,Inputs!$C$61,Inputs!$C$56)/12</f>
        <v/>
      </c>
    </row>
    <row r="26">
      <c r="A26" s="98" t="inlineStr">
        <is>
          <t>Upfront fees on prior-month new drawings (securitisation option)</t>
        </is>
      </c>
      <c r="B26" s="65" t="inlineStr">
        <is>
          <t>LCY</t>
        </is>
      </c>
      <c r="C26" s="105">
        <f>SUM(E26:BL26)</f>
        <v/>
      </c>
      <c r="E26" s="80">
        <f>IF(Inputs!$C$60=2,Inputs!$C$63*MAX(0,D24),0)</f>
        <v/>
      </c>
      <c r="F26" s="80">
        <f>IF(Inputs!$C$60=2,Inputs!$C$63*MAX(0,E24),0)</f>
        <v/>
      </c>
      <c r="G26" s="80">
        <f>IF(Inputs!$C$60=2,Inputs!$C$63*MAX(0,F24),0)</f>
        <v/>
      </c>
      <c r="H26" s="80">
        <f>IF(Inputs!$C$60=2,Inputs!$C$63*MAX(0,G24),0)</f>
        <v/>
      </c>
      <c r="I26" s="80">
        <f>IF(Inputs!$C$60=2,Inputs!$C$63*MAX(0,H24),0)</f>
        <v/>
      </c>
      <c r="J26" s="80">
        <f>IF(Inputs!$C$60=2,Inputs!$C$63*MAX(0,I24),0)</f>
        <v/>
      </c>
      <c r="K26" s="80">
        <f>IF(Inputs!$C$60=2,Inputs!$C$63*MAX(0,J24),0)</f>
        <v/>
      </c>
      <c r="L26" s="80">
        <f>IF(Inputs!$C$60=2,Inputs!$C$63*MAX(0,K24),0)</f>
        <v/>
      </c>
      <c r="M26" s="80">
        <f>IF(Inputs!$C$60=2,Inputs!$C$63*MAX(0,L24),0)</f>
        <v/>
      </c>
      <c r="N26" s="80">
        <f>IF(Inputs!$C$60=2,Inputs!$C$63*MAX(0,M24),0)</f>
        <v/>
      </c>
      <c r="O26" s="80">
        <f>IF(Inputs!$C$60=2,Inputs!$C$63*MAX(0,N24),0)</f>
        <v/>
      </c>
      <c r="P26" s="80">
        <f>IF(Inputs!$C$60=2,Inputs!$C$63*MAX(0,O24),0)</f>
        <v/>
      </c>
      <c r="Q26" s="80">
        <f>IF(Inputs!$C$60=2,Inputs!$C$63*MAX(0,P24),0)</f>
        <v/>
      </c>
      <c r="R26" s="80">
        <f>IF(Inputs!$C$60=2,Inputs!$C$63*MAX(0,Q24),0)</f>
        <v/>
      </c>
      <c r="S26" s="80">
        <f>IF(Inputs!$C$60=2,Inputs!$C$63*MAX(0,R24),0)</f>
        <v/>
      </c>
      <c r="T26" s="80">
        <f>IF(Inputs!$C$60=2,Inputs!$C$63*MAX(0,S24),0)</f>
        <v/>
      </c>
      <c r="U26" s="80">
        <f>IF(Inputs!$C$60=2,Inputs!$C$63*MAX(0,T24),0)</f>
        <v/>
      </c>
      <c r="V26" s="80">
        <f>IF(Inputs!$C$60=2,Inputs!$C$63*MAX(0,U24),0)</f>
        <v/>
      </c>
      <c r="W26" s="80">
        <f>IF(Inputs!$C$60=2,Inputs!$C$63*MAX(0,V24),0)</f>
        <v/>
      </c>
      <c r="X26" s="80">
        <f>IF(Inputs!$C$60=2,Inputs!$C$63*MAX(0,W24),0)</f>
        <v/>
      </c>
      <c r="Y26" s="80">
        <f>IF(Inputs!$C$60=2,Inputs!$C$63*MAX(0,X24),0)</f>
        <v/>
      </c>
      <c r="Z26" s="80">
        <f>IF(Inputs!$C$60=2,Inputs!$C$63*MAX(0,Y24),0)</f>
        <v/>
      </c>
      <c r="AA26" s="80">
        <f>IF(Inputs!$C$60=2,Inputs!$C$63*MAX(0,Z24),0)</f>
        <v/>
      </c>
      <c r="AB26" s="80">
        <f>IF(Inputs!$C$60=2,Inputs!$C$63*MAX(0,AA24),0)</f>
        <v/>
      </c>
      <c r="AC26" s="80">
        <f>IF(Inputs!$C$60=2,Inputs!$C$63*MAX(0,AB24),0)</f>
        <v/>
      </c>
      <c r="AD26" s="80">
        <f>IF(Inputs!$C$60=2,Inputs!$C$63*MAX(0,AC24),0)</f>
        <v/>
      </c>
      <c r="AE26" s="80">
        <f>IF(Inputs!$C$60=2,Inputs!$C$63*MAX(0,AD24),0)</f>
        <v/>
      </c>
      <c r="AF26" s="80">
        <f>IF(Inputs!$C$60=2,Inputs!$C$63*MAX(0,AE24),0)</f>
        <v/>
      </c>
      <c r="AG26" s="80">
        <f>IF(Inputs!$C$60=2,Inputs!$C$63*MAX(0,AF24),0)</f>
        <v/>
      </c>
      <c r="AH26" s="80">
        <f>IF(Inputs!$C$60=2,Inputs!$C$63*MAX(0,AG24),0)</f>
        <v/>
      </c>
      <c r="AI26" s="80">
        <f>IF(Inputs!$C$60=2,Inputs!$C$63*MAX(0,AH24),0)</f>
        <v/>
      </c>
      <c r="AJ26" s="80">
        <f>IF(Inputs!$C$60=2,Inputs!$C$63*MAX(0,AI24),0)</f>
        <v/>
      </c>
      <c r="AK26" s="80">
        <f>IF(Inputs!$C$60=2,Inputs!$C$63*MAX(0,AJ24),0)</f>
        <v/>
      </c>
      <c r="AL26" s="80">
        <f>IF(Inputs!$C$60=2,Inputs!$C$63*MAX(0,AK24),0)</f>
        <v/>
      </c>
      <c r="AM26" s="80">
        <f>IF(Inputs!$C$60=2,Inputs!$C$63*MAX(0,AL24),0)</f>
        <v/>
      </c>
      <c r="AN26" s="80">
        <f>IF(Inputs!$C$60=2,Inputs!$C$63*MAX(0,AM24),0)</f>
        <v/>
      </c>
      <c r="AO26" s="80">
        <f>IF(Inputs!$C$60=2,Inputs!$C$63*MAX(0,AN24),0)</f>
        <v/>
      </c>
      <c r="AP26" s="80">
        <f>IF(Inputs!$C$60=2,Inputs!$C$63*MAX(0,AO24),0)</f>
        <v/>
      </c>
      <c r="AQ26" s="80">
        <f>IF(Inputs!$C$60=2,Inputs!$C$63*MAX(0,AP24),0)</f>
        <v/>
      </c>
      <c r="AR26" s="80">
        <f>IF(Inputs!$C$60=2,Inputs!$C$63*MAX(0,AQ24),0)</f>
        <v/>
      </c>
      <c r="AS26" s="80">
        <f>IF(Inputs!$C$60=2,Inputs!$C$63*MAX(0,AR24),0)</f>
        <v/>
      </c>
      <c r="AT26" s="80">
        <f>IF(Inputs!$C$60=2,Inputs!$C$63*MAX(0,AS24),0)</f>
        <v/>
      </c>
      <c r="AU26" s="80">
        <f>IF(Inputs!$C$60=2,Inputs!$C$63*MAX(0,AT24),0)</f>
        <v/>
      </c>
      <c r="AV26" s="80">
        <f>IF(Inputs!$C$60=2,Inputs!$C$63*MAX(0,AU24),0)</f>
        <v/>
      </c>
      <c r="AW26" s="80">
        <f>IF(Inputs!$C$60=2,Inputs!$C$63*MAX(0,AV24),0)</f>
        <v/>
      </c>
      <c r="AX26" s="80">
        <f>IF(Inputs!$C$60=2,Inputs!$C$63*MAX(0,AW24),0)</f>
        <v/>
      </c>
      <c r="AY26" s="80">
        <f>IF(Inputs!$C$60=2,Inputs!$C$63*MAX(0,AX24),0)</f>
        <v/>
      </c>
      <c r="AZ26" s="80">
        <f>IF(Inputs!$C$60=2,Inputs!$C$63*MAX(0,AY24),0)</f>
        <v/>
      </c>
      <c r="BA26" s="80">
        <f>IF(Inputs!$C$60=2,Inputs!$C$63*MAX(0,AZ24),0)</f>
        <v/>
      </c>
      <c r="BB26" s="80">
        <f>IF(Inputs!$C$60=2,Inputs!$C$63*MAX(0,BA24),0)</f>
        <v/>
      </c>
      <c r="BC26" s="80">
        <f>IF(Inputs!$C$60=2,Inputs!$C$63*MAX(0,BB24),0)</f>
        <v/>
      </c>
      <c r="BD26" s="80">
        <f>IF(Inputs!$C$60=2,Inputs!$C$63*MAX(0,BC24),0)</f>
        <v/>
      </c>
      <c r="BE26" s="80">
        <f>IF(Inputs!$C$60=2,Inputs!$C$63*MAX(0,BD24),0)</f>
        <v/>
      </c>
      <c r="BF26" s="80">
        <f>IF(Inputs!$C$60=2,Inputs!$C$63*MAX(0,BE24),0)</f>
        <v/>
      </c>
      <c r="BG26" s="80">
        <f>IF(Inputs!$C$60=2,Inputs!$C$63*MAX(0,BF24),0)</f>
        <v/>
      </c>
      <c r="BH26" s="80">
        <f>IF(Inputs!$C$60=2,Inputs!$C$63*MAX(0,BG24),0)</f>
        <v/>
      </c>
      <c r="BI26" s="80">
        <f>IF(Inputs!$C$60=2,Inputs!$C$63*MAX(0,BH24),0)</f>
        <v/>
      </c>
      <c r="BJ26" s="80">
        <f>IF(Inputs!$C$60=2,Inputs!$C$63*MAX(0,BI24),0)</f>
        <v/>
      </c>
      <c r="BK26" s="80">
        <f>IF(Inputs!$C$60=2,Inputs!$C$63*MAX(0,BJ24),0)</f>
        <v/>
      </c>
      <c r="BL26" s="80">
        <f>IF(Inputs!$C$60=2,Inputs!$C$63*MAX(0,BK24),0)</f>
        <v/>
      </c>
    </row>
    <row r="27">
      <c r="A27" s="98" t="inlineStr">
        <is>
          <t>Utilisation of limit</t>
        </is>
      </c>
      <c r="B27" s="65" t="inlineStr">
        <is>
          <t>%</t>
        </is>
      </c>
      <c r="C27" s="106">
        <f>MAX(E27:BL27)</f>
        <v/>
      </c>
      <c r="E27" s="81">
        <f>IF(Inputs!$C$55=0,0,E23/Inputs!$C$55)</f>
        <v/>
      </c>
      <c r="F27" s="81">
        <f>IF(Inputs!$C$55=0,0,F23/Inputs!$C$55)</f>
        <v/>
      </c>
      <c r="G27" s="81">
        <f>IF(Inputs!$C$55=0,0,G23/Inputs!$C$55)</f>
        <v/>
      </c>
      <c r="H27" s="81">
        <f>IF(Inputs!$C$55=0,0,H23/Inputs!$C$55)</f>
        <v/>
      </c>
      <c r="I27" s="81">
        <f>IF(Inputs!$C$55=0,0,I23/Inputs!$C$55)</f>
        <v/>
      </c>
      <c r="J27" s="81">
        <f>IF(Inputs!$C$55=0,0,J23/Inputs!$C$55)</f>
        <v/>
      </c>
      <c r="K27" s="81">
        <f>IF(Inputs!$C$55=0,0,K23/Inputs!$C$55)</f>
        <v/>
      </c>
      <c r="L27" s="81">
        <f>IF(Inputs!$C$55=0,0,L23/Inputs!$C$55)</f>
        <v/>
      </c>
      <c r="M27" s="81">
        <f>IF(Inputs!$C$55=0,0,M23/Inputs!$C$55)</f>
        <v/>
      </c>
      <c r="N27" s="81">
        <f>IF(Inputs!$C$55=0,0,N23/Inputs!$C$55)</f>
        <v/>
      </c>
      <c r="O27" s="81">
        <f>IF(Inputs!$C$55=0,0,O23/Inputs!$C$55)</f>
        <v/>
      </c>
      <c r="P27" s="81">
        <f>IF(Inputs!$C$55=0,0,P23/Inputs!$C$55)</f>
        <v/>
      </c>
      <c r="Q27" s="81">
        <f>IF(Inputs!$C$55=0,0,Q23/Inputs!$C$55)</f>
        <v/>
      </c>
      <c r="R27" s="81">
        <f>IF(Inputs!$C$55=0,0,R23/Inputs!$C$55)</f>
        <v/>
      </c>
      <c r="S27" s="81">
        <f>IF(Inputs!$C$55=0,0,S23/Inputs!$C$55)</f>
        <v/>
      </c>
      <c r="T27" s="81">
        <f>IF(Inputs!$C$55=0,0,T23/Inputs!$C$55)</f>
        <v/>
      </c>
      <c r="U27" s="81">
        <f>IF(Inputs!$C$55=0,0,U23/Inputs!$C$55)</f>
        <v/>
      </c>
      <c r="V27" s="81">
        <f>IF(Inputs!$C$55=0,0,V23/Inputs!$C$55)</f>
        <v/>
      </c>
      <c r="W27" s="81">
        <f>IF(Inputs!$C$55=0,0,W23/Inputs!$C$55)</f>
        <v/>
      </c>
      <c r="X27" s="81">
        <f>IF(Inputs!$C$55=0,0,X23/Inputs!$C$55)</f>
        <v/>
      </c>
      <c r="Y27" s="81">
        <f>IF(Inputs!$C$55=0,0,Y23/Inputs!$C$55)</f>
        <v/>
      </c>
      <c r="Z27" s="81">
        <f>IF(Inputs!$C$55=0,0,Z23/Inputs!$C$55)</f>
        <v/>
      </c>
      <c r="AA27" s="81">
        <f>IF(Inputs!$C$55=0,0,AA23/Inputs!$C$55)</f>
        <v/>
      </c>
      <c r="AB27" s="81">
        <f>IF(Inputs!$C$55=0,0,AB23/Inputs!$C$55)</f>
        <v/>
      </c>
      <c r="AC27" s="81">
        <f>IF(Inputs!$C$55=0,0,AC23/Inputs!$C$55)</f>
        <v/>
      </c>
      <c r="AD27" s="81">
        <f>IF(Inputs!$C$55=0,0,AD23/Inputs!$C$55)</f>
        <v/>
      </c>
      <c r="AE27" s="81">
        <f>IF(Inputs!$C$55=0,0,AE23/Inputs!$C$55)</f>
        <v/>
      </c>
      <c r="AF27" s="81">
        <f>IF(Inputs!$C$55=0,0,AF23/Inputs!$C$55)</f>
        <v/>
      </c>
      <c r="AG27" s="81">
        <f>IF(Inputs!$C$55=0,0,AG23/Inputs!$C$55)</f>
        <v/>
      </c>
      <c r="AH27" s="81">
        <f>IF(Inputs!$C$55=0,0,AH23/Inputs!$C$55)</f>
        <v/>
      </c>
      <c r="AI27" s="81">
        <f>IF(Inputs!$C$55=0,0,AI23/Inputs!$C$55)</f>
        <v/>
      </c>
      <c r="AJ27" s="81">
        <f>IF(Inputs!$C$55=0,0,AJ23/Inputs!$C$55)</f>
        <v/>
      </c>
      <c r="AK27" s="81">
        <f>IF(Inputs!$C$55=0,0,AK23/Inputs!$C$55)</f>
        <v/>
      </c>
      <c r="AL27" s="81">
        <f>IF(Inputs!$C$55=0,0,AL23/Inputs!$C$55)</f>
        <v/>
      </c>
      <c r="AM27" s="81">
        <f>IF(Inputs!$C$55=0,0,AM23/Inputs!$C$55)</f>
        <v/>
      </c>
      <c r="AN27" s="81">
        <f>IF(Inputs!$C$55=0,0,AN23/Inputs!$C$55)</f>
        <v/>
      </c>
      <c r="AO27" s="81">
        <f>IF(Inputs!$C$55=0,0,AO23/Inputs!$C$55)</f>
        <v/>
      </c>
      <c r="AP27" s="81">
        <f>IF(Inputs!$C$55=0,0,AP23/Inputs!$C$55)</f>
        <v/>
      </c>
      <c r="AQ27" s="81">
        <f>IF(Inputs!$C$55=0,0,AQ23/Inputs!$C$55)</f>
        <v/>
      </c>
      <c r="AR27" s="81">
        <f>IF(Inputs!$C$55=0,0,AR23/Inputs!$C$55)</f>
        <v/>
      </c>
      <c r="AS27" s="81">
        <f>IF(Inputs!$C$55=0,0,AS23/Inputs!$C$55)</f>
        <v/>
      </c>
      <c r="AT27" s="81">
        <f>IF(Inputs!$C$55=0,0,AT23/Inputs!$C$55)</f>
        <v/>
      </c>
      <c r="AU27" s="81">
        <f>IF(Inputs!$C$55=0,0,AU23/Inputs!$C$55)</f>
        <v/>
      </c>
      <c r="AV27" s="81">
        <f>IF(Inputs!$C$55=0,0,AV23/Inputs!$C$55)</f>
        <v/>
      </c>
      <c r="AW27" s="81">
        <f>IF(Inputs!$C$55=0,0,AW23/Inputs!$C$55)</f>
        <v/>
      </c>
      <c r="AX27" s="81">
        <f>IF(Inputs!$C$55=0,0,AX23/Inputs!$C$55)</f>
        <v/>
      </c>
      <c r="AY27" s="81">
        <f>IF(Inputs!$C$55=0,0,AY23/Inputs!$C$55)</f>
        <v/>
      </c>
      <c r="AZ27" s="81">
        <f>IF(Inputs!$C$55=0,0,AZ23/Inputs!$C$55)</f>
        <v/>
      </c>
      <c r="BA27" s="81">
        <f>IF(Inputs!$C$55=0,0,BA23/Inputs!$C$55)</f>
        <v/>
      </c>
      <c r="BB27" s="81">
        <f>IF(Inputs!$C$55=0,0,BB23/Inputs!$C$55)</f>
        <v/>
      </c>
      <c r="BC27" s="81">
        <f>IF(Inputs!$C$55=0,0,BC23/Inputs!$C$55)</f>
        <v/>
      </c>
      <c r="BD27" s="81">
        <f>IF(Inputs!$C$55=0,0,BD23/Inputs!$C$55)</f>
        <v/>
      </c>
      <c r="BE27" s="81">
        <f>IF(Inputs!$C$55=0,0,BE23/Inputs!$C$55)</f>
        <v/>
      </c>
      <c r="BF27" s="81">
        <f>IF(Inputs!$C$55=0,0,BF23/Inputs!$C$55)</f>
        <v/>
      </c>
      <c r="BG27" s="81">
        <f>IF(Inputs!$C$55=0,0,BG23/Inputs!$C$55)</f>
        <v/>
      </c>
      <c r="BH27" s="81">
        <f>IF(Inputs!$C$55=0,0,BH23/Inputs!$C$55)</f>
        <v/>
      </c>
      <c r="BI27" s="81">
        <f>IF(Inputs!$C$55=0,0,BI23/Inputs!$C$55)</f>
        <v/>
      </c>
      <c r="BJ27" s="81">
        <f>IF(Inputs!$C$55=0,0,BJ23/Inputs!$C$55)</f>
        <v/>
      </c>
      <c r="BK27" s="81">
        <f>IF(Inputs!$C$55=0,0,BK23/Inputs!$C$55)</f>
        <v/>
      </c>
      <c r="BL27" s="81">
        <f>IF(Inputs!$C$55=0,0,BL23/Inputs!$C$55)</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37.xml><?xml version="1.0" encoding="utf-8"?>
<worksheet xmlns="http://schemas.openxmlformats.org/spreadsheetml/2006/main">
  <sheetPr>
    <outlinePr summaryBelow="1" summaryRight="1"/>
    <pageSetUpPr fitToPage="1"/>
  </sheetPr>
  <dimension ref="A1:BM70"/>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s>
  <sheetData>
    <row r="1">
      <c r="A1" s="17" t="inlineStr">
        <is>
          <t>Per-unit PAYGo behaviour by account age</t>
        </is>
      </c>
    </row>
    <row r="2">
      <c r="A2" s="18" t="inlineStr">
        <is>
          <t>[FORECAST]  Age 0 = month of sale. Per unit, month-1 prices; cohorts are scaled by the price index. RBF at opening FX.</t>
        </is>
      </c>
    </row>
    <row r="3"/>
    <row r="4"/>
    <row r="5">
      <c r="B5" s="111" t="inlineStr">
        <is>
          <t>Tier 1: Pico solar kit</t>
        </is>
      </c>
      <c r="O5" s="111" t="inlineStr">
        <is>
          <t>Tier 2: SHS with TV</t>
        </is>
      </c>
      <c r="AB5" s="111" t="inlineStr">
        <is>
          <t>Tier 3: Large SHS + DC fridge</t>
        </is>
      </c>
      <c r="AO5" s="111" t="inlineStr">
        <is>
          <t>Tier 4: Solar inverter + lithium (~1.2 kWp / 5 kWh)</t>
        </is>
      </c>
      <c r="BB5" s="111" t="inlineStr">
        <is>
          <t>Tier 5: Solar inverter + lithium (~3 kWp / 10 kWh)</t>
        </is>
      </c>
    </row>
    <row r="6" ht="42" customHeight="1">
      <c r="A6" s="40" t="inlineStr">
        <is>
          <t>Age (m)</t>
        </is>
      </c>
      <c r="B6" s="40" t="inlineStr">
        <is>
          <t>Survival (still paying)</t>
        </is>
      </c>
      <c r="C6" s="40" t="inlineStr">
        <is>
          <t>Instalment due</t>
        </is>
      </c>
      <c r="D6" s="40" t="inlineStr">
        <is>
          <t>Collected</t>
        </is>
      </c>
      <c r="E6" s="40" t="inlineStr">
        <is>
          <t>Missed (written off)</t>
        </is>
      </c>
      <c r="F6" s="40" t="inlineStr">
        <is>
          <t>Receivable at risk</t>
        </is>
      </c>
      <c r="G6" s="40" t="inlineStr">
        <is>
          <t>Active account</t>
        </is>
      </c>
      <c r="H6" s="40" t="inlineStr">
        <is>
          <t>Defaults at this age</t>
        </is>
      </c>
      <c r="I6" s="40" t="inlineStr">
        <is>
          <t>Net recovery (resale: costs)</t>
        </is>
      </c>
      <c r="J6" s="40" t="inlineStr">
        <is>
          <t>RBF received</t>
        </is>
      </c>
      <c r="K6" s="40" t="inlineStr">
        <is>
          <t>Net cash flow / unit</t>
        </is>
      </c>
      <c r="L6" s="40" t="inlineStr">
        <is>
          <t>Cumulative cash flow</t>
        </is>
      </c>
      <c r="M6" s="40" t="inlineStr">
        <is>
          <t>Arrears of stopped accounts</t>
        </is>
      </c>
      <c r="O6" s="40" t="inlineStr">
        <is>
          <t>Survival (still paying)</t>
        </is>
      </c>
      <c r="P6" s="40" t="inlineStr">
        <is>
          <t>Instalment due</t>
        </is>
      </c>
      <c r="Q6" s="40" t="inlineStr">
        <is>
          <t>Collected</t>
        </is>
      </c>
      <c r="R6" s="40" t="inlineStr">
        <is>
          <t>Missed (written off)</t>
        </is>
      </c>
      <c r="S6" s="40" t="inlineStr">
        <is>
          <t>Receivable at risk</t>
        </is>
      </c>
      <c r="T6" s="40" t="inlineStr">
        <is>
          <t>Active account</t>
        </is>
      </c>
      <c r="U6" s="40" t="inlineStr">
        <is>
          <t>Defaults at this age</t>
        </is>
      </c>
      <c r="V6" s="40" t="inlineStr">
        <is>
          <t>Net recovery (resale: costs)</t>
        </is>
      </c>
      <c r="W6" s="40" t="inlineStr">
        <is>
          <t>RBF received</t>
        </is>
      </c>
      <c r="X6" s="40" t="inlineStr">
        <is>
          <t>Net cash flow / unit</t>
        </is>
      </c>
      <c r="Y6" s="40" t="inlineStr">
        <is>
          <t>Cumulative cash flow</t>
        </is>
      </c>
      <c r="Z6" s="40" t="inlineStr">
        <is>
          <t>Arrears of stopped accounts</t>
        </is>
      </c>
      <c r="AB6" s="40" t="inlineStr">
        <is>
          <t>Survival (still paying)</t>
        </is>
      </c>
      <c r="AC6" s="40" t="inlineStr">
        <is>
          <t>Instalment due</t>
        </is>
      </c>
      <c r="AD6" s="40" t="inlineStr">
        <is>
          <t>Collected</t>
        </is>
      </c>
      <c r="AE6" s="40" t="inlineStr">
        <is>
          <t>Missed (written off)</t>
        </is>
      </c>
      <c r="AF6" s="40" t="inlineStr">
        <is>
          <t>Receivable at risk</t>
        </is>
      </c>
      <c r="AG6" s="40" t="inlineStr">
        <is>
          <t>Active account</t>
        </is>
      </c>
      <c r="AH6" s="40" t="inlineStr">
        <is>
          <t>Defaults at this age</t>
        </is>
      </c>
      <c r="AI6" s="40" t="inlineStr">
        <is>
          <t>Net recovery (resale: costs)</t>
        </is>
      </c>
      <c r="AJ6" s="40" t="inlineStr">
        <is>
          <t>RBF received</t>
        </is>
      </c>
      <c r="AK6" s="40" t="inlineStr">
        <is>
          <t>Net cash flow / unit</t>
        </is>
      </c>
      <c r="AL6" s="40" t="inlineStr">
        <is>
          <t>Cumulative cash flow</t>
        </is>
      </c>
      <c r="AM6" s="40" t="inlineStr">
        <is>
          <t>Arrears of stopped accounts</t>
        </is>
      </c>
      <c r="AO6" s="40" t="inlineStr">
        <is>
          <t>Survival (still paying)</t>
        </is>
      </c>
      <c r="AP6" s="40" t="inlineStr">
        <is>
          <t>Instalment due</t>
        </is>
      </c>
      <c r="AQ6" s="40" t="inlineStr">
        <is>
          <t>Collected</t>
        </is>
      </c>
      <c r="AR6" s="40" t="inlineStr">
        <is>
          <t>Missed (written off)</t>
        </is>
      </c>
      <c r="AS6" s="40" t="inlineStr">
        <is>
          <t>Receivable at risk</t>
        </is>
      </c>
      <c r="AT6" s="40" t="inlineStr">
        <is>
          <t>Active account</t>
        </is>
      </c>
      <c r="AU6" s="40" t="inlineStr">
        <is>
          <t>Defaults at this age</t>
        </is>
      </c>
      <c r="AV6" s="40" t="inlineStr">
        <is>
          <t>Net recovery (resale: costs)</t>
        </is>
      </c>
      <c r="AW6" s="40" t="inlineStr">
        <is>
          <t>RBF received</t>
        </is>
      </c>
      <c r="AX6" s="40" t="inlineStr">
        <is>
          <t>Net cash flow / unit</t>
        </is>
      </c>
      <c r="AY6" s="40" t="inlineStr">
        <is>
          <t>Cumulative cash flow</t>
        </is>
      </c>
      <c r="AZ6" s="40" t="inlineStr">
        <is>
          <t>Arrears of stopped accounts</t>
        </is>
      </c>
      <c r="BB6" s="40" t="inlineStr">
        <is>
          <t>Survival (still paying)</t>
        </is>
      </c>
      <c r="BC6" s="40" t="inlineStr">
        <is>
          <t>Instalment due</t>
        </is>
      </c>
      <c r="BD6" s="40" t="inlineStr">
        <is>
          <t>Collected</t>
        </is>
      </c>
      <c r="BE6" s="40" t="inlineStr">
        <is>
          <t>Missed (written off)</t>
        </is>
      </c>
      <c r="BF6" s="40" t="inlineStr">
        <is>
          <t>Receivable at risk</t>
        </is>
      </c>
      <c r="BG6" s="40" t="inlineStr">
        <is>
          <t>Active account</t>
        </is>
      </c>
      <c r="BH6" s="40" t="inlineStr">
        <is>
          <t>Defaults at this age</t>
        </is>
      </c>
      <c r="BI6" s="40" t="inlineStr">
        <is>
          <t>Net recovery (resale: costs)</t>
        </is>
      </c>
      <c r="BJ6" s="40" t="inlineStr">
        <is>
          <t>RBF received</t>
        </is>
      </c>
      <c r="BK6" s="40" t="inlineStr">
        <is>
          <t>Net cash flow / unit</t>
        </is>
      </c>
      <c r="BL6" s="40" t="inlineStr">
        <is>
          <t>Cumulative cash flow</t>
        </is>
      </c>
      <c r="BM6" s="40" t="inlineStr">
        <is>
          <t>Arrears of stopped accounts</t>
        </is>
      </c>
    </row>
    <row r="7"/>
    <row r="8">
      <c r="A8" s="23" t="n">
        <v>0</v>
      </c>
      <c r="B8" s="81">
        <f>1</f>
        <v/>
      </c>
      <c r="C8" s="80">
        <f>IF(AND($A8&gt;=1,$A8&lt;=Products!$C$16),Products!$C$33,0)</f>
        <v/>
      </c>
      <c r="D8" s="80">
        <f>C8*Products!$C$42*B8</f>
        <v/>
      </c>
      <c r="E8" s="80">
        <f>C8-D8</f>
        <v/>
      </c>
      <c r="F8" s="80">
        <f>(1-B8)*MAX(0,Products!$C$16-$A8)*(Products!$C$33-Products!$C$35/Products!$C$16)</f>
        <v/>
      </c>
      <c r="G8" s="81">
        <f>IF($A8&lt;=Products!$C$16,B8,0)</f>
        <v/>
      </c>
      <c r="H8" s="81">
        <f>0</f>
        <v/>
      </c>
      <c r="I8" s="80">
        <f>IF(AND($A8-Inputs!$C$31&gt;=1,$A8-Inputs!$C$31&lt;=Products!$C$16),INDEX(Curves!$H$8:$H$68,$A8-Inputs!$C$31+1),0)*Products!$C$27*Products!$C$28*Products!$C$13*(1-Credit_Assumptions!$C$15)</f>
        <v/>
      </c>
      <c r="J8" s="80">
        <f>IF($A8=Inputs!$C$33,Products!$C$30*Inputs!$C$10*Inputs!$C$32,0)</f>
        <v/>
      </c>
      <c r="K8" s="80">
        <f>Products!$C$14*(1-Inputs!$C$24)-Products!$C$43*(1+Products!$C$22)-Products!$C$19-Products!$C$44+J8</f>
        <v/>
      </c>
      <c r="L8" s="80">
        <f>K8</f>
        <v/>
      </c>
      <c r="M8" s="80">
        <f>C8*(1-B8)</f>
        <v/>
      </c>
      <c r="O8" s="81">
        <f>1</f>
        <v/>
      </c>
      <c r="P8" s="80">
        <f>IF(AND($A8&gt;=1,$A8&lt;=Products!$D$16),Products!$D$33,0)</f>
        <v/>
      </c>
      <c r="Q8" s="80">
        <f>P8*Products!$D$42*O8</f>
        <v/>
      </c>
      <c r="R8" s="80">
        <f>P8-Q8</f>
        <v/>
      </c>
      <c r="S8" s="80">
        <f>(1-O8)*MAX(0,Products!$D$16-$A8)*(Products!$D$33-Products!$D$35/Products!$D$16)</f>
        <v/>
      </c>
      <c r="T8" s="81">
        <f>IF($A8&lt;=Products!$D$16,O8,0)</f>
        <v/>
      </c>
      <c r="U8" s="81">
        <f>0</f>
        <v/>
      </c>
      <c r="V8" s="80">
        <f>IF(AND($A8-Inputs!$C$31&gt;=1,$A8-Inputs!$C$31&lt;=Products!$D$16),INDEX(Curves!$U$8:$U$68,$A8-Inputs!$C$31+1),0)*Products!$D$27*Products!$D$28*Products!$D$13*(1-Credit_Assumptions!$C$15)</f>
        <v/>
      </c>
      <c r="W8" s="80">
        <f>IF($A8=Inputs!$C$33,Products!$D$30*Inputs!$C$10*Inputs!$C$32,0)</f>
        <v/>
      </c>
      <c r="X8" s="80">
        <f>Products!$D$14*(1-Inputs!$C$24)-Products!$D$43*(1+Products!$D$22)-Products!$D$19-Products!$D$44+W8</f>
        <v/>
      </c>
      <c r="Y8" s="80">
        <f>X8</f>
        <v/>
      </c>
      <c r="Z8" s="80">
        <f>P8*(1-O8)</f>
        <v/>
      </c>
      <c r="AB8" s="81">
        <f>1</f>
        <v/>
      </c>
      <c r="AC8" s="80">
        <f>IF(AND($A8&gt;=1,$A8&lt;=Products!$E$16),Products!$E$33,0)</f>
        <v/>
      </c>
      <c r="AD8" s="80">
        <f>AC8*Products!$E$42*AB8</f>
        <v/>
      </c>
      <c r="AE8" s="80">
        <f>AC8-AD8</f>
        <v/>
      </c>
      <c r="AF8" s="80">
        <f>(1-AB8)*MAX(0,Products!$E$16-$A8)*(Products!$E$33-Products!$E$35/Products!$E$16)</f>
        <v/>
      </c>
      <c r="AG8" s="81">
        <f>IF($A8&lt;=Products!$E$16,AB8,0)</f>
        <v/>
      </c>
      <c r="AH8" s="81">
        <f>0</f>
        <v/>
      </c>
      <c r="AI8" s="80">
        <f>IF(AND($A8-Inputs!$C$31&gt;=1,$A8-Inputs!$C$31&lt;=Products!$E$16),INDEX(Curves!$AH$8:$AH$68,$A8-Inputs!$C$31+1),0)*Products!$E$27*Products!$E$28*Products!$E$13*(1-Credit_Assumptions!$C$15)</f>
        <v/>
      </c>
      <c r="AJ8" s="80">
        <f>IF($A8=Inputs!$C$33,Products!$E$30*Inputs!$C$10*Inputs!$C$32,0)</f>
        <v/>
      </c>
      <c r="AK8" s="80">
        <f>Products!$E$14*(1-Inputs!$C$24)-Products!$E$43*(1+Products!$E$22)-Products!$E$19-Products!$E$44+AJ8</f>
        <v/>
      </c>
      <c r="AL8" s="80">
        <f>AK8</f>
        <v/>
      </c>
      <c r="AM8" s="80">
        <f>AC8*(1-AB8)</f>
        <v/>
      </c>
      <c r="AO8" s="81">
        <f>1</f>
        <v/>
      </c>
      <c r="AP8" s="80">
        <f>IF(AND($A8&gt;=1,$A8&lt;=Products!$F$16),Products!$F$33,0)</f>
        <v/>
      </c>
      <c r="AQ8" s="80">
        <f>AP8*Products!$F$42*AO8</f>
        <v/>
      </c>
      <c r="AR8" s="80">
        <f>AP8-AQ8</f>
        <v/>
      </c>
      <c r="AS8" s="80">
        <f>(1-AO8)*MAX(0,Products!$F$16-$A8)*(Products!$F$33-Products!$F$35/Products!$F$16)</f>
        <v/>
      </c>
      <c r="AT8" s="81">
        <f>IF($A8&lt;=Products!$F$16,AO8,0)</f>
        <v/>
      </c>
      <c r="AU8" s="81">
        <f>0</f>
        <v/>
      </c>
      <c r="AV8" s="80">
        <f>IF(AND($A8-Inputs!$C$31&gt;=1,$A8-Inputs!$C$31&lt;=Products!$F$16),INDEX(Curves!$AU$8:$AU$68,$A8-Inputs!$C$31+1),0)*Products!$F$27*Products!$F$28*Products!$F$13*(1-Credit_Assumptions!$C$15)</f>
        <v/>
      </c>
      <c r="AW8" s="80">
        <f>IF($A8=Inputs!$C$33,Products!$F$30*Inputs!$C$10*Inputs!$C$32,0)</f>
        <v/>
      </c>
      <c r="AX8" s="80">
        <f>Products!$F$14*(1-Inputs!$C$24)-Products!$F$43*(1+Products!$F$22)-Products!$F$19-Products!$F$44+AW8</f>
        <v/>
      </c>
      <c r="AY8" s="80">
        <f>AX8</f>
        <v/>
      </c>
      <c r="AZ8" s="80">
        <f>AP8*(1-AO8)</f>
        <v/>
      </c>
      <c r="BB8" s="81">
        <f>1</f>
        <v/>
      </c>
      <c r="BC8" s="80">
        <f>IF(AND($A8&gt;=1,$A8&lt;=Products!$G$16),Products!$G$33,0)</f>
        <v/>
      </c>
      <c r="BD8" s="80">
        <f>BC8*Products!$G$42*BB8</f>
        <v/>
      </c>
      <c r="BE8" s="80">
        <f>BC8-BD8</f>
        <v/>
      </c>
      <c r="BF8" s="80">
        <f>(1-BB8)*MAX(0,Products!$G$16-$A8)*(Products!$G$33-Products!$G$35/Products!$G$16)</f>
        <v/>
      </c>
      <c r="BG8" s="81">
        <f>IF($A8&lt;=Products!$G$16,BB8,0)</f>
        <v/>
      </c>
      <c r="BH8" s="81">
        <f>0</f>
        <v/>
      </c>
      <c r="BI8" s="80">
        <f>IF(AND($A8-Inputs!$C$31&gt;=1,$A8-Inputs!$C$31&lt;=Products!$G$16),INDEX(Curves!$BH$8:$BH$68,$A8-Inputs!$C$31+1),0)*Products!$G$27*Products!$G$28*Products!$G$13*(1-Credit_Assumptions!$C$15)</f>
        <v/>
      </c>
      <c r="BJ8" s="80">
        <f>IF($A8=Inputs!$C$33,Products!$G$30*Inputs!$C$10*Inputs!$C$32,0)</f>
        <v/>
      </c>
      <c r="BK8" s="80">
        <f>Products!$G$14*(1-Inputs!$C$24)-Products!$G$43*(1+Products!$G$22)-Products!$G$19-Products!$G$44+BJ8</f>
        <v/>
      </c>
      <c r="BL8" s="80">
        <f>BK8</f>
        <v/>
      </c>
      <c r="BM8" s="80">
        <f>BC8*(1-BB8)</f>
        <v/>
      </c>
    </row>
    <row r="9">
      <c r="A9" s="23" t="n">
        <v>1</v>
      </c>
      <c r="B9" s="81">
        <f>(1-Products!$C$41)^$A9</f>
        <v/>
      </c>
      <c r="C9" s="80">
        <f>IF(AND($A9&gt;=1,$A9&lt;=Products!$C$16),Products!$C$33,0)</f>
        <v/>
      </c>
      <c r="D9" s="80">
        <f>C9*Products!$C$42*B9</f>
        <v/>
      </c>
      <c r="E9" s="80">
        <f>C9-D9</f>
        <v/>
      </c>
      <c r="F9" s="80">
        <f>(1-B9)*MAX(0,Products!$C$16-$A9)*(Products!$C$33-Products!$C$35/Products!$C$16)</f>
        <v/>
      </c>
      <c r="G9" s="81">
        <f>IF($A9&lt;=Products!$C$16,B9,0)</f>
        <v/>
      </c>
      <c r="H9" s="81">
        <f>IF(AND($A9&gt;=1,$A9&lt;=Products!$C$16),B8-B9,0)</f>
        <v/>
      </c>
      <c r="I9" s="80">
        <f>IF(AND($A9-Inputs!$C$31&gt;=1,$A9-Inputs!$C$31&lt;=Products!$C$16),INDEX(Curves!$H$8:$H$68,$A9-Inputs!$C$31+1),0)*Products!$C$27*Products!$C$28*Products!$C$13*(1-Credit_Assumptions!$C$15)</f>
        <v/>
      </c>
      <c r="J9" s="80">
        <f>IF($A9=Inputs!$C$33,Products!$C$30*Inputs!$C$10*Inputs!$C$32,0)</f>
        <v/>
      </c>
      <c r="K9" s="80">
        <f>D9*(1-Inputs!$C$24)-Inputs!$C$25*G9+I9+J9</f>
        <v/>
      </c>
      <c r="L9" s="80">
        <f>L8+K9</f>
        <v/>
      </c>
      <c r="M9" s="80">
        <f>C9*(1-B9)</f>
        <v/>
      </c>
      <c r="O9" s="81">
        <f>(1-Products!$D$41)^$A9</f>
        <v/>
      </c>
      <c r="P9" s="80">
        <f>IF(AND($A9&gt;=1,$A9&lt;=Products!$D$16),Products!$D$33,0)</f>
        <v/>
      </c>
      <c r="Q9" s="80">
        <f>P9*Products!$D$42*O9</f>
        <v/>
      </c>
      <c r="R9" s="80">
        <f>P9-Q9</f>
        <v/>
      </c>
      <c r="S9" s="80">
        <f>(1-O9)*MAX(0,Products!$D$16-$A9)*(Products!$D$33-Products!$D$35/Products!$D$16)</f>
        <v/>
      </c>
      <c r="T9" s="81">
        <f>IF($A9&lt;=Products!$D$16,O9,0)</f>
        <v/>
      </c>
      <c r="U9" s="81">
        <f>IF(AND($A9&gt;=1,$A9&lt;=Products!$D$16),O8-O9,0)</f>
        <v/>
      </c>
      <c r="V9" s="80">
        <f>IF(AND($A9-Inputs!$C$31&gt;=1,$A9-Inputs!$C$31&lt;=Products!$D$16),INDEX(Curves!$U$8:$U$68,$A9-Inputs!$C$31+1),0)*Products!$D$27*Products!$D$28*Products!$D$13*(1-Credit_Assumptions!$C$15)</f>
        <v/>
      </c>
      <c r="W9" s="80">
        <f>IF($A9=Inputs!$C$33,Products!$D$30*Inputs!$C$10*Inputs!$C$32,0)</f>
        <v/>
      </c>
      <c r="X9" s="80">
        <f>Q9*(1-Inputs!$C$24)-Inputs!$C$25*T9+V9+W9</f>
        <v/>
      </c>
      <c r="Y9" s="80">
        <f>Y8+X9</f>
        <v/>
      </c>
      <c r="Z9" s="80">
        <f>P9*(1-O9)</f>
        <v/>
      </c>
      <c r="AB9" s="81">
        <f>(1-Products!$E$41)^$A9</f>
        <v/>
      </c>
      <c r="AC9" s="80">
        <f>IF(AND($A9&gt;=1,$A9&lt;=Products!$E$16),Products!$E$33,0)</f>
        <v/>
      </c>
      <c r="AD9" s="80">
        <f>AC9*Products!$E$42*AB9</f>
        <v/>
      </c>
      <c r="AE9" s="80">
        <f>AC9-AD9</f>
        <v/>
      </c>
      <c r="AF9" s="80">
        <f>(1-AB9)*MAX(0,Products!$E$16-$A9)*(Products!$E$33-Products!$E$35/Products!$E$16)</f>
        <v/>
      </c>
      <c r="AG9" s="81">
        <f>IF($A9&lt;=Products!$E$16,AB9,0)</f>
        <v/>
      </c>
      <c r="AH9" s="81">
        <f>IF(AND($A9&gt;=1,$A9&lt;=Products!$E$16),AB8-AB9,0)</f>
        <v/>
      </c>
      <c r="AI9" s="80">
        <f>IF(AND($A9-Inputs!$C$31&gt;=1,$A9-Inputs!$C$31&lt;=Products!$E$16),INDEX(Curves!$AH$8:$AH$68,$A9-Inputs!$C$31+1),0)*Products!$E$27*Products!$E$28*Products!$E$13*(1-Credit_Assumptions!$C$15)</f>
        <v/>
      </c>
      <c r="AJ9" s="80">
        <f>IF($A9=Inputs!$C$33,Products!$E$30*Inputs!$C$10*Inputs!$C$32,0)</f>
        <v/>
      </c>
      <c r="AK9" s="80">
        <f>AD9*(1-Inputs!$C$24)-Inputs!$C$25*AG9+AI9+AJ9</f>
        <v/>
      </c>
      <c r="AL9" s="80">
        <f>AL8+AK9</f>
        <v/>
      </c>
      <c r="AM9" s="80">
        <f>AC9*(1-AB9)</f>
        <v/>
      </c>
      <c r="AO9" s="81">
        <f>(1-Products!$F$41)^$A9</f>
        <v/>
      </c>
      <c r="AP9" s="80">
        <f>IF(AND($A9&gt;=1,$A9&lt;=Products!$F$16),Products!$F$33,0)</f>
        <v/>
      </c>
      <c r="AQ9" s="80">
        <f>AP9*Products!$F$42*AO9</f>
        <v/>
      </c>
      <c r="AR9" s="80">
        <f>AP9-AQ9</f>
        <v/>
      </c>
      <c r="AS9" s="80">
        <f>(1-AO9)*MAX(0,Products!$F$16-$A9)*(Products!$F$33-Products!$F$35/Products!$F$16)</f>
        <v/>
      </c>
      <c r="AT9" s="81">
        <f>IF($A9&lt;=Products!$F$16,AO9,0)</f>
        <v/>
      </c>
      <c r="AU9" s="81">
        <f>IF(AND($A9&gt;=1,$A9&lt;=Products!$F$16),AO8-AO9,0)</f>
        <v/>
      </c>
      <c r="AV9" s="80">
        <f>IF(AND($A9-Inputs!$C$31&gt;=1,$A9-Inputs!$C$31&lt;=Products!$F$16),INDEX(Curves!$AU$8:$AU$68,$A9-Inputs!$C$31+1),0)*Products!$F$27*Products!$F$28*Products!$F$13*(1-Credit_Assumptions!$C$15)</f>
        <v/>
      </c>
      <c r="AW9" s="80">
        <f>IF($A9=Inputs!$C$33,Products!$F$30*Inputs!$C$10*Inputs!$C$32,0)</f>
        <v/>
      </c>
      <c r="AX9" s="80">
        <f>AQ9*(1-Inputs!$C$24)-Inputs!$C$25*AT9+AV9+AW9</f>
        <v/>
      </c>
      <c r="AY9" s="80">
        <f>AY8+AX9</f>
        <v/>
      </c>
      <c r="AZ9" s="80">
        <f>AP9*(1-AO9)</f>
        <v/>
      </c>
      <c r="BB9" s="81">
        <f>(1-Products!$G$41)^$A9</f>
        <v/>
      </c>
      <c r="BC9" s="80">
        <f>IF(AND($A9&gt;=1,$A9&lt;=Products!$G$16),Products!$G$33,0)</f>
        <v/>
      </c>
      <c r="BD9" s="80">
        <f>BC9*Products!$G$42*BB9</f>
        <v/>
      </c>
      <c r="BE9" s="80">
        <f>BC9-BD9</f>
        <v/>
      </c>
      <c r="BF9" s="80">
        <f>(1-BB9)*MAX(0,Products!$G$16-$A9)*(Products!$G$33-Products!$G$35/Products!$G$16)</f>
        <v/>
      </c>
      <c r="BG9" s="81">
        <f>IF($A9&lt;=Products!$G$16,BB9,0)</f>
        <v/>
      </c>
      <c r="BH9" s="81">
        <f>IF(AND($A9&gt;=1,$A9&lt;=Products!$G$16),BB8-BB9,0)</f>
        <v/>
      </c>
      <c r="BI9" s="80">
        <f>IF(AND($A9-Inputs!$C$31&gt;=1,$A9-Inputs!$C$31&lt;=Products!$G$16),INDEX(Curves!$BH$8:$BH$68,$A9-Inputs!$C$31+1),0)*Products!$G$27*Products!$G$28*Products!$G$13*(1-Credit_Assumptions!$C$15)</f>
        <v/>
      </c>
      <c r="BJ9" s="80">
        <f>IF($A9=Inputs!$C$33,Products!$G$30*Inputs!$C$10*Inputs!$C$32,0)</f>
        <v/>
      </c>
      <c r="BK9" s="80">
        <f>BD9*(1-Inputs!$C$24)-Inputs!$C$25*BG9+BI9+BJ9</f>
        <v/>
      </c>
      <c r="BL9" s="80">
        <f>BL8+BK9</f>
        <v/>
      </c>
      <c r="BM9" s="80">
        <f>BC9*(1-BB9)</f>
        <v/>
      </c>
    </row>
    <row r="10">
      <c r="A10" s="23" t="n">
        <v>2</v>
      </c>
      <c r="B10" s="81">
        <f>(1-Products!$C$41)^$A10</f>
        <v/>
      </c>
      <c r="C10" s="80">
        <f>IF(AND($A10&gt;=1,$A10&lt;=Products!$C$16),Products!$C$33,0)</f>
        <v/>
      </c>
      <c r="D10" s="80">
        <f>C10*Products!$C$42*B10</f>
        <v/>
      </c>
      <c r="E10" s="80">
        <f>C10-D10</f>
        <v/>
      </c>
      <c r="F10" s="80">
        <f>(1-B10)*MAX(0,Products!$C$16-$A10)*(Products!$C$33-Products!$C$35/Products!$C$16)</f>
        <v/>
      </c>
      <c r="G10" s="81">
        <f>IF($A10&lt;=Products!$C$16,B10,0)</f>
        <v/>
      </c>
      <c r="H10" s="81">
        <f>IF(AND($A10&gt;=1,$A10&lt;=Products!$C$16),B9-B10,0)</f>
        <v/>
      </c>
      <c r="I10" s="80">
        <f>IF(AND($A10-Inputs!$C$31&gt;=1,$A10-Inputs!$C$31&lt;=Products!$C$16),INDEX(Curves!$H$8:$H$68,$A10-Inputs!$C$31+1),0)*Products!$C$27*Products!$C$28*Products!$C$13*(1-Credit_Assumptions!$C$15)</f>
        <v/>
      </c>
      <c r="J10" s="80">
        <f>IF($A10=Inputs!$C$33,Products!$C$30*Inputs!$C$10*Inputs!$C$32,0)</f>
        <v/>
      </c>
      <c r="K10" s="80">
        <f>D10*(1-Inputs!$C$24)-Inputs!$C$25*G10+I10+J10</f>
        <v/>
      </c>
      <c r="L10" s="80">
        <f>L9+K10</f>
        <v/>
      </c>
      <c r="M10" s="80">
        <f>C10*(1-B10)</f>
        <v/>
      </c>
      <c r="O10" s="81">
        <f>(1-Products!$D$41)^$A10</f>
        <v/>
      </c>
      <c r="P10" s="80">
        <f>IF(AND($A10&gt;=1,$A10&lt;=Products!$D$16),Products!$D$33,0)</f>
        <v/>
      </c>
      <c r="Q10" s="80">
        <f>P10*Products!$D$42*O10</f>
        <v/>
      </c>
      <c r="R10" s="80">
        <f>P10-Q10</f>
        <v/>
      </c>
      <c r="S10" s="80">
        <f>(1-O10)*MAX(0,Products!$D$16-$A10)*(Products!$D$33-Products!$D$35/Products!$D$16)</f>
        <v/>
      </c>
      <c r="T10" s="81">
        <f>IF($A10&lt;=Products!$D$16,O10,0)</f>
        <v/>
      </c>
      <c r="U10" s="81">
        <f>IF(AND($A10&gt;=1,$A10&lt;=Products!$D$16),O9-O10,0)</f>
        <v/>
      </c>
      <c r="V10" s="80">
        <f>IF(AND($A10-Inputs!$C$31&gt;=1,$A10-Inputs!$C$31&lt;=Products!$D$16),INDEX(Curves!$U$8:$U$68,$A10-Inputs!$C$31+1),0)*Products!$D$27*Products!$D$28*Products!$D$13*(1-Credit_Assumptions!$C$15)</f>
        <v/>
      </c>
      <c r="W10" s="80">
        <f>IF($A10=Inputs!$C$33,Products!$D$30*Inputs!$C$10*Inputs!$C$32,0)</f>
        <v/>
      </c>
      <c r="X10" s="80">
        <f>Q10*(1-Inputs!$C$24)-Inputs!$C$25*T10+V10+W10</f>
        <v/>
      </c>
      <c r="Y10" s="80">
        <f>Y9+X10</f>
        <v/>
      </c>
      <c r="Z10" s="80">
        <f>P10*(1-O10)</f>
        <v/>
      </c>
      <c r="AB10" s="81">
        <f>(1-Products!$E$41)^$A10</f>
        <v/>
      </c>
      <c r="AC10" s="80">
        <f>IF(AND($A10&gt;=1,$A10&lt;=Products!$E$16),Products!$E$33,0)</f>
        <v/>
      </c>
      <c r="AD10" s="80">
        <f>AC10*Products!$E$42*AB10</f>
        <v/>
      </c>
      <c r="AE10" s="80">
        <f>AC10-AD10</f>
        <v/>
      </c>
      <c r="AF10" s="80">
        <f>(1-AB10)*MAX(0,Products!$E$16-$A10)*(Products!$E$33-Products!$E$35/Products!$E$16)</f>
        <v/>
      </c>
      <c r="AG10" s="81">
        <f>IF($A10&lt;=Products!$E$16,AB10,0)</f>
        <v/>
      </c>
      <c r="AH10" s="81">
        <f>IF(AND($A10&gt;=1,$A10&lt;=Products!$E$16),AB9-AB10,0)</f>
        <v/>
      </c>
      <c r="AI10" s="80">
        <f>IF(AND($A10-Inputs!$C$31&gt;=1,$A10-Inputs!$C$31&lt;=Products!$E$16),INDEX(Curves!$AH$8:$AH$68,$A10-Inputs!$C$31+1),0)*Products!$E$27*Products!$E$28*Products!$E$13*(1-Credit_Assumptions!$C$15)</f>
        <v/>
      </c>
      <c r="AJ10" s="80">
        <f>IF($A10=Inputs!$C$33,Products!$E$30*Inputs!$C$10*Inputs!$C$32,0)</f>
        <v/>
      </c>
      <c r="AK10" s="80">
        <f>AD10*(1-Inputs!$C$24)-Inputs!$C$25*AG10+AI10+AJ10</f>
        <v/>
      </c>
      <c r="AL10" s="80">
        <f>AL9+AK10</f>
        <v/>
      </c>
      <c r="AM10" s="80">
        <f>AC10*(1-AB10)</f>
        <v/>
      </c>
      <c r="AO10" s="81">
        <f>(1-Products!$F$41)^$A10</f>
        <v/>
      </c>
      <c r="AP10" s="80">
        <f>IF(AND($A10&gt;=1,$A10&lt;=Products!$F$16),Products!$F$33,0)</f>
        <v/>
      </c>
      <c r="AQ10" s="80">
        <f>AP10*Products!$F$42*AO10</f>
        <v/>
      </c>
      <c r="AR10" s="80">
        <f>AP10-AQ10</f>
        <v/>
      </c>
      <c r="AS10" s="80">
        <f>(1-AO10)*MAX(0,Products!$F$16-$A10)*(Products!$F$33-Products!$F$35/Products!$F$16)</f>
        <v/>
      </c>
      <c r="AT10" s="81">
        <f>IF($A10&lt;=Products!$F$16,AO10,0)</f>
        <v/>
      </c>
      <c r="AU10" s="81">
        <f>IF(AND($A10&gt;=1,$A10&lt;=Products!$F$16),AO9-AO10,0)</f>
        <v/>
      </c>
      <c r="AV10" s="80">
        <f>IF(AND($A10-Inputs!$C$31&gt;=1,$A10-Inputs!$C$31&lt;=Products!$F$16),INDEX(Curves!$AU$8:$AU$68,$A10-Inputs!$C$31+1),0)*Products!$F$27*Products!$F$28*Products!$F$13*(1-Credit_Assumptions!$C$15)</f>
        <v/>
      </c>
      <c r="AW10" s="80">
        <f>IF($A10=Inputs!$C$33,Products!$F$30*Inputs!$C$10*Inputs!$C$32,0)</f>
        <v/>
      </c>
      <c r="AX10" s="80">
        <f>AQ10*(1-Inputs!$C$24)-Inputs!$C$25*AT10+AV10+AW10</f>
        <v/>
      </c>
      <c r="AY10" s="80">
        <f>AY9+AX10</f>
        <v/>
      </c>
      <c r="AZ10" s="80">
        <f>AP10*(1-AO10)</f>
        <v/>
      </c>
      <c r="BB10" s="81">
        <f>(1-Products!$G$41)^$A10</f>
        <v/>
      </c>
      <c r="BC10" s="80">
        <f>IF(AND($A10&gt;=1,$A10&lt;=Products!$G$16),Products!$G$33,0)</f>
        <v/>
      </c>
      <c r="BD10" s="80">
        <f>BC10*Products!$G$42*BB10</f>
        <v/>
      </c>
      <c r="BE10" s="80">
        <f>BC10-BD10</f>
        <v/>
      </c>
      <c r="BF10" s="80">
        <f>(1-BB10)*MAX(0,Products!$G$16-$A10)*(Products!$G$33-Products!$G$35/Products!$G$16)</f>
        <v/>
      </c>
      <c r="BG10" s="81">
        <f>IF($A10&lt;=Products!$G$16,BB10,0)</f>
        <v/>
      </c>
      <c r="BH10" s="81">
        <f>IF(AND($A10&gt;=1,$A10&lt;=Products!$G$16),BB9-BB10,0)</f>
        <v/>
      </c>
      <c r="BI10" s="80">
        <f>IF(AND($A10-Inputs!$C$31&gt;=1,$A10-Inputs!$C$31&lt;=Products!$G$16),INDEX(Curves!$BH$8:$BH$68,$A10-Inputs!$C$31+1),0)*Products!$G$27*Products!$G$28*Products!$G$13*(1-Credit_Assumptions!$C$15)</f>
        <v/>
      </c>
      <c r="BJ10" s="80">
        <f>IF($A10=Inputs!$C$33,Products!$G$30*Inputs!$C$10*Inputs!$C$32,0)</f>
        <v/>
      </c>
      <c r="BK10" s="80">
        <f>BD10*(1-Inputs!$C$24)-Inputs!$C$25*BG10+BI10+BJ10</f>
        <v/>
      </c>
      <c r="BL10" s="80">
        <f>BL9+BK10</f>
        <v/>
      </c>
      <c r="BM10" s="80">
        <f>BC10*(1-BB10)</f>
        <v/>
      </c>
    </row>
    <row r="11">
      <c r="A11" s="23" t="n">
        <v>3</v>
      </c>
      <c r="B11" s="81">
        <f>(1-Products!$C$41)^$A11</f>
        <v/>
      </c>
      <c r="C11" s="80">
        <f>IF(AND($A11&gt;=1,$A11&lt;=Products!$C$16),Products!$C$33,0)</f>
        <v/>
      </c>
      <c r="D11" s="80">
        <f>C11*Products!$C$42*B11</f>
        <v/>
      </c>
      <c r="E11" s="80">
        <f>C11-D11</f>
        <v/>
      </c>
      <c r="F11" s="80">
        <f>(1-B11)*MAX(0,Products!$C$16-$A11)*(Products!$C$33-Products!$C$35/Products!$C$16)</f>
        <v/>
      </c>
      <c r="G11" s="81">
        <f>IF($A11&lt;=Products!$C$16,B11,0)</f>
        <v/>
      </c>
      <c r="H11" s="81">
        <f>IF(AND($A11&gt;=1,$A11&lt;=Products!$C$16),B10-B11,0)</f>
        <v/>
      </c>
      <c r="I11" s="80">
        <f>IF(AND($A11-Inputs!$C$31&gt;=1,$A11-Inputs!$C$31&lt;=Products!$C$16),INDEX(Curves!$H$8:$H$68,$A11-Inputs!$C$31+1),0)*Products!$C$27*Products!$C$28*Products!$C$13*(1-Credit_Assumptions!$C$15)</f>
        <v/>
      </c>
      <c r="J11" s="80">
        <f>IF($A11=Inputs!$C$33,Products!$C$30*Inputs!$C$10*Inputs!$C$32,0)</f>
        <v/>
      </c>
      <c r="K11" s="80">
        <f>D11*(1-Inputs!$C$24)-Inputs!$C$25*G11+I11+J11</f>
        <v/>
      </c>
      <c r="L11" s="80">
        <f>L10+K11</f>
        <v/>
      </c>
      <c r="M11" s="80">
        <f>C11*(1-B11)</f>
        <v/>
      </c>
      <c r="O11" s="81">
        <f>(1-Products!$D$41)^$A11</f>
        <v/>
      </c>
      <c r="P11" s="80">
        <f>IF(AND($A11&gt;=1,$A11&lt;=Products!$D$16),Products!$D$33,0)</f>
        <v/>
      </c>
      <c r="Q11" s="80">
        <f>P11*Products!$D$42*O11</f>
        <v/>
      </c>
      <c r="R11" s="80">
        <f>P11-Q11</f>
        <v/>
      </c>
      <c r="S11" s="80">
        <f>(1-O11)*MAX(0,Products!$D$16-$A11)*(Products!$D$33-Products!$D$35/Products!$D$16)</f>
        <v/>
      </c>
      <c r="T11" s="81">
        <f>IF($A11&lt;=Products!$D$16,O11,0)</f>
        <v/>
      </c>
      <c r="U11" s="81">
        <f>IF(AND($A11&gt;=1,$A11&lt;=Products!$D$16),O10-O11,0)</f>
        <v/>
      </c>
      <c r="V11" s="80">
        <f>IF(AND($A11-Inputs!$C$31&gt;=1,$A11-Inputs!$C$31&lt;=Products!$D$16),INDEX(Curves!$U$8:$U$68,$A11-Inputs!$C$31+1),0)*Products!$D$27*Products!$D$28*Products!$D$13*(1-Credit_Assumptions!$C$15)</f>
        <v/>
      </c>
      <c r="W11" s="80">
        <f>IF($A11=Inputs!$C$33,Products!$D$30*Inputs!$C$10*Inputs!$C$32,0)</f>
        <v/>
      </c>
      <c r="X11" s="80">
        <f>Q11*(1-Inputs!$C$24)-Inputs!$C$25*T11+V11+W11</f>
        <v/>
      </c>
      <c r="Y11" s="80">
        <f>Y10+X11</f>
        <v/>
      </c>
      <c r="Z11" s="80">
        <f>P11*(1-O11)</f>
        <v/>
      </c>
      <c r="AB11" s="81">
        <f>(1-Products!$E$41)^$A11</f>
        <v/>
      </c>
      <c r="AC11" s="80">
        <f>IF(AND($A11&gt;=1,$A11&lt;=Products!$E$16),Products!$E$33,0)</f>
        <v/>
      </c>
      <c r="AD11" s="80">
        <f>AC11*Products!$E$42*AB11</f>
        <v/>
      </c>
      <c r="AE11" s="80">
        <f>AC11-AD11</f>
        <v/>
      </c>
      <c r="AF11" s="80">
        <f>(1-AB11)*MAX(0,Products!$E$16-$A11)*(Products!$E$33-Products!$E$35/Products!$E$16)</f>
        <v/>
      </c>
      <c r="AG11" s="81">
        <f>IF($A11&lt;=Products!$E$16,AB11,0)</f>
        <v/>
      </c>
      <c r="AH11" s="81">
        <f>IF(AND($A11&gt;=1,$A11&lt;=Products!$E$16),AB10-AB11,0)</f>
        <v/>
      </c>
      <c r="AI11" s="80">
        <f>IF(AND($A11-Inputs!$C$31&gt;=1,$A11-Inputs!$C$31&lt;=Products!$E$16),INDEX(Curves!$AH$8:$AH$68,$A11-Inputs!$C$31+1),0)*Products!$E$27*Products!$E$28*Products!$E$13*(1-Credit_Assumptions!$C$15)</f>
        <v/>
      </c>
      <c r="AJ11" s="80">
        <f>IF($A11=Inputs!$C$33,Products!$E$30*Inputs!$C$10*Inputs!$C$32,0)</f>
        <v/>
      </c>
      <c r="AK11" s="80">
        <f>AD11*(1-Inputs!$C$24)-Inputs!$C$25*AG11+AI11+AJ11</f>
        <v/>
      </c>
      <c r="AL11" s="80">
        <f>AL10+AK11</f>
        <v/>
      </c>
      <c r="AM11" s="80">
        <f>AC11*(1-AB11)</f>
        <v/>
      </c>
      <c r="AO11" s="81">
        <f>(1-Products!$F$41)^$A11</f>
        <v/>
      </c>
      <c r="AP11" s="80">
        <f>IF(AND($A11&gt;=1,$A11&lt;=Products!$F$16),Products!$F$33,0)</f>
        <v/>
      </c>
      <c r="AQ11" s="80">
        <f>AP11*Products!$F$42*AO11</f>
        <v/>
      </c>
      <c r="AR11" s="80">
        <f>AP11-AQ11</f>
        <v/>
      </c>
      <c r="AS11" s="80">
        <f>(1-AO11)*MAX(0,Products!$F$16-$A11)*(Products!$F$33-Products!$F$35/Products!$F$16)</f>
        <v/>
      </c>
      <c r="AT11" s="81">
        <f>IF($A11&lt;=Products!$F$16,AO11,0)</f>
        <v/>
      </c>
      <c r="AU11" s="81">
        <f>IF(AND($A11&gt;=1,$A11&lt;=Products!$F$16),AO10-AO11,0)</f>
        <v/>
      </c>
      <c r="AV11" s="80">
        <f>IF(AND($A11-Inputs!$C$31&gt;=1,$A11-Inputs!$C$31&lt;=Products!$F$16),INDEX(Curves!$AU$8:$AU$68,$A11-Inputs!$C$31+1),0)*Products!$F$27*Products!$F$28*Products!$F$13*(1-Credit_Assumptions!$C$15)</f>
        <v/>
      </c>
      <c r="AW11" s="80">
        <f>IF($A11=Inputs!$C$33,Products!$F$30*Inputs!$C$10*Inputs!$C$32,0)</f>
        <v/>
      </c>
      <c r="AX11" s="80">
        <f>AQ11*(1-Inputs!$C$24)-Inputs!$C$25*AT11+AV11+AW11</f>
        <v/>
      </c>
      <c r="AY11" s="80">
        <f>AY10+AX11</f>
        <v/>
      </c>
      <c r="AZ11" s="80">
        <f>AP11*(1-AO11)</f>
        <v/>
      </c>
      <c r="BB11" s="81">
        <f>(1-Products!$G$41)^$A11</f>
        <v/>
      </c>
      <c r="BC11" s="80">
        <f>IF(AND($A11&gt;=1,$A11&lt;=Products!$G$16),Products!$G$33,0)</f>
        <v/>
      </c>
      <c r="BD11" s="80">
        <f>BC11*Products!$G$42*BB11</f>
        <v/>
      </c>
      <c r="BE11" s="80">
        <f>BC11-BD11</f>
        <v/>
      </c>
      <c r="BF11" s="80">
        <f>(1-BB11)*MAX(0,Products!$G$16-$A11)*(Products!$G$33-Products!$G$35/Products!$G$16)</f>
        <v/>
      </c>
      <c r="BG11" s="81">
        <f>IF($A11&lt;=Products!$G$16,BB11,0)</f>
        <v/>
      </c>
      <c r="BH11" s="81">
        <f>IF(AND($A11&gt;=1,$A11&lt;=Products!$G$16),BB10-BB11,0)</f>
        <v/>
      </c>
      <c r="BI11" s="80">
        <f>IF(AND($A11-Inputs!$C$31&gt;=1,$A11-Inputs!$C$31&lt;=Products!$G$16),INDEX(Curves!$BH$8:$BH$68,$A11-Inputs!$C$31+1),0)*Products!$G$27*Products!$G$28*Products!$G$13*(1-Credit_Assumptions!$C$15)</f>
        <v/>
      </c>
      <c r="BJ11" s="80">
        <f>IF($A11=Inputs!$C$33,Products!$G$30*Inputs!$C$10*Inputs!$C$32,0)</f>
        <v/>
      </c>
      <c r="BK11" s="80">
        <f>BD11*(1-Inputs!$C$24)-Inputs!$C$25*BG11+BI11+BJ11</f>
        <v/>
      </c>
      <c r="BL11" s="80">
        <f>BL10+BK11</f>
        <v/>
      </c>
      <c r="BM11" s="80">
        <f>BC11*(1-BB11)</f>
        <v/>
      </c>
    </row>
    <row r="12">
      <c r="A12" s="23" t="n">
        <v>4</v>
      </c>
      <c r="B12" s="81">
        <f>(1-Products!$C$41)^$A12</f>
        <v/>
      </c>
      <c r="C12" s="80">
        <f>IF(AND($A12&gt;=1,$A12&lt;=Products!$C$16),Products!$C$33,0)</f>
        <v/>
      </c>
      <c r="D12" s="80">
        <f>C12*Products!$C$42*B12</f>
        <v/>
      </c>
      <c r="E12" s="80">
        <f>C12-D12</f>
        <v/>
      </c>
      <c r="F12" s="80">
        <f>(1-B12)*MAX(0,Products!$C$16-$A12)*(Products!$C$33-Products!$C$35/Products!$C$16)</f>
        <v/>
      </c>
      <c r="G12" s="81">
        <f>IF($A12&lt;=Products!$C$16,B12,0)</f>
        <v/>
      </c>
      <c r="H12" s="81">
        <f>IF(AND($A12&gt;=1,$A12&lt;=Products!$C$16),B11-B12,0)</f>
        <v/>
      </c>
      <c r="I12" s="80">
        <f>IF(AND($A12-Inputs!$C$31&gt;=1,$A12-Inputs!$C$31&lt;=Products!$C$16),INDEX(Curves!$H$8:$H$68,$A12-Inputs!$C$31+1),0)*Products!$C$27*Products!$C$28*Products!$C$13*(1-Credit_Assumptions!$C$15)</f>
        <v/>
      </c>
      <c r="J12" s="80">
        <f>IF($A12=Inputs!$C$33,Products!$C$30*Inputs!$C$10*Inputs!$C$32,0)</f>
        <v/>
      </c>
      <c r="K12" s="80">
        <f>D12*(1-Inputs!$C$24)-Inputs!$C$25*G12+I12+J12</f>
        <v/>
      </c>
      <c r="L12" s="80">
        <f>L11+K12</f>
        <v/>
      </c>
      <c r="M12" s="80">
        <f>C12*(1-B12)</f>
        <v/>
      </c>
      <c r="O12" s="81">
        <f>(1-Products!$D$41)^$A12</f>
        <v/>
      </c>
      <c r="P12" s="80">
        <f>IF(AND($A12&gt;=1,$A12&lt;=Products!$D$16),Products!$D$33,0)</f>
        <v/>
      </c>
      <c r="Q12" s="80">
        <f>P12*Products!$D$42*O12</f>
        <v/>
      </c>
      <c r="R12" s="80">
        <f>P12-Q12</f>
        <v/>
      </c>
      <c r="S12" s="80">
        <f>(1-O12)*MAX(0,Products!$D$16-$A12)*(Products!$D$33-Products!$D$35/Products!$D$16)</f>
        <v/>
      </c>
      <c r="T12" s="81">
        <f>IF($A12&lt;=Products!$D$16,O12,0)</f>
        <v/>
      </c>
      <c r="U12" s="81">
        <f>IF(AND($A12&gt;=1,$A12&lt;=Products!$D$16),O11-O12,0)</f>
        <v/>
      </c>
      <c r="V12" s="80">
        <f>IF(AND($A12-Inputs!$C$31&gt;=1,$A12-Inputs!$C$31&lt;=Products!$D$16),INDEX(Curves!$U$8:$U$68,$A12-Inputs!$C$31+1),0)*Products!$D$27*Products!$D$28*Products!$D$13*(1-Credit_Assumptions!$C$15)</f>
        <v/>
      </c>
      <c r="W12" s="80">
        <f>IF($A12=Inputs!$C$33,Products!$D$30*Inputs!$C$10*Inputs!$C$32,0)</f>
        <v/>
      </c>
      <c r="X12" s="80">
        <f>Q12*(1-Inputs!$C$24)-Inputs!$C$25*T12+V12+W12</f>
        <v/>
      </c>
      <c r="Y12" s="80">
        <f>Y11+X12</f>
        <v/>
      </c>
      <c r="Z12" s="80">
        <f>P12*(1-O12)</f>
        <v/>
      </c>
      <c r="AB12" s="81">
        <f>(1-Products!$E$41)^$A12</f>
        <v/>
      </c>
      <c r="AC12" s="80">
        <f>IF(AND($A12&gt;=1,$A12&lt;=Products!$E$16),Products!$E$33,0)</f>
        <v/>
      </c>
      <c r="AD12" s="80">
        <f>AC12*Products!$E$42*AB12</f>
        <v/>
      </c>
      <c r="AE12" s="80">
        <f>AC12-AD12</f>
        <v/>
      </c>
      <c r="AF12" s="80">
        <f>(1-AB12)*MAX(0,Products!$E$16-$A12)*(Products!$E$33-Products!$E$35/Products!$E$16)</f>
        <v/>
      </c>
      <c r="AG12" s="81">
        <f>IF($A12&lt;=Products!$E$16,AB12,0)</f>
        <v/>
      </c>
      <c r="AH12" s="81">
        <f>IF(AND($A12&gt;=1,$A12&lt;=Products!$E$16),AB11-AB12,0)</f>
        <v/>
      </c>
      <c r="AI12" s="80">
        <f>IF(AND($A12-Inputs!$C$31&gt;=1,$A12-Inputs!$C$31&lt;=Products!$E$16),INDEX(Curves!$AH$8:$AH$68,$A12-Inputs!$C$31+1),0)*Products!$E$27*Products!$E$28*Products!$E$13*(1-Credit_Assumptions!$C$15)</f>
        <v/>
      </c>
      <c r="AJ12" s="80">
        <f>IF($A12=Inputs!$C$33,Products!$E$30*Inputs!$C$10*Inputs!$C$32,0)</f>
        <v/>
      </c>
      <c r="AK12" s="80">
        <f>AD12*(1-Inputs!$C$24)-Inputs!$C$25*AG12+AI12+AJ12</f>
        <v/>
      </c>
      <c r="AL12" s="80">
        <f>AL11+AK12</f>
        <v/>
      </c>
      <c r="AM12" s="80">
        <f>AC12*(1-AB12)</f>
        <v/>
      </c>
      <c r="AO12" s="81">
        <f>(1-Products!$F$41)^$A12</f>
        <v/>
      </c>
      <c r="AP12" s="80">
        <f>IF(AND($A12&gt;=1,$A12&lt;=Products!$F$16),Products!$F$33,0)</f>
        <v/>
      </c>
      <c r="AQ12" s="80">
        <f>AP12*Products!$F$42*AO12</f>
        <v/>
      </c>
      <c r="AR12" s="80">
        <f>AP12-AQ12</f>
        <v/>
      </c>
      <c r="AS12" s="80">
        <f>(1-AO12)*MAX(0,Products!$F$16-$A12)*(Products!$F$33-Products!$F$35/Products!$F$16)</f>
        <v/>
      </c>
      <c r="AT12" s="81">
        <f>IF($A12&lt;=Products!$F$16,AO12,0)</f>
        <v/>
      </c>
      <c r="AU12" s="81">
        <f>IF(AND($A12&gt;=1,$A12&lt;=Products!$F$16),AO11-AO12,0)</f>
        <v/>
      </c>
      <c r="AV12" s="80">
        <f>IF(AND($A12-Inputs!$C$31&gt;=1,$A12-Inputs!$C$31&lt;=Products!$F$16),INDEX(Curves!$AU$8:$AU$68,$A12-Inputs!$C$31+1),0)*Products!$F$27*Products!$F$28*Products!$F$13*(1-Credit_Assumptions!$C$15)</f>
        <v/>
      </c>
      <c r="AW12" s="80">
        <f>IF($A12=Inputs!$C$33,Products!$F$30*Inputs!$C$10*Inputs!$C$32,0)</f>
        <v/>
      </c>
      <c r="AX12" s="80">
        <f>AQ12*(1-Inputs!$C$24)-Inputs!$C$25*AT12+AV12+AW12</f>
        <v/>
      </c>
      <c r="AY12" s="80">
        <f>AY11+AX12</f>
        <v/>
      </c>
      <c r="AZ12" s="80">
        <f>AP12*(1-AO12)</f>
        <v/>
      </c>
      <c r="BB12" s="81">
        <f>(1-Products!$G$41)^$A12</f>
        <v/>
      </c>
      <c r="BC12" s="80">
        <f>IF(AND($A12&gt;=1,$A12&lt;=Products!$G$16),Products!$G$33,0)</f>
        <v/>
      </c>
      <c r="BD12" s="80">
        <f>BC12*Products!$G$42*BB12</f>
        <v/>
      </c>
      <c r="BE12" s="80">
        <f>BC12-BD12</f>
        <v/>
      </c>
      <c r="BF12" s="80">
        <f>(1-BB12)*MAX(0,Products!$G$16-$A12)*(Products!$G$33-Products!$G$35/Products!$G$16)</f>
        <v/>
      </c>
      <c r="BG12" s="81">
        <f>IF($A12&lt;=Products!$G$16,BB12,0)</f>
        <v/>
      </c>
      <c r="BH12" s="81">
        <f>IF(AND($A12&gt;=1,$A12&lt;=Products!$G$16),BB11-BB12,0)</f>
        <v/>
      </c>
      <c r="BI12" s="80">
        <f>IF(AND($A12-Inputs!$C$31&gt;=1,$A12-Inputs!$C$31&lt;=Products!$G$16),INDEX(Curves!$BH$8:$BH$68,$A12-Inputs!$C$31+1),0)*Products!$G$27*Products!$G$28*Products!$G$13*(1-Credit_Assumptions!$C$15)</f>
        <v/>
      </c>
      <c r="BJ12" s="80">
        <f>IF($A12=Inputs!$C$33,Products!$G$30*Inputs!$C$10*Inputs!$C$32,0)</f>
        <v/>
      </c>
      <c r="BK12" s="80">
        <f>BD12*(1-Inputs!$C$24)-Inputs!$C$25*BG12+BI12+BJ12</f>
        <v/>
      </c>
      <c r="BL12" s="80">
        <f>BL11+BK12</f>
        <v/>
      </c>
      <c r="BM12" s="80">
        <f>BC12*(1-BB12)</f>
        <v/>
      </c>
    </row>
    <row r="13">
      <c r="A13" s="23" t="n">
        <v>5</v>
      </c>
      <c r="B13" s="81">
        <f>(1-Products!$C$41)^$A13</f>
        <v/>
      </c>
      <c r="C13" s="80">
        <f>IF(AND($A13&gt;=1,$A13&lt;=Products!$C$16),Products!$C$33,0)</f>
        <v/>
      </c>
      <c r="D13" s="80">
        <f>C13*Products!$C$42*B13</f>
        <v/>
      </c>
      <c r="E13" s="80">
        <f>C13-D13</f>
        <v/>
      </c>
      <c r="F13" s="80">
        <f>(1-B13)*MAX(0,Products!$C$16-$A13)*(Products!$C$33-Products!$C$35/Products!$C$16)</f>
        <v/>
      </c>
      <c r="G13" s="81">
        <f>IF($A13&lt;=Products!$C$16,B13,0)</f>
        <v/>
      </c>
      <c r="H13" s="81">
        <f>IF(AND($A13&gt;=1,$A13&lt;=Products!$C$16),B12-B13,0)</f>
        <v/>
      </c>
      <c r="I13" s="80">
        <f>IF(AND($A13-Inputs!$C$31&gt;=1,$A13-Inputs!$C$31&lt;=Products!$C$16),INDEX(Curves!$H$8:$H$68,$A13-Inputs!$C$31+1),0)*Products!$C$27*Products!$C$28*Products!$C$13*(1-Credit_Assumptions!$C$15)</f>
        <v/>
      </c>
      <c r="J13" s="80">
        <f>IF($A13=Inputs!$C$33,Products!$C$30*Inputs!$C$10*Inputs!$C$32,0)</f>
        <v/>
      </c>
      <c r="K13" s="80">
        <f>D13*(1-Inputs!$C$24)-Inputs!$C$25*G13+I13+J13</f>
        <v/>
      </c>
      <c r="L13" s="80">
        <f>L12+K13</f>
        <v/>
      </c>
      <c r="M13" s="80">
        <f>C13*(1-B13)</f>
        <v/>
      </c>
      <c r="O13" s="81">
        <f>(1-Products!$D$41)^$A13</f>
        <v/>
      </c>
      <c r="P13" s="80">
        <f>IF(AND($A13&gt;=1,$A13&lt;=Products!$D$16),Products!$D$33,0)</f>
        <v/>
      </c>
      <c r="Q13" s="80">
        <f>P13*Products!$D$42*O13</f>
        <v/>
      </c>
      <c r="R13" s="80">
        <f>P13-Q13</f>
        <v/>
      </c>
      <c r="S13" s="80">
        <f>(1-O13)*MAX(0,Products!$D$16-$A13)*(Products!$D$33-Products!$D$35/Products!$D$16)</f>
        <v/>
      </c>
      <c r="T13" s="81">
        <f>IF($A13&lt;=Products!$D$16,O13,0)</f>
        <v/>
      </c>
      <c r="U13" s="81">
        <f>IF(AND($A13&gt;=1,$A13&lt;=Products!$D$16),O12-O13,0)</f>
        <v/>
      </c>
      <c r="V13" s="80">
        <f>IF(AND($A13-Inputs!$C$31&gt;=1,$A13-Inputs!$C$31&lt;=Products!$D$16),INDEX(Curves!$U$8:$U$68,$A13-Inputs!$C$31+1),0)*Products!$D$27*Products!$D$28*Products!$D$13*(1-Credit_Assumptions!$C$15)</f>
        <v/>
      </c>
      <c r="W13" s="80">
        <f>IF($A13=Inputs!$C$33,Products!$D$30*Inputs!$C$10*Inputs!$C$32,0)</f>
        <v/>
      </c>
      <c r="X13" s="80">
        <f>Q13*(1-Inputs!$C$24)-Inputs!$C$25*T13+V13+W13</f>
        <v/>
      </c>
      <c r="Y13" s="80">
        <f>Y12+X13</f>
        <v/>
      </c>
      <c r="Z13" s="80">
        <f>P13*(1-O13)</f>
        <v/>
      </c>
      <c r="AB13" s="81">
        <f>(1-Products!$E$41)^$A13</f>
        <v/>
      </c>
      <c r="AC13" s="80">
        <f>IF(AND($A13&gt;=1,$A13&lt;=Products!$E$16),Products!$E$33,0)</f>
        <v/>
      </c>
      <c r="AD13" s="80">
        <f>AC13*Products!$E$42*AB13</f>
        <v/>
      </c>
      <c r="AE13" s="80">
        <f>AC13-AD13</f>
        <v/>
      </c>
      <c r="AF13" s="80">
        <f>(1-AB13)*MAX(0,Products!$E$16-$A13)*(Products!$E$33-Products!$E$35/Products!$E$16)</f>
        <v/>
      </c>
      <c r="AG13" s="81">
        <f>IF($A13&lt;=Products!$E$16,AB13,0)</f>
        <v/>
      </c>
      <c r="AH13" s="81">
        <f>IF(AND($A13&gt;=1,$A13&lt;=Products!$E$16),AB12-AB13,0)</f>
        <v/>
      </c>
      <c r="AI13" s="80">
        <f>IF(AND($A13-Inputs!$C$31&gt;=1,$A13-Inputs!$C$31&lt;=Products!$E$16),INDEX(Curves!$AH$8:$AH$68,$A13-Inputs!$C$31+1),0)*Products!$E$27*Products!$E$28*Products!$E$13*(1-Credit_Assumptions!$C$15)</f>
        <v/>
      </c>
      <c r="AJ13" s="80">
        <f>IF($A13=Inputs!$C$33,Products!$E$30*Inputs!$C$10*Inputs!$C$32,0)</f>
        <v/>
      </c>
      <c r="AK13" s="80">
        <f>AD13*(1-Inputs!$C$24)-Inputs!$C$25*AG13+AI13+AJ13</f>
        <v/>
      </c>
      <c r="AL13" s="80">
        <f>AL12+AK13</f>
        <v/>
      </c>
      <c r="AM13" s="80">
        <f>AC13*(1-AB13)</f>
        <v/>
      </c>
      <c r="AO13" s="81">
        <f>(1-Products!$F$41)^$A13</f>
        <v/>
      </c>
      <c r="AP13" s="80">
        <f>IF(AND($A13&gt;=1,$A13&lt;=Products!$F$16),Products!$F$33,0)</f>
        <v/>
      </c>
      <c r="AQ13" s="80">
        <f>AP13*Products!$F$42*AO13</f>
        <v/>
      </c>
      <c r="AR13" s="80">
        <f>AP13-AQ13</f>
        <v/>
      </c>
      <c r="AS13" s="80">
        <f>(1-AO13)*MAX(0,Products!$F$16-$A13)*(Products!$F$33-Products!$F$35/Products!$F$16)</f>
        <v/>
      </c>
      <c r="AT13" s="81">
        <f>IF($A13&lt;=Products!$F$16,AO13,0)</f>
        <v/>
      </c>
      <c r="AU13" s="81">
        <f>IF(AND($A13&gt;=1,$A13&lt;=Products!$F$16),AO12-AO13,0)</f>
        <v/>
      </c>
      <c r="AV13" s="80">
        <f>IF(AND($A13-Inputs!$C$31&gt;=1,$A13-Inputs!$C$31&lt;=Products!$F$16),INDEX(Curves!$AU$8:$AU$68,$A13-Inputs!$C$31+1),0)*Products!$F$27*Products!$F$28*Products!$F$13*(1-Credit_Assumptions!$C$15)</f>
        <v/>
      </c>
      <c r="AW13" s="80">
        <f>IF($A13=Inputs!$C$33,Products!$F$30*Inputs!$C$10*Inputs!$C$32,0)</f>
        <v/>
      </c>
      <c r="AX13" s="80">
        <f>AQ13*(1-Inputs!$C$24)-Inputs!$C$25*AT13+AV13+AW13</f>
        <v/>
      </c>
      <c r="AY13" s="80">
        <f>AY12+AX13</f>
        <v/>
      </c>
      <c r="AZ13" s="80">
        <f>AP13*(1-AO13)</f>
        <v/>
      </c>
      <c r="BB13" s="81">
        <f>(1-Products!$G$41)^$A13</f>
        <v/>
      </c>
      <c r="BC13" s="80">
        <f>IF(AND($A13&gt;=1,$A13&lt;=Products!$G$16),Products!$G$33,0)</f>
        <v/>
      </c>
      <c r="BD13" s="80">
        <f>BC13*Products!$G$42*BB13</f>
        <v/>
      </c>
      <c r="BE13" s="80">
        <f>BC13-BD13</f>
        <v/>
      </c>
      <c r="BF13" s="80">
        <f>(1-BB13)*MAX(0,Products!$G$16-$A13)*(Products!$G$33-Products!$G$35/Products!$G$16)</f>
        <v/>
      </c>
      <c r="BG13" s="81">
        <f>IF($A13&lt;=Products!$G$16,BB13,0)</f>
        <v/>
      </c>
      <c r="BH13" s="81">
        <f>IF(AND($A13&gt;=1,$A13&lt;=Products!$G$16),BB12-BB13,0)</f>
        <v/>
      </c>
      <c r="BI13" s="80">
        <f>IF(AND($A13-Inputs!$C$31&gt;=1,$A13-Inputs!$C$31&lt;=Products!$G$16),INDEX(Curves!$BH$8:$BH$68,$A13-Inputs!$C$31+1),0)*Products!$G$27*Products!$G$28*Products!$G$13*(1-Credit_Assumptions!$C$15)</f>
        <v/>
      </c>
      <c r="BJ13" s="80">
        <f>IF($A13=Inputs!$C$33,Products!$G$30*Inputs!$C$10*Inputs!$C$32,0)</f>
        <v/>
      </c>
      <c r="BK13" s="80">
        <f>BD13*(1-Inputs!$C$24)-Inputs!$C$25*BG13+BI13+BJ13</f>
        <v/>
      </c>
      <c r="BL13" s="80">
        <f>BL12+BK13</f>
        <v/>
      </c>
      <c r="BM13" s="80">
        <f>BC13*(1-BB13)</f>
        <v/>
      </c>
    </row>
    <row r="14">
      <c r="A14" s="23" t="n">
        <v>6</v>
      </c>
      <c r="B14" s="81">
        <f>(1-Products!$C$41)^$A14</f>
        <v/>
      </c>
      <c r="C14" s="80">
        <f>IF(AND($A14&gt;=1,$A14&lt;=Products!$C$16),Products!$C$33,0)</f>
        <v/>
      </c>
      <c r="D14" s="80">
        <f>C14*Products!$C$42*B14</f>
        <v/>
      </c>
      <c r="E14" s="80">
        <f>C14-D14</f>
        <v/>
      </c>
      <c r="F14" s="80">
        <f>(1-B14)*MAX(0,Products!$C$16-$A14)*(Products!$C$33-Products!$C$35/Products!$C$16)</f>
        <v/>
      </c>
      <c r="G14" s="81">
        <f>IF($A14&lt;=Products!$C$16,B14,0)</f>
        <v/>
      </c>
      <c r="H14" s="81">
        <f>IF(AND($A14&gt;=1,$A14&lt;=Products!$C$16),B13-B14,0)</f>
        <v/>
      </c>
      <c r="I14" s="80">
        <f>IF(AND($A14-Inputs!$C$31&gt;=1,$A14-Inputs!$C$31&lt;=Products!$C$16),INDEX(Curves!$H$8:$H$68,$A14-Inputs!$C$31+1),0)*Products!$C$27*Products!$C$28*Products!$C$13*(1-Credit_Assumptions!$C$15)</f>
        <v/>
      </c>
      <c r="J14" s="80">
        <f>IF($A14=Inputs!$C$33,Products!$C$30*Inputs!$C$10*Inputs!$C$32,0)</f>
        <v/>
      </c>
      <c r="K14" s="80">
        <f>D14*(1-Inputs!$C$24)-Inputs!$C$25*G14+I14+J14</f>
        <v/>
      </c>
      <c r="L14" s="80">
        <f>L13+K14</f>
        <v/>
      </c>
      <c r="M14" s="80">
        <f>C14*(1-B14)</f>
        <v/>
      </c>
      <c r="O14" s="81">
        <f>(1-Products!$D$41)^$A14</f>
        <v/>
      </c>
      <c r="P14" s="80">
        <f>IF(AND($A14&gt;=1,$A14&lt;=Products!$D$16),Products!$D$33,0)</f>
        <v/>
      </c>
      <c r="Q14" s="80">
        <f>P14*Products!$D$42*O14</f>
        <v/>
      </c>
      <c r="R14" s="80">
        <f>P14-Q14</f>
        <v/>
      </c>
      <c r="S14" s="80">
        <f>(1-O14)*MAX(0,Products!$D$16-$A14)*(Products!$D$33-Products!$D$35/Products!$D$16)</f>
        <v/>
      </c>
      <c r="T14" s="81">
        <f>IF($A14&lt;=Products!$D$16,O14,0)</f>
        <v/>
      </c>
      <c r="U14" s="81">
        <f>IF(AND($A14&gt;=1,$A14&lt;=Products!$D$16),O13-O14,0)</f>
        <v/>
      </c>
      <c r="V14" s="80">
        <f>IF(AND($A14-Inputs!$C$31&gt;=1,$A14-Inputs!$C$31&lt;=Products!$D$16),INDEX(Curves!$U$8:$U$68,$A14-Inputs!$C$31+1),0)*Products!$D$27*Products!$D$28*Products!$D$13*(1-Credit_Assumptions!$C$15)</f>
        <v/>
      </c>
      <c r="W14" s="80">
        <f>IF($A14=Inputs!$C$33,Products!$D$30*Inputs!$C$10*Inputs!$C$32,0)</f>
        <v/>
      </c>
      <c r="X14" s="80">
        <f>Q14*(1-Inputs!$C$24)-Inputs!$C$25*T14+V14+W14</f>
        <v/>
      </c>
      <c r="Y14" s="80">
        <f>Y13+X14</f>
        <v/>
      </c>
      <c r="Z14" s="80">
        <f>P14*(1-O14)</f>
        <v/>
      </c>
      <c r="AB14" s="81">
        <f>(1-Products!$E$41)^$A14</f>
        <v/>
      </c>
      <c r="AC14" s="80">
        <f>IF(AND($A14&gt;=1,$A14&lt;=Products!$E$16),Products!$E$33,0)</f>
        <v/>
      </c>
      <c r="AD14" s="80">
        <f>AC14*Products!$E$42*AB14</f>
        <v/>
      </c>
      <c r="AE14" s="80">
        <f>AC14-AD14</f>
        <v/>
      </c>
      <c r="AF14" s="80">
        <f>(1-AB14)*MAX(0,Products!$E$16-$A14)*(Products!$E$33-Products!$E$35/Products!$E$16)</f>
        <v/>
      </c>
      <c r="AG14" s="81">
        <f>IF($A14&lt;=Products!$E$16,AB14,0)</f>
        <v/>
      </c>
      <c r="AH14" s="81">
        <f>IF(AND($A14&gt;=1,$A14&lt;=Products!$E$16),AB13-AB14,0)</f>
        <v/>
      </c>
      <c r="AI14" s="80">
        <f>IF(AND($A14-Inputs!$C$31&gt;=1,$A14-Inputs!$C$31&lt;=Products!$E$16),INDEX(Curves!$AH$8:$AH$68,$A14-Inputs!$C$31+1),0)*Products!$E$27*Products!$E$28*Products!$E$13*(1-Credit_Assumptions!$C$15)</f>
        <v/>
      </c>
      <c r="AJ14" s="80">
        <f>IF($A14=Inputs!$C$33,Products!$E$30*Inputs!$C$10*Inputs!$C$32,0)</f>
        <v/>
      </c>
      <c r="AK14" s="80">
        <f>AD14*(1-Inputs!$C$24)-Inputs!$C$25*AG14+AI14+AJ14</f>
        <v/>
      </c>
      <c r="AL14" s="80">
        <f>AL13+AK14</f>
        <v/>
      </c>
      <c r="AM14" s="80">
        <f>AC14*(1-AB14)</f>
        <v/>
      </c>
      <c r="AO14" s="81">
        <f>(1-Products!$F$41)^$A14</f>
        <v/>
      </c>
      <c r="AP14" s="80">
        <f>IF(AND($A14&gt;=1,$A14&lt;=Products!$F$16),Products!$F$33,0)</f>
        <v/>
      </c>
      <c r="AQ14" s="80">
        <f>AP14*Products!$F$42*AO14</f>
        <v/>
      </c>
      <c r="AR14" s="80">
        <f>AP14-AQ14</f>
        <v/>
      </c>
      <c r="AS14" s="80">
        <f>(1-AO14)*MAX(0,Products!$F$16-$A14)*(Products!$F$33-Products!$F$35/Products!$F$16)</f>
        <v/>
      </c>
      <c r="AT14" s="81">
        <f>IF($A14&lt;=Products!$F$16,AO14,0)</f>
        <v/>
      </c>
      <c r="AU14" s="81">
        <f>IF(AND($A14&gt;=1,$A14&lt;=Products!$F$16),AO13-AO14,0)</f>
        <v/>
      </c>
      <c r="AV14" s="80">
        <f>IF(AND($A14-Inputs!$C$31&gt;=1,$A14-Inputs!$C$31&lt;=Products!$F$16),INDEX(Curves!$AU$8:$AU$68,$A14-Inputs!$C$31+1),0)*Products!$F$27*Products!$F$28*Products!$F$13*(1-Credit_Assumptions!$C$15)</f>
        <v/>
      </c>
      <c r="AW14" s="80">
        <f>IF($A14=Inputs!$C$33,Products!$F$30*Inputs!$C$10*Inputs!$C$32,0)</f>
        <v/>
      </c>
      <c r="AX14" s="80">
        <f>AQ14*(1-Inputs!$C$24)-Inputs!$C$25*AT14+AV14+AW14</f>
        <v/>
      </c>
      <c r="AY14" s="80">
        <f>AY13+AX14</f>
        <v/>
      </c>
      <c r="AZ14" s="80">
        <f>AP14*(1-AO14)</f>
        <v/>
      </c>
      <c r="BB14" s="81">
        <f>(1-Products!$G$41)^$A14</f>
        <v/>
      </c>
      <c r="BC14" s="80">
        <f>IF(AND($A14&gt;=1,$A14&lt;=Products!$G$16),Products!$G$33,0)</f>
        <v/>
      </c>
      <c r="BD14" s="80">
        <f>BC14*Products!$G$42*BB14</f>
        <v/>
      </c>
      <c r="BE14" s="80">
        <f>BC14-BD14</f>
        <v/>
      </c>
      <c r="BF14" s="80">
        <f>(1-BB14)*MAX(0,Products!$G$16-$A14)*(Products!$G$33-Products!$G$35/Products!$G$16)</f>
        <v/>
      </c>
      <c r="BG14" s="81">
        <f>IF($A14&lt;=Products!$G$16,BB14,0)</f>
        <v/>
      </c>
      <c r="BH14" s="81">
        <f>IF(AND($A14&gt;=1,$A14&lt;=Products!$G$16),BB13-BB14,0)</f>
        <v/>
      </c>
      <c r="BI14" s="80">
        <f>IF(AND($A14-Inputs!$C$31&gt;=1,$A14-Inputs!$C$31&lt;=Products!$G$16),INDEX(Curves!$BH$8:$BH$68,$A14-Inputs!$C$31+1),0)*Products!$G$27*Products!$G$28*Products!$G$13*(1-Credit_Assumptions!$C$15)</f>
        <v/>
      </c>
      <c r="BJ14" s="80">
        <f>IF($A14=Inputs!$C$33,Products!$G$30*Inputs!$C$10*Inputs!$C$32,0)</f>
        <v/>
      </c>
      <c r="BK14" s="80">
        <f>BD14*(1-Inputs!$C$24)-Inputs!$C$25*BG14+BI14+BJ14</f>
        <v/>
      </c>
      <c r="BL14" s="80">
        <f>BL13+BK14</f>
        <v/>
      </c>
      <c r="BM14" s="80">
        <f>BC14*(1-BB14)</f>
        <v/>
      </c>
    </row>
    <row r="15">
      <c r="A15" s="23" t="n">
        <v>7</v>
      </c>
      <c r="B15" s="81">
        <f>(1-Products!$C$41)^$A15</f>
        <v/>
      </c>
      <c r="C15" s="80">
        <f>IF(AND($A15&gt;=1,$A15&lt;=Products!$C$16),Products!$C$33,0)</f>
        <v/>
      </c>
      <c r="D15" s="80">
        <f>C15*Products!$C$42*B15</f>
        <v/>
      </c>
      <c r="E15" s="80">
        <f>C15-D15</f>
        <v/>
      </c>
      <c r="F15" s="80">
        <f>(1-B15)*MAX(0,Products!$C$16-$A15)*(Products!$C$33-Products!$C$35/Products!$C$16)</f>
        <v/>
      </c>
      <c r="G15" s="81">
        <f>IF($A15&lt;=Products!$C$16,B15,0)</f>
        <v/>
      </c>
      <c r="H15" s="81">
        <f>IF(AND($A15&gt;=1,$A15&lt;=Products!$C$16),B14-B15,0)</f>
        <v/>
      </c>
      <c r="I15" s="80">
        <f>IF(AND($A15-Inputs!$C$31&gt;=1,$A15-Inputs!$C$31&lt;=Products!$C$16),INDEX(Curves!$H$8:$H$68,$A15-Inputs!$C$31+1),0)*Products!$C$27*Products!$C$28*Products!$C$13*(1-Credit_Assumptions!$C$15)</f>
        <v/>
      </c>
      <c r="J15" s="80">
        <f>IF($A15=Inputs!$C$33,Products!$C$30*Inputs!$C$10*Inputs!$C$32,0)</f>
        <v/>
      </c>
      <c r="K15" s="80">
        <f>D15*(1-Inputs!$C$24)-Inputs!$C$25*G15+I15+J15</f>
        <v/>
      </c>
      <c r="L15" s="80">
        <f>L14+K15</f>
        <v/>
      </c>
      <c r="M15" s="80">
        <f>C15*(1-B15)</f>
        <v/>
      </c>
      <c r="O15" s="81">
        <f>(1-Products!$D$41)^$A15</f>
        <v/>
      </c>
      <c r="P15" s="80">
        <f>IF(AND($A15&gt;=1,$A15&lt;=Products!$D$16),Products!$D$33,0)</f>
        <v/>
      </c>
      <c r="Q15" s="80">
        <f>P15*Products!$D$42*O15</f>
        <v/>
      </c>
      <c r="R15" s="80">
        <f>P15-Q15</f>
        <v/>
      </c>
      <c r="S15" s="80">
        <f>(1-O15)*MAX(0,Products!$D$16-$A15)*(Products!$D$33-Products!$D$35/Products!$D$16)</f>
        <v/>
      </c>
      <c r="T15" s="81">
        <f>IF($A15&lt;=Products!$D$16,O15,0)</f>
        <v/>
      </c>
      <c r="U15" s="81">
        <f>IF(AND($A15&gt;=1,$A15&lt;=Products!$D$16),O14-O15,0)</f>
        <v/>
      </c>
      <c r="V15" s="80">
        <f>IF(AND($A15-Inputs!$C$31&gt;=1,$A15-Inputs!$C$31&lt;=Products!$D$16),INDEX(Curves!$U$8:$U$68,$A15-Inputs!$C$31+1),0)*Products!$D$27*Products!$D$28*Products!$D$13*(1-Credit_Assumptions!$C$15)</f>
        <v/>
      </c>
      <c r="W15" s="80">
        <f>IF($A15=Inputs!$C$33,Products!$D$30*Inputs!$C$10*Inputs!$C$32,0)</f>
        <v/>
      </c>
      <c r="X15" s="80">
        <f>Q15*(1-Inputs!$C$24)-Inputs!$C$25*T15+V15+W15</f>
        <v/>
      </c>
      <c r="Y15" s="80">
        <f>Y14+X15</f>
        <v/>
      </c>
      <c r="Z15" s="80">
        <f>P15*(1-O15)</f>
        <v/>
      </c>
      <c r="AB15" s="81">
        <f>(1-Products!$E$41)^$A15</f>
        <v/>
      </c>
      <c r="AC15" s="80">
        <f>IF(AND($A15&gt;=1,$A15&lt;=Products!$E$16),Products!$E$33,0)</f>
        <v/>
      </c>
      <c r="AD15" s="80">
        <f>AC15*Products!$E$42*AB15</f>
        <v/>
      </c>
      <c r="AE15" s="80">
        <f>AC15-AD15</f>
        <v/>
      </c>
      <c r="AF15" s="80">
        <f>(1-AB15)*MAX(0,Products!$E$16-$A15)*(Products!$E$33-Products!$E$35/Products!$E$16)</f>
        <v/>
      </c>
      <c r="AG15" s="81">
        <f>IF($A15&lt;=Products!$E$16,AB15,0)</f>
        <v/>
      </c>
      <c r="AH15" s="81">
        <f>IF(AND($A15&gt;=1,$A15&lt;=Products!$E$16),AB14-AB15,0)</f>
        <v/>
      </c>
      <c r="AI15" s="80">
        <f>IF(AND($A15-Inputs!$C$31&gt;=1,$A15-Inputs!$C$31&lt;=Products!$E$16),INDEX(Curves!$AH$8:$AH$68,$A15-Inputs!$C$31+1),0)*Products!$E$27*Products!$E$28*Products!$E$13*(1-Credit_Assumptions!$C$15)</f>
        <v/>
      </c>
      <c r="AJ15" s="80">
        <f>IF($A15=Inputs!$C$33,Products!$E$30*Inputs!$C$10*Inputs!$C$32,0)</f>
        <v/>
      </c>
      <c r="AK15" s="80">
        <f>AD15*(1-Inputs!$C$24)-Inputs!$C$25*AG15+AI15+AJ15</f>
        <v/>
      </c>
      <c r="AL15" s="80">
        <f>AL14+AK15</f>
        <v/>
      </c>
      <c r="AM15" s="80">
        <f>AC15*(1-AB15)</f>
        <v/>
      </c>
      <c r="AO15" s="81">
        <f>(1-Products!$F$41)^$A15</f>
        <v/>
      </c>
      <c r="AP15" s="80">
        <f>IF(AND($A15&gt;=1,$A15&lt;=Products!$F$16),Products!$F$33,0)</f>
        <v/>
      </c>
      <c r="AQ15" s="80">
        <f>AP15*Products!$F$42*AO15</f>
        <v/>
      </c>
      <c r="AR15" s="80">
        <f>AP15-AQ15</f>
        <v/>
      </c>
      <c r="AS15" s="80">
        <f>(1-AO15)*MAX(0,Products!$F$16-$A15)*(Products!$F$33-Products!$F$35/Products!$F$16)</f>
        <v/>
      </c>
      <c r="AT15" s="81">
        <f>IF($A15&lt;=Products!$F$16,AO15,0)</f>
        <v/>
      </c>
      <c r="AU15" s="81">
        <f>IF(AND($A15&gt;=1,$A15&lt;=Products!$F$16),AO14-AO15,0)</f>
        <v/>
      </c>
      <c r="AV15" s="80">
        <f>IF(AND($A15-Inputs!$C$31&gt;=1,$A15-Inputs!$C$31&lt;=Products!$F$16),INDEX(Curves!$AU$8:$AU$68,$A15-Inputs!$C$31+1),0)*Products!$F$27*Products!$F$28*Products!$F$13*(1-Credit_Assumptions!$C$15)</f>
        <v/>
      </c>
      <c r="AW15" s="80">
        <f>IF($A15=Inputs!$C$33,Products!$F$30*Inputs!$C$10*Inputs!$C$32,0)</f>
        <v/>
      </c>
      <c r="AX15" s="80">
        <f>AQ15*(1-Inputs!$C$24)-Inputs!$C$25*AT15+AV15+AW15</f>
        <v/>
      </c>
      <c r="AY15" s="80">
        <f>AY14+AX15</f>
        <v/>
      </c>
      <c r="AZ15" s="80">
        <f>AP15*(1-AO15)</f>
        <v/>
      </c>
      <c r="BB15" s="81">
        <f>(1-Products!$G$41)^$A15</f>
        <v/>
      </c>
      <c r="BC15" s="80">
        <f>IF(AND($A15&gt;=1,$A15&lt;=Products!$G$16),Products!$G$33,0)</f>
        <v/>
      </c>
      <c r="BD15" s="80">
        <f>BC15*Products!$G$42*BB15</f>
        <v/>
      </c>
      <c r="BE15" s="80">
        <f>BC15-BD15</f>
        <v/>
      </c>
      <c r="BF15" s="80">
        <f>(1-BB15)*MAX(0,Products!$G$16-$A15)*(Products!$G$33-Products!$G$35/Products!$G$16)</f>
        <v/>
      </c>
      <c r="BG15" s="81">
        <f>IF($A15&lt;=Products!$G$16,BB15,0)</f>
        <v/>
      </c>
      <c r="BH15" s="81">
        <f>IF(AND($A15&gt;=1,$A15&lt;=Products!$G$16),BB14-BB15,0)</f>
        <v/>
      </c>
      <c r="BI15" s="80">
        <f>IF(AND($A15-Inputs!$C$31&gt;=1,$A15-Inputs!$C$31&lt;=Products!$G$16),INDEX(Curves!$BH$8:$BH$68,$A15-Inputs!$C$31+1),0)*Products!$G$27*Products!$G$28*Products!$G$13*(1-Credit_Assumptions!$C$15)</f>
        <v/>
      </c>
      <c r="BJ15" s="80">
        <f>IF($A15=Inputs!$C$33,Products!$G$30*Inputs!$C$10*Inputs!$C$32,0)</f>
        <v/>
      </c>
      <c r="BK15" s="80">
        <f>BD15*(1-Inputs!$C$24)-Inputs!$C$25*BG15+BI15+BJ15</f>
        <v/>
      </c>
      <c r="BL15" s="80">
        <f>BL14+BK15</f>
        <v/>
      </c>
      <c r="BM15" s="80">
        <f>BC15*(1-BB15)</f>
        <v/>
      </c>
    </row>
    <row r="16">
      <c r="A16" s="23" t="n">
        <v>8</v>
      </c>
      <c r="B16" s="81">
        <f>(1-Products!$C$41)^$A16</f>
        <v/>
      </c>
      <c r="C16" s="80">
        <f>IF(AND($A16&gt;=1,$A16&lt;=Products!$C$16),Products!$C$33,0)</f>
        <v/>
      </c>
      <c r="D16" s="80">
        <f>C16*Products!$C$42*B16</f>
        <v/>
      </c>
      <c r="E16" s="80">
        <f>C16-D16</f>
        <v/>
      </c>
      <c r="F16" s="80">
        <f>(1-B16)*MAX(0,Products!$C$16-$A16)*(Products!$C$33-Products!$C$35/Products!$C$16)</f>
        <v/>
      </c>
      <c r="G16" s="81">
        <f>IF($A16&lt;=Products!$C$16,B16,0)</f>
        <v/>
      </c>
      <c r="H16" s="81">
        <f>IF(AND($A16&gt;=1,$A16&lt;=Products!$C$16),B15-B16,0)</f>
        <v/>
      </c>
      <c r="I16" s="80">
        <f>IF(AND($A16-Inputs!$C$31&gt;=1,$A16-Inputs!$C$31&lt;=Products!$C$16),INDEX(Curves!$H$8:$H$68,$A16-Inputs!$C$31+1),0)*Products!$C$27*Products!$C$28*Products!$C$13*(1-Credit_Assumptions!$C$15)</f>
        <v/>
      </c>
      <c r="J16" s="80">
        <f>IF($A16=Inputs!$C$33,Products!$C$30*Inputs!$C$10*Inputs!$C$32,0)</f>
        <v/>
      </c>
      <c r="K16" s="80">
        <f>D16*(1-Inputs!$C$24)-Inputs!$C$25*G16+I16+J16</f>
        <v/>
      </c>
      <c r="L16" s="80">
        <f>L15+K16</f>
        <v/>
      </c>
      <c r="M16" s="80">
        <f>C16*(1-B16)</f>
        <v/>
      </c>
      <c r="O16" s="81">
        <f>(1-Products!$D$41)^$A16</f>
        <v/>
      </c>
      <c r="P16" s="80">
        <f>IF(AND($A16&gt;=1,$A16&lt;=Products!$D$16),Products!$D$33,0)</f>
        <v/>
      </c>
      <c r="Q16" s="80">
        <f>P16*Products!$D$42*O16</f>
        <v/>
      </c>
      <c r="R16" s="80">
        <f>P16-Q16</f>
        <v/>
      </c>
      <c r="S16" s="80">
        <f>(1-O16)*MAX(0,Products!$D$16-$A16)*(Products!$D$33-Products!$D$35/Products!$D$16)</f>
        <v/>
      </c>
      <c r="T16" s="81">
        <f>IF($A16&lt;=Products!$D$16,O16,0)</f>
        <v/>
      </c>
      <c r="U16" s="81">
        <f>IF(AND($A16&gt;=1,$A16&lt;=Products!$D$16),O15-O16,0)</f>
        <v/>
      </c>
      <c r="V16" s="80">
        <f>IF(AND($A16-Inputs!$C$31&gt;=1,$A16-Inputs!$C$31&lt;=Products!$D$16),INDEX(Curves!$U$8:$U$68,$A16-Inputs!$C$31+1),0)*Products!$D$27*Products!$D$28*Products!$D$13*(1-Credit_Assumptions!$C$15)</f>
        <v/>
      </c>
      <c r="W16" s="80">
        <f>IF($A16=Inputs!$C$33,Products!$D$30*Inputs!$C$10*Inputs!$C$32,0)</f>
        <v/>
      </c>
      <c r="X16" s="80">
        <f>Q16*(1-Inputs!$C$24)-Inputs!$C$25*T16+V16+W16</f>
        <v/>
      </c>
      <c r="Y16" s="80">
        <f>Y15+X16</f>
        <v/>
      </c>
      <c r="Z16" s="80">
        <f>P16*(1-O16)</f>
        <v/>
      </c>
      <c r="AB16" s="81">
        <f>(1-Products!$E$41)^$A16</f>
        <v/>
      </c>
      <c r="AC16" s="80">
        <f>IF(AND($A16&gt;=1,$A16&lt;=Products!$E$16),Products!$E$33,0)</f>
        <v/>
      </c>
      <c r="AD16" s="80">
        <f>AC16*Products!$E$42*AB16</f>
        <v/>
      </c>
      <c r="AE16" s="80">
        <f>AC16-AD16</f>
        <v/>
      </c>
      <c r="AF16" s="80">
        <f>(1-AB16)*MAX(0,Products!$E$16-$A16)*(Products!$E$33-Products!$E$35/Products!$E$16)</f>
        <v/>
      </c>
      <c r="AG16" s="81">
        <f>IF($A16&lt;=Products!$E$16,AB16,0)</f>
        <v/>
      </c>
      <c r="AH16" s="81">
        <f>IF(AND($A16&gt;=1,$A16&lt;=Products!$E$16),AB15-AB16,0)</f>
        <v/>
      </c>
      <c r="AI16" s="80">
        <f>IF(AND($A16-Inputs!$C$31&gt;=1,$A16-Inputs!$C$31&lt;=Products!$E$16),INDEX(Curves!$AH$8:$AH$68,$A16-Inputs!$C$31+1),0)*Products!$E$27*Products!$E$28*Products!$E$13*(1-Credit_Assumptions!$C$15)</f>
        <v/>
      </c>
      <c r="AJ16" s="80">
        <f>IF($A16=Inputs!$C$33,Products!$E$30*Inputs!$C$10*Inputs!$C$32,0)</f>
        <v/>
      </c>
      <c r="AK16" s="80">
        <f>AD16*(1-Inputs!$C$24)-Inputs!$C$25*AG16+AI16+AJ16</f>
        <v/>
      </c>
      <c r="AL16" s="80">
        <f>AL15+AK16</f>
        <v/>
      </c>
      <c r="AM16" s="80">
        <f>AC16*(1-AB16)</f>
        <v/>
      </c>
      <c r="AO16" s="81">
        <f>(1-Products!$F$41)^$A16</f>
        <v/>
      </c>
      <c r="AP16" s="80">
        <f>IF(AND($A16&gt;=1,$A16&lt;=Products!$F$16),Products!$F$33,0)</f>
        <v/>
      </c>
      <c r="AQ16" s="80">
        <f>AP16*Products!$F$42*AO16</f>
        <v/>
      </c>
      <c r="AR16" s="80">
        <f>AP16-AQ16</f>
        <v/>
      </c>
      <c r="AS16" s="80">
        <f>(1-AO16)*MAX(0,Products!$F$16-$A16)*(Products!$F$33-Products!$F$35/Products!$F$16)</f>
        <v/>
      </c>
      <c r="AT16" s="81">
        <f>IF($A16&lt;=Products!$F$16,AO16,0)</f>
        <v/>
      </c>
      <c r="AU16" s="81">
        <f>IF(AND($A16&gt;=1,$A16&lt;=Products!$F$16),AO15-AO16,0)</f>
        <v/>
      </c>
      <c r="AV16" s="80">
        <f>IF(AND($A16-Inputs!$C$31&gt;=1,$A16-Inputs!$C$31&lt;=Products!$F$16),INDEX(Curves!$AU$8:$AU$68,$A16-Inputs!$C$31+1),0)*Products!$F$27*Products!$F$28*Products!$F$13*(1-Credit_Assumptions!$C$15)</f>
        <v/>
      </c>
      <c r="AW16" s="80">
        <f>IF($A16=Inputs!$C$33,Products!$F$30*Inputs!$C$10*Inputs!$C$32,0)</f>
        <v/>
      </c>
      <c r="AX16" s="80">
        <f>AQ16*(1-Inputs!$C$24)-Inputs!$C$25*AT16+AV16+AW16</f>
        <v/>
      </c>
      <c r="AY16" s="80">
        <f>AY15+AX16</f>
        <v/>
      </c>
      <c r="AZ16" s="80">
        <f>AP16*(1-AO16)</f>
        <v/>
      </c>
      <c r="BB16" s="81">
        <f>(1-Products!$G$41)^$A16</f>
        <v/>
      </c>
      <c r="BC16" s="80">
        <f>IF(AND($A16&gt;=1,$A16&lt;=Products!$G$16),Products!$G$33,0)</f>
        <v/>
      </c>
      <c r="BD16" s="80">
        <f>BC16*Products!$G$42*BB16</f>
        <v/>
      </c>
      <c r="BE16" s="80">
        <f>BC16-BD16</f>
        <v/>
      </c>
      <c r="BF16" s="80">
        <f>(1-BB16)*MAX(0,Products!$G$16-$A16)*(Products!$G$33-Products!$G$35/Products!$G$16)</f>
        <v/>
      </c>
      <c r="BG16" s="81">
        <f>IF($A16&lt;=Products!$G$16,BB16,0)</f>
        <v/>
      </c>
      <c r="BH16" s="81">
        <f>IF(AND($A16&gt;=1,$A16&lt;=Products!$G$16),BB15-BB16,0)</f>
        <v/>
      </c>
      <c r="BI16" s="80">
        <f>IF(AND($A16-Inputs!$C$31&gt;=1,$A16-Inputs!$C$31&lt;=Products!$G$16),INDEX(Curves!$BH$8:$BH$68,$A16-Inputs!$C$31+1),0)*Products!$G$27*Products!$G$28*Products!$G$13*(1-Credit_Assumptions!$C$15)</f>
        <v/>
      </c>
      <c r="BJ16" s="80">
        <f>IF($A16=Inputs!$C$33,Products!$G$30*Inputs!$C$10*Inputs!$C$32,0)</f>
        <v/>
      </c>
      <c r="BK16" s="80">
        <f>BD16*(1-Inputs!$C$24)-Inputs!$C$25*BG16+BI16+BJ16</f>
        <v/>
      </c>
      <c r="BL16" s="80">
        <f>BL15+BK16</f>
        <v/>
      </c>
      <c r="BM16" s="80">
        <f>BC16*(1-BB16)</f>
        <v/>
      </c>
    </row>
    <row r="17">
      <c r="A17" s="23" t="n">
        <v>9</v>
      </c>
      <c r="B17" s="81">
        <f>(1-Products!$C$41)^$A17</f>
        <v/>
      </c>
      <c r="C17" s="80">
        <f>IF(AND($A17&gt;=1,$A17&lt;=Products!$C$16),Products!$C$33,0)</f>
        <v/>
      </c>
      <c r="D17" s="80">
        <f>C17*Products!$C$42*B17</f>
        <v/>
      </c>
      <c r="E17" s="80">
        <f>C17-D17</f>
        <v/>
      </c>
      <c r="F17" s="80">
        <f>(1-B17)*MAX(0,Products!$C$16-$A17)*(Products!$C$33-Products!$C$35/Products!$C$16)</f>
        <v/>
      </c>
      <c r="G17" s="81">
        <f>IF($A17&lt;=Products!$C$16,B17,0)</f>
        <v/>
      </c>
      <c r="H17" s="81">
        <f>IF(AND($A17&gt;=1,$A17&lt;=Products!$C$16),B16-B17,0)</f>
        <v/>
      </c>
      <c r="I17" s="80">
        <f>IF(AND($A17-Inputs!$C$31&gt;=1,$A17-Inputs!$C$31&lt;=Products!$C$16),INDEX(Curves!$H$8:$H$68,$A17-Inputs!$C$31+1),0)*Products!$C$27*Products!$C$28*Products!$C$13*(1-Credit_Assumptions!$C$15)</f>
        <v/>
      </c>
      <c r="J17" s="80">
        <f>IF($A17=Inputs!$C$33,Products!$C$30*Inputs!$C$10*Inputs!$C$32,0)</f>
        <v/>
      </c>
      <c r="K17" s="80">
        <f>D17*(1-Inputs!$C$24)-Inputs!$C$25*G17+I17+J17</f>
        <v/>
      </c>
      <c r="L17" s="80">
        <f>L16+K17</f>
        <v/>
      </c>
      <c r="M17" s="80">
        <f>C17*(1-B17)</f>
        <v/>
      </c>
      <c r="O17" s="81">
        <f>(1-Products!$D$41)^$A17</f>
        <v/>
      </c>
      <c r="P17" s="80">
        <f>IF(AND($A17&gt;=1,$A17&lt;=Products!$D$16),Products!$D$33,0)</f>
        <v/>
      </c>
      <c r="Q17" s="80">
        <f>P17*Products!$D$42*O17</f>
        <v/>
      </c>
      <c r="R17" s="80">
        <f>P17-Q17</f>
        <v/>
      </c>
      <c r="S17" s="80">
        <f>(1-O17)*MAX(0,Products!$D$16-$A17)*(Products!$D$33-Products!$D$35/Products!$D$16)</f>
        <v/>
      </c>
      <c r="T17" s="81">
        <f>IF($A17&lt;=Products!$D$16,O17,0)</f>
        <v/>
      </c>
      <c r="U17" s="81">
        <f>IF(AND($A17&gt;=1,$A17&lt;=Products!$D$16),O16-O17,0)</f>
        <v/>
      </c>
      <c r="V17" s="80">
        <f>IF(AND($A17-Inputs!$C$31&gt;=1,$A17-Inputs!$C$31&lt;=Products!$D$16),INDEX(Curves!$U$8:$U$68,$A17-Inputs!$C$31+1),0)*Products!$D$27*Products!$D$28*Products!$D$13*(1-Credit_Assumptions!$C$15)</f>
        <v/>
      </c>
      <c r="W17" s="80">
        <f>IF($A17=Inputs!$C$33,Products!$D$30*Inputs!$C$10*Inputs!$C$32,0)</f>
        <v/>
      </c>
      <c r="X17" s="80">
        <f>Q17*(1-Inputs!$C$24)-Inputs!$C$25*T17+V17+W17</f>
        <v/>
      </c>
      <c r="Y17" s="80">
        <f>Y16+X17</f>
        <v/>
      </c>
      <c r="Z17" s="80">
        <f>P17*(1-O17)</f>
        <v/>
      </c>
      <c r="AB17" s="81">
        <f>(1-Products!$E$41)^$A17</f>
        <v/>
      </c>
      <c r="AC17" s="80">
        <f>IF(AND($A17&gt;=1,$A17&lt;=Products!$E$16),Products!$E$33,0)</f>
        <v/>
      </c>
      <c r="AD17" s="80">
        <f>AC17*Products!$E$42*AB17</f>
        <v/>
      </c>
      <c r="AE17" s="80">
        <f>AC17-AD17</f>
        <v/>
      </c>
      <c r="AF17" s="80">
        <f>(1-AB17)*MAX(0,Products!$E$16-$A17)*(Products!$E$33-Products!$E$35/Products!$E$16)</f>
        <v/>
      </c>
      <c r="AG17" s="81">
        <f>IF($A17&lt;=Products!$E$16,AB17,0)</f>
        <v/>
      </c>
      <c r="AH17" s="81">
        <f>IF(AND($A17&gt;=1,$A17&lt;=Products!$E$16),AB16-AB17,0)</f>
        <v/>
      </c>
      <c r="AI17" s="80">
        <f>IF(AND($A17-Inputs!$C$31&gt;=1,$A17-Inputs!$C$31&lt;=Products!$E$16),INDEX(Curves!$AH$8:$AH$68,$A17-Inputs!$C$31+1),0)*Products!$E$27*Products!$E$28*Products!$E$13*(1-Credit_Assumptions!$C$15)</f>
        <v/>
      </c>
      <c r="AJ17" s="80">
        <f>IF($A17=Inputs!$C$33,Products!$E$30*Inputs!$C$10*Inputs!$C$32,0)</f>
        <v/>
      </c>
      <c r="AK17" s="80">
        <f>AD17*(1-Inputs!$C$24)-Inputs!$C$25*AG17+AI17+AJ17</f>
        <v/>
      </c>
      <c r="AL17" s="80">
        <f>AL16+AK17</f>
        <v/>
      </c>
      <c r="AM17" s="80">
        <f>AC17*(1-AB17)</f>
        <v/>
      </c>
      <c r="AO17" s="81">
        <f>(1-Products!$F$41)^$A17</f>
        <v/>
      </c>
      <c r="AP17" s="80">
        <f>IF(AND($A17&gt;=1,$A17&lt;=Products!$F$16),Products!$F$33,0)</f>
        <v/>
      </c>
      <c r="AQ17" s="80">
        <f>AP17*Products!$F$42*AO17</f>
        <v/>
      </c>
      <c r="AR17" s="80">
        <f>AP17-AQ17</f>
        <v/>
      </c>
      <c r="AS17" s="80">
        <f>(1-AO17)*MAX(0,Products!$F$16-$A17)*(Products!$F$33-Products!$F$35/Products!$F$16)</f>
        <v/>
      </c>
      <c r="AT17" s="81">
        <f>IF($A17&lt;=Products!$F$16,AO17,0)</f>
        <v/>
      </c>
      <c r="AU17" s="81">
        <f>IF(AND($A17&gt;=1,$A17&lt;=Products!$F$16),AO16-AO17,0)</f>
        <v/>
      </c>
      <c r="AV17" s="80">
        <f>IF(AND($A17-Inputs!$C$31&gt;=1,$A17-Inputs!$C$31&lt;=Products!$F$16),INDEX(Curves!$AU$8:$AU$68,$A17-Inputs!$C$31+1),0)*Products!$F$27*Products!$F$28*Products!$F$13*(1-Credit_Assumptions!$C$15)</f>
        <v/>
      </c>
      <c r="AW17" s="80">
        <f>IF($A17=Inputs!$C$33,Products!$F$30*Inputs!$C$10*Inputs!$C$32,0)</f>
        <v/>
      </c>
      <c r="AX17" s="80">
        <f>AQ17*(1-Inputs!$C$24)-Inputs!$C$25*AT17+AV17+AW17</f>
        <v/>
      </c>
      <c r="AY17" s="80">
        <f>AY16+AX17</f>
        <v/>
      </c>
      <c r="AZ17" s="80">
        <f>AP17*(1-AO17)</f>
        <v/>
      </c>
      <c r="BB17" s="81">
        <f>(1-Products!$G$41)^$A17</f>
        <v/>
      </c>
      <c r="BC17" s="80">
        <f>IF(AND($A17&gt;=1,$A17&lt;=Products!$G$16),Products!$G$33,0)</f>
        <v/>
      </c>
      <c r="BD17" s="80">
        <f>BC17*Products!$G$42*BB17</f>
        <v/>
      </c>
      <c r="BE17" s="80">
        <f>BC17-BD17</f>
        <v/>
      </c>
      <c r="BF17" s="80">
        <f>(1-BB17)*MAX(0,Products!$G$16-$A17)*(Products!$G$33-Products!$G$35/Products!$G$16)</f>
        <v/>
      </c>
      <c r="BG17" s="81">
        <f>IF($A17&lt;=Products!$G$16,BB17,0)</f>
        <v/>
      </c>
      <c r="BH17" s="81">
        <f>IF(AND($A17&gt;=1,$A17&lt;=Products!$G$16),BB16-BB17,0)</f>
        <v/>
      </c>
      <c r="BI17" s="80">
        <f>IF(AND($A17-Inputs!$C$31&gt;=1,$A17-Inputs!$C$31&lt;=Products!$G$16),INDEX(Curves!$BH$8:$BH$68,$A17-Inputs!$C$31+1),0)*Products!$G$27*Products!$G$28*Products!$G$13*(1-Credit_Assumptions!$C$15)</f>
        <v/>
      </c>
      <c r="BJ17" s="80">
        <f>IF($A17=Inputs!$C$33,Products!$G$30*Inputs!$C$10*Inputs!$C$32,0)</f>
        <v/>
      </c>
      <c r="BK17" s="80">
        <f>BD17*(1-Inputs!$C$24)-Inputs!$C$25*BG17+BI17+BJ17</f>
        <v/>
      </c>
      <c r="BL17" s="80">
        <f>BL16+BK17</f>
        <v/>
      </c>
      <c r="BM17" s="80">
        <f>BC17*(1-BB17)</f>
        <v/>
      </c>
    </row>
    <row r="18">
      <c r="A18" s="23" t="n">
        <v>10</v>
      </c>
      <c r="B18" s="81">
        <f>(1-Products!$C$41)^$A18</f>
        <v/>
      </c>
      <c r="C18" s="80">
        <f>IF(AND($A18&gt;=1,$A18&lt;=Products!$C$16),Products!$C$33,0)</f>
        <v/>
      </c>
      <c r="D18" s="80">
        <f>C18*Products!$C$42*B18</f>
        <v/>
      </c>
      <c r="E18" s="80">
        <f>C18-D18</f>
        <v/>
      </c>
      <c r="F18" s="80">
        <f>(1-B18)*MAX(0,Products!$C$16-$A18)*(Products!$C$33-Products!$C$35/Products!$C$16)</f>
        <v/>
      </c>
      <c r="G18" s="81">
        <f>IF($A18&lt;=Products!$C$16,B18,0)</f>
        <v/>
      </c>
      <c r="H18" s="81">
        <f>IF(AND($A18&gt;=1,$A18&lt;=Products!$C$16),B17-B18,0)</f>
        <v/>
      </c>
      <c r="I18" s="80">
        <f>IF(AND($A18-Inputs!$C$31&gt;=1,$A18-Inputs!$C$31&lt;=Products!$C$16),INDEX(Curves!$H$8:$H$68,$A18-Inputs!$C$31+1),0)*Products!$C$27*Products!$C$28*Products!$C$13*(1-Credit_Assumptions!$C$15)</f>
        <v/>
      </c>
      <c r="J18" s="80">
        <f>IF($A18=Inputs!$C$33,Products!$C$30*Inputs!$C$10*Inputs!$C$32,0)</f>
        <v/>
      </c>
      <c r="K18" s="80">
        <f>D18*(1-Inputs!$C$24)-Inputs!$C$25*G18+I18+J18</f>
        <v/>
      </c>
      <c r="L18" s="80">
        <f>L17+K18</f>
        <v/>
      </c>
      <c r="M18" s="80">
        <f>C18*(1-B18)</f>
        <v/>
      </c>
      <c r="O18" s="81">
        <f>(1-Products!$D$41)^$A18</f>
        <v/>
      </c>
      <c r="P18" s="80">
        <f>IF(AND($A18&gt;=1,$A18&lt;=Products!$D$16),Products!$D$33,0)</f>
        <v/>
      </c>
      <c r="Q18" s="80">
        <f>P18*Products!$D$42*O18</f>
        <v/>
      </c>
      <c r="R18" s="80">
        <f>P18-Q18</f>
        <v/>
      </c>
      <c r="S18" s="80">
        <f>(1-O18)*MAX(0,Products!$D$16-$A18)*(Products!$D$33-Products!$D$35/Products!$D$16)</f>
        <v/>
      </c>
      <c r="T18" s="81">
        <f>IF($A18&lt;=Products!$D$16,O18,0)</f>
        <v/>
      </c>
      <c r="U18" s="81">
        <f>IF(AND($A18&gt;=1,$A18&lt;=Products!$D$16),O17-O18,0)</f>
        <v/>
      </c>
      <c r="V18" s="80">
        <f>IF(AND($A18-Inputs!$C$31&gt;=1,$A18-Inputs!$C$31&lt;=Products!$D$16),INDEX(Curves!$U$8:$U$68,$A18-Inputs!$C$31+1),0)*Products!$D$27*Products!$D$28*Products!$D$13*(1-Credit_Assumptions!$C$15)</f>
        <v/>
      </c>
      <c r="W18" s="80">
        <f>IF($A18=Inputs!$C$33,Products!$D$30*Inputs!$C$10*Inputs!$C$32,0)</f>
        <v/>
      </c>
      <c r="X18" s="80">
        <f>Q18*(1-Inputs!$C$24)-Inputs!$C$25*T18+V18+W18</f>
        <v/>
      </c>
      <c r="Y18" s="80">
        <f>Y17+X18</f>
        <v/>
      </c>
      <c r="Z18" s="80">
        <f>P18*(1-O18)</f>
        <v/>
      </c>
      <c r="AB18" s="81">
        <f>(1-Products!$E$41)^$A18</f>
        <v/>
      </c>
      <c r="AC18" s="80">
        <f>IF(AND($A18&gt;=1,$A18&lt;=Products!$E$16),Products!$E$33,0)</f>
        <v/>
      </c>
      <c r="AD18" s="80">
        <f>AC18*Products!$E$42*AB18</f>
        <v/>
      </c>
      <c r="AE18" s="80">
        <f>AC18-AD18</f>
        <v/>
      </c>
      <c r="AF18" s="80">
        <f>(1-AB18)*MAX(0,Products!$E$16-$A18)*(Products!$E$33-Products!$E$35/Products!$E$16)</f>
        <v/>
      </c>
      <c r="AG18" s="81">
        <f>IF($A18&lt;=Products!$E$16,AB18,0)</f>
        <v/>
      </c>
      <c r="AH18" s="81">
        <f>IF(AND($A18&gt;=1,$A18&lt;=Products!$E$16),AB17-AB18,0)</f>
        <v/>
      </c>
      <c r="AI18" s="80">
        <f>IF(AND($A18-Inputs!$C$31&gt;=1,$A18-Inputs!$C$31&lt;=Products!$E$16),INDEX(Curves!$AH$8:$AH$68,$A18-Inputs!$C$31+1),0)*Products!$E$27*Products!$E$28*Products!$E$13*(1-Credit_Assumptions!$C$15)</f>
        <v/>
      </c>
      <c r="AJ18" s="80">
        <f>IF($A18=Inputs!$C$33,Products!$E$30*Inputs!$C$10*Inputs!$C$32,0)</f>
        <v/>
      </c>
      <c r="AK18" s="80">
        <f>AD18*(1-Inputs!$C$24)-Inputs!$C$25*AG18+AI18+AJ18</f>
        <v/>
      </c>
      <c r="AL18" s="80">
        <f>AL17+AK18</f>
        <v/>
      </c>
      <c r="AM18" s="80">
        <f>AC18*(1-AB18)</f>
        <v/>
      </c>
      <c r="AO18" s="81">
        <f>(1-Products!$F$41)^$A18</f>
        <v/>
      </c>
      <c r="AP18" s="80">
        <f>IF(AND($A18&gt;=1,$A18&lt;=Products!$F$16),Products!$F$33,0)</f>
        <v/>
      </c>
      <c r="AQ18" s="80">
        <f>AP18*Products!$F$42*AO18</f>
        <v/>
      </c>
      <c r="AR18" s="80">
        <f>AP18-AQ18</f>
        <v/>
      </c>
      <c r="AS18" s="80">
        <f>(1-AO18)*MAX(0,Products!$F$16-$A18)*(Products!$F$33-Products!$F$35/Products!$F$16)</f>
        <v/>
      </c>
      <c r="AT18" s="81">
        <f>IF($A18&lt;=Products!$F$16,AO18,0)</f>
        <v/>
      </c>
      <c r="AU18" s="81">
        <f>IF(AND($A18&gt;=1,$A18&lt;=Products!$F$16),AO17-AO18,0)</f>
        <v/>
      </c>
      <c r="AV18" s="80">
        <f>IF(AND($A18-Inputs!$C$31&gt;=1,$A18-Inputs!$C$31&lt;=Products!$F$16),INDEX(Curves!$AU$8:$AU$68,$A18-Inputs!$C$31+1),0)*Products!$F$27*Products!$F$28*Products!$F$13*(1-Credit_Assumptions!$C$15)</f>
        <v/>
      </c>
      <c r="AW18" s="80">
        <f>IF($A18=Inputs!$C$33,Products!$F$30*Inputs!$C$10*Inputs!$C$32,0)</f>
        <v/>
      </c>
      <c r="AX18" s="80">
        <f>AQ18*(1-Inputs!$C$24)-Inputs!$C$25*AT18+AV18+AW18</f>
        <v/>
      </c>
      <c r="AY18" s="80">
        <f>AY17+AX18</f>
        <v/>
      </c>
      <c r="AZ18" s="80">
        <f>AP18*(1-AO18)</f>
        <v/>
      </c>
      <c r="BB18" s="81">
        <f>(1-Products!$G$41)^$A18</f>
        <v/>
      </c>
      <c r="BC18" s="80">
        <f>IF(AND($A18&gt;=1,$A18&lt;=Products!$G$16),Products!$G$33,0)</f>
        <v/>
      </c>
      <c r="BD18" s="80">
        <f>BC18*Products!$G$42*BB18</f>
        <v/>
      </c>
      <c r="BE18" s="80">
        <f>BC18-BD18</f>
        <v/>
      </c>
      <c r="BF18" s="80">
        <f>(1-BB18)*MAX(0,Products!$G$16-$A18)*(Products!$G$33-Products!$G$35/Products!$G$16)</f>
        <v/>
      </c>
      <c r="BG18" s="81">
        <f>IF($A18&lt;=Products!$G$16,BB18,0)</f>
        <v/>
      </c>
      <c r="BH18" s="81">
        <f>IF(AND($A18&gt;=1,$A18&lt;=Products!$G$16),BB17-BB18,0)</f>
        <v/>
      </c>
      <c r="BI18" s="80">
        <f>IF(AND($A18-Inputs!$C$31&gt;=1,$A18-Inputs!$C$31&lt;=Products!$G$16),INDEX(Curves!$BH$8:$BH$68,$A18-Inputs!$C$31+1),0)*Products!$G$27*Products!$G$28*Products!$G$13*(1-Credit_Assumptions!$C$15)</f>
        <v/>
      </c>
      <c r="BJ18" s="80">
        <f>IF($A18=Inputs!$C$33,Products!$G$30*Inputs!$C$10*Inputs!$C$32,0)</f>
        <v/>
      </c>
      <c r="BK18" s="80">
        <f>BD18*(1-Inputs!$C$24)-Inputs!$C$25*BG18+BI18+BJ18</f>
        <v/>
      </c>
      <c r="BL18" s="80">
        <f>BL17+BK18</f>
        <v/>
      </c>
      <c r="BM18" s="80">
        <f>BC18*(1-BB18)</f>
        <v/>
      </c>
    </row>
    <row r="19">
      <c r="A19" s="23" t="n">
        <v>11</v>
      </c>
      <c r="B19" s="81">
        <f>(1-Products!$C$41)^$A19</f>
        <v/>
      </c>
      <c r="C19" s="80">
        <f>IF(AND($A19&gt;=1,$A19&lt;=Products!$C$16),Products!$C$33,0)</f>
        <v/>
      </c>
      <c r="D19" s="80">
        <f>C19*Products!$C$42*B19</f>
        <v/>
      </c>
      <c r="E19" s="80">
        <f>C19-D19</f>
        <v/>
      </c>
      <c r="F19" s="80">
        <f>(1-B19)*MAX(0,Products!$C$16-$A19)*(Products!$C$33-Products!$C$35/Products!$C$16)</f>
        <v/>
      </c>
      <c r="G19" s="81">
        <f>IF($A19&lt;=Products!$C$16,B19,0)</f>
        <v/>
      </c>
      <c r="H19" s="81">
        <f>IF(AND($A19&gt;=1,$A19&lt;=Products!$C$16),B18-B19,0)</f>
        <v/>
      </c>
      <c r="I19" s="80">
        <f>IF(AND($A19-Inputs!$C$31&gt;=1,$A19-Inputs!$C$31&lt;=Products!$C$16),INDEX(Curves!$H$8:$H$68,$A19-Inputs!$C$31+1),0)*Products!$C$27*Products!$C$28*Products!$C$13*(1-Credit_Assumptions!$C$15)</f>
        <v/>
      </c>
      <c r="J19" s="80">
        <f>IF($A19=Inputs!$C$33,Products!$C$30*Inputs!$C$10*Inputs!$C$32,0)</f>
        <v/>
      </c>
      <c r="K19" s="80">
        <f>D19*(1-Inputs!$C$24)-Inputs!$C$25*G19+I19+J19</f>
        <v/>
      </c>
      <c r="L19" s="80">
        <f>L18+K19</f>
        <v/>
      </c>
      <c r="M19" s="80">
        <f>C19*(1-B19)</f>
        <v/>
      </c>
      <c r="O19" s="81">
        <f>(1-Products!$D$41)^$A19</f>
        <v/>
      </c>
      <c r="P19" s="80">
        <f>IF(AND($A19&gt;=1,$A19&lt;=Products!$D$16),Products!$D$33,0)</f>
        <v/>
      </c>
      <c r="Q19" s="80">
        <f>P19*Products!$D$42*O19</f>
        <v/>
      </c>
      <c r="R19" s="80">
        <f>P19-Q19</f>
        <v/>
      </c>
      <c r="S19" s="80">
        <f>(1-O19)*MAX(0,Products!$D$16-$A19)*(Products!$D$33-Products!$D$35/Products!$D$16)</f>
        <v/>
      </c>
      <c r="T19" s="81">
        <f>IF($A19&lt;=Products!$D$16,O19,0)</f>
        <v/>
      </c>
      <c r="U19" s="81">
        <f>IF(AND($A19&gt;=1,$A19&lt;=Products!$D$16),O18-O19,0)</f>
        <v/>
      </c>
      <c r="V19" s="80">
        <f>IF(AND($A19-Inputs!$C$31&gt;=1,$A19-Inputs!$C$31&lt;=Products!$D$16),INDEX(Curves!$U$8:$U$68,$A19-Inputs!$C$31+1),0)*Products!$D$27*Products!$D$28*Products!$D$13*(1-Credit_Assumptions!$C$15)</f>
        <v/>
      </c>
      <c r="W19" s="80">
        <f>IF($A19=Inputs!$C$33,Products!$D$30*Inputs!$C$10*Inputs!$C$32,0)</f>
        <v/>
      </c>
      <c r="X19" s="80">
        <f>Q19*(1-Inputs!$C$24)-Inputs!$C$25*T19+V19+W19</f>
        <v/>
      </c>
      <c r="Y19" s="80">
        <f>Y18+X19</f>
        <v/>
      </c>
      <c r="Z19" s="80">
        <f>P19*(1-O19)</f>
        <v/>
      </c>
      <c r="AB19" s="81">
        <f>(1-Products!$E$41)^$A19</f>
        <v/>
      </c>
      <c r="AC19" s="80">
        <f>IF(AND($A19&gt;=1,$A19&lt;=Products!$E$16),Products!$E$33,0)</f>
        <v/>
      </c>
      <c r="AD19" s="80">
        <f>AC19*Products!$E$42*AB19</f>
        <v/>
      </c>
      <c r="AE19" s="80">
        <f>AC19-AD19</f>
        <v/>
      </c>
      <c r="AF19" s="80">
        <f>(1-AB19)*MAX(0,Products!$E$16-$A19)*(Products!$E$33-Products!$E$35/Products!$E$16)</f>
        <v/>
      </c>
      <c r="AG19" s="81">
        <f>IF($A19&lt;=Products!$E$16,AB19,0)</f>
        <v/>
      </c>
      <c r="AH19" s="81">
        <f>IF(AND($A19&gt;=1,$A19&lt;=Products!$E$16),AB18-AB19,0)</f>
        <v/>
      </c>
      <c r="AI19" s="80">
        <f>IF(AND($A19-Inputs!$C$31&gt;=1,$A19-Inputs!$C$31&lt;=Products!$E$16),INDEX(Curves!$AH$8:$AH$68,$A19-Inputs!$C$31+1),0)*Products!$E$27*Products!$E$28*Products!$E$13*(1-Credit_Assumptions!$C$15)</f>
        <v/>
      </c>
      <c r="AJ19" s="80">
        <f>IF($A19=Inputs!$C$33,Products!$E$30*Inputs!$C$10*Inputs!$C$32,0)</f>
        <v/>
      </c>
      <c r="AK19" s="80">
        <f>AD19*(1-Inputs!$C$24)-Inputs!$C$25*AG19+AI19+AJ19</f>
        <v/>
      </c>
      <c r="AL19" s="80">
        <f>AL18+AK19</f>
        <v/>
      </c>
      <c r="AM19" s="80">
        <f>AC19*(1-AB19)</f>
        <v/>
      </c>
      <c r="AO19" s="81">
        <f>(1-Products!$F$41)^$A19</f>
        <v/>
      </c>
      <c r="AP19" s="80">
        <f>IF(AND($A19&gt;=1,$A19&lt;=Products!$F$16),Products!$F$33,0)</f>
        <v/>
      </c>
      <c r="AQ19" s="80">
        <f>AP19*Products!$F$42*AO19</f>
        <v/>
      </c>
      <c r="AR19" s="80">
        <f>AP19-AQ19</f>
        <v/>
      </c>
      <c r="AS19" s="80">
        <f>(1-AO19)*MAX(0,Products!$F$16-$A19)*(Products!$F$33-Products!$F$35/Products!$F$16)</f>
        <v/>
      </c>
      <c r="AT19" s="81">
        <f>IF($A19&lt;=Products!$F$16,AO19,0)</f>
        <v/>
      </c>
      <c r="AU19" s="81">
        <f>IF(AND($A19&gt;=1,$A19&lt;=Products!$F$16),AO18-AO19,0)</f>
        <v/>
      </c>
      <c r="AV19" s="80">
        <f>IF(AND($A19-Inputs!$C$31&gt;=1,$A19-Inputs!$C$31&lt;=Products!$F$16),INDEX(Curves!$AU$8:$AU$68,$A19-Inputs!$C$31+1),0)*Products!$F$27*Products!$F$28*Products!$F$13*(1-Credit_Assumptions!$C$15)</f>
        <v/>
      </c>
      <c r="AW19" s="80">
        <f>IF($A19=Inputs!$C$33,Products!$F$30*Inputs!$C$10*Inputs!$C$32,0)</f>
        <v/>
      </c>
      <c r="AX19" s="80">
        <f>AQ19*(1-Inputs!$C$24)-Inputs!$C$25*AT19+AV19+AW19</f>
        <v/>
      </c>
      <c r="AY19" s="80">
        <f>AY18+AX19</f>
        <v/>
      </c>
      <c r="AZ19" s="80">
        <f>AP19*(1-AO19)</f>
        <v/>
      </c>
      <c r="BB19" s="81">
        <f>(1-Products!$G$41)^$A19</f>
        <v/>
      </c>
      <c r="BC19" s="80">
        <f>IF(AND($A19&gt;=1,$A19&lt;=Products!$G$16),Products!$G$33,0)</f>
        <v/>
      </c>
      <c r="BD19" s="80">
        <f>BC19*Products!$G$42*BB19</f>
        <v/>
      </c>
      <c r="BE19" s="80">
        <f>BC19-BD19</f>
        <v/>
      </c>
      <c r="BF19" s="80">
        <f>(1-BB19)*MAX(0,Products!$G$16-$A19)*(Products!$G$33-Products!$G$35/Products!$G$16)</f>
        <v/>
      </c>
      <c r="BG19" s="81">
        <f>IF($A19&lt;=Products!$G$16,BB19,0)</f>
        <v/>
      </c>
      <c r="BH19" s="81">
        <f>IF(AND($A19&gt;=1,$A19&lt;=Products!$G$16),BB18-BB19,0)</f>
        <v/>
      </c>
      <c r="BI19" s="80">
        <f>IF(AND($A19-Inputs!$C$31&gt;=1,$A19-Inputs!$C$31&lt;=Products!$G$16),INDEX(Curves!$BH$8:$BH$68,$A19-Inputs!$C$31+1),0)*Products!$G$27*Products!$G$28*Products!$G$13*(1-Credit_Assumptions!$C$15)</f>
        <v/>
      </c>
      <c r="BJ19" s="80">
        <f>IF($A19=Inputs!$C$33,Products!$G$30*Inputs!$C$10*Inputs!$C$32,0)</f>
        <v/>
      </c>
      <c r="BK19" s="80">
        <f>BD19*(1-Inputs!$C$24)-Inputs!$C$25*BG19+BI19+BJ19</f>
        <v/>
      </c>
      <c r="BL19" s="80">
        <f>BL18+BK19</f>
        <v/>
      </c>
      <c r="BM19" s="80">
        <f>BC19*(1-BB19)</f>
        <v/>
      </c>
    </row>
    <row r="20">
      <c r="A20" s="23" t="n">
        <v>12</v>
      </c>
      <c r="B20" s="81">
        <f>(1-Products!$C$41)^$A20</f>
        <v/>
      </c>
      <c r="C20" s="80">
        <f>IF(AND($A20&gt;=1,$A20&lt;=Products!$C$16),Products!$C$33,0)</f>
        <v/>
      </c>
      <c r="D20" s="80">
        <f>C20*Products!$C$42*B20</f>
        <v/>
      </c>
      <c r="E20" s="80">
        <f>C20-D20</f>
        <v/>
      </c>
      <c r="F20" s="80">
        <f>(1-B20)*MAX(0,Products!$C$16-$A20)*(Products!$C$33-Products!$C$35/Products!$C$16)</f>
        <v/>
      </c>
      <c r="G20" s="81">
        <f>IF($A20&lt;=Products!$C$16,B20,0)</f>
        <v/>
      </c>
      <c r="H20" s="81">
        <f>IF(AND($A20&gt;=1,$A20&lt;=Products!$C$16),B19-B20,0)</f>
        <v/>
      </c>
      <c r="I20" s="80">
        <f>IF(AND($A20-Inputs!$C$31&gt;=1,$A20-Inputs!$C$31&lt;=Products!$C$16),INDEX(Curves!$H$8:$H$68,$A20-Inputs!$C$31+1),0)*Products!$C$27*Products!$C$28*Products!$C$13*(1-Credit_Assumptions!$C$15)</f>
        <v/>
      </c>
      <c r="J20" s="80">
        <f>IF($A20=Inputs!$C$33,Products!$C$30*Inputs!$C$10*Inputs!$C$32,0)</f>
        <v/>
      </c>
      <c r="K20" s="80">
        <f>D20*(1-Inputs!$C$24)-Inputs!$C$25*G20+I20+J20</f>
        <v/>
      </c>
      <c r="L20" s="80">
        <f>L19+K20</f>
        <v/>
      </c>
      <c r="M20" s="80">
        <f>C20*(1-B20)</f>
        <v/>
      </c>
      <c r="O20" s="81">
        <f>(1-Products!$D$41)^$A20</f>
        <v/>
      </c>
      <c r="P20" s="80">
        <f>IF(AND($A20&gt;=1,$A20&lt;=Products!$D$16),Products!$D$33,0)</f>
        <v/>
      </c>
      <c r="Q20" s="80">
        <f>P20*Products!$D$42*O20</f>
        <v/>
      </c>
      <c r="R20" s="80">
        <f>P20-Q20</f>
        <v/>
      </c>
      <c r="S20" s="80">
        <f>(1-O20)*MAX(0,Products!$D$16-$A20)*(Products!$D$33-Products!$D$35/Products!$D$16)</f>
        <v/>
      </c>
      <c r="T20" s="81">
        <f>IF($A20&lt;=Products!$D$16,O20,0)</f>
        <v/>
      </c>
      <c r="U20" s="81">
        <f>IF(AND($A20&gt;=1,$A20&lt;=Products!$D$16),O19-O20,0)</f>
        <v/>
      </c>
      <c r="V20" s="80">
        <f>IF(AND($A20-Inputs!$C$31&gt;=1,$A20-Inputs!$C$31&lt;=Products!$D$16),INDEX(Curves!$U$8:$U$68,$A20-Inputs!$C$31+1),0)*Products!$D$27*Products!$D$28*Products!$D$13*(1-Credit_Assumptions!$C$15)</f>
        <v/>
      </c>
      <c r="W20" s="80">
        <f>IF($A20=Inputs!$C$33,Products!$D$30*Inputs!$C$10*Inputs!$C$32,0)</f>
        <v/>
      </c>
      <c r="X20" s="80">
        <f>Q20*(1-Inputs!$C$24)-Inputs!$C$25*T20+V20+W20</f>
        <v/>
      </c>
      <c r="Y20" s="80">
        <f>Y19+X20</f>
        <v/>
      </c>
      <c r="Z20" s="80">
        <f>P20*(1-O20)</f>
        <v/>
      </c>
      <c r="AB20" s="81">
        <f>(1-Products!$E$41)^$A20</f>
        <v/>
      </c>
      <c r="AC20" s="80">
        <f>IF(AND($A20&gt;=1,$A20&lt;=Products!$E$16),Products!$E$33,0)</f>
        <v/>
      </c>
      <c r="AD20" s="80">
        <f>AC20*Products!$E$42*AB20</f>
        <v/>
      </c>
      <c r="AE20" s="80">
        <f>AC20-AD20</f>
        <v/>
      </c>
      <c r="AF20" s="80">
        <f>(1-AB20)*MAX(0,Products!$E$16-$A20)*(Products!$E$33-Products!$E$35/Products!$E$16)</f>
        <v/>
      </c>
      <c r="AG20" s="81">
        <f>IF($A20&lt;=Products!$E$16,AB20,0)</f>
        <v/>
      </c>
      <c r="AH20" s="81">
        <f>IF(AND($A20&gt;=1,$A20&lt;=Products!$E$16),AB19-AB20,0)</f>
        <v/>
      </c>
      <c r="AI20" s="80">
        <f>IF(AND($A20-Inputs!$C$31&gt;=1,$A20-Inputs!$C$31&lt;=Products!$E$16),INDEX(Curves!$AH$8:$AH$68,$A20-Inputs!$C$31+1),0)*Products!$E$27*Products!$E$28*Products!$E$13*(1-Credit_Assumptions!$C$15)</f>
        <v/>
      </c>
      <c r="AJ20" s="80">
        <f>IF($A20=Inputs!$C$33,Products!$E$30*Inputs!$C$10*Inputs!$C$32,0)</f>
        <v/>
      </c>
      <c r="AK20" s="80">
        <f>AD20*(1-Inputs!$C$24)-Inputs!$C$25*AG20+AI20+AJ20</f>
        <v/>
      </c>
      <c r="AL20" s="80">
        <f>AL19+AK20</f>
        <v/>
      </c>
      <c r="AM20" s="80">
        <f>AC20*(1-AB20)</f>
        <v/>
      </c>
      <c r="AO20" s="81">
        <f>(1-Products!$F$41)^$A20</f>
        <v/>
      </c>
      <c r="AP20" s="80">
        <f>IF(AND($A20&gt;=1,$A20&lt;=Products!$F$16),Products!$F$33,0)</f>
        <v/>
      </c>
      <c r="AQ20" s="80">
        <f>AP20*Products!$F$42*AO20</f>
        <v/>
      </c>
      <c r="AR20" s="80">
        <f>AP20-AQ20</f>
        <v/>
      </c>
      <c r="AS20" s="80">
        <f>(1-AO20)*MAX(0,Products!$F$16-$A20)*(Products!$F$33-Products!$F$35/Products!$F$16)</f>
        <v/>
      </c>
      <c r="AT20" s="81">
        <f>IF($A20&lt;=Products!$F$16,AO20,0)</f>
        <v/>
      </c>
      <c r="AU20" s="81">
        <f>IF(AND($A20&gt;=1,$A20&lt;=Products!$F$16),AO19-AO20,0)</f>
        <v/>
      </c>
      <c r="AV20" s="80">
        <f>IF(AND($A20-Inputs!$C$31&gt;=1,$A20-Inputs!$C$31&lt;=Products!$F$16),INDEX(Curves!$AU$8:$AU$68,$A20-Inputs!$C$31+1),0)*Products!$F$27*Products!$F$28*Products!$F$13*(1-Credit_Assumptions!$C$15)</f>
        <v/>
      </c>
      <c r="AW20" s="80">
        <f>IF($A20=Inputs!$C$33,Products!$F$30*Inputs!$C$10*Inputs!$C$32,0)</f>
        <v/>
      </c>
      <c r="AX20" s="80">
        <f>AQ20*(1-Inputs!$C$24)-Inputs!$C$25*AT20+AV20+AW20</f>
        <v/>
      </c>
      <c r="AY20" s="80">
        <f>AY19+AX20</f>
        <v/>
      </c>
      <c r="AZ20" s="80">
        <f>AP20*(1-AO20)</f>
        <v/>
      </c>
      <c r="BB20" s="81">
        <f>(1-Products!$G$41)^$A20</f>
        <v/>
      </c>
      <c r="BC20" s="80">
        <f>IF(AND($A20&gt;=1,$A20&lt;=Products!$G$16),Products!$G$33,0)</f>
        <v/>
      </c>
      <c r="BD20" s="80">
        <f>BC20*Products!$G$42*BB20</f>
        <v/>
      </c>
      <c r="BE20" s="80">
        <f>BC20-BD20</f>
        <v/>
      </c>
      <c r="BF20" s="80">
        <f>(1-BB20)*MAX(0,Products!$G$16-$A20)*(Products!$G$33-Products!$G$35/Products!$G$16)</f>
        <v/>
      </c>
      <c r="BG20" s="81">
        <f>IF($A20&lt;=Products!$G$16,BB20,0)</f>
        <v/>
      </c>
      <c r="BH20" s="81">
        <f>IF(AND($A20&gt;=1,$A20&lt;=Products!$G$16),BB19-BB20,0)</f>
        <v/>
      </c>
      <c r="BI20" s="80">
        <f>IF(AND($A20-Inputs!$C$31&gt;=1,$A20-Inputs!$C$31&lt;=Products!$G$16),INDEX(Curves!$BH$8:$BH$68,$A20-Inputs!$C$31+1),0)*Products!$G$27*Products!$G$28*Products!$G$13*(1-Credit_Assumptions!$C$15)</f>
        <v/>
      </c>
      <c r="BJ20" s="80">
        <f>IF($A20=Inputs!$C$33,Products!$G$30*Inputs!$C$10*Inputs!$C$32,0)</f>
        <v/>
      </c>
      <c r="BK20" s="80">
        <f>BD20*(1-Inputs!$C$24)-Inputs!$C$25*BG20+BI20+BJ20</f>
        <v/>
      </c>
      <c r="BL20" s="80">
        <f>BL19+BK20</f>
        <v/>
      </c>
      <c r="BM20" s="80">
        <f>BC20*(1-BB20)</f>
        <v/>
      </c>
    </row>
    <row r="21">
      <c r="A21" s="23" t="n">
        <v>13</v>
      </c>
      <c r="B21" s="81">
        <f>(1-Products!$C$41)^$A21</f>
        <v/>
      </c>
      <c r="C21" s="80">
        <f>IF(AND($A21&gt;=1,$A21&lt;=Products!$C$16),Products!$C$33,0)</f>
        <v/>
      </c>
      <c r="D21" s="80">
        <f>C21*Products!$C$42*B21</f>
        <v/>
      </c>
      <c r="E21" s="80">
        <f>C21-D21</f>
        <v/>
      </c>
      <c r="F21" s="80">
        <f>(1-B21)*MAX(0,Products!$C$16-$A21)*(Products!$C$33-Products!$C$35/Products!$C$16)</f>
        <v/>
      </c>
      <c r="G21" s="81">
        <f>IF($A21&lt;=Products!$C$16,B21,0)</f>
        <v/>
      </c>
      <c r="H21" s="81">
        <f>IF(AND($A21&gt;=1,$A21&lt;=Products!$C$16),B20-B21,0)</f>
        <v/>
      </c>
      <c r="I21" s="80">
        <f>IF(AND($A21-Inputs!$C$31&gt;=1,$A21-Inputs!$C$31&lt;=Products!$C$16),INDEX(Curves!$H$8:$H$68,$A21-Inputs!$C$31+1),0)*Products!$C$27*Products!$C$28*Products!$C$13*(1-Credit_Assumptions!$C$15)</f>
        <v/>
      </c>
      <c r="J21" s="80">
        <f>IF($A21=Inputs!$C$33,Products!$C$30*Inputs!$C$10*Inputs!$C$32,0)</f>
        <v/>
      </c>
      <c r="K21" s="80">
        <f>D21*(1-Inputs!$C$24)-Inputs!$C$25*G21+I21+J21</f>
        <v/>
      </c>
      <c r="L21" s="80">
        <f>L20+K21</f>
        <v/>
      </c>
      <c r="M21" s="80">
        <f>C21*(1-B21)</f>
        <v/>
      </c>
      <c r="O21" s="81">
        <f>(1-Products!$D$41)^$A21</f>
        <v/>
      </c>
      <c r="P21" s="80">
        <f>IF(AND($A21&gt;=1,$A21&lt;=Products!$D$16),Products!$D$33,0)</f>
        <v/>
      </c>
      <c r="Q21" s="80">
        <f>P21*Products!$D$42*O21</f>
        <v/>
      </c>
      <c r="R21" s="80">
        <f>P21-Q21</f>
        <v/>
      </c>
      <c r="S21" s="80">
        <f>(1-O21)*MAX(0,Products!$D$16-$A21)*(Products!$D$33-Products!$D$35/Products!$D$16)</f>
        <v/>
      </c>
      <c r="T21" s="81">
        <f>IF($A21&lt;=Products!$D$16,O21,0)</f>
        <v/>
      </c>
      <c r="U21" s="81">
        <f>IF(AND($A21&gt;=1,$A21&lt;=Products!$D$16),O20-O21,0)</f>
        <v/>
      </c>
      <c r="V21" s="80">
        <f>IF(AND($A21-Inputs!$C$31&gt;=1,$A21-Inputs!$C$31&lt;=Products!$D$16),INDEX(Curves!$U$8:$U$68,$A21-Inputs!$C$31+1),0)*Products!$D$27*Products!$D$28*Products!$D$13*(1-Credit_Assumptions!$C$15)</f>
        <v/>
      </c>
      <c r="W21" s="80">
        <f>IF($A21=Inputs!$C$33,Products!$D$30*Inputs!$C$10*Inputs!$C$32,0)</f>
        <v/>
      </c>
      <c r="X21" s="80">
        <f>Q21*(1-Inputs!$C$24)-Inputs!$C$25*T21+V21+W21</f>
        <v/>
      </c>
      <c r="Y21" s="80">
        <f>Y20+X21</f>
        <v/>
      </c>
      <c r="Z21" s="80">
        <f>P21*(1-O21)</f>
        <v/>
      </c>
      <c r="AB21" s="81">
        <f>(1-Products!$E$41)^$A21</f>
        <v/>
      </c>
      <c r="AC21" s="80">
        <f>IF(AND($A21&gt;=1,$A21&lt;=Products!$E$16),Products!$E$33,0)</f>
        <v/>
      </c>
      <c r="AD21" s="80">
        <f>AC21*Products!$E$42*AB21</f>
        <v/>
      </c>
      <c r="AE21" s="80">
        <f>AC21-AD21</f>
        <v/>
      </c>
      <c r="AF21" s="80">
        <f>(1-AB21)*MAX(0,Products!$E$16-$A21)*(Products!$E$33-Products!$E$35/Products!$E$16)</f>
        <v/>
      </c>
      <c r="AG21" s="81">
        <f>IF($A21&lt;=Products!$E$16,AB21,0)</f>
        <v/>
      </c>
      <c r="AH21" s="81">
        <f>IF(AND($A21&gt;=1,$A21&lt;=Products!$E$16),AB20-AB21,0)</f>
        <v/>
      </c>
      <c r="AI21" s="80">
        <f>IF(AND($A21-Inputs!$C$31&gt;=1,$A21-Inputs!$C$31&lt;=Products!$E$16),INDEX(Curves!$AH$8:$AH$68,$A21-Inputs!$C$31+1),0)*Products!$E$27*Products!$E$28*Products!$E$13*(1-Credit_Assumptions!$C$15)</f>
        <v/>
      </c>
      <c r="AJ21" s="80">
        <f>IF($A21=Inputs!$C$33,Products!$E$30*Inputs!$C$10*Inputs!$C$32,0)</f>
        <v/>
      </c>
      <c r="AK21" s="80">
        <f>AD21*(1-Inputs!$C$24)-Inputs!$C$25*AG21+AI21+AJ21</f>
        <v/>
      </c>
      <c r="AL21" s="80">
        <f>AL20+AK21</f>
        <v/>
      </c>
      <c r="AM21" s="80">
        <f>AC21*(1-AB21)</f>
        <v/>
      </c>
      <c r="AO21" s="81">
        <f>(1-Products!$F$41)^$A21</f>
        <v/>
      </c>
      <c r="AP21" s="80">
        <f>IF(AND($A21&gt;=1,$A21&lt;=Products!$F$16),Products!$F$33,0)</f>
        <v/>
      </c>
      <c r="AQ21" s="80">
        <f>AP21*Products!$F$42*AO21</f>
        <v/>
      </c>
      <c r="AR21" s="80">
        <f>AP21-AQ21</f>
        <v/>
      </c>
      <c r="AS21" s="80">
        <f>(1-AO21)*MAX(0,Products!$F$16-$A21)*(Products!$F$33-Products!$F$35/Products!$F$16)</f>
        <v/>
      </c>
      <c r="AT21" s="81">
        <f>IF($A21&lt;=Products!$F$16,AO21,0)</f>
        <v/>
      </c>
      <c r="AU21" s="81">
        <f>IF(AND($A21&gt;=1,$A21&lt;=Products!$F$16),AO20-AO21,0)</f>
        <v/>
      </c>
      <c r="AV21" s="80">
        <f>IF(AND($A21-Inputs!$C$31&gt;=1,$A21-Inputs!$C$31&lt;=Products!$F$16),INDEX(Curves!$AU$8:$AU$68,$A21-Inputs!$C$31+1),0)*Products!$F$27*Products!$F$28*Products!$F$13*(1-Credit_Assumptions!$C$15)</f>
        <v/>
      </c>
      <c r="AW21" s="80">
        <f>IF($A21=Inputs!$C$33,Products!$F$30*Inputs!$C$10*Inputs!$C$32,0)</f>
        <v/>
      </c>
      <c r="AX21" s="80">
        <f>AQ21*(1-Inputs!$C$24)-Inputs!$C$25*AT21+AV21+AW21</f>
        <v/>
      </c>
      <c r="AY21" s="80">
        <f>AY20+AX21</f>
        <v/>
      </c>
      <c r="AZ21" s="80">
        <f>AP21*(1-AO21)</f>
        <v/>
      </c>
      <c r="BB21" s="81">
        <f>(1-Products!$G$41)^$A21</f>
        <v/>
      </c>
      <c r="BC21" s="80">
        <f>IF(AND($A21&gt;=1,$A21&lt;=Products!$G$16),Products!$G$33,0)</f>
        <v/>
      </c>
      <c r="BD21" s="80">
        <f>BC21*Products!$G$42*BB21</f>
        <v/>
      </c>
      <c r="BE21" s="80">
        <f>BC21-BD21</f>
        <v/>
      </c>
      <c r="BF21" s="80">
        <f>(1-BB21)*MAX(0,Products!$G$16-$A21)*(Products!$G$33-Products!$G$35/Products!$G$16)</f>
        <v/>
      </c>
      <c r="BG21" s="81">
        <f>IF($A21&lt;=Products!$G$16,BB21,0)</f>
        <v/>
      </c>
      <c r="BH21" s="81">
        <f>IF(AND($A21&gt;=1,$A21&lt;=Products!$G$16),BB20-BB21,0)</f>
        <v/>
      </c>
      <c r="BI21" s="80">
        <f>IF(AND($A21-Inputs!$C$31&gt;=1,$A21-Inputs!$C$31&lt;=Products!$G$16),INDEX(Curves!$BH$8:$BH$68,$A21-Inputs!$C$31+1),0)*Products!$G$27*Products!$G$28*Products!$G$13*(1-Credit_Assumptions!$C$15)</f>
        <v/>
      </c>
      <c r="BJ21" s="80">
        <f>IF($A21=Inputs!$C$33,Products!$G$30*Inputs!$C$10*Inputs!$C$32,0)</f>
        <v/>
      </c>
      <c r="BK21" s="80">
        <f>BD21*(1-Inputs!$C$24)-Inputs!$C$25*BG21+BI21+BJ21</f>
        <v/>
      </c>
      <c r="BL21" s="80">
        <f>BL20+BK21</f>
        <v/>
      </c>
      <c r="BM21" s="80">
        <f>BC21*(1-BB21)</f>
        <v/>
      </c>
    </row>
    <row r="22">
      <c r="A22" s="23" t="n">
        <v>14</v>
      </c>
      <c r="B22" s="81">
        <f>(1-Products!$C$41)^$A22</f>
        <v/>
      </c>
      <c r="C22" s="80">
        <f>IF(AND($A22&gt;=1,$A22&lt;=Products!$C$16),Products!$C$33,0)</f>
        <v/>
      </c>
      <c r="D22" s="80">
        <f>C22*Products!$C$42*B22</f>
        <v/>
      </c>
      <c r="E22" s="80">
        <f>C22-D22</f>
        <v/>
      </c>
      <c r="F22" s="80">
        <f>(1-B22)*MAX(0,Products!$C$16-$A22)*(Products!$C$33-Products!$C$35/Products!$C$16)</f>
        <v/>
      </c>
      <c r="G22" s="81">
        <f>IF($A22&lt;=Products!$C$16,B22,0)</f>
        <v/>
      </c>
      <c r="H22" s="81">
        <f>IF(AND($A22&gt;=1,$A22&lt;=Products!$C$16),B21-B22,0)</f>
        <v/>
      </c>
      <c r="I22" s="80">
        <f>IF(AND($A22-Inputs!$C$31&gt;=1,$A22-Inputs!$C$31&lt;=Products!$C$16),INDEX(Curves!$H$8:$H$68,$A22-Inputs!$C$31+1),0)*Products!$C$27*Products!$C$28*Products!$C$13*(1-Credit_Assumptions!$C$15)</f>
        <v/>
      </c>
      <c r="J22" s="80">
        <f>IF($A22=Inputs!$C$33,Products!$C$30*Inputs!$C$10*Inputs!$C$32,0)</f>
        <v/>
      </c>
      <c r="K22" s="80">
        <f>D22*(1-Inputs!$C$24)-Inputs!$C$25*G22+I22+J22</f>
        <v/>
      </c>
      <c r="L22" s="80">
        <f>L21+K22</f>
        <v/>
      </c>
      <c r="M22" s="80">
        <f>C22*(1-B22)</f>
        <v/>
      </c>
      <c r="O22" s="81">
        <f>(1-Products!$D$41)^$A22</f>
        <v/>
      </c>
      <c r="P22" s="80">
        <f>IF(AND($A22&gt;=1,$A22&lt;=Products!$D$16),Products!$D$33,0)</f>
        <v/>
      </c>
      <c r="Q22" s="80">
        <f>P22*Products!$D$42*O22</f>
        <v/>
      </c>
      <c r="R22" s="80">
        <f>P22-Q22</f>
        <v/>
      </c>
      <c r="S22" s="80">
        <f>(1-O22)*MAX(0,Products!$D$16-$A22)*(Products!$D$33-Products!$D$35/Products!$D$16)</f>
        <v/>
      </c>
      <c r="T22" s="81">
        <f>IF($A22&lt;=Products!$D$16,O22,0)</f>
        <v/>
      </c>
      <c r="U22" s="81">
        <f>IF(AND($A22&gt;=1,$A22&lt;=Products!$D$16),O21-O22,0)</f>
        <v/>
      </c>
      <c r="V22" s="80">
        <f>IF(AND($A22-Inputs!$C$31&gt;=1,$A22-Inputs!$C$31&lt;=Products!$D$16),INDEX(Curves!$U$8:$U$68,$A22-Inputs!$C$31+1),0)*Products!$D$27*Products!$D$28*Products!$D$13*(1-Credit_Assumptions!$C$15)</f>
        <v/>
      </c>
      <c r="W22" s="80">
        <f>IF($A22=Inputs!$C$33,Products!$D$30*Inputs!$C$10*Inputs!$C$32,0)</f>
        <v/>
      </c>
      <c r="X22" s="80">
        <f>Q22*(1-Inputs!$C$24)-Inputs!$C$25*T22+V22+W22</f>
        <v/>
      </c>
      <c r="Y22" s="80">
        <f>Y21+X22</f>
        <v/>
      </c>
      <c r="Z22" s="80">
        <f>P22*(1-O22)</f>
        <v/>
      </c>
      <c r="AB22" s="81">
        <f>(1-Products!$E$41)^$A22</f>
        <v/>
      </c>
      <c r="AC22" s="80">
        <f>IF(AND($A22&gt;=1,$A22&lt;=Products!$E$16),Products!$E$33,0)</f>
        <v/>
      </c>
      <c r="AD22" s="80">
        <f>AC22*Products!$E$42*AB22</f>
        <v/>
      </c>
      <c r="AE22" s="80">
        <f>AC22-AD22</f>
        <v/>
      </c>
      <c r="AF22" s="80">
        <f>(1-AB22)*MAX(0,Products!$E$16-$A22)*(Products!$E$33-Products!$E$35/Products!$E$16)</f>
        <v/>
      </c>
      <c r="AG22" s="81">
        <f>IF($A22&lt;=Products!$E$16,AB22,0)</f>
        <v/>
      </c>
      <c r="AH22" s="81">
        <f>IF(AND($A22&gt;=1,$A22&lt;=Products!$E$16),AB21-AB22,0)</f>
        <v/>
      </c>
      <c r="AI22" s="80">
        <f>IF(AND($A22-Inputs!$C$31&gt;=1,$A22-Inputs!$C$31&lt;=Products!$E$16),INDEX(Curves!$AH$8:$AH$68,$A22-Inputs!$C$31+1),0)*Products!$E$27*Products!$E$28*Products!$E$13*(1-Credit_Assumptions!$C$15)</f>
        <v/>
      </c>
      <c r="AJ22" s="80">
        <f>IF($A22=Inputs!$C$33,Products!$E$30*Inputs!$C$10*Inputs!$C$32,0)</f>
        <v/>
      </c>
      <c r="AK22" s="80">
        <f>AD22*(1-Inputs!$C$24)-Inputs!$C$25*AG22+AI22+AJ22</f>
        <v/>
      </c>
      <c r="AL22" s="80">
        <f>AL21+AK22</f>
        <v/>
      </c>
      <c r="AM22" s="80">
        <f>AC22*(1-AB22)</f>
        <v/>
      </c>
      <c r="AO22" s="81">
        <f>(1-Products!$F$41)^$A22</f>
        <v/>
      </c>
      <c r="AP22" s="80">
        <f>IF(AND($A22&gt;=1,$A22&lt;=Products!$F$16),Products!$F$33,0)</f>
        <v/>
      </c>
      <c r="AQ22" s="80">
        <f>AP22*Products!$F$42*AO22</f>
        <v/>
      </c>
      <c r="AR22" s="80">
        <f>AP22-AQ22</f>
        <v/>
      </c>
      <c r="AS22" s="80">
        <f>(1-AO22)*MAX(0,Products!$F$16-$A22)*(Products!$F$33-Products!$F$35/Products!$F$16)</f>
        <v/>
      </c>
      <c r="AT22" s="81">
        <f>IF($A22&lt;=Products!$F$16,AO22,0)</f>
        <v/>
      </c>
      <c r="AU22" s="81">
        <f>IF(AND($A22&gt;=1,$A22&lt;=Products!$F$16),AO21-AO22,0)</f>
        <v/>
      </c>
      <c r="AV22" s="80">
        <f>IF(AND($A22-Inputs!$C$31&gt;=1,$A22-Inputs!$C$31&lt;=Products!$F$16),INDEX(Curves!$AU$8:$AU$68,$A22-Inputs!$C$31+1),0)*Products!$F$27*Products!$F$28*Products!$F$13*(1-Credit_Assumptions!$C$15)</f>
        <v/>
      </c>
      <c r="AW22" s="80">
        <f>IF($A22=Inputs!$C$33,Products!$F$30*Inputs!$C$10*Inputs!$C$32,0)</f>
        <v/>
      </c>
      <c r="AX22" s="80">
        <f>AQ22*(1-Inputs!$C$24)-Inputs!$C$25*AT22+AV22+AW22</f>
        <v/>
      </c>
      <c r="AY22" s="80">
        <f>AY21+AX22</f>
        <v/>
      </c>
      <c r="AZ22" s="80">
        <f>AP22*(1-AO22)</f>
        <v/>
      </c>
      <c r="BB22" s="81">
        <f>(1-Products!$G$41)^$A22</f>
        <v/>
      </c>
      <c r="BC22" s="80">
        <f>IF(AND($A22&gt;=1,$A22&lt;=Products!$G$16),Products!$G$33,0)</f>
        <v/>
      </c>
      <c r="BD22" s="80">
        <f>BC22*Products!$G$42*BB22</f>
        <v/>
      </c>
      <c r="BE22" s="80">
        <f>BC22-BD22</f>
        <v/>
      </c>
      <c r="BF22" s="80">
        <f>(1-BB22)*MAX(0,Products!$G$16-$A22)*(Products!$G$33-Products!$G$35/Products!$G$16)</f>
        <v/>
      </c>
      <c r="BG22" s="81">
        <f>IF($A22&lt;=Products!$G$16,BB22,0)</f>
        <v/>
      </c>
      <c r="BH22" s="81">
        <f>IF(AND($A22&gt;=1,$A22&lt;=Products!$G$16),BB21-BB22,0)</f>
        <v/>
      </c>
      <c r="BI22" s="80">
        <f>IF(AND($A22-Inputs!$C$31&gt;=1,$A22-Inputs!$C$31&lt;=Products!$G$16),INDEX(Curves!$BH$8:$BH$68,$A22-Inputs!$C$31+1),0)*Products!$G$27*Products!$G$28*Products!$G$13*(1-Credit_Assumptions!$C$15)</f>
        <v/>
      </c>
      <c r="BJ22" s="80">
        <f>IF($A22=Inputs!$C$33,Products!$G$30*Inputs!$C$10*Inputs!$C$32,0)</f>
        <v/>
      </c>
      <c r="BK22" s="80">
        <f>BD22*(1-Inputs!$C$24)-Inputs!$C$25*BG22+BI22+BJ22</f>
        <v/>
      </c>
      <c r="BL22" s="80">
        <f>BL21+BK22</f>
        <v/>
      </c>
      <c r="BM22" s="80">
        <f>BC22*(1-BB22)</f>
        <v/>
      </c>
    </row>
    <row r="23">
      <c r="A23" s="23" t="n">
        <v>15</v>
      </c>
      <c r="B23" s="81">
        <f>(1-Products!$C$41)^$A23</f>
        <v/>
      </c>
      <c r="C23" s="80">
        <f>IF(AND($A23&gt;=1,$A23&lt;=Products!$C$16),Products!$C$33,0)</f>
        <v/>
      </c>
      <c r="D23" s="80">
        <f>C23*Products!$C$42*B23</f>
        <v/>
      </c>
      <c r="E23" s="80">
        <f>C23-D23</f>
        <v/>
      </c>
      <c r="F23" s="80">
        <f>(1-B23)*MAX(0,Products!$C$16-$A23)*(Products!$C$33-Products!$C$35/Products!$C$16)</f>
        <v/>
      </c>
      <c r="G23" s="81">
        <f>IF($A23&lt;=Products!$C$16,B23,0)</f>
        <v/>
      </c>
      <c r="H23" s="81">
        <f>IF(AND($A23&gt;=1,$A23&lt;=Products!$C$16),B22-B23,0)</f>
        <v/>
      </c>
      <c r="I23" s="80">
        <f>IF(AND($A23-Inputs!$C$31&gt;=1,$A23-Inputs!$C$31&lt;=Products!$C$16),INDEX(Curves!$H$8:$H$68,$A23-Inputs!$C$31+1),0)*Products!$C$27*Products!$C$28*Products!$C$13*(1-Credit_Assumptions!$C$15)</f>
        <v/>
      </c>
      <c r="J23" s="80">
        <f>IF($A23=Inputs!$C$33,Products!$C$30*Inputs!$C$10*Inputs!$C$32,0)</f>
        <v/>
      </c>
      <c r="K23" s="80">
        <f>D23*(1-Inputs!$C$24)-Inputs!$C$25*G23+I23+J23</f>
        <v/>
      </c>
      <c r="L23" s="80">
        <f>L22+K23</f>
        <v/>
      </c>
      <c r="M23" s="80">
        <f>C23*(1-B23)</f>
        <v/>
      </c>
      <c r="O23" s="81">
        <f>(1-Products!$D$41)^$A23</f>
        <v/>
      </c>
      <c r="P23" s="80">
        <f>IF(AND($A23&gt;=1,$A23&lt;=Products!$D$16),Products!$D$33,0)</f>
        <v/>
      </c>
      <c r="Q23" s="80">
        <f>P23*Products!$D$42*O23</f>
        <v/>
      </c>
      <c r="R23" s="80">
        <f>P23-Q23</f>
        <v/>
      </c>
      <c r="S23" s="80">
        <f>(1-O23)*MAX(0,Products!$D$16-$A23)*(Products!$D$33-Products!$D$35/Products!$D$16)</f>
        <v/>
      </c>
      <c r="T23" s="81">
        <f>IF($A23&lt;=Products!$D$16,O23,0)</f>
        <v/>
      </c>
      <c r="U23" s="81">
        <f>IF(AND($A23&gt;=1,$A23&lt;=Products!$D$16),O22-O23,0)</f>
        <v/>
      </c>
      <c r="V23" s="80">
        <f>IF(AND($A23-Inputs!$C$31&gt;=1,$A23-Inputs!$C$31&lt;=Products!$D$16),INDEX(Curves!$U$8:$U$68,$A23-Inputs!$C$31+1),0)*Products!$D$27*Products!$D$28*Products!$D$13*(1-Credit_Assumptions!$C$15)</f>
        <v/>
      </c>
      <c r="W23" s="80">
        <f>IF($A23=Inputs!$C$33,Products!$D$30*Inputs!$C$10*Inputs!$C$32,0)</f>
        <v/>
      </c>
      <c r="X23" s="80">
        <f>Q23*(1-Inputs!$C$24)-Inputs!$C$25*T23+V23+W23</f>
        <v/>
      </c>
      <c r="Y23" s="80">
        <f>Y22+X23</f>
        <v/>
      </c>
      <c r="Z23" s="80">
        <f>P23*(1-O23)</f>
        <v/>
      </c>
      <c r="AB23" s="81">
        <f>(1-Products!$E$41)^$A23</f>
        <v/>
      </c>
      <c r="AC23" s="80">
        <f>IF(AND($A23&gt;=1,$A23&lt;=Products!$E$16),Products!$E$33,0)</f>
        <v/>
      </c>
      <c r="AD23" s="80">
        <f>AC23*Products!$E$42*AB23</f>
        <v/>
      </c>
      <c r="AE23" s="80">
        <f>AC23-AD23</f>
        <v/>
      </c>
      <c r="AF23" s="80">
        <f>(1-AB23)*MAX(0,Products!$E$16-$A23)*(Products!$E$33-Products!$E$35/Products!$E$16)</f>
        <v/>
      </c>
      <c r="AG23" s="81">
        <f>IF($A23&lt;=Products!$E$16,AB23,0)</f>
        <v/>
      </c>
      <c r="AH23" s="81">
        <f>IF(AND($A23&gt;=1,$A23&lt;=Products!$E$16),AB22-AB23,0)</f>
        <v/>
      </c>
      <c r="AI23" s="80">
        <f>IF(AND($A23-Inputs!$C$31&gt;=1,$A23-Inputs!$C$31&lt;=Products!$E$16),INDEX(Curves!$AH$8:$AH$68,$A23-Inputs!$C$31+1),0)*Products!$E$27*Products!$E$28*Products!$E$13*(1-Credit_Assumptions!$C$15)</f>
        <v/>
      </c>
      <c r="AJ23" s="80">
        <f>IF($A23=Inputs!$C$33,Products!$E$30*Inputs!$C$10*Inputs!$C$32,0)</f>
        <v/>
      </c>
      <c r="AK23" s="80">
        <f>AD23*(1-Inputs!$C$24)-Inputs!$C$25*AG23+AI23+AJ23</f>
        <v/>
      </c>
      <c r="AL23" s="80">
        <f>AL22+AK23</f>
        <v/>
      </c>
      <c r="AM23" s="80">
        <f>AC23*(1-AB23)</f>
        <v/>
      </c>
      <c r="AO23" s="81">
        <f>(1-Products!$F$41)^$A23</f>
        <v/>
      </c>
      <c r="AP23" s="80">
        <f>IF(AND($A23&gt;=1,$A23&lt;=Products!$F$16),Products!$F$33,0)</f>
        <v/>
      </c>
      <c r="AQ23" s="80">
        <f>AP23*Products!$F$42*AO23</f>
        <v/>
      </c>
      <c r="AR23" s="80">
        <f>AP23-AQ23</f>
        <v/>
      </c>
      <c r="AS23" s="80">
        <f>(1-AO23)*MAX(0,Products!$F$16-$A23)*(Products!$F$33-Products!$F$35/Products!$F$16)</f>
        <v/>
      </c>
      <c r="AT23" s="81">
        <f>IF($A23&lt;=Products!$F$16,AO23,0)</f>
        <v/>
      </c>
      <c r="AU23" s="81">
        <f>IF(AND($A23&gt;=1,$A23&lt;=Products!$F$16),AO22-AO23,0)</f>
        <v/>
      </c>
      <c r="AV23" s="80">
        <f>IF(AND($A23-Inputs!$C$31&gt;=1,$A23-Inputs!$C$31&lt;=Products!$F$16),INDEX(Curves!$AU$8:$AU$68,$A23-Inputs!$C$31+1),0)*Products!$F$27*Products!$F$28*Products!$F$13*(1-Credit_Assumptions!$C$15)</f>
        <v/>
      </c>
      <c r="AW23" s="80">
        <f>IF($A23=Inputs!$C$33,Products!$F$30*Inputs!$C$10*Inputs!$C$32,0)</f>
        <v/>
      </c>
      <c r="AX23" s="80">
        <f>AQ23*(1-Inputs!$C$24)-Inputs!$C$25*AT23+AV23+AW23</f>
        <v/>
      </c>
      <c r="AY23" s="80">
        <f>AY22+AX23</f>
        <v/>
      </c>
      <c r="AZ23" s="80">
        <f>AP23*(1-AO23)</f>
        <v/>
      </c>
      <c r="BB23" s="81">
        <f>(1-Products!$G$41)^$A23</f>
        <v/>
      </c>
      <c r="BC23" s="80">
        <f>IF(AND($A23&gt;=1,$A23&lt;=Products!$G$16),Products!$G$33,0)</f>
        <v/>
      </c>
      <c r="BD23" s="80">
        <f>BC23*Products!$G$42*BB23</f>
        <v/>
      </c>
      <c r="BE23" s="80">
        <f>BC23-BD23</f>
        <v/>
      </c>
      <c r="BF23" s="80">
        <f>(1-BB23)*MAX(0,Products!$G$16-$A23)*(Products!$G$33-Products!$G$35/Products!$G$16)</f>
        <v/>
      </c>
      <c r="BG23" s="81">
        <f>IF($A23&lt;=Products!$G$16,BB23,0)</f>
        <v/>
      </c>
      <c r="BH23" s="81">
        <f>IF(AND($A23&gt;=1,$A23&lt;=Products!$G$16),BB22-BB23,0)</f>
        <v/>
      </c>
      <c r="BI23" s="80">
        <f>IF(AND($A23-Inputs!$C$31&gt;=1,$A23-Inputs!$C$31&lt;=Products!$G$16),INDEX(Curves!$BH$8:$BH$68,$A23-Inputs!$C$31+1),0)*Products!$G$27*Products!$G$28*Products!$G$13*(1-Credit_Assumptions!$C$15)</f>
        <v/>
      </c>
      <c r="BJ23" s="80">
        <f>IF($A23=Inputs!$C$33,Products!$G$30*Inputs!$C$10*Inputs!$C$32,0)</f>
        <v/>
      </c>
      <c r="BK23" s="80">
        <f>BD23*(1-Inputs!$C$24)-Inputs!$C$25*BG23+BI23+BJ23</f>
        <v/>
      </c>
      <c r="BL23" s="80">
        <f>BL22+BK23</f>
        <v/>
      </c>
      <c r="BM23" s="80">
        <f>BC23*(1-BB23)</f>
        <v/>
      </c>
    </row>
    <row r="24">
      <c r="A24" s="23" t="n">
        <v>16</v>
      </c>
      <c r="B24" s="81">
        <f>(1-Products!$C$41)^$A24</f>
        <v/>
      </c>
      <c r="C24" s="80">
        <f>IF(AND($A24&gt;=1,$A24&lt;=Products!$C$16),Products!$C$33,0)</f>
        <v/>
      </c>
      <c r="D24" s="80">
        <f>C24*Products!$C$42*B24</f>
        <v/>
      </c>
      <c r="E24" s="80">
        <f>C24-D24</f>
        <v/>
      </c>
      <c r="F24" s="80">
        <f>(1-B24)*MAX(0,Products!$C$16-$A24)*(Products!$C$33-Products!$C$35/Products!$C$16)</f>
        <v/>
      </c>
      <c r="G24" s="81">
        <f>IF($A24&lt;=Products!$C$16,B24,0)</f>
        <v/>
      </c>
      <c r="H24" s="81">
        <f>IF(AND($A24&gt;=1,$A24&lt;=Products!$C$16),B23-B24,0)</f>
        <v/>
      </c>
      <c r="I24" s="80">
        <f>IF(AND($A24-Inputs!$C$31&gt;=1,$A24-Inputs!$C$31&lt;=Products!$C$16),INDEX(Curves!$H$8:$H$68,$A24-Inputs!$C$31+1),0)*Products!$C$27*Products!$C$28*Products!$C$13*(1-Credit_Assumptions!$C$15)</f>
        <v/>
      </c>
      <c r="J24" s="80">
        <f>IF($A24=Inputs!$C$33,Products!$C$30*Inputs!$C$10*Inputs!$C$32,0)</f>
        <v/>
      </c>
      <c r="K24" s="80">
        <f>D24*(1-Inputs!$C$24)-Inputs!$C$25*G24+I24+J24</f>
        <v/>
      </c>
      <c r="L24" s="80">
        <f>L23+K24</f>
        <v/>
      </c>
      <c r="M24" s="80">
        <f>C24*(1-B24)</f>
        <v/>
      </c>
      <c r="O24" s="81">
        <f>(1-Products!$D$41)^$A24</f>
        <v/>
      </c>
      <c r="P24" s="80">
        <f>IF(AND($A24&gt;=1,$A24&lt;=Products!$D$16),Products!$D$33,0)</f>
        <v/>
      </c>
      <c r="Q24" s="80">
        <f>P24*Products!$D$42*O24</f>
        <v/>
      </c>
      <c r="R24" s="80">
        <f>P24-Q24</f>
        <v/>
      </c>
      <c r="S24" s="80">
        <f>(1-O24)*MAX(0,Products!$D$16-$A24)*(Products!$D$33-Products!$D$35/Products!$D$16)</f>
        <v/>
      </c>
      <c r="T24" s="81">
        <f>IF($A24&lt;=Products!$D$16,O24,0)</f>
        <v/>
      </c>
      <c r="U24" s="81">
        <f>IF(AND($A24&gt;=1,$A24&lt;=Products!$D$16),O23-O24,0)</f>
        <v/>
      </c>
      <c r="V24" s="80">
        <f>IF(AND($A24-Inputs!$C$31&gt;=1,$A24-Inputs!$C$31&lt;=Products!$D$16),INDEX(Curves!$U$8:$U$68,$A24-Inputs!$C$31+1),0)*Products!$D$27*Products!$D$28*Products!$D$13*(1-Credit_Assumptions!$C$15)</f>
        <v/>
      </c>
      <c r="W24" s="80">
        <f>IF($A24=Inputs!$C$33,Products!$D$30*Inputs!$C$10*Inputs!$C$32,0)</f>
        <v/>
      </c>
      <c r="X24" s="80">
        <f>Q24*(1-Inputs!$C$24)-Inputs!$C$25*T24+V24+W24</f>
        <v/>
      </c>
      <c r="Y24" s="80">
        <f>Y23+X24</f>
        <v/>
      </c>
      <c r="Z24" s="80">
        <f>P24*(1-O24)</f>
        <v/>
      </c>
      <c r="AB24" s="81">
        <f>(1-Products!$E$41)^$A24</f>
        <v/>
      </c>
      <c r="AC24" s="80">
        <f>IF(AND($A24&gt;=1,$A24&lt;=Products!$E$16),Products!$E$33,0)</f>
        <v/>
      </c>
      <c r="AD24" s="80">
        <f>AC24*Products!$E$42*AB24</f>
        <v/>
      </c>
      <c r="AE24" s="80">
        <f>AC24-AD24</f>
        <v/>
      </c>
      <c r="AF24" s="80">
        <f>(1-AB24)*MAX(0,Products!$E$16-$A24)*(Products!$E$33-Products!$E$35/Products!$E$16)</f>
        <v/>
      </c>
      <c r="AG24" s="81">
        <f>IF($A24&lt;=Products!$E$16,AB24,0)</f>
        <v/>
      </c>
      <c r="AH24" s="81">
        <f>IF(AND($A24&gt;=1,$A24&lt;=Products!$E$16),AB23-AB24,0)</f>
        <v/>
      </c>
      <c r="AI24" s="80">
        <f>IF(AND($A24-Inputs!$C$31&gt;=1,$A24-Inputs!$C$31&lt;=Products!$E$16),INDEX(Curves!$AH$8:$AH$68,$A24-Inputs!$C$31+1),0)*Products!$E$27*Products!$E$28*Products!$E$13*(1-Credit_Assumptions!$C$15)</f>
        <v/>
      </c>
      <c r="AJ24" s="80">
        <f>IF($A24=Inputs!$C$33,Products!$E$30*Inputs!$C$10*Inputs!$C$32,0)</f>
        <v/>
      </c>
      <c r="AK24" s="80">
        <f>AD24*(1-Inputs!$C$24)-Inputs!$C$25*AG24+AI24+AJ24</f>
        <v/>
      </c>
      <c r="AL24" s="80">
        <f>AL23+AK24</f>
        <v/>
      </c>
      <c r="AM24" s="80">
        <f>AC24*(1-AB24)</f>
        <v/>
      </c>
      <c r="AO24" s="81">
        <f>(1-Products!$F$41)^$A24</f>
        <v/>
      </c>
      <c r="AP24" s="80">
        <f>IF(AND($A24&gt;=1,$A24&lt;=Products!$F$16),Products!$F$33,0)</f>
        <v/>
      </c>
      <c r="AQ24" s="80">
        <f>AP24*Products!$F$42*AO24</f>
        <v/>
      </c>
      <c r="AR24" s="80">
        <f>AP24-AQ24</f>
        <v/>
      </c>
      <c r="AS24" s="80">
        <f>(1-AO24)*MAX(0,Products!$F$16-$A24)*(Products!$F$33-Products!$F$35/Products!$F$16)</f>
        <v/>
      </c>
      <c r="AT24" s="81">
        <f>IF($A24&lt;=Products!$F$16,AO24,0)</f>
        <v/>
      </c>
      <c r="AU24" s="81">
        <f>IF(AND($A24&gt;=1,$A24&lt;=Products!$F$16),AO23-AO24,0)</f>
        <v/>
      </c>
      <c r="AV24" s="80">
        <f>IF(AND($A24-Inputs!$C$31&gt;=1,$A24-Inputs!$C$31&lt;=Products!$F$16),INDEX(Curves!$AU$8:$AU$68,$A24-Inputs!$C$31+1),0)*Products!$F$27*Products!$F$28*Products!$F$13*(1-Credit_Assumptions!$C$15)</f>
        <v/>
      </c>
      <c r="AW24" s="80">
        <f>IF($A24=Inputs!$C$33,Products!$F$30*Inputs!$C$10*Inputs!$C$32,0)</f>
        <v/>
      </c>
      <c r="AX24" s="80">
        <f>AQ24*(1-Inputs!$C$24)-Inputs!$C$25*AT24+AV24+AW24</f>
        <v/>
      </c>
      <c r="AY24" s="80">
        <f>AY23+AX24</f>
        <v/>
      </c>
      <c r="AZ24" s="80">
        <f>AP24*(1-AO24)</f>
        <v/>
      </c>
      <c r="BB24" s="81">
        <f>(1-Products!$G$41)^$A24</f>
        <v/>
      </c>
      <c r="BC24" s="80">
        <f>IF(AND($A24&gt;=1,$A24&lt;=Products!$G$16),Products!$G$33,0)</f>
        <v/>
      </c>
      <c r="BD24" s="80">
        <f>BC24*Products!$G$42*BB24</f>
        <v/>
      </c>
      <c r="BE24" s="80">
        <f>BC24-BD24</f>
        <v/>
      </c>
      <c r="BF24" s="80">
        <f>(1-BB24)*MAX(0,Products!$G$16-$A24)*(Products!$G$33-Products!$G$35/Products!$G$16)</f>
        <v/>
      </c>
      <c r="BG24" s="81">
        <f>IF($A24&lt;=Products!$G$16,BB24,0)</f>
        <v/>
      </c>
      <c r="BH24" s="81">
        <f>IF(AND($A24&gt;=1,$A24&lt;=Products!$G$16),BB23-BB24,0)</f>
        <v/>
      </c>
      <c r="BI24" s="80">
        <f>IF(AND($A24-Inputs!$C$31&gt;=1,$A24-Inputs!$C$31&lt;=Products!$G$16),INDEX(Curves!$BH$8:$BH$68,$A24-Inputs!$C$31+1),0)*Products!$G$27*Products!$G$28*Products!$G$13*(1-Credit_Assumptions!$C$15)</f>
        <v/>
      </c>
      <c r="BJ24" s="80">
        <f>IF($A24=Inputs!$C$33,Products!$G$30*Inputs!$C$10*Inputs!$C$32,0)</f>
        <v/>
      </c>
      <c r="BK24" s="80">
        <f>BD24*(1-Inputs!$C$24)-Inputs!$C$25*BG24+BI24+BJ24</f>
        <v/>
      </c>
      <c r="BL24" s="80">
        <f>BL23+BK24</f>
        <v/>
      </c>
      <c r="BM24" s="80">
        <f>BC24*(1-BB24)</f>
        <v/>
      </c>
    </row>
    <row r="25">
      <c r="A25" s="23" t="n">
        <v>17</v>
      </c>
      <c r="B25" s="81">
        <f>(1-Products!$C$41)^$A25</f>
        <v/>
      </c>
      <c r="C25" s="80">
        <f>IF(AND($A25&gt;=1,$A25&lt;=Products!$C$16),Products!$C$33,0)</f>
        <v/>
      </c>
      <c r="D25" s="80">
        <f>C25*Products!$C$42*B25</f>
        <v/>
      </c>
      <c r="E25" s="80">
        <f>C25-D25</f>
        <v/>
      </c>
      <c r="F25" s="80">
        <f>(1-B25)*MAX(0,Products!$C$16-$A25)*(Products!$C$33-Products!$C$35/Products!$C$16)</f>
        <v/>
      </c>
      <c r="G25" s="81">
        <f>IF($A25&lt;=Products!$C$16,B25,0)</f>
        <v/>
      </c>
      <c r="H25" s="81">
        <f>IF(AND($A25&gt;=1,$A25&lt;=Products!$C$16),B24-B25,0)</f>
        <v/>
      </c>
      <c r="I25" s="80">
        <f>IF(AND($A25-Inputs!$C$31&gt;=1,$A25-Inputs!$C$31&lt;=Products!$C$16),INDEX(Curves!$H$8:$H$68,$A25-Inputs!$C$31+1),0)*Products!$C$27*Products!$C$28*Products!$C$13*(1-Credit_Assumptions!$C$15)</f>
        <v/>
      </c>
      <c r="J25" s="80">
        <f>IF($A25=Inputs!$C$33,Products!$C$30*Inputs!$C$10*Inputs!$C$32,0)</f>
        <v/>
      </c>
      <c r="K25" s="80">
        <f>D25*(1-Inputs!$C$24)-Inputs!$C$25*G25+I25+J25</f>
        <v/>
      </c>
      <c r="L25" s="80">
        <f>L24+K25</f>
        <v/>
      </c>
      <c r="M25" s="80">
        <f>C25*(1-B25)</f>
        <v/>
      </c>
      <c r="O25" s="81">
        <f>(1-Products!$D$41)^$A25</f>
        <v/>
      </c>
      <c r="P25" s="80">
        <f>IF(AND($A25&gt;=1,$A25&lt;=Products!$D$16),Products!$D$33,0)</f>
        <v/>
      </c>
      <c r="Q25" s="80">
        <f>P25*Products!$D$42*O25</f>
        <v/>
      </c>
      <c r="R25" s="80">
        <f>P25-Q25</f>
        <v/>
      </c>
      <c r="S25" s="80">
        <f>(1-O25)*MAX(0,Products!$D$16-$A25)*(Products!$D$33-Products!$D$35/Products!$D$16)</f>
        <v/>
      </c>
      <c r="T25" s="81">
        <f>IF($A25&lt;=Products!$D$16,O25,0)</f>
        <v/>
      </c>
      <c r="U25" s="81">
        <f>IF(AND($A25&gt;=1,$A25&lt;=Products!$D$16),O24-O25,0)</f>
        <v/>
      </c>
      <c r="V25" s="80">
        <f>IF(AND($A25-Inputs!$C$31&gt;=1,$A25-Inputs!$C$31&lt;=Products!$D$16),INDEX(Curves!$U$8:$U$68,$A25-Inputs!$C$31+1),0)*Products!$D$27*Products!$D$28*Products!$D$13*(1-Credit_Assumptions!$C$15)</f>
        <v/>
      </c>
      <c r="W25" s="80">
        <f>IF($A25=Inputs!$C$33,Products!$D$30*Inputs!$C$10*Inputs!$C$32,0)</f>
        <v/>
      </c>
      <c r="X25" s="80">
        <f>Q25*(1-Inputs!$C$24)-Inputs!$C$25*T25+V25+W25</f>
        <v/>
      </c>
      <c r="Y25" s="80">
        <f>Y24+X25</f>
        <v/>
      </c>
      <c r="Z25" s="80">
        <f>P25*(1-O25)</f>
        <v/>
      </c>
      <c r="AB25" s="81">
        <f>(1-Products!$E$41)^$A25</f>
        <v/>
      </c>
      <c r="AC25" s="80">
        <f>IF(AND($A25&gt;=1,$A25&lt;=Products!$E$16),Products!$E$33,0)</f>
        <v/>
      </c>
      <c r="AD25" s="80">
        <f>AC25*Products!$E$42*AB25</f>
        <v/>
      </c>
      <c r="AE25" s="80">
        <f>AC25-AD25</f>
        <v/>
      </c>
      <c r="AF25" s="80">
        <f>(1-AB25)*MAX(0,Products!$E$16-$A25)*(Products!$E$33-Products!$E$35/Products!$E$16)</f>
        <v/>
      </c>
      <c r="AG25" s="81">
        <f>IF($A25&lt;=Products!$E$16,AB25,0)</f>
        <v/>
      </c>
      <c r="AH25" s="81">
        <f>IF(AND($A25&gt;=1,$A25&lt;=Products!$E$16),AB24-AB25,0)</f>
        <v/>
      </c>
      <c r="AI25" s="80">
        <f>IF(AND($A25-Inputs!$C$31&gt;=1,$A25-Inputs!$C$31&lt;=Products!$E$16),INDEX(Curves!$AH$8:$AH$68,$A25-Inputs!$C$31+1),0)*Products!$E$27*Products!$E$28*Products!$E$13*(1-Credit_Assumptions!$C$15)</f>
        <v/>
      </c>
      <c r="AJ25" s="80">
        <f>IF($A25=Inputs!$C$33,Products!$E$30*Inputs!$C$10*Inputs!$C$32,0)</f>
        <v/>
      </c>
      <c r="AK25" s="80">
        <f>AD25*(1-Inputs!$C$24)-Inputs!$C$25*AG25+AI25+AJ25</f>
        <v/>
      </c>
      <c r="AL25" s="80">
        <f>AL24+AK25</f>
        <v/>
      </c>
      <c r="AM25" s="80">
        <f>AC25*(1-AB25)</f>
        <v/>
      </c>
      <c r="AO25" s="81">
        <f>(1-Products!$F$41)^$A25</f>
        <v/>
      </c>
      <c r="AP25" s="80">
        <f>IF(AND($A25&gt;=1,$A25&lt;=Products!$F$16),Products!$F$33,0)</f>
        <v/>
      </c>
      <c r="AQ25" s="80">
        <f>AP25*Products!$F$42*AO25</f>
        <v/>
      </c>
      <c r="AR25" s="80">
        <f>AP25-AQ25</f>
        <v/>
      </c>
      <c r="AS25" s="80">
        <f>(1-AO25)*MAX(0,Products!$F$16-$A25)*(Products!$F$33-Products!$F$35/Products!$F$16)</f>
        <v/>
      </c>
      <c r="AT25" s="81">
        <f>IF($A25&lt;=Products!$F$16,AO25,0)</f>
        <v/>
      </c>
      <c r="AU25" s="81">
        <f>IF(AND($A25&gt;=1,$A25&lt;=Products!$F$16),AO24-AO25,0)</f>
        <v/>
      </c>
      <c r="AV25" s="80">
        <f>IF(AND($A25-Inputs!$C$31&gt;=1,$A25-Inputs!$C$31&lt;=Products!$F$16),INDEX(Curves!$AU$8:$AU$68,$A25-Inputs!$C$31+1),0)*Products!$F$27*Products!$F$28*Products!$F$13*(1-Credit_Assumptions!$C$15)</f>
        <v/>
      </c>
      <c r="AW25" s="80">
        <f>IF($A25=Inputs!$C$33,Products!$F$30*Inputs!$C$10*Inputs!$C$32,0)</f>
        <v/>
      </c>
      <c r="AX25" s="80">
        <f>AQ25*(1-Inputs!$C$24)-Inputs!$C$25*AT25+AV25+AW25</f>
        <v/>
      </c>
      <c r="AY25" s="80">
        <f>AY24+AX25</f>
        <v/>
      </c>
      <c r="AZ25" s="80">
        <f>AP25*(1-AO25)</f>
        <v/>
      </c>
      <c r="BB25" s="81">
        <f>(1-Products!$G$41)^$A25</f>
        <v/>
      </c>
      <c r="BC25" s="80">
        <f>IF(AND($A25&gt;=1,$A25&lt;=Products!$G$16),Products!$G$33,0)</f>
        <v/>
      </c>
      <c r="BD25" s="80">
        <f>BC25*Products!$G$42*BB25</f>
        <v/>
      </c>
      <c r="BE25" s="80">
        <f>BC25-BD25</f>
        <v/>
      </c>
      <c r="BF25" s="80">
        <f>(1-BB25)*MAX(0,Products!$G$16-$A25)*(Products!$G$33-Products!$G$35/Products!$G$16)</f>
        <v/>
      </c>
      <c r="BG25" s="81">
        <f>IF($A25&lt;=Products!$G$16,BB25,0)</f>
        <v/>
      </c>
      <c r="BH25" s="81">
        <f>IF(AND($A25&gt;=1,$A25&lt;=Products!$G$16),BB24-BB25,0)</f>
        <v/>
      </c>
      <c r="BI25" s="80">
        <f>IF(AND($A25-Inputs!$C$31&gt;=1,$A25-Inputs!$C$31&lt;=Products!$G$16),INDEX(Curves!$BH$8:$BH$68,$A25-Inputs!$C$31+1),0)*Products!$G$27*Products!$G$28*Products!$G$13*(1-Credit_Assumptions!$C$15)</f>
        <v/>
      </c>
      <c r="BJ25" s="80">
        <f>IF($A25=Inputs!$C$33,Products!$G$30*Inputs!$C$10*Inputs!$C$32,0)</f>
        <v/>
      </c>
      <c r="BK25" s="80">
        <f>BD25*(1-Inputs!$C$24)-Inputs!$C$25*BG25+BI25+BJ25</f>
        <v/>
      </c>
      <c r="BL25" s="80">
        <f>BL24+BK25</f>
        <v/>
      </c>
      <c r="BM25" s="80">
        <f>BC25*(1-BB25)</f>
        <v/>
      </c>
    </row>
    <row r="26">
      <c r="A26" s="23" t="n">
        <v>18</v>
      </c>
      <c r="B26" s="81">
        <f>(1-Products!$C$41)^$A26</f>
        <v/>
      </c>
      <c r="C26" s="80">
        <f>IF(AND($A26&gt;=1,$A26&lt;=Products!$C$16),Products!$C$33,0)</f>
        <v/>
      </c>
      <c r="D26" s="80">
        <f>C26*Products!$C$42*B26</f>
        <v/>
      </c>
      <c r="E26" s="80">
        <f>C26-D26</f>
        <v/>
      </c>
      <c r="F26" s="80">
        <f>(1-B26)*MAX(0,Products!$C$16-$A26)*(Products!$C$33-Products!$C$35/Products!$C$16)</f>
        <v/>
      </c>
      <c r="G26" s="81">
        <f>IF($A26&lt;=Products!$C$16,B26,0)</f>
        <v/>
      </c>
      <c r="H26" s="81">
        <f>IF(AND($A26&gt;=1,$A26&lt;=Products!$C$16),B25-B26,0)</f>
        <v/>
      </c>
      <c r="I26" s="80">
        <f>IF(AND($A26-Inputs!$C$31&gt;=1,$A26-Inputs!$C$31&lt;=Products!$C$16),INDEX(Curves!$H$8:$H$68,$A26-Inputs!$C$31+1),0)*Products!$C$27*Products!$C$28*Products!$C$13*(1-Credit_Assumptions!$C$15)</f>
        <v/>
      </c>
      <c r="J26" s="80">
        <f>IF($A26=Inputs!$C$33,Products!$C$30*Inputs!$C$10*Inputs!$C$32,0)</f>
        <v/>
      </c>
      <c r="K26" s="80">
        <f>D26*(1-Inputs!$C$24)-Inputs!$C$25*G26+I26+J26</f>
        <v/>
      </c>
      <c r="L26" s="80">
        <f>L25+K26</f>
        <v/>
      </c>
      <c r="M26" s="80">
        <f>C26*(1-B26)</f>
        <v/>
      </c>
      <c r="O26" s="81">
        <f>(1-Products!$D$41)^$A26</f>
        <v/>
      </c>
      <c r="P26" s="80">
        <f>IF(AND($A26&gt;=1,$A26&lt;=Products!$D$16),Products!$D$33,0)</f>
        <v/>
      </c>
      <c r="Q26" s="80">
        <f>P26*Products!$D$42*O26</f>
        <v/>
      </c>
      <c r="R26" s="80">
        <f>P26-Q26</f>
        <v/>
      </c>
      <c r="S26" s="80">
        <f>(1-O26)*MAX(0,Products!$D$16-$A26)*(Products!$D$33-Products!$D$35/Products!$D$16)</f>
        <v/>
      </c>
      <c r="T26" s="81">
        <f>IF($A26&lt;=Products!$D$16,O26,0)</f>
        <v/>
      </c>
      <c r="U26" s="81">
        <f>IF(AND($A26&gt;=1,$A26&lt;=Products!$D$16),O25-O26,0)</f>
        <v/>
      </c>
      <c r="V26" s="80">
        <f>IF(AND($A26-Inputs!$C$31&gt;=1,$A26-Inputs!$C$31&lt;=Products!$D$16),INDEX(Curves!$U$8:$U$68,$A26-Inputs!$C$31+1),0)*Products!$D$27*Products!$D$28*Products!$D$13*(1-Credit_Assumptions!$C$15)</f>
        <v/>
      </c>
      <c r="W26" s="80">
        <f>IF($A26=Inputs!$C$33,Products!$D$30*Inputs!$C$10*Inputs!$C$32,0)</f>
        <v/>
      </c>
      <c r="X26" s="80">
        <f>Q26*(1-Inputs!$C$24)-Inputs!$C$25*T26+V26+W26</f>
        <v/>
      </c>
      <c r="Y26" s="80">
        <f>Y25+X26</f>
        <v/>
      </c>
      <c r="Z26" s="80">
        <f>P26*(1-O26)</f>
        <v/>
      </c>
      <c r="AB26" s="81">
        <f>(1-Products!$E$41)^$A26</f>
        <v/>
      </c>
      <c r="AC26" s="80">
        <f>IF(AND($A26&gt;=1,$A26&lt;=Products!$E$16),Products!$E$33,0)</f>
        <v/>
      </c>
      <c r="AD26" s="80">
        <f>AC26*Products!$E$42*AB26</f>
        <v/>
      </c>
      <c r="AE26" s="80">
        <f>AC26-AD26</f>
        <v/>
      </c>
      <c r="AF26" s="80">
        <f>(1-AB26)*MAX(0,Products!$E$16-$A26)*(Products!$E$33-Products!$E$35/Products!$E$16)</f>
        <v/>
      </c>
      <c r="AG26" s="81">
        <f>IF($A26&lt;=Products!$E$16,AB26,0)</f>
        <v/>
      </c>
      <c r="AH26" s="81">
        <f>IF(AND($A26&gt;=1,$A26&lt;=Products!$E$16),AB25-AB26,0)</f>
        <v/>
      </c>
      <c r="AI26" s="80">
        <f>IF(AND($A26-Inputs!$C$31&gt;=1,$A26-Inputs!$C$31&lt;=Products!$E$16),INDEX(Curves!$AH$8:$AH$68,$A26-Inputs!$C$31+1),0)*Products!$E$27*Products!$E$28*Products!$E$13*(1-Credit_Assumptions!$C$15)</f>
        <v/>
      </c>
      <c r="AJ26" s="80">
        <f>IF($A26=Inputs!$C$33,Products!$E$30*Inputs!$C$10*Inputs!$C$32,0)</f>
        <v/>
      </c>
      <c r="AK26" s="80">
        <f>AD26*(1-Inputs!$C$24)-Inputs!$C$25*AG26+AI26+AJ26</f>
        <v/>
      </c>
      <c r="AL26" s="80">
        <f>AL25+AK26</f>
        <v/>
      </c>
      <c r="AM26" s="80">
        <f>AC26*(1-AB26)</f>
        <v/>
      </c>
      <c r="AO26" s="81">
        <f>(1-Products!$F$41)^$A26</f>
        <v/>
      </c>
      <c r="AP26" s="80">
        <f>IF(AND($A26&gt;=1,$A26&lt;=Products!$F$16),Products!$F$33,0)</f>
        <v/>
      </c>
      <c r="AQ26" s="80">
        <f>AP26*Products!$F$42*AO26</f>
        <v/>
      </c>
      <c r="AR26" s="80">
        <f>AP26-AQ26</f>
        <v/>
      </c>
      <c r="AS26" s="80">
        <f>(1-AO26)*MAX(0,Products!$F$16-$A26)*(Products!$F$33-Products!$F$35/Products!$F$16)</f>
        <v/>
      </c>
      <c r="AT26" s="81">
        <f>IF($A26&lt;=Products!$F$16,AO26,0)</f>
        <v/>
      </c>
      <c r="AU26" s="81">
        <f>IF(AND($A26&gt;=1,$A26&lt;=Products!$F$16),AO25-AO26,0)</f>
        <v/>
      </c>
      <c r="AV26" s="80">
        <f>IF(AND($A26-Inputs!$C$31&gt;=1,$A26-Inputs!$C$31&lt;=Products!$F$16),INDEX(Curves!$AU$8:$AU$68,$A26-Inputs!$C$31+1),0)*Products!$F$27*Products!$F$28*Products!$F$13*(1-Credit_Assumptions!$C$15)</f>
        <v/>
      </c>
      <c r="AW26" s="80">
        <f>IF($A26=Inputs!$C$33,Products!$F$30*Inputs!$C$10*Inputs!$C$32,0)</f>
        <v/>
      </c>
      <c r="AX26" s="80">
        <f>AQ26*(1-Inputs!$C$24)-Inputs!$C$25*AT26+AV26+AW26</f>
        <v/>
      </c>
      <c r="AY26" s="80">
        <f>AY25+AX26</f>
        <v/>
      </c>
      <c r="AZ26" s="80">
        <f>AP26*(1-AO26)</f>
        <v/>
      </c>
      <c r="BB26" s="81">
        <f>(1-Products!$G$41)^$A26</f>
        <v/>
      </c>
      <c r="BC26" s="80">
        <f>IF(AND($A26&gt;=1,$A26&lt;=Products!$G$16),Products!$G$33,0)</f>
        <v/>
      </c>
      <c r="BD26" s="80">
        <f>BC26*Products!$G$42*BB26</f>
        <v/>
      </c>
      <c r="BE26" s="80">
        <f>BC26-BD26</f>
        <v/>
      </c>
      <c r="BF26" s="80">
        <f>(1-BB26)*MAX(0,Products!$G$16-$A26)*(Products!$G$33-Products!$G$35/Products!$G$16)</f>
        <v/>
      </c>
      <c r="BG26" s="81">
        <f>IF($A26&lt;=Products!$G$16,BB26,0)</f>
        <v/>
      </c>
      <c r="BH26" s="81">
        <f>IF(AND($A26&gt;=1,$A26&lt;=Products!$G$16),BB25-BB26,0)</f>
        <v/>
      </c>
      <c r="BI26" s="80">
        <f>IF(AND($A26-Inputs!$C$31&gt;=1,$A26-Inputs!$C$31&lt;=Products!$G$16),INDEX(Curves!$BH$8:$BH$68,$A26-Inputs!$C$31+1),0)*Products!$G$27*Products!$G$28*Products!$G$13*(1-Credit_Assumptions!$C$15)</f>
        <v/>
      </c>
      <c r="BJ26" s="80">
        <f>IF($A26=Inputs!$C$33,Products!$G$30*Inputs!$C$10*Inputs!$C$32,0)</f>
        <v/>
      </c>
      <c r="BK26" s="80">
        <f>BD26*(1-Inputs!$C$24)-Inputs!$C$25*BG26+BI26+BJ26</f>
        <v/>
      </c>
      <c r="BL26" s="80">
        <f>BL25+BK26</f>
        <v/>
      </c>
      <c r="BM26" s="80">
        <f>BC26*(1-BB26)</f>
        <v/>
      </c>
    </row>
    <row r="27">
      <c r="A27" s="23" t="n">
        <v>19</v>
      </c>
      <c r="B27" s="81">
        <f>(1-Products!$C$41)^$A27</f>
        <v/>
      </c>
      <c r="C27" s="80">
        <f>IF(AND($A27&gt;=1,$A27&lt;=Products!$C$16),Products!$C$33,0)</f>
        <v/>
      </c>
      <c r="D27" s="80">
        <f>C27*Products!$C$42*B27</f>
        <v/>
      </c>
      <c r="E27" s="80">
        <f>C27-D27</f>
        <v/>
      </c>
      <c r="F27" s="80">
        <f>(1-B27)*MAX(0,Products!$C$16-$A27)*(Products!$C$33-Products!$C$35/Products!$C$16)</f>
        <v/>
      </c>
      <c r="G27" s="81">
        <f>IF($A27&lt;=Products!$C$16,B27,0)</f>
        <v/>
      </c>
      <c r="H27" s="81">
        <f>IF(AND($A27&gt;=1,$A27&lt;=Products!$C$16),B26-B27,0)</f>
        <v/>
      </c>
      <c r="I27" s="80">
        <f>IF(AND($A27-Inputs!$C$31&gt;=1,$A27-Inputs!$C$31&lt;=Products!$C$16),INDEX(Curves!$H$8:$H$68,$A27-Inputs!$C$31+1),0)*Products!$C$27*Products!$C$28*Products!$C$13*(1-Credit_Assumptions!$C$15)</f>
        <v/>
      </c>
      <c r="J27" s="80">
        <f>IF($A27=Inputs!$C$33,Products!$C$30*Inputs!$C$10*Inputs!$C$32,0)</f>
        <v/>
      </c>
      <c r="K27" s="80">
        <f>D27*(1-Inputs!$C$24)-Inputs!$C$25*G27+I27+J27</f>
        <v/>
      </c>
      <c r="L27" s="80">
        <f>L26+K27</f>
        <v/>
      </c>
      <c r="M27" s="80">
        <f>C27*(1-B27)</f>
        <v/>
      </c>
      <c r="O27" s="81">
        <f>(1-Products!$D$41)^$A27</f>
        <v/>
      </c>
      <c r="P27" s="80">
        <f>IF(AND($A27&gt;=1,$A27&lt;=Products!$D$16),Products!$D$33,0)</f>
        <v/>
      </c>
      <c r="Q27" s="80">
        <f>P27*Products!$D$42*O27</f>
        <v/>
      </c>
      <c r="R27" s="80">
        <f>P27-Q27</f>
        <v/>
      </c>
      <c r="S27" s="80">
        <f>(1-O27)*MAX(0,Products!$D$16-$A27)*(Products!$D$33-Products!$D$35/Products!$D$16)</f>
        <v/>
      </c>
      <c r="T27" s="81">
        <f>IF($A27&lt;=Products!$D$16,O27,0)</f>
        <v/>
      </c>
      <c r="U27" s="81">
        <f>IF(AND($A27&gt;=1,$A27&lt;=Products!$D$16),O26-O27,0)</f>
        <v/>
      </c>
      <c r="V27" s="80">
        <f>IF(AND($A27-Inputs!$C$31&gt;=1,$A27-Inputs!$C$31&lt;=Products!$D$16),INDEX(Curves!$U$8:$U$68,$A27-Inputs!$C$31+1),0)*Products!$D$27*Products!$D$28*Products!$D$13*(1-Credit_Assumptions!$C$15)</f>
        <v/>
      </c>
      <c r="W27" s="80">
        <f>IF($A27=Inputs!$C$33,Products!$D$30*Inputs!$C$10*Inputs!$C$32,0)</f>
        <v/>
      </c>
      <c r="X27" s="80">
        <f>Q27*(1-Inputs!$C$24)-Inputs!$C$25*T27+V27+W27</f>
        <v/>
      </c>
      <c r="Y27" s="80">
        <f>Y26+X27</f>
        <v/>
      </c>
      <c r="Z27" s="80">
        <f>P27*(1-O27)</f>
        <v/>
      </c>
      <c r="AB27" s="81">
        <f>(1-Products!$E$41)^$A27</f>
        <v/>
      </c>
      <c r="AC27" s="80">
        <f>IF(AND($A27&gt;=1,$A27&lt;=Products!$E$16),Products!$E$33,0)</f>
        <v/>
      </c>
      <c r="AD27" s="80">
        <f>AC27*Products!$E$42*AB27</f>
        <v/>
      </c>
      <c r="AE27" s="80">
        <f>AC27-AD27</f>
        <v/>
      </c>
      <c r="AF27" s="80">
        <f>(1-AB27)*MAX(0,Products!$E$16-$A27)*(Products!$E$33-Products!$E$35/Products!$E$16)</f>
        <v/>
      </c>
      <c r="AG27" s="81">
        <f>IF($A27&lt;=Products!$E$16,AB27,0)</f>
        <v/>
      </c>
      <c r="AH27" s="81">
        <f>IF(AND($A27&gt;=1,$A27&lt;=Products!$E$16),AB26-AB27,0)</f>
        <v/>
      </c>
      <c r="AI27" s="80">
        <f>IF(AND($A27-Inputs!$C$31&gt;=1,$A27-Inputs!$C$31&lt;=Products!$E$16),INDEX(Curves!$AH$8:$AH$68,$A27-Inputs!$C$31+1),0)*Products!$E$27*Products!$E$28*Products!$E$13*(1-Credit_Assumptions!$C$15)</f>
        <v/>
      </c>
      <c r="AJ27" s="80">
        <f>IF($A27=Inputs!$C$33,Products!$E$30*Inputs!$C$10*Inputs!$C$32,0)</f>
        <v/>
      </c>
      <c r="AK27" s="80">
        <f>AD27*(1-Inputs!$C$24)-Inputs!$C$25*AG27+AI27+AJ27</f>
        <v/>
      </c>
      <c r="AL27" s="80">
        <f>AL26+AK27</f>
        <v/>
      </c>
      <c r="AM27" s="80">
        <f>AC27*(1-AB27)</f>
        <v/>
      </c>
      <c r="AO27" s="81">
        <f>(1-Products!$F$41)^$A27</f>
        <v/>
      </c>
      <c r="AP27" s="80">
        <f>IF(AND($A27&gt;=1,$A27&lt;=Products!$F$16),Products!$F$33,0)</f>
        <v/>
      </c>
      <c r="AQ27" s="80">
        <f>AP27*Products!$F$42*AO27</f>
        <v/>
      </c>
      <c r="AR27" s="80">
        <f>AP27-AQ27</f>
        <v/>
      </c>
      <c r="AS27" s="80">
        <f>(1-AO27)*MAX(0,Products!$F$16-$A27)*(Products!$F$33-Products!$F$35/Products!$F$16)</f>
        <v/>
      </c>
      <c r="AT27" s="81">
        <f>IF($A27&lt;=Products!$F$16,AO27,0)</f>
        <v/>
      </c>
      <c r="AU27" s="81">
        <f>IF(AND($A27&gt;=1,$A27&lt;=Products!$F$16),AO26-AO27,0)</f>
        <v/>
      </c>
      <c r="AV27" s="80">
        <f>IF(AND($A27-Inputs!$C$31&gt;=1,$A27-Inputs!$C$31&lt;=Products!$F$16),INDEX(Curves!$AU$8:$AU$68,$A27-Inputs!$C$31+1),0)*Products!$F$27*Products!$F$28*Products!$F$13*(1-Credit_Assumptions!$C$15)</f>
        <v/>
      </c>
      <c r="AW27" s="80">
        <f>IF($A27=Inputs!$C$33,Products!$F$30*Inputs!$C$10*Inputs!$C$32,0)</f>
        <v/>
      </c>
      <c r="AX27" s="80">
        <f>AQ27*(1-Inputs!$C$24)-Inputs!$C$25*AT27+AV27+AW27</f>
        <v/>
      </c>
      <c r="AY27" s="80">
        <f>AY26+AX27</f>
        <v/>
      </c>
      <c r="AZ27" s="80">
        <f>AP27*(1-AO27)</f>
        <v/>
      </c>
      <c r="BB27" s="81">
        <f>(1-Products!$G$41)^$A27</f>
        <v/>
      </c>
      <c r="BC27" s="80">
        <f>IF(AND($A27&gt;=1,$A27&lt;=Products!$G$16),Products!$G$33,0)</f>
        <v/>
      </c>
      <c r="BD27" s="80">
        <f>BC27*Products!$G$42*BB27</f>
        <v/>
      </c>
      <c r="BE27" s="80">
        <f>BC27-BD27</f>
        <v/>
      </c>
      <c r="BF27" s="80">
        <f>(1-BB27)*MAX(0,Products!$G$16-$A27)*(Products!$G$33-Products!$G$35/Products!$G$16)</f>
        <v/>
      </c>
      <c r="BG27" s="81">
        <f>IF($A27&lt;=Products!$G$16,BB27,0)</f>
        <v/>
      </c>
      <c r="BH27" s="81">
        <f>IF(AND($A27&gt;=1,$A27&lt;=Products!$G$16),BB26-BB27,0)</f>
        <v/>
      </c>
      <c r="BI27" s="80">
        <f>IF(AND($A27-Inputs!$C$31&gt;=1,$A27-Inputs!$C$31&lt;=Products!$G$16),INDEX(Curves!$BH$8:$BH$68,$A27-Inputs!$C$31+1),0)*Products!$G$27*Products!$G$28*Products!$G$13*(1-Credit_Assumptions!$C$15)</f>
        <v/>
      </c>
      <c r="BJ27" s="80">
        <f>IF($A27=Inputs!$C$33,Products!$G$30*Inputs!$C$10*Inputs!$C$32,0)</f>
        <v/>
      </c>
      <c r="BK27" s="80">
        <f>BD27*(1-Inputs!$C$24)-Inputs!$C$25*BG27+BI27+BJ27</f>
        <v/>
      </c>
      <c r="BL27" s="80">
        <f>BL26+BK27</f>
        <v/>
      </c>
      <c r="BM27" s="80">
        <f>BC27*(1-BB27)</f>
        <v/>
      </c>
    </row>
    <row r="28">
      <c r="A28" s="23" t="n">
        <v>20</v>
      </c>
      <c r="B28" s="81">
        <f>(1-Products!$C$41)^$A28</f>
        <v/>
      </c>
      <c r="C28" s="80">
        <f>IF(AND($A28&gt;=1,$A28&lt;=Products!$C$16),Products!$C$33,0)</f>
        <v/>
      </c>
      <c r="D28" s="80">
        <f>C28*Products!$C$42*B28</f>
        <v/>
      </c>
      <c r="E28" s="80">
        <f>C28-D28</f>
        <v/>
      </c>
      <c r="F28" s="80">
        <f>(1-B28)*MAX(0,Products!$C$16-$A28)*(Products!$C$33-Products!$C$35/Products!$C$16)</f>
        <v/>
      </c>
      <c r="G28" s="81">
        <f>IF($A28&lt;=Products!$C$16,B28,0)</f>
        <v/>
      </c>
      <c r="H28" s="81">
        <f>IF(AND($A28&gt;=1,$A28&lt;=Products!$C$16),B27-B28,0)</f>
        <v/>
      </c>
      <c r="I28" s="80">
        <f>IF(AND($A28-Inputs!$C$31&gt;=1,$A28-Inputs!$C$31&lt;=Products!$C$16),INDEX(Curves!$H$8:$H$68,$A28-Inputs!$C$31+1),0)*Products!$C$27*Products!$C$28*Products!$C$13*(1-Credit_Assumptions!$C$15)</f>
        <v/>
      </c>
      <c r="J28" s="80">
        <f>IF($A28=Inputs!$C$33,Products!$C$30*Inputs!$C$10*Inputs!$C$32,0)</f>
        <v/>
      </c>
      <c r="K28" s="80">
        <f>D28*(1-Inputs!$C$24)-Inputs!$C$25*G28+I28+J28</f>
        <v/>
      </c>
      <c r="L28" s="80">
        <f>L27+K28</f>
        <v/>
      </c>
      <c r="M28" s="80">
        <f>C28*(1-B28)</f>
        <v/>
      </c>
      <c r="O28" s="81">
        <f>(1-Products!$D$41)^$A28</f>
        <v/>
      </c>
      <c r="P28" s="80">
        <f>IF(AND($A28&gt;=1,$A28&lt;=Products!$D$16),Products!$D$33,0)</f>
        <v/>
      </c>
      <c r="Q28" s="80">
        <f>P28*Products!$D$42*O28</f>
        <v/>
      </c>
      <c r="R28" s="80">
        <f>P28-Q28</f>
        <v/>
      </c>
      <c r="S28" s="80">
        <f>(1-O28)*MAX(0,Products!$D$16-$A28)*(Products!$D$33-Products!$D$35/Products!$D$16)</f>
        <v/>
      </c>
      <c r="T28" s="81">
        <f>IF($A28&lt;=Products!$D$16,O28,0)</f>
        <v/>
      </c>
      <c r="U28" s="81">
        <f>IF(AND($A28&gt;=1,$A28&lt;=Products!$D$16),O27-O28,0)</f>
        <v/>
      </c>
      <c r="V28" s="80">
        <f>IF(AND($A28-Inputs!$C$31&gt;=1,$A28-Inputs!$C$31&lt;=Products!$D$16),INDEX(Curves!$U$8:$U$68,$A28-Inputs!$C$31+1),0)*Products!$D$27*Products!$D$28*Products!$D$13*(1-Credit_Assumptions!$C$15)</f>
        <v/>
      </c>
      <c r="W28" s="80">
        <f>IF($A28=Inputs!$C$33,Products!$D$30*Inputs!$C$10*Inputs!$C$32,0)</f>
        <v/>
      </c>
      <c r="X28" s="80">
        <f>Q28*(1-Inputs!$C$24)-Inputs!$C$25*T28+V28+W28</f>
        <v/>
      </c>
      <c r="Y28" s="80">
        <f>Y27+X28</f>
        <v/>
      </c>
      <c r="Z28" s="80">
        <f>P28*(1-O28)</f>
        <v/>
      </c>
      <c r="AB28" s="81">
        <f>(1-Products!$E$41)^$A28</f>
        <v/>
      </c>
      <c r="AC28" s="80">
        <f>IF(AND($A28&gt;=1,$A28&lt;=Products!$E$16),Products!$E$33,0)</f>
        <v/>
      </c>
      <c r="AD28" s="80">
        <f>AC28*Products!$E$42*AB28</f>
        <v/>
      </c>
      <c r="AE28" s="80">
        <f>AC28-AD28</f>
        <v/>
      </c>
      <c r="AF28" s="80">
        <f>(1-AB28)*MAX(0,Products!$E$16-$A28)*(Products!$E$33-Products!$E$35/Products!$E$16)</f>
        <v/>
      </c>
      <c r="AG28" s="81">
        <f>IF($A28&lt;=Products!$E$16,AB28,0)</f>
        <v/>
      </c>
      <c r="AH28" s="81">
        <f>IF(AND($A28&gt;=1,$A28&lt;=Products!$E$16),AB27-AB28,0)</f>
        <v/>
      </c>
      <c r="AI28" s="80">
        <f>IF(AND($A28-Inputs!$C$31&gt;=1,$A28-Inputs!$C$31&lt;=Products!$E$16),INDEX(Curves!$AH$8:$AH$68,$A28-Inputs!$C$31+1),0)*Products!$E$27*Products!$E$28*Products!$E$13*(1-Credit_Assumptions!$C$15)</f>
        <v/>
      </c>
      <c r="AJ28" s="80">
        <f>IF($A28=Inputs!$C$33,Products!$E$30*Inputs!$C$10*Inputs!$C$32,0)</f>
        <v/>
      </c>
      <c r="AK28" s="80">
        <f>AD28*(1-Inputs!$C$24)-Inputs!$C$25*AG28+AI28+AJ28</f>
        <v/>
      </c>
      <c r="AL28" s="80">
        <f>AL27+AK28</f>
        <v/>
      </c>
      <c r="AM28" s="80">
        <f>AC28*(1-AB28)</f>
        <v/>
      </c>
      <c r="AO28" s="81">
        <f>(1-Products!$F$41)^$A28</f>
        <v/>
      </c>
      <c r="AP28" s="80">
        <f>IF(AND($A28&gt;=1,$A28&lt;=Products!$F$16),Products!$F$33,0)</f>
        <v/>
      </c>
      <c r="AQ28" s="80">
        <f>AP28*Products!$F$42*AO28</f>
        <v/>
      </c>
      <c r="AR28" s="80">
        <f>AP28-AQ28</f>
        <v/>
      </c>
      <c r="AS28" s="80">
        <f>(1-AO28)*MAX(0,Products!$F$16-$A28)*(Products!$F$33-Products!$F$35/Products!$F$16)</f>
        <v/>
      </c>
      <c r="AT28" s="81">
        <f>IF($A28&lt;=Products!$F$16,AO28,0)</f>
        <v/>
      </c>
      <c r="AU28" s="81">
        <f>IF(AND($A28&gt;=1,$A28&lt;=Products!$F$16),AO27-AO28,0)</f>
        <v/>
      </c>
      <c r="AV28" s="80">
        <f>IF(AND($A28-Inputs!$C$31&gt;=1,$A28-Inputs!$C$31&lt;=Products!$F$16),INDEX(Curves!$AU$8:$AU$68,$A28-Inputs!$C$31+1),0)*Products!$F$27*Products!$F$28*Products!$F$13*(1-Credit_Assumptions!$C$15)</f>
        <v/>
      </c>
      <c r="AW28" s="80">
        <f>IF($A28=Inputs!$C$33,Products!$F$30*Inputs!$C$10*Inputs!$C$32,0)</f>
        <v/>
      </c>
      <c r="AX28" s="80">
        <f>AQ28*(1-Inputs!$C$24)-Inputs!$C$25*AT28+AV28+AW28</f>
        <v/>
      </c>
      <c r="AY28" s="80">
        <f>AY27+AX28</f>
        <v/>
      </c>
      <c r="AZ28" s="80">
        <f>AP28*(1-AO28)</f>
        <v/>
      </c>
      <c r="BB28" s="81">
        <f>(1-Products!$G$41)^$A28</f>
        <v/>
      </c>
      <c r="BC28" s="80">
        <f>IF(AND($A28&gt;=1,$A28&lt;=Products!$G$16),Products!$G$33,0)</f>
        <v/>
      </c>
      <c r="BD28" s="80">
        <f>BC28*Products!$G$42*BB28</f>
        <v/>
      </c>
      <c r="BE28" s="80">
        <f>BC28-BD28</f>
        <v/>
      </c>
      <c r="BF28" s="80">
        <f>(1-BB28)*MAX(0,Products!$G$16-$A28)*(Products!$G$33-Products!$G$35/Products!$G$16)</f>
        <v/>
      </c>
      <c r="BG28" s="81">
        <f>IF($A28&lt;=Products!$G$16,BB28,0)</f>
        <v/>
      </c>
      <c r="BH28" s="81">
        <f>IF(AND($A28&gt;=1,$A28&lt;=Products!$G$16),BB27-BB28,0)</f>
        <v/>
      </c>
      <c r="BI28" s="80">
        <f>IF(AND($A28-Inputs!$C$31&gt;=1,$A28-Inputs!$C$31&lt;=Products!$G$16),INDEX(Curves!$BH$8:$BH$68,$A28-Inputs!$C$31+1),0)*Products!$G$27*Products!$G$28*Products!$G$13*(1-Credit_Assumptions!$C$15)</f>
        <v/>
      </c>
      <c r="BJ28" s="80">
        <f>IF($A28=Inputs!$C$33,Products!$G$30*Inputs!$C$10*Inputs!$C$32,0)</f>
        <v/>
      </c>
      <c r="BK28" s="80">
        <f>BD28*(1-Inputs!$C$24)-Inputs!$C$25*BG28+BI28+BJ28</f>
        <v/>
      </c>
      <c r="BL28" s="80">
        <f>BL27+BK28</f>
        <v/>
      </c>
      <c r="BM28" s="80">
        <f>BC28*(1-BB28)</f>
        <v/>
      </c>
    </row>
    <row r="29">
      <c r="A29" s="23" t="n">
        <v>21</v>
      </c>
      <c r="B29" s="81">
        <f>(1-Products!$C$41)^$A29</f>
        <v/>
      </c>
      <c r="C29" s="80">
        <f>IF(AND($A29&gt;=1,$A29&lt;=Products!$C$16),Products!$C$33,0)</f>
        <v/>
      </c>
      <c r="D29" s="80">
        <f>C29*Products!$C$42*B29</f>
        <v/>
      </c>
      <c r="E29" s="80">
        <f>C29-D29</f>
        <v/>
      </c>
      <c r="F29" s="80">
        <f>(1-B29)*MAX(0,Products!$C$16-$A29)*(Products!$C$33-Products!$C$35/Products!$C$16)</f>
        <v/>
      </c>
      <c r="G29" s="81">
        <f>IF($A29&lt;=Products!$C$16,B29,0)</f>
        <v/>
      </c>
      <c r="H29" s="81">
        <f>IF(AND($A29&gt;=1,$A29&lt;=Products!$C$16),B28-B29,0)</f>
        <v/>
      </c>
      <c r="I29" s="80">
        <f>IF(AND($A29-Inputs!$C$31&gt;=1,$A29-Inputs!$C$31&lt;=Products!$C$16),INDEX(Curves!$H$8:$H$68,$A29-Inputs!$C$31+1),0)*Products!$C$27*Products!$C$28*Products!$C$13*(1-Credit_Assumptions!$C$15)</f>
        <v/>
      </c>
      <c r="J29" s="80">
        <f>IF($A29=Inputs!$C$33,Products!$C$30*Inputs!$C$10*Inputs!$C$32,0)</f>
        <v/>
      </c>
      <c r="K29" s="80">
        <f>D29*(1-Inputs!$C$24)-Inputs!$C$25*G29+I29+J29</f>
        <v/>
      </c>
      <c r="L29" s="80">
        <f>L28+K29</f>
        <v/>
      </c>
      <c r="M29" s="80">
        <f>C29*(1-B29)</f>
        <v/>
      </c>
      <c r="O29" s="81">
        <f>(1-Products!$D$41)^$A29</f>
        <v/>
      </c>
      <c r="P29" s="80">
        <f>IF(AND($A29&gt;=1,$A29&lt;=Products!$D$16),Products!$D$33,0)</f>
        <v/>
      </c>
      <c r="Q29" s="80">
        <f>P29*Products!$D$42*O29</f>
        <v/>
      </c>
      <c r="R29" s="80">
        <f>P29-Q29</f>
        <v/>
      </c>
      <c r="S29" s="80">
        <f>(1-O29)*MAX(0,Products!$D$16-$A29)*(Products!$D$33-Products!$D$35/Products!$D$16)</f>
        <v/>
      </c>
      <c r="T29" s="81">
        <f>IF($A29&lt;=Products!$D$16,O29,0)</f>
        <v/>
      </c>
      <c r="U29" s="81">
        <f>IF(AND($A29&gt;=1,$A29&lt;=Products!$D$16),O28-O29,0)</f>
        <v/>
      </c>
      <c r="V29" s="80">
        <f>IF(AND($A29-Inputs!$C$31&gt;=1,$A29-Inputs!$C$31&lt;=Products!$D$16),INDEX(Curves!$U$8:$U$68,$A29-Inputs!$C$31+1),0)*Products!$D$27*Products!$D$28*Products!$D$13*(1-Credit_Assumptions!$C$15)</f>
        <v/>
      </c>
      <c r="W29" s="80">
        <f>IF($A29=Inputs!$C$33,Products!$D$30*Inputs!$C$10*Inputs!$C$32,0)</f>
        <v/>
      </c>
      <c r="X29" s="80">
        <f>Q29*(1-Inputs!$C$24)-Inputs!$C$25*T29+V29+W29</f>
        <v/>
      </c>
      <c r="Y29" s="80">
        <f>Y28+X29</f>
        <v/>
      </c>
      <c r="Z29" s="80">
        <f>P29*(1-O29)</f>
        <v/>
      </c>
      <c r="AB29" s="81">
        <f>(1-Products!$E$41)^$A29</f>
        <v/>
      </c>
      <c r="AC29" s="80">
        <f>IF(AND($A29&gt;=1,$A29&lt;=Products!$E$16),Products!$E$33,0)</f>
        <v/>
      </c>
      <c r="AD29" s="80">
        <f>AC29*Products!$E$42*AB29</f>
        <v/>
      </c>
      <c r="AE29" s="80">
        <f>AC29-AD29</f>
        <v/>
      </c>
      <c r="AF29" s="80">
        <f>(1-AB29)*MAX(0,Products!$E$16-$A29)*(Products!$E$33-Products!$E$35/Products!$E$16)</f>
        <v/>
      </c>
      <c r="AG29" s="81">
        <f>IF($A29&lt;=Products!$E$16,AB29,0)</f>
        <v/>
      </c>
      <c r="AH29" s="81">
        <f>IF(AND($A29&gt;=1,$A29&lt;=Products!$E$16),AB28-AB29,0)</f>
        <v/>
      </c>
      <c r="AI29" s="80">
        <f>IF(AND($A29-Inputs!$C$31&gt;=1,$A29-Inputs!$C$31&lt;=Products!$E$16),INDEX(Curves!$AH$8:$AH$68,$A29-Inputs!$C$31+1),0)*Products!$E$27*Products!$E$28*Products!$E$13*(1-Credit_Assumptions!$C$15)</f>
        <v/>
      </c>
      <c r="AJ29" s="80">
        <f>IF($A29=Inputs!$C$33,Products!$E$30*Inputs!$C$10*Inputs!$C$32,0)</f>
        <v/>
      </c>
      <c r="AK29" s="80">
        <f>AD29*(1-Inputs!$C$24)-Inputs!$C$25*AG29+AI29+AJ29</f>
        <v/>
      </c>
      <c r="AL29" s="80">
        <f>AL28+AK29</f>
        <v/>
      </c>
      <c r="AM29" s="80">
        <f>AC29*(1-AB29)</f>
        <v/>
      </c>
      <c r="AO29" s="81">
        <f>(1-Products!$F$41)^$A29</f>
        <v/>
      </c>
      <c r="AP29" s="80">
        <f>IF(AND($A29&gt;=1,$A29&lt;=Products!$F$16),Products!$F$33,0)</f>
        <v/>
      </c>
      <c r="AQ29" s="80">
        <f>AP29*Products!$F$42*AO29</f>
        <v/>
      </c>
      <c r="AR29" s="80">
        <f>AP29-AQ29</f>
        <v/>
      </c>
      <c r="AS29" s="80">
        <f>(1-AO29)*MAX(0,Products!$F$16-$A29)*(Products!$F$33-Products!$F$35/Products!$F$16)</f>
        <v/>
      </c>
      <c r="AT29" s="81">
        <f>IF($A29&lt;=Products!$F$16,AO29,0)</f>
        <v/>
      </c>
      <c r="AU29" s="81">
        <f>IF(AND($A29&gt;=1,$A29&lt;=Products!$F$16),AO28-AO29,0)</f>
        <v/>
      </c>
      <c r="AV29" s="80">
        <f>IF(AND($A29-Inputs!$C$31&gt;=1,$A29-Inputs!$C$31&lt;=Products!$F$16),INDEX(Curves!$AU$8:$AU$68,$A29-Inputs!$C$31+1),0)*Products!$F$27*Products!$F$28*Products!$F$13*(1-Credit_Assumptions!$C$15)</f>
        <v/>
      </c>
      <c r="AW29" s="80">
        <f>IF($A29=Inputs!$C$33,Products!$F$30*Inputs!$C$10*Inputs!$C$32,0)</f>
        <v/>
      </c>
      <c r="AX29" s="80">
        <f>AQ29*(1-Inputs!$C$24)-Inputs!$C$25*AT29+AV29+AW29</f>
        <v/>
      </c>
      <c r="AY29" s="80">
        <f>AY28+AX29</f>
        <v/>
      </c>
      <c r="AZ29" s="80">
        <f>AP29*(1-AO29)</f>
        <v/>
      </c>
      <c r="BB29" s="81">
        <f>(1-Products!$G$41)^$A29</f>
        <v/>
      </c>
      <c r="BC29" s="80">
        <f>IF(AND($A29&gt;=1,$A29&lt;=Products!$G$16),Products!$G$33,0)</f>
        <v/>
      </c>
      <c r="BD29" s="80">
        <f>BC29*Products!$G$42*BB29</f>
        <v/>
      </c>
      <c r="BE29" s="80">
        <f>BC29-BD29</f>
        <v/>
      </c>
      <c r="BF29" s="80">
        <f>(1-BB29)*MAX(0,Products!$G$16-$A29)*(Products!$G$33-Products!$G$35/Products!$G$16)</f>
        <v/>
      </c>
      <c r="BG29" s="81">
        <f>IF($A29&lt;=Products!$G$16,BB29,0)</f>
        <v/>
      </c>
      <c r="BH29" s="81">
        <f>IF(AND($A29&gt;=1,$A29&lt;=Products!$G$16),BB28-BB29,0)</f>
        <v/>
      </c>
      <c r="BI29" s="80">
        <f>IF(AND($A29-Inputs!$C$31&gt;=1,$A29-Inputs!$C$31&lt;=Products!$G$16),INDEX(Curves!$BH$8:$BH$68,$A29-Inputs!$C$31+1),0)*Products!$G$27*Products!$G$28*Products!$G$13*(1-Credit_Assumptions!$C$15)</f>
        <v/>
      </c>
      <c r="BJ29" s="80">
        <f>IF($A29=Inputs!$C$33,Products!$G$30*Inputs!$C$10*Inputs!$C$32,0)</f>
        <v/>
      </c>
      <c r="BK29" s="80">
        <f>BD29*(1-Inputs!$C$24)-Inputs!$C$25*BG29+BI29+BJ29</f>
        <v/>
      </c>
      <c r="BL29" s="80">
        <f>BL28+BK29</f>
        <v/>
      </c>
      <c r="BM29" s="80">
        <f>BC29*(1-BB29)</f>
        <v/>
      </c>
    </row>
    <row r="30">
      <c r="A30" s="23" t="n">
        <v>22</v>
      </c>
      <c r="B30" s="81">
        <f>(1-Products!$C$41)^$A30</f>
        <v/>
      </c>
      <c r="C30" s="80">
        <f>IF(AND($A30&gt;=1,$A30&lt;=Products!$C$16),Products!$C$33,0)</f>
        <v/>
      </c>
      <c r="D30" s="80">
        <f>C30*Products!$C$42*B30</f>
        <v/>
      </c>
      <c r="E30" s="80">
        <f>C30-D30</f>
        <v/>
      </c>
      <c r="F30" s="80">
        <f>(1-B30)*MAX(0,Products!$C$16-$A30)*(Products!$C$33-Products!$C$35/Products!$C$16)</f>
        <v/>
      </c>
      <c r="G30" s="81">
        <f>IF($A30&lt;=Products!$C$16,B30,0)</f>
        <v/>
      </c>
      <c r="H30" s="81">
        <f>IF(AND($A30&gt;=1,$A30&lt;=Products!$C$16),B29-B30,0)</f>
        <v/>
      </c>
      <c r="I30" s="80">
        <f>IF(AND($A30-Inputs!$C$31&gt;=1,$A30-Inputs!$C$31&lt;=Products!$C$16),INDEX(Curves!$H$8:$H$68,$A30-Inputs!$C$31+1),0)*Products!$C$27*Products!$C$28*Products!$C$13*(1-Credit_Assumptions!$C$15)</f>
        <v/>
      </c>
      <c r="J30" s="80">
        <f>IF($A30=Inputs!$C$33,Products!$C$30*Inputs!$C$10*Inputs!$C$32,0)</f>
        <v/>
      </c>
      <c r="K30" s="80">
        <f>D30*(1-Inputs!$C$24)-Inputs!$C$25*G30+I30+J30</f>
        <v/>
      </c>
      <c r="L30" s="80">
        <f>L29+K30</f>
        <v/>
      </c>
      <c r="M30" s="80">
        <f>C30*(1-B30)</f>
        <v/>
      </c>
      <c r="O30" s="81">
        <f>(1-Products!$D$41)^$A30</f>
        <v/>
      </c>
      <c r="P30" s="80">
        <f>IF(AND($A30&gt;=1,$A30&lt;=Products!$D$16),Products!$D$33,0)</f>
        <v/>
      </c>
      <c r="Q30" s="80">
        <f>P30*Products!$D$42*O30</f>
        <v/>
      </c>
      <c r="R30" s="80">
        <f>P30-Q30</f>
        <v/>
      </c>
      <c r="S30" s="80">
        <f>(1-O30)*MAX(0,Products!$D$16-$A30)*(Products!$D$33-Products!$D$35/Products!$D$16)</f>
        <v/>
      </c>
      <c r="T30" s="81">
        <f>IF($A30&lt;=Products!$D$16,O30,0)</f>
        <v/>
      </c>
      <c r="U30" s="81">
        <f>IF(AND($A30&gt;=1,$A30&lt;=Products!$D$16),O29-O30,0)</f>
        <v/>
      </c>
      <c r="V30" s="80">
        <f>IF(AND($A30-Inputs!$C$31&gt;=1,$A30-Inputs!$C$31&lt;=Products!$D$16),INDEX(Curves!$U$8:$U$68,$A30-Inputs!$C$31+1),0)*Products!$D$27*Products!$D$28*Products!$D$13*(1-Credit_Assumptions!$C$15)</f>
        <v/>
      </c>
      <c r="W30" s="80">
        <f>IF($A30=Inputs!$C$33,Products!$D$30*Inputs!$C$10*Inputs!$C$32,0)</f>
        <v/>
      </c>
      <c r="X30" s="80">
        <f>Q30*(1-Inputs!$C$24)-Inputs!$C$25*T30+V30+W30</f>
        <v/>
      </c>
      <c r="Y30" s="80">
        <f>Y29+X30</f>
        <v/>
      </c>
      <c r="Z30" s="80">
        <f>P30*(1-O30)</f>
        <v/>
      </c>
      <c r="AB30" s="81">
        <f>(1-Products!$E$41)^$A30</f>
        <v/>
      </c>
      <c r="AC30" s="80">
        <f>IF(AND($A30&gt;=1,$A30&lt;=Products!$E$16),Products!$E$33,0)</f>
        <v/>
      </c>
      <c r="AD30" s="80">
        <f>AC30*Products!$E$42*AB30</f>
        <v/>
      </c>
      <c r="AE30" s="80">
        <f>AC30-AD30</f>
        <v/>
      </c>
      <c r="AF30" s="80">
        <f>(1-AB30)*MAX(0,Products!$E$16-$A30)*(Products!$E$33-Products!$E$35/Products!$E$16)</f>
        <v/>
      </c>
      <c r="AG30" s="81">
        <f>IF($A30&lt;=Products!$E$16,AB30,0)</f>
        <v/>
      </c>
      <c r="AH30" s="81">
        <f>IF(AND($A30&gt;=1,$A30&lt;=Products!$E$16),AB29-AB30,0)</f>
        <v/>
      </c>
      <c r="AI30" s="80">
        <f>IF(AND($A30-Inputs!$C$31&gt;=1,$A30-Inputs!$C$31&lt;=Products!$E$16),INDEX(Curves!$AH$8:$AH$68,$A30-Inputs!$C$31+1),0)*Products!$E$27*Products!$E$28*Products!$E$13*(1-Credit_Assumptions!$C$15)</f>
        <v/>
      </c>
      <c r="AJ30" s="80">
        <f>IF($A30=Inputs!$C$33,Products!$E$30*Inputs!$C$10*Inputs!$C$32,0)</f>
        <v/>
      </c>
      <c r="AK30" s="80">
        <f>AD30*(1-Inputs!$C$24)-Inputs!$C$25*AG30+AI30+AJ30</f>
        <v/>
      </c>
      <c r="AL30" s="80">
        <f>AL29+AK30</f>
        <v/>
      </c>
      <c r="AM30" s="80">
        <f>AC30*(1-AB30)</f>
        <v/>
      </c>
      <c r="AO30" s="81">
        <f>(1-Products!$F$41)^$A30</f>
        <v/>
      </c>
      <c r="AP30" s="80">
        <f>IF(AND($A30&gt;=1,$A30&lt;=Products!$F$16),Products!$F$33,0)</f>
        <v/>
      </c>
      <c r="AQ30" s="80">
        <f>AP30*Products!$F$42*AO30</f>
        <v/>
      </c>
      <c r="AR30" s="80">
        <f>AP30-AQ30</f>
        <v/>
      </c>
      <c r="AS30" s="80">
        <f>(1-AO30)*MAX(0,Products!$F$16-$A30)*(Products!$F$33-Products!$F$35/Products!$F$16)</f>
        <v/>
      </c>
      <c r="AT30" s="81">
        <f>IF($A30&lt;=Products!$F$16,AO30,0)</f>
        <v/>
      </c>
      <c r="AU30" s="81">
        <f>IF(AND($A30&gt;=1,$A30&lt;=Products!$F$16),AO29-AO30,0)</f>
        <v/>
      </c>
      <c r="AV30" s="80">
        <f>IF(AND($A30-Inputs!$C$31&gt;=1,$A30-Inputs!$C$31&lt;=Products!$F$16),INDEX(Curves!$AU$8:$AU$68,$A30-Inputs!$C$31+1),0)*Products!$F$27*Products!$F$28*Products!$F$13*(1-Credit_Assumptions!$C$15)</f>
        <v/>
      </c>
      <c r="AW30" s="80">
        <f>IF($A30=Inputs!$C$33,Products!$F$30*Inputs!$C$10*Inputs!$C$32,0)</f>
        <v/>
      </c>
      <c r="AX30" s="80">
        <f>AQ30*(1-Inputs!$C$24)-Inputs!$C$25*AT30+AV30+AW30</f>
        <v/>
      </c>
      <c r="AY30" s="80">
        <f>AY29+AX30</f>
        <v/>
      </c>
      <c r="AZ30" s="80">
        <f>AP30*(1-AO30)</f>
        <v/>
      </c>
      <c r="BB30" s="81">
        <f>(1-Products!$G$41)^$A30</f>
        <v/>
      </c>
      <c r="BC30" s="80">
        <f>IF(AND($A30&gt;=1,$A30&lt;=Products!$G$16),Products!$G$33,0)</f>
        <v/>
      </c>
      <c r="BD30" s="80">
        <f>BC30*Products!$G$42*BB30</f>
        <v/>
      </c>
      <c r="BE30" s="80">
        <f>BC30-BD30</f>
        <v/>
      </c>
      <c r="BF30" s="80">
        <f>(1-BB30)*MAX(0,Products!$G$16-$A30)*(Products!$G$33-Products!$G$35/Products!$G$16)</f>
        <v/>
      </c>
      <c r="BG30" s="81">
        <f>IF($A30&lt;=Products!$G$16,BB30,0)</f>
        <v/>
      </c>
      <c r="BH30" s="81">
        <f>IF(AND($A30&gt;=1,$A30&lt;=Products!$G$16),BB29-BB30,0)</f>
        <v/>
      </c>
      <c r="BI30" s="80">
        <f>IF(AND($A30-Inputs!$C$31&gt;=1,$A30-Inputs!$C$31&lt;=Products!$G$16),INDEX(Curves!$BH$8:$BH$68,$A30-Inputs!$C$31+1),0)*Products!$G$27*Products!$G$28*Products!$G$13*(1-Credit_Assumptions!$C$15)</f>
        <v/>
      </c>
      <c r="BJ30" s="80">
        <f>IF($A30=Inputs!$C$33,Products!$G$30*Inputs!$C$10*Inputs!$C$32,0)</f>
        <v/>
      </c>
      <c r="BK30" s="80">
        <f>BD30*(1-Inputs!$C$24)-Inputs!$C$25*BG30+BI30+BJ30</f>
        <v/>
      </c>
      <c r="BL30" s="80">
        <f>BL29+BK30</f>
        <v/>
      </c>
      <c r="BM30" s="80">
        <f>BC30*(1-BB30)</f>
        <v/>
      </c>
    </row>
    <row r="31">
      <c r="A31" s="23" t="n">
        <v>23</v>
      </c>
      <c r="B31" s="81">
        <f>(1-Products!$C$41)^$A31</f>
        <v/>
      </c>
      <c r="C31" s="80">
        <f>IF(AND($A31&gt;=1,$A31&lt;=Products!$C$16),Products!$C$33,0)</f>
        <v/>
      </c>
      <c r="D31" s="80">
        <f>C31*Products!$C$42*B31</f>
        <v/>
      </c>
      <c r="E31" s="80">
        <f>C31-D31</f>
        <v/>
      </c>
      <c r="F31" s="80">
        <f>(1-B31)*MAX(0,Products!$C$16-$A31)*(Products!$C$33-Products!$C$35/Products!$C$16)</f>
        <v/>
      </c>
      <c r="G31" s="81">
        <f>IF($A31&lt;=Products!$C$16,B31,0)</f>
        <v/>
      </c>
      <c r="H31" s="81">
        <f>IF(AND($A31&gt;=1,$A31&lt;=Products!$C$16),B30-B31,0)</f>
        <v/>
      </c>
      <c r="I31" s="80">
        <f>IF(AND($A31-Inputs!$C$31&gt;=1,$A31-Inputs!$C$31&lt;=Products!$C$16),INDEX(Curves!$H$8:$H$68,$A31-Inputs!$C$31+1),0)*Products!$C$27*Products!$C$28*Products!$C$13*(1-Credit_Assumptions!$C$15)</f>
        <v/>
      </c>
      <c r="J31" s="80">
        <f>IF($A31=Inputs!$C$33,Products!$C$30*Inputs!$C$10*Inputs!$C$32,0)</f>
        <v/>
      </c>
      <c r="K31" s="80">
        <f>D31*(1-Inputs!$C$24)-Inputs!$C$25*G31+I31+J31</f>
        <v/>
      </c>
      <c r="L31" s="80">
        <f>L30+K31</f>
        <v/>
      </c>
      <c r="M31" s="80">
        <f>C31*(1-B31)</f>
        <v/>
      </c>
      <c r="O31" s="81">
        <f>(1-Products!$D$41)^$A31</f>
        <v/>
      </c>
      <c r="P31" s="80">
        <f>IF(AND($A31&gt;=1,$A31&lt;=Products!$D$16),Products!$D$33,0)</f>
        <v/>
      </c>
      <c r="Q31" s="80">
        <f>P31*Products!$D$42*O31</f>
        <v/>
      </c>
      <c r="R31" s="80">
        <f>P31-Q31</f>
        <v/>
      </c>
      <c r="S31" s="80">
        <f>(1-O31)*MAX(0,Products!$D$16-$A31)*(Products!$D$33-Products!$D$35/Products!$D$16)</f>
        <v/>
      </c>
      <c r="T31" s="81">
        <f>IF($A31&lt;=Products!$D$16,O31,0)</f>
        <v/>
      </c>
      <c r="U31" s="81">
        <f>IF(AND($A31&gt;=1,$A31&lt;=Products!$D$16),O30-O31,0)</f>
        <v/>
      </c>
      <c r="V31" s="80">
        <f>IF(AND($A31-Inputs!$C$31&gt;=1,$A31-Inputs!$C$31&lt;=Products!$D$16),INDEX(Curves!$U$8:$U$68,$A31-Inputs!$C$31+1),0)*Products!$D$27*Products!$D$28*Products!$D$13*(1-Credit_Assumptions!$C$15)</f>
        <v/>
      </c>
      <c r="W31" s="80">
        <f>IF($A31=Inputs!$C$33,Products!$D$30*Inputs!$C$10*Inputs!$C$32,0)</f>
        <v/>
      </c>
      <c r="X31" s="80">
        <f>Q31*(1-Inputs!$C$24)-Inputs!$C$25*T31+V31+W31</f>
        <v/>
      </c>
      <c r="Y31" s="80">
        <f>Y30+X31</f>
        <v/>
      </c>
      <c r="Z31" s="80">
        <f>P31*(1-O31)</f>
        <v/>
      </c>
      <c r="AB31" s="81">
        <f>(1-Products!$E$41)^$A31</f>
        <v/>
      </c>
      <c r="AC31" s="80">
        <f>IF(AND($A31&gt;=1,$A31&lt;=Products!$E$16),Products!$E$33,0)</f>
        <v/>
      </c>
      <c r="AD31" s="80">
        <f>AC31*Products!$E$42*AB31</f>
        <v/>
      </c>
      <c r="AE31" s="80">
        <f>AC31-AD31</f>
        <v/>
      </c>
      <c r="AF31" s="80">
        <f>(1-AB31)*MAX(0,Products!$E$16-$A31)*(Products!$E$33-Products!$E$35/Products!$E$16)</f>
        <v/>
      </c>
      <c r="AG31" s="81">
        <f>IF($A31&lt;=Products!$E$16,AB31,0)</f>
        <v/>
      </c>
      <c r="AH31" s="81">
        <f>IF(AND($A31&gt;=1,$A31&lt;=Products!$E$16),AB30-AB31,0)</f>
        <v/>
      </c>
      <c r="AI31" s="80">
        <f>IF(AND($A31-Inputs!$C$31&gt;=1,$A31-Inputs!$C$31&lt;=Products!$E$16),INDEX(Curves!$AH$8:$AH$68,$A31-Inputs!$C$31+1),0)*Products!$E$27*Products!$E$28*Products!$E$13*(1-Credit_Assumptions!$C$15)</f>
        <v/>
      </c>
      <c r="AJ31" s="80">
        <f>IF($A31=Inputs!$C$33,Products!$E$30*Inputs!$C$10*Inputs!$C$32,0)</f>
        <v/>
      </c>
      <c r="AK31" s="80">
        <f>AD31*(1-Inputs!$C$24)-Inputs!$C$25*AG31+AI31+AJ31</f>
        <v/>
      </c>
      <c r="AL31" s="80">
        <f>AL30+AK31</f>
        <v/>
      </c>
      <c r="AM31" s="80">
        <f>AC31*(1-AB31)</f>
        <v/>
      </c>
      <c r="AO31" s="81">
        <f>(1-Products!$F$41)^$A31</f>
        <v/>
      </c>
      <c r="AP31" s="80">
        <f>IF(AND($A31&gt;=1,$A31&lt;=Products!$F$16),Products!$F$33,0)</f>
        <v/>
      </c>
      <c r="AQ31" s="80">
        <f>AP31*Products!$F$42*AO31</f>
        <v/>
      </c>
      <c r="AR31" s="80">
        <f>AP31-AQ31</f>
        <v/>
      </c>
      <c r="AS31" s="80">
        <f>(1-AO31)*MAX(0,Products!$F$16-$A31)*(Products!$F$33-Products!$F$35/Products!$F$16)</f>
        <v/>
      </c>
      <c r="AT31" s="81">
        <f>IF($A31&lt;=Products!$F$16,AO31,0)</f>
        <v/>
      </c>
      <c r="AU31" s="81">
        <f>IF(AND($A31&gt;=1,$A31&lt;=Products!$F$16),AO30-AO31,0)</f>
        <v/>
      </c>
      <c r="AV31" s="80">
        <f>IF(AND($A31-Inputs!$C$31&gt;=1,$A31-Inputs!$C$31&lt;=Products!$F$16),INDEX(Curves!$AU$8:$AU$68,$A31-Inputs!$C$31+1),0)*Products!$F$27*Products!$F$28*Products!$F$13*(1-Credit_Assumptions!$C$15)</f>
        <v/>
      </c>
      <c r="AW31" s="80">
        <f>IF($A31=Inputs!$C$33,Products!$F$30*Inputs!$C$10*Inputs!$C$32,0)</f>
        <v/>
      </c>
      <c r="AX31" s="80">
        <f>AQ31*(1-Inputs!$C$24)-Inputs!$C$25*AT31+AV31+AW31</f>
        <v/>
      </c>
      <c r="AY31" s="80">
        <f>AY30+AX31</f>
        <v/>
      </c>
      <c r="AZ31" s="80">
        <f>AP31*(1-AO31)</f>
        <v/>
      </c>
      <c r="BB31" s="81">
        <f>(1-Products!$G$41)^$A31</f>
        <v/>
      </c>
      <c r="BC31" s="80">
        <f>IF(AND($A31&gt;=1,$A31&lt;=Products!$G$16),Products!$G$33,0)</f>
        <v/>
      </c>
      <c r="BD31" s="80">
        <f>BC31*Products!$G$42*BB31</f>
        <v/>
      </c>
      <c r="BE31" s="80">
        <f>BC31-BD31</f>
        <v/>
      </c>
      <c r="BF31" s="80">
        <f>(1-BB31)*MAX(0,Products!$G$16-$A31)*(Products!$G$33-Products!$G$35/Products!$G$16)</f>
        <v/>
      </c>
      <c r="BG31" s="81">
        <f>IF($A31&lt;=Products!$G$16,BB31,0)</f>
        <v/>
      </c>
      <c r="BH31" s="81">
        <f>IF(AND($A31&gt;=1,$A31&lt;=Products!$G$16),BB30-BB31,0)</f>
        <v/>
      </c>
      <c r="BI31" s="80">
        <f>IF(AND($A31-Inputs!$C$31&gt;=1,$A31-Inputs!$C$31&lt;=Products!$G$16),INDEX(Curves!$BH$8:$BH$68,$A31-Inputs!$C$31+1),0)*Products!$G$27*Products!$G$28*Products!$G$13*(1-Credit_Assumptions!$C$15)</f>
        <v/>
      </c>
      <c r="BJ31" s="80">
        <f>IF($A31=Inputs!$C$33,Products!$G$30*Inputs!$C$10*Inputs!$C$32,0)</f>
        <v/>
      </c>
      <c r="BK31" s="80">
        <f>BD31*(1-Inputs!$C$24)-Inputs!$C$25*BG31+BI31+BJ31</f>
        <v/>
      </c>
      <c r="BL31" s="80">
        <f>BL30+BK31</f>
        <v/>
      </c>
      <c r="BM31" s="80">
        <f>BC31*(1-BB31)</f>
        <v/>
      </c>
    </row>
    <row r="32">
      <c r="A32" s="23" t="n">
        <v>24</v>
      </c>
      <c r="B32" s="81">
        <f>(1-Products!$C$41)^$A32</f>
        <v/>
      </c>
      <c r="C32" s="80">
        <f>IF(AND($A32&gt;=1,$A32&lt;=Products!$C$16),Products!$C$33,0)</f>
        <v/>
      </c>
      <c r="D32" s="80">
        <f>C32*Products!$C$42*B32</f>
        <v/>
      </c>
      <c r="E32" s="80">
        <f>C32-D32</f>
        <v/>
      </c>
      <c r="F32" s="80">
        <f>(1-B32)*MAX(0,Products!$C$16-$A32)*(Products!$C$33-Products!$C$35/Products!$C$16)</f>
        <v/>
      </c>
      <c r="G32" s="81">
        <f>IF($A32&lt;=Products!$C$16,B32,0)</f>
        <v/>
      </c>
      <c r="H32" s="81">
        <f>IF(AND($A32&gt;=1,$A32&lt;=Products!$C$16),B31-B32,0)</f>
        <v/>
      </c>
      <c r="I32" s="80">
        <f>IF(AND($A32-Inputs!$C$31&gt;=1,$A32-Inputs!$C$31&lt;=Products!$C$16),INDEX(Curves!$H$8:$H$68,$A32-Inputs!$C$31+1),0)*Products!$C$27*Products!$C$28*Products!$C$13*(1-Credit_Assumptions!$C$15)</f>
        <v/>
      </c>
      <c r="J32" s="80">
        <f>IF($A32=Inputs!$C$33,Products!$C$30*Inputs!$C$10*Inputs!$C$32,0)</f>
        <v/>
      </c>
      <c r="K32" s="80">
        <f>D32*(1-Inputs!$C$24)-Inputs!$C$25*G32+I32+J32</f>
        <v/>
      </c>
      <c r="L32" s="80">
        <f>L31+K32</f>
        <v/>
      </c>
      <c r="M32" s="80">
        <f>C32*(1-B32)</f>
        <v/>
      </c>
      <c r="O32" s="81">
        <f>(1-Products!$D$41)^$A32</f>
        <v/>
      </c>
      <c r="P32" s="80">
        <f>IF(AND($A32&gt;=1,$A32&lt;=Products!$D$16),Products!$D$33,0)</f>
        <v/>
      </c>
      <c r="Q32" s="80">
        <f>P32*Products!$D$42*O32</f>
        <v/>
      </c>
      <c r="R32" s="80">
        <f>P32-Q32</f>
        <v/>
      </c>
      <c r="S32" s="80">
        <f>(1-O32)*MAX(0,Products!$D$16-$A32)*(Products!$D$33-Products!$D$35/Products!$D$16)</f>
        <v/>
      </c>
      <c r="T32" s="81">
        <f>IF($A32&lt;=Products!$D$16,O32,0)</f>
        <v/>
      </c>
      <c r="U32" s="81">
        <f>IF(AND($A32&gt;=1,$A32&lt;=Products!$D$16),O31-O32,0)</f>
        <v/>
      </c>
      <c r="V32" s="80">
        <f>IF(AND($A32-Inputs!$C$31&gt;=1,$A32-Inputs!$C$31&lt;=Products!$D$16),INDEX(Curves!$U$8:$U$68,$A32-Inputs!$C$31+1),0)*Products!$D$27*Products!$D$28*Products!$D$13*(1-Credit_Assumptions!$C$15)</f>
        <v/>
      </c>
      <c r="W32" s="80">
        <f>IF($A32=Inputs!$C$33,Products!$D$30*Inputs!$C$10*Inputs!$C$32,0)</f>
        <v/>
      </c>
      <c r="X32" s="80">
        <f>Q32*(1-Inputs!$C$24)-Inputs!$C$25*T32+V32+W32</f>
        <v/>
      </c>
      <c r="Y32" s="80">
        <f>Y31+X32</f>
        <v/>
      </c>
      <c r="Z32" s="80">
        <f>P32*(1-O32)</f>
        <v/>
      </c>
      <c r="AB32" s="81">
        <f>(1-Products!$E$41)^$A32</f>
        <v/>
      </c>
      <c r="AC32" s="80">
        <f>IF(AND($A32&gt;=1,$A32&lt;=Products!$E$16),Products!$E$33,0)</f>
        <v/>
      </c>
      <c r="AD32" s="80">
        <f>AC32*Products!$E$42*AB32</f>
        <v/>
      </c>
      <c r="AE32" s="80">
        <f>AC32-AD32</f>
        <v/>
      </c>
      <c r="AF32" s="80">
        <f>(1-AB32)*MAX(0,Products!$E$16-$A32)*(Products!$E$33-Products!$E$35/Products!$E$16)</f>
        <v/>
      </c>
      <c r="AG32" s="81">
        <f>IF($A32&lt;=Products!$E$16,AB32,0)</f>
        <v/>
      </c>
      <c r="AH32" s="81">
        <f>IF(AND($A32&gt;=1,$A32&lt;=Products!$E$16),AB31-AB32,0)</f>
        <v/>
      </c>
      <c r="AI32" s="80">
        <f>IF(AND($A32-Inputs!$C$31&gt;=1,$A32-Inputs!$C$31&lt;=Products!$E$16),INDEX(Curves!$AH$8:$AH$68,$A32-Inputs!$C$31+1),0)*Products!$E$27*Products!$E$28*Products!$E$13*(1-Credit_Assumptions!$C$15)</f>
        <v/>
      </c>
      <c r="AJ32" s="80">
        <f>IF($A32=Inputs!$C$33,Products!$E$30*Inputs!$C$10*Inputs!$C$32,0)</f>
        <v/>
      </c>
      <c r="AK32" s="80">
        <f>AD32*(1-Inputs!$C$24)-Inputs!$C$25*AG32+AI32+AJ32</f>
        <v/>
      </c>
      <c r="AL32" s="80">
        <f>AL31+AK32</f>
        <v/>
      </c>
      <c r="AM32" s="80">
        <f>AC32*(1-AB32)</f>
        <v/>
      </c>
      <c r="AO32" s="81">
        <f>(1-Products!$F$41)^$A32</f>
        <v/>
      </c>
      <c r="AP32" s="80">
        <f>IF(AND($A32&gt;=1,$A32&lt;=Products!$F$16),Products!$F$33,0)</f>
        <v/>
      </c>
      <c r="AQ32" s="80">
        <f>AP32*Products!$F$42*AO32</f>
        <v/>
      </c>
      <c r="AR32" s="80">
        <f>AP32-AQ32</f>
        <v/>
      </c>
      <c r="AS32" s="80">
        <f>(1-AO32)*MAX(0,Products!$F$16-$A32)*(Products!$F$33-Products!$F$35/Products!$F$16)</f>
        <v/>
      </c>
      <c r="AT32" s="81">
        <f>IF($A32&lt;=Products!$F$16,AO32,0)</f>
        <v/>
      </c>
      <c r="AU32" s="81">
        <f>IF(AND($A32&gt;=1,$A32&lt;=Products!$F$16),AO31-AO32,0)</f>
        <v/>
      </c>
      <c r="AV32" s="80">
        <f>IF(AND($A32-Inputs!$C$31&gt;=1,$A32-Inputs!$C$31&lt;=Products!$F$16),INDEX(Curves!$AU$8:$AU$68,$A32-Inputs!$C$31+1),0)*Products!$F$27*Products!$F$28*Products!$F$13*(1-Credit_Assumptions!$C$15)</f>
        <v/>
      </c>
      <c r="AW32" s="80">
        <f>IF($A32=Inputs!$C$33,Products!$F$30*Inputs!$C$10*Inputs!$C$32,0)</f>
        <v/>
      </c>
      <c r="AX32" s="80">
        <f>AQ32*(1-Inputs!$C$24)-Inputs!$C$25*AT32+AV32+AW32</f>
        <v/>
      </c>
      <c r="AY32" s="80">
        <f>AY31+AX32</f>
        <v/>
      </c>
      <c r="AZ32" s="80">
        <f>AP32*(1-AO32)</f>
        <v/>
      </c>
      <c r="BB32" s="81">
        <f>(1-Products!$G$41)^$A32</f>
        <v/>
      </c>
      <c r="BC32" s="80">
        <f>IF(AND($A32&gt;=1,$A32&lt;=Products!$G$16),Products!$G$33,0)</f>
        <v/>
      </c>
      <c r="BD32" s="80">
        <f>BC32*Products!$G$42*BB32</f>
        <v/>
      </c>
      <c r="BE32" s="80">
        <f>BC32-BD32</f>
        <v/>
      </c>
      <c r="BF32" s="80">
        <f>(1-BB32)*MAX(0,Products!$G$16-$A32)*(Products!$G$33-Products!$G$35/Products!$G$16)</f>
        <v/>
      </c>
      <c r="BG32" s="81">
        <f>IF($A32&lt;=Products!$G$16,BB32,0)</f>
        <v/>
      </c>
      <c r="BH32" s="81">
        <f>IF(AND($A32&gt;=1,$A32&lt;=Products!$G$16),BB31-BB32,0)</f>
        <v/>
      </c>
      <c r="BI32" s="80">
        <f>IF(AND($A32-Inputs!$C$31&gt;=1,$A32-Inputs!$C$31&lt;=Products!$G$16),INDEX(Curves!$BH$8:$BH$68,$A32-Inputs!$C$31+1),0)*Products!$G$27*Products!$G$28*Products!$G$13*(1-Credit_Assumptions!$C$15)</f>
        <v/>
      </c>
      <c r="BJ32" s="80">
        <f>IF($A32=Inputs!$C$33,Products!$G$30*Inputs!$C$10*Inputs!$C$32,0)</f>
        <v/>
      </c>
      <c r="BK32" s="80">
        <f>BD32*(1-Inputs!$C$24)-Inputs!$C$25*BG32+BI32+BJ32</f>
        <v/>
      </c>
      <c r="BL32" s="80">
        <f>BL31+BK32</f>
        <v/>
      </c>
      <c r="BM32" s="80">
        <f>BC32*(1-BB32)</f>
        <v/>
      </c>
    </row>
    <row r="33">
      <c r="A33" s="23" t="n">
        <v>25</v>
      </c>
      <c r="B33" s="81">
        <f>(1-Products!$C$41)^$A33</f>
        <v/>
      </c>
      <c r="C33" s="80">
        <f>IF(AND($A33&gt;=1,$A33&lt;=Products!$C$16),Products!$C$33,0)</f>
        <v/>
      </c>
      <c r="D33" s="80">
        <f>C33*Products!$C$42*B33</f>
        <v/>
      </c>
      <c r="E33" s="80">
        <f>C33-D33</f>
        <v/>
      </c>
      <c r="F33" s="80">
        <f>(1-B33)*MAX(0,Products!$C$16-$A33)*(Products!$C$33-Products!$C$35/Products!$C$16)</f>
        <v/>
      </c>
      <c r="G33" s="81">
        <f>IF($A33&lt;=Products!$C$16,B33,0)</f>
        <v/>
      </c>
      <c r="H33" s="81">
        <f>IF(AND($A33&gt;=1,$A33&lt;=Products!$C$16),B32-B33,0)</f>
        <v/>
      </c>
      <c r="I33" s="80">
        <f>IF(AND($A33-Inputs!$C$31&gt;=1,$A33-Inputs!$C$31&lt;=Products!$C$16),INDEX(Curves!$H$8:$H$68,$A33-Inputs!$C$31+1),0)*Products!$C$27*Products!$C$28*Products!$C$13*(1-Credit_Assumptions!$C$15)</f>
        <v/>
      </c>
      <c r="J33" s="80">
        <f>IF($A33=Inputs!$C$33,Products!$C$30*Inputs!$C$10*Inputs!$C$32,0)</f>
        <v/>
      </c>
      <c r="K33" s="80">
        <f>D33*(1-Inputs!$C$24)-Inputs!$C$25*G33+I33+J33</f>
        <v/>
      </c>
      <c r="L33" s="80">
        <f>L32+K33</f>
        <v/>
      </c>
      <c r="M33" s="80">
        <f>C33*(1-B33)</f>
        <v/>
      </c>
      <c r="O33" s="81">
        <f>(1-Products!$D$41)^$A33</f>
        <v/>
      </c>
      <c r="P33" s="80">
        <f>IF(AND($A33&gt;=1,$A33&lt;=Products!$D$16),Products!$D$33,0)</f>
        <v/>
      </c>
      <c r="Q33" s="80">
        <f>P33*Products!$D$42*O33</f>
        <v/>
      </c>
      <c r="R33" s="80">
        <f>P33-Q33</f>
        <v/>
      </c>
      <c r="S33" s="80">
        <f>(1-O33)*MAX(0,Products!$D$16-$A33)*(Products!$D$33-Products!$D$35/Products!$D$16)</f>
        <v/>
      </c>
      <c r="T33" s="81">
        <f>IF($A33&lt;=Products!$D$16,O33,0)</f>
        <v/>
      </c>
      <c r="U33" s="81">
        <f>IF(AND($A33&gt;=1,$A33&lt;=Products!$D$16),O32-O33,0)</f>
        <v/>
      </c>
      <c r="V33" s="80">
        <f>IF(AND($A33-Inputs!$C$31&gt;=1,$A33-Inputs!$C$31&lt;=Products!$D$16),INDEX(Curves!$U$8:$U$68,$A33-Inputs!$C$31+1),0)*Products!$D$27*Products!$D$28*Products!$D$13*(1-Credit_Assumptions!$C$15)</f>
        <v/>
      </c>
      <c r="W33" s="80">
        <f>IF($A33=Inputs!$C$33,Products!$D$30*Inputs!$C$10*Inputs!$C$32,0)</f>
        <v/>
      </c>
      <c r="X33" s="80">
        <f>Q33*(1-Inputs!$C$24)-Inputs!$C$25*T33+V33+W33</f>
        <v/>
      </c>
      <c r="Y33" s="80">
        <f>Y32+X33</f>
        <v/>
      </c>
      <c r="Z33" s="80">
        <f>P33*(1-O33)</f>
        <v/>
      </c>
      <c r="AB33" s="81">
        <f>(1-Products!$E$41)^$A33</f>
        <v/>
      </c>
      <c r="AC33" s="80">
        <f>IF(AND($A33&gt;=1,$A33&lt;=Products!$E$16),Products!$E$33,0)</f>
        <v/>
      </c>
      <c r="AD33" s="80">
        <f>AC33*Products!$E$42*AB33</f>
        <v/>
      </c>
      <c r="AE33" s="80">
        <f>AC33-AD33</f>
        <v/>
      </c>
      <c r="AF33" s="80">
        <f>(1-AB33)*MAX(0,Products!$E$16-$A33)*(Products!$E$33-Products!$E$35/Products!$E$16)</f>
        <v/>
      </c>
      <c r="AG33" s="81">
        <f>IF($A33&lt;=Products!$E$16,AB33,0)</f>
        <v/>
      </c>
      <c r="AH33" s="81">
        <f>IF(AND($A33&gt;=1,$A33&lt;=Products!$E$16),AB32-AB33,0)</f>
        <v/>
      </c>
      <c r="AI33" s="80">
        <f>IF(AND($A33-Inputs!$C$31&gt;=1,$A33-Inputs!$C$31&lt;=Products!$E$16),INDEX(Curves!$AH$8:$AH$68,$A33-Inputs!$C$31+1),0)*Products!$E$27*Products!$E$28*Products!$E$13*(1-Credit_Assumptions!$C$15)</f>
        <v/>
      </c>
      <c r="AJ33" s="80">
        <f>IF($A33=Inputs!$C$33,Products!$E$30*Inputs!$C$10*Inputs!$C$32,0)</f>
        <v/>
      </c>
      <c r="AK33" s="80">
        <f>AD33*(1-Inputs!$C$24)-Inputs!$C$25*AG33+AI33+AJ33</f>
        <v/>
      </c>
      <c r="AL33" s="80">
        <f>AL32+AK33</f>
        <v/>
      </c>
      <c r="AM33" s="80">
        <f>AC33*(1-AB33)</f>
        <v/>
      </c>
      <c r="AO33" s="81">
        <f>(1-Products!$F$41)^$A33</f>
        <v/>
      </c>
      <c r="AP33" s="80">
        <f>IF(AND($A33&gt;=1,$A33&lt;=Products!$F$16),Products!$F$33,0)</f>
        <v/>
      </c>
      <c r="AQ33" s="80">
        <f>AP33*Products!$F$42*AO33</f>
        <v/>
      </c>
      <c r="AR33" s="80">
        <f>AP33-AQ33</f>
        <v/>
      </c>
      <c r="AS33" s="80">
        <f>(1-AO33)*MAX(0,Products!$F$16-$A33)*(Products!$F$33-Products!$F$35/Products!$F$16)</f>
        <v/>
      </c>
      <c r="AT33" s="81">
        <f>IF($A33&lt;=Products!$F$16,AO33,0)</f>
        <v/>
      </c>
      <c r="AU33" s="81">
        <f>IF(AND($A33&gt;=1,$A33&lt;=Products!$F$16),AO32-AO33,0)</f>
        <v/>
      </c>
      <c r="AV33" s="80">
        <f>IF(AND($A33-Inputs!$C$31&gt;=1,$A33-Inputs!$C$31&lt;=Products!$F$16),INDEX(Curves!$AU$8:$AU$68,$A33-Inputs!$C$31+1),0)*Products!$F$27*Products!$F$28*Products!$F$13*(1-Credit_Assumptions!$C$15)</f>
        <v/>
      </c>
      <c r="AW33" s="80">
        <f>IF($A33=Inputs!$C$33,Products!$F$30*Inputs!$C$10*Inputs!$C$32,0)</f>
        <v/>
      </c>
      <c r="AX33" s="80">
        <f>AQ33*(1-Inputs!$C$24)-Inputs!$C$25*AT33+AV33+AW33</f>
        <v/>
      </c>
      <c r="AY33" s="80">
        <f>AY32+AX33</f>
        <v/>
      </c>
      <c r="AZ33" s="80">
        <f>AP33*(1-AO33)</f>
        <v/>
      </c>
      <c r="BB33" s="81">
        <f>(1-Products!$G$41)^$A33</f>
        <v/>
      </c>
      <c r="BC33" s="80">
        <f>IF(AND($A33&gt;=1,$A33&lt;=Products!$G$16),Products!$G$33,0)</f>
        <v/>
      </c>
      <c r="BD33" s="80">
        <f>BC33*Products!$G$42*BB33</f>
        <v/>
      </c>
      <c r="BE33" s="80">
        <f>BC33-BD33</f>
        <v/>
      </c>
      <c r="BF33" s="80">
        <f>(1-BB33)*MAX(0,Products!$G$16-$A33)*(Products!$G$33-Products!$G$35/Products!$G$16)</f>
        <v/>
      </c>
      <c r="BG33" s="81">
        <f>IF($A33&lt;=Products!$G$16,BB33,0)</f>
        <v/>
      </c>
      <c r="BH33" s="81">
        <f>IF(AND($A33&gt;=1,$A33&lt;=Products!$G$16),BB32-BB33,0)</f>
        <v/>
      </c>
      <c r="BI33" s="80">
        <f>IF(AND($A33-Inputs!$C$31&gt;=1,$A33-Inputs!$C$31&lt;=Products!$G$16),INDEX(Curves!$BH$8:$BH$68,$A33-Inputs!$C$31+1),0)*Products!$G$27*Products!$G$28*Products!$G$13*(1-Credit_Assumptions!$C$15)</f>
        <v/>
      </c>
      <c r="BJ33" s="80">
        <f>IF($A33=Inputs!$C$33,Products!$G$30*Inputs!$C$10*Inputs!$C$32,0)</f>
        <v/>
      </c>
      <c r="BK33" s="80">
        <f>BD33*(1-Inputs!$C$24)-Inputs!$C$25*BG33+BI33+BJ33</f>
        <v/>
      </c>
      <c r="BL33" s="80">
        <f>BL32+BK33</f>
        <v/>
      </c>
      <c r="BM33" s="80">
        <f>BC33*(1-BB33)</f>
        <v/>
      </c>
    </row>
    <row r="34">
      <c r="A34" s="23" t="n">
        <v>26</v>
      </c>
      <c r="B34" s="81">
        <f>(1-Products!$C$41)^$A34</f>
        <v/>
      </c>
      <c r="C34" s="80">
        <f>IF(AND($A34&gt;=1,$A34&lt;=Products!$C$16),Products!$C$33,0)</f>
        <v/>
      </c>
      <c r="D34" s="80">
        <f>C34*Products!$C$42*B34</f>
        <v/>
      </c>
      <c r="E34" s="80">
        <f>C34-D34</f>
        <v/>
      </c>
      <c r="F34" s="80">
        <f>(1-B34)*MAX(0,Products!$C$16-$A34)*(Products!$C$33-Products!$C$35/Products!$C$16)</f>
        <v/>
      </c>
      <c r="G34" s="81">
        <f>IF($A34&lt;=Products!$C$16,B34,0)</f>
        <v/>
      </c>
      <c r="H34" s="81">
        <f>IF(AND($A34&gt;=1,$A34&lt;=Products!$C$16),B33-B34,0)</f>
        <v/>
      </c>
      <c r="I34" s="80">
        <f>IF(AND($A34-Inputs!$C$31&gt;=1,$A34-Inputs!$C$31&lt;=Products!$C$16),INDEX(Curves!$H$8:$H$68,$A34-Inputs!$C$31+1),0)*Products!$C$27*Products!$C$28*Products!$C$13*(1-Credit_Assumptions!$C$15)</f>
        <v/>
      </c>
      <c r="J34" s="80">
        <f>IF($A34=Inputs!$C$33,Products!$C$30*Inputs!$C$10*Inputs!$C$32,0)</f>
        <v/>
      </c>
      <c r="K34" s="80">
        <f>D34*(1-Inputs!$C$24)-Inputs!$C$25*G34+I34+J34</f>
        <v/>
      </c>
      <c r="L34" s="80">
        <f>L33+K34</f>
        <v/>
      </c>
      <c r="M34" s="80">
        <f>C34*(1-B34)</f>
        <v/>
      </c>
      <c r="O34" s="81">
        <f>(1-Products!$D$41)^$A34</f>
        <v/>
      </c>
      <c r="P34" s="80">
        <f>IF(AND($A34&gt;=1,$A34&lt;=Products!$D$16),Products!$D$33,0)</f>
        <v/>
      </c>
      <c r="Q34" s="80">
        <f>P34*Products!$D$42*O34</f>
        <v/>
      </c>
      <c r="R34" s="80">
        <f>P34-Q34</f>
        <v/>
      </c>
      <c r="S34" s="80">
        <f>(1-O34)*MAX(0,Products!$D$16-$A34)*(Products!$D$33-Products!$D$35/Products!$D$16)</f>
        <v/>
      </c>
      <c r="T34" s="81">
        <f>IF($A34&lt;=Products!$D$16,O34,0)</f>
        <v/>
      </c>
      <c r="U34" s="81">
        <f>IF(AND($A34&gt;=1,$A34&lt;=Products!$D$16),O33-O34,0)</f>
        <v/>
      </c>
      <c r="V34" s="80">
        <f>IF(AND($A34-Inputs!$C$31&gt;=1,$A34-Inputs!$C$31&lt;=Products!$D$16),INDEX(Curves!$U$8:$U$68,$A34-Inputs!$C$31+1),0)*Products!$D$27*Products!$D$28*Products!$D$13*(1-Credit_Assumptions!$C$15)</f>
        <v/>
      </c>
      <c r="W34" s="80">
        <f>IF($A34=Inputs!$C$33,Products!$D$30*Inputs!$C$10*Inputs!$C$32,0)</f>
        <v/>
      </c>
      <c r="X34" s="80">
        <f>Q34*(1-Inputs!$C$24)-Inputs!$C$25*T34+V34+W34</f>
        <v/>
      </c>
      <c r="Y34" s="80">
        <f>Y33+X34</f>
        <v/>
      </c>
      <c r="Z34" s="80">
        <f>P34*(1-O34)</f>
        <v/>
      </c>
      <c r="AB34" s="81">
        <f>(1-Products!$E$41)^$A34</f>
        <v/>
      </c>
      <c r="AC34" s="80">
        <f>IF(AND($A34&gt;=1,$A34&lt;=Products!$E$16),Products!$E$33,0)</f>
        <v/>
      </c>
      <c r="AD34" s="80">
        <f>AC34*Products!$E$42*AB34</f>
        <v/>
      </c>
      <c r="AE34" s="80">
        <f>AC34-AD34</f>
        <v/>
      </c>
      <c r="AF34" s="80">
        <f>(1-AB34)*MAX(0,Products!$E$16-$A34)*(Products!$E$33-Products!$E$35/Products!$E$16)</f>
        <v/>
      </c>
      <c r="AG34" s="81">
        <f>IF($A34&lt;=Products!$E$16,AB34,0)</f>
        <v/>
      </c>
      <c r="AH34" s="81">
        <f>IF(AND($A34&gt;=1,$A34&lt;=Products!$E$16),AB33-AB34,0)</f>
        <v/>
      </c>
      <c r="AI34" s="80">
        <f>IF(AND($A34-Inputs!$C$31&gt;=1,$A34-Inputs!$C$31&lt;=Products!$E$16),INDEX(Curves!$AH$8:$AH$68,$A34-Inputs!$C$31+1),0)*Products!$E$27*Products!$E$28*Products!$E$13*(1-Credit_Assumptions!$C$15)</f>
        <v/>
      </c>
      <c r="AJ34" s="80">
        <f>IF($A34=Inputs!$C$33,Products!$E$30*Inputs!$C$10*Inputs!$C$32,0)</f>
        <v/>
      </c>
      <c r="AK34" s="80">
        <f>AD34*(1-Inputs!$C$24)-Inputs!$C$25*AG34+AI34+AJ34</f>
        <v/>
      </c>
      <c r="AL34" s="80">
        <f>AL33+AK34</f>
        <v/>
      </c>
      <c r="AM34" s="80">
        <f>AC34*(1-AB34)</f>
        <v/>
      </c>
      <c r="AO34" s="81">
        <f>(1-Products!$F$41)^$A34</f>
        <v/>
      </c>
      <c r="AP34" s="80">
        <f>IF(AND($A34&gt;=1,$A34&lt;=Products!$F$16),Products!$F$33,0)</f>
        <v/>
      </c>
      <c r="AQ34" s="80">
        <f>AP34*Products!$F$42*AO34</f>
        <v/>
      </c>
      <c r="AR34" s="80">
        <f>AP34-AQ34</f>
        <v/>
      </c>
      <c r="AS34" s="80">
        <f>(1-AO34)*MAX(0,Products!$F$16-$A34)*(Products!$F$33-Products!$F$35/Products!$F$16)</f>
        <v/>
      </c>
      <c r="AT34" s="81">
        <f>IF($A34&lt;=Products!$F$16,AO34,0)</f>
        <v/>
      </c>
      <c r="AU34" s="81">
        <f>IF(AND($A34&gt;=1,$A34&lt;=Products!$F$16),AO33-AO34,0)</f>
        <v/>
      </c>
      <c r="AV34" s="80">
        <f>IF(AND($A34-Inputs!$C$31&gt;=1,$A34-Inputs!$C$31&lt;=Products!$F$16),INDEX(Curves!$AU$8:$AU$68,$A34-Inputs!$C$31+1),0)*Products!$F$27*Products!$F$28*Products!$F$13*(1-Credit_Assumptions!$C$15)</f>
        <v/>
      </c>
      <c r="AW34" s="80">
        <f>IF($A34=Inputs!$C$33,Products!$F$30*Inputs!$C$10*Inputs!$C$32,0)</f>
        <v/>
      </c>
      <c r="AX34" s="80">
        <f>AQ34*(1-Inputs!$C$24)-Inputs!$C$25*AT34+AV34+AW34</f>
        <v/>
      </c>
      <c r="AY34" s="80">
        <f>AY33+AX34</f>
        <v/>
      </c>
      <c r="AZ34" s="80">
        <f>AP34*(1-AO34)</f>
        <v/>
      </c>
      <c r="BB34" s="81">
        <f>(1-Products!$G$41)^$A34</f>
        <v/>
      </c>
      <c r="BC34" s="80">
        <f>IF(AND($A34&gt;=1,$A34&lt;=Products!$G$16),Products!$G$33,0)</f>
        <v/>
      </c>
      <c r="BD34" s="80">
        <f>BC34*Products!$G$42*BB34</f>
        <v/>
      </c>
      <c r="BE34" s="80">
        <f>BC34-BD34</f>
        <v/>
      </c>
      <c r="BF34" s="80">
        <f>(1-BB34)*MAX(0,Products!$G$16-$A34)*(Products!$G$33-Products!$G$35/Products!$G$16)</f>
        <v/>
      </c>
      <c r="BG34" s="81">
        <f>IF($A34&lt;=Products!$G$16,BB34,0)</f>
        <v/>
      </c>
      <c r="BH34" s="81">
        <f>IF(AND($A34&gt;=1,$A34&lt;=Products!$G$16),BB33-BB34,0)</f>
        <v/>
      </c>
      <c r="BI34" s="80">
        <f>IF(AND($A34-Inputs!$C$31&gt;=1,$A34-Inputs!$C$31&lt;=Products!$G$16),INDEX(Curves!$BH$8:$BH$68,$A34-Inputs!$C$31+1),0)*Products!$G$27*Products!$G$28*Products!$G$13*(1-Credit_Assumptions!$C$15)</f>
        <v/>
      </c>
      <c r="BJ34" s="80">
        <f>IF($A34=Inputs!$C$33,Products!$G$30*Inputs!$C$10*Inputs!$C$32,0)</f>
        <v/>
      </c>
      <c r="BK34" s="80">
        <f>BD34*(1-Inputs!$C$24)-Inputs!$C$25*BG34+BI34+BJ34</f>
        <v/>
      </c>
      <c r="BL34" s="80">
        <f>BL33+BK34</f>
        <v/>
      </c>
      <c r="BM34" s="80">
        <f>BC34*(1-BB34)</f>
        <v/>
      </c>
    </row>
    <row r="35">
      <c r="A35" s="23" t="n">
        <v>27</v>
      </c>
      <c r="B35" s="81">
        <f>(1-Products!$C$41)^$A35</f>
        <v/>
      </c>
      <c r="C35" s="80">
        <f>IF(AND($A35&gt;=1,$A35&lt;=Products!$C$16),Products!$C$33,0)</f>
        <v/>
      </c>
      <c r="D35" s="80">
        <f>C35*Products!$C$42*B35</f>
        <v/>
      </c>
      <c r="E35" s="80">
        <f>C35-D35</f>
        <v/>
      </c>
      <c r="F35" s="80">
        <f>(1-B35)*MAX(0,Products!$C$16-$A35)*(Products!$C$33-Products!$C$35/Products!$C$16)</f>
        <v/>
      </c>
      <c r="G35" s="81">
        <f>IF($A35&lt;=Products!$C$16,B35,0)</f>
        <v/>
      </c>
      <c r="H35" s="81">
        <f>IF(AND($A35&gt;=1,$A35&lt;=Products!$C$16),B34-B35,0)</f>
        <v/>
      </c>
      <c r="I35" s="80">
        <f>IF(AND($A35-Inputs!$C$31&gt;=1,$A35-Inputs!$C$31&lt;=Products!$C$16),INDEX(Curves!$H$8:$H$68,$A35-Inputs!$C$31+1),0)*Products!$C$27*Products!$C$28*Products!$C$13*(1-Credit_Assumptions!$C$15)</f>
        <v/>
      </c>
      <c r="J35" s="80">
        <f>IF($A35=Inputs!$C$33,Products!$C$30*Inputs!$C$10*Inputs!$C$32,0)</f>
        <v/>
      </c>
      <c r="K35" s="80">
        <f>D35*(1-Inputs!$C$24)-Inputs!$C$25*G35+I35+J35</f>
        <v/>
      </c>
      <c r="L35" s="80">
        <f>L34+K35</f>
        <v/>
      </c>
      <c r="M35" s="80">
        <f>C35*(1-B35)</f>
        <v/>
      </c>
      <c r="O35" s="81">
        <f>(1-Products!$D$41)^$A35</f>
        <v/>
      </c>
      <c r="P35" s="80">
        <f>IF(AND($A35&gt;=1,$A35&lt;=Products!$D$16),Products!$D$33,0)</f>
        <v/>
      </c>
      <c r="Q35" s="80">
        <f>P35*Products!$D$42*O35</f>
        <v/>
      </c>
      <c r="R35" s="80">
        <f>P35-Q35</f>
        <v/>
      </c>
      <c r="S35" s="80">
        <f>(1-O35)*MAX(0,Products!$D$16-$A35)*(Products!$D$33-Products!$D$35/Products!$D$16)</f>
        <v/>
      </c>
      <c r="T35" s="81">
        <f>IF($A35&lt;=Products!$D$16,O35,0)</f>
        <v/>
      </c>
      <c r="U35" s="81">
        <f>IF(AND($A35&gt;=1,$A35&lt;=Products!$D$16),O34-O35,0)</f>
        <v/>
      </c>
      <c r="V35" s="80">
        <f>IF(AND($A35-Inputs!$C$31&gt;=1,$A35-Inputs!$C$31&lt;=Products!$D$16),INDEX(Curves!$U$8:$U$68,$A35-Inputs!$C$31+1),0)*Products!$D$27*Products!$D$28*Products!$D$13*(1-Credit_Assumptions!$C$15)</f>
        <v/>
      </c>
      <c r="W35" s="80">
        <f>IF($A35=Inputs!$C$33,Products!$D$30*Inputs!$C$10*Inputs!$C$32,0)</f>
        <v/>
      </c>
      <c r="X35" s="80">
        <f>Q35*(1-Inputs!$C$24)-Inputs!$C$25*T35+V35+W35</f>
        <v/>
      </c>
      <c r="Y35" s="80">
        <f>Y34+X35</f>
        <v/>
      </c>
      <c r="Z35" s="80">
        <f>P35*(1-O35)</f>
        <v/>
      </c>
      <c r="AB35" s="81">
        <f>(1-Products!$E$41)^$A35</f>
        <v/>
      </c>
      <c r="AC35" s="80">
        <f>IF(AND($A35&gt;=1,$A35&lt;=Products!$E$16),Products!$E$33,0)</f>
        <v/>
      </c>
      <c r="AD35" s="80">
        <f>AC35*Products!$E$42*AB35</f>
        <v/>
      </c>
      <c r="AE35" s="80">
        <f>AC35-AD35</f>
        <v/>
      </c>
      <c r="AF35" s="80">
        <f>(1-AB35)*MAX(0,Products!$E$16-$A35)*(Products!$E$33-Products!$E$35/Products!$E$16)</f>
        <v/>
      </c>
      <c r="AG35" s="81">
        <f>IF($A35&lt;=Products!$E$16,AB35,0)</f>
        <v/>
      </c>
      <c r="AH35" s="81">
        <f>IF(AND($A35&gt;=1,$A35&lt;=Products!$E$16),AB34-AB35,0)</f>
        <v/>
      </c>
      <c r="AI35" s="80">
        <f>IF(AND($A35-Inputs!$C$31&gt;=1,$A35-Inputs!$C$31&lt;=Products!$E$16),INDEX(Curves!$AH$8:$AH$68,$A35-Inputs!$C$31+1),0)*Products!$E$27*Products!$E$28*Products!$E$13*(1-Credit_Assumptions!$C$15)</f>
        <v/>
      </c>
      <c r="AJ35" s="80">
        <f>IF($A35=Inputs!$C$33,Products!$E$30*Inputs!$C$10*Inputs!$C$32,0)</f>
        <v/>
      </c>
      <c r="AK35" s="80">
        <f>AD35*(1-Inputs!$C$24)-Inputs!$C$25*AG35+AI35+AJ35</f>
        <v/>
      </c>
      <c r="AL35" s="80">
        <f>AL34+AK35</f>
        <v/>
      </c>
      <c r="AM35" s="80">
        <f>AC35*(1-AB35)</f>
        <v/>
      </c>
      <c r="AO35" s="81">
        <f>(1-Products!$F$41)^$A35</f>
        <v/>
      </c>
      <c r="AP35" s="80">
        <f>IF(AND($A35&gt;=1,$A35&lt;=Products!$F$16),Products!$F$33,0)</f>
        <v/>
      </c>
      <c r="AQ35" s="80">
        <f>AP35*Products!$F$42*AO35</f>
        <v/>
      </c>
      <c r="AR35" s="80">
        <f>AP35-AQ35</f>
        <v/>
      </c>
      <c r="AS35" s="80">
        <f>(1-AO35)*MAX(0,Products!$F$16-$A35)*(Products!$F$33-Products!$F$35/Products!$F$16)</f>
        <v/>
      </c>
      <c r="AT35" s="81">
        <f>IF($A35&lt;=Products!$F$16,AO35,0)</f>
        <v/>
      </c>
      <c r="AU35" s="81">
        <f>IF(AND($A35&gt;=1,$A35&lt;=Products!$F$16),AO34-AO35,0)</f>
        <v/>
      </c>
      <c r="AV35" s="80">
        <f>IF(AND($A35-Inputs!$C$31&gt;=1,$A35-Inputs!$C$31&lt;=Products!$F$16),INDEX(Curves!$AU$8:$AU$68,$A35-Inputs!$C$31+1),0)*Products!$F$27*Products!$F$28*Products!$F$13*(1-Credit_Assumptions!$C$15)</f>
        <v/>
      </c>
      <c r="AW35" s="80">
        <f>IF($A35=Inputs!$C$33,Products!$F$30*Inputs!$C$10*Inputs!$C$32,0)</f>
        <v/>
      </c>
      <c r="AX35" s="80">
        <f>AQ35*(1-Inputs!$C$24)-Inputs!$C$25*AT35+AV35+AW35</f>
        <v/>
      </c>
      <c r="AY35" s="80">
        <f>AY34+AX35</f>
        <v/>
      </c>
      <c r="AZ35" s="80">
        <f>AP35*(1-AO35)</f>
        <v/>
      </c>
      <c r="BB35" s="81">
        <f>(1-Products!$G$41)^$A35</f>
        <v/>
      </c>
      <c r="BC35" s="80">
        <f>IF(AND($A35&gt;=1,$A35&lt;=Products!$G$16),Products!$G$33,0)</f>
        <v/>
      </c>
      <c r="BD35" s="80">
        <f>BC35*Products!$G$42*BB35</f>
        <v/>
      </c>
      <c r="BE35" s="80">
        <f>BC35-BD35</f>
        <v/>
      </c>
      <c r="BF35" s="80">
        <f>(1-BB35)*MAX(0,Products!$G$16-$A35)*(Products!$G$33-Products!$G$35/Products!$G$16)</f>
        <v/>
      </c>
      <c r="BG35" s="81">
        <f>IF($A35&lt;=Products!$G$16,BB35,0)</f>
        <v/>
      </c>
      <c r="BH35" s="81">
        <f>IF(AND($A35&gt;=1,$A35&lt;=Products!$G$16),BB34-BB35,0)</f>
        <v/>
      </c>
      <c r="BI35" s="80">
        <f>IF(AND($A35-Inputs!$C$31&gt;=1,$A35-Inputs!$C$31&lt;=Products!$G$16),INDEX(Curves!$BH$8:$BH$68,$A35-Inputs!$C$31+1),0)*Products!$G$27*Products!$G$28*Products!$G$13*(1-Credit_Assumptions!$C$15)</f>
        <v/>
      </c>
      <c r="BJ35" s="80">
        <f>IF($A35=Inputs!$C$33,Products!$G$30*Inputs!$C$10*Inputs!$C$32,0)</f>
        <v/>
      </c>
      <c r="BK35" s="80">
        <f>BD35*(1-Inputs!$C$24)-Inputs!$C$25*BG35+BI35+BJ35</f>
        <v/>
      </c>
      <c r="BL35" s="80">
        <f>BL34+BK35</f>
        <v/>
      </c>
      <c r="BM35" s="80">
        <f>BC35*(1-BB35)</f>
        <v/>
      </c>
    </row>
    <row r="36">
      <c r="A36" s="23" t="n">
        <v>28</v>
      </c>
      <c r="B36" s="81">
        <f>(1-Products!$C$41)^$A36</f>
        <v/>
      </c>
      <c r="C36" s="80">
        <f>IF(AND($A36&gt;=1,$A36&lt;=Products!$C$16),Products!$C$33,0)</f>
        <v/>
      </c>
      <c r="D36" s="80">
        <f>C36*Products!$C$42*B36</f>
        <v/>
      </c>
      <c r="E36" s="80">
        <f>C36-D36</f>
        <v/>
      </c>
      <c r="F36" s="80">
        <f>(1-B36)*MAX(0,Products!$C$16-$A36)*(Products!$C$33-Products!$C$35/Products!$C$16)</f>
        <v/>
      </c>
      <c r="G36" s="81">
        <f>IF($A36&lt;=Products!$C$16,B36,0)</f>
        <v/>
      </c>
      <c r="H36" s="81">
        <f>IF(AND($A36&gt;=1,$A36&lt;=Products!$C$16),B35-B36,0)</f>
        <v/>
      </c>
      <c r="I36" s="80">
        <f>IF(AND($A36-Inputs!$C$31&gt;=1,$A36-Inputs!$C$31&lt;=Products!$C$16),INDEX(Curves!$H$8:$H$68,$A36-Inputs!$C$31+1),0)*Products!$C$27*Products!$C$28*Products!$C$13*(1-Credit_Assumptions!$C$15)</f>
        <v/>
      </c>
      <c r="J36" s="80">
        <f>IF($A36=Inputs!$C$33,Products!$C$30*Inputs!$C$10*Inputs!$C$32,0)</f>
        <v/>
      </c>
      <c r="K36" s="80">
        <f>D36*(1-Inputs!$C$24)-Inputs!$C$25*G36+I36+J36</f>
        <v/>
      </c>
      <c r="L36" s="80">
        <f>L35+K36</f>
        <v/>
      </c>
      <c r="M36" s="80">
        <f>C36*(1-B36)</f>
        <v/>
      </c>
      <c r="O36" s="81">
        <f>(1-Products!$D$41)^$A36</f>
        <v/>
      </c>
      <c r="P36" s="80">
        <f>IF(AND($A36&gt;=1,$A36&lt;=Products!$D$16),Products!$D$33,0)</f>
        <v/>
      </c>
      <c r="Q36" s="80">
        <f>P36*Products!$D$42*O36</f>
        <v/>
      </c>
      <c r="R36" s="80">
        <f>P36-Q36</f>
        <v/>
      </c>
      <c r="S36" s="80">
        <f>(1-O36)*MAX(0,Products!$D$16-$A36)*(Products!$D$33-Products!$D$35/Products!$D$16)</f>
        <v/>
      </c>
      <c r="T36" s="81">
        <f>IF($A36&lt;=Products!$D$16,O36,0)</f>
        <v/>
      </c>
      <c r="U36" s="81">
        <f>IF(AND($A36&gt;=1,$A36&lt;=Products!$D$16),O35-O36,0)</f>
        <v/>
      </c>
      <c r="V36" s="80">
        <f>IF(AND($A36-Inputs!$C$31&gt;=1,$A36-Inputs!$C$31&lt;=Products!$D$16),INDEX(Curves!$U$8:$U$68,$A36-Inputs!$C$31+1),0)*Products!$D$27*Products!$D$28*Products!$D$13*(1-Credit_Assumptions!$C$15)</f>
        <v/>
      </c>
      <c r="W36" s="80">
        <f>IF($A36=Inputs!$C$33,Products!$D$30*Inputs!$C$10*Inputs!$C$32,0)</f>
        <v/>
      </c>
      <c r="X36" s="80">
        <f>Q36*(1-Inputs!$C$24)-Inputs!$C$25*T36+V36+W36</f>
        <v/>
      </c>
      <c r="Y36" s="80">
        <f>Y35+X36</f>
        <v/>
      </c>
      <c r="Z36" s="80">
        <f>P36*(1-O36)</f>
        <v/>
      </c>
      <c r="AB36" s="81">
        <f>(1-Products!$E$41)^$A36</f>
        <v/>
      </c>
      <c r="AC36" s="80">
        <f>IF(AND($A36&gt;=1,$A36&lt;=Products!$E$16),Products!$E$33,0)</f>
        <v/>
      </c>
      <c r="AD36" s="80">
        <f>AC36*Products!$E$42*AB36</f>
        <v/>
      </c>
      <c r="AE36" s="80">
        <f>AC36-AD36</f>
        <v/>
      </c>
      <c r="AF36" s="80">
        <f>(1-AB36)*MAX(0,Products!$E$16-$A36)*(Products!$E$33-Products!$E$35/Products!$E$16)</f>
        <v/>
      </c>
      <c r="AG36" s="81">
        <f>IF($A36&lt;=Products!$E$16,AB36,0)</f>
        <v/>
      </c>
      <c r="AH36" s="81">
        <f>IF(AND($A36&gt;=1,$A36&lt;=Products!$E$16),AB35-AB36,0)</f>
        <v/>
      </c>
      <c r="AI36" s="80">
        <f>IF(AND($A36-Inputs!$C$31&gt;=1,$A36-Inputs!$C$31&lt;=Products!$E$16),INDEX(Curves!$AH$8:$AH$68,$A36-Inputs!$C$31+1),0)*Products!$E$27*Products!$E$28*Products!$E$13*(1-Credit_Assumptions!$C$15)</f>
        <v/>
      </c>
      <c r="AJ36" s="80">
        <f>IF($A36=Inputs!$C$33,Products!$E$30*Inputs!$C$10*Inputs!$C$32,0)</f>
        <v/>
      </c>
      <c r="AK36" s="80">
        <f>AD36*(1-Inputs!$C$24)-Inputs!$C$25*AG36+AI36+AJ36</f>
        <v/>
      </c>
      <c r="AL36" s="80">
        <f>AL35+AK36</f>
        <v/>
      </c>
      <c r="AM36" s="80">
        <f>AC36*(1-AB36)</f>
        <v/>
      </c>
      <c r="AO36" s="81">
        <f>(1-Products!$F$41)^$A36</f>
        <v/>
      </c>
      <c r="AP36" s="80">
        <f>IF(AND($A36&gt;=1,$A36&lt;=Products!$F$16),Products!$F$33,0)</f>
        <v/>
      </c>
      <c r="AQ36" s="80">
        <f>AP36*Products!$F$42*AO36</f>
        <v/>
      </c>
      <c r="AR36" s="80">
        <f>AP36-AQ36</f>
        <v/>
      </c>
      <c r="AS36" s="80">
        <f>(1-AO36)*MAX(0,Products!$F$16-$A36)*(Products!$F$33-Products!$F$35/Products!$F$16)</f>
        <v/>
      </c>
      <c r="AT36" s="81">
        <f>IF($A36&lt;=Products!$F$16,AO36,0)</f>
        <v/>
      </c>
      <c r="AU36" s="81">
        <f>IF(AND($A36&gt;=1,$A36&lt;=Products!$F$16),AO35-AO36,0)</f>
        <v/>
      </c>
      <c r="AV36" s="80">
        <f>IF(AND($A36-Inputs!$C$31&gt;=1,$A36-Inputs!$C$31&lt;=Products!$F$16),INDEX(Curves!$AU$8:$AU$68,$A36-Inputs!$C$31+1),0)*Products!$F$27*Products!$F$28*Products!$F$13*(1-Credit_Assumptions!$C$15)</f>
        <v/>
      </c>
      <c r="AW36" s="80">
        <f>IF($A36=Inputs!$C$33,Products!$F$30*Inputs!$C$10*Inputs!$C$32,0)</f>
        <v/>
      </c>
      <c r="AX36" s="80">
        <f>AQ36*(1-Inputs!$C$24)-Inputs!$C$25*AT36+AV36+AW36</f>
        <v/>
      </c>
      <c r="AY36" s="80">
        <f>AY35+AX36</f>
        <v/>
      </c>
      <c r="AZ36" s="80">
        <f>AP36*(1-AO36)</f>
        <v/>
      </c>
      <c r="BB36" s="81">
        <f>(1-Products!$G$41)^$A36</f>
        <v/>
      </c>
      <c r="BC36" s="80">
        <f>IF(AND($A36&gt;=1,$A36&lt;=Products!$G$16),Products!$G$33,0)</f>
        <v/>
      </c>
      <c r="BD36" s="80">
        <f>BC36*Products!$G$42*BB36</f>
        <v/>
      </c>
      <c r="BE36" s="80">
        <f>BC36-BD36</f>
        <v/>
      </c>
      <c r="BF36" s="80">
        <f>(1-BB36)*MAX(0,Products!$G$16-$A36)*(Products!$G$33-Products!$G$35/Products!$G$16)</f>
        <v/>
      </c>
      <c r="BG36" s="81">
        <f>IF($A36&lt;=Products!$G$16,BB36,0)</f>
        <v/>
      </c>
      <c r="BH36" s="81">
        <f>IF(AND($A36&gt;=1,$A36&lt;=Products!$G$16),BB35-BB36,0)</f>
        <v/>
      </c>
      <c r="BI36" s="80">
        <f>IF(AND($A36-Inputs!$C$31&gt;=1,$A36-Inputs!$C$31&lt;=Products!$G$16),INDEX(Curves!$BH$8:$BH$68,$A36-Inputs!$C$31+1),0)*Products!$G$27*Products!$G$28*Products!$G$13*(1-Credit_Assumptions!$C$15)</f>
        <v/>
      </c>
      <c r="BJ36" s="80">
        <f>IF($A36=Inputs!$C$33,Products!$G$30*Inputs!$C$10*Inputs!$C$32,0)</f>
        <v/>
      </c>
      <c r="BK36" s="80">
        <f>BD36*(1-Inputs!$C$24)-Inputs!$C$25*BG36+BI36+BJ36</f>
        <v/>
      </c>
      <c r="BL36" s="80">
        <f>BL35+BK36</f>
        <v/>
      </c>
      <c r="BM36" s="80">
        <f>BC36*(1-BB36)</f>
        <v/>
      </c>
    </row>
    <row r="37">
      <c r="A37" s="23" t="n">
        <v>29</v>
      </c>
      <c r="B37" s="81">
        <f>(1-Products!$C$41)^$A37</f>
        <v/>
      </c>
      <c r="C37" s="80">
        <f>IF(AND($A37&gt;=1,$A37&lt;=Products!$C$16),Products!$C$33,0)</f>
        <v/>
      </c>
      <c r="D37" s="80">
        <f>C37*Products!$C$42*B37</f>
        <v/>
      </c>
      <c r="E37" s="80">
        <f>C37-D37</f>
        <v/>
      </c>
      <c r="F37" s="80">
        <f>(1-B37)*MAX(0,Products!$C$16-$A37)*(Products!$C$33-Products!$C$35/Products!$C$16)</f>
        <v/>
      </c>
      <c r="G37" s="81">
        <f>IF($A37&lt;=Products!$C$16,B37,0)</f>
        <v/>
      </c>
      <c r="H37" s="81">
        <f>IF(AND($A37&gt;=1,$A37&lt;=Products!$C$16),B36-B37,0)</f>
        <v/>
      </c>
      <c r="I37" s="80">
        <f>IF(AND($A37-Inputs!$C$31&gt;=1,$A37-Inputs!$C$31&lt;=Products!$C$16),INDEX(Curves!$H$8:$H$68,$A37-Inputs!$C$31+1),0)*Products!$C$27*Products!$C$28*Products!$C$13*(1-Credit_Assumptions!$C$15)</f>
        <v/>
      </c>
      <c r="J37" s="80">
        <f>IF($A37=Inputs!$C$33,Products!$C$30*Inputs!$C$10*Inputs!$C$32,0)</f>
        <v/>
      </c>
      <c r="K37" s="80">
        <f>D37*(1-Inputs!$C$24)-Inputs!$C$25*G37+I37+J37</f>
        <v/>
      </c>
      <c r="L37" s="80">
        <f>L36+K37</f>
        <v/>
      </c>
      <c r="M37" s="80">
        <f>C37*(1-B37)</f>
        <v/>
      </c>
      <c r="O37" s="81">
        <f>(1-Products!$D$41)^$A37</f>
        <v/>
      </c>
      <c r="P37" s="80">
        <f>IF(AND($A37&gt;=1,$A37&lt;=Products!$D$16),Products!$D$33,0)</f>
        <v/>
      </c>
      <c r="Q37" s="80">
        <f>P37*Products!$D$42*O37</f>
        <v/>
      </c>
      <c r="R37" s="80">
        <f>P37-Q37</f>
        <v/>
      </c>
      <c r="S37" s="80">
        <f>(1-O37)*MAX(0,Products!$D$16-$A37)*(Products!$D$33-Products!$D$35/Products!$D$16)</f>
        <v/>
      </c>
      <c r="T37" s="81">
        <f>IF($A37&lt;=Products!$D$16,O37,0)</f>
        <v/>
      </c>
      <c r="U37" s="81">
        <f>IF(AND($A37&gt;=1,$A37&lt;=Products!$D$16),O36-O37,0)</f>
        <v/>
      </c>
      <c r="V37" s="80">
        <f>IF(AND($A37-Inputs!$C$31&gt;=1,$A37-Inputs!$C$31&lt;=Products!$D$16),INDEX(Curves!$U$8:$U$68,$A37-Inputs!$C$31+1),0)*Products!$D$27*Products!$D$28*Products!$D$13*(1-Credit_Assumptions!$C$15)</f>
        <v/>
      </c>
      <c r="W37" s="80">
        <f>IF($A37=Inputs!$C$33,Products!$D$30*Inputs!$C$10*Inputs!$C$32,0)</f>
        <v/>
      </c>
      <c r="X37" s="80">
        <f>Q37*(1-Inputs!$C$24)-Inputs!$C$25*T37+V37+W37</f>
        <v/>
      </c>
      <c r="Y37" s="80">
        <f>Y36+X37</f>
        <v/>
      </c>
      <c r="Z37" s="80">
        <f>P37*(1-O37)</f>
        <v/>
      </c>
      <c r="AB37" s="81">
        <f>(1-Products!$E$41)^$A37</f>
        <v/>
      </c>
      <c r="AC37" s="80">
        <f>IF(AND($A37&gt;=1,$A37&lt;=Products!$E$16),Products!$E$33,0)</f>
        <v/>
      </c>
      <c r="AD37" s="80">
        <f>AC37*Products!$E$42*AB37</f>
        <v/>
      </c>
      <c r="AE37" s="80">
        <f>AC37-AD37</f>
        <v/>
      </c>
      <c r="AF37" s="80">
        <f>(1-AB37)*MAX(0,Products!$E$16-$A37)*(Products!$E$33-Products!$E$35/Products!$E$16)</f>
        <v/>
      </c>
      <c r="AG37" s="81">
        <f>IF($A37&lt;=Products!$E$16,AB37,0)</f>
        <v/>
      </c>
      <c r="AH37" s="81">
        <f>IF(AND($A37&gt;=1,$A37&lt;=Products!$E$16),AB36-AB37,0)</f>
        <v/>
      </c>
      <c r="AI37" s="80">
        <f>IF(AND($A37-Inputs!$C$31&gt;=1,$A37-Inputs!$C$31&lt;=Products!$E$16),INDEX(Curves!$AH$8:$AH$68,$A37-Inputs!$C$31+1),0)*Products!$E$27*Products!$E$28*Products!$E$13*(1-Credit_Assumptions!$C$15)</f>
        <v/>
      </c>
      <c r="AJ37" s="80">
        <f>IF($A37=Inputs!$C$33,Products!$E$30*Inputs!$C$10*Inputs!$C$32,0)</f>
        <v/>
      </c>
      <c r="AK37" s="80">
        <f>AD37*(1-Inputs!$C$24)-Inputs!$C$25*AG37+AI37+AJ37</f>
        <v/>
      </c>
      <c r="AL37" s="80">
        <f>AL36+AK37</f>
        <v/>
      </c>
      <c r="AM37" s="80">
        <f>AC37*(1-AB37)</f>
        <v/>
      </c>
      <c r="AO37" s="81">
        <f>(1-Products!$F$41)^$A37</f>
        <v/>
      </c>
      <c r="AP37" s="80">
        <f>IF(AND($A37&gt;=1,$A37&lt;=Products!$F$16),Products!$F$33,0)</f>
        <v/>
      </c>
      <c r="AQ37" s="80">
        <f>AP37*Products!$F$42*AO37</f>
        <v/>
      </c>
      <c r="AR37" s="80">
        <f>AP37-AQ37</f>
        <v/>
      </c>
      <c r="AS37" s="80">
        <f>(1-AO37)*MAX(0,Products!$F$16-$A37)*(Products!$F$33-Products!$F$35/Products!$F$16)</f>
        <v/>
      </c>
      <c r="AT37" s="81">
        <f>IF($A37&lt;=Products!$F$16,AO37,0)</f>
        <v/>
      </c>
      <c r="AU37" s="81">
        <f>IF(AND($A37&gt;=1,$A37&lt;=Products!$F$16),AO36-AO37,0)</f>
        <v/>
      </c>
      <c r="AV37" s="80">
        <f>IF(AND($A37-Inputs!$C$31&gt;=1,$A37-Inputs!$C$31&lt;=Products!$F$16),INDEX(Curves!$AU$8:$AU$68,$A37-Inputs!$C$31+1),0)*Products!$F$27*Products!$F$28*Products!$F$13*(1-Credit_Assumptions!$C$15)</f>
        <v/>
      </c>
      <c r="AW37" s="80">
        <f>IF($A37=Inputs!$C$33,Products!$F$30*Inputs!$C$10*Inputs!$C$32,0)</f>
        <v/>
      </c>
      <c r="AX37" s="80">
        <f>AQ37*(1-Inputs!$C$24)-Inputs!$C$25*AT37+AV37+AW37</f>
        <v/>
      </c>
      <c r="AY37" s="80">
        <f>AY36+AX37</f>
        <v/>
      </c>
      <c r="AZ37" s="80">
        <f>AP37*(1-AO37)</f>
        <v/>
      </c>
      <c r="BB37" s="81">
        <f>(1-Products!$G$41)^$A37</f>
        <v/>
      </c>
      <c r="BC37" s="80">
        <f>IF(AND($A37&gt;=1,$A37&lt;=Products!$G$16),Products!$G$33,0)</f>
        <v/>
      </c>
      <c r="BD37" s="80">
        <f>BC37*Products!$G$42*BB37</f>
        <v/>
      </c>
      <c r="BE37" s="80">
        <f>BC37-BD37</f>
        <v/>
      </c>
      <c r="BF37" s="80">
        <f>(1-BB37)*MAX(0,Products!$G$16-$A37)*(Products!$G$33-Products!$G$35/Products!$G$16)</f>
        <v/>
      </c>
      <c r="BG37" s="81">
        <f>IF($A37&lt;=Products!$G$16,BB37,0)</f>
        <v/>
      </c>
      <c r="BH37" s="81">
        <f>IF(AND($A37&gt;=1,$A37&lt;=Products!$G$16),BB36-BB37,0)</f>
        <v/>
      </c>
      <c r="BI37" s="80">
        <f>IF(AND($A37-Inputs!$C$31&gt;=1,$A37-Inputs!$C$31&lt;=Products!$G$16),INDEX(Curves!$BH$8:$BH$68,$A37-Inputs!$C$31+1),0)*Products!$G$27*Products!$G$28*Products!$G$13*(1-Credit_Assumptions!$C$15)</f>
        <v/>
      </c>
      <c r="BJ37" s="80">
        <f>IF($A37=Inputs!$C$33,Products!$G$30*Inputs!$C$10*Inputs!$C$32,0)</f>
        <v/>
      </c>
      <c r="BK37" s="80">
        <f>BD37*(1-Inputs!$C$24)-Inputs!$C$25*BG37+BI37+BJ37</f>
        <v/>
      </c>
      <c r="BL37" s="80">
        <f>BL36+BK37</f>
        <v/>
      </c>
      <c r="BM37" s="80">
        <f>BC37*(1-BB37)</f>
        <v/>
      </c>
    </row>
    <row r="38">
      <c r="A38" s="23" t="n">
        <v>30</v>
      </c>
      <c r="B38" s="81">
        <f>(1-Products!$C$41)^$A38</f>
        <v/>
      </c>
      <c r="C38" s="80">
        <f>IF(AND($A38&gt;=1,$A38&lt;=Products!$C$16),Products!$C$33,0)</f>
        <v/>
      </c>
      <c r="D38" s="80">
        <f>C38*Products!$C$42*B38</f>
        <v/>
      </c>
      <c r="E38" s="80">
        <f>C38-D38</f>
        <v/>
      </c>
      <c r="F38" s="80">
        <f>(1-B38)*MAX(0,Products!$C$16-$A38)*(Products!$C$33-Products!$C$35/Products!$C$16)</f>
        <v/>
      </c>
      <c r="G38" s="81">
        <f>IF($A38&lt;=Products!$C$16,B38,0)</f>
        <v/>
      </c>
      <c r="H38" s="81">
        <f>IF(AND($A38&gt;=1,$A38&lt;=Products!$C$16),B37-B38,0)</f>
        <v/>
      </c>
      <c r="I38" s="80">
        <f>IF(AND($A38-Inputs!$C$31&gt;=1,$A38-Inputs!$C$31&lt;=Products!$C$16),INDEX(Curves!$H$8:$H$68,$A38-Inputs!$C$31+1),0)*Products!$C$27*Products!$C$28*Products!$C$13*(1-Credit_Assumptions!$C$15)</f>
        <v/>
      </c>
      <c r="J38" s="80">
        <f>IF($A38=Inputs!$C$33,Products!$C$30*Inputs!$C$10*Inputs!$C$32,0)</f>
        <v/>
      </c>
      <c r="K38" s="80">
        <f>D38*(1-Inputs!$C$24)-Inputs!$C$25*G38+I38+J38</f>
        <v/>
      </c>
      <c r="L38" s="80">
        <f>L37+K38</f>
        <v/>
      </c>
      <c r="M38" s="80">
        <f>C38*(1-B38)</f>
        <v/>
      </c>
      <c r="O38" s="81">
        <f>(1-Products!$D$41)^$A38</f>
        <v/>
      </c>
      <c r="P38" s="80">
        <f>IF(AND($A38&gt;=1,$A38&lt;=Products!$D$16),Products!$D$33,0)</f>
        <v/>
      </c>
      <c r="Q38" s="80">
        <f>P38*Products!$D$42*O38</f>
        <v/>
      </c>
      <c r="R38" s="80">
        <f>P38-Q38</f>
        <v/>
      </c>
      <c r="S38" s="80">
        <f>(1-O38)*MAX(0,Products!$D$16-$A38)*(Products!$D$33-Products!$D$35/Products!$D$16)</f>
        <v/>
      </c>
      <c r="T38" s="81">
        <f>IF($A38&lt;=Products!$D$16,O38,0)</f>
        <v/>
      </c>
      <c r="U38" s="81">
        <f>IF(AND($A38&gt;=1,$A38&lt;=Products!$D$16),O37-O38,0)</f>
        <v/>
      </c>
      <c r="V38" s="80">
        <f>IF(AND($A38-Inputs!$C$31&gt;=1,$A38-Inputs!$C$31&lt;=Products!$D$16),INDEX(Curves!$U$8:$U$68,$A38-Inputs!$C$31+1),0)*Products!$D$27*Products!$D$28*Products!$D$13*(1-Credit_Assumptions!$C$15)</f>
        <v/>
      </c>
      <c r="W38" s="80">
        <f>IF($A38=Inputs!$C$33,Products!$D$30*Inputs!$C$10*Inputs!$C$32,0)</f>
        <v/>
      </c>
      <c r="X38" s="80">
        <f>Q38*(1-Inputs!$C$24)-Inputs!$C$25*T38+V38+W38</f>
        <v/>
      </c>
      <c r="Y38" s="80">
        <f>Y37+X38</f>
        <v/>
      </c>
      <c r="Z38" s="80">
        <f>P38*(1-O38)</f>
        <v/>
      </c>
      <c r="AB38" s="81">
        <f>(1-Products!$E$41)^$A38</f>
        <v/>
      </c>
      <c r="AC38" s="80">
        <f>IF(AND($A38&gt;=1,$A38&lt;=Products!$E$16),Products!$E$33,0)</f>
        <v/>
      </c>
      <c r="AD38" s="80">
        <f>AC38*Products!$E$42*AB38</f>
        <v/>
      </c>
      <c r="AE38" s="80">
        <f>AC38-AD38</f>
        <v/>
      </c>
      <c r="AF38" s="80">
        <f>(1-AB38)*MAX(0,Products!$E$16-$A38)*(Products!$E$33-Products!$E$35/Products!$E$16)</f>
        <v/>
      </c>
      <c r="AG38" s="81">
        <f>IF($A38&lt;=Products!$E$16,AB38,0)</f>
        <v/>
      </c>
      <c r="AH38" s="81">
        <f>IF(AND($A38&gt;=1,$A38&lt;=Products!$E$16),AB37-AB38,0)</f>
        <v/>
      </c>
      <c r="AI38" s="80">
        <f>IF(AND($A38-Inputs!$C$31&gt;=1,$A38-Inputs!$C$31&lt;=Products!$E$16),INDEX(Curves!$AH$8:$AH$68,$A38-Inputs!$C$31+1),0)*Products!$E$27*Products!$E$28*Products!$E$13*(1-Credit_Assumptions!$C$15)</f>
        <v/>
      </c>
      <c r="AJ38" s="80">
        <f>IF($A38=Inputs!$C$33,Products!$E$30*Inputs!$C$10*Inputs!$C$32,0)</f>
        <v/>
      </c>
      <c r="AK38" s="80">
        <f>AD38*(1-Inputs!$C$24)-Inputs!$C$25*AG38+AI38+AJ38</f>
        <v/>
      </c>
      <c r="AL38" s="80">
        <f>AL37+AK38</f>
        <v/>
      </c>
      <c r="AM38" s="80">
        <f>AC38*(1-AB38)</f>
        <v/>
      </c>
      <c r="AO38" s="81">
        <f>(1-Products!$F$41)^$A38</f>
        <v/>
      </c>
      <c r="AP38" s="80">
        <f>IF(AND($A38&gt;=1,$A38&lt;=Products!$F$16),Products!$F$33,0)</f>
        <v/>
      </c>
      <c r="AQ38" s="80">
        <f>AP38*Products!$F$42*AO38</f>
        <v/>
      </c>
      <c r="AR38" s="80">
        <f>AP38-AQ38</f>
        <v/>
      </c>
      <c r="AS38" s="80">
        <f>(1-AO38)*MAX(0,Products!$F$16-$A38)*(Products!$F$33-Products!$F$35/Products!$F$16)</f>
        <v/>
      </c>
      <c r="AT38" s="81">
        <f>IF($A38&lt;=Products!$F$16,AO38,0)</f>
        <v/>
      </c>
      <c r="AU38" s="81">
        <f>IF(AND($A38&gt;=1,$A38&lt;=Products!$F$16),AO37-AO38,0)</f>
        <v/>
      </c>
      <c r="AV38" s="80">
        <f>IF(AND($A38-Inputs!$C$31&gt;=1,$A38-Inputs!$C$31&lt;=Products!$F$16),INDEX(Curves!$AU$8:$AU$68,$A38-Inputs!$C$31+1),0)*Products!$F$27*Products!$F$28*Products!$F$13*(1-Credit_Assumptions!$C$15)</f>
        <v/>
      </c>
      <c r="AW38" s="80">
        <f>IF($A38=Inputs!$C$33,Products!$F$30*Inputs!$C$10*Inputs!$C$32,0)</f>
        <v/>
      </c>
      <c r="AX38" s="80">
        <f>AQ38*(1-Inputs!$C$24)-Inputs!$C$25*AT38+AV38+AW38</f>
        <v/>
      </c>
      <c r="AY38" s="80">
        <f>AY37+AX38</f>
        <v/>
      </c>
      <c r="AZ38" s="80">
        <f>AP38*(1-AO38)</f>
        <v/>
      </c>
      <c r="BB38" s="81">
        <f>(1-Products!$G$41)^$A38</f>
        <v/>
      </c>
      <c r="BC38" s="80">
        <f>IF(AND($A38&gt;=1,$A38&lt;=Products!$G$16),Products!$G$33,0)</f>
        <v/>
      </c>
      <c r="BD38" s="80">
        <f>BC38*Products!$G$42*BB38</f>
        <v/>
      </c>
      <c r="BE38" s="80">
        <f>BC38-BD38</f>
        <v/>
      </c>
      <c r="BF38" s="80">
        <f>(1-BB38)*MAX(0,Products!$G$16-$A38)*(Products!$G$33-Products!$G$35/Products!$G$16)</f>
        <v/>
      </c>
      <c r="BG38" s="81">
        <f>IF($A38&lt;=Products!$G$16,BB38,0)</f>
        <v/>
      </c>
      <c r="BH38" s="81">
        <f>IF(AND($A38&gt;=1,$A38&lt;=Products!$G$16),BB37-BB38,0)</f>
        <v/>
      </c>
      <c r="BI38" s="80">
        <f>IF(AND($A38-Inputs!$C$31&gt;=1,$A38-Inputs!$C$31&lt;=Products!$G$16),INDEX(Curves!$BH$8:$BH$68,$A38-Inputs!$C$31+1),0)*Products!$G$27*Products!$G$28*Products!$G$13*(1-Credit_Assumptions!$C$15)</f>
        <v/>
      </c>
      <c r="BJ38" s="80">
        <f>IF($A38=Inputs!$C$33,Products!$G$30*Inputs!$C$10*Inputs!$C$32,0)</f>
        <v/>
      </c>
      <c r="BK38" s="80">
        <f>BD38*(1-Inputs!$C$24)-Inputs!$C$25*BG38+BI38+BJ38</f>
        <v/>
      </c>
      <c r="BL38" s="80">
        <f>BL37+BK38</f>
        <v/>
      </c>
      <c r="BM38" s="80">
        <f>BC38*(1-BB38)</f>
        <v/>
      </c>
    </row>
    <row r="39">
      <c r="A39" s="23" t="n">
        <v>31</v>
      </c>
      <c r="B39" s="81">
        <f>(1-Products!$C$41)^$A39</f>
        <v/>
      </c>
      <c r="C39" s="80">
        <f>IF(AND($A39&gt;=1,$A39&lt;=Products!$C$16),Products!$C$33,0)</f>
        <v/>
      </c>
      <c r="D39" s="80">
        <f>C39*Products!$C$42*B39</f>
        <v/>
      </c>
      <c r="E39" s="80">
        <f>C39-D39</f>
        <v/>
      </c>
      <c r="F39" s="80">
        <f>(1-B39)*MAX(0,Products!$C$16-$A39)*(Products!$C$33-Products!$C$35/Products!$C$16)</f>
        <v/>
      </c>
      <c r="G39" s="81">
        <f>IF($A39&lt;=Products!$C$16,B39,0)</f>
        <v/>
      </c>
      <c r="H39" s="81">
        <f>IF(AND($A39&gt;=1,$A39&lt;=Products!$C$16),B38-B39,0)</f>
        <v/>
      </c>
      <c r="I39" s="80">
        <f>IF(AND($A39-Inputs!$C$31&gt;=1,$A39-Inputs!$C$31&lt;=Products!$C$16),INDEX(Curves!$H$8:$H$68,$A39-Inputs!$C$31+1),0)*Products!$C$27*Products!$C$28*Products!$C$13*(1-Credit_Assumptions!$C$15)</f>
        <v/>
      </c>
      <c r="J39" s="80">
        <f>IF($A39=Inputs!$C$33,Products!$C$30*Inputs!$C$10*Inputs!$C$32,0)</f>
        <v/>
      </c>
      <c r="K39" s="80">
        <f>D39*(1-Inputs!$C$24)-Inputs!$C$25*G39+I39+J39</f>
        <v/>
      </c>
      <c r="L39" s="80">
        <f>L38+K39</f>
        <v/>
      </c>
      <c r="M39" s="80">
        <f>C39*(1-B39)</f>
        <v/>
      </c>
      <c r="O39" s="81">
        <f>(1-Products!$D$41)^$A39</f>
        <v/>
      </c>
      <c r="P39" s="80">
        <f>IF(AND($A39&gt;=1,$A39&lt;=Products!$D$16),Products!$D$33,0)</f>
        <v/>
      </c>
      <c r="Q39" s="80">
        <f>P39*Products!$D$42*O39</f>
        <v/>
      </c>
      <c r="R39" s="80">
        <f>P39-Q39</f>
        <v/>
      </c>
      <c r="S39" s="80">
        <f>(1-O39)*MAX(0,Products!$D$16-$A39)*(Products!$D$33-Products!$D$35/Products!$D$16)</f>
        <v/>
      </c>
      <c r="T39" s="81">
        <f>IF($A39&lt;=Products!$D$16,O39,0)</f>
        <v/>
      </c>
      <c r="U39" s="81">
        <f>IF(AND($A39&gt;=1,$A39&lt;=Products!$D$16),O38-O39,0)</f>
        <v/>
      </c>
      <c r="V39" s="80">
        <f>IF(AND($A39-Inputs!$C$31&gt;=1,$A39-Inputs!$C$31&lt;=Products!$D$16),INDEX(Curves!$U$8:$U$68,$A39-Inputs!$C$31+1),0)*Products!$D$27*Products!$D$28*Products!$D$13*(1-Credit_Assumptions!$C$15)</f>
        <v/>
      </c>
      <c r="W39" s="80">
        <f>IF($A39=Inputs!$C$33,Products!$D$30*Inputs!$C$10*Inputs!$C$32,0)</f>
        <v/>
      </c>
      <c r="X39" s="80">
        <f>Q39*(1-Inputs!$C$24)-Inputs!$C$25*T39+V39+W39</f>
        <v/>
      </c>
      <c r="Y39" s="80">
        <f>Y38+X39</f>
        <v/>
      </c>
      <c r="Z39" s="80">
        <f>P39*(1-O39)</f>
        <v/>
      </c>
      <c r="AB39" s="81">
        <f>(1-Products!$E$41)^$A39</f>
        <v/>
      </c>
      <c r="AC39" s="80">
        <f>IF(AND($A39&gt;=1,$A39&lt;=Products!$E$16),Products!$E$33,0)</f>
        <v/>
      </c>
      <c r="AD39" s="80">
        <f>AC39*Products!$E$42*AB39</f>
        <v/>
      </c>
      <c r="AE39" s="80">
        <f>AC39-AD39</f>
        <v/>
      </c>
      <c r="AF39" s="80">
        <f>(1-AB39)*MAX(0,Products!$E$16-$A39)*(Products!$E$33-Products!$E$35/Products!$E$16)</f>
        <v/>
      </c>
      <c r="AG39" s="81">
        <f>IF($A39&lt;=Products!$E$16,AB39,0)</f>
        <v/>
      </c>
      <c r="AH39" s="81">
        <f>IF(AND($A39&gt;=1,$A39&lt;=Products!$E$16),AB38-AB39,0)</f>
        <v/>
      </c>
      <c r="AI39" s="80">
        <f>IF(AND($A39-Inputs!$C$31&gt;=1,$A39-Inputs!$C$31&lt;=Products!$E$16),INDEX(Curves!$AH$8:$AH$68,$A39-Inputs!$C$31+1),0)*Products!$E$27*Products!$E$28*Products!$E$13*(1-Credit_Assumptions!$C$15)</f>
        <v/>
      </c>
      <c r="AJ39" s="80">
        <f>IF($A39=Inputs!$C$33,Products!$E$30*Inputs!$C$10*Inputs!$C$32,0)</f>
        <v/>
      </c>
      <c r="AK39" s="80">
        <f>AD39*(1-Inputs!$C$24)-Inputs!$C$25*AG39+AI39+AJ39</f>
        <v/>
      </c>
      <c r="AL39" s="80">
        <f>AL38+AK39</f>
        <v/>
      </c>
      <c r="AM39" s="80">
        <f>AC39*(1-AB39)</f>
        <v/>
      </c>
      <c r="AO39" s="81">
        <f>(1-Products!$F$41)^$A39</f>
        <v/>
      </c>
      <c r="AP39" s="80">
        <f>IF(AND($A39&gt;=1,$A39&lt;=Products!$F$16),Products!$F$33,0)</f>
        <v/>
      </c>
      <c r="AQ39" s="80">
        <f>AP39*Products!$F$42*AO39</f>
        <v/>
      </c>
      <c r="AR39" s="80">
        <f>AP39-AQ39</f>
        <v/>
      </c>
      <c r="AS39" s="80">
        <f>(1-AO39)*MAX(0,Products!$F$16-$A39)*(Products!$F$33-Products!$F$35/Products!$F$16)</f>
        <v/>
      </c>
      <c r="AT39" s="81">
        <f>IF($A39&lt;=Products!$F$16,AO39,0)</f>
        <v/>
      </c>
      <c r="AU39" s="81">
        <f>IF(AND($A39&gt;=1,$A39&lt;=Products!$F$16),AO38-AO39,0)</f>
        <v/>
      </c>
      <c r="AV39" s="80">
        <f>IF(AND($A39-Inputs!$C$31&gt;=1,$A39-Inputs!$C$31&lt;=Products!$F$16),INDEX(Curves!$AU$8:$AU$68,$A39-Inputs!$C$31+1),0)*Products!$F$27*Products!$F$28*Products!$F$13*(1-Credit_Assumptions!$C$15)</f>
        <v/>
      </c>
      <c r="AW39" s="80">
        <f>IF($A39=Inputs!$C$33,Products!$F$30*Inputs!$C$10*Inputs!$C$32,0)</f>
        <v/>
      </c>
      <c r="AX39" s="80">
        <f>AQ39*(1-Inputs!$C$24)-Inputs!$C$25*AT39+AV39+AW39</f>
        <v/>
      </c>
      <c r="AY39" s="80">
        <f>AY38+AX39</f>
        <v/>
      </c>
      <c r="AZ39" s="80">
        <f>AP39*(1-AO39)</f>
        <v/>
      </c>
      <c r="BB39" s="81">
        <f>(1-Products!$G$41)^$A39</f>
        <v/>
      </c>
      <c r="BC39" s="80">
        <f>IF(AND($A39&gt;=1,$A39&lt;=Products!$G$16),Products!$G$33,0)</f>
        <v/>
      </c>
      <c r="BD39" s="80">
        <f>BC39*Products!$G$42*BB39</f>
        <v/>
      </c>
      <c r="BE39" s="80">
        <f>BC39-BD39</f>
        <v/>
      </c>
      <c r="BF39" s="80">
        <f>(1-BB39)*MAX(0,Products!$G$16-$A39)*(Products!$G$33-Products!$G$35/Products!$G$16)</f>
        <v/>
      </c>
      <c r="BG39" s="81">
        <f>IF($A39&lt;=Products!$G$16,BB39,0)</f>
        <v/>
      </c>
      <c r="BH39" s="81">
        <f>IF(AND($A39&gt;=1,$A39&lt;=Products!$G$16),BB38-BB39,0)</f>
        <v/>
      </c>
      <c r="BI39" s="80">
        <f>IF(AND($A39-Inputs!$C$31&gt;=1,$A39-Inputs!$C$31&lt;=Products!$G$16),INDEX(Curves!$BH$8:$BH$68,$A39-Inputs!$C$31+1),0)*Products!$G$27*Products!$G$28*Products!$G$13*(1-Credit_Assumptions!$C$15)</f>
        <v/>
      </c>
      <c r="BJ39" s="80">
        <f>IF($A39=Inputs!$C$33,Products!$G$30*Inputs!$C$10*Inputs!$C$32,0)</f>
        <v/>
      </c>
      <c r="BK39" s="80">
        <f>BD39*(1-Inputs!$C$24)-Inputs!$C$25*BG39+BI39+BJ39</f>
        <v/>
      </c>
      <c r="BL39" s="80">
        <f>BL38+BK39</f>
        <v/>
      </c>
      <c r="BM39" s="80">
        <f>BC39*(1-BB39)</f>
        <v/>
      </c>
    </row>
    <row r="40">
      <c r="A40" s="23" t="n">
        <v>32</v>
      </c>
      <c r="B40" s="81">
        <f>(1-Products!$C$41)^$A40</f>
        <v/>
      </c>
      <c r="C40" s="80">
        <f>IF(AND($A40&gt;=1,$A40&lt;=Products!$C$16),Products!$C$33,0)</f>
        <v/>
      </c>
      <c r="D40" s="80">
        <f>C40*Products!$C$42*B40</f>
        <v/>
      </c>
      <c r="E40" s="80">
        <f>C40-D40</f>
        <v/>
      </c>
      <c r="F40" s="80">
        <f>(1-B40)*MAX(0,Products!$C$16-$A40)*(Products!$C$33-Products!$C$35/Products!$C$16)</f>
        <v/>
      </c>
      <c r="G40" s="81">
        <f>IF($A40&lt;=Products!$C$16,B40,0)</f>
        <v/>
      </c>
      <c r="H40" s="81">
        <f>IF(AND($A40&gt;=1,$A40&lt;=Products!$C$16),B39-B40,0)</f>
        <v/>
      </c>
      <c r="I40" s="80">
        <f>IF(AND($A40-Inputs!$C$31&gt;=1,$A40-Inputs!$C$31&lt;=Products!$C$16),INDEX(Curves!$H$8:$H$68,$A40-Inputs!$C$31+1),0)*Products!$C$27*Products!$C$28*Products!$C$13*(1-Credit_Assumptions!$C$15)</f>
        <v/>
      </c>
      <c r="J40" s="80">
        <f>IF($A40=Inputs!$C$33,Products!$C$30*Inputs!$C$10*Inputs!$C$32,0)</f>
        <v/>
      </c>
      <c r="K40" s="80">
        <f>D40*(1-Inputs!$C$24)-Inputs!$C$25*G40+I40+J40</f>
        <v/>
      </c>
      <c r="L40" s="80">
        <f>L39+K40</f>
        <v/>
      </c>
      <c r="M40" s="80">
        <f>C40*(1-B40)</f>
        <v/>
      </c>
      <c r="O40" s="81">
        <f>(1-Products!$D$41)^$A40</f>
        <v/>
      </c>
      <c r="P40" s="80">
        <f>IF(AND($A40&gt;=1,$A40&lt;=Products!$D$16),Products!$D$33,0)</f>
        <v/>
      </c>
      <c r="Q40" s="80">
        <f>P40*Products!$D$42*O40</f>
        <v/>
      </c>
      <c r="R40" s="80">
        <f>P40-Q40</f>
        <v/>
      </c>
      <c r="S40" s="80">
        <f>(1-O40)*MAX(0,Products!$D$16-$A40)*(Products!$D$33-Products!$D$35/Products!$D$16)</f>
        <v/>
      </c>
      <c r="T40" s="81">
        <f>IF($A40&lt;=Products!$D$16,O40,0)</f>
        <v/>
      </c>
      <c r="U40" s="81">
        <f>IF(AND($A40&gt;=1,$A40&lt;=Products!$D$16),O39-O40,0)</f>
        <v/>
      </c>
      <c r="V40" s="80">
        <f>IF(AND($A40-Inputs!$C$31&gt;=1,$A40-Inputs!$C$31&lt;=Products!$D$16),INDEX(Curves!$U$8:$U$68,$A40-Inputs!$C$31+1),0)*Products!$D$27*Products!$D$28*Products!$D$13*(1-Credit_Assumptions!$C$15)</f>
        <v/>
      </c>
      <c r="W40" s="80">
        <f>IF($A40=Inputs!$C$33,Products!$D$30*Inputs!$C$10*Inputs!$C$32,0)</f>
        <v/>
      </c>
      <c r="X40" s="80">
        <f>Q40*(1-Inputs!$C$24)-Inputs!$C$25*T40+V40+W40</f>
        <v/>
      </c>
      <c r="Y40" s="80">
        <f>Y39+X40</f>
        <v/>
      </c>
      <c r="Z40" s="80">
        <f>P40*(1-O40)</f>
        <v/>
      </c>
      <c r="AB40" s="81">
        <f>(1-Products!$E$41)^$A40</f>
        <v/>
      </c>
      <c r="AC40" s="80">
        <f>IF(AND($A40&gt;=1,$A40&lt;=Products!$E$16),Products!$E$33,0)</f>
        <v/>
      </c>
      <c r="AD40" s="80">
        <f>AC40*Products!$E$42*AB40</f>
        <v/>
      </c>
      <c r="AE40" s="80">
        <f>AC40-AD40</f>
        <v/>
      </c>
      <c r="AF40" s="80">
        <f>(1-AB40)*MAX(0,Products!$E$16-$A40)*(Products!$E$33-Products!$E$35/Products!$E$16)</f>
        <v/>
      </c>
      <c r="AG40" s="81">
        <f>IF($A40&lt;=Products!$E$16,AB40,0)</f>
        <v/>
      </c>
      <c r="AH40" s="81">
        <f>IF(AND($A40&gt;=1,$A40&lt;=Products!$E$16),AB39-AB40,0)</f>
        <v/>
      </c>
      <c r="AI40" s="80">
        <f>IF(AND($A40-Inputs!$C$31&gt;=1,$A40-Inputs!$C$31&lt;=Products!$E$16),INDEX(Curves!$AH$8:$AH$68,$A40-Inputs!$C$31+1),0)*Products!$E$27*Products!$E$28*Products!$E$13*(1-Credit_Assumptions!$C$15)</f>
        <v/>
      </c>
      <c r="AJ40" s="80">
        <f>IF($A40=Inputs!$C$33,Products!$E$30*Inputs!$C$10*Inputs!$C$32,0)</f>
        <v/>
      </c>
      <c r="AK40" s="80">
        <f>AD40*(1-Inputs!$C$24)-Inputs!$C$25*AG40+AI40+AJ40</f>
        <v/>
      </c>
      <c r="AL40" s="80">
        <f>AL39+AK40</f>
        <v/>
      </c>
      <c r="AM40" s="80">
        <f>AC40*(1-AB40)</f>
        <v/>
      </c>
      <c r="AO40" s="81">
        <f>(1-Products!$F$41)^$A40</f>
        <v/>
      </c>
      <c r="AP40" s="80">
        <f>IF(AND($A40&gt;=1,$A40&lt;=Products!$F$16),Products!$F$33,0)</f>
        <v/>
      </c>
      <c r="AQ40" s="80">
        <f>AP40*Products!$F$42*AO40</f>
        <v/>
      </c>
      <c r="AR40" s="80">
        <f>AP40-AQ40</f>
        <v/>
      </c>
      <c r="AS40" s="80">
        <f>(1-AO40)*MAX(0,Products!$F$16-$A40)*(Products!$F$33-Products!$F$35/Products!$F$16)</f>
        <v/>
      </c>
      <c r="AT40" s="81">
        <f>IF($A40&lt;=Products!$F$16,AO40,0)</f>
        <v/>
      </c>
      <c r="AU40" s="81">
        <f>IF(AND($A40&gt;=1,$A40&lt;=Products!$F$16),AO39-AO40,0)</f>
        <v/>
      </c>
      <c r="AV40" s="80">
        <f>IF(AND($A40-Inputs!$C$31&gt;=1,$A40-Inputs!$C$31&lt;=Products!$F$16),INDEX(Curves!$AU$8:$AU$68,$A40-Inputs!$C$31+1),0)*Products!$F$27*Products!$F$28*Products!$F$13*(1-Credit_Assumptions!$C$15)</f>
        <v/>
      </c>
      <c r="AW40" s="80">
        <f>IF($A40=Inputs!$C$33,Products!$F$30*Inputs!$C$10*Inputs!$C$32,0)</f>
        <v/>
      </c>
      <c r="AX40" s="80">
        <f>AQ40*(1-Inputs!$C$24)-Inputs!$C$25*AT40+AV40+AW40</f>
        <v/>
      </c>
      <c r="AY40" s="80">
        <f>AY39+AX40</f>
        <v/>
      </c>
      <c r="AZ40" s="80">
        <f>AP40*(1-AO40)</f>
        <v/>
      </c>
      <c r="BB40" s="81">
        <f>(1-Products!$G$41)^$A40</f>
        <v/>
      </c>
      <c r="BC40" s="80">
        <f>IF(AND($A40&gt;=1,$A40&lt;=Products!$G$16),Products!$G$33,0)</f>
        <v/>
      </c>
      <c r="BD40" s="80">
        <f>BC40*Products!$G$42*BB40</f>
        <v/>
      </c>
      <c r="BE40" s="80">
        <f>BC40-BD40</f>
        <v/>
      </c>
      <c r="BF40" s="80">
        <f>(1-BB40)*MAX(0,Products!$G$16-$A40)*(Products!$G$33-Products!$G$35/Products!$G$16)</f>
        <v/>
      </c>
      <c r="BG40" s="81">
        <f>IF($A40&lt;=Products!$G$16,BB40,0)</f>
        <v/>
      </c>
      <c r="BH40" s="81">
        <f>IF(AND($A40&gt;=1,$A40&lt;=Products!$G$16),BB39-BB40,0)</f>
        <v/>
      </c>
      <c r="BI40" s="80">
        <f>IF(AND($A40-Inputs!$C$31&gt;=1,$A40-Inputs!$C$31&lt;=Products!$G$16),INDEX(Curves!$BH$8:$BH$68,$A40-Inputs!$C$31+1),0)*Products!$G$27*Products!$G$28*Products!$G$13*(1-Credit_Assumptions!$C$15)</f>
        <v/>
      </c>
      <c r="BJ40" s="80">
        <f>IF($A40=Inputs!$C$33,Products!$G$30*Inputs!$C$10*Inputs!$C$32,0)</f>
        <v/>
      </c>
      <c r="BK40" s="80">
        <f>BD40*(1-Inputs!$C$24)-Inputs!$C$25*BG40+BI40+BJ40</f>
        <v/>
      </c>
      <c r="BL40" s="80">
        <f>BL39+BK40</f>
        <v/>
      </c>
      <c r="BM40" s="80">
        <f>BC40*(1-BB40)</f>
        <v/>
      </c>
    </row>
    <row r="41">
      <c r="A41" s="23" t="n">
        <v>33</v>
      </c>
      <c r="B41" s="81">
        <f>(1-Products!$C$41)^$A41</f>
        <v/>
      </c>
      <c r="C41" s="80">
        <f>IF(AND($A41&gt;=1,$A41&lt;=Products!$C$16),Products!$C$33,0)</f>
        <v/>
      </c>
      <c r="D41" s="80">
        <f>C41*Products!$C$42*B41</f>
        <v/>
      </c>
      <c r="E41" s="80">
        <f>C41-D41</f>
        <v/>
      </c>
      <c r="F41" s="80">
        <f>(1-B41)*MAX(0,Products!$C$16-$A41)*(Products!$C$33-Products!$C$35/Products!$C$16)</f>
        <v/>
      </c>
      <c r="G41" s="81">
        <f>IF($A41&lt;=Products!$C$16,B41,0)</f>
        <v/>
      </c>
      <c r="H41" s="81">
        <f>IF(AND($A41&gt;=1,$A41&lt;=Products!$C$16),B40-B41,0)</f>
        <v/>
      </c>
      <c r="I41" s="80">
        <f>IF(AND($A41-Inputs!$C$31&gt;=1,$A41-Inputs!$C$31&lt;=Products!$C$16),INDEX(Curves!$H$8:$H$68,$A41-Inputs!$C$31+1),0)*Products!$C$27*Products!$C$28*Products!$C$13*(1-Credit_Assumptions!$C$15)</f>
        <v/>
      </c>
      <c r="J41" s="80">
        <f>IF($A41=Inputs!$C$33,Products!$C$30*Inputs!$C$10*Inputs!$C$32,0)</f>
        <v/>
      </c>
      <c r="K41" s="80">
        <f>D41*(1-Inputs!$C$24)-Inputs!$C$25*G41+I41+J41</f>
        <v/>
      </c>
      <c r="L41" s="80">
        <f>L40+K41</f>
        <v/>
      </c>
      <c r="M41" s="80">
        <f>C41*(1-B41)</f>
        <v/>
      </c>
      <c r="O41" s="81">
        <f>(1-Products!$D$41)^$A41</f>
        <v/>
      </c>
      <c r="P41" s="80">
        <f>IF(AND($A41&gt;=1,$A41&lt;=Products!$D$16),Products!$D$33,0)</f>
        <v/>
      </c>
      <c r="Q41" s="80">
        <f>P41*Products!$D$42*O41</f>
        <v/>
      </c>
      <c r="R41" s="80">
        <f>P41-Q41</f>
        <v/>
      </c>
      <c r="S41" s="80">
        <f>(1-O41)*MAX(0,Products!$D$16-$A41)*(Products!$D$33-Products!$D$35/Products!$D$16)</f>
        <v/>
      </c>
      <c r="T41" s="81">
        <f>IF($A41&lt;=Products!$D$16,O41,0)</f>
        <v/>
      </c>
      <c r="U41" s="81">
        <f>IF(AND($A41&gt;=1,$A41&lt;=Products!$D$16),O40-O41,0)</f>
        <v/>
      </c>
      <c r="V41" s="80">
        <f>IF(AND($A41-Inputs!$C$31&gt;=1,$A41-Inputs!$C$31&lt;=Products!$D$16),INDEX(Curves!$U$8:$U$68,$A41-Inputs!$C$31+1),0)*Products!$D$27*Products!$D$28*Products!$D$13*(1-Credit_Assumptions!$C$15)</f>
        <v/>
      </c>
      <c r="W41" s="80">
        <f>IF($A41=Inputs!$C$33,Products!$D$30*Inputs!$C$10*Inputs!$C$32,0)</f>
        <v/>
      </c>
      <c r="X41" s="80">
        <f>Q41*(1-Inputs!$C$24)-Inputs!$C$25*T41+V41+W41</f>
        <v/>
      </c>
      <c r="Y41" s="80">
        <f>Y40+X41</f>
        <v/>
      </c>
      <c r="Z41" s="80">
        <f>P41*(1-O41)</f>
        <v/>
      </c>
      <c r="AB41" s="81">
        <f>(1-Products!$E$41)^$A41</f>
        <v/>
      </c>
      <c r="AC41" s="80">
        <f>IF(AND($A41&gt;=1,$A41&lt;=Products!$E$16),Products!$E$33,0)</f>
        <v/>
      </c>
      <c r="AD41" s="80">
        <f>AC41*Products!$E$42*AB41</f>
        <v/>
      </c>
      <c r="AE41" s="80">
        <f>AC41-AD41</f>
        <v/>
      </c>
      <c r="AF41" s="80">
        <f>(1-AB41)*MAX(0,Products!$E$16-$A41)*(Products!$E$33-Products!$E$35/Products!$E$16)</f>
        <v/>
      </c>
      <c r="AG41" s="81">
        <f>IF($A41&lt;=Products!$E$16,AB41,0)</f>
        <v/>
      </c>
      <c r="AH41" s="81">
        <f>IF(AND($A41&gt;=1,$A41&lt;=Products!$E$16),AB40-AB41,0)</f>
        <v/>
      </c>
      <c r="AI41" s="80">
        <f>IF(AND($A41-Inputs!$C$31&gt;=1,$A41-Inputs!$C$31&lt;=Products!$E$16),INDEX(Curves!$AH$8:$AH$68,$A41-Inputs!$C$31+1),0)*Products!$E$27*Products!$E$28*Products!$E$13*(1-Credit_Assumptions!$C$15)</f>
        <v/>
      </c>
      <c r="AJ41" s="80">
        <f>IF($A41=Inputs!$C$33,Products!$E$30*Inputs!$C$10*Inputs!$C$32,0)</f>
        <v/>
      </c>
      <c r="AK41" s="80">
        <f>AD41*(1-Inputs!$C$24)-Inputs!$C$25*AG41+AI41+AJ41</f>
        <v/>
      </c>
      <c r="AL41" s="80">
        <f>AL40+AK41</f>
        <v/>
      </c>
      <c r="AM41" s="80">
        <f>AC41*(1-AB41)</f>
        <v/>
      </c>
      <c r="AO41" s="81">
        <f>(1-Products!$F$41)^$A41</f>
        <v/>
      </c>
      <c r="AP41" s="80">
        <f>IF(AND($A41&gt;=1,$A41&lt;=Products!$F$16),Products!$F$33,0)</f>
        <v/>
      </c>
      <c r="AQ41" s="80">
        <f>AP41*Products!$F$42*AO41</f>
        <v/>
      </c>
      <c r="AR41" s="80">
        <f>AP41-AQ41</f>
        <v/>
      </c>
      <c r="AS41" s="80">
        <f>(1-AO41)*MAX(0,Products!$F$16-$A41)*(Products!$F$33-Products!$F$35/Products!$F$16)</f>
        <v/>
      </c>
      <c r="AT41" s="81">
        <f>IF($A41&lt;=Products!$F$16,AO41,0)</f>
        <v/>
      </c>
      <c r="AU41" s="81">
        <f>IF(AND($A41&gt;=1,$A41&lt;=Products!$F$16),AO40-AO41,0)</f>
        <v/>
      </c>
      <c r="AV41" s="80">
        <f>IF(AND($A41-Inputs!$C$31&gt;=1,$A41-Inputs!$C$31&lt;=Products!$F$16),INDEX(Curves!$AU$8:$AU$68,$A41-Inputs!$C$31+1),0)*Products!$F$27*Products!$F$28*Products!$F$13*(1-Credit_Assumptions!$C$15)</f>
        <v/>
      </c>
      <c r="AW41" s="80">
        <f>IF($A41=Inputs!$C$33,Products!$F$30*Inputs!$C$10*Inputs!$C$32,0)</f>
        <v/>
      </c>
      <c r="AX41" s="80">
        <f>AQ41*(1-Inputs!$C$24)-Inputs!$C$25*AT41+AV41+AW41</f>
        <v/>
      </c>
      <c r="AY41" s="80">
        <f>AY40+AX41</f>
        <v/>
      </c>
      <c r="AZ41" s="80">
        <f>AP41*(1-AO41)</f>
        <v/>
      </c>
      <c r="BB41" s="81">
        <f>(1-Products!$G$41)^$A41</f>
        <v/>
      </c>
      <c r="BC41" s="80">
        <f>IF(AND($A41&gt;=1,$A41&lt;=Products!$G$16),Products!$G$33,0)</f>
        <v/>
      </c>
      <c r="BD41" s="80">
        <f>BC41*Products!$G$42*BB41</f>
        <v/>
      </c>
      <c r="BE41" s="80">
        <f>BC41-BD41</f>
        <v/>
      </c>
      <c r="BF41" s="80">
        <f>(1-BB41)*MAX(0,Products!$G$16-$A41)*(Products!$G$33-Products!$G$35/Products!$G$16)</f>
        <v/>
      </c>
      <c r="BG41" s="81">
        <f>IF($A41&lt;=Products!$G$16,BB41,0)</f>
        <v/>
      </c>
      <c r="BH41" s="81">
        <f>IF(AND($A41&gt;=1,$A41&lt;=Products!$G$16),BB40-BB41,0)</f>
        <v/>
      </c>
      <c r="BI41" s="80">
        <f>IF(AND($A41-Inputs!$C$31&gt;=1,$A41-Inputs!$C$31&lt;=Products!$G$16),INDEX(Curves!$BH$8:$BH$68,$A41-Inputs!$C$31+1),0)*Products!$G$27*Products!$G$28*Products!$G$13*(1-Credit_Assumptions!$C$15)</f>
        <v/>
      </c>
      <c r="BJ41" s="80">
        <f>IF($A41=Inputs!$C$33,Products!$G$30*Inputs!$C$10*Inputs!$C$32,0)</f>
        <v/>
      </c>
      <c r="BK41" s="80">
        <f>BD41*(1-Inputs!$C$24)-Inputs!$C$25*BG41+BI41+BJ41</f>
        <v/>
      </c>
      <c r="BL41" s="80">
        <f>BL40+BK41</f>
        <v/>
      </c>
      <c r="BM41" s="80">
        <f>BC41*(1-BB41)</f>
        <v/>
      </c>
    </row>
    <row r="42">
      <c r="A42" s="23" t="n">
        <v>34</v>
      </c>
      <c r="B42" s="81">
        <f>(1-Products!$C$41)^$A42</f>
        <v/>
      </c>
      <c r="C42" s="80">
        <f>IF(AND($A42&gt;=1,$A42&lt;=Products!$C$16),Products!$C$33,0)</f>
        <v/>
      </c>
      <c r="D42" s="80">
        <f>C42*Products!$C$42*B42</f>
        <v/>
      </c>
      <c r="E42" s="80">
        <f>C42-D42</f>
        <v/>
      </c>
      <c r="F42" s="80">
        <f>(1-B42)*MAX(0,Products!$C$16-$A42)*(Products!$C$33-Products!$C$35/Products!$C$16)</f>
        <v/>
      </c>
      <c r="G42" s="81">
        <f>IF($A42&lt;=Products!$C$16,B42,0)</f>
        <v/>
      </c>
      <c r="H42" s="81">
        <f>IF(AND($A42&gt;=1,$A42&lt;=Products!$C$16),B41-B42,0)</f>
        <v/>
      </c>
      <c r="I42" s="80">
        <f>IF(AND($A42-Inputs!$C$31&gt;=1,$A42-Inputs!$C$31&lt;=Products!$C$16),INDEX(Curves!$H$8:$H$68,$A42-Inputs!$C$31+1),0)*Products!$C$27*Products!$C$28*Products!$C$13*(1-Credit_Assumptions!$C$15)</f>
        <v/>
      </c>
      <c r="J42" s="80">
        <f>IF($A42=Inputs!$C$33,Products!$C$30*Inputs!$C$10*Inputs!$C$32,0)</f>
        <v/>
      </c>
      <c r="K42" s="80">
        <f>D42*(1-Inputs!$C$24)-Inputs!$C$25*G42+I42+J42</f>
        <v/>
      </c>
      <c r="L42" s="80">
        <f>L41+K42</f>
        <v/>
      </c>
      <c r="M42" s="80">
        <f>C42*(1-B42)</f>
        <v/>
      </c>
      <c r="O42" s="81">
        <f>(1-Products!$D$41)^$A42</f>
        <v/>
      </c>
      <c r="P42" s="80">
        <f>IF(AND($A42&gt;=1,$A42&lt;=Products!$D$16),Products!$D$33,0)</f>
        <v/>
      </c>
      <c r="Q42" s="80">
        <f>P42*Products!$D$42*O42</f>
        <v/>
      </c>
      <c r="R42" s="80">
        <f>P42-Q42</f>
        <v/>
      </c>
      <c r="S42" s="80">
        <f>(1-O42)*MAX(0,Products!$D$16-$A42)*(Products!$D$33-Products!$D$35/Products!$D$16)</f>
        <v/>
      </c>
      <c r="T42" s="81">
        <f>IF($A42&lt;=Products!$D$16,O42,0)</f>
        <v/>
      </c>
      <c r="U42" s="81">
        <f>IF(AND($A42&gt;=1,$A42&lt;=Products!$D$16),O41-O42,0)</f>
        <v/>
      </c>
      <c r="V42" s="80">
        <f>IF(AND($A42-Inputs!$C$31&gt;=1,$A42-Inputs!$C$31&lt;=Products!$D$16),INDEX(Curves!$U$8:$U$68,$A42-Inputs!$C$31+1),0)*Products!$D$27*Products!$D$28*Products!$D$13*(1-Credit_Assumptions!$C$15)</f>
        <v/>
      </c>
      <c r="W42" s="80">
        <f>IF($A42=Inputs!$C$33,Products!$D$30*Inputs!$C$10*Inputs!$C$32,0)</f>
        <v/>
      </c>
      <c r="X42" s="80">
        <f>Q42*(1-Inputs!$C$24)-Inputs!$C$25*T42+V42+W42</f>
        <v/>
      </c>
      <c r="Y42" s="80">
        <f>Y41+X42</f>
        <v/>
      </c>
      <c r="Z42" s="80">
        <f>P42*(1-O42)</f>
        <v/>
      </c>
      <c r="AB42" s="81">
        <f>(1-Products!$E$41)^$A42</f>
        <v/>
      </c>
      <c r="AC42" s="80">
        <f>IF(AND($A42&gt;=1,$A42&lt;=Products!$E$16),Products!$E$33,0)</f>
        <v/>
      </c>
      <c r="AD42" s="80">
        <f>AC42*Products!$E$42*AB42</f>
        <v/>
      </c>
      <c r="AE42" s="80">
        <f>AC42-AD42</f>
        <v/>
      </c>
      <c r="AF42" s="80">
        <f>(1-AB42)*MAX(0,Products!$E$16-$A42)*(Products!$E$33-Products!$E$35/Products!$E$16)</f>
        <v/>
      </c>
      <c r="AG42" s="81">
        <f>IF($A42&lt;=Products!$E$16,AB42,0)</f>
        <v/>
      </c>
      <c r="AH42" s="81">
        <f>IF(AND($A42&gt;=1,$A42&lt;=Products!$E$16),AB41-AB42,0)</f>
        <v/>
      </c>
      <c r="AI42" s="80">
        <f>IF(AND($A42-Inputs!$C$31&gt;=1,$A42-Inputs!$C$31&lt;=Products!$E$16),INDEX(Curves!$AH$8:$AH$68,$A42-Inputs!$C$31+1),0)*Products!$E$27*Products!$E$28*Products!$E$13*(1-Credit_Assumptions!$C$15)</f>
        <v/>
      </c>
      <c r="AJ42" s="80">
        <f>IF($A42=Inputs!$C$33,Products!$E$30*Inputs!$C$10*Inputs!$C$32,0)</f>
        <v/>
      </c>
      <c r="AK42" s="80">
        <f>AD42*(1-Inputs!$C$24)-Inputs!$C$25*AG42+AI42+AJ42</f>
        <v/>
      </c>
      <c r="AL42" s="80">
        <f>AL41+AK42</f>
        <v/>
      </c>
      <c r="AM42" s="80">
        <f>AC42*(1-AB42)</f>
        <v/>
      </c>
      <c r="AO42" s="81">
        <f>(1-Products!$F$41)^$A42</f>
        <v/>
      </c>
      <c r="AP42" s="80">
        <f>IF(AND($A42&gt;=1,$A42&lt;=Products!$F$16),Products!$F$33,0)</f>
        <v/>
      </c>
      <c r="AQ42" s="80">
        <f>AP42*Products!$F$42*AO42</f>
        <v/>
      </c>
      <c r="AR42" s="80">
        <f>AP42-AQ42</f>
        <v/>
      </c>
      <c r="AS42" s="80">
        <f>(1-AO42)*MAX(0,Products!$F$16-$A42)*(Products!$F$33-Products!$F$35/Products!$F$16)</f>
        <v/>
      </c>
      <c r="AT42" s="81">
        <f>IF($A42&lt;=Products!$F$16,AO42,0)</f>
        <v/>
      </c>
      <c r="AU42" s="81">
        <f>IF(AND($A42&gt;=1,$A42&lt;=Products!$F$16),AO41-AO42,0)</f>
        <v/>
      </c>
      <c r="AV42" s="80">
        <f>IF(AND($A42-Inputs!$C$31&gt;=1,$A42-Inputs!$C$31&lt;=Products!$F$16),INDEX(Curves!$AU$8:$AU$68,$A42-Inputs!$C$31+1),0)*Products!$F$27*Products!$F$28*Products!$F$13*(1-Credit_Assumptions!$C$15)</f>
        <v/>
      </c>
      <c r="AW42" s="80">
        <f>IF($A42=Inputs!$C$33,Products!$F$30*Inputs!$C$10*Inputs!$C$32,0)</f>
        <v/>
      </c>
      <c r="AX42" s="80">
        <f>AQ42*(1-Inputs!$C$24)-Inputs!$C$25*AT42+AV42+AW42</f>
        <v/>
      </c>
      <c r="AY42" s="80">
        <f>AY41+AX42</f>
        <v/>
      </c>
      <c r="AZ42" s="80">
        <f>AP42*(1-AO42)</f>
        <v/>
      </c>
      <c r="BB42" s="81">
        <f>(1-Products!$G$41)^$A42</f>
        <v/>
      </c>
      <c r="BC42" s="80">
        <f>IF(AND($A42&gt;=1,$A42&lt;=Products!$G$16),Products!$G$33,0)</f>
        <v/>
      </c>
      <c r="BD42" s="80">
        <f>BC42*Products!$G$42*BB42</f>
        <v/>
      </c>
      <c r="BE42" s="80">
        <f>BC42-BD42</f>
        <v/>
      </c>
      <c r="BF42" s="80">
        <f>(1-BB42)*MAX(0,Products!$G$16-$A42)*(Products!$G$33-Products!$G$35/Products!$G$16)</f>
        <v/>
      </c>
      <c r="BG42" s="81">
        <f>IF($A42&lt;=Products!$G$16,BB42,0)</f>
        <v/>
      </c>
      <c r="BH42" s="81">
        <f>IF(AND($A42&gt;=1,$A42&lt;=Products!$G$16),BB41-BB42,0)</f>
        <v/>
      </c>
      <c r="BI42" s="80">
        <f>IF(AND($A42-Inputs!$C$31&gt;=1,$A42-Inputs!$C$31&lt;=Products!$G$16),INDEX(Curves!$BH$8:$BH$68,$A42-Inputs!$C$31+1),0)*Products!$G$27*Products!$G$28*Products!$G$13*(1-Credit_Assumptions!$C$15)</f>
        <v/>
      </c>
      <c r="BJ42" s="80">
        <f>IF($A42=Inputs!$C$33,Products!$G$30*Inputs!$C$10*Inputs!$C$32,0)</f>
        <v/>
      </c>
      <c r="BK42" s="80">
        <f>BD42*(1-Inputs!$C$24)-Inputs!$C$25*BG42+BI42+BJ42</f>
        <v/>
      </c>
      <c r="BL42" s="80">
        <f>BL41+BK42</f>
        <v/>
      </c>
      <c r="BM42" s="80">
        <f>BC42*(1-BB42)</f>
        <v/>
      </c>
    </row>
    <row r="43">
      <c r="A43" s="23" t="n">
        <v>35</v>
      </c>
      <c r="B43" s="81">
        <f>(1-Products!$C$41)^$A43</f>
        <v/>
      </c>
      <c r="C43" s="80">
        <f>IF(AND($A43&gt;=1,$A43&lt;=Products!$C$16),Products!$C$33,0)</f>
        <v/>
      </c>
      <c r="D43" s="80">
        <f>C43*Products!$C$42*B43</f>
        <v/>
      </c>
      <c r="E43" s="80">
        <f>C43-D43</f>
        <v/>
      </c>
      <c r="F43" s="80">
        <f>(1-B43)*MAX(0,Products!$C$16-$A43)*(Products!$C$33-Products!$C$35/Products!$C$16)</f>
        <v/>
      </c>
      <c r="G43" s="81">
        <f>IF($A43&lt;=Products!$C$16,B43,0)</f>
        <v/>
      </c>
      <c r="H43" s="81">
        <f>IF(AND($A43&gt;=1,$A43&lt;=Products!$C$16),B42-B43,0)</f>
        <v/>
      </c>
      <c r="I43" s="80">
        <f>IF(AND($A43-Inputs!$C$31&gt;=1,$A43-Inputs!$C$31&lt;=Products!$C$16),INDEX(Curves!$H$8:$H$68,$A43-Inputs!$C$31+1),0)*Products!$C$27*Products!$C$28*Products!$C$13*(1-Credit_Assumptions!$C$15)</f>
        <v/>
      </c>
      <c r="J43" s="80">
        <f>IF($A43=Inputs!$C$33,Products!$C$30*Inputs!$C$10*Inputs!$C$32,0)</f>
        <v/>
      </c>
      <c r="K43" s="80">
        <f>D43*(1-Inputs!$C$24)-Inputs!$C$25*G43+I43+J43</f>
        <v/>
      </c>
      <c r="L43" s="80">
        <f>L42+K43</f>
        <v/>
      </c>
      <c r="M43" s="80">
        <f>C43*(1-B43)</f>
        <v/>
      </c>
      <c r="O43" s="81">
        <f>(1-Products!$D$41)^$A43</f>
        <v/>
      </c>
      <c r="P43" s="80">
        <f>IF(AND($A43&gt;=1,$A43&lt;=Products!$D$16),Products!$D$33,0)</f>
        <v/>
      </c>
      <c r="Q43" s="80">
        <f>P43*Products!$D$42*O43</f>
        <v/>
      </c>
      <c r="R43" s="80">
        <f>P43-Q43</f>
        <v/>
      </c>
      <c r="S43" s="80">
        <f>(1-O43)*MAX(0,Products!$D$16-$A43)*(Products!$D$33-Products!$D$35/Products!$D$16)</f>
        <v/>
      </c>
      <c r="T43" s="81">
        <f>IF($A43&lt;=Products!$D$16,O43,0)</f>
        <v/>
      </c>
      <c r="U43" s="81">
        <f>IF(AND($A43&gt;=1,$A43&lt;=Products!$D$16),O42-O43,0)</f>
        <v/>
      </c>
      <c r="V43" s="80">
        <f>IF(AND($A43-Inputs!$C$31&gt;=1,$A43-Inputs!$C$31&lt;=Products!$D$16),INDEX(Curves!$U$8:$U$68,$A43-Inputs!$C$31+1),0)*Products!$D$27*Products!$D$28*Products!$D$13*(1-Credit_Assumptions!$C$15)</f>
        <v/>
      </c>
      <c r="W43" s="80">
        <f>IF($A43=Inputs!$C$33,Products!$D$30*Inputs!$C$10*Inputs!$C$32,0)</f>
        <v/>
      </c>
      <c r="X43" s="80">
        <f>Q43*(1-Inputs!$C$24)-Inputs!$C$25*T43+V43+W43</f>
        <v/>
      </c>
      <c r="Y43" s="80">
        <f>Y42+X43</f>
        <v/>
      </c>
      <c r="Z43" s="80">
        <f>P43*(1-O43)</f>
        <v/>
      </c>
      <c r="AB43" s="81">
        <f>(1-Products!$E$41)^$A43</f>
        <v/>
      </c>
      <c r="AC43" s="80">
        <f>IF(AND($A43&gt;=1,$A43&lt;=Products!$E$16),Products!$E$33,0)</f>
        <v/>
      </c>
      <c r="AD43" s="80">
        <f>AC43*Products!$E$42*AB43</f>
        <v/>
      </c>
      <c r="AE43" s="80">
        <f>AC43-AD43</f>
        <v/>
      </c>
      <c r="AF43" s="80">
        <f>(1-AB43)*MAX(0,Products!$E$16-$A43)*(Products!$E$33-Products!$E$35/Products!$E$16)</f>
        <v/>
      </c>
      <c r="AG43" s="81">
        <f>IF($A43&lt;=Products!$E$16,AB43,0)</f>
        <v/>
      </c>
      <c r="AH43" s="81">
        <f>IF(AND($A43&gt;=1,$A43&lt;=Products!$E$16),AB42-AB43,0)</f>
        <v/>
      </c>
      <c r="AI43" s="80">
        <f>IF(AND($A43-Inputs!$C$31&gt;=1,$A43-Inputs!$C$31&lt;=Products!$E$16),INDEX(Curves!$AH$8:$AH$68,$A43-Inputs!$C$31+1),0)*Products!$E$27*Products!$E$28*Products!$E$13*(1-Credit_Assumptions!$C$15)</f>
        <v/>
      </c>
      <c r="AJ43" s="80">
        <f>IF($A43=Inputs!$C$33,Products!$E$30*Inputs!$C$10*Inputs!$C$32,0)</f>
        <v/>
      </c>
      <c r="AK43" s="80">
        <f>AD43*(1-Inputs!$C$24)-Inputs!$C$25*AG43+AI43+AJ43</f>
        <v/>
      </c>
      <c r="AL43" s="80">
        <f>AL42+AK43</f>
        <v/>
      </c>
      <c r="AM43" s="80">
        <f>AC43*(1-AB43)</f>
        <v/>
      </c>
      <c r="AO43" s="81">
        <f>(1-Products!$F$41)^$A43</f>
        <v/>
      </c>
      <c r="AP43" s="80">
        <f>IF(AND($A43&gt;=1,$A43&lt;=Products!$F$16),Products!$F$33,0)</f>
        <v/>
      </c>
      <c r="AQ43" s="80">
        <f>AP43*Products!$F$42*AO43</f>
        <v/>
      </c>
      <c r="AR43" s="80">
        <f>AP43-AQ43</f>
        <v/>
      </c>
      <c r="AS43" s="80">
        <f>(1-AO43)*MAX(0,Products!$F$16-$A43)*(Products!$F$33-Products!$F$35/Products!$F$16)</f>
        <v/>
      </c>
      <c r="AT43" s="81">
        <f>IF($A43&lt;=Products!$F$16,AO43,0)</f>
        <v/>
      </c>
      <c r="AU43" s="81">
        <f>IF(AND($A43&gt;=1,$A43&lt;=Products!$F$16),AO42-AO43,0)</f>
        <v/>
      </c>
      <c r="AV43" s="80">
        <f>IF(AND($A43-Inputs!$C$31&gt;=1,$A43-Inputs!$C$31&lt;=Products!$F$16),INDEX(Curves!$AU$8:$AU$68,$A43-Inputs!$C$31+1),0)*Products!$F$27*Products!$F$28*Products!$F$13*(1-Credit_Assumptions!$C$15)</f>
        <v/>
      </c>
      <c r="AW43" s="80">
        <f>IF($A43=Inputs!$C$33,Products!$F$30*Inputs!$C$10*Inputs!$C$32,0)</f>
        <v/>
      </c>
      <c r="AX43" s="80">
        <f>AQ43*(1-Inputs!$C$24)-Inputs!$C$25*AT43+AV43+AW43</f>
        <v/>
      </c>
      <c r="AY43" s="80">
        <f>AY42+AX43</f>
        <v/>
      </c>
      <c r="AZ43" s="80">
        <f>AP43*(1-AO43)</f>
        <v/>
      </c>
      <c r="BB43" s="81">
        <f>(1-Products!$G$41)^$A43</f>
        <v/>
      </c>
      <c r="BC43" s="80">
        <f>IF(AND($A43&gt;=1,$A43&lt;=Products!$G$16),Products!$G$33,0)</f>
        <v/>
      </c>
      <c r="BD43" s="80">
        <f>BC43*Products!$G$42*BB43</f>
        <v/>
      </c>
      <c r="BE43" s="80">
        <f>BC43-BD43</f>
        <v/>
      </c>
      <c r="BF43" s="80">
        <f>(1-BB43)*MAX(0,Products!$G$16-$A43)*(Products!$G$33-Products!$G$35/Products!$G$16)</f>
        <v/>
      </c>
      <c r="BG43" s="81">
        <f>IF($A43&lt;=Products!$G$16,BB43,0)</f>
        <v/>
      </c>
      <c r="BH43" s="81">
        <f>IF(AND($A43&gt;=1,$A43&lt;=Products!$G$16),BB42-BB43,0)</f>
        <v/>
      </c>
      <c r="BI43" s="80">
        <f>IF(AND($A43-Inputs!$C$31&gt;=1,$A43-Inputs!$C$31&lt;=Products!$G$16),INDEX(Curves!$BH$8:$BH$68,$A43-Inputs!$C$31+1),0)*Products!$G$27*Products!$G$28*Products!$G$13*(1-Credit_Assumptions!$C$15)</f>
        <v/>
      </c>
      <c r="BJ43" s="80">
        <f>IF($A43=Inputs!$C$33,Products!$G$30*Inputs!$C$10*Inputs!$C$32,0)</f>
        <v/>
      </c>
      <c r="BK43" s="80">
        <f>BD43*(1-Inputs!$C$24)-Inputs!$C$25*BG43+BI43+BJ43</f>
        <v/>
      </c>
      <c r="BL43" s="80">
        <f>BL42+BK43</f>
        <v/>
      </c>
      <c r="BM43" s="80">
        <f>BC43*(1-BB43)</f>
        <v/>
      </c>
    </row>
    <row r="44">
      <c r="A44" s="23" t="n">
        <v>36</v>
      </c>
      <c r="B44" s="81">
        <f>(1-Products!$C$41)^$A44</f>
        <v/>
      </c>
      <c r="C44" s="80">
        <f>IF(AND($A44&gt;=1,$A44&lt;=Products!$C$16),Products!$C$33,0)</f>
        <v/>
      </c>
      <c r="D44" s="80">
        <f>C44*Products!$C$42*B44</f>
        <v/>
      </c>
      <c r="E44" s="80">
        <f>C44-D44</f>
        <v/>
      </c>
      <c r="F44" s="80">
        <f>(1-B44)*MAX(0,Products!$C$16-$A44)*(Products!$C$33-Products!$C$35/Products!$C$16)</f>
        <v/>
      </c>
      <c r="G44" s="81">
        <f>IF($A44&lt;=Products!$C$16,B44,0)</f>
        <v/>
      </c>
      <c r="H44" s="81">
        <f>IF(AND($A44&gt;=1,$A44&lt;=Products!$C$16),B43-B44,0)</f>
        <v/>
      </c>
      <c r="I44" s="80">
        <f>IF(AND($A44-Inputs!$C$31&gt;=1,$A44-Inputs!$C$31&lt;=Products!$C$16),INDEX(Curves!$H$8:$H$68,$A44-Inputs!$C$31+1),0)*Products!$C$27*Products!$C$28*Products!$C$13*(1-Credit_Assumptions!$C$15)</f>
        <v/>
      </c>
      <c r="J44" s="80">
        <f>IF($A44=Inputs!$C$33,Products!$C$30*Inputs!$C$10*Inputs!$C$32,0)</f>
        <v/>
      </c>
      <c r="K44" s="80">
        <f>D44*(1-Inputs!$C$24)-Inputs!$C$25*G44+I44+J44</f>
        <v/>
      </c>
      <c r="L44" s="80">
        <f>L43+K44</f>
        <v/>
      </c>
      <c r="M44" s="80">
        <f>C44*(1-B44)</f>
        <v/>
      </c>
      <c r="O44" s="81">
        <f>(1-Products!$D$41)^$A44</f>
        <v/>
      </c>
      <c r="P44" s="80">
        <f>IF(AND($A44&gt;=1,$A44&lt;=Products!$D$16),Products!$D$33,0)</f>
        <v/>
      </c>
      <c r="Q44" s="80">
        <f>P44*Products!$D$42*O44</f>
        <v/>
      </c>
      <c r="R44" s="80">
        <f>P44-Q44</f>
        <v/>
      </c>
      <c r="S44" s="80">
        <f>(1-O44)*MAX(0,Products!$D$16-$A44)*(Products!$D$33-Products!$D$35/Products!$D$16)</f>
        <v/>
      </c>
      <c r="T44" s="81">
        <f>IF($A44&lt;=Products!$D$16,O44,0)</f>
        <v/>
      </c>
      <c r="U44" s="81">
        <f>IF(AND($A44&gt;=1,$A44&lt;=Products!$D$16),O43-O44,0)</f>
        <v/>
      </c>
      <c r="V44" s="80">
        <f>IF(AND($A44-Inputs!$C$31&gt;=1,$A44-Inputs!$C$31&lt;=Products!$D$16),INDEX(Curves!$U$8:$U$68,$A44-Inputs!$C$31+1),0)*Products!$D$27*Products!$D$28*Products!$D$13*(1-Credit_Assumptions!$C$15)</f>
        <v/>
      </c>
      <c r="W44" s="80">
        <f>IF($A44=Inputs!$C$33,Products!$D$30*Inputs!$C$10*Inputs!$C$32,0)</f>
        <v/>
      </c>
      <c r="X44" s="80">
        <f>Q44*(1-Inputs!$C$24)-Inputs!$C$25*T44+V44+W44</f>
        <v/>
      </c>
      <c r="Y44" s="80">
        <f>Y43+X44</f>
        <v/>
      </c>
      <c r="Z44" s="80">
        <f>P44*(1-O44)</f>
        <v/>
      </c>
      <c r="AB44" s="81">
        <f>(1-Products!$E$41)^$A44</f>
        <v/>
      </c>
      <c r="AC44" s="80">
        <f>IF(AND($A44&gt;=1,$A44&lt;=Products!$E$16),Products!$E$33,0)</f>
        <v/>
      </c>
      <c r="AD44" s="80">
        <f>AC44*Products!$E$42*AB44</f>
        <v/>
      </c>
      <c r="AE44" s="80">
        <f>AC44-AD44</f>
        <v/>
      </c>
      <c r="AF44" s="80">
        <f>(1-AB44)*MAX(0,Products!$E$16-$A44)*(Products!$E$33-Products!$E$35/Products!$E$16)</f>
        <v/>
      </c>
      <c r="AG44" s="81">
        <f>IF($A44&lt;=Products!$E$16,AB44,0)</f>
        <v/>
      </c>
      <c r="AH44" s="81">
        <f>IF(AND($A44&gt;=1,$A44&lt;=Products!$E$16),AB43-AB44,0)</f>
        <v/>
      </c>
      <c r="AI44" s="80">
        <f>IF(AND($A44-Inputs!$C$31&gt;=1,$A44-Inputs!$C$31&lt;=Products!$E$16),INDEX(Curves!$AH$8:$AH$68,$A44-Inputs!$C$31+1),0)*Products!$E$27*Products!$E$28*Products!$E$13*(1-Credit_Assumptions!$C$15)</f>
        <v/>
      </c>
      <c r="AJ44" s="80">
        <f>IF($A44=Inputs!$C$33,Products!$E$30*Inputs!$C$10*Inputs!$C$32,0)</f>
        <v/>
      </c>
      <c r="AK44" s="80">
        <f>AD44*(1-Inputs!$C$24)-Inputs!$C$25*AG44+AI44+AJ44</f>
        <v/>
      </c>
      <c r="AL44" s="80">
        <f>AL43+AK44</f>
        <v/>
      </c>
      <c r="AM44" s="80">
        <f>AC44*(1-AB44)</f>
        <v/>
      </c>
      <c r="AO44" s="81">
        <f>(1-Products!$F$41)^$A44</f>
        <v/>
      </c>
      <c r="AP44" s="80">
        <f>IF(AND($A44&gt;=1,$A44&lt;=Products!$F$16),Products!$F$33,0)</f>
        <v/>
      </c>
      <c r="AQ44" s="80">
        <f>AP44*Products!$F$42*AO44</f>
        <v/>
      </c>
      <c r="AR44" s="80">
        <f>AP44-AQ44</f>
        <v/>
      </c>
      <c r="AS44" s="80">
        <f>(1-AO44)*MAX(0,Products!$F$16-$A44)*(Products!$F$33-Products!$F$35/Products!$F$16)</f>
        <v/>
      </c>
      <c r="AT44" s="81">
        <f>IF($A44&lt;=Products!$F$16,AO44,0)</f>
        <v/>
      </c>
      <c r="AU44" s="81">
        <f>IF(AND($A44&gt;=1,$A44&lt;=Products!$F$16),AO43-AO44,0)</f>
        <v/>
      </c>
      <c r="AV44" s="80">
        <f>IF(AND($A44-Inputs!$C$31&gt;=1,$A44-Inputs!$C$31&lt;=Products!$F$16),INDEX(Curves!$AU$8:$AU$68,$A44-Inputs!$C$31+1),0)*Products!$F$27*Products!$F$28*Products!$F$13*(1-Credit_Assumptions!$C$15)</f>
        <v/>
      </c>
      <c r="AW44" s="80">
        <f>IF($A44=Inputs!$C$33,Products!$F$30*Inputs!$C$10*Inputs!$C$32,0)</f>
        <v/>
      </c>
      <c r="AX44" s="80">
        <f>AQ44*(1-Inputs!$C$24)-Inputs!$C$25*AT44+AV44+AW44</f>
        <v/>
      </c>
      <c r="AY44" s="80">
        <f>AY43+AX44</f>
        <v/>
      </c>
      <c r="AZ44" s="80">
        <f>AP44*(1-AO44)</f>
        <v/>
      </c>
      <c r="BB44" s="81">
        <f>(1-Products!$G$41)^$A44</f>
        <v/>
      </c>
      <c r="BC44" s="80">
        <f>IF(AND($A44&gt;=1,$A44&lt;=Products!$G$16),Products!$G$33,0)</f>
        <v/>
      </c>
      <c r="BD44" s="80">
        <f>BC44*Products!$G$42*BB44</f>
        <v/>
      </c>
      <c r="BE44" s="80">
        <f>BC44-BD44</f>
        <v/>
      </c>
      <c r="BF44" s="80">
        <f>(1-BB44)*MAX(0,Products!$G$16-$A44)*(Products!$G$33-Products!$G$35/Products!$G$16)</f>
        <v/>
      </c>
      <c r="BG44" s="81">
        <f>IF($A44&lt;=Products!$G$16,BB44,0)</f>
        <v/>
      </c>
      <c r="BH44" s="81">
        <f>IF(AND($A44&gt;=1,$A44&lt;=Products!$G$16),BB43-BB44,0)</f>
        <v/>
      </c>
      <c r="BI44" s="80">
        <f>IF(AND($A44-Inputs!$C$31&gt;=1,$A44-Inputs!$C$31&lt;=Products!$G$16),INDEX(Curves!$BH$8:$BH$68,$A44-Inputs!$C$31+1),0)*Products!$G$27*Products!$G$28*Products!$G$13*(1-Credit_Assumptions!$C$15)</f>
        <v/>
      </c>
      <c r="BJ44" s="80">
        <f>IF($A44=Inputs!$C$33,Products!$G$30*Inputs!$C$10*Inputs!$C$32,0)</f>
        <v/>
      </c>
      <c r="BK44" s="80">
        <f>BD44*(1-Inputs!$C$24)-Inputs!$C$25*BG44+BI44+BJ44</f>
        <v/>
      </c>
      <c r="BL44" s="80">
        <f>BL43+BK44</f>
        <v/>
      </c>
      <c r="BM44" s="80">
        <f>BC44*(1-BB44)</f>
        <v/>
      </c>
    </row>
    <row r="45">
      <c r="A45" s="23" t="n">
        <v>37</v>
      </c>
      <c r="B45" s="81">
        <f>(1-Products!$C$41)^$A45</f>
        <v/>
      </c>
      <c r="C45" s="80">
        <f>IF(AND($A45&gt;=1,$A45&lt;=Products!$C$16),Products!$C$33,0)</f>
        <v/>
      </c>
      <c r="D45" s="80">
        <f>C45*Products!$C$42*B45</f>
        <v/>
      </c>
      <c r="E45" s="80">
        <f>C45-D45</f>
        <v/>
      </c>
      <c r="F45" s="80">
        <f>(1-B45)*MAX(0,Products!$C$16-$A45)*(Products!$C$33-Products!$C$35/Products!$C$16)</f>
        <v/>
      </c>
      <c r="G45" s="81">
        <f>IF($A45&lt;=Products!$C$16,B45,0)</f>
        <v/>
      </c>
      <c r="H45" s="81">
        <f>IF(AND($A45&gt;=1,$A45&lt;=Products!$C$16),B44-B45,0)</f>
        <v/>
      </c>
      <c r="I45" s="80">
        <f>IF(AND($A45-Inputs!$C$31&gt;=1,$A45-Inputs!$C$31&lt;=Products!$C$16),INDEX(Curves!$H$8:$H$68,$A45-Inputs!$C$31+1),0)*Products!$C$27*Products!$C$28*Products!$C$13*(1-Credit_Assumptions!$C$15)</f>
        <v/>
      </c>
      <c r="J45" s="80">
        <f>IF($A45=Inputs!$C$33,Products!$C$30*Inputs!$C$10*Inputs!$C$32,0)</f>
        <v/>
      </c>
      <c r="K45" s="80">
        <f>D45*(1-Inputs!$C$24)-Inputs!$C$25*G45+I45+J45</f>
        <v/>
      </c>
      <c r="L45" s="80">
        <f>L44+K45</f>
        <v/>
      </c>
      <c r="M45" s="80">
        <f>C45*(1-B45)</f>
        <v/>
      </c>
      <c r="O45" s="81">
        <f>(1-Products!$D$41)^$A45</f>
        <v/>
      </c>
      <c r="P45" s="80">
        <f>IF(AND($A45&gt;=1,$A45&lt;=Products!$D$16),Products!$D$33,0)</f>
        <v/>
      </c>
      <c r="Q45" s="80">
        <f>P45*Products!$D$42*O45</f>
        <v/>
      </c>
      <c r="R45" s="80">
        <f>P45-Q45</f>
        <v/>
      </c>
      <c r="S45" s="80">
        <f>(1-O45)*MAX(0,Products!$D$16-$A45)*(Products!$D$33-Products!$D$35/Products!$D$16)</f>
        <v/>
      </c>
      <c r="T45" s="81">
        <f>IF($A45&lt;=Products!$D$16,O45,0)</f>
        <v/>
      </c>
      <c r="U45" s="81">
        <f>IF(AND($A45&gt;=1,$A45&lt;=Products!$D$16),O44-O45,0)</f>
        <v/>
      </c>
      <c r="V45" s="80">
        <f>IF(AND($A45-Inputs!$C$31&gt;=1,$A45-Inputs!$C$31&lt;=Products!$D$16),INDEX(Curves!$U$8:$U$68,$A45-Inputs!$C$31+1),0)*Products!$D$27*Products!$D$28*Products!$D$13*(1-Credit_Assumptions!$C$15)</f>
        <v/>
      </c>
      <c r="W45" s="80">
        <f>IF($A45=Inputs!$C$33,Products!$D$30*Inputs!$C$10*Inputs!$C$32,0)</f>
        <v/>
      </c>
      <c r="X45" s="80">
        <f>Q45*(1-Inputs!$C$24)-Inputs!$C$25*T45+V45+W45</f>
        <v/>
      </c>
      <c r="Y45" s="80">
        <f>Y44+X45</f>
        <v/>
      </c>
      <c r="Z45" s="80">
        <f>P45*(1-O45)</f>
        <v/>
      </c>
      <c r="AB45" s="81">
        <f>(1-Products!$E$41)^$A45</f>
        <v/>
      </c>
      <c r="AC45" s="80">
        <f>IF(AND($A45&gt;=1,$A45&lt;=Products!$E$16),Products!$E$33,0)</f>
        <v/>
      </c>
      <c r="AD45" s="80">
        <f>AC45*Products!$E$42*AB45</f>
        <v/>
      </c>
      <c r="AE45" s="80">
        <f>AC45-AD45</f>
        <v/>
      </c>
      <c r="AF45" s="80">
        <f>(1-AB45)*MAX(0,Products!$E$16-$A45)*(Products!$E$33-Products!$E$35/Products!$E$16)</f>
        <v/>
      </c>
      <c r="AG45" s="81">
        <f>IF($A45&lt;=Products!$E$16,AB45,0)</f>
        <v/>
      </c>
      <c r="AH45" s="81">
        <f>IF(AND($A45&gt;=1,$A45&lt;=Products!$E$16),AB44-AB45,0)</f>
        <v/>
      </c>
      <c r="AI45" s="80">
        <f>IF(AND($A45-Inputs!$C$31&gt;=1,$A45-Inputs!$C$31&lt;=Products!$E$16),INDEX(Curves!$AH$8:$AH$68,$A45-Inputs!$C$31+1),0)*Products!$E$27*Products!$E$28*Products!$E$13*(1-Credit_Assumptions!$C$15)</f>
        <v/>
      </c>
      <c r="AJ45" s="80">
        <f>IF($A45=Inputs!$C$33,Products!$E$30*Inputs!$C$10*Inputs!$C$32,0)</f>
        <v/>
      </c>
      <c r="AK45" s="80">
        <f>AD45*(1-Inputs!$C$24)-Inputs!$C$25*AG45+AI45+AJ45</f>
        <v/>
      </c>
      <c r="AL45" s="80">
        <f>AL44+AK45</f>
        <v/>
      </c>
      <c r="AM45" s="80">
        <f>AC45*(1-AB45)</f>
        <v/>
      </c>
      <c r="AO45" s="81">
        <f>(1-Products!$F$41)^$A45</f>
        <v/>
      </c>
      <c r="AP45" s="80">
        <f>IF(AND($A45&gt;=1,$A45&lt;=Products!$F$16),Products!$F$33,0)</f>
        <v/>
      </c>
      <c r="AQ45" s="80">
        <f>AP45*Products!$F$42*AO45</f>
        <v/>
      </c>
      <c r="AR45" s="80">
        <f>AP45-AQ45</f>
        <v/>
      </c>
      <c r="AS45" s="80">
        <f>(1-AO45)*MAX(0,Products!$F$16-$A45)*(Products!$F$33-Products!$F$35/Products!$F$16)</f>
        <v/>
      </c>
      <c r="AT45" s="81">
        <f>IF($A45&lt;=Products!$F$16,AO45,0)</f>
        <v/>
      </c>
      <c r="AU45" s="81">
        <f>IF(AND($A45&gt;=1,$A45&lt;=Products!$F$16),AO44-AO45,0)</f>
        <v/>
      </c>
      <c r="AV45" s="80">
        <f>IF(AND($A45-Inputs!$C$31&gt;=1,$A45-Inputs!$C$31&lt;=Products!$F$16),INDEX(Curves!$AU$8:$AU$68,$A45-Inputs!$C$31+1),0)*Products!$F$27*Products!$F$28*Products!$F$13*(1-Credit_Assumptions!$C$15)</f>
        <v/>
      </c>
      <c r="AW45" s="80">
        <f>IF($A45=Inputs!$C$33,Products!$F$30*Inputs!$C$10*Inputs!$C$32,0)</f>
        <v/>
      </c>
      <c r="AX45" s="80">
        <f>AQ45*(1-Inputs!$C$24)-Inputs!$C$25*AT45+AV45+AW45</f>
        <v/>
      </c>
      <c r="AY45" s="80">
        <f>AY44+AX45</f>
        <v/>
      </c>
      <c r="AZ45" s="80">
        <f>AP45*(1-AO45)</f>
        <v/>
      </c>
      <c r="BB45" s="81">
        <f>(1-Products!$G$41)^$A45</f>
        <v/>
      </c>
      <c r="BC45" s="80">
        <f>IF(AND($A45&gt;=1,$A45&lt;=Products!$G$16),Products!$G$33,0)</f>
        <v/>
      </c>
      <c r="BD45" s="80">
        <f>BC45*Products!$G$42*BB45</f>
        <v/>
      </c>
      <c r="BE45" s="80">
        <f>BC45-BD45</f>
        <v/>
      </c>
      <c r="BF45" s="80">
        <f>(1-BB45)*MAX(0,Products!$G$16-$A45)*(Products!$G$33-Products!$G$35/Products!$G$16)</f>
        <v/>
      </c>
      <c r="BG45" s="81">
        <f>IF($A45&lt;=Products!$G$16,BB45,0)</f>
        <v/>
      </c>
      <c r="BH45" s="81">
        <f>IF(AND($A45&gt;=1,$A45&lt;=Products!$G$16),BB44-BB45,0)</f>
        <v/>
      </c>
      <c r="BI45" s="80">
        <f>IF(AND($A45-Inputs!$C$31&gt;=1,$A45-Inputs!$C$31&lt;=Products!$G$16),INDEX(Curves!$BH$8:$BH$68,$A45-Inputs!$C$31+1),0)*Products!$G$27*Products!$G$28*Products!$G$13*(1-Credit_Assumptions!$C$15)</f>
        <v/>
      </c>
      <c r="BJ45" s="80">
        <f>IF($A45=Inputs!$C$33,Products!$G$30*Inputs!$C$10*Inputs!$C$32,0)</f>
        <v/>
      </c>
      <c r="BK45" s="80">
        <f>BD45*(1-Inputs!$C$24)-Inputs!$C$25*BG45+BI45+BJ45</f>
        <v/>
      </c>
      <c r="BL45" s="80">
        <f>BL44+BK45</f>
        <v/>
      </c>
      <c r="BM45" s="80">
        <f>BC45*(1-BB45)</f>
        <v/>
      </c>
    </row>
    <row r="46">
      <c r="A46" s="23" t="n">
        <v>38</v>
      </c>
      <c r="B46" s="81">
        <f>(1-Products!$C$41)^$A46</f>
        <v/>
      </c>
      <c r="C46" s="80">
        <f>IF(AND($A46&gt;=1,$A46&lt;=Products!$C$16),Products!$C$33,0)</f>
        <v/>
      </c>
      <c r="D46" s="80">
        <f>C46*Products!$C$42*B46</f>
        <v/>
      </c>
      <c r="E46" s="80">
        <f>C46-D46</f>
        <v/>
      </c>
      <c r="F46" s="80">
        <f>(1-B46)*MAX(0,Products!$C$16-$A46)*(Products!$C$33-Products!$C$35/Products!$C$16)</f>
        <v/>
      </c>
      <c r="G46" s="81">
        <f>IF($A46&lt;=Products!$C$16,B46,0)</f>
        <v/>
      </c>
      <c r="H46" s="81">
        <f>IF(AND($A46&gt;=1,$A46&lt;=Products!$C$16),B45-B46,0)</f>
        <v/>
      </c>
      <c r="I46" s="80">
        <f>IF(AND($A46-Inputs!$C$31&gt;=1,$A46-Inputs!$C$31&lt;=Products!$C$16),INDEX(Curves!$H$8:$H$68,$A46-Inputs!$C$31+1),0)*Products!$C$27*Products!$C$28*Products!$C$13*(1-Credit_Assumptions!$C$15)</f>
        <v/>
      </c>
      <c r="J46" s="80">
        <f>IF($A46=Inputs!$C$33,Products!$C$30*Inputs!$C$10*Inputs!$C$32,0)</f>
        <v/>
      </c>
      <c r="K46" s="80">
        <f>D46*(1-Inputs!$C$24)-Inputs!$C$25*G46+I46+J46</f>
        <v/>
      </c>
      <c r="L46" s="80">
        <f>L45+K46</f>
        <v/>
      </c>
      <c r="M46" s="80">
        <f>C46*(1-B46)</f>
        <v/>
      </c>
      <c r="O46" s="81">
        <f>(1-Products!$D$41)^$A46</f>
        <v/>
      </c>
      <c r="P46" s="80">
        <f>IF(AND($A46&gt;=1,$A46&lt;=Products!$D$16),Products!$D$33,0)</f>
        <v/>
      </c>
      <c r="Q46" s="80">
        <f>P46*Products!$D$42*O46</f>
        <v/>
      </c>
      <c r="R46" s="80">
        <f>P46-Q46</f>
        <v/>
      </c>
      <c r="S46" s="80">
        <f>(1-O46)*MAX(0,Products!$D$16-$A46)*(Products!$D$33-Products!$D$35/Products!$D$16)</f>
        <v/>
      </c>
      <c r="T46" s="81">
        <f>IF($A46&lt;=Products!$D$16,O46,0)</f>
        <v/>
      </c>
      <c r="U46" s="81">
        <f>IF(AND($A46&gt;=1,$A46&lt;=Products!$D$16),O45-O46,0)</f>
        <v/>
      </c>
      <c r="V46" s="80">
        <f>IF(AND($A46-Inputs!$C$31&gt;=1,$A46-Inputs!$C$31&lt;=Products!$D$16),INDEX(Curves!$U$8:$U$68,$A46-Inputs!$C$31+1),0)*Products!$D$27*Products!$D$28*Products!$D$13*(1-Credit_Assumptions!$C$15)</f>
        <v/>
      </c>
      <c r="W46" s="80">
        <f>IF($A46=Inputs!$C$33,Products!$D$30*Inputs!$C$10*Inputs!$C$32,0)</f>
        <v/>
      </c>
      <c r="X46" s="80">
        <f>Q46*(1-Inputs!$C$24)-Inputs!$C$25*T46+V46+W46</f>
        <v/>
      </c>
      <c r="Y46" s="80">
        <f>Y45+X46</f>
        <v/>
      </c>
      <c r="Z46" s="80">
        <f>P46*(1-O46)</f>
        <v/>
      </c>
      <c r="AB46" s="81">
        <f>(1-Products!$E$41)^$A46</f>
        <v/>
      </c>
      <c r="AC46" s="80">
        <f>IF(AND($A46&gt;=1,$A46&lt;=Products!$E$16),Products!$E$33,0)</f>
        <v/>
      </c>
      <c r="AD46" s="80">
        <f>AC46*Products!$E$42*AB46</f>
        <v/>
      </c>
      <c r="AE46" s="80">
        <f>AC46-AD46</f>
        <v/>
      </c>
      <c r="AF46" s="80">
        <f>(1-AB46)*MAX(0,Products!$E$16-$A46)*(Products!$E$33-Products!$E$35/Products!$E$16)</f>
        <v/>
      </c>
      <c r="AG46" s="81">
        <f>IF($A46&lt;=Products!$E$16,AB46,0)</f>
        <v/>
      </c>
      <c r="AH46" s="81">
        <f>IF(AND($A46&gt;=1,$A46&lt;=Products!$E$16),AB45-AB46,0)</f>
        <v/>
      </c>
      <c r="AI46" s="80">
        <f>IF(AND($A46-Inputs!$C$31&gt;=1,$A46-Inputs!$C$31&lt;=Products!$E$16),INDEX(Curves!$AH$8:$AH$68,$A46-Inputs!$C$31+1),0)*Products!$E$27*Products!$E$28*Products!$E$13*(1-Credit_Assumptions!$C$15)</f>
        <v/>
      </c>
      <c r="AJ46" s="80">
        <f>IF($A46=Inputs!$C$33,Products!$E$30*Inputs!$C$10*Inputs!$C$32,0)</f>
        <v/>
      </c>
      <c r="AK46" s="80">
        <f>AD46*(1-Inputs!$C$24)-Inputs!$C$25*AG46+AI46+AJ46</f>
        <v/>
      </c>
      <c r="AL46" s="80">
        <f>AL45+AK46</f>
        <v/>
      </c>
      <c r="AM46" s="80">
        <f>AC46*(1-AB46)</f>
        <v/>
      </c>
      <c r="AO46" s="81">
        <f>(1-Products!$F$41)^$A46</f>
        <v/>
      </c>
      <c r="AP46" s="80">
        <f>IF(AND($A46&gt;=1,$A46&lt;=Products!$F$16),Products!$F$33,0)</f>
        <v/>
      </c>
      <c r="AQ46" s="80">
        <f>AP46*Products!$F$42*AO46</f>
        <v/>
      </c>
      <c r="AR46" s="80">
        <f>AP46-AQ46</f>
        <v/>
      </c>
      <c r="AS46" s="80">
        <f>(1-AO46)*MAX(0,Products!$F$16-$A46)*(Products!$F$33-Products!$F$35/Products!$F$16)</f>
        <v/>
      </c>
      <c r="AT46" s="81">
        <f>IF($A46&lt;=Products!$F$16,AO46,0)</f>
        <v/>
      </c>
      <c r="AU46" s="81">
        <f>IF(AND($A46&gt;=1,$A46&lt;=Products!$F$16),AO45-AO46,0)</f>
        <v/>
      </c>
      <c r="AV46" s="80">
        <f>IF(AND($A46-Inputs!$C$31&gt;=1,$A46-Inputs!$C$31&lt;=Products!$F$16),INDEX(Curves!$AU$8:$AU$68,$A46-Inputs!$C$31+1),0)*Products!$F$27*Products!$F$28*Products!$F$13*(1-Credit_Assumptions!$C$15)</f>
        <v/>
      </c>
      <c r="AW46" s="80">
        <f>IF($A46=Inputs!$C$33,Products!$F$30*Inputs!$C$10*Inputs!$C$32,0)</f>
        <v/>
      </c>
      <c r="AX46" s="80">
        <f>AQ46*(1-Inputs!$C$24)-Inputs!$C$25*AT46+AV46+AW46</f>
        <v/>
      </c>
      <c r="AY46" s="80">
        <f>AY45+AX46</f>
        <v/>
      </c>
      <c r="AZ46" s="80">
        <f>AP46*(1-AO46)</f>
        <v/>
      </c>
      <c r="BB46" s="81">
        <f>(1-Products!$G$41)^$A46</f>
        <v/>
      </c>
      <c r="BC46" s="80">
        <f>IF(AND($A46&gt;=1,$A46&lt;=Products!$G$16),Products!$G$33,0)</f>
        <v/>
      </c>
      <c r="BD46" s="80">
        <f>BC46*Products!$G$42*BB46</f>
        <v/>
      </c>
      <c r="BE46" s="80">
        <f>BC46-BD46</f>
        <v/>
      </c>
      <c r="BF46" s="80">
        <f>(1-BB46)*MAX(0,Products!$G$16-$A46)*(Products!$G$33-Products!$G$35/Products!$G$16)</f>
        <v/>
      </c>
      <c r="BG46" s="81">
        <f>IF($A46&lt;=Products!$G$16,BB46,0)</f>
        <v/>
      </c>
      <c r="BH46" s="81">
        <f>IF(AND($A46&gt;=1,$A46&lt;=Products!$G$16),BB45-BB46,0)</f>
        <v/>
      </c>
      <c r="BI46" s="80">
        <f>IF(AND($A46-Inputs!$C$31&gt;=1,$A46-Inputs!$C$31&lt;=Products!$G$16),INDEX(Curves!$BH$8:$BH$68,$A46-Inputs!$C$31+1),0)*Products!$G$27*Products!$G$28*Products!$G$13*(1-Credit_Assumptions!$C$15)</f>
        <v/>
      </c>
      <c r="BJ46" s="80">
        <f>IF($A46=Inputs!$C$33,Products!$G$30*Inputs!$C$10*Inputs!$C$32,0)</f>
        <v/>
      </c>
      <c r="BK46" s="80">
        <f>BD46*(1-Inputs!$C$24)-Inputs!$C$25*BG46+BI46+BJ46</f>
        <v/>
      </c>
      <c r="BL46" s="80">
        <f>BL45+BK46</f>
        <v/>
      </c>
      <c r="BM46" s="80">
        <f>BC46*(1-BB46)</f>
        <v/>
      </c>
    </row>
    <row r="47">
      <c r="A47" s="23" t="n">
        <v>39</v>
      </c>
      <c r="B47" s="81">
        <f>(1-Products!$C$41)^$A47</f>
        <v/>
      </c>
      <c r="C47" s="80">
        <f>IF(AND($A47&gt;=1,$A47&lt;=Products!$C$16),Products!$C$33,0)</f>
        <v/>
      </c>
      <c r="D47" s="80">
        <f>C47*Products!$C$42*B47</f>
        <v/>
      </c>
      <c r="E47" s="80">
        <f>C47-D47</f>
        <v/>
      </c>
      <c r="F47" s="80">
        <f>(1-B47)*MAX(0,Products!$C$16-$A47)*(Products!$C$33-Products!$C$35/Products!$C$16)</f>
        <v/>
      </c>
      <c r="G47" s="81">
        <f>IF($A47&lt;=Products!$C$16,B47,0)</f>
        <v/>
      </c>
      <c r="H47" s="81">
        <f>IF(AND($A47&gt;=1,$A47&lt;=Products!$C$16),B46-B47,0)</f>
        <v/>
      </c>
      <c r="I47" s="80">
        <f>IF(AND($A47-Inputs!$C$31&gt;=1,$A47-Inputs!$C$31&lt;=Products!$C$16),INDEX(Curves!$H$8:$H$68,$A47-Inputs!$C$31+1),0)*Products!$C$27*Products!$C$28*Products!$C$13*(1-Credit_Assumptions!$C$15)</f>
        <v/>
      </c>
      <c r="J47" s="80">
        <f>IF($A47=Inputs!$C$33,Products!$C$30*Inputs!$C$10*Inputs!$C$32,0)</f>
        <v/>
      </c>
      <c r="K47" s="80">
        <f>D47*(1-Inputs!$C$24)-Inputs!$C$25*G47+I47+J47</f>
        <v/>
      </c>
      <c r="L47" s="80">
        <f>L46+K47</f>
        <v/>
      </c>
      <c r="M47" s="80">
        <f>C47*(1-B47)</f>
        <v/>
      </c>
      <c r="O47" s="81">
        <f>(1-Products!$D$41)^$A47</f>
        <v/>
      </c>
      <c r="P47" s="80">
        <f>IF(AND($A47&gt;=1,$A47&lt;=Products!$D$16),Products!$D$33,0)</f>
        <v/>
      </c>
      <c r="Q47" s="80">
        <f>P47*Products!$D$42*O47</f>
        <v/>
      </c>
      <c r="R47" s="80">
        <f>P47-Q47</f>
        <v/>
      </c>
      <c r="S47" s="80">
        <f>(1-O47)*MAX(0,Products!$D$16-$A47)*(Products!$D$33-Products!$D$35/Products!$D$16)</f>
        <v/>
      </c>
      <c r="T47" s="81">
        <f>IF($A47&lt;=Products!$D$16,O47,0)</f>
        <v/>
      </c>
      <c r="U47" s="81">
        <f>IF(AND($A47&gt;=1,$A47&lt;=Products!$D$16),O46-O47,0)</f>
        <v/>
      </c>
      <c r="V47" s="80">
        <f>IF(AND($A47-Inputs!$C$31&gt;=1,$A47-Inputs!$C$31&lt;=Products!$D$16),INDEX(Curves!$U$8:$U$68,$A47-Inputs!$C$31+1),0)*Products!$D$27*Products!$D$28*Products!$D$13*(1-Credit_Assumptions!$C$15)</f>
        <v/>
      </c>
      <c r="W47" s="80">
        <f>IF($A47=Inputs!$C$33,Products!$D$30*Inputs!$C$10*Inputs!$C$32,0)</f>
        <v/>
      </c>
      <c r="X47" s="80">
        <f>Q47*(1-Inputs!$C$24)-Inputs!$C$25*T47+V47+W47</f>
        <v/>
      </c>
      <c r="Y47" s="80">
        <f>Y46+X47</f>
        <v/>
      </c>
      <c r="Z47" s="80">
        <f>P47*(1-O47)</f>
        <v/>
      </c>
      <c r="AB47" s="81">
        <f>(1-Products!$E$41)^$A47</f>
        <v/>
      </c>
      <c r="AC47" s="80">
        <f>IF(AND($A47&gt;=1,$A47&lt;=Products!$E$16),Products!$E$33,0)</f>
        <v/>
      </c>
      <c r="AD47" s="80">
        <f>AC47*Products!$E$42*AB47</f>
        <v/>
      </c>
      <c r="AE47" s="80">
        <f>AC47-AD47</f>
        <v/>
      </c>
      <c r="AF47" s="80">
        <f>(1-AB47)*MAX(0,Products!$E$16-$A47)*(Products!$E$33-Products!$E$35/Products!$E$16)</f>
        <v/>
      </c>
      <c r="AG47" s="81">
        <f>IF($A47&lt;=Products!$E$16,AB47,0)</f>
        <v/>
      </c>
      <c r="AH47" s="81">
        <f>IF(AND($A47&gt;=1,$A47&lt;=Products!$E$16),AB46-AB47,0)</f>
        <v/>
      </c>
      <c r="AI47" s="80">
        <f>IF(AND($A47-Inputs!$C$31&gt;=1,$A47-Inputs!$C$31&lt;=Products!$E$16),INDEX(Curves!$AH$8:$AH$68,$A47-Inputs!$C$31+1),0)*Products!$E$27*Products!$E$28*Products!$E$13*(1-Credit_Assumptions!$C$15)</f>
        <v/>
      </c>
      <c r="AJ47" s="80">
        <f>IF($A47=Inputs!$C$33,Products!$E$30*Inputs!$C$10*Inputs!$C$32,0)</f>
        <v/>
      </c>
      <c r="AK47" s="80">
        <f>AD47*(1-Inputs!$C$24)-Inputs!$C$25*AG47+AI47+AJ47</f>
        <v/>
      </c>
      <c r="AL47" s="80">
        <f>AL46+AK47</f>
        <v/>
      </c>
      <c r="AM47" s="80">
        <f>AC47*(1-AB47)</f>
        <v/>
      </c>
      <c r="AO47" s="81">
        <f>(1-Products!$F$41)^$A47</f>
        <v/>
      </c>
      <c r="AP47" s="80">
        <f>IF(AND($A47&gt;=1,$A47&lt;=Products!$F$16),Products!$F$33,0)</f>
        <v/>
      </c>
      <c r="AQ47" s="80">
        <f>AP47*Products!$F$42*AO47</f>
        <v/>
      </c>
      <c r="AR47" s="80">
        <f>AP47-AQ47</f>
        <v/>
      </c>
      <c r="AS47" s="80">
        <f>(1-AO47)*MAX(0,Products!$F$16-$A47)*(Products!$F$33-Products!$F$35/Products!$F$16)</f>
        <v/>
      </c>
      <c r="AT47" s="81">
        <f>IF($A47&lt;=Products!$F$16,AO47,0)</f>
        <v/>
      </c>
      <c r="AU47" s="81">
        <f>IF(AND($A47&gt;=1,$A47&lt;=Products!$F$16),AO46-AO47,0)</f>
        <v/>
      </c>
      <c r="AV47" s="80">
        <f>IF(AND($A47-Inputs!$C$31&gt;=1,$A47-Inputs!$C$31&lt;=Products!$F$16),INDEX(Curves!$AU$8:$AU$68,$A47-Inputs!$C$31+1),0)*Products!$F$27*Products!$F$28*Products!$F$13*(1-Credit_Assumptions!$C$15)</f>
        <v/>
      </c>
      <c r="AW47" s="80">
        <f>IF($A47=Inputs!$C$33,Products!$F$30*Inputs!$C$10*Inputs!$C$32,0)</f>
        <v/>
      </c>
      <c r="AX47" s="80">
        <f>AQ47*(1-Inputs!$C$24)-Inputs!$C$25*AT47+AV47+AW47</f>
        <v/>
      </c>
      <c r="AY47" s="80">
        <f>AY46+AX47</f>
        <v/>
      </c>
      <c r="AZ47" s="80">
        <f>AP47*(1-AO47)</f>
        <v/>
      </c>
      <c r="BB47" s="81">
        <f>(1-Products!$G$41)^$A47</f>
        <v/>
      </c>
      <c r="BC47" s="80">
        <f>IF(AND($A47&gt;=1,$A47&lt;=Products!$G$16),Products!$G$33,0)</f>
        <v/>
      </c>
      <c r="BD47" s="80">
        <f>BC47*Products!$G$42*BB47</f>
        <v/>
      </c>
      <c r="BE47" s="80">
        <f>BC47-BD47</f>
        <v/>
      </c>
      <c r="BF47" s="80">
        <f>(1-BB47)*MAX(0,Products!$G$16-$A47)*(Products!$G$33-Products!$G$35/Products!$G$16)</f>
        <v/>
      </c>
      <c r="BG47" s="81">
        <f>IF($A47&lt;=Products!$G$16,BB47,0)</f>
        <v/>
      </c>
      <c r="BH47" s="81">
        <f>IF(AND($A47&gt;=1,$A47&lt;=Products!$G$16),BB46-BB47,0)</f>
        <v/>
      </c>
      <c r="BI47" s="80">
        <f>IF(AND($A47-Inputs!$C$31&gt;=1,$A47-Inputs!$C$31&lt;=Products!$G$16),INDEX(Curves!$BH$8:$BH$68,$A47-Inputs!$C$31+1),0)*Products!$G$27*Products!$G$28*Products!$G$13*(1-Credit_Assumptions!$C$15)</f>
        <v/>
      </c>
      <c r="BJ47" s="80">
        <f>IF($A47=Inputs!$C$33,Products!$G$30*Inputs!$C$10*Inputs!$C$32,0)</f>
        <v/>
      </c>
      <c r="BK47" s="80">
        <f>BD47*(1-Inputs!$C$24)-Inputs!$C$25*BG47+BI47+BJ47</f>
        <v/>
      </c>
      <c r="BL47" s="80">
        <f>BL46+BK47</f>
        <v/>
      </c>
      <c r="BM47" s="80">
        <f>BC47*(1-BB47)</f>
        <v/>
      </c>
    </row>
    <row r="48">
      <c r="A48" s="23" t="n">
        <v>40</v>
      </c>
      <c r="B48" s="81">
        <f>(1-Products!$C$41)^$A48</f>
        <v/>
      </c>
      <c r="C48" s="80">
        <f>IF(AND($A48&gt;=1,$A48&lt;=Products!$C$16),Products!$C$33,0)</f>
        <v/>
      </c>
      <c r="D48" s="80">
        <f>C48*Products!$C$42*B48</f>
        <v/>
      </c>
      <c r="E48" s="80">
        <f>C48-D48</f>
        <v/>
      </c>
      <c r="F48" s="80">
        <f>(1-B48)*MAX(0,Products!$C$16-$A48)*(Products!$C$33-Products!$C$35/Products!$C$16)</f>
        <v/>
      </c>
      <c r="G48" s="81">
        <f>IF($A48&lt;=Products!$C$16,B48,0)</f>
        <v/>
      </c>
      <c r="H48" s="81">
        <f>IF(AND($A48&gt;=1,$A48&lt;=Products!$C$16),B47-B48,0)</f>
        <v/>
      </c>
      <c r="I48" s="80">
        <f>IF(AND($A48-Inputs!$C$31&gt;=1,$A48-Inputs!$C$31&lt;=Products!$C$16),INDEX(Curves!$H$8:$H$68,$A48-Inputs!$C$31+1),0)*Products!$C$27*Products!$C$28*Products!$C$13*(1-Credit_Assumptions!$C$15)</f>
        <v/>
      </c>
      <c r="J48" s="80">
        <f>IF($A48=Inputs!$C$33,Products!$C$30*Inputs!$C$10*Inputs!$C$32,0)</f>
        <v/>
      </c>
      <c r="K48" s="80">
        <f>D48*(1-Inputs!$C$24)-Inputs!$C$25*G48+I48+J48</f>
        <v/>
      </c>
      <c r="L48" s="80">
        <f>L47+K48</f>
        <v/>
      </c>
      <c r="M48" s="80">
        <f>C48*(1-B48)</f>
        <v/>
      </c>
      <c r="O48" s="81">
        <f>(1-Products!$D$41)^$A48</f>
        <v/>
      </c>
      <c r="P48" s="80">
        <f>IF(AND($A48&gt;=1,$A48&lt;=Products!$D$16),Products!$D$33,0)</f>
        <v/>
      </c>
      <c r="Q48" s="80">
        <f>P48*Products!$D$42*O48</f>
        <v/>
      </c>
      <c r="R48" s="80">
        <f>P48-Q48</f>
        <v/>
      </c>
      <c r="S48" s="80">
        <f>(1-O48)*MAX(0,Products!$D$16-$A48)*(Products!$D$33-Products!$D$35/Products!$D$16)</f>
        <v/>
      </c>
      <c r="T48" s="81">
        <f>IF($A48&lt;=Products!$D$16,O48,0)</f>
        <v/>
      </c>
      <c r="U48" s="81">
        <f>IF(AND($A48&gt;=1,$A48&lt;=Products!$D$16),O47-O48,0)</f>
        <v/>
      </c>
      <c r="V48" s="80">
        <f>IF(AND($A48-Inputs!$C$31&gt;=1,$A48-Inputs!$C$31&lt;=Products!$D$16),INDEX(Curves!$U$8:$U$68,$A48-Inputs!$C$31+1),0)*Products!$D$27*Products!$D$28*Products!$D$13*(1-Credit_Assumptions!$C$15)</f>
        <v/>
      </c>
      <c r="W48" s="80">
        <f>IF($A48=Inputs!$C$33,Products!$D$30*Inputs!$C$10*Inputs!$C$32,0)</f>
        <v/>
      </c>
      <c r="X48" s="80">
        <f>Q48*(1-Inputs!$C$24)-Inputs!$C$25*T48+V48+W48</f>
        <v/>
      </c>
      <c r="Y48" s="80">
        <f>Y47+X48</f>
        <v/>
      </c>
      <c r="Z48" s="80">
        <f>P48*(1-O48)</f>
        <v/>
      </c>
      <c r="AB48" s="81">
        <f>(1-Products!$E$41)^$A48</f>
        <v/>
      </c>
      <c r="AC48" s="80">
        <f>IF(AND($A48&gt;=1,$A48&lt;=Products!$E$16),Products!$E$33,0)</f>
        <v/>
      </c>
      <c r="AD48" s="80">
        <f>AC48*Products!$E$42*AB48</f>
        <v/>
      </c>
      <c r="AE48" s="80">
        <f>AC48-AD48</f>
        <v/>
      </c>
      <c r="AF48" s="80">
        <f>(1-AB48)*MAX(0,Products!$E$16-$A48)*(Products!$E$33-Products!$E$35/Products!$E$16)</f>
        <v/>
      </c>
      <c r="AG48" s="81">
        <f>IF($A48&lt;=Products!$E$16,AB48,0)</f>
        <v/>
      </c>
      <c r="AH48" s="81">
        <f>IF(AND($A48&gt;=1,$A48&lt;=Products!$E$16),AB47-AB48,0)</f>
        <v/>
      </c>
      <c r="AI48" s="80">
        <f>IF(AND($A48-Inputs!$C$31&gt;=1,$A48-Inputs!$C$31&lt;=Products!$E$16),INDEX(Curves!$AH$8:$AH$68,$A48-Inputs!$C$31+1),0)*Products!$E$27*Products!$E$28*Products!$E$13*(1-Credit_Assumptions!$C$15)</f>
        <v/>
      </c>
      <c r="AJ48" s="80">
        <f>IF($A48=Inputs!$C$33,Products!$E$30*Inputs!$C$10*Inputs!$C$32,0)</f>
        <v/>
      </c>
      <c r="AK48" s="80">
        <f>AD48*(1-Inputs!$C$24)-Inputs!$C$25*AG48+AI48+AJ48</f>
        <v/>
      </c>
      <c r="AL48" s="80">
        <f>AL47+AK48</f>
        <v/>
      </c>
      <c r="AM48" s="80">
        <f>AC48*(1-AB48)</f>
        <v/>
      </c>
      <c r="AO48" s="81">
        <f>(1-Products!$F$41)^$A48</f>
        <v/>
      </c>
      <c r="AP48" s="80">
        <f>IF(AND($A48&gt;=1,$A48&lt;=Products!$F$16),Products!$F$33,0)</f>
        <v/>
      </c>
      <c r="AQ48" s="80">
        <f>AP48*Products!$F$42*AO48</f>
        <v/>
      </c>
      <c r="AR48" s="80">
        <f>AP48-AQ48</f>
        <v/>
      </c>
      <c r="AS48" s="80">
        <f>(1-AO48)*MAX(0,Products!$F$16-$A48)*(Products!$F$33-Products!$F$35/Products!$F$16)</f>
        <v/>
      </c>
      <c r="AT48" s="81">
        <f>IF($A48&lt;=Products!$F$16,AO48,0)</f>
        <v/>
      </c>
      <c r="AU48" s="81">
        <f>IF(AND($A48&gt;=1,$A48&lt;=Products!$F$16),AO47-AO48,0)</f>
        <v/>
      </c>
      <c r="AV48" s="80">
        <f>IF(AND($A48-Inputs!$C$31&gt;=1,$A48-Inputs!$C$31&lt;=Products!$F$16),INDEX(Curves!$AU$8:$AU$68,$A48-Inputs!$C$31+1),0)*Products!$F$27*Products!$F$28*Products!$F$13*(1-Credit_Assumptions!$C$15)</f>
        <v/>
      </c>
      <c r="AW48" s="80">
        <f>IF($A48=Inputs!$C$33,Products!$F$30*Inputs!$C$10*Inputs!$C$32,0)</f>
        <v/>
      </c>
      <c r="AX48" s="80">
        <f>AQ48*(1-Inputs!$C$24)-Inputs!$C$25*AT48+AV48+AW48</f>
        <v/>
      </c>
      <c r="AY48" s="80">
        <f>AY47+AX48</f>
        <v/>
      </c>
      <c r="AZ48" s="80">
        <f>AP48*(1-AO48)</f>
        <v/>
      </c>
      <c r="BB48" s="81">
        <f>(1-Products!$G$41)^$A48</f>
        <v/>
      </c>
      <c r="BC48" s="80">
        <f>IF(AND($A48&gt;=1,$A48&lt;=Products!$G$16),Products!$G$33,0)</f>
        <v/>
      </c>
      <c r="BD48" s="80">
        <f>BC48*Products!$G$42*BB48</f>
        <v/>
      </c>
      <c r="BE48" s="80">
        <f>BC48-BD48</f>
        <v/>
      </c>
      <c r="BF48" s="80">
        <f>(1-BB48)*MAX(0,Products!$G$16-$A48)*(Products!$G$33-Products!$G$35/Products!$G$16)</f>
        <v/>
      </c>
      <c r="BG48" s="81">
        <f>IF($A48&lt;=Products!$G$16,BB48,0)</f>
        <v/>
      </c>
      <c r="BH48" s="81">
        <f>IF(AND($A48&gt;=1,$A48&lt;=Products!$G$16),BB47-BB48,0)</f>
        <v/>
      </c>
      <c r="BI48" s="80">
        <f>IF(AND($A48-Inputs!$C$31&gt;=1,$A48-Inputs!$C$31&lt;=Products!$G$16),INDEX(Curves!$BH$8:$BH$68,$A48-Inputs!$C$31+1),0)*Products!$G$27*Products!$G$28*Products!$G$13*(1-Credit_Assumptions!$C$15)</f>
        <v/>
      </c>
      <c r="BJ48" s="80">
        <f>IF($A48=Inputs!$C$33,Products!$G$30*Inputs!$C$10*Inputs!$C$32,0)</f>
        <v/>
      </c>
      <c r="BK48" s="80">
        <f>BD48*(1-Inputs!$C$24)-Inputs!$C$25*BG48+BI48+BJ48</f>
        <v/>
      </c>
      <c r="BL48" s="80">
        <f>BL47+BK48</f>
        <v/>
      </c>
      <c r="BM48" s="80">
        <f>BC48*(1-BB48)</f>
        <v/>
      </c>
    </row>
    <row r="49">
      <c r="A49" s="23" t="n">
        <v>41</v>
      </c>
      <c r="B49" s="81">
        <f>(1-Products!$C$41)^$A49</f>
        <v/>
      </c>
      <c r="C49" s="80">
        <f>IF(AND($A49&gt;=1,$A49&lt;=Products!$C$16),Products!$C$33,0)</f>
        <v/>
      </c>
      <c r="D49" s="80">
        <f>C49*Products!$C$42*B49</f>
        <v/>
      </c>
      <c r="E49" s="80">
        <f>C49-D49</f>
        <v/>
      </c>
      <c r="F49" s="80">
        <f>(1-B49)*MAX(0,Products!$C$16-$A49)*(Products!$C$33-Products!$C$35/Products!$C$16)</f>
        <v/>
      </c>
      <c r="G49" s="81">
        <f>IF($A49&lt;=Products!$C$16,B49,0)</f>
        <v/>
      </c>
      <c r="H49" s="81">
        <f>IF(AND($A49&gt;=1,$A49&lt;=Products!$C$16),B48-B49,0)</f>
        <v/>
      </c>
      <c r="I49" s="80">
        <f>IF(AND($A49-Inputs!$C$31&gt;=1,$A49-Inputs!$C$31&lt;=Products!$C$16),INDEX(Curves!$H$8:$H$68,$A49-Inputs!$C$31+1),0)*Products!$C$27*Products!$C$28*Products!$C$13*(1-Credit_Assumptions!$C$15)</f>
        <v/>
      </c>
      <c r="J49" s="80">
        <f>IF($A49=Inputs!$C$33,Products!$C$30*Inputs!$C$10*Inputs!$C$32,0)</f>
        <v/>
      </c>
      <c r="K49" s="80">
        <f>D49*(1-Inputs!$C$24)-Inputs!$C$25*G49+I49+J49</f>
        <v/>
      </c>
      <c r="L49" s="80">
        <f>L48+K49</f>
        <v/>
      </c>
      <c r="M49" s="80">
        <f>C49*(1-B49)</f>
        <v/>
      </c>
      <c r="O49" s="81">
        <f>(1-Products!$D$41)^$A49</f>
        <v/>
      </c>
      <c r="P49" s="80">
        <f>IF(AND($A49&gt;=1,$A49&lt;=Products!$D$16),Products!$D$33,0)</f>
        <v/>
      </c>
      <c r="Q49" s="80">
        <f>P49*Products!$D$42*O49</f>
        <v/>
      </c>
      <c r="R49" s="80">
        <f>P49-Q49</f>
        <v/>
      </c>
      <c r="S49" s="80">
        <f>(1-O49)*MAX(0,Products!$D$16-$A49)*(Products!$D$33-Products!$D$35/Products!$D$16)</f>
        <v/>
      </c>
      <c r="T49" s="81">
        <f>IF($A49&lt;=Products!$D$16,O49,0)</f>
        <v/>
      </c>
      <c r="U49" s="81">
        <f>IF(AND($A49&gt;=1,$A49&lt;=Products!$D$16),O48-O49,0)</f>
        <v/>
      </c>
      <c r="V49" s="80">
        <f>IF(AND($A49-Inputs!$C$31&gt;=1,$A49-Inputs!$C$31&lt;=Products!$D$16),INDEX(Curves!$U$8:$U$68,$A49-Inputs!$C$31+1),0)*Products!$D$27*Products!$D$28*Products!$D$13*(1-Credit_Assumptions!$C$15)</f>
        <v/>
      </c>
      <c r="W49" s="80">
        <f>IF($A49=Inputs!$C$33,Products!$D$30*Inputs!$C$10*Inputs!$C$32,0)</f>
        <v/>
      </c>
      <c r="X49" s="80">
        <f>Q49*(1-Inputs!$C$24)-Inputs!$C$25*T49+V49+W49</f>
        <v/>
      </c>
      <c r="Y49" s="80">
        <f>Y48+X49</f>
        <v/>
      </c>
      <c r="Z49" s="80">
        <f>P49*(1-O49)</f>
        <v/>
      </c>
      <c r="AB49" s="81">
        <f>(1-Products!$E$41)^$A49</f>
        <v/>
      </c>
      <c r="AC49" s="80">
        <f>IF(AND($A49&gt;=1,$A49&lt;=Products!$E$16),Products!$E$33,0)</f>
        <v/>
      </c>
      <c r="AD49" s="80">
        <f>AC49*Products!$E$42*AB49</f>
        <v/>
      </c>
      <c r="AE49" s="80">
        <f>AC49-AD49</f>
        <v/>
      </c>
      <c r="AF49" s="80">
        <f>(1-AB49)*MAX(0,Products!$E$16-$A49)*(Products!$E$33-Products!$E$35/Products!$E$16)</f>
        <v/>
      </c>
      <c r="AG49" s="81">
        <f>IF($A49&lt;=Products!$E$16,AB49,0)</f>
        <v/>
      </c>
      <c r="AH49" s="81">
        <f>IF(AND($A49&gt;=1,$A49&lt;=Products!$E$16),AB48-AB49,0)</f>
        <v/>
      </c>
      <c r="AI49" s="80">
        <f>IF(AND($A49-Inputs!$C$31&gt;=1,$A49-Inputs!$C$31&lt;=Products!$E$16),INDEX(Curves!$AH$8:$AH$68,$A49-Inputs!$C$31+1),0)*Products!$E$27*Products!$E$28*Products!$E$13*(1-Credit_Assumptions!$C$15)</f>
        <v/>
      </c>
      <c r="AJ49" s="80">
        <f>IF($A49=Inputs!$C$33,Products!$E$30*Inputs!$C$10*Inputs!$C$32,0)</f>
        <v/>
      </c>
      <c r="AK49" s="80">
        <f>AD49*(1-Inputs!$C$24)-Inputs!$C$25*AG49+AI49+AJ49</f>
        <v/>
      </c>
      <c r="AL49" s="80">
        <f>AL48+AK49</f>
        <v/>
      </c>
      <c r="AM49" s="80">
        <f>AC49*(1-AB49)</f>
        <v/>
      </c>
      <c r="AO49" s="81">
        <f>(1-Products!$F$41)^$A49</f>
        <v/>
      </c>
      <c r="AP49" s="80">
        <f>IF(AND($A49&gt;=1,$A49&lt;=Products!$F$16),Products!$F$33,0)</f>
        <v/>
      </c>
      <c r="AQ49" s="80">
        <f>AP49*Products!$F$42*AO49</f>
        <v/>
      </c>
      <c r="AR49" s="80">
        <f>AP49-AQ49</f>
        <v/>
      </c>
      <c r="AS49" s="80">
        <f>(1-AO49)*MAX(0,Products!$F$16-$A49)*(Products!$F$33-Products!$F$35/Products!$F$16)</f>
        <v/>
      </c>
      <c r="AT49" s="81">
        <f>IF($A49&lt;=Products!$F$16,AO49,0)</f>
        <v/>
      </c>
      <c r="AU49" s="81">
        <f>IF(AND($A49&gt;=1,$A49&lt;=Products!$F$16),AO48-AO49,0)</f>
        <v/>
      </c>
      <c r="AV49" s="80">
        <f>IF(AND($A49-Inputs!$C$31&gt;=1,$A49-Inputs!$C$31&lt;=Products!$F$16),INDEX(Curves!$AU$8:$AU$68,$A49-Inputs!$C$31+1),0)*Products!$F$27*Products!$F$28*Products!$F$13*(1-Credit_Assumptions!$C$15)</f>
        <v/>
      </c>
      <c r="AW49" s="80">
        <f>IF($A49=Inputs!$C$33,Products!$F$30*Inputs!$C$10*Inputs!$C$32,0)</f>
        <v/>
      </c>
      <c r="AX49" s="80">
        <f>AQ49*(1-Inputs!$C$24)-Inputs!$C$25*AT49+AV49+AW49</f>
        <v/>
      </c>
      <c r="AY49" s="80">
        <f>AY48+AX49</f>
        <v/>
      </c>
      <c r="AZ49" s="80">
        <f>AP49*(1-AO49)</f>
        <v/>
      </c>
      <c r="BB49" s="81">
        <f>(1-Products!$G$41)^$A49</f>
        <v/>
      </c>
      <c r="BC49" s="80">
        <f>IF(AND($A49&gt;=1,$A49&lt;=Products!$G$16),Products!$G$33,0)</f>
        <v/>
      </c>
      <c r="BD49" s="80">
        <f>BC49*Products!$G$42*BB49</f>
        <v/>
      </c>
      <c r="BE49" s="80">
        <f>BC49-BD49</f>
        <v/>
      </c>
      <c r="BF49" s="80">
        <f>(1-BB49)*MAX(0,Products!$G$16-$A49)*(Products!$G$33-Products!$G$35/Products!$G$16)</f>
        <v/>
      </c>
      <c r="BG49" s="81">
        <f>IF($A49&lt;=Products!$G$16,BB49,0)</f>
        <v/>
      </c>
      <c r="BH49" s="81">
        <f>IF(AND($A49&gt;=1,$A49&lt;=Products!$G$16),BB48-BB49,0)</f>
        <v/>
      </c>
      <c r="BI49" s="80">
        <f>IF(AND($A49-Inputs!$C$31&gt;=1,$A49-Inputs!$C$31&lt;=Products!$G$16),INDEX(Curves!$BH$8:$BH$68,$A49-Inputs!$C$31+1),0)*Products!$G$27*Products!$G$28*Products!$G$13*(1-Credit_Assumptions!$C$15)</f>
        <v/>
      </c>
      <c r="BJ49" s="80">
        <f>IF($A49=Inputs!$C$33,Products!$G$30*Inputs!$C$10*Inputs!$C$32,0)</f>
        <v/>
      </c>
      <c r="BK49" s="80">
        <f>BD49*(1-Inputs!$C$24)-Inputs!$C$25*BG49+BI49+BJ49</f>
        <v/>
      </c>
      <c r="BL49" s="80">
        <f>BL48+BK49</f>
        <v/>
      </c>
      <c r="BM49" s="80">
        <f>BC49*(1-BB49)</f>
        <v/>
      </c>
    </row>
    <row r="50">
      <c r="A50" s="23" t="n">
        <v>42</v>
      </c>
      <c r="B50" s="81">
        <f>(1-Products!$C$41)^$A50</f>
        <v/>
      </c>
      <c r="C50" s="80">
        <f>IF(AND($A50&gt;=1,$A50&lt;=Products!$C$16),Products!$C$33,0)</f>
        <v/>
      </c>
      <c r="D50" s="80">
        <f>C50*Products!$C$42*B50</f>
        <v/>
      </c>
      <c r="E50" s="80">
        <f>C50-D50</f>
        <v/>
      </c>
      <c r="F50" s="80">
        <f>(1-B50)*MAX(0,Products!$C$16-$A50)*(Products!$C$33-Products!$C$35/Products!$C$16)</f>
        <v/>
      </c>
      <c r="G50" s="81">
        <f>IF($A50&lt;=Products!$C$16,B50,0)</f>
        <v/>
      </c>
      <c r="H50" s="81">
        <f>IF(AND($A50&gt;=1,$A50&lt;=Products!$C$16),B49-B50,0)</f>
        <v/>
      </c>
      <c r="I50" s="80">
        <f>IF(AND($A50-Inputs!$C$31&gt;=1,$A50-Inputs!$C$31&lt;=Products!$C$16),INDEX(Curves!$H$8:$H$68,$A50-Inputs!$C$31+1),0)*Products!$C$27*Products!$C$28*Products!$C$13*(1-Credit_Assumptions!$C$15)</f>
        <v/>
      </c>
      <c r="J50" s="80">
        <f>IF($A50=Inputs!$C$33,Products!$C$30*Inputs!$C$10*Inputs!$C$32,0)</f>
        <v/>
      </c>
      <c r="K50" s="80">
        <f>D50*(1-Inputs!$C$24)-Inputs!$C$25*G50+I50+J50</f>
        <v/>
      </c>
      <c r="L50" s="80">
        <f>L49+K50</f>
        <v/>
      </c>
      <c r="M50" s="80">
        <f>C50*(1-B50)</f>
        <v/>
      </c>
      <c r="O50" s="81">
        <f>(1-Products!$D$41)^$A50</f>
        <v/>
      </c>
      <c r="P50" s="80">
        <f>IF(AND($A50&gt;=1,$A50&lt;=Products!$D$16),Products!$D$33,0)</f>
        <v/>
      </c>
      <c r="Q50" s="80">
        <f>P50*Products!$D$42*O50</f>
        <v/>
      </c>
      <c r="R50" s="80">
        <f>P50-Q50</f>
        <v/>
      </c>
      <c r="S50" s="80">
        <f>(1-O50)*MAX(0,Products!$D$16-$A50)*(Products!$D$33-Products!$D$35/Products!$D$16)</f>
        <v/>
      </c>
      <c r="T50" s="81">
        <f>IF($A50&lt;=Products!$D$16,O50,0)</f>
        <v/>
      </c>
      <c r="U50" s="81">
        <f>IF(AND($A50&gt;=1,$A50&lt;=Products!$D$16),O49-O50,0)</f>
        <v/>
      </c>
      <c r="V50" s="80">
        <f>IF(AND($A50-Inputs!$C$31&gt;=1,$A50-Inputs!$C$31&lt;=Products!$D$16),INDEX(Curves!$U$8:$U$68,$A50-Inputs!$C$31+1),0)*Products!$D$27*Products!$D$28*Products!$D$13*(1-Credit_Assumptions!$C$15)</f>
        <v/>
      </c>
      <c r="W50" s="80">
        <f>IF($A50=Inputs!$C$33,Products!$D$30*Inputs!$C$10*Inputs!$C$32,0)</f>
        <v/>
      </c>
      <c r="X50" s="80">
        <f>Q50*(1-Inputs!$C$24)-Inputs!$C$25*T50+V50+W50</f>
        <v/>
      </c>
      <c r="Y50" s="80">
        <f>Y49+X50</f>
        <v/>
      </c>
      <c r="Z50" s="80">
        <f>P50*(1-O50)</f>
        <v/>
      </c>
      <c r="AB50" s="81">
        <f>(1-Products!$E$41)^$A50</f>
        <v/>
      </c>
      <c r="AC50" s="80">
        <f>IF(AND($A50&gt;=1,$A50&lt;=Products!$E$16),Products!$E$33,0)</f>
        <v/>
      </c>
      <c r="AD50" s="80">
        <f>AC50*Products!$E$42*AB50</f>
        <v/>
      </c>
      <c r="AE50" s="80">
        <f>AC50-AD50</f>
        <v/>
      </c>
      <c r="AF50" s="80">
        <f>(1-AB50)*MAX(0,Products!$E$16-$A50)*(Products!$E$33-Products!$E$35/Products!$E$16)</f>
        <v/>
      </c>
      <c r="AG50" s="81">
        <f>IF($A50&lt;=Products!$E$16,AB50,0)</f>
        <v/>
      </c>
      <c r="AH50" s="81">
        <f>IF(AND($A50&gt;=1,$A50&lt;=Products!$E$16),AB49-AB50,0)</f>
        <v/>
      </c>
      <c r="AI50" s="80">
        <f>IF(AND($A50-Inputs!$C$31&gt;=1,$A50-Inputs!$C$31&lt;=Products!$E$16),INDEX(Curves!$AH$8:$AH$68,$A50-Inputs!$C$31+1),0)*Products!$E$27*Products!$E$28*Products!$E$13*(1-Credit_Assumptions!$C$15)</f>
        <v/>
      </c>
      <c r="AJ50" s="80">
        <f>IF($A50=Inputs!$C$33,Products!$E$30*Inputs!$C$10*Inputs!$C$32,0)</f>
        <v/>
      </c>
      <c r="AK50" s="80">
        <f>AD50*(1-Inputs!$C$24)-Inputs!$C$25*AG50+AI50+AJ50</f>
        <v/>
      </c>
      <c r="AL50" s="80">
        <f>AL49+AK50</f>
        <v/>
      </c>
      <c r="AM50" s="80">
        <f>AC50*(1-AB50)</f>
        <v/>
      </c>
      <c r="AO50" s="81">
        <f>(1-Products!$F$41)^$A50</f>
        <v/>
      </c>
      <c r="AP50" s="80">
        <f>IF(AND($A50&gt;=1,$A50&lt;=Products!$F$16),Products!$F$33,0)</f>
        <v/>
      </c>
      <c r="AQ50" s="80">
        <f>AP50*Products!$F$42*AO50</f>
        <v/>
      </c>
      <c r="AR50" s="80">
        <f>AP50-AQ50</f>
        <v/>
      </c>
      <c r="AS50" s="80">
        <f>(1-AO50)*MAX(0,Products!$F$16-$A50)*(Products!$F$33-Products!$F$35/Products!$F$16)</f>
        <v/>
      </c>
      <c r="AT50" s="81">
        <f>IF($A50&lt;=Products!$F$16,AO50,0)</f>
        <v/>
      </c>
      <c r="AU50" s="81">
        <f>IF(AND($A50&gt;=1,$A50&lt;=Products!$F$16),AO49-AO50,0)</f>
        <v/>
      </c>
      <c r="AV50" s="80">
        <f>IF(AND($A50-Inputs!$C$31&gt;=1,$A50-Inputs!$C$31&lt;=Products!$F$16),INDEX(Curves!$AU$8:$AU$68,$A50-Inputs!$C$31+1),0)*Products!$F$27*Products!$F$28*Products!$F$13*(1-Credit_Assumptions!$C$15)</f>
        <v/>
      </c>
      <c r="AW50" s="80">
        <f>IF($A50=Inputs!$C$33,Products!$F$30*Inputs!$C$10*Inputs!$C$32,0)</f>
        <v/>
      </c>
      <c r="AX50" s="80">
        <f>AQ50*(1-Inputs!$C$24)-Inputs!$C$25*AT50+AV50+AW50</f>
        <v/>
      </c>
      <c r="AY50" s="80">
        <f>AY49+AX50</f>
        <v/>
      </c>
      <c r="AZ50" s="80">
        <f>AP50*(1-AO50)</f>
        <v/>
      </c>
      <c r="BB50" s="81">
        <f>(1-Products!$G$41)^$A50</f>
        <v/>
      </c>
      <c r="BC50" s="80">
        <f>IF(AND($A50&gt;=1,$A50&lt;=Products!$G$16),Products!$G$33,0)</f>
        <v/>
      </c>
      <c r="BD50" s="80">
        <f>BC50*Products!$G$42*BB50</f>
        <v/>
      </c>
      <c r="BE50" s="80">
        <f>BC50-BD50</f>
        <v/>
      </c>
      <c r="BF50" s="80">
        <f>(1-BB50)*MAX(0,Products!$G$16-$A50)*(Products!$G$33-Products!$G$35/Products!$G$16)</f>
        <v/>
      </c>
      <c r="BG50" s="81">
        <f>IF($A50&lt;=Products!$G$16,BB50,0)</f>
        <v/>
      </c>
      <c r="BH50" s="81">
        <f>IF(AND($A50&gt;=1,$A50&lt;=Products!$G$16),BB49-BB50,0)</f>
        <v/>
      </c>
      <c r="BI50" s="80">
        <f>IF(AND($A50-Inputs!$C$31&gt;=1,$A50-Inputs!$C$31&lt;=Products!$G$16),INDEX(Curves!$BH$8:$BH$68,$A50-Inputs!$C$31+1),0)*Products!$G$27*Products!$G$28*Products!$G$13*(1-Credit_Assumptions!$C$15)</f>
        <v/>
      </c>
      <c r="BJ50" s="80">
        <f>IF($A50=Inputs!$C$33,Products!$G$30*Inputs!$C$10*Inputs!$C$32,0)</f>
        <v/>
      </c>
      <c r="BK50" s="80">
        <f>BD50*(1-Inputs!$C$24)-Inputs!$C$25*BG50+BI50+BJ50</f>
        <v/>
      </c>
      <c r="BL50" s="80">
        <f>BL49+BK50</f>
        <v/>
      </c>
      <c r="BM50" s="80">
        <f>BC50*(1-BB50)</f>
        <v/>
      </c>
    </row>
    <row r="51">
      <c r="A51" s="23" t="n">
        <v>43</v>
      </c>
      <c r="B51" s="81">
        <f>(1-Products!$C$41)^$A51</f>
        <v/>
      </c>
      <c r="C51" s="80">
        <f>IF(AND($A51&gt;=1,$A51&lt;=Products!$C$16),Products!$C$33,0)</f>
        <v/>
      </c>
      <c r="D51" s="80">
        <f>C51*Products!$C$42*B51</f>
        <v/>
      </c>
      <c r="E51" s="80">
        <f>C51-D51</f>
        <v/>
      </c>
      <c r="F51" s="80">
        <f>(1-B51)*MAX(0,Products!$C$16-$A51)*(Products!$C$33-Products!$C$35/Products!$C$16)</f>
        <v/>
      </c>
      <c r="G51" s="81">
        <f>IF($A51&lt;=Products!$C$16,B51,0)</f>
        <v/>
      </c>
      <c r="H51" s="81">
        <f>IF(AND($A51&gt;=1,$A51&lt;=Products!$C$16),B50-B51,0)</f>
        <v/>
      </c>
      <c r="I51" s="80">
        <f>IF(AND($A51-Inputs!$C$31&gt;=1,$A51-Inputs!$C$31&lt;=Products!$C$16),INDEX(Curves!$H$8:$H$68,$A51-Inputs!$C$31+1),0)*Products!$C$27*Products!$C$28*Products!$C$13*(1-Credit_Assumptions!$C$15)</f>
        <v/>
      </c>
      <c r="J51" s="80">
        <f>IF($A51=Inputs!$C$33,Products!$C$30*Inputs!$C$10*Inputs!$C$32,0)</f>
        <v/>
      </c>
      <c r="K51" s="80">
        <f>D51*(1-Inputs!$C$24)-Inputs!$C$25*G51+I51+J51</f>
        <v/>
      </c>
      <c r="L51" s="80">
        <f>L50+K51</f>
        <v/>
      </c>
      <c r="M51" s="80">
        <f>C51*(1-B51)</f>
        <v/>
      </c>
      <c r="O51" s="81">
        <f>(1-Products!$D$41)^$A51</f>
        <v/>
      </c>
      <c r="P51" s="80">
        <f>IF(AND($A51&gt;=1,$A51&lt;=Products!$D$16),Products!$D$33,0)</f>
        <v/>
      </c>
      <c r="Q51" s="80">
        <f>P51*Products!$D$42*O51</f>
        <v/>
      </c>
      <c r="R51" s="80">
        <f>P51-Q51</f>
        <v/>
      </c>
      <c r="S51" s="80">
        <f>(1-O51)*MAX(0,Products!$D$16-$A51)*(Products!$D$33-Products!$D$35/Products!$D$16)</f>
        <v/>
      </c>
      <c r="T51" s="81">
        <f>IF($A51&lt;=Products!$D$16,O51,0)</f>
        <v/>
      </c>
      <c r="U51" s="81">
        <f>IF(AND($A51&gt;=1,$A51&lt;=Products!$D$16),O50-O51,0)</f>
        <v/>
      </c>
      <c r="V51" s="80">
        <f>IF(AND($A51-Inputs!$C$31&gt;=1,$A51-Inputs!$C$31&lt;=Products!$D$16),INDEX(Curves!$U$8:$U$68,$A51-Inputs!$C$31+1),0)*Products!$D$27*Products!$D$28*Products!$D$13*(1-Credit_Assumptions!$C$15)</f>
        <v/>
      </c>
      <c r="W51" s="80">
        <f>IF($A51=Inputs!$C$33,Products!$D$30*Inputs!$C$10*Inputs!$C$32,0)</f>
        <v/>
      </c>
      <c r="X51" s="80">
        <f>Q51*(1-Inputs!$C$24)-Inputs!$C$25*T51+V51+W51</f>
        <v/>
      </c>
      <c r="Y51" s="80">
        <f>Y50+X51</f>
        <v/>
      </c>
      <c r="Z51" s="80">
        <f>P51*(1-O51)</f>
        <v/>
      </c>
      <c r="AB51" s="81">
        <f>(1-Products!$E$41)^$A51</f>
        <v/>
      </c>
      <c r="AC51" s="80">
        <f>IF(AND($A51&gt;=1,$A51&lt;=Products!$E$16),Products!$E$33,0)</f>
        <v/>
      </c>
      <c r="AD51" s="80">
        <f>AC51*Products!$E$42*AB51</f>
        <v/>
      </c>
      <c r="AE51" s="80">
        <f>AC51-AD51</f>
        <v/>
      </c>
      <c r="AF51" s="80">
        <f>(1-AB51)*MAX(0,Products!$E$16-$A51)*(Products!$E$33-Products!$E$35/Products!$E$16)</f>
        <v/>
      </c>
      <c r="AG51" s="81">
        <f>IF($A51&lt;=Products!$E$16,AB51,0)</f>
        <v/>
      </c>
      <c r="AH51" s="81">
        <f>IF(AND($A51&gt;=1,$A51&lt;=Products!$E$16),AB50-AB51,0)</f>
        <v/>
      </c>
      <c r="AI51" s="80">
        <f>IF(AND($A51-Inputs!$C$31&gt;=1,$A51-Inputs!$C$31&lt;=Products!$E$16),INDEX(Curves!$AH$8:$AH$68,$A51-Inputs!$C$31+1),0)*Products!$E$27*Products!$E$28*Products!$E$13*(1-Credit_Assumptions!$C$15)</f>
        <v/>
      </c>
      <c r="AJ51" s="80">
        <f>IF($A51=Inputs!$C$33,Products!$E$30*Inputs!$C$10*Inputs!$C$32,0)</f>
        <v/>
      </c>
      <c r="AK51" s="80">
        <f>AD51*(1-Inputs!$C$24)-Inputs!$C$25*AG51+AI51+AJ51</f>
        <v/>
      </c>
      <c r="AL51" s="80">
        <f>AL50+AK51</f>
        <v/>
      </c>
      <c r="AM51" s="80">
        <f>AC51*(1-AB51)</f>
        <v/>
      </c>
      <c r="AO51" s="81">
        <f>(1-Products!$F$41)^$A51</f>
        <v/>
      </c>
      <c r="AP51" s="80">
        <f>IF(AND($A51&gt;=1,$A51&lt;=Products!$F$16),Products!$F$33,0)</f>
        <v/>
      </c>
      <c r="AQ51" s="80">
        <f>AP51*Products!$F$42*AO51</f>
        <v/>
      </c>
      <c r="AR51" s="80">
        <f>AP51-AQ51</f>
        <v/>
      </c>
      <c r="AS51" s="80">
        <f>(1-AO51)*MAX(0,Products!$F$16-$A51)*(Products!$F$33-Products!$F$35/Products!$F$16)</f>
        <v/>
      </c>
      <c r="AT51" s="81">
        <f>IF($A51&lt;=Products!$F$16,AO51,0)</f>
        <v/>
      </c>
      <c r="AU51" s="81">
        <f>IF(AND($A51&gt;=1,$A51&lt;=Products!$F$16),AO50-AO51,0)</f>
        <v/>
      </c>
      <c r="AV51" s="80">
        <f>IF(AND($A51-Inputs!$C$31&gt;=1,$A51-Inputs!$C$31&lt;=Products!$F$16),INDEX(Curves!$AU$8:$AU$68,$A51-Inputs!$C$31+1),0)*Products!$F$27*Products!$F$28*Products!$F$13*(1-Credit_Assumptions!$C$15)</f>
        <v/>
      </c>
      <c r="AW51" s="80">
        <f>IF($A51=Inputs!$C$33,Products!$F$30*Inputs!$C$10*Inputs!$C$32,0)</f>
        <v/>
      </c>
      <c r="AX51" s="80">
        <f>AQ51*(1-Inputs!$C$24)-Inputs!$C$25*AT51+AV51+AW51</f>
        <v/>
      </c>
      <c r="AY51" s="80">
        <f>AY50+AX51</f>
        <v/>
      </c>
      <c r="AZ51" s="80">
        <f>AP51*(1-AO51)</f>
        <v/>
      </c>
      <c r="BB51" s="81">
        <f>(1-Products!$G$41)^$A51</f>
        <v/>
      </c>
      <c r="BC51" s="80">
        <f>IF(AND($A51&gt;=1,$A51&lt;=Products!$G$16),Products!$G$33,0)</f>
        <v/>
      </c>
      <c r="BD51" s="80">
        <f>BC51*Products!$G$42*BB51</f>
        <v/>
      </c>
      <c r="BE51" s="80">
        <f>BC51-BD51</f>
        <v/>
      </c>
      <c r="BF51" s="80">
        <f>(1-BB51)*MAX(0,Products!$G$16-$A51)*(Products!$G$33-Products!$G$35/Products!$G$16)</f>
        <v/>
      </c>
      <c r="BG51" s="81">
        <f>IF($A51&lt;=Products!$G$16,BB51,0)</f>
        <v/>
      </c>
      <c r="BH51" s="81">
        <f>IF(AND($A51&gt;=1,$A51&lt;=Products!$G$16),BB50-BB51,0)</f>
        <v/>
      </c>
      <c r="BI51" s="80">
        <f>IF(AND($A51-Inputs!$C$31&gt;=1,$A51-Inputs!$C$31&lt;=Products!$G$16),INDEX(Curves!$BH$8:$BH$68,$A51-Inputs!$C$31+1),0)*Products!$G$27*Products!$G$28*Products!$G$13*(1-Credit_Assumptions!$C$15)</f>
        <v/>
      </c>
      <c r="BJ51" s="80">
        <f>IF($A51=Inputs!$C$33,Products!$G$30*Inputs!$C$10*Inputs!$C$32,0)</f>
        <v/>
      </c>
      <c r="BK51" s="80">
        <f>BD51*(1-Inputs!$C$24)-Inputs!$C$25*BG51+BI51+BJ51</f>
        <v/>
      </c>
      <c r="BL51" s="80">
        <f>BL50+BK51</f>
        <v/>
      </c>
      <c r="BM51" s="80">
        <f>BC51*(1-BB51)</f>
        <v/>
      </c>
    </row>
    <row r="52">
      <c r="A52" s="23" t="n">
        <v>44</v>
      </c>
      <c r="B52" s="81">
        <f>(1-Products!$C$41)^$A52</f>
        <v/>
      </c>
      <c r="C52" s="80">
        <f>IF(AND($A52&gt;=1,$A52&lt;=Products!$C$16),Products!$C$33,0)</f>
        <v/>
      </c>
      <c r="D52" s="80">
        <f>C52*Products!$C$42*B52</f>
        <v/>
      </c>
      <c r="E52" s="80">
        <f>C52-D52</f>
        <v/>
      </c>
      <c r="F52" s="80">
        <f>(1-B52)*MAX(0,Products!$C$16-$A52)*(Products!$C$33-Products!$C$35/Products!$C$16)</f>
        <v/>
      </c>
      <c r="G52" s="81">
        <f>IF($A52&lt;=Products!$C$16,B52,0)</f>
        <v/>
      </c>
      <c r="H52" s="81">
        <f>IF(AND($A52&gt;=1,$A52&lt;=Products!$C$16),B51-B52,0)</f>
        <v/>
      </c>
      <c r="I52" s="80">
        <f>IF(AND($A52-Inputs!$C$31&gt;=1,$A52-Inputs!$C$31&lt;=Products!$C$16),INDEX(Curves!$H$8:$H$68,$A52-Inputs!$C$31+1),0)*Products!$C$27*Products!$C$28*Products!$C$13*(1-Credit_Assumptions!$C$15)</f>
        <v/>
      </c>
      <c r="J52" s="80">
        <f>IF($A52=Inputs!$C$33,Products!$C$30*Inputs!$C$10*Inputs!$C$32,0)</f>
        <v/>
      </c>
      <c r="K52" s="80">
        <f>D52*(1-Inputs!$C$24)-Inputs!$C$25*G52+I52+J52</f>
        <v/>
      </c>
      <c r="L52" s="80">
        <f>L51+K52</f>
        <v/>
      </c>
      <c r="M52" s="80">
        <f>C52*(1-B52)</f>
        <v/>
      </c>
      <c r="O52" s="81">
        <f>(1-Products!$D$41)^$A52</f>
        <v/>
      </c>
      <c r="P52" s="80">
        <f>IF(AND($A52&gt;=1,$A52&lt;=Products!$D$16),Products!$D$33,0)</f>
        <v/>
      </c>
      <c r="Q52" s="80">
        <f>P52*Products!$D$42*O52</f>
        <v/>
      </c>
      <c r="R52" s="80">
        <f>P52-Q52</f>
        <v/>
      </c>
      <c r="S52" s="80">
        <f>(1-O52)*MAX(0,Products!$D$16-$A52)*(Products!$D$33-Products!$D$35/Products!$D$16)</f>
        <v/>
      </c>
      <c r="T52" s="81">
        <f>IF($A52&lt;=Products!$D$16,O52,0)</f>
        <v/>
      </c>
      <c r="U52" s="81">
        <f>IF(AND($A52&gt;=1,$A52&lt;=Products!$D$16),O51-O52,0)</f>
        <v/>
      </c>
      <c r="V52" s="80">
        <f>IF(AND($A52-Inputs!$C$31&gt;=1,$A52-Inputs!$C$31&lt;=Products!$D$16),INDEX(Curves!$U$8:$U$68,$A52-Inputs!$C$31+1),0)*Products!$D$27*Products!$D$28*Products!$D$13*(1-Credit_Assumptions!$C$15)</f>
        <v/>
      </c>
      <c r="W52" s="80">
        <f>IF($A52=Inputs!$C$33,Products!$D$30*Inputs!$C$10*Inputs!$C$32,0)</f>
        <v/>
      </c>
      <c r="X52" s="80">
        <f>Q52*(1-Inputs!$C$24)-Inputs!$C$25*T52+V52+W52</f>
        <v/>
      </c>
      <c r="Y52" s="80">
        <f>Y51+X52</f>
        <v/>
      </c>
      <c r="Z52" s="80">
        <f>P52*(1-O52)</f>
        <v/>
      </c>
      <c r="AB52" s="81">
        <f>(1-Products!$E$41)^$A52</f>
        <v/>
      </c>
      <c r="AC52" s="80">
        <f>IF(AND($A52&gt;=1,$A52&lt;=Products!$E$16),Products!$E$33,0)</f>
        <v/>
      </c>
      <c r="AD52" s="80">
        <f>AC52*Products!$E$42*AB52</f>
        <v/>
      </c>
      <c r="AE52" s="80">
        <f>AC52-AD52</f>
        <v/>
      </c>
      <c r="AF52" s="80">
        <f>(1-AB52)*MAX(0,Products!$E$16-$A52)*(Products!$E$33-Products!$E$35/Products!$E$16)</f>
        <v/>
      </c>
      <c r="AG52" s="81">
        <f>IF($A52&lt;=Products!$E$16,AB52,0)</f>
        <v/>
      </c>
      <c r="AH52" s="81">
        <f>IF(AND($A52&gt;=1,$A52&lt;=Products!$E$16),AB51-AB52,0)</f>
        <v/>
      </c>
      <c r="AI52" s="80">
        <f>IF(AND($A52-Inputs!$C$31&gt;=1,$A52-Inputs!$C$31&lt;=Products!$E$16),INDEX(Curves!$AH$8:$AH$68,$A52-Inputs!$C$31+1),0)*Products!$E$27*Products!$E$28*Products!$E$13*(1-Credit_Assumptions!$C$15)</f>
        <v/>
      </c>
      <c r="AJ52" s="80">
        <f>IF($A52=Inputs!$C$33,Products!$E$30*Inputs!$C$10*Inputs!$C$32,0)</f>
        <v/>
      </c>
      <c r="AK52" s="80">
        <f>AD52*(1-Inputs!$C$24)-Inputs!$C$25*AG52+AI52+AJ52</f>
        <v/>
      </c>
      <c r="AL52" s="80">
        <f>AL51+AK52</f>
        <v/>
      </c>
      <c r="AM52" s="80">
        <f>AC52*(1-AB52)</f>
        <v/>
      </c>
      <c r="AO52" s="81">
        <f>(1-Products!$F$41)^$A52</f>
        <v/>
      </c>
      <c r="AP52" s="80">
        <f>IF(AND($A52&gt;=1,$A52&lt;=Products!$F$16),Products!$F$33,0)</f>
        <v/>
      </c>
      <c r="AQ52" s="80">
        <f>AP52*Products!$F$42*AO52</f>
        <v/>
      </c>
      <c r="AR52" s="80">
        <f>AP52-AQ52</f>
        <v/>
      </c>
      <c r="AS52" s="80">
        <f>(1-AO52)*MAX(0,Products!$F$16-$A52)*(Products!$F$33-Products!$F$35/Products!$F$16)</f>
        <v/>
      </c>
      <c r="AT52" s="81">
        <f>IF($A52&lt;=Products!$F$16,AO52,0)</f>
        <v/>
      </c>
      <c r="AU52" s="81">
        <f>IF(AND($A52&gt;=1,$A52&lt;=Products!$F$16),AO51-AO52,0)</f>
        <v/>
      </c>
      <c r="AV52" s="80">
        <f>IF(AND($A52-Inputs!$C$31&gt;=1,$A52-Inputs!$C$31&lt;=Products!$F$16),INDEX(Curves!$AU$8:$AU$68,$A52-Inputs!$C$31+1),0)*Products!$F$27*Products!$F$28*Products!$F$13*(1-Credit_Assumptions!$C$15)</f>
        <v/>
      </c>
      <c r="AW52" s="80">
        <f>IF($A52=Inputs!$C$33,Products!$F$30*Inputs!$C$10*Inputs!$C$32,0)</f>
        <v/>
      </c>
      <c r="AX52" s="80">
        <f>AQ52*(1-Inputs!$C$24)-Inputs!$C$25*AT52+AV52+AW52</f>
        <v/>
      </c>
      <c r="AY52" s="80">
        <f>AY51+AX52</f>
        <v/>
      </c>
      <c r="AZ52" s="80">
        <f>AP52*(1-AO52)</f>
        <v/>
      </c>
      <c r="BB52" s="81">
        <f>(1-Products!$G$41)^$A52</f>
        <v/>
      </c>
      <c r="BC52" s="80">
        <f>IF(AND($A52&gt;=1,$A52&lt;=Products!$G$16),Products!$G$33,0)</f>
        <v/>
      </c>
      <c r="BD52" s="80">
        <f>BC52*Products!$G$42*BB52</f>
        <v/>
      </c>
      <c r="BE52" s="80">
        <f>BC52-BD52</f>
        <v/>
      </c>
      <c r="BF52" s="80">
        <f>(1-BB52)*MAX(0,Products!$G$16-$A52)*(Products!$G$33-Products!$G$35/Products!$G$16)</f>
        <v/>
      </c>
      <c r="BG52" s="81">
        <f>IF($A52&lt;=Products!$G$16,BB52,0)</f>
        <v/>
      </c>
      <c r="BH52" s="81">
        <f>IF(AND($A52&gt;=1,$A52&lt;=Products!$G$16),BB51-BB52,0)</f>
        <v/>
      </c>
      <c r="BI52" s="80">
        <f>IF(AND($A52-Inputs!$C$31&gt;=1,$A52-Inputs!$C$31&lt;=Products!$G$16),INDEX(Curves!$BH$8:$BH$68,$A52-Inputs!$C$31+1),0)*Products!$G$27*Products!$G$28*Products!$G$13*(1-Credit_Assumptions!$C$15)</f>
        <v/>
      </c>
      <c r="BJ52" s="80">
        <f>IF($A52=Inputs!$C$33,Products!$G$30*Inputs!$C$10*Inputs!$C$32,0)</f>
        <v/>
      </c>
      <c r="BK52" s="80">
        <f>BD52*(1-Inputs!$C$24)-Inputs!$C$25*BG52+BI52+BJ52</f>
        <v/>
      </c>
      <c r="BL52" s="80">
        <f>BL51+BK52</f>
        <v/>
      </c>
      <c r="BM52" s="80">
        <f>BC52*(1-BB52)</f>
        <v/>
      </c>
    </row>
    <row r="53">
      <c r="A53" s="23" t="n">
        <v>45</v>
      </c>
      <c r="B53" s="81">
        <f>(1-Products!$C$41)^$A53</f>
        <v/>
      </c>
      <c r="C53" s="80">
        <f>IF(AND($A53&gt;=1,$A53&lt;=Products!$C$16),Products!$C$33,0)</f>
        <v/>
      </c>
      <c r="D53" s="80">
        <f>C53*Products!$C$42*B53</f>
        <v/>
      </c>
      <c r="E53" s="80">
        <f>C53-D53</f>
        <v/>
      </c>
      <c r="F53" s="80">
        <f>(1-B53)*MAX(0,Products!$C$16-$A53)*(Products!$C$33-Products!$C$35/Products!$C$16)</f>
        <v/>
      </c>
      <c r="G53" s="81">
        <f>IF($A53&lt;=Products!$C$16,B53,0)</f>
        <v/>
      </c>
      <c r="H53" s="81">
        <f>IF(AND($A53&gt;=1,$A53&lt;=Products!$C$16),B52-B53,0)</f>
        <v/>
      </c>
      <c r="I53" s="80">
        <f>IF(AND($A53-Inputs!$C$31&gt;=1,$A53-Inputs!$C$31&lt;=Products!$C$16),INDEX(Curves!$H$8:$H$68,$A53-Inputs!$C$31+1),0)*Products!$C$27*Products!$C$28*Products!$C$13*(1-Credit_Assumptions!$C$15)</f>
        <v/>
      </c>
      <c r="J53" s="80">
        <f>IF($A53=Inputs!$C$33,Products!$C$30*Inputs!$C$10*Inputs!$C$32,0)</f>
        <v/>
      </c>
      <c r="K53" s="80">
        <f>D53*(1-Inputs!$C$24)-Inputs!$C$25*G53+I53+J53</f>
        <v/>
      </c>
      <c r="L53" s="80">
        <f>L52+K53</f>
        <v/>
      </c>
      <c r="M53" s="80">
        <f>C53*(1-B53)</f>
        <v/>
      </c>
      <c r="O53" s="81">
        <f>(1-Products!$D$41)^$A53</f>
        <v/>
      </c>
      <c r="P53" s="80">
        <f>IF(AND($A53&gt;=1,$A53&lt;=Products!$D$16),Products!$D$33,0)</f>
        <v/>
      </c>
      <c r="Q53" s="80">
        <f>P53*Products!$D$42*O53</f>
        <v/>
      </c>
      <c r="R53" s="80">
        <f>P53-Q53</f>
        <v/>
      </c>
      <c r="S53" s="80">
        <f>(1-O53)*MAX(0,Products!$D$16-$A53)*(Products!$D$33-Products!$D$35/Products!$D$16)</f>
        <v/>
      </c>
      <c r="T53" s="81">
        <f>IF($A53&lt;=Products!$D$16,O53,0)</f>
        <v/>
      </c>
      <c r="U53" s="81">
        <f>IF(AND($A53&gt;=1,$A53&lt;=Products!$D$16),O52-O53,0)</f>
        <v/>
      </c>
      <c r="V53" s="80">
        <f>IF(AND($A53-Inputs!$C$31&gt;=1,$A53-Inputs!$C$31&lt;=Products!$D$16),INDEX(Curves!$U$8:$U$68,$A53-Inputs!$C$31+1),0)*Products!$D$27*Products!$D$28*Products!$D$13*(1-Credit_Assumptions!$C$15)</f>
        <v/>
      </c>
      <c r="W53" s="80">
        <f>IF($A53=Inputs!$C$33,Products!$D$30*Inputs!$C$10*Inputs!$C$32,0)</f>
        <v/>
      </c>
      <c r="X53" s="80">
        <f>Q53*(1-Inputs!$C$24)-Inputs!$C$25*T53+V53+W53</f>
        <v/>
      </c>
      <c r="Y53" s="80">
        <f>Y52+X53</f>
        <v/>
      </c>
      <c r="Z53" s="80">
        <f>P53*(1-O53)</f>
        <v/>
      </c>
      <c r="AB53" s="81">
        <f>(1-Products!$E$41)^$A53</f>
        <v/>
      </c>
      <c r="AC53" s="80">
        <f>IF(AND($A53&gt;=1,$A53&lt;=Products!$E$16),Products!$E$33,0)</f>
        <v/>
      </c>
      <c r="AD53" s="80">
        <f>AC53*Products!$E$42*AB53</f>
        <v/>
      </c>
      <c r="AE53" s="80">
        <f>AC53-AD53</f>
        <v/>
      </c>
      <c r="AF53" s="80">
        <f>(1-AB53)*MAX(0,Products!$E$16-$A53)*(Products!$E$33-Products!$E$35/Products!$E$16)</f>
        <v/>
      </c>
      <c r="AG53" s="81">
        <f>IF($A53&lt;=Products!$E$16,AB53,0)</f>
        <v/>
      </c>
      <c r="AH53" s="81">
        <f>IF(AND($A53&gt;=1,$A53&lt;=Products!$E$16),AB52-AB53,0)</f>
        <v/>
      </c>
      <c r="AI53" s="80">
        <f>IF(AND($A53-Inputs!$C$31&gt;=1,$A53-Inputs!$C$31&lt;=Products!$E$16),INDEX(Curves!$AH$8:$AH$68,$A53-Inputs!$C$31+1),0)*Products!$E$27*Products!$E$28*Products!$E$13*(1-Credit_Assumptions!$C$15)</f>
        <v/>
      </c>
      <c r="AJ53" s="80">
        <f>IF($A53=Inputs!$C$33,Products!$E$30*Inputs!$C$10*Inputs!$C$32,0)</f>
        <v/>
      </c>
      <c r="AK53" s="80">
        <f>AD53*(1-Inputs!$C$24)-Inputs!$C$25*AG53+AI53+AJ53</f>
        <v/>
      </c>
      <c r="AL53" s="80">
        <f>AL52+AK53</f>
        <v/>
      </c>
      <c r="AM53" s="80">
        <f>AC53*(1-AB53)</f>
        <v/>
      </c>
      <c r="AO53" s="81">
        <f>(1-Products!$F$41)^$A53</f>
        <v/>
      </c>
      <c r="AP53" s="80">
        <f>IF(AND($A53&gt;=1,$A53&lt;=Products!$F$16),Products!$F$33,0)</f>
        <v/>
      </c>
      <c r="AQ53" s="80">
        <f>AP53*Products!$F$42*AO53</f>
        <v/>
      </c>
      <c r="AR53" s="80">
        <f>AP53-AQ53</f>
        <v/>
      </c>
      <c r="AS53" s="80">
        <f>(1-AO53)*MAX(0,Products!$F$16-$A53)*(Products!$F$33-Products!$F$35/Products!$F$16)</f>
        <v/>
      </c>
      <c r="AT53" s="81">
        <f>IF($A53&lt;=Products!$F$16,AO53,0)</f>
        <v/>
      </c>
      <c r="AU53" s="81">
        <f>IF(AND($A53&gt;=1,$A53&lt;=Products!$F$16),AO52-AO53,0)</f>
        <v/>
      </c>
      <c r="AV53" s="80">
        <f>IF(AND($A53-Inputs!$C$31&gt;=1,$A53-Inputs!$C$31&lt;=Products!$F$16),INDEX(Curves!$AU$8:$AU$68,$A53-Inputs!$C$31+1),0)*Products!$F$27*Products!$F$28*Products!$F$13*(1-Credit_Assumptions!$C$15)</f>
        <v/>
      </c>
      <c r="AW53" s="80">
        <f>IF($A53=Inputs!$C$33,Products!$F$30*Inputs!$C$10*Inputs!$C$32,0)</f>
        <v/>
      </c>
      <c r="AX53" s="80">
        <f>AQ53*(1-Inputs!$C$24)-Inputs!$C$25*AT53+AV53+AW53</f>
        <v/>
      </c>
      <c r="AY53" s="80">
        <f>AY52+AX53</f>
        <v/>
      </c>
      <c r="AZ53" s="80">
        <f>AP53*(1-AO53)</f>
        <v/>
      </c>
      <c r="BB53" s="81">
        <f>(1-Products!$G$41)^$A53</f>
        <v/>
      </c>
      <c r="BC53" s="80">
        <f>IF(AND($A53&gt;=1,$A53&lt;=Products!$G$16),Products!$G$33,0)</f>
        <v/>
      </c>
      <c r="BD53" s="80">
        <f>BC53*Products!$G$42*BB53</f>
        <v/>
      </c>
      <c r="BE53" s="80">
        <f>BC53-BD53</f>
        <v/>
      </c>
      <c r="BF53" s="80">
        <f>(1-BB53)*MAX(0,Products!$G$16-$A53)*(Products!$G$33-Products!$G$35/Products!$G$16)</f>
        <v/>
      </c>
      <c r="BG53" s="81">
        <f>IF($A53&lt;=Products!$G$16,BB53,0)</f>
        <v/>
      </c>
      <c r="BH53" s="81">
        <f>IF(AND($A53&gt;=1,$A53&lt;=Products!$G$16),BB52-BB53,0)</f>
        <v/>
      </c>
      <c r="BI53" s="80">
        <f>IF(AND($A53-Inputs!$C$31&gt;=1,$A53-Inputs!$C$31&lt;=Products!$G$16),INDEX(Curves!$BH$8:$BH$68,$A53-Inputs!$C$31+1),0)*Products!$G$27*Products!$G$28*Products!$G$13*(1-Credit_Assumptions!$C$15)</f>
        <v/>
      </c>
      <c r="BJ53" s="80">
        <f>IF($A53=Inputs!$C$33,Products!$G$30*Inputs!$C$10*Inputs!$C$32,0)</f>
        <v/>
      </c>
      <c r="BK53" s="80">
        <f>BD53*(1-Inputs!$C$24)-Inputs!$C$25*BG53+BI53+BJ53</f>
        <v/>
      </c>
      <c r="BL53" s="80">
        <f>BL52+BK53</f>
        <v/>
      </c>
      <c r="BM53" s="80">
        <f>BC53*(1-BB53)</f>
        <v/>
      </c>
    </row>
    <row r="54">
      <c r="A54" s="23" t="n">
        <v>46</v>
      </c>
      <c r="B54" s="81">
        <f>(1-Products!$C$41)^$A54</f>
        <v/>
      </c>
      <c r="C54" s="80">
        <f>IF(AND($A54&gt;=1,$A54&lt;=Products!$C$16),Products!$C$33,0)</f>
        <v/>
      </c>
      <c r="D54" s="80">
        <f>C54*Products!$C$42*B54</f>
        <v/>
      </c>
      <c r="E54" s="80">
        <f>C54-D54</f>
        <v/>
      </c>
      <c r="F54" s="80">
        <f>(1-B54)*MAX(0,Products!$C$16-$A54)*(Products!$C$33-Products!$C$35/Products!$C$16)</f>
        <v/>
      </c>
      <c r="G54" s="81">
        <f>IF($A54&lt;=Products!$C$16,B54,0)</f>
        <v/>
      </c>
      <c r="H54" s="81">
        <f>IF(AND($A54&gt;=1,$A54&lt;=Products!$C$16),B53-B54,0)</f>
        <v/>
      </c>
      <c r="I54" s="80">
        <f>IF(AND($A54-Inputs!$C$31&gt;=1,$A54-Inputs!$C$31&lt;=Products!$C$16),INDEX(Curves!$H$8:$H$68,$A54-Inputs!$C$31+1),0)*Products!$C$27*Products!$C$28*Products!$C$13*(1-Credit_Assumptions!$C$15)</f>
        <v/>
      </c>
      <c r="J54" s="80">
        <f>IF($A54=Inputs!$C$33,Products!$C$30*Inputs!$C$10*Inputs!$C$32,0)</f>
        <v/>
      </c>
      <c r="K54" s="80">
        <f>D54*(1-Inputs!$C$24)-Inputs!$C$25*G54+I54+J54</f>
        <v/>
      </c>
      <c r="L54" s="80">
        <f>L53+K54</f>
        <v/>
      </c>
      <c r="M54" s="80">
        <f>C54*(1-B54)</f>
        <v/>
      </c>
      <c r="O54" s="81">
        <f>(1-Products!$D$41)^$A54</f>
        <v/>
      </c>
      <c r="P54" s="80">
        <f>IF(AND($A54&gt;=1,$A54&lt;=Products!$D$16),Products!$D$33,0)</f>
        <v/>
      </c>
      <c r="Q54" s="80">
        <f>P54*Products!$D$42*O54</f>
        <v/>
      </c>
      <c r="R54" s="80">
        <f>P54-Q54</f>
        <v/>
      </c>
      <c r="S54" s="80">
        <f>(1-O54)*MAX(0,Products!$D$16-$A54)*(Products!$D$33-Products!$D$35/Products!$D$16)</f>
        <v/>
      </c>
      <c r="T54" s="81">
        <f>IF($A54&lt;=Products!$D$16,O54,0)</f>
        <v/>
      </c>
      <c r="U54" s="81">
        <f>IF(AND($A54&gt;=1,$A54&lt;=Products!$D$16),O53-O54,0)</f>
        <v/>
      </c>
      <c r="V54" s="80">
        <f>IF(AND($A54-Inputs!$C$31&gt;=1,$A54-Inputs!$C$31&lt;=Products!$D$16),INDEX(Curves!$U$8:$U$68,$A54-Inputs!$C$31+1),0)*Products!$D$27*Products!$D$28*Products!$D$13*(1-Credit_Assumptions!$C$15)</f>
        <v/>
      </c>
      <c r="W54" s="80">
        <f>IF($A54=Inputs!$C$33,Products!$D$30*Inputs!$C$10*Inputs!$C$32,0)</f>
        <v/>
      </c>
      <c r="X54" s="80">
        <f>Q54*(1-Inputs!$C$24)-Inputs!$C$25*T54+V54+W54</f>
        <v/>
      </c>
      <c r="Y54" s="80">
        <f>Y53+X54</f>
        <v/>
      </c>
      <c r="Z54" s="80">
        <f>P54*(1-O54)</f>
        <v/>
      </c>
      <c r="AB54" s="81">
        <f>(1-Products!$E$41)^$A54</f>
        <v/>
      </c>
      <c r="AC54" s="80">
        <f>IF(AND($A54&gt;=1,$A54&lt;=Products!$E$16),Products!$E$33,0)</f>
        <v/>
      </c>
      <c r="AD54" s="80">
        <f>AC54*Products!$E$42*AB54</f>
        <v/>
      </c>
      <c r="AE54" s="80">
        <f>AC54-AD54</f>
        <v/>
      </c>
      <c r="AF54" s="80">
        <f>(1-AB54)*MAX(0,Products!$E$16-$A54)*(Products!$E$33-Products!$E$35/Products!$E$16)</f>
        <v/>
      </c>
      <c r="AG54" s="81">
        <f>IF($A54&lt;=Products!$E$16,AB54,0)</f>
        <v/>
      </c>
      <c r="AH54" s="81">
        <f>IF(AND($A54&gt;=1,$A54&lt;=Products!$E$16),AB53-AB54,0)</f>
        <v/>
      </c>
      <c r="AI54" s="80">
        <f>IF(AND($A54-Inputs!$C$31&gt;=1,$A54-Inputs!$C$31&lt;=Products!$E$16),INDEX(Curves!$AH$8:$AH$68,$A54-Inputs!$C$31+1),0)*Products!$E$27*Products!$E$28*Products!$E$13*(1-Credit_Assumptions!$C$15)</f>
        <v/>
      </c>
      <c r="AJ54" s="80">
        <f>IF($A54=Inputs!$C$33,Products!$E$30*Inputs!$C$10*Inputs!$C$32,0)</f>
        <v/>
      </c>
      <c r="AK54" s="80">
        <f>AD54*(1-Inputs!$C$24)-Inputs!$C$25*AG54+AI54+AJ54</f>
        <v/>
      </c>
      <c r="AL54" s="80">
        <f>AL53+AK54</f>
        <v/>
      </c>
      <c r="AM54" s="80">
        <f>AC54*(1-AB54)</f>
        <v/>
      </c>
      <c r="AO54" s="81">
        <f>(1-Products!$F$41)^$A54</f>
        <v/>
      </c>
      <c r="AP54" s="80">
        <f>IF(AND($A54&gt;=1,$A54&lt;=Products!$F$16),Products!$F$33,0)</f>
        <v/>
      </c>
      <c r="AQ54" s="80">
        <f>AP54*Products!$F$42*AO54</f>
        <v/>
      </c>
      <c r="AR54" s="80">
        <f>AP54-AQ54</f>
        <v/>
      </c>
      <c r="AS54" s="80">
        <f>(1-AO54)*MAX(0,Products!$F$16-$A54)*(Products!$F$33-Products!$F$35/Products!$F$16)</f>
        <v/>
      </c>
      <c r="AT54" s="81">
        <f>IF($A54&lt;=Products!$F$16,AO54,0)</f>
        <v/>
      </c>
      <c r="AU54" s="81">
        <f>IF(AND($A54&gt;=1,$A54&lt;=Products!$F$16),AO53-AO54,0)</f>
        <v/>
      </c>
      <c r="AV54" s="80">
        <f>IF(AND($A54-Inputs!$C$31&gt;=1,$A54-Inputs!$C$31&lt;=Products!$F$16),INDEX(Curves!$AU$8:$AU$68,$A54-Inputs!$C$31+1),0)*Products!$F$27*Products!$F$28*Products!$F$13*(1-Credit_Assumptions!$C$15)</f>
        <v/>
      </c>
      <c r="AW54" s="80">
        <f>IF($A54=Inputs!$C$33,Products!$F$30*Inputs!$C$10*Inputs!$C$32,0)</f>
        <v/>
      </c>
      <c r="AX54" s="80">
        <f>AQ54*(1-Inputs!$C$24)-Inputs!$C$25*AT54+AV54+AW54</f>
        <v/>
      </c>
      <c r="AY54" s="80">
        <f>AY53+AX54</f>
        <v/>
      </c>
      <c r="AZ54" s="80">
        <f>AP54*(1-AO54)</f>
        <v/>
      </c>
      <c r="BB54" s="81">
        <f>(1-Products!$G$41)^$A54</f>
        <v/>
      </c>
      <c r="BC54" s="80">
        <f>IF(AND($A54&gt;=1,$A54&lt;=Products!$G$16),Products!$G$33,0)</f>
        <v/>
      </c>
      <c r="BD54" s="80">
        <f>BC54*Products!$G$42*BB54</f>
        <v/>
      </c>
      <c r="BE54" s="80">
        <f>BC54-BD54</f>
        <v/>
      </c>
      <c r="BF54" s="80">
        <f>(1-BB54)*MAX(0,Products!$G$16-$A54)*(Products!$G$33-Products!$G$35/Products!$G$16)</f>
        <v/>
      </c>
      <c r="BG54" s="81">
        <f>IF($A54&lt;=Products!$G$16,BB54,0)</f>
        <v/>
      </c>
      <c r="BH54" s="81">
        <f>IF(AND($A54&gt;=1,$A54&lt;=Products!$G$16),BB53-BB54,0)</f>
        <v/>
      </c>
      <c r="BI54" s="80">
        <f>IF(AND($A54-Inputs!$C$31&gt;=1,$A54-Inputs!$C$31&lt;=Products!$G$16),INDEX(Curves!$BH$8:$BH$68,$A54-Inputs!$C$31+1),0)*Products!$G$27*Products!$G$28*Products!$G$13*(1-Credit_Assumptions!$C$15)</f>
        <v/>
      </c>
      <c r="BJ54" s="80">
        <f>IF($A54=Inputs!$C$33,Products!$G$30*Inputs!$C$10*Inputs!$C$32,0)</f>
        <v/>
      </c>
      <c r="BK54" s="80">
        <f>BD54*(1-Inputs!$C$24)-Inputs!$C$25*BG54+BI54+BJ54</f>
        <v/>
      </c>
      <c r="BL54" s="80">
        <f>BL53+BK54</f>
        <v/>
      </c>
      <c r="BM54" s="80">
        <f>BC54*(1-BB54)</f>
        <v/>
      </c>
    </row>
    <row r="55">
      <c r="A55" s="23" t="n">
        <v>47</v>
      </c>
      <c r="B55" s="81">
        <f>(1-Products!$C$41)^$A55</f>
        <v/>
      </c>
      <c r="C55" s="80">
        <f>IF(AND($A55&gt;=1,$A55&lt;=Products!$C$16),Products!$C$33,0)</f>
        <v/>
      </c>
      <c r="D55" s="80">
        <f>C55*Products!$C$42*B55</f>
        <v/>
      </c>
      <c r="E55" s="80">
        <f>C55-D55</f>
        <v/>
      </c>
      <c r="F55" s="80">
        <f>(1-B55)*MAX(0,Products!$C$16-$A55)*(Products!$C$33-Products!$C$35/Products!$C$16)</f>
        <v/>
      </c>
      <c r="G55" s="81">
        <f>IF($A55&lt;=Products!$C$16,B55,0)</f>
        <v/>
      </c>
      <c r="H55" s="81">
        <f>IF(AND($A55&gt;=1,$A55&lt;=Products!$C$16),B54-B55,0)</f>
        <v/>
      </c>
      <c r="I55" s="80">
        <f>IF(AND($A55-Inputs!$C$31&gt;=1,$A55-Inputs!$C$31&lt;=Products!$C$16),INDEX(Curves!$H$8:$H$68,$A55-Inputs!$C$31+1),0)*Products!$C$27*Products!$C$28*Products!$C$13*(1-Credit_Assumptions!$C$15)</f>
        <v/>
      </c>
      <c r="J55" s="80">
        <f>IF($A55=Inputs!$C$33,Products!$C$30*Inputs!$C$10*Inputs!$C$32,0)</f>
        <v/>
      </c>
      <c r="K55" s="80">
        <f>D55*(1-Inputs!$C$24)-Inputs!$C$25*G55+I55+J55</f>
        <v/>
      </c>
      <c r="L55" s="80">
        <f>L54+K55</f>
        <v/>
      </c>
      <c r="M55" s="80">
        <f>C55*(1-B55)</f>
        <v/>
      </c>
      <c r="O55" s="81">
        <f>(1-Products!$D$41)^$A55</f>
        <v/>
      </c>
      <c r="P55" s="80">
        <f>IF(AND($A55&gt;=1,$A55&lt;=Products!$D$16),Products!$D$33,0)</f>
        <v/>
      </c>
      <c r="Q55" s="80">
        <f>P55*Products!$D$42*O55</f>
        <v/>
      </c>
      <c r="R55" s="80">
        <f>P55-Q55</f>
        <v/>
      </c>
      <c r="S55" s="80">
        <f>(1-O55)*MAX(0,Products!$D$16-$A55)*(Products!$D$33-Products!$D$35/Products!$D$16)</f>
        <v/>
      </c>
      <c r="T55" s="81">
        <f>IF($A55&lt;=Products!$D$16,O55,0)</f>
        <v/>
      </c>
      <c r="U55" s="81">
        <f>IF(AND($A55&gt;=1,$A55&lt;=Products!$D$16),O54-O55,0)</f>
        <v/>
      </c>
      <c r="V55" s="80">
        <f>IF(AND($A55-Inputs!$C$31&gt;=1,$A55-Inputs!$C$31&lt;=Products!$D$16),INDEX(Curves!$U$8:$U$68,$A55-Inputs!$C$31+1),0)*Products!$D$27*Products!$D$28*Products!$D$13*(1-Credit_Assumptions!$C$15)</f>
        <v/>
      </c>
      <c r="W55" s="80">
        <f>IF($A55=Inputs!$C$33,Products!$D$30*Inputs!$C$10*Inputs!$C$32,0)</f>
        <v/>
      </c>
      <c r="X55" s="80">
        <f>Q55*(1-Inputs!$C$24)-Inputs!$C$25*T55+V55+W55</f>
        <v/>
      </c>
      <c r="Y55" s="80">
        <f>Y54+X55</f>
        <v/>
      </c>
      <c r="Z55" s="80">
        <f>P55*(1-O55)</f>
        <v/>
      </c>
      <c r="AB55" s="81">
        <f>(1-Products!$E$41)^$A55</f>
        <v/>
      </c>
      <c r="AC55" s="80">
        <f>IF(AND($A55&gt;=1,$A55&lt;=Products!$E$16),Products!$E$33,0)</f>
        <v/>
      </c>
      <c r="AD55" s="80">
        <f>AC55*Products!$E$42*AB55</f>
        <v/>
      </c>
      <c r="AE55" s="80">
        <f>AC55-AD55</f>
        <v/>
      </c>
      <c r="AF55" s="80">
        <f>(1-AB55)*MAX(0,Products!$E$16-$A55)*(Products!$E$33-Products!$E$35/Products!$E$16)</f>
        <v/>
      </c>
      <c r="AG55" s="81">
        <f>IF($A55&lt;=Products!$E$16,AB55,0)</f>
        <v/>
      </c>
      <c r="AH55" s="81">
        <f>IF(AND($A55&gt;=1,$A55&lt;=Products!$E$16),AB54-AB55,0)</f>
        <v/>
      </c>
      <c r="AI55" s="80">
        <f>IF(AND($A55-Inputs!$C$31&gt;=1,$A55-Inputs!$C$31&lt;=Products!$E$16),INDEX(Curves!$AH$8:$AH$68,$A55-Inputs!$C$31+1),0)*Products!$E$27*Products!$E$28*Products!$E$13*(1-Credit_Assumptions!$C$15)</f>
        <v/>
      </c>
      <c r="AJ55" s="80">
        <f>IF($A55=Inputs!$C$33,Products!$E$30*Inputs!$C$10*Inputs!$C$32,0)</f>
        <v/>
      </c>
      <c r="AK55" s="80">
        <f>AD55*(1-Inputs!$C$24)-Inputs!$C$25*AG55+AI55+AJ55</f>
        <v/>
      </c>
      <c r="AL55" s="80">
        <f>AL54+AK55</f>
        <v/>
      </c>
      <c r="AM55" s="80">
        <f>AC55*(1-AB55)</f>
        <v/>
      </c>
      <c r="AO55" s="81">
        <f>(1-Products!$F$41)^$A55</f>
        <v/>
      </c>
      <c r="AP55" s="80">
        <f>IF(AND($A55&gt;=1,$A55&lt;=Products!$F$16),Products!$F$33,0)</f>
        <v/>
      </c>
      <c r="AQ55" s="80">
        <f>AP55*Products!$F$42*AO55</f>
        <v/>
      </c>
      <c r="AR55" s="80">
        <f>AP55-AQ55</f>
        <v/>
      </c>
      <c r="AS55" s="80">
        <f>(1-AO55)*MAX(0,Products!$F$16-$A55)*(Products!$F$33-Products!$F$35/Products!$F$16)</f>
        <v/>
      </c>
      <c r="AT55" s="81">
        <f>IF($A55&lt;=Products!$F$16,AO55,0)</f>
        <v/>
      </c>
      <c r="AU55" s="81">
        <f>IF(AND($A55&gt;=1,$A55&lt;=Products!$F$16),AO54-AO55,0)</f>
        <v/>
      </c>
      <c r="AV55" s="80">
        <f>IF(AND($A55-Inputs!$C$31&gt;=1,$A55-Inputs!$C$31&lt;=Products!$F$16),INDEX(Curves!$AU$8:$AU$68,$A55-Inputs!$C$31+1),0)*Products!$F$27*Products!$F$28*Products!$F$13*(1-Credit_Assumptions!$C$15)</f>
        <v/>
      </c>
      <c r="AW55" s="80">
        <f>IF($A55=Inputs!$C$33,Products!$F$30*Inputs!$C$10*Inputs!$C$32,0)</f>
        <v/>
      </c>
      <c r="AX55" s="80">
        <f>AQ55*(1-Inputs!$C$24)-Inputs!$C$25*AT55+AV55+AW55</f>
        <v/>
      </c>
      <c r="AY55" s="80">
        <f>AY54+AX55</f>
        <v/>
      </c>
      <c r="AZ55" s="80">
        <f>AP55*(1-AO55)</f>
        <v/>
      </c>
      <c r="BB55" s="81">
        <f>(1-Products!$G$41)^$A55</f>
        <v/>
      </c>
      <c r="BC55" s="80">
        <f>IF(AND($A55&gt;=1,$A55&lt;=Products!$G$16),Products!$G$33,0)</f>
        <v/>
      </c>
      <c r="BD55" s="80">
        <f>BC55*Products!$G$42*BB55</f>
        <v/>
      </c>
      <c r="BE55" s="80">
        <f>BC55-BD55</f>
        <v/>
      </c>
      <c r="BF55" s="80">
        <f>(1-BB55)*MAX(0,Products!$G$16-$A55)*(Products!$G$33-Products!$G$35/Products!$G$16)</f>
        <v/>
      </c>
      <c r="BG55" s="81">
        <f>IF($A55&lt;=Products!$G$16,BB55,0)</f>
        <v/>
      </c>
      <c r="BH55" s="81">
        <f>IF(AND($A55&gt;=1,$A55&lt;=Products!$G$16),BB54-BB55,0)</f>
        <v/>
      </c>
      <c r="BI55" s="80">
        <f>IF(AND($A55-Inputs!$C$31&gt;=1,$A55-Inputs!$C$31&lt;=Products!$G$16),INDEX(Curves!$BH$8:$BH$68,$A55-Inputs!$C$31+1),0)*Products!$G$27*Products!$G$28*Products!$G$13*(1-Credit_Assumptions!$C$15)</f>
        <v/>
      </c>
      <c r="BJ55" s="80">
        <f>IF($A55=Inputs!$C$33,Products!$G$30*Inputs!$C$10*Inputs!$C$32,0)</f>
        <v/>
      </c>
      <c r="BK55" s="80">
        <f>BD55*(1-Inputs!$C$24)-Inputs!$C$25*BG55+BI55+BJ55</f>
        <v/>
      </c>
      <c r="BL55" s="80">
        <f>BL54+BK55</f>
        <v/>
      </c>
      <c r="BM55" s="80">
        <f>BC55*(1-BB55)</f>
        <v/>
      </c>
    </row>
    <row r="56">
      <c r="A56" s="23" t="n">
        <v>48</v>
      </c>
      <c r="B56" s="81">
        <f>(1-Products!$C$41)^$A56</f>
        <v/>
      </c>
      <c r="C56" s="80">
        <f>IF(AND($A56&gt;=1,$A56&lt;=Products!$C$16),Products!$C$33,0)</f>
        <v/>
      </c>
      <c r="D56" s="80">
        <f>C56*Products!$C$42*B56</f>
        <v/>
      </c>
      <c r="E56" s="80">
        <f>C56-D56</f>
        <v/>
      </c>
      <c r="F56" s="80">
        <f>(1-B56)*MAX(0,Products!$C$16-$A56)*(Products!$C$33-Products!$C$35/Products!$C$16)</f>
        <v/>
      </c>
      <c r="G56" s="81">
        <f>IF($A56&lt;=Products!$C$16,B56,0)</f>
        <v/>
      </c>
      <c r="H56" s="81">
        <f>IF(AND($A56&gt;=1,$A56&lt;=Products!$C$16),B55-B56,0)</f>
        <v/>
      </c>
      <c r="I56" s="80">
        <f>IF(AND($A56-Inputs!$C$31&gt;=1,$A56-Inputs!$C$31&lt;=Products!$C$16),INDEX(Curves!$H$8:$H$68,$A56-Inputs!$C$31+1),0)*Products!$C$27*Products!$C$28*Products!$C$13*(1-Credit_Assumptions!$C$15)</f>
        <v/>
      </c>
      <c r="J56" s="80">
        <f>IF($A56=Inputs!$C$33,Products!$C$30*Inputs!$C$10*Inputs!$C$32,0)</f>
        <v/>
      </c>
      <c r="K56" s="80">
        <f>D56*(1-Inputs!$C$24)-Inputs!$C$25*G56+I56+J56</f>
        <v/>
      </c>
      <c r="L56" s="80">
        <f>L55+K56</f>
        <v/>
      </c>
      <c r="M56" s="80">
        <f>C56*(1-B56)</f>
        <v/>
      </c>
      <c r="O56" s="81">
        <f>(1-Products!$D$41)^$A56</f>
        <v/>
      </c>
      <c r="P56" s="80">
        <f>IF(AND($A56&gt;=1,$A56&lt;=Products!$D$16),Products!$D$33,0)</f>
        <v/>
      </c>
      <c r="Q56" s="80">
        <f>P56*Products!$D$42*O56</f>
        <v/>
      </c>
      <c r="R56" s="80">
        <f>P56-Q56</f>
        <v/>
      </c>
      <c r="S56" s="80">
        <f>(1-O56)*MAX(0,Products!$D$16-$A56)*(Products!$D$33-Products!$D$35/Products!$D$16)</f>
        <v/>
      </c>
      <c r="T56" s="81">
        <f>IF($A56&lt;=Products!$D$16,O56,0)</f>
        <v/>
      </c>
      <c r="U56" s="81">
        <f>IF(AND($A56&gt;=1,$A56&lt;=Products!$D$16),O55-O56,0)</f>
        <v/>
      </c>
      <c r="V56" s="80">
        <f>IF(AND($A56-Inputs!$C$31&gt;=1,$A56-Inputs!$C$31&lt;=Products!$D$16),INDEX(Curves!$U$8:$U$68,$A56-Inputs!$C$31+1),0)*Products!$D$27*Products!$D$28*Products!$D$13*(1-Credit_Assumptions!$C$15)</f>
        <v/>
      </c>
      <c r="W56" s="80">
        <f>IF($A56=Inputs!$C$33,Products!$D$30*Inputs!$C$10*Inputs!$C$32,0)</f>
        <v/>
      </c>
      <c r="X56" s="80">
        <f>Q56*(1-Inputs!$C$24)-Inputs!$C$25*T56+V56+W56</f>
        <v/>
      </c>
      <c r="Y56" s="80">
        <f>Y55+X56</f>
        <v/>
      </c>
      <c r="Z56" s="80">
        <f>P56*(1-O56)</f>
        <v/>
      </c>
      <c r="AB56" s="81">
        <f>(1-Products!$E$41)^$A56</f>
        <v/>
      </c>
      <c r="AC56" s="80">
        <f>IF(AND($A56&gt;=1,$A56&lt;=Products!$E$16),Products!$E$33,0)</f>
        <v/>
      </c>
      <c r="AD56" s="80">
        <f>AC56*Products!$E$42*AB56</f>
        <v/>
      </c>
      <c r="AE56" s="80">
        <f>AC56-AD56</f>
        <v/>
      </c>
      <c r="AF56" s="80">
        <f>(1-AB56)*MAX(0,Products!$E$16-$A56)*(Products!$E$33-Products!$E$35/Products!$E$16)</f>
        <v/>
      </c>
      <c r="AG56" s="81">
        <f>IF($A56&lt;=Products!$E$16,AB56,0)</f>
        <v/>
      </c>
      <c r="AH56" s="81">
        <f>IF(AND($A56&gt;=1,$A56&lt;=Products!$E$16),AB55-AB56,0)</f>
        <v/>
      </c>
      <c r="AI56" s="80">
        <f>IF(AND($A56-Inputs!$C$31&gt;=1,$A56-Inputs!$C$31&lt;=Products!$E$16),INDEX(Curves!$AH$8:$AH$68,$A56-Inputs!$C$31+1),0)*Products!$E$27*Products!$E$28*Products!$E$13*(1-Credit_Assumptions!$C$15)</f>
        <v/>
      </c>
      <c r="AJ56" s="80">
        <f>IF($A56=Inputs!$C$33,Products!$E$30*Inputs!$C$10*Inputs!$C$32,0)</f>
        <v/>
      </c>
      <c r="AK56" s="80">
        <f>AD56*(1-Inputs!$C$24)-Inputs!$C$25*AG56+AI56+AJ56</f>
        <v/>
      </c>
      <c r="AL56" s="80">
        <f>AL55+AK56</f>
        <v/>
      </c>
      <c r="AM56" s="80">
        <f>AC56*(1-AB56)</f>
        <v/>
      </c>
      <c r="AO56" s="81">
        <f>(1-Products!$F$41)^$A56</f>
        <v/>
      </c>
      <c r="AP56" s="80">
        <f>IF(AND($A56&gt;=1,$A56&lt;=Products!$F$16),Products!$F$33,0)</f>
        <v/>
      </c>
      <c r="AQ56" s="80">
        <f>AP56*Products!$F$42*AO56</f>
        <v/>
      </c>
      <c r="AR56" s="80">
        <f>AP56-AQ56</f>
        <v/>
      </c>
      <c r="AS56" s="80">
        <f>(1-AO56)*MAX(0,Products!$F$16-$A56)*(Products!$F$33-Products!$F$35/Products!$F$16)</f>
        <v/>
      </c>
      <c r="AT56" s="81">
        <f>IF($A56&lt;=Products!$F$16,AO56,0)</f>
        <v/>
      </c>
      <c r="AU56" s="81">
        <f>IF(AND($A56&gt;=1,$A56&lt;=Products!$F$16),AO55-AO56,0)</f>
        <v/>
      </c>
      <c r="AV56" s="80">
        <f>IF(AND($A56-Inputs!$C$31&gt;=1,$A56-Inputs!$C$31&lt;=Products!$F$16),INDEX(Curves!$AU$8:$AU$68,$A56-Inputs!$C$31+1),0)*Products!$F$27*Products!$F$28*Products!$F$13*(1-Credit_Assumptions!$C$15)</f>
        <v/>
      </c>
      <c r="AW56" s="80">
        <f>IF($A56=Inputs!$C$33,Products!$F$30*Inputs!$C$10*Inputs!$C$32,0)</f>
        <v/>
      </c>
      <c r="AX56" s="80">
        <f>AQ56*(1-Inputs!$C$24)-Inputs!$C$25*AT56+AV56+AW56</f>
        <v/>
      </c>
      <c r="AY56" s="80">
        <f>AY55+AX56</f>
        <v/>
      </c>
      <c r="AZ56" s="80">
        <f>AP56*(1-AO56)</f>
        <v/>
      </c>
      <c r="BB56" s="81">
        <f>(1-Products!$G$41)^$A56</f>
        <v/>
      </c>
      <c r="BC56" s="80">
        <f>IF(AND($A56&gt;=1,$A56&lt;=Products!$G$16),Products!$G$33,0)</f>
        <v/>
      </c>
      <c r="BD56" s="80">
        <f>BC56*Products!$G$42*BB56</f>
        <v/>
      </c>
      <c r="BE56" s="80">
        <f>BC56-BD56</f>
        <v/>
      </c>
      <c r="BF56" s="80">
        <f>(1-BB56)*MAX(0,Products!$G$16-$A56)*(Products!$G$33-Products!$G$35/Products!$G$16)</f>
        <v/>
      </c>
      <c r="BG56" s="81">
        <f>IF($A56&lt;=Products!$G$16,BB56,0)</f>
        <v/>
      </c>
      <c r="BH56" s="81">
        <f>IF(AND($A56&gt;=1,$A56&lt;=Products!$G$16),BB55-BB56,0)</f>
        <v/>
      </c>
      <c r="BI56" s="80">
        <f>IF(AND($A56-Inputs!$C$31&gt;=1,$A56-Inputs!$C$31&lt;=Products!$G$16),INDEX(Curves!$BH$8:$BH$68,$A56-Inputs!$C$31+1),0)*Products!$G$27*Products!$G$28*Products!$G$13*(1-Credit_Assumptions!$C$15)</f>
        <v/>
      </c>
      <c r="BJ56" s="80">
        <f>IF($A56=Inputs!$C$33,Products!$G$30*Inputs!$C$10*Inputs!$C$32,0)</f>
        <v/>
      </c>
      <c r="BK56" s="80">
        <f>BD56*(1-Inputs!$C$24)-Inputs!$C$25*BG56+BI56+BJ56</f>
        <v/>
      </c>
      <c r="BL56" s="80">
        <f>BL55+BK56</f>
        <v/>
      </c>
      <c r="BM56" s="80">
        <f>BC56*(1-BB56)</f>
        <v/>
      </c>
    </row>
    <row r="57">
      <c r="A57" s="23" t="n">
        <v>49</v>
      </c>
      <c r="B57" s="81">
        <f>(1-Products!$C$41)^$A57</f>
        <v/>
      </c>
      <c r="C57" s="80">
        <f>IF(AND($A57&gt;=1,$A57&lt;=Products!$C$16),Products!$C$33,0)</f>
        <v/>
      </c>
      <c r="D57" s="80">
        <f>C57*Products!$C$42*B57</f>
        <v/>
      </c>
      <c r="E57" s="80">
        <f>C57-D57</f>
        <v/>
      </c>
      <c r="F57" s="80">
        <f>(1-B57)*MAX(0,Products!$C$16-$A57)*(Products!$C$33-Products!$C$35/Products!$C$16)</f>
        <v/>
      </c>
      <c r="G57" s="81">
        <f>IF($A57&lt;=Products!$C$16,B57,0)</f>
        <v/>
      </c>
      <c r="H57" s="81">
        <f>IF(AND($A57&gt;=1,$A57&lt;=Products!$C$16),B56-B57,0)</f>
        <v/>
      </c>
      <c r="I57" s="80">
        <f>IF(AND($A57-Inputs!$C$31&gt;=1,$A57-Inputs!$C$31&lt;=Products!$C$16),INDEX(Curves!$H$8:$H$68,$A57-Inputs!$C$31+1),0)*Products!$C$27*Products!$C$28*Products!$C$13*(1-Credit_Assumptions!$C$15)</f>
        <v/>
      </c>
      <c r="J57" s="80">
        <f>IF($A57=Inputs!$C$33,Products!$C$30*Inputs!$C$10*Inputs!$C$32,0)</f>
        <v/>
      </c>
      <c r="K57" s="80">
        <f>D57*(1-Inputs!$C$24)-Inputs!$C$25*G57+I57+J57</f>
        <v/>
      </c>
      <c r="L57" s="80">
        <f>L56+K57</f>
        <v/>
      </c>
      <c r="M57" s="80">
        <f>C57*(1-B57)</f>
        <v/>
      </c>
      <c r="O57" s="81">
        <f>(1-Products!$D$41)^$A57</f>
        <v/>
      </c>
      <c r="P57" s="80">
        <f>IF(AND($A57&gt;=1,$A57&lt;=Products!$D$16),Products!$D$33,0)</f>
        <v/>
      </c>
      <c r="Q57" s="80">
        <f>P57*Products!$D$42*O57</f>
        <v/>
      </c>
      <c r="R57" s="80">
        <f>P57-Q57</f>
        <v/>
      </c>
      <c r="S57" s="80">
        <f>(1-O57)*MAX(0,Products!$D$16-$A57)*(Products!$D$33-Products!$D$35/Products!$D$16)</f>
        <v/>
      </c>
      <c r="T57" s="81">
        <f>IF($A57&lt;=Products!$D$16,O57,0)</f>
        <v/>
      </c>
      <c r="U57" s="81">
        <f>IF(AND($A57&gt;=1,$A57&lt;=Products!$D$16),O56-O57,0)</f>
        <v/>
      </c>
      <c r="V57" s="80">
        <f>IF(AND($A57-Inputs!$C$31&gt;=1,$A57-Inputs!$C$31&lt;=Products!$D$16),INDEX(Curves!$U$8:$U$68,$A57-Inputs!$C$31+1),0)*Products!$D$27*Products!$D$28*Products!$D$13*(1-Credit_Assumptions!$C$15)</f>
        <v/>
      </c>
      <c r="W57" s="80">
        <f>IF($A57=Inputs!$C$33,Products!$D$30*Inputs!$C$10*Inputs!$C$32,0)</f>
        <v/>
      </c>
      <c r="X57" s="80">
        <f>Q57*(1-Inputs!$C$24)-Inputs!$C$25*T57+V57+W57</f>
        <v/>
      </c>
      <c r="Y57" s="80">
        <f>Y56+X57</f>
        <v/>
      </c>
      <c r="Z57" s="80">
        <f>P57*(1-O57)</f>
        <v/>
      </c>
      <c r="AB57" s="81">
        <f>(1-Products!$E$41)^$A57</f>
        <v/>
      </c>
      <c r="AC57" s="80">
        <f>IF(AND($A57&gt;=1,$A57&lt;=Products!$E$16),Products!$E$33,0)</f>
        <v/>
      </c>
      <c r="AD57" s="80">
        <f>AC57*Products!$E$42*AB57</f>
        <v/>
      </c>
      <c r="AE57" s="80">
        <f>AC57-AD57</f>
        <v/>
      </c>
      <c r="AF57" s="80">
        <f>(1-AB57)*MAX(0,Products!$E$16-$A57)*(Products!$E$33-Products!$E$35/Products!$E$16)</f>
        <v/>
      </c>
      <c r="AG57" s="81">
        <f>IF($A57&lt;=Products!$E$16,AB57,0)</f>
        <v/>
      </c>
      <c r="AH57" s="81">
        <f>IF(AND($A57&gt;=1,$A57&lt;=Products!$E$16),AB56-AB57,0)</f>
        <v/>
      </c>
      <c r="AI57" s="80">
        <f>IF(AND($A57-Inputs!$C$31&gt;=1,$A57-Inputs!$C$31&lt;=Products!$E$16),INDEX(Curves!$AH$8:$AH$68,$A57-Inputs!$C$31+1),0)*Products!$E$27*Products!$E$28*Products!$E$13*(1-Credit_Assumptions!$C$15)</f>
        <v/>
      </c>
      <c r="AJ57" s="80">
        <f>IF($A57=Inputs!$C$33,Products!$E$30*Inputs!$C$10*Inputs!$C$32,0)</f>
        <v/>
      </c>
      <c r="AK57" s="80">
        <f>AD57*(1-Inputs!$C$24)-Inputs!$C$25*AG57+AI57+AJ57</f>
        <v/>
      </c>
      <c r="AL57" s="80">
        <f>AL56+AK57</f>
        <v/>
      </c>
      <c r="AM57" s="80">
        <f>AC57*(1-AB57)</f>
        <v/>
      </c>
      <c r="AO57" s="81">
        <f>(1-Products!$F$41)^$A57</f>
        <v/>
      </c>
      <c r="AP57" s="80">
        <f>IF(AND($A57&gt;=1,$A57&lt;=Products!$F$16),Products!$F$33,0)</f>
        <v/>
      </c>
      <c r="AQ57" s="80">
        <f>AP57*Products!$F$42*AO57</f>
        <v/>
      </c>
      <c r="AR57" s="80">
        <f>AP57-AQ57</f>
        <v/>
      </c>
      <c r="AS57" s="80">
        <f>(1-AO57)*MAX(0,Products!$F$16-$A57)*(Products!$F$33-Products!$F$35/Products!$F$16)</f>
        <v/>
      </c>
      <c r="AT57" s="81">
        <f>IF($A57&lt;=Products!$F$16,AO57,0)</f>
        <v/>
      </c>
      <c r="AU57" s="81">
        <f>IF(AND($A57&gt;=1,$A57&lt;=Products!$F$16),AO56-AO57,0)</f>
        <v/>
      </c>
      <c r="AV57" s="80">
        <f>IF(AND($A57-Inputs!$C$31&gt;=1,$A57-Inputs!$C$31&lt;=Products!$F$16),INDEX(Curves!$AU$8:$AU$68,$A57-Inputs!$C$31+1),0)*Products!$F$27*Products!$F$28*Products!$F$13*(1-Credit_Assumptions!$C$15)</f>
        <v/>
      </c>
      <c r="AW57" s="80">
        <f>IF($A57=Inputs!$C$33,Products!$F$30*Inputs!$C$10*Inputs!$C$32,0)</f>
        <v/>
      </c>
      <c r="AX57" s="80">
        <f>AQ57*(1-Inputs!$C$24)-Inputs!$C$25*AT57+AV57+AW57</f>
        <v/>
      </c>
      <c r="AY57" s="80">
        <f>AY56+AX57</f>
        <v/>
      </c>
      <c r="AZ57" s="80">
        <f>AP57*(1-AO57)</f>
        <v/>
      </c>
      <c r="BB57" s="81">
        <f>(1-Products!$G$41)^$A57</f>
        <v/>
      </c>
      <c r="BC57" s="80">
        <f>IF(AND($A57&gt;=1,$A57&lt;=Products!$G$16),Products!$G$33,0)</f>
        <v/>
      </c>
      <c r="BD57" s="80">
        <f>BC57*Products!$G$42*BB57</f>
        <v/>
      </c>
      <c r="BE57" s="80">
        <f>BC57-BD57</f>
        <v/>
      </c>
      <c r="BF57" s="80">
        <f>(1-BB57)*MAX(0,Products!$G$16-$A57)*(Products!$G$33-Products!$G$35/Products!$G$16)</f>
        <v/>
      </c>
      <c r="BG57" s="81">
        <f>IF($A57&lt;=Products!$G$16,BB57,0)</f>
        <v/>
      </c>
      <c r="BH57" s="81">
        <f>IF(AND($A57&gt;=1,$A57&lt;=Products!$G$16),BB56-BB57,0)</f>
        <v/>
      </c>
      <c r="BI57" s="80">
        <f>IF(AND($A57-Inputs!$C$31&gt;=1,$A57-Inputs!$C$31&lt;=Products!$G$16),INDEX(Curves!$BH$8:$BH$68,$A57-Inputs!$C$31+1),0)*Products!$G$27*Products!$G$28*Products!$G$13*(1-Credit_Assumptions!$C$15)</f>
        <v/>
      </c>
      <c r="BJ57" s="80">
        <f>IF($A57=Inputs!$C$33,Products!$G$30*Inputs!$C$10*Inputs!$C$32,0)</f>
        <v/>
      </c>
      <c r="BK57" s="80">
        <f>BD57*(1-Inputs!$C$24)-Inputs!$C$25*BG57+BI57+BJ57</f>
        <v/>
      </c>
      <c r="BL57" s="80">
        <f>BL56+BK57</f>
        <v/>
      </c>
      <c r="BM57" s="80">
        <f>BC57*(1-BB57)</f>
        <v/>
      </c>
    </row>
    <row r="58">
      <c r="A58" s="23" t="n">
        <v>50</v>
      </c>
      <c r="B58" s="81">
        <f>(1-Products!$C$41)^$A58</f>
        <v/>
      </c>
      <c r="C58" s="80">
        <f>IF(AND($A58&gt;=1,$A58&lt;=Products!$C$16),Products!$C$33,0)</f>
        <v/>
      </c>
      <c r="D58" s="80">
        <f>C58*Products!$C$42*B58</f>
        <v/>
      </c>
      <c r="E58" s="80">
        <f>C58-D58</f>
        <v/>
      </c>
      <c r="F58" s="80">
        <f>(1-B58)*MAX(0,Products!$C$16-$A58)*(Products!$C$33-Products!$C$35/Products!$C$16)</f>
        <v/>
      </c>
      <c r="G58" s="81">
        <f>IF($A58&lt;=Products!$C$16,B58,0)</f>
        <v/>
      </c>
      <c r="H58" s="81">
        <f>IF(AND($A58&gt;=1,$A58&lt;=Products!$C$16),B57-B58,0)</f>
        <v/>
      </c>
      <c r="I58" s="80">
        <f>IF(AND($A58-Inputs!$C$31&gt;=1,$A58-Inputs!$C$31&lt;=Products!$C$16),INDEX(Curves!$H$8:$H$68,$A58-Inputs!$C$31+1),0)*Products!$C$27*Products!$C$28*Products!$C$13*(1-Credit_Assumptions!$C$15)</f>
        <v/>
      </c>
      <c r="J58" s="80">
        <f>IF($A58=Inputs!$C$33,Products!$C$30*Inputs!$C$10*Inputs!$C$32,0)</f>
        <v/>
      </c>
      <c r="K58" s="80">
        <f>D58*(1-Inputs!$C$24)-Inputs!$C$25*G58+I58+J58</f>
        <v/>
      </c>
      <c r="L58" s="80">
        <f>L57+K58</f>
        <v/>
      </c>
      <c r="M58" s="80">
        <f>C58*(1-B58)</f>
        <v/>
      </c>
      <c r="O58" s="81">
        <f>(1-Products!$D$41)^$A58</f>
        <v/>
      </c>
      <c r="P58" s="80">
        <f>IF(AND($A58&gt;=1,$A58&lt;=Products!$D$16),Products!$D$33,0)</f>
        <v/>
      </c>
      <c r="Q58" s="80">
        <f>P58*Products!$D$42*O58</f>
        <v/>
      </c>
      <c r="R58" s="80">
        <f>P58-Q58</f>
        <v/>
      </c>
      <c r="S58" s="80">
        <f>(1-O58)*MAX(0,Products!$D$16-$A58)*(Products!$D$33-Products!$D$35/Products!$D$16)</f>
        <v/>
      </c>
      <c r="T58" s="81">
        <f>IF($A58&lt;=Products!$D$16,O58,0)</f>
        <v/>
      </c>
      <c r="U58" s="81">
        <f>IF(AND($A58&gt;=1,$A58&lt;=Products!$D$16),O57-O58,0)</f>
        <v/>
      </c>
      <c r="V58" s="80">
        <f>IF(AND($A58-Inputs!$C$31&gt;=1,$A58-Inputs!$C$31&lt;=Products!$D$16),INDEX(Curves!$U$8:$U$68,$A58-Inputs!$C$31+1),0)*Products!$D$27*Products!$D$28*Products!$D$13*(1-Credit_Assumptions!$C$15)</f>
        <v/>
      </c>
      <c r="W58" s="80">
        <f>IF($A58=Inputs!$C$33,Products!$D$30*Inputs!$C$10*Inputs!$C$32,0)</f>
        <v/>
      </c>
      <c r="X58" s="80">
        <f>Q58*(1-Inputs!$C$24)-Inputs!$C$25*T58+V58+W58</f>
        <v/>
      </c>
      <c r="Y58" s="80">
        <f>Y57+X58</f>
        <v/>
      </c>
      <c r="Z58" s="80">
        <f>P58*(1-O58)</f>
        <v/>
      </c>
      <c r="AB58" s="81">
        <f>(1-Products!$E$41)^$A58</f>
        <v/>
      </c>
      <c r="AC58" s="80">
        <f>IF(AND($A58&gt;=1,$A58&lt;=Products!$E$16),Products!$E$33,0)</f>
        <v/>
      </c>
      <c r="AD58" s="80">
        <f>AC58*Products!$E$42*AB58</f>
        <v/>
      </c>
      <c r="AE58" s="80">
        <f>AC58-AD58</f>
        <v/>
      </c>
      <c r="AF58" s="80">
        <f>(1-AB58)*MAX(0,Products!$E$16-$A58)*(Products!$E$33-Products!$E$35/Products!$E$16)</f>
        <v/>
      </c>
      <c r="AG58" s="81">
        <f>IF($A58&lt;=Products!$E$16,AB58,0)</f>
        <v/>
      </c>
      <c r="AH58" s="81">
        <f>IF(AND($A58&gt;=1,$A58&lt;=Products!$E$16),AB57-AB58,0)</f>
        <v/>
      </c>
      <c r="AI58" s="80">
        <f>IF(AND($A58-Inputs!$C$31&gt;=1,$A58-Inputs!$C$31&lt;=Products!$E$16),INDEX(Curves!$AH$8:$AH$68,$A58-Inputs!$C$31+1),0)*Products!$E$27*Products!$E$28*Products!$E$13*(1-Credit_Assumptions!$C$15)</f>
        <v/>
      </c>
      <c r="AJ58" s="80">
        <f>IF($A58=Inputs!$C$33,Products!$E$30*Inputs!$C$10*Inputs!$C$32,0)</f>
        <v/>
      </c>
      <c r="AK58" s="80">
        <f>AD58*(1-Inputs!$C$24)-Inputs!$C$25*AG58+AI58+AJ58</f>
        <v/>
      </c>
      <c r="AL58" s="80">
        <f>AL57+AK58</f>
        <v/>
      </c>
      <c r="AM58" s="80">
        <f>AC58*(1-AB58)</f>
        <v/>
      </c>
      <c r="AO58" s="81">
        <f>(1-Products!$F$41)^$A58</f>
        <v/>
      </c>
      <c r="AP58" s="80">
        <f>IF(AND($A58&gt;=1,$A58&lt;=Products!$F$16),Products!$F$33,0)</f>
        <v/>
      </c>
      <c r="AQ58" s="80">
        <f>AP58*Products!$F$42*AO58</f>
        <v/>
      </c>
      <c r="AR58" s="80">
        <f>AP58-AQ58</f>
        <v/>
      </c>
      <c r="AS58" s="80">
        <f>(1-AO58)*MAX(0,Products!$F$16-$A58)*(Products!$F$33-Products!$F$35/Products!$F$16)</f>
        <v/>
      </c>
      <c r="AT58" s="81">
        <f>IF($A58&lt;=Products!$F$16,AO58,0)</f>
        <v/>
      </c>
      <c r="AU58" s="81">
        <f>IF(AND($A58&gt;=1,$A58&lt;=Products!$F$16),AO57-AO58,0)</f>
        <v/>
      </c>
      <c r="AV58" s="80">
        <f>IF(AND($A58-Inputs!$C$31&gt;=1,$A58-Inputs!$C$31&lt;=Products!$F$16),INDEX(Curves!$AU$8:$AU$68,$A58-Inputs!$C$31+1),0)*Products!$F$27*Products!$F$28*Products!$F$13*(1-Credit_Assumptions!$C$15)</f>
        <v/>
      </c>
      <c r="AW58" s="80">
        <f>IF($A58=Inputs!$C$33,Products!$F$30*Inputs!$C$10*Inputs!$C$32,0)</f>
        <v/>
      </c>
      <c r="AX58" s="80">
        <f>AQ58*(1-Inputs!$C$24)-Inputs!$C$25*AT58+AV58+AW58</f>
        <v/>
      </c>
      <c r="AY58" s="80">
        <f>AY57+AX58</f>
        <v/>
      </c>
      <c r="AZ58" s="80">
        <f>AP58*(1-AO58)</f>
        <v/>
      </c>
      <c r="BB58" s="81">
        <f>(1-Products!$G$41)^$A58</f>
        <v/>
      </c>
      <c r="BC58" s="80">
        <f>IF(AND($A58&gt;=1,$A58&lt;=Products!$G$16),Products!$G$33,0)</f>
        <v/>
      </c>
      <c r="BD58" s="80">
        <f>BC58*Products!$G$42*BB58</f>
        <v/>
      </c>
      <c r="BE58" s="80">
        <f>BC58-BD58</f>
        <v/>
      </c>
      <c r="BF58" s="80">
        <f>(1-BB58)*MAX(0,Products!$G$16-$A58)*(Products!$G$33-Products!$G$35/Products!$G$16)</f>
        <v/>
      </c>
      <c r="BG58" s="81">
        <f>IF($A58&lt;=Products!$G$16,BB58,0)</f>
        <v/>
      </c>
      <c r="BH58" s="81">
        <f>IF(AND($A58&gt;=1,$A58&lt;=Products!$G$16),BB57-BB58,0)</f>
        <v/>
      </c>
      <c r="BI58" s="80">
        <f>IF(AND($A58-Inputs!$C$31&gt;=1,$A58-Inputs!$C$31&lt;=Products!$G$16),INDEX(Curves!$BH$8:$BH$68,$A58-Inputs!$C$31+1),0)*Products!$G$27*Products!$G$28*Products!$G$13*(1-Credit_Assumptions!$C$15)</f>
        <v/>
      </c>
      <c r="BJ58" s="80">
        <f>IF($A58=Inputs!$C$33,Products!$G$30*Inputs!$C$10*Inputs!$C$32,0)</f>
        <v/>
      </c>
      <c r="BK58" s="80">
        <f>BD58*(1-Inputs!$C$24)-Inputs!$C$25*BG58+BI58+BJ58</f>
        <v/>
      </c>
      <c r="BL58" s="80">
        <f>BL57+BK58</f>
        <v/>
      </c>
      <c r="BM58" s="80">
        <f>BC58*(1-BB58)</f>
        <v/>
      </c>
    </row>
    <row r="59">
      <c r="A59" s="23" t="n">
        <v>51</v>
      </c>
      <c r="B59" s="81">
        <f>(1-Products!$C$41)^$A59</f>
        <v/>
      </c>
      <c r="C59" s="80">
        <f>IF(AND($A59&gt;=1,$A59&lt;=Products!$C$16),Products!$C$33,0)</f>
        <v/>
      </c>
      <c r="D59" s="80">
        <f>C59*Products!$C$42*B59</f>
        <v/>
      </c>
      <c r="E59" s="80">
        <f>C59-D59</f>
        <v/>
      </c>
      <c r="F59" s="80">
        <f>(1-B59)*MAX(0,Products!$C$16-$A59)*(Products!$C$33-Products!$C$35/Products!$C$16)</f>
        <v/>
      </c>
      <c r="G59" s="81">
        <f>IF($A59&lt;=Products!$C$16,B59,0)</f>
        <v/>
      </c>
      <c r="H59" s="81">
        <f>IF(AND($A59&gt;=1,$A59&lt;=Products!$C$16),B58-B59,0)</f>
        <v/>
      </c>
      <c r="I59" s="80">
        <f>IF(AND($A59-Inputs!$C$31&gt;=1,$A59-Inputs!$C$31&lt;=Products!$C$16),INDEX(Curves!$H$8:$H$68,$A59-Inputs!$C$31+1),0)*Products!$C$27*Products!$C$28*Products!$C$13*(1-Credit_Assumptions!$C$15)</f>
        <v/>
      </c>
      <c r="J59" s="80">
        <f>IF($A59=Inputs!$C$33,Products!$C$30*Inputs!$C$10*Inputs!$C$32,0)</f>
        <v/>
      </c>
      <c r="K59" s="80">
        <f>D59*(1-Inputs!$C$24)-Inputs!$C$25*G59+I59+J59</f>
        <v/>
      </c>
      <c r="L59" s="80">
        <f>L58+K59</f>
        <v/>
      </c>
      <c r="M59" s="80">
        <f>C59*(1-B59)</f>
        <v/>
      </c>
      <c r="O59" s="81">
        <f>(1-Products!$D$41)^$A59</f>
        <v/>
      </c>
      <c r="P59" s="80">
        <f>IF(AND($A59&gt;=1,$A59&lt;=Products!$D$16),Products!$D$33,0)</f>
        <v/>
      </c>
      <c r="Q59" s="80">
        <f>P59*Products!$D$42*O59</f>
        <v/>
      </c>
      <c r="R59" s="80">
        <f>P59-Q59</f>
        <v/>
      </c>
      <c r="S59" s="80">
        <f>(1-O59)*MAX(0,Products!$D$16-$A59)*(Products!$D$33-Products!$D$35/Products!$D$16)</f>
        <v/>
      </c>
      <c r="T59" s="81">
        <f>IF($A59&lt;=Products!$D$16,O59,0)</f>
        <v/>
      </c>
      <c r="U59" s="81">
        <f>IF(AND($A59&gt;=1,$A59&lt;=Products!$D$16),O58-O59,0)</f>
        <v/>
      </c>
      <c r="V59" s="80">
        <f>IF(AND($A59-Inputs!$C$31&gt;=1,$A59-Inputs!$C$31&lt;=Products!$D$16),INDEX(Curves!$U$8:$U$68,$A59-Inputs!$C$31+1),0)*Products!$D$27*Products!$D$28*Products!$D$13*(1-Credit_Assumptions!$C$15)</f>
        <v/>
      </c>
      <c r="W59" s="80">
        <f>IF($A59=Inputs!$C$33,Products!$D$30*Inputs!$C$10*Inputs!$C$32,0)</f>
        <v/>
      </c>
      <c r="X59" s="80">
        <f>Q59*(1-Inputs!$C$24)-Inputs!$C$25*T59+V59+W59</f>
        <v/>
      </c>
      <c r="Y59" s="80">
        <f>Y58+X59</f>
        <v/>
      </c>
      <c r="Z59" s="80">
        <f>P59*(1-O59)</f>
        <v/>
      </c>
      <c r="AB59" s="81">
        <f>(1-Products!$E$41)^$A59</f>
        <v/>
      </c>
      <c r="AC59" s="80">
        <f>IF(AND($A59&gt;=1,$A59&lt;=Products!$E$16),Products!$E$33,0)</f>
        <v/>
      </c>
      <c r="AD59" s="80">
        <f>AC59*Products!$E$42*AB59</f>
        <v/>
      </c>
      <c r="AE59" s="80">
        <f>AC59-AD59</f>
        <v/>
      </c>
      <c r="AF59" s="80">
        <f>(1-AB59)*MAX(0,Products!$E$16-$A59)*(Products!$E$33-Products!$E$35/Products!$E$16)</f>
        <v/>
      </c>
      <c r="AG59" s="81">
        <f>IF($A59&lt;=Products!$E$16,AB59,0)</f>
        <v/>
      </c>
      <c r="AH59" s="81">
        <f>IF(AND($A59&gt;=1,$A59&lt;=Products!$E$16),AB58-AB59,0)</f>
        <v/>
      </c>
      <c r="AI59" s="80">
        <f>IF(AND($A59-Inputs!$C$31&gt;=1,$A59-Inputs!$C$31&lt;=Products!$E$16),INDEX(Curves!$AH$8:$AH$68,$A59-Inputs!$C$31+1),0)*Products!$E$27*Products!$E$28*Products!$E$13*(1-Credit_Assumptions!$C$15)</f>
        <v/>
      </c>
      <c r="AJ59" s="80">
        <f>IF($A59=Inputs!$C$33,Products!$E$30*Inputs!$C$10*Inputs!$C$32,0)</f>
        <v/>
      </c>
      <c r="AK59" s="80">
        <f>AD59*(1-Inputs!$C$24)-Inputs!$C$25*AG59+AI59+AJ59</f>
        <v/>
      </c>
      <c r="AL59" s="80">
        <f>AL58+AK59</f>
        <v/>
      </c>
      <c r="AM59" s="80">
        <f>AC59*(1-AB59)</f>
        <v/>
      </c>
      <c r="AO59" s="81">
        <f>(1-Products!$F$41)^$A59</f>
        <v/>
      </c>
      <c r="AP59" s="80">
        <f>IF(AND($A59&gt;=1,$A59&lt;=Products!$F$16),Products!$F$33,0)</f>
        <v/>
      </c>
      <c r="AQ59" s="80">
        <f>AP59*Products!$F$42*AO59</f>
        <v/>
      </c>
      <c r="AR59" s="80">
        <f>AP59-AQ59</f>
        <v/>
      </c>
      <c r="AS59" s="80">
        <f>(1-AO59)*MAX(0,Products!$F$16-$A59)*(Products!$F$33-Products!$F$35/Products!$F$16)</f>
        <v/>
      </c>
      <c r="AT59" s="81">
        <f>IF($A59&lt;=Products!$F$16,AO59,0)</f>
        <v/>
      </c>
      <c r="AU59" s="81">
        <f>IF(AND($A59&gt;=1,$A59&lt;=Products!$F$16),AO58-AO59,0)</f>
        <v/>
      </c>
      <c r="AV59" s="80">
        <f>IF(AND($A59-Inputs!$C$31&gt;=1,$A59-Inputs!$C$31&lt;=Products!$F$16),INDEX(Curves!$AU$8:$AU$68,$A59-Inputs!$C$31+1),0)*Products!$F$27*Products!$F$28*Products!$F$13*(1-Credit_Assumptions!$C$15)</f>
        <v/>
      </c>
      <c r="AW59" s="80">
        <f>IF($A59=Inputs!$C$33,Products!$F$30*Inputs!$C$10*Inputs!$C$32,0)</f>
        <v/>
      </c>
      <c r="AX59" s="80">
        <f>AQ59*(1-Inputs!$C$24)-Inputs!$C$25*AT59+AV59+AW59</f>
        <v/>
      </c>
      <c r="AY59" s="80">
        <f>AY58+AX59</f>
        <v/>
      </c>
      <c r="AZ59" s="80">
        <f>AP59*(1-AO59)</f>
        <v/>
      </c>
      <c r="BB59" s="81">
        <f>(1-Products!$G$41)^$A59</f>
        <v/>
      </c>
      <c r="BC59" s="80">
        <f>IF(AND($A59&gt;=1,$A59&lt;=Products!$G$16),Products!$G$33,0)</f>
        <v/>
      </c>
      <c r="BD59" s="80">
        <f>BC59*Products!$G$42*BB59</f>
        <v/>
      </c>
      <c r="BE59" s="80">
        <f>BC59-BD59</f>
        <v/>
      </c>
      <c r="BF59" s="80">
        <f>(1-BB59)*MAX(0,Products!$G$16-$A59)*(Products!$G$33-Products!$G$35/Products!$G$16)</f>
        <v/>
      </c>
      <c r="BG59" s="81">
        <f>IF($A59&lt;=Products!$G$16,BB59,0)</f>
        <v/>
      </c>
      <c r="BH59" s="81">
        <f>IF(AND($A59&gt;=1,$A59&lt;=Products!$G$16),BB58-BB59,0)</f>
        <v/>
      </c>
      <c r="BI59" s="80">
        <f>IF(AND($A59-Inputs!$C$31&gt;=1,$A59-Inputs!$C$31&lt;=Products!$G$16),INDEX(Curves!$BH$8:$BH$68,$A59-Inputs!$C$31+1),0)*Products!$G$27*Products!$G$28*Products!$G$13*(1-Credit_Assumptions!$C$15)</f>
        <v/>
      </c>
      <c r="BJ59" s="80">
        <f>IF($A59=Inputs!$C$33,Products!$G$30*Inputs!$C$10*Inputs!$C$32,0)</f>
        <v/>
      </c>
      <c r="BK59" s="80">
        <f>BD59*(1-Inputs!$C$24)-Inputs!$C$25*BG59+BI59+BJ59</f>
        <v/>
      </c>
      <c r="BL59" s="80">
        <f>BL58+BK59</f>
        <v/>
      </c>
      <c r="BM59" s="80">
        <f>BC59*(1-BB59)</f>
        <v/>
      </c>
    </row>
    <row r="60">
      <c r="A60" s="23" t="n">
        <v>52</v>
      </c>
      <c r="B60" s="81">
        <f>(1-Products!$C$41)^$A60</f>
        <v/>
      </c>
      <c r="C60" s="80">
        <f>IF(AND($A60&gt;=1,$A60&lt;=Products!$C$16),Products!$C$33,0)</f>
        <v/>
      </c>
      <c r="D60" s="80">
        <f>C60*Products!$C$42*B60</f>
        <v/>
      </c>
      <c r="E60" s="80">
        <f>C60-D60</f>
        <v/>
      </c>
      <c r="F60" s="80">
        <f>(1-B60)*MAX(0,Products!$C$16-$A60)*(Products!$C$33-Products!$C$35/Products!$C$16)</f>
        <v/>
      </c>
      <c r="G60" s="81">
        <f>IF($A60&lt;=Products!$C$16,B60,0)</f>
        <v/>
      </c>
      <c r="H60" s="81">
        <f>IF(AND($A60&gt;=1,$A60&lt;=Products!$C$16),B59-B60,0)</f>
        <v/>
      </c>
      <c r="I60" s="80">
        <f>IF(AND($A60-Inputs!$C$31&gt;=1,$A60-Inputs!$C$31&lt;=Products!$C$16),INDEX(Curves!$H$8:$H$68,$A60-Inputs!$C$31+1),0)*Products!$C$27*Products!$C$28*Products!$C$13*(1-Credit_Assumptions!$C$15)</f>
        <v/>
      </c>
      <c r="J60" s="80">
        <f>IF($A60=Inputs!$C$33,Products!$C$30*Inputs!$C$10*Inputs!$C$32,0)</f>
        <v/>
      </c>
      <c r="K60" s="80">
        <f>D60*(1-Inputs!$C$24)-Inputs!$C$25*G60+I60+J60</f>
        <v/>
      </c>
      <c r="L60" s="80">
        <f>L59+K60</f>
        <v/>
      </c>
      <c r="M60" s="80">
        <f>C60*(1-B60)</f>
        <v/>
      </c>
      <c r="O60" s="81">
        <f>(1-Products!$D$41)^$A60</f>
        <v/>
      </c>
      <c r="P60" s="80">
        <f>IF(AND($A60&gt;=1,$A60&lt;=Products!$D$16),Products!$D$33,0)</f>
        <v/>
      </c>
      <c r="Q60" s="80">
        <f>P60*Products!$D$42*O60</f>
        <v/>
      </c>
      <c r="R60" s="80">
        <f>P60-Q60</f>
        <v/>
      </c>
      <c r="S60" s="80">
        <f>(1-O60)*MAX(0,Products!$D$16-$A60)*(Products!$D$33-Products!$D$35/Products!$D$16)</f>
        <v/>
      </c>
      <c r="T60" s="81">
        <f>IF($A60&lt;=Products!$D$16,O60,0)</f>
        <v/>
      </c>
      <c r="U60" s="81">
        <f>IF(AND($A60&gt;=1,$A60&lt;=Products!$D$16),O59-O60,0)</f>
        <v/>
      </c>
      <c r="V60" s="80">
        <f>IF(AND($A60-Inputs!$C$31&gt;=1,$A60-Inputs!$C$31&lt;=Products!$D$16),INDEX(Curves!$U$8:$U$68,$A60-Inputs!$C$31+1),0)*Products!$D$27*Products!$D$28*Products!$D$13*(1-Credit_Assumptions!$C$15)</f>
        <v/>
      </c>
      <c r="W60" s="80">
        <f>IF($A60=Inputs!$C$33,Products!$D$30*Inputs!$C$10*Inputs!$C$32,0)</f>
        <v/>
      </c>
      <c r="X60" s="80">
        <f>Q60*(1-Inputs!$C$24)-Inputs!$C$25*T60+V60+W60</f>
        <v/>
      </c>
      <c r="Y60" s="80">
        <f>Y59+X60</f>
        <v/>
      </c>
      <c r="Z60" s="80">
        <f>P60*(1-O60)</f>
        <v/>
      </c>
      <c r="AB60" s="81">
        <f>(1-Products!$E$41)^$A60</f>
        <v/>
      </c>
      <c r="AC60" s="80">
        <f>IF(AND($A60&gt;=1,$A60&lt;=Products!$E$16),Products!$E$33,0)</f>
        <v/>
      </c>
      <c r="AD60" s="80">
        <f>AC60*Products!$E$42*AB60</f>
        <v/>
      </c>
      <c r="AE60" s="80">
        <f>AC60-AD60</f>
        <v/>
      </c>
      <c r="AF60" s="80">
        <f>(1-AB60)*MAX(0,Products!$E$16-$A60)*(Products!$E$33-Products!$E$35/Products!$E$16)</f>
        <v/>
      </c>
      <c r="AG60" s="81">
        <f>IF($A60&lt;=Products!$E$16,AB60,0)</f>
        <v/>
      </c>
      <c r="AH60" s="81">
        <f>IF(AND($A60&gt;=1,$A60&lt;=Products!$E$16),AB59-AB60,0)</f>
        <v/>
      </c>
      <c r="AI60" s="80">
        <f>IF(AND($A60-Inputs!$C$31&gt;=1,$A60-Inputs!$C$31&lt;=Products!$E$16),INDEX(Curves!$AH$8:$AH$68,$A60-Inputs!$C$31+1),0)*Products!$E$27*Products!$E$28*Products!$E$13*(1-Credit_Assumptions!$C$15)</f>
        <v/>
      </c>
      <c r="AJ60" s="80">
        <f>IF($A60=Inputs!$C$33,Products!$E$30*Inputs!$C$10*Inputs!$C$32,0)</f>
        <v/>
      </c>
      <c r="AK60" s="80">
        <f>AD60*(1-Inputs!$C$24)-Inputs!$C$25*AG60+AI60+AJ60</f>
        <v/>
      </c>
      <c r="AL60" s="80">
        <f>AL59+AK60</f>
        <v/>
      </c>
      <c r="AM60" s="80">
        <f>AC60*(1-AB60)</f>
        <v/>
      </c>
      <c r="AO60" s="81">
        <f>(1-Products!$F$41)^$A60</f>
        <v/>
      </c>
      <c r="AP60" s="80">
        <f>IF(AND($A60&gt;=1,$A60&lt;=Products!$F$16),Products!$F$33,0)</f>
        <v/>
      </c>
      <c r="AQ60" s="80">
        <f>AP60*Products!$F$42*AO60</f>
        <v/>
      </c>
      <c r="AR60" s="80">
        <f>AP60-AQ60</f>
        <v/>
      </c>
      <c r="AS60" s="80">
        <f>(1-AO60)*MAX(0,Products!$F$16-$A60)*(Products!$F$33-Products!$F$35/Products!$F$16)</f>
        <v/>
      </c>
      <c r="AT60" s="81">
        <f>IF($A60&lt;=Products!$F$16,AO60,0)</f>
        <v/>
      </c>
      <c r="AU60" s="81">
        <f>IF(AND($A60&gt;=1,$A60&lt;=Products!$F$16),AO59-AO60,0)</f>
        <v/>
      </c>
      <c r="AV60" s="80">
        <f>IF(AND($A60-Inputs!$C$31&gt;=1,$A60-Inputs!$C$31&lt;=Products!$F$16),INDEX(Curves!$AU$8:$AU$68,$A60-Inputs!$C$31+1),0)*Products!$F$27*Products!$F$28*Products!$F$13*(1-Credit_Assumptions!$C$15)</f>
        <v/>
      </c>
      <c r="AW60" s="80">
        <f>IF($A60=Inputs!$C$33,Products!$F$30*Inputs!$C$10*Inputs!$C$32,0)</f>
        <v/>
      </c>
      <c r="AX60" s="80">
        <f>AQ60*(1-Inputs!$C$24)-Inputs!$C$25*AT60+AV60+AW60</f>
        <v/>
      </c>
      <c r="AY60" s="80">
        <f>AY59+AX60</f>
        <v/>
      </c>
      <c r="AZ60" s="80">
        <f>AP60*(1-AO60)</f>
        <v/>
      </c>
      <c r="BB60" s="81">
        <f>(1-Products!$G$41)^$A60</f>
        <v/>
      </c>
      <c r="BC60" s="80">
        <f>IF(AND($A60&gt;=1,$A60&lt;=Products!$G$16),Products!$G$33,0)</f>
        <v/>
      </c>
      <c r="BD60" s="80">
        <f>BC60*Products!$G$42*BB60</f>
        <v/>
      </c>
      <c r="BE60" s="80">
        <f>BC60-BD60</f>
        <v/>
      </c>
      <c r="BF60" s="80">
        <f>(1-BB60)*MAX(0,Products!$G$16-$A60)*(Products!$G$33-Products!$G$35/Products!$G$16)</f>
        <v/>
      </c>
      <c r="BG60" s="81">
        <f>IF($A60&lt;=Products!$G$16,BB60,0)</f>
        <v/>
      </c>
      <c r="BH60" s="81">
        <f>IF(AND($A60&gt;=1,$A60&lt;=Products!$G$16),BB59-BB60,0)</f>
        <v/>
      </c>
      <c r="BI60" s="80">
        <f>IF(AND($A60-Inputs!$C$31&gt;=1,$A60-Inputs!$C$31&lt;=Products!$G$16),INDEX(Curves!$BH$8:$BH$68,$A60-Inputs!$C$31+1),0)*Products!$G$27*Products!$G$28*Products!$G$13*(1-Credit_Assumptions!$C$15)</f>
        <v/>
      </c>
      <c r="BJ60" s="80">
        <f>IF($A60=Inputs!$C$33,Products!$G$30*Inputs!$C$10*Inputs!$C$32,0)</f>
        <v/>
      </c>
      <c r="BK60" s="80">
        <f>BD60*(1-Inputs!$C$24)-Inputs!$C$25*BG60+BI60+BJ60</f>
        <v/>
      </c>
      <c r="BL60" s="80">
        <f>BL59+BK60</f>
        <v/>
      </c>
      <c r="BM60" s="80">
        <f>BC60*(1-BB60)</f>
        <v/>
      </c>
    </row>
    <row r="61">
      <c r="A61" s="23" t="n">
        <v>53</v>
      </c>
      <c r="B61" s="81">
        <f>(1-Products!$C$41)^$A61</f>
        <v/>
      </c>
      <c r="C61" s="80">
        <f>IF(AND($A61&gt;=1,$A61&lt;=Products!$C$16),Products!$C$33,0)</f>
        <v/>
      </c>
      <c r="D61" s="80">
        <f>C61*Products!$C$42*B61</f>
        <v/>
      </c>
      <c r="E61" s="80">
        <f>C61-D61</f>
        <v/>
      </c>
      <c r="F61" s="80">
        <f>(1-B61)*MAX(0,Products!$C$16-$A61)*(Products!$C$33-Products!$C$35/Products!$C$16)</f>
        <v/>
      </c>
      <c r="G61" s="81">
        <f>IF($A61&lt;=Products!$C$16,B61,0)</f>
        <v/>
      </c>
      <c r="H61" s="81">
        <f>IF(AND($A61&gt;=1,$A61&lt;=Products!$C$16),B60-B61,0)</f>
        <v/>
      </c>
      <c r="I61" s="80">
        <f>IF(AND($A61-Inputs!$C$31&gt;=1,$A61-Inputs!$C$31&lt;=Products!$C$16),INDEX(Curves!$H$8:$H$68,$A61-Inputs!$C$31+1),0)*Products!$C$27*Products!$C$28*Products!$C$13*(1-Credit_Assumptions!$C$15)</f>
        <v/>
      </c>
      <c r="J61" s="80">
        <f>IF($A61=Inputs!$C$33,Products!$C$30*Inputs!$C$10*Inputs!$C$32,0)</f>
        <v/>
      </c>
      <c r="K61" s="80">
        <f>D61*(1-Inputs!$C$24)-Inputs!$C$25*G61+I61+J61</f>
        <v/>
      </c>
      <c r="L61" s="80">
        <f>L60+K61</f>
        <v/>
      </c>
      <c r="M61" s="80">
        <f>C61*(1-B61)</f>
        <v/>
      </c>
      <c r="O61" s="81">
        <f>(1-Products!$D$41)^$A61</f>
        <v/>
      </c>
      <c r="P61" s="80">
        <f>IF(AND($A61&gt;=1,$A61&lt;=Products!$D$16),Products!$D$33,0)</f>
        <v/>
      </c>
      <c r="Q61" s="80">
        <f>P61*Products!$D$42*O61</f>
        <v/>
      </c>
      <c r="R61" s="80">
        <f>P61-Q61</f>
        <v/>
      </c>
      <c r="S61" s="80">
        <f>(1-O61)*MAX(0,Products!$D$16-$A61)*(Products!$D$33-Products!$D$35/Products!$D$16)</f>
        <v/>
      </c>
      <c r="T61" s="81">
        <f>IF($A61&lt;=Products!$D$16,O61,0)</f>
        <v/>
      </c>
      <c r="U61" s="81">
        <f>IF(AND($A61&gt;=1,$A61&lt;=Products!$D$16),O60-O61,0)</f>
        <v/>
      </c>
      <c r="V61" s="80">
        <f>IF(AND($A61-Inputs!$C$31&gt;=1,$A61-Inputs!$C$31&lt;=Products!$D$16),INDEX(Curves!$U$8:$U$68,$A61-Inputs!$C$31+1),0)*Products!$D$27*Products!$D$28*Products!$D$13*(1-Credit_Assumptions!$C$15)</f>
        <v/>
      </c>
      <c r="W61" s="80">
        <f>IF($A61=Inputs!$C$33,Products!$D$30*Inputs!$C$10*Inputs!$C$32,0)</f>
        <v/>
      </c>
      <c r="X61" s="80">
        <f>Q61*(1-Inputs!$C$24)-Inputs!$C$25*T61+V61+W61</f>
        <v/>
      </c>
      <c r="Y61" s="80">
        <f>Y60+X61</f>
        <v/>
      </c>
      <c r="Z61" s="80">
        <f>P61*(1-O61)</f>
        <v/>
      </c>
      <c r="AB61" s="81">
        <f>(1-Products!$E$41)^$A61</f>
        <v/>
      </c>
      <c r="AC61" s="80">
        <f>IF(AND($A61&gt;=1,$A61&lt;=Products!$E$16),Products!$E$33,0)</f>
        <v/>
      </c>
      <c r="AD61" s="80">
        <f>AC61*Products!$E$42*AB61</f>
        <v/>
      </c>
      <c r="AE61" s="80">
        <f>AC61-AD61</f>
        <v/>
      </c>
      <c r="AF61" s="80">
        <f>(1-AB61)*MAX(0,Products!$E$16-$A61)*(Products!$E$33-Products!$E$35/Products!$E$16)</f>
        <v/>
      </c>
      <c r="AG61" s="81">
        <f>IF($A61&lt;=Products!$E$16,AB61,0)</f>
        <v/>
      </c>
      <c r="AH61" s="81">
        <f>IF(AND($A61&gt;=1,$A61&lt;=Products!$E$16),AB60-AB61,0)</f>
        <v/>
      </c>
      <c r="AI61" s="80">
        <f>IF(AND($A61-Inputs!$C$31&gt;=1,$A61-Inputs!$C$31&lt;=Products!$E$16),INDEX(Curves!$AH$8:$AH$68,$A61-Inputs!$C$31+1),0)*Products!$E$27*Products!$E$28*Products!$E$13*(1-Credit_Assumptions!$C$15)</f>
        <v/>
      </c>
      <c r="AJ61" s="80">
        <f>IF($A61=Inputs!$C$33,Products!$E$30*Inputs!$C$10*Inputs!$C$32,0)</f>
        <v/>
      </c>
      <c r="AK61" s="80">
        <f>AD61*(1-Inputs!$C$24)-Inputs!$C$25*AG61+AI61+AJ61</f>
        <v/>
      </c>
      <c r="AL61" s="80">
        <f>AL60+AK61</f>
        <v/>
      </c>
      <c r="AM61" s="80">
        <f>AC61*(1-AB61)</f>
        <v/>
      </c>
      <c r="AO61" s="81">
        <f>(1-Products!$F$41)^$A61</f>
        <v/>
      </c>
      <c r="AP61" s="80">
        <f>IF(AND($A61&gt;=1,$A61&lt;=Products!$F$16),Products!$F$33,0)</f>
        <v/>
      </c>
      <c r="AQ61" s="80">
        <f>AP61*Products!$F$42*AO61</f>
        <v/>
      </c>
      <c r="AR61" s="80">
        <f>AP61-AQ61</f>
        <v/>
      </c>
      <c r="AS61" s="80">
        <f>(1-AO61)*MAX(0,Products!$F$16-$A61)*(Products!$F$33-Products!$F$35/Products!$F$16)</f>
        <v/>
      </c>
      <c r="AT61" s="81">
        <f>IF($A61&lt;=Products!$F$16,AO61,0)</f>
        <v/>
      </c>
      <c r="AU61" s="81">
        <f>IF(AND($A61&gt;=1,$A61&lt;=Products!$F$16),AO60-AO61,0)</f>
        <v/>
      </c>
      <c r="AV61" s="80">
        <f>IF(AND($A61-Inputs!$C$31&gt;=1,$A61-Inputs!$C$31&lt;=Products!$F$16),INDEX(Curves!$AU$8:$AU$68,$A61-Inputs!$C$31+1),0)*Products!$F$27*Products!$F$28*Products!$F$13*(1-Credit_Assumptions!$C$15)</f>
        <v/>
      </c>
      <c r="AW61" s="80">
        <f>IF($A61=Inputs!$C$33,Products!$F$30*Inputs!$C$10*Inputs!$C$32,0)</f>
        <v/>
      </c>
      <c r="AX61" s="80">
        <f>AQ61*(1-Inputs!$C$24)-Inputs!$C$25*AT61+AV61+AW61</f>
        <v/>
      </c>
      <c r="AY61" s="80">
        <f>AY60+AX61</f>
        <v/>
      </c>
      <c r="AZ61" s="80">
        <f>AP61*(1-AO61)</f>
        <v/>
      </c>
      <c r="BB61" s="81">
        <f>(1-Products!$G$41)^$A61</f>
        <v/>
      </c>
      <c r="BC61" s="80">
        <f>IF(AND($A61&gt;=1,$A61&lt;=Products!$G$16),Products!$G$33,0)</f>
        <v/>
      </c>
      <c r="BD61" s="80">
        <f>BC61*Products!$G$42*BB61</f>
        <v/>
      </c>
      <c r="BE61" s="80">
        <f>BC61-BD61</f>
        <v/>
      </c>
      <c r="BF61" s="80">
        <f>(1-BB61)*MAX(0,Products!$G$16-$A61)*(Products!$G$33-Products!$G$35/Products!$G$16)</f>
        <v/>
      </c>
      <c r="BG61" s="81">
        <f>IF($A61&lt;=Products!$G$16,BB61,0)</f>
        <v/>
      </c>
      <c r="BH61" s="81">
        <f>IF(AND($A61&gt;=1,$A61&lt;=Products!$G$16),BB60-BB61,0)</f>
        <v/>
      </c>
      <c r="BI61" s="80">
        <f>IF(AND($A61-Inputs!$C$31&gt;=1,$A61-Inputs!$C$31&lt;=Products!$G$16),INDEX(Curves!$BH$8:$BH$68,$A61-Inputs!$C$31+1),0)*Products!$G$27*Products!$G$28*Products!$G$13*(1-Credit_Assumptions!$C$15)</f>
        <v/>
      </c>
      <c r="BJ61" s="80">
        <f>IF($A61=Inputs!$C$33,Products!$G$30*Inputs!$C$10*Inputs!$C$32,0)</f>
        <v/>
      </c>
      <c r="BK61" s="80">
        <f>BD61*(1-Inputs!$C$24)-Inputs!$C$25*BG61+BI61+BJ61</f>
        <v/>
      </c>
      <c r="BL61" s="80">
        <f>BL60+BK61</f>
        <v/>
      </c>
      <c r="BM61" s="80">
        <f>BC61*(1-BB61)</f>
        <v/>
      </c>
    </row>
    <row r="62">
      <c r="A62" s="23" t="n">
        <v>54</v>
      </c>
      <c r="B62" s="81">
        <f>(1-Products!$C$41)^$A62</f>
        <v/>
      </c>
      <c r="C62" s="80">
        <f>IF(AND($A62&gt;=1,$A62&lt;=Products!$C$16),Products!$C$33,0)</f>
        <v/>
      </c>
      <c r="D62" s="80">
        <f>C62*Products!$C$42*B62</f>
        <v/>
      </c>
      <c r="E62" s="80">
        <f>C62-D62</f>
        <v/>
      </c>
      <c r="F62" s="80">
        <f>(1-B62)*MAX(0,Products!$C$16-$A62)*(Products!$C$33-Products!$C$35/Products!$C$16)</f>
        <v/>
      </c>
      <c r="G62" s="81">
        <f>IF($A62&lt;=Products!$C$16,B62,0)</f>
        <v/>
      </c>
      <c r="H62" s="81">
        <f>IF(AND($A62&gt;=1,$A62&lt;=Products!$C$16),B61-B62,0)</f>
        <v/>
      </c>
      <c r="I62" s="80">
        <f>IF(AND($A62-Inputs!$C$31&gt;=1,$A62-Inputs!$C$31&lt;=Products!$C$16),INDEX(Curves!$H$8:$H$68,$A62-Inputs!$C$31+1),0)*Products!$C$27*Products!$C$28*Products!$C$13*(1-Credit_Assumptions!$C$15)</f>
        <v/>
      </c>
      <c r="J62" s="80">
        <f>IF($A62=Inputs!$C$33,Products!$C$30*Inputs!$C$10*Inputs!$C$32,0)</f>
        <v/>
      </c>
      <c r="K62" s="80">
        <f>D62*(1-Inputs!$C$24)-Inputs!$C$25*G62+I62+J62</f>
        <v/>
      </c>
      <c r="L62" s="80">
        <f>L61+K62</f>
        <v/>
      </c>
      <c r="M62" s="80">
        <f>C62*(1-B62)</f>
        <v/>
      </c>
      <c r="O62" s="81">
        <f>(1-Products!$D$41)^$A62</f>
        <v/>
      </c>
      <c r="P62" s="80">
        <f>IF(AND($A62&gt;=1,$A62&lt;=Products!$D$16),Products!$D$33,0)</f>
        <v/>
      </c>
      <c r="Q62" s="80">
        <f>P62*Products!$D$42*O62</f>
        <v/>
      </c>
      <c r="R62" s="80">
        <f>P62-Q62</f>
        <v/>
      </c>
      <c r="S62" s="80">
        <f>(1-O62)*MAX(0,Products!$D$16-$A62)*(Products!$D$33-Products!$D$35/Products!$D$16)</f>
        <v/>
      </c>
      <c r="T62" s="81">
        <f>IF($A62&lt;=Products!$D$16,O62,0)</f>
        <v/>
      </c>
      <c r="U62" s="81">
        <f>IF(AND($A62&gt;=1,$A62&lt;=Products!$D$16),O61-O62,0)</f>
        <v/>
      </c>
      <c r="V62" s="80">
        <f>IF(AND($A62-Inputs!$C$31&gt;=1,$A62-Inputs!$C$31&lt;=Products!$D$16),INDEX(Curves!$U$8:$U$68,$A62-Inputs!$C$31+1),0)*Products!$D$27*Products!$D$28*Products!$D$13*(1-Credit_Assumptions!$C$15)</f>
        <v/>
      </c>
      <c r="W62" s="80">
        <f>IF($A62=Inputs!$C$33,Products!$D$30*Inputs!$C$10*Inputs!$C$32,0)</f>
        <v/>
      </c>
      <c r="X62" s="80">
        <f>Q62*(1-Inputs!$C$24)-Inputs!$C$25*T62+V62+W62</f>
        <v/>
      </c>
      <c r="Y62" s="80">
        <f>Y61+X62</f>
        <v/>
      </c>
      <c r="Z62" s="80">
        <f>P62*(1-O62)</f>
        <v/>
      </c>
      <c r="AB62" s="81">
        <f>(1-Products!$E$41)^$A62</f>
        <v/>
      </c>
      <c r="AC62" s="80">
        <f>IF(AND($A62&gt;=1,$A62&lt;=Products!$E$16),Products!$E$33,0)</f>
        <v/>
      </c>
      <c r="AD62" s="80">
        <f>AC62*Products!$E$42*AB62</f>
        <v/>
      </c>
      <c r="AE62" s="80">
        <f>AC62-AD62</f>
        <v/>
      </c>
      <c r="AF62" s="80">
        <f>(1-AB62)*MAX(0,Products!$E$16-$A62)*(Products!$E$33-Products!$E$35/Products!$E$16)</f>
        <v/>
      </c>
      <c r="AG62" s="81">
        <f>IF($A62&lt;=Products!$E$16,AB62,0)</f>
        <v/>
      </c>
      <c r="AH62" s="81">
        <f>IF(AND($A62&gt;=1,$A62&lt;=Products!$E$16),AB61-AB62,0)</f>
        <v/>
      </c>
      <c r="AI62" s="80">
        <f>IF(AND($A62-Inputs!$C$31&gt;=1,$A62-Inputs!$C$31&lt;=Products!$E$16),INDEX(Curves!$AH$8:$AH$68,$A62-Inputs!$C$31+1),0)*Products!$E$27*Products!$E$28*Products!$E$13*(1-Credit_Assumptions!$C$15)</f>
        <v/>
      </c>
      <c r="AJ62" s="80">
        <f>IF($A62=Inputs!$C$33,Products!$E$30*Inputs!$C$10*Inputs!$C$32,0)</f>
        <v/>
      </c>
      <c r="AK62" s="80">
        <f>AD62*(1-Inputs!$C$24)-Inputs!$C$25*AG62+AI62+AJ62</f>
        <v/>
      </c>
      <c r="AL62" s="80">
        <f>AL61+AK62</f>
        <v/>
      </c>
      <c r="AM62" s="80">
        <f>AC62*(1-AB62)</f>
        <v/>
      </c>
      <c r="AO62" s="81">
        <f>(1-Products!$F$41)^$A62</f>
        <v/>
      </c>
      <c r="AP62" s="80">
        <f>IF(AND($A62&gt;=1,$A62&lt;=Products!$F$16),Products!$F$33,0)</f>
        <v/>
      </c>
      <c r="AQ62" s="80">
        <f>AP62*Products!$F$42*AO62</f>
        <v/>
      </c>
      <c r="AR62" s="80">
        <f>AP62-AQ62</f>
        <v/>
      </c>
      <c r="AS62" s="80">
        <f>(1-AO62)*MAX(0,Products!$F$16-$A62)*(Products!$F$33-Products!$F$35/Products!$F$16)</f>
        <v/>
      </c>
      <c r="AT62" s="81">
        <f>IF($A62&lt;=Products!$F$16,AO62,0)</f>
        <v/>
      </c>
      <c r="AU62" s="81">
        <f>IF(AND($A62&gt;=1,$A62&lt;=Products!$F$16),AO61-AO62,0)</f>
        <v/>
      </c>
      <c r="AV62" s="80">
        <f>IF(AND($A62-Inputs!$C$31&gt;=1,$A62-Inputs!$C$31&lt;=Products!$F$16),INDEX(Curves!$AU$8:$AU$68,$A62-Inputs!$C$31+1),0)*Products!$F$27*Products!$F$28*Products!$F$13*(1-Credit_Assumptions!$C$15)</f>
        <v/>
      </c>
      <c r="AW62" s="80">
        <f>IF($A62=Inputs!$C$33,Products!$F$30*Inputs!$C$10*Inputs!$C$32,0)</f>
        <v/>
      </c>
      <c r="AX62" s="80">
        <f>AQ62*(1-Inputs!$C$24)-Inputs!$C$25*AT62+AV62+AW62</f>
        <v/>
      </c>
      <c r="AY62" s="80">
        <f>AY61+AX62</f>
        <v/>
      </c>
      <c r="AZ62" s="80">
        <f>AP62*(1-AO62)</f>
        <v/>
      </c>
      <c r="BB62" s="81">
        <f>(1-Products!$G$41)^$A62</f>
        <v/>
      </c>
      <c r="BC62" s="80">
        <f>IF(AND($A62&gt;=1,$A62&lt;=Products!$G$16),Products!$G$33,0)</f>
        <v/>
      </c>
      <c r="BD62" s="80">
        <f>BC62*Products!$G$42*BB62</f>
        <v/>
      </c>
      <c r="BE62" s="80">
        <f>BC62-BD62</f>
        <v/>
      </c>
      <c r="BF62" s="80">
        <f>(1-BB62)*MAX(0,Products!$G$16-$A62)*(Products!$G$33-Products!$G$35/Products!$G$16)</f>
        <v/>
      </c>
      <c r="BG62" s="81">
        <f>IF($A62&lt;=Products!$G$16,BB62,0)</f>
        <v/>
      </c>
      <c r="BH62" s="81">
        <f>IF(AND($A62&gt;=1,$A62&lt;=Products!$G$16),BB61-BB62,0)</f>
        <v/>
      </c>
      <c r="BI62" s="80">
        <f>IF(AND($A62-Inputs!$C$31&gt;=1,$A62-Inputs!$C$31&lt;=Products!$G$16),INDEX(Curves!$BH$8:$BH$68,$A62-Inputs!$C$31+1),0)*Products!$G$27*Products!$G$28*Products!$G$13*(1-Credit_Assumptions!$C$15)</f>
        <v/>
      </c>
      <c r="BJ62" s="80">
        <f>IF($A62=Inputs!$C$33,Products!$G$30*Inputs!$C$10*Inputs!$C$32,0)</f>
        <v/>
      </c>
      <c r="BK62" s="80">
        <f>BD62*(1-Inputs!$C$24)-Inputs!$C$25*BG62+BI62+BJ62</f>
        <v/>
      </c>
      <c r="BL62" s="80">
        <f>BL61+BK62</f>
        <v/>
      </c>
      <c r="BM62" s="80">
        <f>BC62*(1-BB62)</f>
        <v/>
      </c>
    </row>
    <row r="63">
      <c r="A63" s="23" t="n">
        <v>55</v>
      </c>
      <c r="B63" s="81">
        <f>(1-Products!$C$41)^$A63</f>
        <v/>
      </c>
      <c r="C63" s="80">
        <f>IF(AND($A63&gt;=1,$A63&lt;=Products!$C$16),Products!$C$33,0)</f>
        <v/>
      </c>
      <c r="D63" s="80">
        <f>C63*Products!$C$42*B63</f>
        <v/>
      </c>
      <c r="E63" s="80">
        <f>C63-D63</f>
        <v/>
      </c>
      <c r="F63" s="80">
        <f>(1-B63)*MAX(0,Products!$C$16-$A63)*(Products!$C$33-Products!$C$35/Products!$C$16)</f>
        <v/>
      </c>
      <c r="G63" s="81">
        <f>IF($A63&lt;=Products!$C$16,B63,0)</f>
        <v/>
      </c>
      <c r="H63" s="81">
        <f>IF(AND($A63&gt;=1,$A63&lt;=Products!$C$16),B62-B63,0)</f>
        <v/>
      </c>
      <c r="I63" s="80">
        <f>IF(AND($A63-Inputs!$C$31&gt;=1,$A63-Inputs!$C$31&lt;=Products!$C$16),INDEX(Curves!$H$8:$H$68,$A63-Inputs!$C$31+1),0)*Products!$C$27*Products!$C$28*Products!$C$13*(1-Credit_Assumptions!$C$15)</f>
        <v/>
      </c>
      <c r="J63" s="80">
        <f>IF($A63=Inputs!$C$33,Products!$C$30*Inputs!$C$10*Inputs!$C$32,0)</f>
        <v/>
      </c>
      <c r="K63" s="80">
        <f>D63*(1-Inputs!$C$24)-Inputs!$C$25*G63+I63+J63</f>
        <v/>
      </c>
      <c r="L63" s="80">
        <f>L62+K63</f>
        <v/>
      </c>
      <c r="M63" s="80">
        <f>C63*(1-B63)</f>
        <v/>
      </c>
      <c r="O63" s="81">
        <f>(1-Products!$D$41)^$A63</f>
        <v/>
      </c>
      <c r="P63" s="80">
        <f>IF(AND($A63&gt;=1,$A63&lt;=Products!$D$16),Products!$D$33,0)</f>
        <v/>
      </c>
      <c r="Q63" s="80">
        <f>P63*Products!$D$42*O63</f>
        <v/>
      </c>
      <c r="R63" s="80">
        <f>P63-Q63</f>
        <v/>
      </c>
      <c r="S63" s="80">
        <f>(1-O63)*MAX(0,Products!$D$16-$A63)*(Products!$D$33-Products!$D$35/Products!$D$16)</f>
        <v/>
      </c>
      <c r="T63" s="81">
        <f>IF($A63&lt;=Products!$D$16,O63,0)</f>
        <v/>
      </c>
      <c r="U63" s="81">
        <f>IF(AND($A63&gt;=1,$A63&lt;=Products!$D$16),O62-O63,0)</f>
        <v/>
      </c>
      <c r="V63" s="80">
        <f>IF(AND($A63-Inputs!$C$31&gt;=1,$A63-Inputs!$C$31&lt;=Products!$D$16),INDEX(Curves!$U$8:$U$68,$A63-Inputs!$C$31+1),0)*Products!$D$27*Products!$D$28*Products!$D$13*(1-Credit_Assumptions!$C$15)</f>
        <v/>
      </c>
      <c r="W63" s="80">
        <f>IF($A63=Inputs!$C$33,Products!$D$30*Inputs!$C$10*Inputs!$C$32,0)</f>
        <v/>
      </c>
      <c r="X63" s="80">
        <f>Q63*(1-Inputs!$C$24)-Inputs!$C$25*T63+V63+W63</f>
        <v/>
      </c>
      <c r="Y63" s="80">
        <f>Y62+X63</f>
        <v/>
      </c>
      <c r="Z63" s="80">
        <f>P63*(1-O63)</f>
        <v/>
      </c>
      <c r="AB63" s="81">
        <f>(1-Products!$E$41)^$A63</f>
        <v/>
      </c>
      <c r="AC63" s="80">
        <f>IF(AND($A63&gt;=1,$A63&lt;=Products!$E$16),Products!$E$33,0)</f>
        <v/>
      </c>
      <c r="AD63" s="80">
        <f>AC63*Products!$E$42*AB63</f>
        <v/>
      </c>
      <c r="AE63" s="80">
        <f>AC63-AD63</f>
        <v/>
      </c>
      <c r="AF63" s="80">
        <f>(1-AB63)*MAX(0,Products!$E$16-$A63)*(Products!$E$33-Products!$E$35/Products!$E$16)</f>
        <v/>
      </c>
      <c r="AG63" s="81">
        <f>IF($A63&lt;=Products!$E$16,AB63,0)</f>
        <v/>
      </c>
      <c r="AH63" s="81">
        <f>IF(AND($A63&gt;=1,$A63&lt;=Products!$E$16),AB62-AB63,0)</f>
        <v/>
      </c>
      <c r="AI63" s="80">
        <f>IF(AND($A63-Inputs!$C$31&gt;=1,$A63-Inputs!$C$31&lt;=Products!$E$16),INDEX(Curves!$AH$8:$AH$68,$A63-Inputs!$C$31+1),0)*Products!$E$27*Products!$E$28*Products!$E$13*(1-Credit_Assumptions!$C$15)</f>
        <v/>
      </c>
      <c r="AJ63" s="80">
        <f>IF($A63=Inputs!$C$33,Products!$E$30*Inputs!$C$10*Inputs!$C$32,0)</f>
        <v/>
      </c>
      <c r="AK63" s="80">
        <f>AD63*(1-Inputs!$C$24)-Inputs!$C$25*AG63+AI63+AJ63</f>
        <v/>
      </c>
      <c r="AL63" s="80">
        <f>AL62+AK63</f>
        <v/>
      </c>
      <c r="AM63" s="80">
        <f>AC63*(1-AB63)</f>
        <v/>
      </c>
      <c r="AO63" s="81">
        <f>(1-Products!$F$41)^$A63</f>
        <v/>
      </c>
      <c r="AP63" s="80">
        <f>IF(AND($A63&gt;=1,$A63&lt;=Products!$F$16),Products!$F$33,0)</f>
        <v/>
      </c>
      <c r="AQ63" s="80">
        <f>AP63*Products!$F$42*AO63</f>
        <v/>
      </c>
      <c r="AR63" s="80">
        <f>AP63-AQ63</f>
        <v/>
      </c>
      <c r="AS63" s="80">
        <f>(1-AO63)*MAX(0,Products!$F$16-$A63)*(Products!$F$33-Products!$F$35/Products!$F$16)</f>
        <v/>
      </c>
      <c r="AT63" s="81">
        <f>IF($A63&lt;=Products!$F$16,AO63,0)</f>
        <v/>
      </c>
      <c r="AU63" s="81">
        <f>IF(AND($A63&gt;=1,$A63&lt;=Products!$F$16),AO62-AO63,0)</f>
        <v/>
      </c>
      <c r="AV63" s="80">
        <f>IF(AND($A63-Inputs!$C$31&gt;=1,$A63-Inputs!$C$31&lt;=Products!$F$16),INDEX(Curves!$AU$8:$AU$68,$A63-Inputs!$C$31+1),0)*Products!$F$27*Products!$F$28*Products!$F$13*(1-Credit_Assumptions!$C$15)</f>
        <v/>
      </c>
      <c r="AW63" s="80">
        <f>IF($A63=Inputs!$C$33,Products!$F$30*Inputs!$C$10*Inputs!$C$32,0)</f>
        <v/>
      </c>
      <c r="AX63" s="80">
        <f>AQ63*(1-Inputs!$C$24)-Inputs!$C$25*AT63+AV63+AW63</f>
        <v/>
      </c>
      <c r="AY63" s="80">
        <f>AY62+AX63</f>
        <v/>
      </c>
      <c r="AZ63" s="80">
        <f>AP63*(1-AO63)</f>
        <v/>
      </c>
      <c r="BB63" s="81">
        <f>(1-Products!$G$41)^$A63</f>
        <v/>
      </c>
      <c r="BC63" s="80">
        <f>IF(AND($A63&gt;=1,$A63&lt;=Products!$G$16),Products!$G$33,0)</f>
        <v/>
      </c>
      <c r="BD63" s="80">
        <f>BC63*Products!$G$42*BB63</f>
        <v/>
      </c>
      <c r="BE63" s="80">
        <f>BC63-BD63</f>
        <v/>
      </c>
      <c r="BF63" s="80">
        <f>(1-BB63)*MAX(0,Products!$G$16-$A63)*(Products!$G$33-Products!$G$35/Products!$G$16)</f>
        <v/>
      </c>
      <c r="BG63" s="81">
        <f>IF($A63&lt;=Products!$G$16,BB63,0)</f>
        <v/>
      </c>
      <c r="BH63" s="81">
        <f>IF(AND($A63&gt;=1,$A63&lt;=Products!$G$16),BB62-BB63,0)</f>
        <v/>
      </c>
      <c r="BI63" s="80">
        <f>IF(AND($A63-Inputs!$C$31&gt;=1,$A63-Inputs!$C$31&lt;=Products!$G$16),INDEX(Curves!$BH$8:$BH$68,$A63-Inputs!$C$31+1),0)*Products!$G$27*Products!$G$28*Products!$G$13*(1-Credit_Assumptions!$C$15)</f>
        <v/>
      </c>
      <c r="BJ63" s="80">
        <f>IF($A63=Inputs!$C$33,Products!$G$30*Inputs!$C$10*Inputs!$C$32,0)</f>
        <v/>
      </c>
      <c r="BK63" s="80">
        <f>BD63*(1-Inputs!$C$24)-Inputs!$C$25*BG63+BI63+BJ63</f>
        <v/>
      </c>
      <c r="BL63" s="80">
        <f>BL62+BK63</f>
        <v/>
      </c>
      <c r="BM63" s="80">
        <f>BC63*(1-BB63)</f>
        <v/>
      </c>
    </row>
    <row r="64">
      <c r="A64" s="23" t="n">
        <v>56</v>
      </c>
      <c r="B64" s="81">
        <f>(1-Products!$C$41)^$A64</f>
        <v/>
      </c>
      <c r="C64" s="80">
        <f>IF(AND($A64&gt;=1,$A64&lt;=Products!$C$16),Products!$C$33,0)</f>
        <v/>
      </c>
      <c r="D64" s="80">
        <f>C64*Products!$C$42*B64</f>
        <v/>
      </c>
      <c r="E64" s="80">
        <f>C64-D64</f>
        <v/>
      </c>
      <c r="F64" s="80">
        <f>(1-B64)*MAX(0,Products!$C$16-$A64)*(Products!$C$33-Products!$C$35/Products!$C$16)</f>
        <v/>
      </c>
      <c r="G64" s="81">
        <f>IF($A64&lt;=Products!$C$16,B64,0)</f>
        <v/>
      </c>
      <c r="H64" s="81">
        <f>IF(AND($A64&gt;=1,$A64&lt;=Products!$C$16),B63-B64,0)</f>
        <v/>
      </c>
      <c r="I64" s="80">
        <f>IF(AND($A64-Inputs!$C$31&gt;=1,$A64-Inputs!$C$31&lt;=Products!$C$16),INDEX(Curves!$H$8:$H$68,$A64-Inputs!$C$31+1),0)*Products!$C$27*Products!$C$28*Products!$C$13*(1-Credit_Assumptions!$C$15)</f>
        <v/>
      </c>
      <c r="J64" s="80">
        <f>IF($A64=Inputs!$C$33,Products!$C$30*Inputs!$C$10*Inputs!$C$32,0)</f>
        <v/>
      </c>
      <c r="K64" s="80">
        <f>D64*(1-Inputs!$C$24)-Inputs!$C$25*G64+I64+J64</f>
        <v/>
      </c>
      <c r="L64" s="80">
        <f>L63+K64</f>
        <v/>
      </c>
      <c r="M64" s="80">
        <f>C64*(1-B64)</f>
        <v/>
      </c>
      <c r="O64" s="81">
        <f>(1-Products!$D$41)^$A64</f>
        <v/>
      </c>
      <c r="P64" s="80">
        <f>IF(AND($A64&gt;=1,$A64&lt;=Products!$D$16),Products!$D$33,0)</f>
        <v/>
      </c>
      <c r="Q64" s="80">
        <f>P64*Products!$D$42*O64</f>
        <v/>
      </c>
      <c r="R64" s="80">
        <f>P64-Q64</f>
        <v/>
      </c>
      <c r="S64" s="80">
        <f>(1-O64)*MAX(0,Products!$D$16-$A64)*(Products!$D$33-Products!$D$35/Products!$D$16)</f>
        <v/>
      </c>
      <c r="T64" s="81">
        <f>IF($A64&lt;=Products!$D$16,O64,0)</f>
        <v/>
      </c>
      <c r="U64" s="81">
        <f>IF(AND($A64&gt;=1,$A64&lt;=Products!$D$16),O63-O64,0)</f>
        <v/>
      </c>
      <c r="V64" s="80">
        <f>IF(AND($A64-Inputs!$C$31&gt;=1,$A64-Inputs!$C$31&lt;=Products!$D$16),INDEX(Curves!$U$8:$U$68,$A64-Inputs!$C$31+1),0)*Products!$D$27*Products!$D$28*Products!$D$13*(1-Credit_Assumptions!$C$15)</f>
        <v/>
      </c>
      <c r="W64" s="80">
        <f>IF($A64=Inputs!$C$33,Products!$D$30*Inputs!$C$10*Inputs!$C$32,0)</f>
        <v/>
      </c>
      <c r="X64" s="80">
        <f>Q64*(1-Inputs!$C$24)-Inputs!$C$25*T64+V64+W64</f>
        <v/>
      </c>
      <c r="Y64" s="80">
        <f>Y63+X64</f>
        <v/>
      </c>
      <c r="Z64" s="80">
        <f>P64*(1-O64)</f>
        <v/>
      </c>
      <c r="AB64" s="81">
        <f>(1-Products!$E$41)^$A64</f>
        <v/>
      </c>
      <c r="AC64" s="80">
        <f>IF(AND($A64&gt;=1,$A64&lt;=Products!$E$16),Products!$E$33,0)</f>
        <v/>
      </c>
      <c r="AD64" s="80">
        <f>AC64*Products!$E$42*AB64</f>
        <v/>
      </c>
      <c r="AE64" s="80">
        <f>AC64-AD64</f>
        <v/>
      </c>
      <c r="AF64" s="80">
        <f>(1-AB64)*MAX(0,Products!$E$16-$A64)*(Products!$E$33-Products!$E$35/Products!$E$16)</f>
        <v/>
      </c>
      <c r="AG64" s="81">
        <f>IF($A64&lt;=Products!$E$16,AB64,0)</f>
        <v/>
      </c>
      <c r="AH64" s="81">
        <f>IF(AND($A64&gt;=1,$A64&lt;=Products!$E$16),AB63-AB64,0)</f>
        <v/>
      </c>
      <c r="AI64" s="80">
        <f>IF(AND($A64-Inputs!$C$31&gt;=1,$A64-Inputs!$C$31&lt;=Products!$E$16),INDEX(Curves!$AH$8:$AH$68,$A64-Inputs!$C$31+1),0)*Products!$E$27*Products!$E$28*Products!$E$13*(1-Credit_Assumptions!$C$15)</f>
        <v/>
      </c>
      <c r="AJ64" s="80">
        <f>IF($A64=Inputs!$C$33,Products!$E$30*Inputs!$C$10*Inputs!$C$32,0)</f>
        <v/>
      </c>
      <c r="AK64" s="80">
        <f>AD64*(1-Inputs!$C$24)-Inputs!$C$25*AG64+AI64+AJ64</f>
        <v/>
      </c>
      <c r="AL64" s="80">
        <f>AL63+AK64</f>
        <v/>
      </c>
      <c r="AM64" s="80">
        <f>AC64*(1-AB64)</f>
        <v/>
      </c>
      <c r="AO64" s="81">
        <f>(1-Products!$F$41)^$A64</f>
        <v/>
      </c>
      <c r="AP64" s="80">
        <f>IF(AND($A64&gt;=1,$A64&lt;=Products!$F$16),Products!$F$33,0)</f>
        <v/>
      </c>
      <c r="AQ64" s="80">
        <f>AP64*Products!$F$42*AO64</f>
        <v/>
      </c>
      <c r="AR64" s="80">
        <f>AP64-AQ64</f>
        <v/>
      </c>
      <c r="AS64" s="80">
        <f>(1-AO64)*MAX(0,Products!$F$16-$A64)*(Products!$F$33-Products!$F$35/Products!$F$16)</f>
        <v/>
      </c>
      <c r="AT64" s="81">
        <f>IF($A64&lt;=Products!$F$16,AO64,0)</f>
        <v/>
      </c>
      <c r="AU64" s="81">
        <f>IF(AND($A64&gt;=1,$A64&lt;=Products!$F$16),AO63-AO64,0)</f>
        <v/>
      </c>
      <c r="AV64" s="80">
        <f>IF(AND($A64-Inputs!$C$31&gt;=1,$A64-Inputs!$C$31&lt;=Products!$F$16),INDEX(Curves!$AU$8:$AU$68,$A64-Inputs!$C$31+1),0)*Products!$F$27*Products!$F$28*Products!$F$13*(1-Credit_Assumptions!$C$15)</f>
        <v/>
      </c>
      <c r="AW64" s="80">
        <f>IF($A64=Inputs!$C$33,Products!$F$30*Inputs!$C$10*Inputs!$C$32,0)</f>
        <v/>
      </c>
      <c r="AX64" s="80">
        <f>AQ64*(1-Inputs!$C$24)-Inputs!$C$25*AT64+AV64+AW64</f>
        <v/>
      </c>
      <c r="AY64" s="80">
        <f>AY63+AX64</f>
        <v/>
      </c>
      <c r="AZ64" s="80">
        <f>AP64*(1-AO64)</f>
        <v/>
      </c>
      <c r="BB64" s="81">
        <f>(1-Products!$G$41)^$A64</f>
        <v/>
      </c>
      <c r="BC64" s="80">
        <f>IF(AND($A64&gt;=1,$A64&lt;=Products!$G$16),Products!$G$33,0)</f>
        <v/>
      </c>
      <c r="BD64" s="80">
        <f>BC64*Products!$G$42*BB64</f>
        <v/>
      </c>
      <c r="BE64" s="80">
        <f>BC64-BD64</f>
        <v/>
      </c>
      <c r="BF64" s="80">
        <f>(1-BB64)*MAX(0,Products!$G$16-$A64)*(Products!$G$33-Products!$G$35/Products!$G$16)</f>
        <v/>
      </c>
      <c r="BG64" s="81">
        <f>IF($A64&lt;=Products!$G$16,BB64,0)</f>
        <v/>
      </c>
      <c r="BH64" s="81">
        <f>IF(AND($A64&gt;=1,$A64&lt;=Products!$G$16),BB63-BB64,0)</f>
        <v/>
      </c>
      <c r="BI64" s="80">
        <f>IF(AND($A64-Inputs!$C$31&gt;=1,$A64-Inputs!$C$31&lt;=Products!$G$16),INDEX(Curves!$BH$8:$BH$68,$A64-Inputs!$C$31+1),0)*Products!$G$27*Products!$G$28*Products!$G$13*(1-Credit_Assumptions!$C$15)</f>
        <v/>
      </c>
      <c r="BJ64" s="80">
        <f>IF($A64=Inputs!$C$33,Products!$G$30*Inputs!$C$10*Inputs!$C$32,0)</f>
        <v/>
      </c>
      <c r="BK64" s="80">
        <f>BD64*(1-Inputs!$C$24)-Inputs!$C$25*BG64+BI64+BJ64</f>
        <v/>
      </c>
      <c r="BL64" s="80">
        <f>BL63+BK64</f>
        <v/>
      </c>
      <c r="BM64" s="80">
        <f>BC64*(1-BB64)</f>
        <v/>
      </c>
    </row>
    <row r="65">
      <c r="A65" s="23" t="n">
        <v>57</v>
      </c>
      <c r="B65" s="81">
        <f>(1-Products!$C$41)^$A65</f>
        <v/>
      </c>
      <c r="C65" s="80">
        <f>IF(AND($A65&gt;=1,$A65&lt;=Products!$C$16),Products!$C$33,0)</f>
        <v/>
      </c>
      <c r="D65" s="80">
        <f>C65*Products!$C$42*B65</f>
        <v/>
      </c>
      <c r="E65" s="80">
        <f>C65-D65</f>
        <v/>
      </c>
      <c r="F65" s="80">
        <f>(1-B65)*MAX(0,Products!$C$16-$A65)*(Products!$C$33-Products!$C$35/Products!$C$16)</f>
        <v/>
      </c>
      <c r="G65" s="81">
        <f>IF($A65&lt;=Products!$C$16,B65,0)</f>
        <v/>
      </c>
      <c r="H65" s="81">
        <f>IF(AND($A65&gt;=1,$A65&lt;=Products!$C$16),B64-B65,0)</f>
        <v/>
      </c>
      <c r="I65" s="80">
        <f>IF(AND($A65-Inputs!$C$31&gt;=1,$A65-Inputs!$C$31&lt;=Products!$C$16),INDEX(Curves!$H$8:$H$68,$A65-Inputs!$C$31+1),0)*Products!$C$27*Products!$C$28*Products!$C$13*(1-Credit_Assumptions!$C$15)</f>
        <v/>
      </c>
      <c r="J65" s="80">
        <f>IF($A65=Inputs!$C$33,Products!$C$30*Inputs!$C$10*Inputs!$C$32,0)</f>
        <v/>
      </c>
      <c r="K65" s="80">
        <f>D65*(1-Inputs!$C$24)-Inputs!$C$25*G65+I65+J65</f>
        <v/>
      </c>
      <c r="L65" s="80">
        <f>L64+K65</f>
        <v/>
      </c>
      <c r="M65" s="80">
        <f>C65*(1-B65)</f>
        <v/>
      </c>
      <c r="O65" s="81">
        <f>(1-Products!$D$41)^$A65</f>
        <v/>
      </c>
      <c r="P65" s="80">
        <f>IF(AND($A65&gt;=1,$A65&lt;=Products!$D$16),Products!$D$33,0)</f>
        <v/>
      </c>
      <c r="Q65" s="80">
        <f>P65*Products!$D$42*O65</f>
        <v/>
      </c>
      <c r="R65" s="80">
        <f>P65-Q65</f>
        <v/>
      </c>
      <c r="S65" s="80">
        <f>(1-O65)*MAX(0,Products!$D$16-$A65)*(Products!$D$33-Products!$D$35/Products!$D$16)</f>
        <v/>
      </c>
      <c r="T65" s="81">
        <f>IF($A65&lt;=Products!$D$16,O65,0)</f>
        <v/>
      </c>
      <c r="U65" s="81">
        <f>IF(AND($A65&gt;=1,$A65&lt;=Products!$D$16),O64-O65,0)</f>
        <v/>
      </c>
      <c r="V65" s="80">
        <f>IF(AND($A65-Inputs!$C$31&gt;=1,$A65-Inputs!$C$31&lt;=Products!$D$16),INDEX(Curves!$U$8:$U$68,$A65-Inputs!$C$31+1),0)*Products!$D$27*Products!$D$28*Products!$D$13*(1-Credit_Assumptions!$C$15)</f>
        <v/>
      </c>
      <c r="W65" s="80">
        <f>IF($A65=Inputs!$C$33,Products!$D$30*Inputs!$C$10*Inputs!$C$32,0)</f>
        <v/>
      </c>
      <c r="X65" s="80">
        <f>Q65*(1-Inputs!$C$24)-Inputs!$C$25*T65+V65+W65</f>
        <v/>
      </c>
      <c r="Y65" s="80">
        <f>Y64+X65</f>
        <v/>
      </c>
      <c r="Z65" s="80">
        <f>P65*(1-O65)</f>
        <v/>
      </c>
      <c r="AB65" s="81">
        <f>(1-Products!$E$41)^$A65</f>
        <v/>
      </c>
      <c r="AC65" s="80">
        <f>IF(AND($A65&gt;=1,$A65&lt;=Products!$E$16),Products!$E$33,0)</f>
        <v/>
      </c>
      <c r="AD65" s="80">
        <f>AC65*Products!$E$42*AB65</f>
        <v/>
      </c>
      <c r="AE65" s="80">
        <f>AC65-AD65</f>
        <v/>
      </c>
      <c r="AF65" s="80">
        <f>(1-AB65)*MAX(0,Products!$E$16-$A65)*(Products!$E$33-Products!$E$35/Products!$E$16)</f>
        <v/>
      </c>
      <c r="AG65" s="81">
        <f>IF($A65&lt;=Products!$E$16,AB65,0)</f>
        <v/>
      </c>
      <c r="AH65" s="81">
        <f>IF(AND($A65&gt;=1,$A65&lt;=Products!$E$16),AB64-AB65,0)</f>
        <v/>
      </c>
      <c r="AI65" s="80">
        <f>IF(AND($A65-Inputs!$C$31&gt;=1,$A65-Inputs!$C$31&lt;=Products!$E$16),INDEX(Curves!$AH$8:$AH$68,$A65-Inputs!$C$31+1),0)*Products!$E$27*Products!$E$28*Products!$E$13*(1-Credit_Assumptions!$C$15)</f>
        <v/>
      </c>
      <c r="AJ65" s="80">
        <f>IF($A65=Inputs!$C$33,Products!$E$30*Inputs!$C$10*Inputs!$C$32,0)</f>
        <v/>
      </c>
      <c r="AK65" s="80">
        <f>AD65*(1-Inputs!$C$24)-Inputs!$C$25*AG65+AI65+AJ65</f>
        <v/>
      </c>
      <c r="AL65" s="80">
        <f>AL64+AK65</f>
        <v/>
      </c>
      <c r="AM65" s="80">
        <f>AC65*(1-AB65)</f>
        <v/>
      </c>
      <c r="AO65" s="81">
        <f>(1-Products!$F$41)^$A65</f>
        <v/>
      </c>
      <c r="AP65" s="80">
        <f>IF(AND($A65&gt;=1,$A65&lt;=Products!$F$16),Products!$F$33,0)</f>
        <v/>
      </c>
      <c r="AQ65" s="80">
        <f>AP65*Products!$F$42*AO65</f>
        <v/>
      </c>
      <c r="AR65" s="80">
        <f>AP65-AQ65</f>
        <v/>
      </c>
      <c r="AS65" s="80">
        <f>(1-AO65)*MAX(0,Products!$F$16-$A65)*(Products!$F$33-Products!$F$35/Products!$F$16)</f>
        <v/>
      </c>
      <c r="AT65" s="81">
        <f>IF($A65&lt;=Products!$F$16,AO65,0)</f>
        <v/>
      </c>
      <c r="AU65" s="81">
        <f>IF(AND($A65&gt;=1,$A65&lt;=Products!$F$16),AO64-AO65,0)</f>
        <v/>
      </c>
      <c r="AV65" s="80">
        <f>IF(AND($A65-Inputs!$C$31&gt;=1,$A65-Inputs!$C$31&lt;=Products!$F$16),INDEX(Curves!$AU$8:$AU$68,$A65-Inputs!$C$31+1),0)*Products!$F$27*Products!$F$28*Products!$F$13*(1-Credit_Assumptions!$C$15)</f>
        <v/>
      </c>
      <c r="AW65" s="80">
        <f>IF($A65=Inputs!$C$33,Products!$F$30*Inputs!$C$10*Inputs!$C$32,0)</f>
        <v/>
      </c>
      <c r="AX65" s="80">
        <f>AQ65*(1-Inputs!$C$24)-Inputs!$C$25*AT65+AV65+AW65</f>
        <v/>
      </c>
      <c r="AY65" s="80">
        <f>AY64+AX65</f>
        <v/>
      </c>
      <c r="AZ65" s="80">
        <f>AP65*(1-AO65)</f>
        <v/>
      </c>
      <c r="BB65" s="81">
        <f>(1-Products!$G$41)^$A65</f>
        <v/>
      </c>
      <c r="BC65" s="80">
        <f>IF(AND($A65&gt;=1,$A65&lt;=Products!$G$16),Products!$G$33,0)</f>
        <v/>
      </c>
      <c r="BD65" s="80">
        <f>BC65*Products!$G$42*BB65</f>
        <v/>
      </c>
      <c r="BE65" s="80">
        <f>BC65-BD65</f>
        <v/>
      </c>
      <c r="BF65" s="80">
        <f>(1-BB65)*MAX(0,Products!$G$16-$A65)*(Products!$G$33-Products!$G$35/Products!$G$16)</f>
        <v/>
      </c>
      <c r="BG65" s="81">
        <f>IF($A65&lt;=Products!$G$16,BB65,0)</f>
        <v/>
      </c>
      <c r="BH65" s="81">
        <f>IF(AND($A65&gt;=1,$A65&lt;=Products!$G$16),BB64-BB65,0)</f>
        <v/>
      </c>
      <c r="BI65" s="80">
        <f>IF(AND($A65-Inputs!$C$31&gt;=1,$A65-Inputs!$C$31&lt;=Products!$G$16),INDEX(Curves!$BH$8:$BH$68,$A65-Inputs!$C$31+1),0)*Products!$G$27*Products!$G$28*Products!$G$13*(1-Credit_Assumptions!$C$15)</f>
        <v/>
      </c>
      <c r="BJ65" s="80">
        <f>IF($A65=Inputs!$C$33,Products!$G$30*Inputs!$C$10*Inputs!$C$32,0)</f>
        <v/>
      </c>
      <c r="BK65" s="80">
        <f>BD65*(1-Inputs!$C$24)-Inputs!$C$25*BG65+BI65+BJ65</f>
        <v/>
      </c>
      <c r="BL65" s="80">
        <f>BL64+BK65</f>
        <v/>
      </c>
      <c r="BM65" s="80">
        <f>BC65*(1-BB65)</f>
        <v/>
      </c>
    </row>
    <row r="66">
      <c r="A66" s="23" t="n">
        <v>58</v>
      </c>
      <c r="B66" s="81">
        <f>(1-Products!$C$41)^$A66</f>
        <v/>
      </c>
      <c r="C66" s="80">
        <f>IF(AND($A66&gt;=1,$A66&lt;=Products!$C$16),Products!$C$33,0)</f>
        <v/>
      </c>
      <c r="D66" s="80">
        <f>C66*Products!$C$42*B66</f>
        <v/>
      </c>
      <c r="E66" s="80">
        <f>C66-D66</f>
        <v/>
      </c>
      <c r="F66" s="80">
        <f>(1-B66)*MAX(0,Products!$C$16-$A66)*(Products!$C$33-Products!$C$35/Products!$C$16)</f>
        <v/>
      </c>
      <c r="G66" s="81">
        <f>IF($A66&lt;=Products!$C$16,B66,0)</f>
        <v/>
      </c>
      <c r="H66" s="81">
        <f>IF(AND($A66&gt;=1,$A66&lt;=Products!$C$16),B65-B66,0)</f>
        <v/>
      </c>
      <c r="I66" s="80">
        <f>IF(AND($A66-Inputs!$C$31&gt;=1,$A66-Inputs!$C$31&lt;=Products!$C$16),INDEX(Curves!$H$8:$H$68,$A66-Inputs!$C$31+1),0)*Products!$C$27*Products!$C$28*Products!$C$13*(1-Credit_Assumptions!$C$15)</f>
        <v/>
      </c>
      <c r="J66" s="80">
        <f>IF($A66=Inputs!$C$33,Products!$C$30*Inputs!$C$10*Inputs!$C$32,0)</f>
        <v/>
      </c>
      <c r="K66" s="80">
        <f>D66*(1-Inputs!$C$24)-Inputs!$C$25*G66+I66+J66</f>
        <v/>
      </c>
      <c r="L66" s="80">
        <f>L65+K66</f>
        <v/>
      </c>
      <c r="M66" s="80">
        <f>C66*(1-B66)</f>
        <v/>
      </c>
      <c r="O66" s="81">
        <f>(1-Products!$D$41)^$A66</f>
        <v/>
      </c>
      <c r="P66" s="80">
        <f>IF(AND($A66&gt;=1,$A66&lt;=Products!$D$16),Products!$D$33,0)</f>
        <v/>
      </c>
      <c r="Q66" s="80">
        <f>P66*Products!$D$42*O66</f>
        <v/>
      </c>
      <c r="R66" s="80">
        <f>P66-Q66</f>
        <v/>
      </c>
      <c r="S66" s="80">
        <f>(1-O66)*MAX(0,Products!$D$16-$A66)*(Products!$D$33-Products!$D$35/Products!$D$16)</f>
        <v/>
      </c>
      <c r="T66" s="81">
        <f>IF($A66&lt;=Products!$D$16,O66,0)</f>
        <v/>
      </c>
      <c r="U66" s="81">
        <f>IF(AND($A66&gt;=1,$A66&lt;=Products!$D$16),O65-O66,0)</f>
        <v/>
      </c>
      <c r="V66" s="80">
        <f>IF(AND($A66-Inputs!$C$31&gt;=1,$A66-Inputs!$C$31&lt;=Products!$D$16),INDEX(Curves!$U$8:$U$68,$A66-Inputs!$C$31+1),0)*Products!$D$27*Products!$D$28*Products!$D$13*(1-Credit_Assumptions!$C$15)</f>
        <v/>
      </c>
      <c r="W66" s="80">
        <f>IF($A66=Inputs!$C$33,Products!$D$30*Inputs!$C$10*Inputs!$C$32,0)</f>
        <v/>
      </c>
      <c r="X66" s="80">
        <f>Q66*(1-Inputs!$C$24)-Inputs!$C$25*T66+V66+W66</f>
        <v/>
      </c>
      <c r="Y66" s="80">
        <f>Y65+X66</f>
        <v/>
      </c>
      <c r="Z66" s="80">
        <f>P66*(1-O66)</f>
        <v/>
      </c>
      <c r="AB66" s="81">
        <f>(1-Products!$E$41)^$A66</f>
        <v/>
      </c>
      <c r="AC66" s="80">
        <f>IF(AND($A66&gt;=1,$A66&lt;=Products!$E$16),Products!$E$33,0)</f>
        <v/>
      </c>
      <c r="AD66" s="80">
        <f>AC66*Products!$E$42*AB66</f>
        <v/>
      </c>
      <c r="AE66" s="80">
        <f>AC66-AD66</f>
        <v/>
      </c>
      <c r="AF66" s="80">
        <f>(1-AB66)*MAX(0,Products!$E$16-$A66)*(Products!$E$33-Products!$E$35/Products!$E$16)</f>
        <v/>
      </c>
      <c r="AG66" s="81">
        <f>IF($A66&lt;=Products!$E$16,AB66,0)</f>
        <v/>
      </c>
      <c r="AH66" s="81">
        <f>IF(AND($A66&gt;=1,$A66&lt;=Products!$E$16),AB65-AB66,0)</f>
        <v/>
      </c>
      <c r="AI66" s="80">
        <f>IF(AND($A66-Inputs!$C$31&gt;=1,$A66-Inputs!$C$31&lt;=Products!$E$16),INDEX(Curves!$AH$8:$AH$68,$A66-Inputs!$C$31+1),0)*Products!$E$27*Products!$E$28*Products!$E$13*(1-Credit_Assumptions!$C$15)</f>
        <v/>
      </c>
      <c r="AJ66" s="80">
        <f>IF($A66=Inputs!$C$33,Products!$E$30*Inputs!$C$10*Inputs!$C$32,0)</f>
        <v/>
      </c>
      <c r="AK66" s="80">
        <f>AD66*(1-Inputs!$C$24)-Inputs!$C$25*AG66+AI66+AJ66</f>
        <v/>
      </c>
      <c r="AL66" s="80">
        <f>AL65+AK66</f>
        <v/>
      </c>
      <c r="AM66" s="80">
        <f>AC66*(1-AB66)</f>
        <v/>
      </c>
      <c r="AO66" s="81">
        <f>(1-Products!$F$41)^$A66</f>
        <v/>
      </c>
      <c r="AP66" s="80">
        <f>IF(AND($A66&gt;=1,$A66&lt;=Products!$F$16),Products!$F$33,0)</f>
        <v/>
      </c>
      <c r="AQ66" s="80">
        <f>AP66*Products!$F$42*AO66</f>
        <v/>
      </c>
      <c r="AR66" s="80">
        <f>AP66-AQ66</f>
        <v/>
      </c>
      <c r="AS66" s="80">
        <f>(1-AO66)*MAX(0,Products!$F$16-$A66)*(Products!$F$33-Products!$F$35/Products!$F$16)</f>
        <v/>
      </c>
      <c r="AT66" s="81">
        <f>IF($A66&lt;=Products!$F$16,AO66,0)</f>
        <v/>
      </c>
      <c r="AU66" s="81">
        <f>IF(AND($A66&gt;=1,$A66&lt;=Products!$F$16),AO65-AO66,0)</f>
        <v/>
      </c>
      <c r="AV66" s="80">
        <f>IF(AND($A66-Inputs!$C$31&gt;=1,$A66-Inputs!$C$31&lt;=Products!$F$16),INDEX(Curves!$AU$8:$AU$68,$A66-Inputs!$C$31+1),0)*Products!$F$27*Products!$F$28*Products!$F$13*(1-Credit_Assumptions!$C$15)</f>
        <v/>
      </c>
      <c r="AW66" s="80">
        <f>IF($A66=Inputs!$C$33,Products!$F$30*Inputs!$C$10*Inputs!$C$32,0)</f>
        <v/>
      </c>
      <c r="AX66" s="80">
        <f>AQ66*(1-Inputs!$C$24)-Inputs!$C$25*AT66+AV66+AW66</f>
        <v/>
      </c>
      <c r="AY66" s="80">
        <f>AY65+AX66</f>
        <v/>
      </c>
      <c r="AZ66" s="80">
        <f>AP66*(1-AO66)</f>
        <v/>
      </c>
      <c r="BB66" s="81">
        <f>(1-Products!$G$41)^$A66</f>
        <v/>
      </c>
      <c r="BC66" s="80">
        <f>IF(AND($A66&gt;=1,$A66&lt;=Products!$G$16),Products!$G$33,0)</f>
        <v/>
      </c>
      <c r="BD66" s="80">
        <f>BC66*Products!$G$42*BB66</f>
        <v/>
      </c>
      <c r="BE66" s="80">
        <f>BC66-BD66</f>
        <v/>
      </c>
      <c r="BF66" s="80">
        <f>(1-BB66)*MAX(0,Products!$G$16-$A66)*(Products!$G$33-Products!$G$35/Products!$G$16)</f>
        <v/>
      </c>
      <c r="BG66" s="81">
        <f>IF($A66&lt;=Products!$G$16,BB66,0)</f>
        <v/>
      </c>
      <c r="BH66" s="81">
        <f>IF(AND($A66&gt;=1,$A66&lt;=Products!$G$16),BB65-BB66,0)</f>
        <v/>
      </c>
      <c r="BI66" s="80">
        <f>IF(AND($A66-Inputs!$C$31&gt;=1,$A66-Inputs!$C$31&lt;=Products!$G$16),INDEX(Curves!$BH$8:$BH$68,$A66-Inputs!$C$31+1),0)*Products!$G$27*Products!$G$28*Products!$G$13*(1-Credit_Assumptions!$C$15)</f>
        <v/>
      </c>
      <c r="BJ66" s="80">
        <f>IF($A66=Inputs!$C$33,Products!$G$30*Inputs!$C$10*Inputs!$C$32,0)</f>
        <v/>
      </c>
      <c r="BK66" s="80">
        <f>BD66*(1-Inputs!$C$24)-Inputs!$C$25*BG66+BI66+BJ66</f>
        <v/>
      </c>
      <c r="BL66" s="80">
        <f>BL65+BK66</f>
        <v/>
      </c>
      <c r="BM66" s="80">
        <f>BC66*(1-BB66)</f>
        <v/>
      </c>
    </row>
    <row r="67">
      <c r="A67" s="23" t="n">
        <v>59</v>
      </c>
      <c r="B67" s="81">
        <f>(1-Products!$C$41)^$A67</f>
        <v/>
      </c>
      <c r="C67" s="80">
        <f>IF(AND($A67&gt;=1,$A67&lt;=Products!$C$16),Products!$C$33,0)</f>
        <v/>
      </c>
      <c r="D67" s="80">
        <f>C67*Products!$C$42*B67</f>
        <v/>
      </c>
      <c r="E67" s="80">
        <f>C67-D67</f>
        <v/>
      </c>
      <c r="F67" s="80">
        <f>(1-B67)*MAX(0,Products!$C$16-$A67)*(Products!$C$33-Products!$C$35/Products!$C$16)</f>
        <v/>
      </c>
      <c r="G67" s="81">
        <f>IF($A67&lt;=Products!$C$16,B67,0)</f>
        <v/>
      </c>
      <c r="H67" s="81">
        <f>IF(AND($A67&gt;=1,$A67&lt;=Products!$C$16),B66-B67,0)</f>
        <v/>
      </c>
      <c r="I67" s="80">
        <f>IF(AND($A67-Inputs!$C$31&gt;=1,$A67-Inputs!$C$31&lt;=Products!$C$16),INDEX(Curves!$H$8:$H$68,$A67-Inputs!$C$31+1),0)*Products!$C$27*Products!$C$28*Products!$C$13*(1-Credit_Assumptions!$C$15)</f>
        <v/>
      </c>
      <c r="J67" s="80">
        <f>IF($A67=Inputs!$C$33,Products!$C$30*Inputs!$C$10*Inputs!$C$32,0)</f>
        <v/>
      </c>
      <c r="K67" s="80">
        <f>D67*(1-Inputs!$C$24)-Inputs!$C$25*G67+I67+J67</f>
        <v/>
      </c>
      <c r="L67" s="80">
        <f>L66+K67</f>
        <v/>
      </c>
      <c r="M67" s="80">
        <f>C67*(1-B67)</f>
        <v/>
      </c>
      <c r="O67" s="81">
        <f>(1-Products!$D$41)^$A67</f>
        <v/>
      </c>
      <c r="P67" s="80">
        <f>IF(AND($A67&gt;=1,$A67&lt;=Products!$D$16),Products!$D$33,0)</f>
        <v/>
      </c>
      <c r="Q67" s="80">
        <f>P67*Products!$D$42*O67</f>
        <v/>
      </c>
      <c r="R67" s="80">
        <f>P67-Q67</f>
        <v/>
      </c>
      <c r="S67" s="80">
        <f>(1-O67)*MAX(0,Products!$D$16-$A67)*(Products!$D$33-Products!$D$35/Products!$D$16)</f>
        <v/>
      </c>
      <c r="T67" s="81">
        <f>IF($A67&lt;=Products!$D$16,O67,0)</f>
        <v/>
      </c>
      <c r="U67" s="81">
        <f>IF(AND($A67&gt;=1,$A67&lt;=Products!$D$16),O66-O67,0)</f>
        <v/>
      </c>
      <c r="V67" s="80">
        <f>IF(AND($A67-Inputs!$C$31&gt;=1,$A67-Inputs!$C$31&lt;=Products!$D$16),INDEX(Curves!$U$8:$U$68,$A67-Inputs!$C$31+1),0)*Products!$D$27*Products!$D$28*Products!$D$13*(1-Credit_Assumptions!$C$15)</f>
        <v/>
      </c>
      <c r="W67" s="80">
        <f>IF($A67=Inputs!$C$33,Products!$D$30*Inputs!$C$10*Inputs!$C$32,0)</f>
        <v/>
      </c>
      <c r="X67" s="80">
        <f>Q67*(1-Inputs!$C$24)-Inputs!$C$25*T67+V67+W67</f>
        <v/>
      </c>
      <c r="Y67" s="80">
        <f>Y66+X67</f>
        <v/>
      </c>
      <c r="Z67" s="80">
        <f>P67*(1-O67)</f>
        <v/>
      </c>
      <c r="AB67" s="81">
        <f>(1-Products!$E$41)^$A67</f>
        <v/>
      </c>
      <c r="AC67" s="80">
        <f>IF(AND($A67&gt;=1,$A67&lt;=Products!$E$16),Products!$E$33,0)</f>
        <v/>
      </c>
      <c r="AD67" s="80">
        <f>AC67*Products!$E$42*AB67</f>
        <v/>
      </c>
      <c r="AE67" s="80">
        <f>AC67-AD67</f>
        <v/>
      </c>
      <c r="AF67" s="80">
        <f>(1-AB67)*MAX(0,Products!$E$16-$A67)*(Products!$E$33-Products!$E$35/Products!$E$16)</f>
        <v/>
      </c>
      <c r="AG67" s="81">
        <f>IF($A67&lt;=Products!$E$16,AB67,0)</f>
        <v/>
      </c>
      <c r="AH67" s="81">
        <f>IF(AND($A67&gt;=1,$A67&lt;=Products!$E$16),AB66-AB67,0)</f>
        <v/>
      </c>
      <c r="AI67" s="80">
        <f>IF(AND($A67-Inputs!$C$31&gt;=1,$A67-Inputs!$C$31&lt;=Products!$E$16),INDEX(Curves!$AH$8:$AH$68,$A67-Inputs!$C$31+1),0)*Products!$E$27*Products!$E$28*Products!$E$13*(1-Credit_Assumptions!$C$15)</f>
        <v/>
      </c>
      <c r="AJ67" s="80">
        <f>IF($A67=Inputs!$C$33,Products!$E$30*Inputs!$C$10*Inputs!$C$32,0)</f>
        <v/>
      </c>
      <c r="AK67" s="80">
        <f>AD67*(1-Inputs!$C$24)-Inputs!$C$25*AG67+AI67+AJ67</f>
        <v/>
      </c>
      <c r="AL67" s="80">
        <f>AL66+AK67</f>
        <v/>
      </c>
      <c r="AM67" s="80">
        <f>AC67*(1-AB67)</f>
        <v/>
      </c>
      <c r="AO67" s="81">
        <f>(1-Products!$F$41)^$A67</f>
        <v/>
      </c>
      <c r="AP67" s="80">
        <f>IF(AND($A67&gt;=1,$A67&lt;=Products!$F$16),Products!$F$33,0)</f>
        <v/>
      </c>
      <c r="AQ67" s="80">
        <f>AP67*Products!$F$42*AO67</f>
        <v/>
      </c>
      <c r="AR67" s="80">
        <f>AP67-AQ67</f>
        <v/>
      </c>
      <c r="AS67" s="80">
        <f>(1-AO67)*MAX(0,Products!$F$16-$A67)*(Products!$F$33-Products!$F$35/Products!$F$16)</f>
        <v/>
      </c>
      <c r="AT67" s="81">
        <f>IF($A67&lt;=Products!$F$16,AO67,0)</f>
        <v/>
      </c>
      <c r="AU67" s="81">
        <f>IF(AND($A67&gt;=1,$A67&lt;=Products!$F$16),AO66-AO67,0)</f>
        <v/>
      </c>
      <c r="AV67" s="80">
        <f>IF(AND($A67-Inputs!$C$31&gt;=1,$A67-Inputs!$C$31&lt;=Products!$F$16),INDEX(Curves!$AU$8:$AU$68,$A67-Inputs!$C$31+1),0)*Products!$F$27*Products!$F$28*Products!$F$13*(1-Credit_Assumptions!$C$15)</f>
        <v/>
      </c>
      <c r="AW67" s="80">
        <f>IF($A67=Inputs!$C$33,Products!$F$30*Inputs!$C$10*Inputs!$C$32,0)</f>
        <v/>
      </c>
      <c r="AX67" s="80">
        <f>AQ67*(1-Inputs!$C$24)-Inputs!$C$25*AT67+AV67+AW67</f>
        <v/>
      </c>
      <c r="AY67" s="80">
        <f>AY66+AX67</f>
        <v/>
      </c>
      <c r="AZ67" s="80">
        <f>AP67*(1-AO67)</f>
        <v/>
      </c>
      <c r="BB67" s="81">
        <f>(1-Products!$G$41)^$A67</f>
        <v/>
      </c>
      <c r="BC67" s="80">
        <f>IF(AND($A67&gt;=1,$A67&lt;=Products!$G$16),Products!$G$33,0)</f>
        <v/>
      </c>
      <c r="BD67" s="80">
        <f>BC67*Products!$G$42*BB67</f>
        <v/>
      </c>
      <c r="BE67" s="80">
        <f>BC67-BD67</f>
        <v/>
      </c>
      <c r="BF67" s="80">
        <f>(1-BB67)*MAX(0,Products!$G$16-$A67)*(Products!$G$33-Products!$G$35/Products!$G$16)</f>
        <v/>
      </c>
      <c r="BG67" s="81">
        <f>IF($A67&lt;=Products!$G$16,BB67,0)</f>
        <v/>
      </c>
      <c r="BH67" s="81">
        <f>IF(AND($A67&gt;=1,$A67&lt;=Products!$G$16),BB66-BB67,0)</f>
        <v/>
      </c>
      <c r="BI67" s="80">
        <f>IF(AND($A67-Inputs!$C$31&gt;=1,$A67-Inputs!$C$31&lt;=Products!$G$16),INDEX(Curves!$BH$8:$BH$68,$A67-Inputs!$C$31+1),0)*Products!$G$27*Products!$G$28*Products!$G$13*(1-Credit_Assumptions!$C$15)</f>
        <v/>
      </c>
      <c r="BJ67" s="80">
        <f>IF($A67=Inputs!$C$33,Products!$G$30*Inputs!$C$10*Inputs!$C$32,0)</f>
        <v/>
      </c>
      <c r="BK67" s="80">
        <f>BD67*(1-Inputs!$C$24)-Inputs!$C$25*BG67+BI67+BJ67</f>
        <v/>
      </c>
      <c r="BL67" s="80">
        <f>BL66+BK67</f>
        <v/>
      </c>
      <c r="BM67" s="80">
        <f>BC67*(1-BB67)</f>
        <v/>
      </c>
    </row>
    <row r="68">
      <c r="A68" s="23" t="n">
        <v>60</v>
      </c>
      <c r="B68" s="81">
        <f>(1-Products!$C$41)^$A68</f>
        <v/>
      </c>
      <c r="C68" s="80">
        <f>IF(AND($A68&gt;=1,$A68&lt;=Products!$C$16),Products!$C$33,0)</f>
        <v/>
      </c>
      <c r="D68" s="80">
        <f>C68*Products!$C$42*B68</f>
        <v/>
      </c>
      <c r="E68" s="80">
        <f>C68-D68</f>
        <v/>
      </c>
      <c r="F68" s="80">
        <f>(1-B68)*MAX(0,Products!$C$16-$A68)*(Products!$C$33-Products!$C$35/Products!$C$16)</f>
        <v/>
      </c>
      <c r="G68" s="81">
        <f>IF($A68&lt;=Products!$C$16,B68,0)</f>
        <v/>
      </c>
      <c r="H68" s="81">
        <f>IF(AND($A68&gt;=1,$A68&lt;=Products!$C$16),B67-B68,0)</f>
        <v/>
      </c>
      <c r="I68" s="80">
        <f>IF(AND($A68-Inputs!$C$31&gt;=1,$A68-Inputs!$C$31&lt;=Products!$C$16),INDEX(Curves!$H$8:$H$68,$A68-Inputs!$C$31+1),0)*Products!$C$27*Products!$C$28*Products!$C$13*(1-Credit_Assumptions!$C$15)</f>
        <v/>
      </c>
      <c r="J68" s="80">
        <f>IF($A68=Inputs!$C$33,Products!$C$30*Inputs!$C$10*Inputs!$C$32,0)</f>
        <v/>
      </c>
      <c r="K68" s="80">
        <f>D68*(1-Inputs!$C$24)-Inputs!$C$25*G68+I68+J68</f>
        <v/>
      </c>
      <c r="L68" s="80">
        <f>L67+K68</f>
        <v/>
      </c>
      <c r="M68" s="80">
        <f>C68*(1-B68)</f>
        <v/>
      </c>
      <c r="O68" s="81">
        <f>(1-Products!$D$41)^$A68</f>
        <v/>
      </c>
      <c r="P68" s="80">
        <f>IF(AND($A68&gt;=1,$A68&lt;=Products!$D$16),Products!$D$33,0)</f>
        <v/>
      </c>
      <c r="Q68" s="80">
        <f>P68*Products!$D$42*O68</f>
        <v/>
      </c>
      <c r="R68" s="80">
        <f>P68-Q68</f>
        <v/>
      </c>
      <c r="S68" s="80">
        <f>(1-O68)*MAX(0,Products!$D$16-$A68)*(Products!$D$33-Products!$D$35/Products!$D$16)</f>
        <v/>
      </c>
      <c r="T68" s="81">
        <f>IF($A68&lt;=Products!$D$16,O68,0)</f>
        <v/>
      </c>
      <c r="U68" s="81">
        <f>IF(AND($A68&gt;=1,$A68&lt;=Products!$D$16),O67-O68,0)</f>
        <v/>
      </c>
      <c r="V68" s="80">
        <f>IF(AND($A68-Inputs!$C$31&gt;=1,$A68-Inputs!$C$31&lt;=Products!$D$16),INDEX(Curves!$U$8:$U$68,$A68-Inputs!$C$31+1),0)*Products!$D$27*Products!$D$28*Products!$D$13*(1-Credit_Assumptions!$C$15)</f>
        <v/>
      </c>
      <c r="W68" s="80">
        <f>IF($A68=Inputs!$C$33,Products!$D$30*Inputs!$C$10*Inputs!$C$32,0)</f>
        <v/>
      </c>
      <c r="X68" s="80">
        <f>Q68*(1-Inputs!$C$24)-Inputs!$C$25*T68+V68+W68</f>
        <v/>
      </c>
      <c r="Y68" s="80">
        <f>Y67+X68</f>
        <v/>
      </c>
      <c r="Z68" s="80">
        <f>P68*(1-O68)</f>
        <v/>
      </c>
      <c r="AB68" s="81">
        <f>(1-Products!$E$41)^$A68</f>
        <v/>
      </c>
      <c r="AC68" s="80">
        <f>IF(AND($A68&gt;=1,$A68&lt;=Products!$E$16),Products!$E$33,0)</f>
        <v/>
      </c>
      <c r="AD68" s="80">
        <f>AC68*Products!$E$42*AB68</f>
        <v/>
      </c>
      <c r="AE68" s="80">
        <f>AC68-AD68</f>
        <v/>
      </c>
      <c r="AF68" s="80">
        <f>(1-AB68)*MAX(0,Products!$E$16-$A68)*(Products!$E$33-Products!$E$35/Products!$E$16)</f>
        <v/>
      </c>
      <c r="AG68" s="81">
        <f>IF($A68&lt;=Products!$E$16,AB68,0)</f>
        <v/>
      </c>
      <c r="AH68" s="81">
        <f>IF(AND($A68&gt;=1,$A68&lt;=Products!$E$16),AB67-AB68,0)</f>
        <v/>
      </c>
      <c r="AI68" s="80">
        <f>IF(AND($A68-Inputs!$C$31&gt;=1,$A68-Inputs!$C$31&lt;=Products!$E$16),INDEX(Curves!$AH$8:$AH$68,$A68-Inputs!$C$31+1),0)*Products!$E$27*Products!$E$28*Products!$E$13*(1-Credit_Assumptions!$C$15)</f>
        <v/>
      </c>
      <c r="AJ68" s="80">
        <f>IF($A68=Inputs!$C$33,Products!$E$30*Inputs!$C$10*Inputs!$C$32,0)</f>
        <v/>
      </c>
      <c r="AK68" s="80">
        <f>AD68*(1-Inputs!$C$24)-Inputs!$C$25*AG68+AI68+AJ68</f>
        <v/>
      </c>
      <c r="AL68" s="80">
        <f>AL67+AK68</f>
        <v/>
      </c>
      <c r="AM68" s="80">
        <f>AC68*(1-AB68)</f>
        <v/>
      </c>
      <c r="AO68" s="81">
        <f>(1-Products!$F$41)^$A68</f>
        <v/>
      </c>
      <c r="AP68" s="80">
        <f>IF(AND($A68&gt;=1,$A68&lt;=Products!$F$16),Products!$F$33,0)</f>
        <v/>
      </c>
      <c r="AQ68" s="80">
        <f>AP68*Products!$F$42*AO68</f>
        <v/>
      </c>
      <c r="AR68" s="80">
        <f>AP68-AQ68</f>
        <v/>
      </c>
      <c r="AS68" s="80">
        <f>(1-AO68)*MAX(0,Products!$F$16-$A68)*(Products!$F$33-Products!$F$35/Products!$F$16)</f>
        <v/>
      </c>
      <c r="AT68" s="81">
        <f>IF($A68&lt;=Products!$F$16,AO68,0)</f>
        <v/>
      </c>
      <c r="AU68" s="81">
        <f>IF(AND($A68&gt;=1,$A68&lt;=Products!$F$16),AO67-AO68,0)</f>
        <v/>
      </c>
      <c r="AV68" s="80">
        <f>IF(AND($A68-Inputs!$C$31&gt;=1,$A68-Inputs!$C$31&lt;=Products!$F$16),INDEX(Curves!$AU$8:$AU$68,$A68-Inputs!$C$31+1),0)*Products!$F$27*Products!$F$28*Products!$F$13*(1-Credit_Assumptions!$C$15)</f>
        <v/>
      </c>
      <c r="AW68" s="80">
        <f>IF($A68=Inputs!$C$33,Products!$F$30*Inputs!$C$10*Inputs!$C$32,0)</f>
        <v/>
      </c>
      <c r="AX68" s="80">
        <f>AQ68*(1-Inputs!$C$24)-Inputs!$C$25*AT68+AV68+AW68</f>
        <v/>
      </c>
      <c r="AY68" s="80">
        <f>AY67+AX68</f>
        <v/>
      </c>
      <c r="AZ68" s="80">
        <f>AP68*(1-AO68)</f>
        <v/>
      </c>
      <c r="BB68" s="81">
        <f>(1-Products!$G$41)^$A68</f>
        <v/>
      </c>
      <c r="BC68" s="80">
        <f>IF(AND($A68&gt;=1,$A68&lt;=Products!$G$16),Products!$G$33,0)</f>
        <v/>
      </c>
      <c r="BD68" s="80">
        <f>BC68*Products!$G$42*BB68</f>
        <v/>
      </c>
      <c r="BE68" s="80">
        <f>BC68-BD68</f>
        <v/>
      </c>
      <c r="BF68" s="80">
        <f>(1-BB68)*MAX(0,Products!$G$16-$A68)*(Products!$G$33-Products!$G$35/Products!$G$16)</f>
        <v/>
      </c>
      <c r="BG68" s="81">
        <f>IF($A68&lt;=Products!$G$16,BB68,0)</f>
        <v/>
      </c>
      <c r="BH68" s="81">
        <f>IF(AND($A68&gt;=1,$A68&lt;=Products!$G$16),BB67-BB68,0)</f>
        <v/>
      </c>
      <c r="BI68" s="80">
        <f>IF(AND($A68-Inputs!$C$31&gt;=1,$A68-Inputs!$C$31&lt;=Products!$G$16),INDEX(Curves!$BH$8:$BH$68,$A68-Inputs!$C$31+1),0)*Products!$G$27*Products!$G$28*Products!$G$13*(1-Credit_Assumptions!$C$15)</f>
        <v/>
      </c>
      <c r="BJ68" s="80">
        <f>IF($A68=Inputs!$C$33,Products!$G$30*Inputs!$C$10*Inputs!$C$32,0)</f>
        <v/>
      </c>
      <c r="BK68" s="80">
        <f>BD68*(1-Inputs!$C$24)-Inputs!$C$25*BG68+BI68+BJ68</f>
        <v/>
      </c>
      <c r="BL68" s="80">
        <f>BL67+BK68</f>
        <v/>
      </c>
      <c r="BM68" s="80">
        <f>BC68*(1-BB68)</f>
        <v/>
      </c>
    </row>
    <row r="69"/>
    <row r="70">
      <c r="A70" s="109" t="inlineStr">
        <is>
          <t>Totals per unit</t>
        </is>
      </c>
      <c r="C70" s="93">
        <f>SUM(C8:C68)</f>
        <v/>
      </c>
      <c r="D70" s="93">
        <f>SUM(D8:D68)</f>
        <v/>
      </c>
      <c r="E70" s="93">
        <f>SUM(E8:E68)</f>
        <v/>
      </c>
      <c r="I70" s="93">
        <f>SUM(I8:I68)</f>
        <v/>
      </c>
      <c r="J70" s="93">
        <f>SUM(J8:J68)</f>
        <v/>
      </c>
      <c r="P70" s="93">
        <f>SUM(P8:P68)</f>
        <v/>
      </c>
      <c r="Q70" s="93">
        <f>SUM(Q8:Q68)</f>
        <v/>
      </c>
      <c r="R70" s="93">
        <f>SUM(R8:R68)</f>
        <v/>
      </c>
      <c r="V70" s="93">
        <f>SUM(V8:V68)</f>
        <v/>
      </c>
      <c r="W70" s="93">
        <f>SUM(W8:W68)</f>
        <v/>
      </c>
      <c r="AC70" s="93">
        <f>SUM(AC8:AC68)</f>
        <v/>
      </c>
      <c r="AD70" s="93">
        <f>SUM(AD8:AD68)</f>
        <v/>
      </c>
      <c r="AE70" s="93">
        <f>SUM(AE8:AE68)</f>
        <v/>
      </c>
      <c r="AI70" s="93">
        <f>SUM(AI8:AI68)</f>
        <v/>
      </c>
      <c r="AJ70" s="93">
        <f>SUM(AJ8:AJ68)</f>
        <v/>
      </c>
      <c r="AP70" s="93">
        <f>SUM(AP8:AP68)</f>
        <v/>
      </c>
      <c r="AQ70" s="93">
        <f>SUM(AQ8:AQ68)</f>
        <v/>
      </c>
      <c r="AR70" s="93">
        <f>SUM(AR8:AR68)</f>
        <v/>
      </c>
      <c r="AV70" s="93">
        <f>SUM(AV8:AV68)</f>
        <v/>
      </c>
      <c r="AW70" s="93">
        <f>SUM(AW8:AW68)</f>
        <v/>
      </c>
      <c r="BC70" s="93">
        <f>SUM(BC8:BC68)</f>
        <v/>
      </c>
      <c r="BD70" s="93">
        <f>SUM(BD8:BD68)</f>
        <v/>
      </c>
      <c r="BE70" s="93">
        <f>SUM(BE8:BE68)</f>
        <v/>
      </c>
      <c r="BI70" s="93">
        <f>SUM(BI8:BI68)</f>
        <v/>
      </c>
      <c r="BJ70" s="93">
        <f>SUM(BJ8:BJ68)</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38.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Cohort (vintage) analysis: Tier 1: Pico solar kit</t>
        </is>
      </c>
    </row>
    <row r="2">
      <c r="A2" s="18" t="inlineStr">
        <is>
          <t>[FORECAST]  Rows = sales cohort (month of sale); columns = calendar month. Cohort size in column C.</t>
        </is>
      </c>
    </row>
    <row r="3"/>
    <row r="4">
      <c r="A4" s="94" t="inlineStr">
        <is>
          <t>Month #</t>
        </is>
      </c>
      <c r="B4" s="95" t="n"/>
      <c r="C4" s="95" t="n"/>
      <c r="D4" s="94" t="inlineStr">
        <is>
          <t>Opening</t>
        </is>
      </c>
      <c r="E4" s="96">
        <f>Timeline!E4</f>
        <v/>
      </c>
      <c r="F4" s="96">
        <f>Timeline!F4</f>
        <v/>
      </c>
      <c r="G4" s="96">
        <f>Timeline!G4</f>
        <v/>
      </c>
      <c r="H4" s="96">
        <f>Timeline!H4</f>
        <v/>
      </c>
      <c r="I4" s="96">
        <f>Timeline!I4</f>
        <v/>
      </c>
      <c r="J4" s="96">
        <f>Timeline!J4</f>
        <v/>
      </c>
      <c r="K4" s="96">
        <f>Timeline!K4</f>
        <v/>
      </c>
      <c r="L4" s="96">
        <f>Timeline!L4</f>
        <v/>
      </c>
      <c r="M4" s="96">
        <f>Timeline!M4</f>
        <v/>
      </c>
      <c r="N4" s="96">
        <f>Timeline!N4</f>
        <v/>
      </c>
      <c r="O4" s="96">
        <f>Timeline!O4</f>
        <v/>
      </c>
      <c r="P4" s="96">
        <f>Timeline!P4</f>
        <v/>
      </c>
      <c r="Q4" s="96">
        <f>Timeline!Q4</f>
        <v/>
      </c>
      <c r="R4" s="96">
        <f>Timeline!R4</f>
        <v/>
      </c>
      <c r="S4" s="96">
        <f>Timeline!S4</f>
        <v/>
      </c>
      <c r="T4" s="96">
        <f>Timeline!T4</f>
        <v/>
      </c>
      <c r="U4" s="96">
        <f>Timeline!U4</f>
        <v/>
      </c>
      <c r="V4" s="96">
        <f>Timeline!V4</f>
        <v/>
      </c>
      <c r="W4" s="96">
        <f>Timeline!W4</f>
        <v/>
      </c>
      <c r="X4" s="96">
        <f>Timeline!X4</f>
        <v/>
      </c>
      <c r="Y4" s="96">
        <f>Timeline!Y4</f>
        <v/>
      </c>
      <c r="Z4" s="96">
        <f>Timeline!Z4</f>
        <v/>
      </c>
      <c r="AA4" s="96">
        <f>Timeline!AA4</f>
        <v/>
      </c>
      <c r="AB4" s="96">
        <f>Timeline!AB4</f>
        <v/>
      </c>
      <c r="AC4" s="96">
        <f>Timeline!AC4</f>
        <v/>
      </c>
      <c r="AD4" s="96">
        <f>Timeline!AD4</f>
        <v/>
      </c>
      <c r="AE4" s="96">
        <f>Timeline!AE4</f>
        <v/>
      </c>
      <c r="AF4" s="96">
        <f>Timeline!AF4</f>
        <v/>
      </c>
      <c r="AG4" s="96">
        <f>Timeline!AG4</f>
        <v/>
      </c>
      <c r="AH4" s="96">
        <f>Timeline!AH4</f>
        <v/>
      </c>
      <c r="AI4" s="96">
        <f>Timeline!AI4</f>
        <v/>
      </c>
      <c r="AJ4" s="96">
        <f>Timeline!AJ4</f>
        <v/>
      </c>
      <c r="AK4" s="96">
        <f>Timeline!AK4</f>
        <v/>
      </c>
      <c r="AL4" s="96">
        <f>Timeline!AL4</f>
        <v/>
      </c>
      <c r="AM4" s="96">
        <f>Timeline!AM4</f>
        <v/>
      </c>
      <c r="AN4" s="96">
        <f>Timeline!AN4</f>
        <v/>
      </c>
      <c r="AO4" s="96">
        <f>Timeline!AO4</f>
        <v/>
      </c>
      <c r="AP4" s="96">
        <f>Timeline!AP4</f>
        <v/>
      </c>
      <c r="AQ4" s="96">
        <f>Timeline!AQ4</f>
        <v/>
      </c>
      <c r="AR4" s="96">
        <f>Timeline!AR4</f>
        <v/>
      </c>
      <c r="AS4" s="96">
        <f>Timeline!AS4</f>
        <v/>
      </c>
      <c r="AT4" s="96">
        <f>Timeline!AT4</f>
        <v/>
      </c>
      <c r="AU4" s="96">
        <f>Timeline!AU4</f>
        <v/>
      </c>
      <c r="AV4" s="96">
        <f>Timeline!AV4</f>
        <v/>
      </c>
      <c r="AW4" s="96">
        <f>Timeline!AW4</f>
        <v/>
      </c>
      <c r="AX4" s="96">
        <f>Timeline!AX4</f>
        <v/>
      </c>
      <c r="AY4" s="96">
        <f>Timeline!AY4</f>
        <v/>
      </c>
      <c r="AZ4" s="96">
        <f>Timeline!AZ4</f>
        <v/>
      </c>
      <c r="BA4" s="96">
        <f>Timeline!BA4</f>
        <v/>
      </c>
      <c r="BB4" s="96">
        <f>Timeline!BB4</f>
        <v/>
      </c>
      <c r="BC4" s="96">
        <f>Timeline!BC4</f>
        <v/>
      </c>
      <c r="BD4" s="96">
        <f>Timeline!BD4</f>
        <v/>
      </c>
      <c r="BE4" s="96">
        <f>Timeline!BE4</f>
        <v/>
      </c>
      <c r="BF4" s="96">
        <f>Timeline!BF4</f>
        <v/>
      </c>
      <c r="BG4" s="96">
        <f>Timeline!BG4</f>
        <v/>
      </c>
      <c r="BH4" s="96">
        <f>Timeline!BH4</f>
        <v/>
      </c>
      <c r="BI4" s="96">
        <f>Timeline!BI4</f>
        <v/>
      </c>
      <c r="BJ4" s="96">
        <f>Timeline!BJ4</f>
        <v/>
      </c>
      <c r="BK4" s="96">
        <f>Timeline!BK4</f>
        <v/>
      </c>
      <c r="BL4" s="96">
        <f>Timeline!BL4</f>
        <v/>
      </c>
    </row>
    <row r="5">
      <c r="A5" s="94" t="inlineStr">
        <is>
          <t>Period end</t>
        </is>
      </c>
      <c r="B5" s="95" t="n"/>
      <c r="C5" s="95" t="n"/>
      <c r="D5" s="94" t="n"/>
      <c r="E5" s="97">
        <f>Timeline!E5</f>
        <v/>
      </c>
      <c r="F5" s="97">
        <f>Timeline!F5</f>
        <v/>
      </c>
      <c r="G5" s="97">
        <f>Timeline!G5</f>
        <v/>
      </c>
      <c r="H5" s="97">
        <f>Timeline!H5</f>
        <v/>
      </c>
      <c r="I5" s="97">
        <f>Timeline!I5</f>
        <v/>
      </c>
      <c r="J5" s="97">
        <f>Timeline!J5</f>
        <v/>
      </c>
      <c r="K5" s="97">
        <f>Timeline!K5</f>
        <v/>
      </c>
      <c r="L5" s="97">
        <f>Timeline!L5</f>
        <v/>
      </c>
      <c r="M5" s="97">
        <f>Timeline!M5</f>
        <v/>
      </c>
      <c r="N5" s="97">
        <f>Timeline!N5</f>
        <v/>
      </c>
      <c r="O5" s="97">
        <f>Timeline!O5</f>
        <v/>
      </c>
      <c r="P5" s="97">
        <f>Timeline!P5</f>
        <v/>
      </c>
      <c r="Q5" s="97">
        <f>Timeline!Q5</f>
        <v/>
      </c>
      <c r="R5" s="97">
        <f>Timeline!R5</f>
        <v/>
      </c>
      <c r="S5" s="97">
        <f>Timeline!S5</f>
        <v/>
      </c>
      <c r="T5" s="97">
        <f>Timeline!T5</f>
        <v/>
      </c>
      <c r="U5" s="97">
        <f>Timeline!U5</f>
        <v/>
      </c>
      <c r="V5" s="97">
        <f>Timeline!V5</f>
        <v/>
      </c>
      <c r="W5" s="97">
        <f>Timeline!W5</f>
        <v/>
      </c>
      <c r="X5" s="97">
        <f>Timeline!X5</f>
        <v/>
      </c>
      <c r="Y5" s="97">
        <f>Timeline!Y5</f>
        <v/>
      </c>
      <c r="Z5" s="97">
        <f>Timeline!Z5</f>
        <v/>
      </c>
      <c r="AA5" s="97">
        <f>Timeline!AA5</f>
        <v/>
      </c>
      <c r="AB5" s="97">
        <f>Timeline!AB5</f>
        <v/>
      </c>
      <c r="AC5" s="97">
        <f>Timeline!AC5</f>
        <v/>
      </c>
      <c r="AD5" s="97">
        <f>Timeline!AD5</f>
        <v/>
      </c>
      <c r="AE5" s="97">
        <f>Timeline!AE5</f>
        <v/>
      </c>
      <c r="AF5" s="97">
        <f>Timeline!AF5</f>
        <v/>
      </c>
      <c r="AG5" s="97">
        <f>Timeline!AG5</f>
        <v/>
      </c>
      <c r="AH5" s="97">
        <f>Timeline!AH5</f>
        <v/>
      </c>
      <c r="AI5" s="97">
        <f>Timeline!AI5</f>
        <v/>
      </c>
      <c r="AJ5" s="97">
        <f>Timeline!AJ5</f>
        <v/>
      </c>
      <c r="AK5" s="97">
        <f>Timeline!AK5</f>
        <v/>
      </c>
      <c r="AL5" s="97">
        <f>Timeline!AL5</f>
        <v/>
      </c>
      <c r="AM5" s="97">
        <f>Timeline!AM5</f>
        <v/>
      </c>
      <c r="AN5" s="97">
        <f>Timeline!AN5</f>
        <v/>
      </c>
      <c r="AO5" s="97">
        <f>Timeline!AO5</f>
        <v/>
      </c>
      <c r="AP5" s="97">
        <f>Timeline!AP5</f>
        <v/>
      </c>
      <c r="AQ5" s="97">
        <f>Timeline!AQ5</f>
        <v/>
      </c>
      <c r="AR5" s="97">
        <f>Timeline!AR5</f>
        <v/>
      </c>
      <c r="AS5" s="97">
        <f>Timeline!AS5</f>
        <v/>
      </c>
      <c r="AT5" s="97">
        <f>Timeline!AT5</f>
        <v/>
      </c>
      <c r="AU5" s="97">
        <f>Timeline!AU5</f>
        <v/>
      </c>
      <c r="AV5" s="97">
        <f>Timeline!AV5</f>
        <v/>
      </c>
      <c r="AW5" s="97">
        <f>Timeline!AW5</f>
        <v/>
      </c>
      <c r="AX5" s="97">
        <f>Timeline!AX5</f>
        <v/>
      </c>
      <c r="AY5" s="97">
        <f>Timeline!AY5</f>
        <v/>
      </c>
      <c r="AZ5" s="97">
        <f>Timeline!AZ5</f>
        <v/>
      </c>
      <c r="BA5" s="97">
        <f>Timeline!BA5</f>
        <v/>
      </c>
      <c r="BB5" s="97">
        <f>Timeline!BB5</f>
        <v/>
      </c>
      <c r="BC5" s="97">
        <f>Timeline!BC5</f>
        <v/>
      </c>
      <c r="BD5" s="97">
        <f>Timeline!BD5</f>
        <v/>
      </c>
      <c r="BE5" s="97">
        <f>Timeline!BE5</f>
        <v/>
      </c>
      <c r="BF5" s="97">
        <f>Timeline!BF5</f>
        <v/>
      </c>
      <c r="BG5" s="97">
        <f>Timeline!BG5</f>
        <v/>
      </c>
      <c r="BH5" s="97">
        <f>Timeline!BH5</f>
        <v/>
      </c>
      <c r="BI5" s="97">
        <f>Timeline!BI5</f>
        <v/>
      </c>
      <c r="BJ5" s="97">
        <f>Timeline!BJ5</f>
        <v/>
      </c>
      <c r="BK5" s="97">
        <f>Timeline!BK5</f>
        <v/>
      </c>
      <c r="BL5" s="97">
        <f>Timeline!BL5</f>
        <v/>
      </c>
    </row>
    <row r="6">
      <c r="A6" s="94" t="inlineStr">
        <is>
          <t>Year #</t>
        </is>
      </c>
      <c r="B6" s="95" t="n"/>
      <c r="C6" s="95" t="n"/>
      <c r="D6" s="94" t="n"/>
      <c r="E6" s="96">
        <f>Timeline!E6</f>
        <v/>
      </c>
      <c r="F6" s="96">
        <f>Timeline!F6</f>
        <v/>
      </c>
      <c r="G6" s="96">
        <f>Timeline!G6</f>
        <v/>
      </c>
      <c r="H6" s="96">
        <f>Timeline!H6</f>
        <v/>
      </c>
      <c r="I6" s="96">
        <f>Timeline!I6</f>
        <v/>
      </c>
      <c r="J6" s="96">
        <f>Timeline!J6</f>
        <v/>
      </c>
      <c r="K6" s="96">
        <f>Timeline!K6</f>
        <v/>
      </c>
      <c r="L6" s="96">
        <f>Timeline!L6</f>
        <v/>
      </c>
      <c r="M6" s="96">
        <f>Timeline!M6</f>
        <v/>
      </c>
      <c r="N6" s="96">
        <f>Timeline!N6</f>
        <v/>
      </c>
      <c r="O6" s="96">
        <f>Timeline!O6</f>
        <v/>
      </c>
      <c r="P6" s="96">
        <f>Timeline!P6</f>
        <v/>
      </c>
      <c r="Q6" s="96">
        <f>Timeline!Q6</f>
        <v/>
      </c>
      <c r="R6" s="96">
        <f>Timeline!R6</f>
        <v/>
      </c>
      <c r="S6" s="96">
        <f>Timeline!S6</f>
        <v/>
      </c>
      <c r="T6" s="96">
        <f>Timeline!T6</f>
        <v/>
      </c>
      <c r="U6" s="96">
        <f>Timeline!U6</f>
        <v/>
      </c>
      <c r="V6" s="96">
        <f>Timeline!V6</f>
        <v/>
      </c>
      <c r="W6" s="96">
        <f>Timeline!W6</f>
        <v/>
      </c>
      <c r="X6" s="96">
        <f>Timeline!X6</f>
        <v/>
      </c>
      <c r="Y6" s="96">
        <f>Timeline!Y6</f>
        <v/>
      </c>
      <c r="Z6" s="96">
        <f>Timeline!Z6</f>
        <v/>
      </c>
      <c r="AA6" s="96">
        <f>Timeline!AA6</f>
        <v/>
      </c>
      <c r="AB6" s="96">
        <f>Timeline!AB6</f>
        <v/>
      </c>
      <c r="AC6" s="96">
        <f>Timeline!AC6</f>
        <v/>
      </c>
      <c r="AD6" s="96">
        <f>Timeline!AD6</f>
        <v/>
      </c>
      <c r="AE6" s="96">
        <f>Timeline!AE6</f>
        <v/>
      </c>
      <c r="AF6" s="96">
        <f>Timeline!AF6</f>
        <v/>
      </c>
      <c r="AG6" s="96">
        <f>Timeline!AG6</f>
        <v/>
      </c>
      <c r="AH6" s="96">
        <f>Timeline!AH6</f>
        <v/>
      </c>
      <c r="AI6" s="96">
        <f>Timeline!AI6</f>
        <v/>
      </c>
      <c r="AJ6" s="96">
        <f>Timeline!AJ6</f>
        <v/>
      </c>
      <c r="AK6" s="96">
        <f>Timeline!AK6</f>
        <v/>
      </c>
      <c r="AL6" s="96">
        <f>Timeline!AL6</f>
        <v/>
      </c>
      <c r="AM6" s="96">
        <f>Timeline!AM6</f>
        <v/>
      </c>
      <c r="AN6" s="96">
        <f>Timeline!AN6</f>
        <v/>
      </c>
      <c r="AO6" s="96">
        <f>Timeline!AO6</f>
        <v/>
      </c>
      <c r="AP6" s="96">
        <f>Timeline!AP6</f>
        <v/>
      </c>
      <c r="AQ6" s="96">
        <f>Timeline!AQ6</f>
        <v/>
      </c>
      <c r="AR6" s="96">
        <f>Timeline!AR6</f>
        <v/>
      </c>
      <c r="AS6" s="96">
        <f>Timeline!AS6</f>
        <v/>
      </c>
      <c r="AT6" s="96">
        <f>Timeline!AT6</f>
        <v/>
      </c>
      <c r="AU6" s="96">
        <f>Timeline!AU6</f>
        <v/>
      </c>
      <c r="AV6" s="96">
        <f>Timeline!AV6</f>
        <v/>
      </c>
      <c r="AW6" s="96">
        <f>Timeline!AW6</f>
        <v/>
      </c>
      <c r="AX6" s="96">
        <f>Timeline!AX6</f>
        <v/>
      </c>
      <c r="AY6" s="96">
        <f>Timeline!AY6</f>
        <v/>
      </c>
      <c r="AZ6" s="96">
        <f>Timeline!AZ6</f>
        <v/>
      </c>
      <c r="BA6" s="96">
        <f>Timeline!BA6</f>
        <v/>
      </c>
      <c r="BB6" s="96">
        <f>Timeline!BB6</f>
        <v/>
      </c>
      <c r="BC6" s="96">
        <f>Timeline!BC6</f>
        <v/>
      </c>
      <c r="BD6" s="96">
        <f>Timeline!BD6</f>
        <v/>
      </c>
      <c r="BE6" s="96">
        <f>Timeline!BE6</f>
        <v/>
      </c>
      <c r="BF6" s="96">
        <f>Timeline!BF6</f>
        <v/>
      </c>
      <c r="BG6" s="96">
        <f>Timeline!BG6</f>
        <v/>
      </c>
      <c r="BH6" s="96">
        <f>Timeline!BH6</f>
        <v/>
      </c>
      <c r="BI6" s="96">
        <f>Timeline!BI6</f>
        <v/>
      </c>
      <c r="BJ6" s="96">
        <f>Timeline!BJ6</f>
        <v/>
      </c>
      <c r="BK6" s="96">
        <f>Timeline!BK6</f>
        <v/>
      </c>
      <c r="BL6" s="96">
        <f>Timeline!BL6</f>
        <v/>
      </c>
    </row>
    <row r="7"/>
    <row r="8">
      <c r="A8" s="21" t="inlineStr">
        <is>
          <t>Instalments collected by cohort (LCY)</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100" t="inlineStr">
        <is>
          <t>Total</t>
        </is>
      </c>
      <c r="B9" s="101" t="inlineStr"/>
      <c r="C9" s="103" t="n"/>
      <c r="D9" s="103" t="n"/>
      <c r="E9" s="104">
        <f>SUM(E10:E69)</f>
        <v/>
      </c>
      <c r="F9" s="104">
        <f>SUM(F10:F69)</f>
        <v/>
      </c>
      <c r="G9" s="104">
        <f>SUM(G10:G69)</f>
        <v/>
      </c>
      <c r="H9" s="104">
        <f>SUM(H10:H69)</f>
        <v/>
      </c>
      <c r="I9" s="104">
        <f>SUM(I10:I69)</f>
        <v/>
      </c>
      <c r="J9" s="104">
        <f>SUM(J10:J69)</f>
        <v/>
      </c>
      <c r="K9" s="104">
        <f>SUM(K10:K69)</f>
        <v/>
      </c>
      <c r="L9" s="104">
        <f>SUM(L10:L69)</f>
        <v/>
      </c>
      <c r="M9" s="104">
        <f>SUM(M10:M69)</f>
        <v/>
      </c>
      <c r="N9" s="104">
        <f>SUM(N10:N69)</f>
        <v/>
      </c>
      <c r="O9" s="104">
        <f>SUM(O10:O69)</f>
        <v/>
      </c>
      <c r="P9" s="104">
        <f>SUM(P10:P69)</f>
        <v/>
      </c>
      <c r="Q9" s="104">
        <f>SUM(Q10:Q69)</f>
        <v/>
      </c>
      <c r="R9" s="104">
        <f>SUM(R10:R69)</f>
        <v/>
      </c>
      <c r="S9" s="104">
        <f>SUM(S10:S69)</f>
        <v/>
      </c>
      <c r="T9" s="104">
        <f>SUM(T10:T69)</f>
        <v/>
      </c>
      <c r="U9" s="104">
        <f>SUM(U10:U69)</f>
        <v/>
      </c>
      <c r="V9" s="104">
        <f>SUM(V10:V69)</f>
        <v/>
      </c>
      <c r="W9" s="104">
        <f>SUM(W10:W69)</f>
        <v/>
      </c>
      <c r="X9" s="104">
        <f>SUM(X10:X69)</f>
        <v/>
      </c>
      <c r="Y9" s="104">
        <f>SUM(Y10:Y69)</f>
        <v/>
      </c>
      <c r="Z9" s="104">
        <f>SUM(Z10:Z69)</f>
        <v/>
      </c>
      <c r="AA9" s="104">
        <f>SUM(AA10:AA69)</f>
        <v/>
      </c>
      <c r="AB9" s="104">
        <f>SUM(AB10:AB69)</f>
        <v/>
      </c>
      <c r="AC9" s="104">
        <f>SUM(AC10:AC69)</f>
        <v/>
      </c>
      <c r="AD9" s="104">
        <f>SUM(AD10:AD69)</f>
        <v/>
      </c>
      <c r="AE9" s="104">
        <f>SUM(AE10:AE69)</f>
        <v/>
      </c>
      <c r="AF9" s="104">
        <f>SUM(AF10:AF69)</f>
        <v/>
      </c>
      <c r="AG9" s="104">
        <f>SUM(AG10:AG69)</f>
        <v/>
      </c>
      <c r="AH9" s="104">
        <f>SUM(AH10:AH69)</f>
        <v/>
      </c>
      <c r="AI9" s="104">
        <f>SUM(AI10:AI69)</f>
        <v/>
      </c>
      <c r="AJ9" s="104">
        <f>SUM(AJ10:AJ69)</f>
        <v/>
      </c>
      <c r="AK9" s="104">
        <f>SUM(AK10:AK69)</f>
        <v/>
      </c>
      <c r="AL9" s="104">
        <f>SUM(AL10:AL69)</f>
        <v/>
      </c>
      <c r="AM9" s="104">
        <f>SUM(AM10:AM69)</f>
        <v/>
      </c>
      <c r="AN9" s="104">
        <f>SUM(AN10:AN69)</f>
        <v/>
      </c>
      <c r="AO9" s="104">
        <f>SUM(AO10:AO69)</f>
        <v/>
      </c>
      <c r="AP9" s="104">
        <f>SUM(AP10:AP69)</f>
        <v/>
      </c>
      <c r="AQ9" s="104">
        <f>SUM(AQ10:AQ69)</f>
        <v/>
      </c>
      <c r="AR9" s="104">
        <f>SUM(AR10:AR69)</f>
        <v/>
      </c>
      <c r="AS9" s="104">
        <f>SUM(AS10:AS69)</f>
        <v/>
      </c>
      <c r="AT9" s="104">
        <f>SUM(AT10:AT69)</f>
        <v/>
      </c>
      <c r="AU9" s="104">
        <f>SUM(AU10:AU69)</f>
        <v/>
      </c>
      <c r="AV9" s="104">
        <f>SUM(AV10:AV69)</f>
        <v/>
      </c>
      <c r="AW9" s="104">
        <f>SUM(AW10:AW69)</f>
        <v/>
      </c>
      <c r="AX9" s="104">
        <f>SUM(AX10:AX69)</f>
        <v/>
      </c>
      <c r="AY9" s="104">
        <f>SUM(AY10:AY69)</f>
        <v/>
      </c>
      <c r="AZ9" s="104">
        <f>SUM(AZ10:AZ69)</f>
        <v/>
      </c>
      <c r="BA9" s="104">
        <f>SUM(BA10:BA69)</f>
        <v/>
      </c>
      <c r="BB9" s="104">
        <f>SUM(BB10:BB69)</f>
        <v/>
      </c>
      <c r="BC9" s="104">
        <f>SUM(BC10:BC69)</f>
        <v/>
      </c>
      <c r="BD9" s="104">
        <f>SUM(BD10:BD69)</f>
        <v/>
      </c>
      <c r="BE9" s="104">
        <f>SUM(BE10:BE69)</f>
        <v/>
      </c>
      <c r="BF9" s="104">
        <f>SUM(BF10:BF69)</f>
        <v/>
      </c>
      <c r="BG9" s="104">
        <f>SUM(BG10:BG69)</f>
        <v/>
      </c>
      <c r="BH9" s="104">
        <f>SUM(BH10:BH69)</f>
        <v/>
      </c>
      <c r="BI9" s="104">
        <f>SUM(BI10:BI69)</f>
        <v/>
      </c>
      <c r="BJ9" s="104">
        <f>SUM(BJ10:BJ69)</f>
        <v/>
      </c>
      <c r="BK9" s="104">
        <f>SUM(BK10:BK69)</f>
        <v/>
      </c>
      <c r="BL9" s="104">
        <f>SUM(BL10:BL69)</f>
        <v/>
      </c>
    </row>
    <row r="10">
      <c r="A10" s="147" t="inlineStr">
        <is>
          <t>Cohort month 1</t>
        </is>
      </c>
      <c r="B10" s="147" t="n">
        <v>1</v>
      </c>
      <c r="C10" s="41">
        <f>INDEX(Ops!$E$10:$BL$10,1,$B10)</f>
        <v/>
      </c>
      <c r="F10" s="153">
        <f>$C10*INDEX(Curves!$D$8:$D$68,F$4-$B10+1)</f>
        <v/>
      </c>
      <c r="G10" s="153">
        <f>$C10*INDEX(Curves!$D$8:$D$68,G$4-$B10+1)</f>
        <v/>
      </c>
      <c r="H10" s="153">
        <f>$C10*INDEX(Curves!$D$8:$D$68,H$4-$B10+1)</f>
        <v/>
      </c>
      <c r="I10" s="153">
        <f>$C10*INDEX(Curves!$D$8:$D$68,I$4-$B10+1)</f>
        <v/>
      </c>
      <c r="J10" s="153">
        <f>$C10*INDEX(Curves!$D$8:$D$68,J$4-$B10+1)</f>
        <v/>
      </c>
      <c r="K10" s="153">
        <f>$C10*INDEX(Curves!$D$8:$D$68,K$4-$B10+1)</f>
        <v/>
      </c>
      <c r="L10" s="153">
        <f>$C10*INDEX(Curves!$D$8:$D$68,L$4-$B10+1)</f>
        <v/>
      </c>
      <c r="M10" s="153">
        <f>$C10*INDEX(Curves!$D$8:$D$68,M$4-$B10+1)</f>
        <v/>
      </c>
      <c r="N10" s="153">
        <f>$C10*INDEX(Curves!$D$8:$D$68,N$4-$B10+1)</f>
        <v/>
      </c>
      <c r="O10" s="153">
        <f>$C10*INDEX(Curves!$D$8:$D$68,O$4-$B10+1)</f>
        <v/>
      </c>
      <c r="P10" s="153">
        <f>$C10*INDEX(Curves!$D$8:$D$68,P$4-$B10+1)</f>
        <v/>
      </c>
      <c r="Q10" s="153">
        <f>$C10*INDEX(Curves!$D$8:$D$68,Q$4-$B10+1)</f>
        <v/>
      </c>
      <c r="R10" s="153">
        <f>$C10*INDEX(Curves!$D$8:$D$68,R$4-$B10+1)</f>
        <v/>
      </c>
      <c r="S10" s="153">
        <f>$C10*INDEX(Curves!$D$8:$D$68,S$4-$B10+1)</f>
        <v/>
      </c>
      <c r="T10" s="153">
        <f>$C10*INDEX(Curves!$D$8:$D$68,T$4-$B10+1)</f>
        <v/>
      </c>
      <c r="U10" s="153">
        <f>$C10*INDEX(Curves!$D$8:$D$68,U$4-$B10+1)</f>
        <v/>
      </c>
      <c r="V10" s="153">
        <f>$C10*INDEX(Curves!$D$8:$D$68,V$4-$B10+1)</f>
        <v/>
      </c>
      <c r="W10" s="153">
        <f>$C10*INDEX(Curves!$D$8:$D$68,W$4-$B10+1)</f>
        <v/>
      </c>
      <c r="X10" s="153">
        <f>$C10*INDEX(Curves!$D$8:$D$68,X$4-$B10+1)</f>
        <v/>
      </c>
      <c r="Y10" s="153">
        <f>$C10*INDEX(Curves!$D$8:$D$68,Y$4-$B10+1)</f>
        <v/>
      </c>
      <c r="Z10" s="153">
        <f>$C10*INDEX(Curves!$D$8:$D$68,Z$4-$B10+1)</f>
        <v/>
      </c>
      <c r="AA10" s="153">
        <f>$C10*INDEX(Curves!$D$8:$D$68,AA$4-$B10+1)</f>
        <v/>
      </c>
      <c r="AB10" s="153">
        <f>$C10*INDEX(Curves!$D$8:$D$68,AB$4-$B10+1)</f>
        <v/>
      </c>
      <c r="AC10" s="153">
        <f>$C10*INDEX(Curves!$D$8:$D$68,AC$4-$B10+1)</f>
        <v/>
      </c>
      <c r="AD10" s="153">
        <f>$C10*INDEX(Curves!$D$8:$D$68,AD$4-$B10+1)</f>
        <v/>
      </c>
      <c r="AE10" s="153">
        <f>$C10*INDEX(Curves!$D$8:$D$68,AE$4-$B10+1)</f>
        <v/>
      </c>
      <c r="AF10" s="153">
        <f>$C10*INDEX(Curves!$D$8:$D$68,AF$4-$B10+1)</f>
        <v/>
      </c>
      <c r="AG10" s="153">
        <f>$C10*INDEX(Curves!$D$8:$D$68,AG$4-$B10+1)</f>
        <v/>
      </c>
      <c r="AH10" s="153">
        <f>$C10*INDEX(Curves!$D$8:$D$68,AH$4-$B10+1)</f>
        <v/>
      </c>
      <c r="AI10" s="153">
        <f>$C10*INDEX(Curves!$D$8:$D$68,AI$4-$B10+1)</f>
        <v/>
      </c>
      <c r="AJ10" s="153">
        <f>$C10*INDEX(Curves!$D$8:$D$68,AJ$4-$B10+1)</f>
        <v/>
      </c>
      <c r="AK10" s="153">
        <f>$C10*INDEX(Curves!$D$8:$D$68,AK$4-$B10+1)</f>
        <v/>
      </c>
      <c r="AL10" s="153">
        <f>$C10*INDEX(Curves!$D$8:$D$68,AL$4-$B10+1)</f>
        <v/>
      </c>
      <c r="AM10" s="153">
        <f>$C10*INDEX(Curves!$D$8:$D$68,AM$4-$B10+1)</f>
        <v/>
      </c>
      <c r="AN10" s="153">
        <f>$C10*INDEX(Curves!$D$8:$D$68,AN$4-$B10+1)</f>
        <v/>
      </c>
      <c r="AO10" s="153">
        <f>$C10*INDEX(Curves!$D$8:$D$68,AO$4-$B10+1)</f>
        <v/>
      </c>
      <c r="AP10" s="153">
        <f>$C10*INDEX(Curves!$D$8:$D$68,AP$4-$B10+1)</f>
        <v/>
      </c>
      <c r="AQ10" s="153">
        <f>$C10*INDEX(Curves!$D$8:$D$68,AQ$4-$B10+1)</f>
        <v/>
      </c>
      <c r="AR10" s="153">
        <f>$C10*INDEX(Curves!$D$8:$D$68,AR$4-$B10+1)</f>
        <v/>
      </c>
      <c r="AS10" s="153">
        <f>$C10*INDEX(Curves!$D$8:$D$68,AS$4-$B10+1)</f>
        <v/>
      </c>
      <c r="AT10" s="153">
        <f>$C10*INDEX(Curves!$D$8:$D$68,AT$4-$B10+1)</f>
        <v/>
      </c>
      <c r="AU10" s="153">
        <f>$C10*INDEX(Curves!$D$8:$D$68,AU$4-$B10+1)</f>
        <v/>
      </c>
      <c r="AV10" s="153">
        <f>$C10*INDEX(Curves!$D$8:$D$68,AV$4-$B10+1)</f>
        <v/>
      </c>
      <c r="AW10" s="153">
        <f>$C10*INDEX(Curves!$D$8:$D$68,AW$4-$B10+1)</f>
        <v/>
      </c>
      <c r="AX10" s="153">
        <f>$C10*INDEX(Curves!$D$8:$D$68,AX$4-$B10+1)</f>
        <v/>
      </c>
      <c r="AY10" s="153">
        <f>$C10*INDEX(Curves!$D$8:$D$68,AY$4-$B10+1)</f>
        <v/>
      </c>
      <c r="AZ10" s="153">
        <f>$C10*INDEX(Curves!$D$8:$D$68,AZ$4-$B10+1)</f>
        <v/>
      </c>
      <c r="BA10" s="153">
        <f>$C10*INDEX(Curves!$D$8:$D$68,BA$4-$B10+1)</f>
        <v/>
      </c>
      <c r="BB10" s="153">
        <f>$C10*INDEX(Curves!$D$8:$D$68,BB$4-$B10+1)</f>
        <v/>
      </c>
      <c r="BC10" s="153">
        <f>$C10*INDEX(Curves!$D$8:$D$68,BC$4-$B10+1)</f>
        <v/>
      </c>
      <c r="BD10" s="153">
        <f>$C10*INDEX(Curves!$D$8:$D$68,BD$4-$B10+1)</f>
        <v/>
      </c>
      <c r="BE10" s="153">
        <f>$C10*INDEX(Curves!$D$8:$D$68,BE$4-$B10+1)</f>
        <v/>
      </c>
      <c r="BF10" s="153">
        <f>$C10*INDEX(Curves!$D$8:$D$68,BF$4-$B10+1)</f>
        <v/>
      </c>
      <c r="BG10" s="153">
        <f>$C10*INDEX(Curves!$D$8:$D$68,BG$4-$B10+1)</f>
        <v/>
      </c>
      <c r="BH10" s="153">
        <f>$C10*INDEX(Curves!$D$8:$D$68,BH$4-$B10+1)</f>
        <v/>
      </c>
      <c r="BI10" s="153">
        <f>$C10*INDEX(Curves!$D$8:$D$68,BI$4-$B10+1)</f>
        <v/>
      </c>
      <c r="BJ10" s="153">
        <f>$C10*INDEX(Curves!$D$8:$D$68,BJ$4-$B10+1)</f>
        <v/>
      </c>
      <c r="BK10" s="153">
        <f>$C10*INDEX(Curves!$D$8:$D$68,BK$4-$B10+1)</f>
        <v/>
      </c>
      <c r="BL10" s="153">
        <f>$C10*INDEX(Curves!$D$8:$D$68,BL$4-$B10+1)</f>
        <v/>
      </c>
    </row>
    <row r="11">
      <c r="A11" s="147" t="inlineStr">
        <is>
          <t>Cohort month 2</t>
        </is>
      </c>
      <c r="B11" s="147" t="n">
        <v>2</v>
      </c>
      <c r="C11" s="41">
        <f>INDEX(Ops!$E$10:$BL$10,1,$B11)</f>
        <v/>
      </c>
      <c r="G11" s="153">
        <f>$C11*INDEX(Curves!$D$8:$D$68,G$4-$B11+1)</f>
        <v/>
      </c>
      <c r="H11" s="153">
        <f>$C11*INDEX(Curves!$D$8:$D$68,H$4-$B11+1)</f>
        <v/>
      </c>
      <c r="I11" s="153">
        <f>$C11*INDEX(Curves!$D$8:$D$68,I$4-$B11+1)</f>
        <v/>
      </c>
      <c r="J11" s="153">
        <f>$C11*INDEX(Curves!$D$8:$D$68,J$4-$B11+1)</f>
        <v/>
      </c>
      <c r="K11" s="153">
        <f>$C11*INDEX(Curves!$D$8:$D$68,K$4-$B11+1)</f>
        <v/>
      </c>
      <c r="L11" s="153">
        <f>$C11*INDEX(Curves!$D$8:$D$68,L$4-$B11+1)</f>
        <v/>
      </c>
      <c r="M11" s="153">
        <f>$C11*INDEX(Curves!$D$8:$D$68,M$4-$B11+1)</f>
        <v/>
      </c>
      <c r="N11" s="153">
        <f>$C11*INDEX(Curves!$D$8:$D$68,N$4-$B11+1)</f>
        <v/>
      </c>
      <c r="O11" s="153">
        <f>$C11*INDEX(Curves!$D$8:$D$68,O$4-$B11+1)</f>
        <v/>
      </c>
      <c r="P11" s="153">
        <f>$C11*INDEX(Curves!$D$8:$D$68,P$4-$B11+1)</f>
        <v/>
      </c>
      <c r="Q11" s="153">
        <f>$C11*INDEX(Curves!$D$8:$D$68,Q$4-$B11+1)</f>
        <v/>
      </c>
      <c r="R11" s="153">
        <f>$C11*INDEX(Curves!$D$8:$D$68,R$4-$B11+1)</f>
        <v/>
      </c>
      <c r="S11" s="153">
        <f>$C11*INDEX(Curves!$D$8:$D$68,S$4-$B11+1)</f>
        <v/>
      </c>
      <c r="T11" s="153">
        <f>$C11*INDEX(Curves!$D$8:$D$68,T$4-$B11+1)</f>
        <v/>
      </c>
      <c r="U11" s="153">
        <f>$C11*INDEX(Curves!$D$8:$D$68,U$4-$B11+1)</f>
        <v/>
      </c>
      <c r="V11" s="153">
        <f>$C11*INDEX(Curves!$D$8:$D$68,V$4-$B11+1)</f>
        <v/>
      </c>
      <c r="W11" s="153">
        <f>$C11*INDEX(Curves!$D$8:$D$68,W$4-$B11+1)</f>
        <v/>
      </c>
      <c r="X11" s="153">
        <f>$C11*INDEX(Curves!$D$8:$D$68,X$4-$B11+1)</f>
        <v/>
      </c>
      <c r="Y11" s="153">
        <f>$C11*INDEX(Curves!$D$8:$D$68,Y$4-$B11+1)</f>
        <v/>
      </c>
      <c r="Z11" s="153">
        <f>$C11*INDEX(Curves!$D$8:$D$68,Z$4-$B11+1)</f>
        <v/>
      </c>
      <c r="AA11" s="153">
        <f>$C11*INDEX(Curves!$D$8:$D$68,AA$4-$B11+1)</f>
        <v/>
      </c>
      <c r="AB11" s="153">
        <f>$C11*INDEX(Curves!$D$8:$D$68,AB$4-$B11+1)</f>
        <v/>
      </c>
      <c r="AC11" s="153">
        <f>$C11*INDEX(Curves!$D$8:$D$68,AC$4-$B11+1)</f>
        <v/>
      </c>
      <c r="AD11" s="153">
        <f>$C11*INDEX(Curves!$D$8:$D$68,AD$4-$B11+1)</f>
        <v/>
      </c>
      <c r="AE11" s="153">
        <f>$C11*INDEX(Curves!$D$8:$D$68,AE$4-$B11+1)</f>
        <v/>
      </c>
      <c r="AF11" s="153">
        <f>$C11*INDEX(Curves!$D$8:$D$68,AF$4-$B11+1)</f>
        <v/>
      </c>
      <c r="AG11" s="153">
        <f>$C11*INDEX(Curves!$D$8:$D$68,AG$4-$B11+1)</f>
        <v/>
      </c>
      <c r="AH11" s="153">
        <f>$C11*INDEX(Curves!$D$8:$D$68,AH$4-$B11+1)</f>
        <v/>
      </c>
      <c r="AI11" s="153">
        <f>$C11*INDEX(Curves!$D$8:$D$68,AI$4-$B11+1)</f>
        <v/>
      </c>
      <c r="AJ11" s="153">
        <f>$C11*INDEX(Curves!$D$8:$D$68,AJ$4-$B11+1)</f>
        <v/>
      </c>
      <c r="AK11" s="153">
        <f>$C11*INDEX(Curves!$D$8:$D$68,AK$4-$B11+1)</f>
        <v/>
      </c>
      <c r="AL11" s="153">
        <f>$C11*INDEX(Curves!$D$8:$D$68,AL$4-$B11+1)</f>
        <v/>
      </c>
      <c r="AM11" s="153">
        <f>$C11*INDEX(Curves!$D$8:$D$68,AM$4-$B11+1)</f>
        <v/>
      </c>
      <c r="AN11" s="153">
        <f>$C11*INDEX(Curves!$D$8:$D$68,AN$4-$B11+1)</f>
        <v/>
      </c>
      <c r="AO11" s="153">
        <f>$C11*INDEX(Curves!$D$8:$D$68,AO$4-$B11+1)</f>
        <v/>
      </c>
      <c r="AP11" s="153">
        <f>$C11*INDEX(Curves!$D$8:$D$68,AP$4-$B11+1)</f>
        <v/>
      </c>
      <c r="AQ11" s="153">
        <f>$C11*INDEX(Curves!$D$8:$D$68,AQ$4-$B11+1)</f>
        <v/>
      </c>
      <c r="AR11" s="153">
        <f>$C11*INDEX(Curves!$D$8:$D$68,AR$4-$B11+1)</f>
        <v/>
      </c>
      <c r="AS11" s="153">
        <f>$C11*INDEX(Curves!$D$8:$D$68,AS$4-$B11+1)</f>
        <v/>
      </c>
      <c r="AT11" s="153">
        <f>$C11*INDEX(Curves!$D$8:$D$68,AT$4-$B11+1)</f>
        <v/>
      </c>
      <c r="AU11" s="153">
        <f>$C11*INDEX(Curves!$D$8:$D$68,AU$4-$B11+1)</f>
        <v/>
      </c>
      <c r="AV11" s="153">
        <f>$C11*INDEX(Curves!$D$8:$D$68,AV$4-$B11+1)</f>
        <v/>
      </c>
      <c r="AW11" s="153">
        <f>$C11*INDEX(Curves!$D$8:$D$68,AW$4-$B11+1)</f>
        <v/>
      </c>
      <c r="AX11" s="153">
        <f>$C11*INDEX(Curves!$D$8:$D$68,AX$4-$B11+1)</f>
        <v/>
      </c>
      <c r="AY11" s="153">
        <f>$C11*INDEX(Curves!$D$8:$D$68,AY$4-$B11+1)</f>
        <v/>
      </c>
      <c r="AZ11" s="153">
        <f>$C11*INDEX(Curves!$D$8:$D$68,AZ$4-$B11+1)</f>
        <v/>
      </c>
      <c r="BA11" s="153">
        <f>$C11*INDEX(Curves!$D$8:$D$68,BA$4-$B11+1)</f>
        <v/>
      </c>
      <c r="BB11" s="153">
        <f>$C11*INDEX(Curves!$D$8:$D$68,BB$4-$B11+1)</f>
        <v/>
      </c>
      <c r="BC11" s="153">
        <f>$C11*INDEX(Curves!$D$8:$D$68,BC$4-$B11+1)</f>
        <v/>
      </c>
      <c r="BD11" s="153">
        <f>$C11*INDEX(Curves!$D$8:$D$68,BD$4-$B11+1)</f>
        <v/>
      </c>
      <c r="BE11" s="153">
        <f>$C11*INDEX(Curves!$D$8:$D$68,BE$4-$B11+1)</f>
        <v/>
      </c>
      <c r="BF11" s="153">
        <f>$C11*INDEX(Curves!$D$8:$D$68,BF$4-$B11+1)</f>
        <v/>
      </c>
      <c r="BG11" s="153">
        <f>$C11*INDEX(Curves!$D$8:$D$68,BG$4-$B11+1)</f>
        <v/>
      </c>
      <c r="BH11" s="153">
        <f>$C11*INDEX(Curves!$D$8:$D$68,BH$4-$B11+1)</f>
        <v/>
      </c>
      <c r="BI11" s="153">
        <f>$C11*INDEX(Curves!$D$8:$D$68,BI$4-$B11+1)</f>
        <v/>
      </c>
      <c r="BJ11" s="153">
        <f>$C11*INDEX(Curves!$D$8:$D$68,BJ$4-$B11+1)</f>
        <v/>
      </c>
      <c r="BK11" s="153">
        <f>$C11*INDEX(Curves!$D$8:$D$68,BK$4-$B11+1)</f>
        <v/>
      </c>
      <c r="BL11" s="153">
        <f>$C11*INDEX(Curves!$D$8:$D$68,BL$4-$B11+1)</f>
        <v/>
      </c>
    </row>
    <row r="12">
      <c r="A12" s="147" t="inlineStr">
        <is>
          <t>Cohort month 3</t>
        </is>
      </c>
      <c r="B12" s="147" t="n">
        <v>3</v>
      </c>
      <c r="C12" s="41">
        <f>INDEX(Ops!$E$10:$BL$10,1,$B12)</f>
        <v/>
      </c>
      <c r="H12" s="153">
        <f>$C12*INDEX(Curves!$D$8:$D$68,H$4-$B12+1)</f>
        <v/>
      </c>
      <c r="I12" s="153">
        <f>$C12*INDEX(Curves!$D$8:$D$68,I$4-$B12+1)</f>
        <v/>
      </c>
      <c r="J12" s="153">
        <f>$C12*INDEX(Curves!$D$8:$D$68,J$4-$B12+1)</f>
        <v/>
      </c>
      <c r="K12" s="153">
        <f>$C12*INDEX(Curves!$D$8:$D$68,K$4-$B12+1)</f>
        <v/>
      </c>
      <c r="L12" s="153">
        <f>$C12*INDEX(Curves!$D$8:$D$68,L$4-$B12+1)</f>
        <v/>
      </c>
      <c r="M12" s="153">
        <f>$C12*INDEX(Curves!$D$8:$D$68,M$4-$B12+1)</f>
        <v/>
      </c>
      <c r="N12" s="153">
        <f>$C12*INDEX(Curves!$D$8:$D$68,N$4-$B12+1)</f>
        <v/>
      </c>
      <c r="O12" s="153">
        <f>$C12*INDEX(Curves!$D$8:$D$68,O$4-$B12+1)</f>
        <v/>
      </c>
      <c r="P12" s="153">
        <f>$C12*INDEX(Curves!$D$8:$D$68,P$4-$B12+1)</f>
        <v/>
      </c>
      <c r="Q12" s="153">
        <f>$C12*INDEX(Curves!$D$8:$D$68,Q$4-$B12+1)</f>
        <v/>
      </c>
      <c r="R12" s="153">
        <f>$C12*INDEX(Curves!$D$8:$D$68,R$4-$B12+1)</f>
        <v/>
      </c>
      <c r="S12" s="153">
        <f>$C12*INDEX(Curves!$D$8:$D$68,S$4-$B12+1)</f>
        <v/>
      </c>
      <c r="T12" s="153">
        <f>$C12*INDEX(Curves!$D$8:$D$68,T$4-$B12+1)</f>
        <v/>
      </c>
      <c r="U12" s="153">
        <f>$C12*INDEX(Curves!$D$8:$D$68,U$4-$B12+1)</f>
        <v/>
      </c>
      <c r="V12" s="153">
        <f>$C12*INDEX(Curves!$D$8:$D$68,V$4-$B12+1)</f>
        <v/>
      </c>
      <c r="W12" s="153">
        <f>$C12*INDEX(Curves!$D$8:$D$68,W$4-$B12+1)</f>
        <v/>
      </c>
      <c r="X12" s="153">
        <f>$C12*INDEX(Curves!$D$8:$D$68,X$4-$B12+1)</f>
        <v/>
      </c>
      <c r="Y12" s="153">
        <f>$C12*INDEX(Curves!$D$8:$D$68,Y$4-$B12+1)</f>
        <v/>
      </c>
      <c r="Z12" s="153">
        <f>$C12*INDEX(Curves!$D$8:$D$68,Z$4-$B12+1)</f>
        <v/>
      </c>
      <c r="AA12" s="153">
        <f>$C12*INDEX(Curves!$D$8:$D$68,AA$4-$B12+1)</f>
        <v/>
      </c>
      <c r="AB12" s="153">
        <f>$C12*INDEX(Curves!$D$8:$D$68,AB$4-$B12+1)</f>
        <v/>
      </c>
      <c r="AC12" s="153">
        <f>$C12*INDEX(Curves!$D$8:$D$68,AC$4-$B12+1)</f>
        <v/>
      </c>
      <c r="AD12" s="153">
        <f>$C12*INDEX(Curves!$D$8:$D$68,AD$4-$B12+1)</f>
        <v/>
      </c>
      <c r="AE12" s="153">
        <f>$C12*INDEX(Curves!$D$8:$D$68,AE$4-$B12+1)</f>
        <v/>
      </c>
      <c r="AF12" s="153">
        <f>$C12*INDEX(Curves!$D$8:$D$68,AF$4-$B12+1)</f>
        <v/>
      </c>
      <c r="AG12" s="153">
        <f>$C12*INDEX(Curves!$D$8:$D$68,AG$4-$B12+1)</f>
        <v/>
      </c>
      <c r="AH12" s="153">
        <f>$C12*INDEX(Curves!$D$8:$D$68,AH$4-$B12+1)</f>
        <v/>
      </c>
      <c r="AI12" s="153">
        <f>$C12*INDEX(Curves!$D$8:$D$68,AI$4-$B12+1)</f>
        <v/>
      </c>
      <c r="AJ12" s="153">
        <f>$C12*INDEX(Curves!$D$8:$D$68,AJ$4-$B12+1)</f>
        <v/>
      </c>
      <c r="AK12" s="153">
        <f>$C12*INDEX(Curves!$D$8:$D$68,AK$4-$B12+1)</f>
        <v/>
      </c>
      <c r="AL12" s="153">
        <f>$C12*INDEX(Curves!$D$8:$D$68,AL$4-$B12+1)</f>
        <v/>
      </c>
      <c r="AM12" s="153">
        <f>$C12*INDEX(Curves!$D$8:$D$68,AM$4-$B12+1)</f>
        <v/>
      </c>
      <c r="AN12" s="153">
        <f>$C12*INDEX(Curves!$D$8:$D$68,AN$4-$B12+1)</f>
        <v/>
      </c>
      <c r="AO12" s="153">
        <f>$C12*INDEX(Curves!$D$8:$D$68,AO$4-$B12+1)</f>
        <v/>
      </c>
      <c r="AP12" s="153">
        <f>$C12*INDEX(Curves!$D$8:$D$68,AP$4-$B12+1)</f>
        <v/>
      </c>
      <c r="AQ12" s="153">
        <f>$C12*INDEX(Curves!$D$8:$D$68,AQ$4-$B12+1)</f>
        <v/>
      </c>
      <c r="AR12" s="153">
        <f>$C12*INDEX(Curves!$D$8:$D$68,AR$4-$B12+1)</f>
        <v/>
      </c>
      <c r="AS12" s="153">
        <f>$C12*INDEX(Curves!$D$8:$D$68,AS$4-$B12+1)</f>
        <v/>
      </c>
      <c r="AT12" s="153">
        <f>$C12*INDEX(Curves!$D$8:$D$68,AT$4-$B12+1)</f>
        <v/>
      </c>
      <c r="AU12" s="153">
        <f>$C12*INDEX(Curves!$D$8:$D$68,AU$4-$B12+1)</f>
        <v/>
      </c>
      <c r="AV12" s="153">
        <f>$C12*INDEX(Curves!$D$8:$D$68,AV$4-$B12+1)</f>
        <v/>
      </c>
      <c r="AW12" s="153">
        <f>$C12*INDEX(Curves!$D$8:$D$68,AW$4-$B12+1)</f>
        <v/>
      </c>
      <c r="AX12" s="153">
        <f>$C12*INDEX(Curves!$D$8:$D$68,AX$4-$B12+1)</f>
        <v/>
      </c>
      <c r="AY12" s="153">
        <f>$C12*INDEX(Curves!$D$8:$D$68,AY$4-$B12+1)</f>
        <v/>
      </c>
      <c r="AZ12" s="153">
        <f>$C12*INDEX(Curves!$D$8:$D$68,AZ$4-$B12+1)</f>
        <v/>
      </c>
      <c r="BA12" s="153">
        <f>$C12*INDEX(Curves!$D$8:$D$68,BA$4-$B12+1)</f>
        <v/>
      </c>
      <c r="BB12" s="153">
        <f>$C12*INDEX(Curves!$D$8:$D$68,BB$4-$B12+1)</f>
        <v/>
      </c>
      <c r="BC12" s="153">
        <f>$C12*INDEX(Curves!$D$8:$D$68,BC$4-$B12+1)</f>
        <v/>
      </c>
      <c r="BD12" s="153">
        <f>$C12*INDEX(Curves!$D$8:$D$68,BD$4-$B12+1)</f>
        <v/>
      </c>
      <c r="BE12" s="153">
        <f>$C12*INDEX(Curves!$D$8:$D$68,BE$4-$B12+1)</f>
        <v/>
      </c>
      <c r="BF12" s="153">
        <f>$C12*INDEX(Curves!$D$8:$D$68,BF$4-$B12+1)</f>
        <v/>
      </c>
      <c r="BG12" s="153">
        <f>$C12*INDEX(Curves!$D$8:$D$68,BG$4-$B12+1)</f>
        <v/>
      </c>
      <c r="BH12" s="153">
        <f>$C12*INDEX(Curves!$D$8:$D$68,BH$4-$B12+1)</f>
        <v/>
      </c>
      <c r="BI12" s="153">
        <f>$C12*INDEX(Curves!$D$8:$D$68,BI$4-$B12+1)</f>
        <v/>
      </c>
      <c r="BJ12" s="153">
        <f>$C12*INDEX(Curves!$D$8:$D$68,BJ$4-$B12+1)</f>
        <v/>
      </c>
      <c r="BK12" s="153">
        <f>$C12*INDEX(Curves!$D$8:$D$68,BK$4-$B12+1)</f>
        <v/>
      </c>
      <c r="BL12" s="153">
        <f>$C12*INDEX(Curves!$D$8:$D$68,BL$4-$B12+1)</f>
        <v/>
      </c>
    </row>
    <row r="13">
      <c r="A13" s="147" t="inlineStr">
        <is>
          <t>Cohort month 4</t>
        </is>
      </c>
      <c r="B13" s="147" t="n">
        <v>4</v>
      </c>
      <c r="C13" s="41">
        <f>INDEX(Ops!$E$10:$BL$10,1,$B13)</f>
        <v/>
      </c>
      <c r="I13" s="153">
        <f>$C13*INDEX(Curves!$D$8:$D$68,I$4-$B13+1)</f>
        <v/>
      </c>
      <c r="J13" s="153">
        <f>$C13*INDEX(Curves!$D$8:$D$68,J$4-$B13+1)</f>
        <v/>
      </c>
      <c r="K13" s="153">
        <f>$C13*INDEX(Curves!$D$8:$D$68,K$4-$B13+1)</f>
        <v/>
      </c>
      <c r="L13" s="153">
        <f>$C13*INDEX(Curves!$D$8:$D$68,L$4-$B13+1)</f>
        <v/>
      </c>
      <c r="M13" s="153">
        <f>$C13*INDEX(Curves!$D$8:$D$68,M$4-$B13+1)</f>
        <v/>
      </c>
      <c r="N13" s="153">
        <f>$C13*INDEX(Curves!$D$8:$D$68,N$4-$B13+1)</f>
        <v/>
      </c>
      <c r="O13" s="153">
        <f>$C13*INDEX(Curves!$D$8:$D$68,O$4-$B13+1)</f>
        <v/>
      </c>
      <c r="P13" s="153">
        <f>$C13*INDEX(Curves!$D$8:$D$68,P$4-$B13+1)</f>
        <v/>
      </c>
      <c r="Q13" s="153">
        <f>$C13*INDEX(Curves!$D$8:$D$68,Q$4-$B13+1)</f>
        <v/>
      </c>
      <c r="R13" s="153">
        <f>$C13*INDEX(Curves!$D$8:$D$68,R$4-$B13+1)</f>
        <v/>
      </c>
      <c r="S13" s="153">
        <f>$C13*INDEX(Curves!$D$8:$D$68,S$4-$B13+1)</f>
        <v/>
      </c>
      <c r="T13" s="153">
        <f>$C13*INDEX(Curves!$D$8:$D$68,T$4-$B13+1)</f>
        <v/>
      </c>
      <c r="U13" s="153">
        <f>$C13*INDEX(Curves!$D$8:$D$68,U$4-$B13+1)</f>
        <v/>
      </c>
      <c r="V13" s="153">
        <f>$C13*INDEX(Curves!$D$8:$D$68,V$4-$B13+1)</f>
        <v/>
      </c>
      <c r="W13" s="153">
        <f>$C13*INDEX(Curves!$D$8:$D$68,W$4-$B13+1)</f>
        <v/>
      </c>
      <c r="X13" s="153">
        <f>$C13*INDEX(Curves!$D$8:$D$68,X$4-$B13+1)</f>
        <v/>
      </c>
      <c r="Y13" s="153">
        <f>$C13*INDEX(Curves!$D$8:$D$68,Y$4-$B13+1)</f>
        <v/>
      </c>
      <c r="Z13" s="153">
        <f>$C13*INDEX(Curves!$D$8:$D$68,Z$4-$B13+1)</f>
        <v/>
      </c>
      <c r="AA13" s="153">
        <f>$C13*INDEX(Curves!$D$8:$D$68,AA$4-$B13+1)</f>
        <v/>
      </c>
      <c r="AB13" s="153">
        <f>$C13*INDEX(Curves!$D$8:$D$68,AB$4-$B13+1)</f>
        <v/>
      </c>
      <c r="AC13" s="153">
        <f>$C13*INDEX(Curves!$D$8:$D$68,AC$4-$B13+1)</f>
        <v/>
      </c>
      <c r="AD13" s="153">
        <f>$C13*INDEX(Curves!$D$8:$D$68,AD$4-$B13+1)</f>
        <v/>
      </c>
      <c r="AE13" s="153">
        <f>$C13*INDEX(Curves!$D$8:$D$68,AE$4-$B13+1)</f>
        <v/>
      </c>
      <c r="AF13" s="153">
        <f>$C13*INDEX(Curves!$D$8:$D$68,AF$4-$B13+1)</f>
        <v/>
      </c>
      <c r="AG13" s="153">
        <f>$C13*INDEX(Curves!$D$8:$D$68,AG$4-$B13+1)</f>
        <v/>
      </c>
      <c r="AH13" s="153">
        <f>$C13*INDEX(Curves!$D$8:$D$68,AH$4-$B13+1)</f>
        <v/>
      </c>
      <c r="AI13" s="153">
        <f>$C13*INDEX(Curves!$D$8:$D$68,AI$4-$B13+1)</f>
        <v/>
      </c>
      <c r="AJ13" s="153">
        <f>$C13*INDEX(Curves!$D$8:$D$68,AJ$4-$B13+1)</f>
        <v/>
      </c>
      <c r="AK13" s="153">
        <f>$C13*INDEX(Curves!$D$8:$D$68,AK$4-$B13+1)</f>
        <v/>
      </c>
      <c r="AL13" s="153">
        <f>$C13*INDEX(Curves!$D$8:$D$68,AL$4-$B13+1)</f>
        <v/>
      </c>
      <c r="AM13" s="153">
        <f>$C13*INDEX(Curves!$D$8:$D$68,AM$4-$B13+1)</f>
        <v/>
      </c>
      <c r="AN13" s="153">
        <f>$C13*INDEX(Curves!$D$8:$D$68,AN$4-$B13+1)</f>
        <v/>
      </c>
      <c r="AO13" s="153">
        <f>$C13*INDEX(Curves!$D$8:$D$68,AO$4-$B13+1)</f>
        <v/>
      </c>
      <c r="AP13" s="153">
        <f>$C13*INDEX(Curves!$D$8:$D$68,AP$4-$B13+1)</f>
        <v/>
      </c>
      <c r="AQ13" s="153">
        <f>$C13*INDEX(Curves!$D$8:$D$68,AQ$4-$B13+1)</f>
        <v/>
      </c>
      <c r="AR13" s="153">
        <f>$C13*INDEX(Curves!$D$8:$D$68,AR$4-$B13+1)</f>
        <v/>
      </c>
      <c r="AS13" s="153">
        <f>$C13*INDEX(Curves!$D$8:$D$68,AS$4-$B13+1)</f>
        <v/>
      </c>
      <c r="AT13" s="153">
        <f>$C13*INDEX(Curves!$D$8:$D$68,AT$4-$B13+1)</f>
        <v/>
      </c>
      <c r="AU13" s="153">
        <f>$C13*INDEX(Curves!$D$8:$D$68,AU$4-$B13+1)</f>
        <v/>
      </c>
      <c r="AV13" s="153">
        <f>$C13*INDEX(Curves!$D$8:$D$68,AV$4-$B13+1)</f>
        <v/>
      </c>
      <c r="AW13" s="153">
        <f>$C13*INDEX(Curves!$D$8:$D$68,AW$4-$B13+1)</f>
        <v/>
      </c>
      <c r="AX13" s="153">
        <f>$C13*INDEX(Curves!$D$8:$D$68,AX$4-$B13+1)</f>
        <v/>
      </c>
      <c r="AY13" s="153">
        <f>$C13*INDEX(Curves!$D$8:$D$68,AY$4-$B13+1)</f>
        <v/>
      </c>
      <c r="AZ13" s="153">
        <f>$C13*INDEX(Curves!$D$8:$D$68,AZ$4-$B13+1)</f>
        <v/>
      </c>
      <c r="BA13" s="153">
        <f>$C13*INDEX(Curves!$D$8:$D$68,BA$4-$B13+1)</f>
        <v/>
      </c>
      <c r="BB13" s="153">
        <f>$C13*INDEX(Curves!$D$8:$D$68,BB$4-$B13+1)</f>
        <v/>
      </c>
      <c r="BC13" s="153">
        <f>$C13*INDEX(Curves!$D$8:$D$68,BC$4-$B13+1)</f>
        <v/>
      </c>
      <c r="BD13" s="153">
        <f>$C13*INDEX(Curves!$D$8:$D$68,BD$4-$B13+1)</f>
        <v/>
      </c>
      <c r="BE13" s="153">
        <f>$C13*INDEX(Curves!$D$8:$D$68,BE$4-$B13+1)</f>
        <v/>
      </c>
      <c r="BF13" s="153">
        <f>$C13*INDEX(Curves!$D$8:$D$68,BF$4-$B13+1)</f>
        <v/>
      </c>
      <c r="BG13" s="153">
        <f>$C13*INDEX(Curves!$D$8:$D$68,BG$4-$B13+1)</f>
        <v/>
      </c>
      <c r="BH13" s="153">
        <f>$C13*INDEX(Curves!$D$8:$D$68,BH$4-$B13+1)</f>
        <v/>
      </c>
      <c r="BI13" s="153">
        <f>$C13*INDEX(Curves!$D$8:$D$68,BI$4-$B13+1)</f>
        <v/>
      </c>
      <c r="BJ13" s="153">
        <f>$C13*INDEX(Curves!$D$8:$D$68,BJ$4-$B13+1)</f>
        <v/>
      </c>
      <c r="BK13" s="153">
        <f>$C13*INDEX(Curves!$D$8:$D$68,BK$4-$B13+1)</f>
        <v/>
      </c>
      <c r="BL13" s="153">
        <f>$C13*INDEX(Curves!$D$8:$D$68,BL$4-$B13+1)</f>
        <v/>
      </c>
    </row>
    <row r="14">
      <c r="A14" s="147" t="inlineStr">
        <is>
          <t>Cohort month 5</t>
        </is>
      </c>
      <c r="B14" s="147" t="n">
        <v>5</v>
      </c>
      <c r="C14" s="41">
        <f>INDEX(Ops!$E$10:$BL$10,1,$B14)</f>
        <v/>
      </c>
      <c r="J14" s="153">
        <f>$C14*INDEX(Curves!$D$8:$D$68,J$4-$B14+1)</f>
        <v/>
      </c>
      <c r="K14" s="153">
        <f>$C14*INDEX(Curves!$D$8:$D$68,K$4-$B14+1)</f>
        <v/>
      </c>
      <c r="L14" s="153">
        <f>$C14*INDEX(Curves!$D$8:$D$68,L$4-$B14+1)</f>
        <v/>
      </c>
      <c r="M14" s="153">
        <f>$C14*INDEX(Curves!$D$8:$D$68,M$4-$B14+1)</f>
        <v/>
      </c>
      <c r="N14" s="153">
        <f>$C14*INDEX(Curves!$D$8:$D$68,N$4-$B14+1)</f>
        <v/>
      </c>
      <c r="O14" s="153">
        <f>$C14*INDEX(Curves!$D$8:$D$68,O$4-$B14+1)</f>
        <v/>
      </c>
      <c r="P14" s="153">
        <f>$C14*INDEX(Curves!$D$8:$D$68,P$4-$B14+1)</f>
        <v/>
      </c>
      <c r="Q14" s="153">
        <f>$C14*INDEX(Curves!$D$8:$D$68,Q$4-$B14+1)</f>
        <v/>
      </c>
      <c r="R14" s="153">
        <f>$C14*INDEX(Curves!$D$8:$D$68,R$4-$B14+1)</f>
        <v/>
      </c>
      <c r="S14" s="153">
        <f>$C14*INDEX(Curves!$D$8:$D$68,S$4-$B14+1)</f>
        <v/>
      </c>
      <c r="T14" s="153">
        <f>$C14*INDEX(Curves!$D$8:$D$68,T$4-$B14+1)</f>
        <v/>
      </c>
      <c r="U14" s="153">
        <f>$C14*INDEX(Curves!$D$8:$D$68,U$4-$B14+1)</f>
        <v/>
      </c>
      <c r="V14" s="153">
        <f>$C14*INDEX(Curves!$D$8:$D$68,V$4-$B14+1)</f>
        <v/>
      </c>
      <c r="W14" s="153">
        <f>$C14*INDEX(Curves!$D$8:$D$68,W$4-$B14+1)</f>
        <v/>
      </c>
      <c r="X14" s="153">
        <f>$C14*INDEX(Curves!$D$8:$D$68,X$4-$B14+1)</f>
        <v/>
      </c>
      <c r="Y14" s="153">
        <f>$C14*INDEX(Curves!$D$8:$D$68,Y$4-$B14+1)</f>
        <v/>
      </c>
      <c r="Z14" s="153">
        <f>$C14*INDEX(Curves!$D$8:$D$68,Z$4-$B14+1)</f>
        <v/>
      </c>
      <c r="AA14" s="153">
        <f>$C14*INDEX(Curves!$D$8:$D$68,AA$4-$B14+1)</f>
        <v/>
      </c>
      <c r="AB14" s="153">
        <f>$C14*INDEX(Curves!$D$8:$D$68,AB$4-$B14+1)</f>
        <v/>
      </c>
      <c r="AC14" s="153">
        <f>$C14*INDEX(Curves!$D$8:$D$68,AC$4-$B14+1)</f>
        <v/>
      </c>
      <c r="AD14" s="153">
        <f>$C14*INDEX(Curves!$D$8:$D$68,AD$4-$B14+1)</f>
        <v/>
      </c>
      <c r="AE14" s="153">
        <f>$C14*INDEX(Curves!$D$8:$D$68,AE$4-$B14+1)</f>
        <v/>
      </c>
      <c r="AF14" s="153">
        <f>$C14*INDEX(Curves!$D$8:$D$68,AF$4-$B14+1)</f>
        <v/>
      </c>
      <c r="AG14" s="153">
        <f>$C14*INDEX(Curves!$D$8:$D$68,AG$4-$B14+1)</f>
        <v/>
      </c>
      <c r="AH14" s="153">
        <f>$C14*INDEX(Curves!$D$8:$D$68,AH$4-$B14+1)</f>
        <v/>
      </c>
      <c r="AI14" s="153">
        <f>$C14*INDEX(Curves!$D$8:$D$68,AI$4-$B14+1)</f>
        <v/>
      </c>
      <c r="AJ14" s="153">
        <f>$C14*INDEX(Curves!$D$8:$D$68,AJ$4-$B14+1)</f>
        <v/>
      </c>
      <c r="AK14" s="153">
        <f>$C14*INDEX(Curves!$D$8:$D$68,AK$4-$B14+1)</f>
        <v/>
      </c>
      <c r="AL14" s="153">
        <f>$C14*INDEX(Curves!$D$8:$D$68,AL$4-$B14+1)</f>
        <v/>
      </c>
      <c r="AM14" s="153">
        <f>$C14*INDEX(Curves!$D$8:$D$68,AM$4-$B14+1)</f>
        <v/>
      </c>
      <c r="AN14" s="153">
        <f>$C14*INDEX(Curves!$D$8:$D$68,AN$4-$B14+1)</f>
        <v/>
      </c>
      <c r="AO14" s="153">
        <f>$C14*INDEX(Curves!$D$8:$D$68,AO$4-$B14+1)</f>
        <v/>
      </c>
      <c r="AP14" s="153">
        <f>$C14*INDEX(Curves!$D$8:$D$68,AP$4-$B14+1)</f>
        <v/>
      </c>
      <c r="AQ14" s="153">
        <f>$C14*INDEX(Curves!$D$8:$D$68,AQ$4-$B14+1)</f>
        <v/>
      </c>
      <c r="AR14" s="153">
        <f>$C14*INDEX(Curves!$D$8:$D$68,AR$4-$B14+1)</f>
        <v/>
      </c>
      <c r="AS14" s="153">
        <f>$C14*INDEX(Curves!$D$8:$D$68,AS$4-$B14+1)</f>
        <v/>
      </c>
      <c r="AT14" s="153">
        <f>$C14*INDEX(Curves!$D$8:$D$68,AT$4-$B14+1)</f>
        <v/>
      </c>
      <c r="AU14" s="153">
        <f>$C14*INDEX(Curves!$D$8:$D$68,AU$4-$B14+1)</f>
        <v/>
      </c>
      <c r="AV14" s="153">
        <f>$C14*INDEX(Curves!$D$8:$D$68,AV$4-$B14+1)</f>
        <v/>
      </c>
      <c r="AW14" s="153">
        <f>$C14*INDEX(Curves!$D$8:$D$68,AW$4-$B14+1)</f>
        <v/>
      </c>
      <c r="AX14" s="153">
        <f>$C14*INDEX(Curves!$D$8:$D$68,AX$4-$B14+1)</f>
        <v/>
      </c>
      <c r="AY14" s="153">
        <f>$C14*INDEX(Curves!$D$8:$D$68,AY$4-$B14+1)</f>
        <v/>
      </c>
      <c r="AZ14" s="153">
        <f>$C14*INDEX(Curves!$D$8:$D$68,AZ$4-$B14+1)</f>
        <v/>
      </c>
      <c r="BA14" s="153">
        <f>$C14*INDEX(Curves!$D$8:$D$68,BA$4-$B14+1)</f>
        <v/>
      </c>
      <c r="BB14" s="153">
        <f>$C14*INDEX(Curves!$D$8:$D$68,BB$4-$B14+1)</f>
        <v/>
      </c>
      <c r="BC14" s="153">
        <f>$C14*INDEX(Curves!$D$8:$D$68,BC$4-$B14+1)</f>
        <v/>
      </c>
      <c r="BD14" s="153">
        <f>$C14*INDEX(Curves!$D$8:$D$68,BD$4-$B14+1)</f>
        <v/>
      </c>
      <c r="BE14" s="153">
        <f>$C14*INDEX(Curves!$D$8:$D$68,BE$4-$B14+1)</f>
        <v/>
      </c>
      <c r="BF14" s="153">
        <f>$C14*INDEX(Curves!$D$8:$D$68,BF$4-$B14+1)</f>
        <v/>
      </c>
      <c r="BG14" s="153">
        <f>$C14*INDEX(Curves!$D$8:$D$68,BG$4-$B14+1)</f>
        <v/>
      </c>
      <c r="BH14" s="153">
        <f>$C14*INDEX(Curves!$D$8:$D$68,BH$4-$B14+1)</f>
        <v/>
      </c>
      <c r="BI14" s="153">
        <f>$C14*INDEX(Curves!$D$8:$D$68,BI$4-$B14+1)</f>
        <v/>
      </c>
      <c r="BJ14" s="153">
        <f>$C14*INDEX(Curves!$D$8:$D$68,BJ$4-$B14+1)</f>
        <v/>
      </c>
      <c r="BK14" s="153">
        <f>$C14*INDEX(Curves!$D$8:$D$68,BK$4-$B14+1)</f>
        <v/>
      </c>
      <c r="BL14" s="153">
        <f>$C14*INDEX(Curves!$D$8:$D$68,BL$4-$B14+1)</f>
        <v/>
      </c>
    </row>
    <row r="15">
      <c r="A15" s="147" t="inlineStr">
        <is>
          <t>Cohort month 6</t>
        </is>
      </c>
      <c r="B15" s="147" t="n">
        <v>6</v>
      </c>
      <c r="C15" s="41">
        <f>INDEX(Ops!$E$10:$BL$10,1,$B15)</f>
        <v/>
      </c>
      <c r="K15" s="153">
        <f>$C15*INDEX(Curves!$D$8:$D$68,K$4-$B15+1)</f>
        <v/>
      </c>
      <c r="L15" s="153">
        <f>$C15*INDEX(Curves!$D$8:$D$68,L$4-$B15+1)</f>
        <v/>
      </c>
      <c r="M15" s="153">
        <f>$C15*INDEX(Curves!$D$8:$D$68,M$4-$B15+1)</f>
        <v/>
      </c>
      <c r="N15" s="153">
        <f>$C15*INDEX(Curves!$D$8:$D$68,N$4-$B15+1)</f>
        <v/>
      </c>
      <c r="O15" s="153">
        <f>$C15*INDEX(Curves!$D$8:$D$68,O$4-$B15+1)</f>
        <v/>
      </c>
      <c r="P15" s="153">
        <f>$C15*INDEX(Curves!$D$8:$D$68,P$4-$B15+1)</f>
        <v/>
      </c>
      <c r="Q15" s="153">
        <f>$C15*INDEX(Curves!$D$8:$D$68,Q$4-$B15+1)</f>
        <v/>
      </c>
      <c r="R15" s="153">
        <f>$C15*INDEX(Curves!$D$8:$D$68,R$4-$B15+1)</f>
        <v/>
      </c>
      <c r="S15" s="153">
        <f>$C15*INDEX(Curves!$D$8:$D$68,S$4-$B15+1)</f>
        <v/>
      </c>
      <c r="T15" s="153">
        <f>$C15*INDEX(Curves!$D$8:$D$68,T$4-$B15+1)</f>
        <v/>
      </c>
      <c r="U15" s="153">
        <f>$C15*INDEX(Curves!$D$8:$D$68,U$4-$B15+1)</f>
        <v/>
      </c>
      <c r="V15" s="153">
        <f>$C15*INDEX(Curves!$D$8:$D$68,V$4-$B15+1)</f>
        <v/>
      </c>
      <c r="W15" s="153">
        <f>$C15*INDEX(Curves!$D$8:$D$68,W$4-$B15+1)</f>
        <v/>
      </c>
      <c r="X15" s="153">
        <f>$C15*INDEX(Curves!$D$8:$D$68,X$4-$B15+1)</f>
        <v/>
      </c>
      <c r="Y15" s="153">
        <f>$C15*INDEX(Curves!$D$8:$D$68,Y$4-$B15+1)</f>
        <v/>
      </c>
      <c r="Z15" s="153">
        <f>$C15*INDEX(Curves!$D$8:$D$68,Z$4-$B15+1)</f>
        <v/>
      </c>
      <c r="AA15" s="153">
        <f>$C15*INDEX(Curves!$D$8:$D$68,AA$4-$B15+1)</f>
        <v/>
      </c>
      <c r="AB15" s="153">
        <f>$C15*INDEX(Curves!$D$8:$D$68,AB$4-$B15+1)</f>
        <v/>
      </c>
      <c r="AC15" s="153">
        <f>$C15*INDEX(Curves!$D$8:$D$68,AC$4-$B15+1)</f>
        <v/>
      </c>
      <c r="AD15" s="153">
        <f>$C15*INDEX(Curves!$D$8:$D$68,AD$4-$B15+1)</f>
        <v/>
      </c>
      <c r="AE15" s="153">
        <f>$C15*INDEX(Curves!$D$8:$D$68,AE$4-$B15+1)</f>
        <v/>
      </c>
      <c r="AF15" s="153">
        <f>$C15*INDEX(Curves!$D$8:$D$68,AF$4-$B15+1)</f>
        <v/>
      </c>
      <c r="AG15" s="153">
        <f>$C15*INDEX(Curves!$D$8:$D$68,AG$4-$B15+1)</f>
        <v/>
      </c>
      <c r="AH15" s="153">
        <f>$C15*INDEX(Curves!$D$8:$D$68,AH$4-$B15+1)</f>
        <v/>
      </c>
      <c r="AI15" s="153">
        <f>$C15*INDEX(Curves!$D$8:$D$68,AI$4-$B15+1)</f>
        <v/>
      </c>
      <c r="AJ15" s="153">
        <f>$C15*INDEX(Curves!$D$8:$D$68,AJ$4-$B15+1)</f>
        <v/>
      </c>
      <c r="AK15" s="153">
        <f>$C15*INDEX(Curves!$D$8:$D$68,AK$4-$B15+1)</f>
        <v/>
      </c>
      <c r="AL15" s="153">
        <f>$C15*INDEX(Curves!$D$8:$D$68,AL$4-$B15+1)</f>
        <v/>
      </c>
      <c r="AM15" s="153">
        <f>$C15*INDEX(Curves!$D$8:$D$68,AM$4-$B15+1)</f>
        <v/>
      </c>
      <c r="AN15" s="153">
        <f>$C15*INDEX(Curves!$D$8:$D$68,AN$4-$B15+1)</f>
        <v/>
      </c>
      <c r="AO15" s="153">
        <f>$C15*INDEX(Curves!$D$8:$D$68,AO$4-$B15+1)</f>
        <v/>
      </c>
      <c r="AP15" s="153">
        <f>$C15*INDEX(Curves!$D$8:$D$68,AP$4-$B15+1)</f>
        <v/>
      </c>
      <c r="AQ15" s="153">
        <f>$C15*INDEX(Curves!$D$8:$D$68,AQ$4-$B15+1)</f>
        <v/>
      </c>
      <c r="AR15" s="153">
        <f>$C15*INDEX(Curves!$D$8:$D$68,AR$4-$B15+1)</f>
        <v/>
      </c>
      <c r="AS15" s="153">
        <f>$C15*INDEX(Curves!$D$8:$D$68,AS$4-$B15+1)</f>
        <v/>
      </c>
      <c r="AT15" s="153">
        <f>$C15*INDEX(Curves!$D$8:$D$68,AT$4-$B15+1)</f>
        <v/>
      </c>
      <c r="AU15" s="153">
        <f>$C15*INDEX(Curves!$D$8:$D$68,AU$4-$B15+1)</f>
        <v/>
      </c>
      <c r="AV15" s="153">
        <f>$C15*INDEX(Curves!$D$8:$D$68,AV$4-$B15+1)</f>
        <v/>
      </c>
      <c r="AW15" s="153">
        <f>$C15*INDEX(Curves!$D$8:$D$68,AW$4-$B15+1)</f>
        <v/>
      </c>
      <c r="AX15" s="153">
        <f>$C15*INDEX(Curves!$D$8:$D$68,AX$4-$B15+1)</f>
        <v/>
      </c>
      <c r="AY15" s="153">
        <f>$C15*INDEX(Curves!$D$8:$D$68,AY$4-$B15+1)</f>
        <v/>
      </c>
      <c r="AZ15" s="153">
        <f>$C15*INDEX(Curves!$D$8:$D$68,AZ$4-$B15+1)</f>
        <v/>
      </c>
      <c r="BA15" s="153">
        <f>$C15*INDEX(Curves!$D$8:$D$68,BA$4-$B15+1)</f>
        <v/>
      </c>
      <c r="BB15" s="153">
        <f>$C15*INDEX(Curves!$D$8:$D$68,BB$4-$B15+1)</f>
        <v/>
      </c>
      <c r="BC15" s="153">
        <f>$C15*INDEX(Curves!$D$8:$D$68,BC$4-$B15+1)</f>
        <v/>
      </c>
      <c r="BD15" s="153">
        <f>$C15*INDEX(Curves!$D$8:$D$68,BD$4-$B15+1)</f>
        <v/>
      </c>
      <c r="BE15" s="153">
        <f>$C15*INDEX(Curves!$D$8:$D$68,BE$4-$B15+1)</f>
        <v/>
      </c>
      <c r="BF15" s="153">
        <f>$C15*INDEX(Curves!$D$8:$D$68,BF$4-$B15+1)</f>
        <v/>
      </c>
      <c r="BG15" s="153">
        <f>$C15*INDEX(Curves!$D$8:$D$68,BG$4-$B15+1)</f>
        <v/>
      </c>
      <c r="BH15" s="153">
        <f>$C15*INDEX(Curves!$D$8:$D$68,BH$4-$B15+1)</f>
        <v/>
      </c>
      <c r="BI15" s="153">
        <f>$C15*INDEX(Curves!$D$8:$D$68,BI$4-$B15+1)</f>
        <v/>
      </c>
      <c r="BJ15" s="153">
        <f>$C15*INDEX(Curves!$D$8:$D$68,BJ$4-$B15+1)</f>
        <v/>
      </c>
      <c r="BK15" s="153">
        <f>$C15*INDEX(Curves!$D$8:$D$68,BK$4-$B15+1)</f>
        <v/>
      </c>
      <c r="BL15" s="153">
        <f>$C15*INDEX(Curves!$D$8:$D$68,BL$4-$B15+1)</f>
        <v/>
      </c>
    </row>
    <row r="16">
      <c r="A16" s="147" t="inlineStr">
        <is>
          <t>Cohort month 7</t>
        </is>
      </c>
      <c r="B16" s="147" t="n">
        <v>7</v>
      </c>
      <c r="C16" s="41">
        <f>INDEX(Ops!$E$10:$BL$10,1,$B16)</f>
        <v/>
      </c>
      <c r="L16" s="153">
        <f>$C16*INDEX(Curves!$D$8:$D$68,L$4-$B16+1)</f>
        <v/>
      </c>
      <c r="M16" s="153">
        <f>$C16*INDEX(Curves!$D$8:$D$68,M$4-$B16+1)</f>
        <v/>
      </c>
      <c r="N16" s="153">
        <f>$C16*INDEX(Curves!$D$8:$D$68,N$4-$B16+1)</f>
        <v/>
      </c>
      <c r="O16" s="153">
        <f>$C16*INDEX(Curves!$D$8:$D$68,O$4-$B16+1)</f>
        <v/>
      </c>
      <c r="P16" s="153">
        <f>$C16*INDEX(Curves!$D$8:$D$68,P$4-$B16+1)</f>
        <v/>
      </c>
      <c r="Q16" s="153">
        <f>$C16*INDEX(Curves!$D$8:$D$68,Q$4-$B16+1)</f>
        <v/>
      </c>
      <c r="R16" s="153">
        <f>$C16*INDEX(Curves!$D$8:$D$68,R$4-$B16+1)</f>
        <v/>
      </c>
      <c r="S16" s="153">
        <f>$C16*INDEX(Curves!$D$8:$D$68,S$4-$B16+1)</f>
        <v/>
      </c>
      <c r="T16" s="153">
        <f>$C16*INDEX(Curves!$D$8:$D$68,T$4-$B16+1)</f>
        <v/>
      </c>
      <c r="U16" s="153">
        <f>$C16*INDEX(Curves!$D$8:$D$68,U$4-$B16+1)</f>
        <v/>
      </c>
      <c r="V16" s="153">
        <f>$C16*INDEX(Curves!$D$8:$D$68,V$4-$B16+1)</f>
        <v/>
      </c>
      <c r="W16" s="153">
        <f>$C16*INDEX(Curves!$D$8:$D$68,W$4-$B16+1)</f>
        <v/>
      </c>
      <c r="X16" s="153">
        <f>$C16*INDEX(Curves!$D$8:$D$68,X$4-$B16+1)</f>
        <v/>
      </c>
      <c r="Y16" s="153">
        <f>$C16*INDEX(Curves!$D$8:$D$68,Y$4-$B16+1)</f>
        <v/>
      </c>
      <c r="Z16" s="153">
        <f>$C16*INDEX(Curves!$D$8:$D$68,Z$4-$B16+1)</f>
        <v/>
      </c>
      <c r="AA16" s="153">
        <f>$C16*INDEX(Curves!$D$8:$D$68,AA$4-$B16+1)</f>
        <v/>
      </c>
      <c r="AB16" s="153">
        <f>$C16*INDEX(Curves!$D$8:$D$68,AB$4-$B16+1)</f>
        <v/>
      </c>
      <c r="AC16" s="153">
        <f>$C16*INDEX(Curves!$D$8:$D$68,AC$4-$B16+1)</f>
        <v/>
      </c>
      <c r="AD16" s="153">
        <f>$C16*INDEX(Curves!$D$8:$D$68,AD$4-$B16+1)</f>
        <v/>
      </c>
      <c r="AE16" s="153">
        <f>$C16*INDEX(Curves!$D$8:$D$68,AE$4-$B16+1)</f>
        <v/>
      </c>
      <c r="AF16" s="153">
        <f>$C16*INDEX(Curves!$D$8:$D$68,AF$4-$B16+1)</f>
        <v/>
      </c>
      <c r="AG16" s="153">
        <f>$C16*INDEX(Curves!$D$8:$D$68,AG$4-$B16+1)</f>
        <v/>
      </c>
      <c r="AH16" s="153">
        <f>$C16*INDEX(Curves!$D$8:$D$68,AH$4-$B16+1)</f>
        <v/>
      </c>
      <c r="AI16" s="153">
        <f>$C16*INDEX(Curves!$D$8:$D$68,AI$4-$B16+1)</f>
        <v/>
      </c>
      <c r="AJ16" s="153">
        <f>$C16*INDEX(Curves!$D$8:$D$68,AJ$4-$B16+1)</f>
        <v/>
      </c>
      <c r="AK16" s="153">
        <f>$C16*INDEX(Curves!$D$8:$D$68,AK$4-$B16+1)</f>
        <v/>
      </c>
      <c r="AL16" s="153">
        <f>$C16*INDEX(Curves!$D$8:$D$68,AL$4-$B16+1)</f>
        <v/>
      </c>
      <c r="AM16" s="153">
        <f>$C16*INDEX(Curves!$D$8:$D$68,AM$4-$B16+1)</f>
        <v/>
      </c>
      <c r="AN16" s="153">
        <f>$C16*INDEX(Curves!$D$8:$D$68,AN$4-$B16+1)</f>
        <v/>
      </c>
      <c r="AO16" s="153">
        <f>$C16*INDEX(Curves!$D$8:$D$68,AO$4-$B16+1)</f>
        <v/>
      </c>
      <c r="AP16" s="153">
        <f>$C16*INDEX(Curves!$D$8:$D$68,AP$4-$B16+1)</f>
        <v/>
      </c>
      <c r="AQ16" s="153">
        <f>$C16*INDEX(Curves!$D$8:$D$68,AQ$4-$B16+1)</f>
        <v/>
      </c>
      <c r="AR16" s="153">
        <f>$C16*INDEX(Curves!$D$8:$D$68,AR$4-$B16+1)</f>
        <v/>
      </c>
      <c r="AS16" s="153">
        <f>$C16*INDEX(Curves!$D$8:$D$68,AS$4-$B16+1)</f>
        <v/>
      </c>
      <c r="AT16" s="153">
        <f>$C16*INDEX(Curves!$D$8:$D$68,AT$4-$B16+1)</f>
        <v/>
      </c>
      <c r="AU16" s="153">
        <f>$C16*INDEX(Curves!$D$8:$D$68,AU$4-$B16+1)</f>
        <v/>
      </c>
      <c r="AV16" s="153">
        <f>$C16*INDEX(Curves!$D$8:$D$68,AV$4-$B16+1)</f>
        <v/>
      </c>
      <c r="AW16" s="153">
        <f>$C16*INDEX(Curves!$D$8:$D$68,AW$4-$B16+1)</f>
        <v/>
      </c>
      <c r="AX16" s="153">
        <f>$C16*INDEX(Curves!$D$8:$D$68,AX$4-$B16+1)</f>
        <v/>
      </c>
      <c r="AY16" s="153">
        <f>$C16*INDEX(Curves!$D$8:$D$68,AY$4-$B16+1)</f>
        <v/>
      </c>
      <c r="AZ16" s="153">
        <f>$C16*INDEX(Curves!$D$8:$D$68,AZ$4-$B16+1)</f>
        <v/>
      </c>
      <c r="BA16" s="153">
        <f>$C16*INDEX(Curves!$D$8:$D$68,BA$4-$B16+1)</f>
        <v/>
      </c>
      <c r="BB16" s="153">
        <f>$C16*INDEX(Curves!$D$8:$D$68,BB$4-$B16+1)</f>
        <v/>
      </c>
      <c r="BC16" s="153">
        <f>$C16*INDEX(Curves!$D$8:$D$68,BC$4-$B16+1)</f>
        <v/>
      </c>
      <c r="BD16" s="153">
        <f>$C16*INDEX(Curves!$D$8:$D$68,BD$4-$B16+1)</f>
        <v/>
      </c>
      <c r="BE16" s="153">
        <f>$C16*INDEX(Curves!$D$8:$D$68,BE$4-$B16+1)</f>
        <v/>
      </c>
      <c r="BF16" s="153">
        <f>$C16*INDEX(Curves!$D$8:$D$68,BF$4-$B16+1)</f>
        <v/>
      </c>
      <c r="BG16" s="153">
        <f>$C16*INDEX(Curves!$D$8:$D$68,BG$4-$B16+1)</f>
        <v/>
      </c>
      <c r="BH16" s="153">
        <f>$C16*INDEX(Curves!$D$8:$D$68,BH$4-$B16+1)</f>
        <v/>
      </c>
      <c r="BI16" s="153">
        <f>$C16*INDEX(Curves!$D$8:$D$68,BI$4-$B16+1)</f>
        <v/>
      </c>
      <c r="BJ16" s="153">
        <f>$C16*INDEX(Curves!$D$8:$D$68,BJ$4-$B16+1)</f>
        <v/>
      </c>
      <c r="BK16" s="153">
        <f>$C16*INDEX(Curves!$D$8:$D$68,BK$4-$B16+1)</f>
        <v/>
      </c>
      <c r="BL16" s="153">
        <f>$C16*INDEX(Curves!$D$8:$D$68,BL$4-$B16+1)</f>
        <v/>
      </c>
    </row>
    <row r="17">
      <c r="A17" s="147" t="inlineStr">
        <is>
          <t>Cohort month 8</t>
        </is>
      </c>
      <c r="B17" s="147" t="n">
        <v>8</v>
      </c>
      <c r="C17" s="41">
        <f>INDEX(Ops!$E$10:$BL$10,1,$B17)</f>
        <v/>
      </c>
      <c r="M17" s="153">
        <f>$C17*INDEX(Curves!$D$8:$D$68,M$4-$B17+1)</f>
        <v/>
      </c>
      <c r="N17" s="153">
        <f>$C17*INDEX(Curves!$D$8:$D$68,N$4-$B17+1)</f>
        <v/>
      </c>
      <c r="O17" s="153">
        <f>$C17*INDEX(Curves!$D$8:$D$68,O$4-$B17+1)</f>
        <v/>
      </c>
      <c r="P17" s="153">
        <f>$C17*INDEX(Curves!$D$8:$D$68,P$4-$B17+1)</f>
        <v/>
      </c>
      <c r="Q17" s="153">
        <f>$C17*INDEX(Curves!$D$8:$D$68,Q$4-$B17+1)</f>
        <v/>
      </c>
      <c r="R17" s="153">
        <f>$C17*INDEX(Curves!$D$8:$D$68,R$4-$B17+1)</f>
        <v/>
      </c>
      <c r="S17" s="153">
        <f>$C17*INDEX(Curves!$D$8:$D$68,S$4-$B17+1)</f>
        <v/>
      </c>
      <c r="T17" s="153">
        <f>$C17*INDEX(Curves!$D$8:$D$68,T$4-$B17+1)</f>
        <v/>
      </c>
      <c r="U17" s="153">
        <f>$C17*INDEX(Curves!$D$8:$D$68,U$4-$B17+1)</f>
        <v/>
      </c>
      <c r="V17" s="153">
        <f>$C17*INDEX(Curves!$D$8:$D$68,V$4-$B17+1)</f>
        <v/>
      </c>
      <c r="W17" s="153">
        <f>$C17*INDEX(Curves!$D$8:$D$68,W$4-$B17+1)</f>
        <v/>
      </c>
      <c r="X17" s="153">
        <f>$C17*INDEX(Curves!$D$8:$D$68,X$4-$B17+1)</f>
        <v/>
      </c>
      <c r="Y17" s="153">
        <f>$C17*INDEX(Curves!$D$8:$D$68,Y$4-$B17+1)</f>
        <v/>
      </c>
      <c r="Z17" s="153">
        <f>$C17*INDEX(Curves!$D$8:$D$68,Z$4-$B17+1)</f>
        <v/>
      </c>
      <c r="AA17" s="153">
        <f>$C17*INDEX(Curves!$D$8:$D$68,AA$4-$B17+1)</f>
        <v/>
      </c>
      <c r="AB17" s="153">
        <f>$C17*INDEX(Curves!$D$8:$D$68,AB$4-$B17+1)</f>
        <v/>
      </c>
      <c r="AC17" s="153">
        <f>$C17*INDEX(Curves!$D$8:$D$68,AC$4-$B17+1)</f>
        <v/>
      </c>
      <c r="AD17" s="153">
        <f>$C17*INDEX(Curves!$D$8:$D$68,AD$4-$B17+1)</f>
        <v/>
      </c>
      <c r="AE17" s="153">
        <f>$C17*INDEX(Curves!$D$8:$D$68,AE$4-$B17+1)</f>
        <v/>
      </c>
      <c r="AF17" s="153">
        <f>$C17*INDEX(Curves!$D$8:$D$68,AF$4-$B17+1)</f>
        <v/>
      </c>
      <c r="AG17" s="153">
        <f>$C17*INDEX(Curves!$D$8:$D$68,AG$4-$B17+1)</f>
        <v/>
      </c>
      <c r="AH17" s="153">
        <f>$C17*INDEX(Curves!$D$8:$D$68,AH$4-$B17+1)</f>
        <v/>
      </c>
      <c r="AI17" s="153">
        <f>$C17*INDEX(Curves!$D$8:$D$68,AI$4-$B17+1)</f>
        <v/>
      </c>
      <c r="AJ17" s="153">
        <f>$C17*INDEX(Curves!$D$8:$D$68,AJ$4-$B17+1)</f>
        <v/>
      </c>
      <c r="AK17" s="153">
        <f>$C17*INDEX(Curves!$D$8:$D$68,AK$4-$B17+1)</f>
        <v/>
      </c>
      <c r="AL17" s="153">
        <f>$C17*INDEX(Curves!$D$8:$D$68,AL$4-$B17+1)</f>
        <v/>
      </c>
      <c r="AM17" s="153">
        <f>$C17*INDEX(Curves!$D$8:$D$68,AM$4-$B17+1)</f>
        <v/>
      </c>
      <c r="AN17" s="153">
        <f>$C17*INDEX(Curves!$D$8:$D$68,AN$4-$B17+1)</f>
        <v/>
      </c>
      <c r="AO17" s="153">
        <f>$C17*INDEX(Curves!$D$8:$D$68,AO$4-$B17+1)</f>
        <v/>
      </c>
      <c r="AP17" s="153">
        <f>$C17*INDEX(Curves!$D$8:$D$68,AP$4-$B17+1)</f>
        <v/>
      </c>
      <c r="AQ17" s="153">
        <f>$C17*INDEX(Curves!$D$8:$D$68,AQ$4-$B17+1)</f>
        <v/>
      </c>
      <c r="AR17" s="153">
        <f>$C17*INDEX(Curves!$D$8:$D$68,AR$4-$B17+1)</f>
        <v/>
      </c>
      <c r="AS17" s="153">
        <f>$C17*INDEX(Curves!$D$8:$D$68,AS$4-$B17+1)</f>
        <v/>
      </c>
      <c r="AT17" s="153">
        <f>$C17*INDEX(Curves!$D$8:$D$68,AT$4-$B17+1)</f>
        <v/>
      </c>
      <c r="AU17" s="153">
        <f>$C17*INDEX(Curves!$D$8:$D$68,AU$4-$B17+1)</f>
        <v/>
      </c>
      <c r="AV17" s="153">
        <f>$C17*INDEX(Curves!$D$8:$D$68,AV$4-$B17+1)</f>
        <v/>
      </c>
      <c r="AW17" s="153">
        <f>$C17*INDEX(Curves!$D$8:$D$68,AW$4-$B17+1)</f>
        <v/>
      </c>
      <c r="AX17" s="153">
        <f>$C17*INDEX(Curves!$D$8:$D$68,AX$4-$B17+1)</f>
        <v/>
      </c>
      <c r="AY17" s="153">
        <f>$C17*INDEX(Curves!$D$8:$D$68,AY$4-$B17+1)</f>
        <v/>
      </c>
      <c r="AZ17" s="153">
        <f>$C17*INDEX(Curves!$D$8:$D$68,AZ$4-$B17+1)</f>
        <v/>
      </c>
      <c r="BA17" s="153">
        <f>$C17*INDEX(Curves!$D$8:$D$68,BA$4-$B17+1)</f>
        <v/>
      </c>
      <c r="BB17" s="153">
        <f>$C17*INDEX(Curves!$D$8:$D$68,BB$4-$B17+1)</f>
        <v/>
      </c>
      <c r="BC17" s="153">
        <f>$C17*INDEX(Curves!$D$8:$D$68,BC$4-$B17+1)</f>
        <v/>
      </c>
      <c r="BD17" s="153">
        <f>$C17*INDEX(Curves!$D$8:$D$68,BD$4-$B17+1)</f>
        <v/>
      </c>
      <c r="BE17" s="153">
        <f>$C17*INDEX(Curves!$D$8:$D$68,BE$4-$B17+1)</f>
        <v/>
      </c>
      <c r="BF17" s="153">
        <f>$C17*INDEX(Curves!$D$8:$D$68,BF$4-$B17+1)</f>
        <v/>
      </c>
      <c r="BG17" s="153">
        <f>$C17*INDEX(Curves!$D$8:$D$68,BG$4-$B17+1)</f>
        <v/>
      </c>
      <c r="BH17" s="153">
        <f>$C17*INDEX(Curves!$D$8:$D$68,BH$4-$B17+1)</f>
        <v/>
      </c>
      <c r="BI17" s="153">
        <f>$C17*INDEX(Curves!$D$8:$D$68,BI$4-$B17+1)</f>
        <v/>
      </c>
      <c r="BJ17" s="153">
        <f>$C17*INDEX(Curves!$D$8:$D$68,BJ$4-$B17+1)</f>
        <v/>
      </c>
      <c r="BK17" s="153">
        <f>$C17*INDEX(Curves!$D$8:$D$68,BK$4-$B17+1)</f>
        <v/>
      </c>
      <c r="BL17" s="153">
        <f>$C17*INDEX(Curves!$D$8:$D$68,BL$4-$B17+1)</f>
        <v/>
      </c>
    </row>
    <row r="18">
      <c r="A18" s="147" t="inlineStr">
        <is>
          <t>Cohort month 9</t>
        </is>
      </c>
      <c r="B18" s="147" t="n">
        <v>9</v>
      </c>
      <c r="C18" s="41">
        <f>INDEX(Ops!$E$10:$BL$10,1,$B18)</f>
        <v/>
      </c>
      <c r="N18" s="153">
        <f>$C18*INDEX(Curves!$D$8:$D$68,N$4-$B18+1)</f>
        <v/>
      </c>
      <c r="O18" s="153">
        <f>$C18*INDEX(Curves!$D$8:$D$68,O$4-$B18+1)</f>
        <v/>
      </c>
      <c r="P18" s="153">
        <f>$C18*INDEX(Curves!$D$8:$D$68,P$4-$B18+1)</f>
        <v/>
      </c>
      <c r="Q18" s="153">
        <f>$C18*INDEX(Curves!$D$8:$D$68,Q$4-$B18+1)</f>
        <v/>
      </c>
      <c r="R18" s="153">
        <f>$C18*INDEX(Curves!$D$8:$D$68,R$4-$B18+1)</f>
        <v/>
      </c>
      <c r="S18" s="153">
        <f>$C18*INDEX(Curves!$D$8:$D$68,S$4-$B18+1)</f>
        <v/>
      </c>
      <c r="T18" s="153">
        <f>$C18*INDEX(Curves!$D$8:$D$68,T$4-$B18+1)</f>
        <v/>
      </c>
      <c r="U18" s="153">
        <f>$C18*INDEX(Curves!$D$8:$D$68,U$4-$B18+1)</f>
        <v/>
      </c>
      <c r="V18" s="153">
        <f>$C18*INDEX(Curves!$D$8:$D$68,V$4-$B18+1)</f>
        <v/>
      </c>
      <c r="W18" s="153">
        <f>$C18*INDEX(Curves!$D$8:$D$68,W$4-$B18+1)</f>
        <v/>
      </c>
      <c r="X18" s="153">
        <f>$C18*INDEX(Curves!$D$8:$D$68,X$4-$B18+1)</f>
        <v/>
      </c>
      <c r="Y18" s="153">
        <f>$C18*INDEX(Curves!$D$8:$D$68,Y$4-$B18+1)</f>
        <v/>
      </c>
      <c r="Z18" s="153">
        <f>$C18*INDEX(Curves!$D$8:$D$68,Z$4-$B18+1)</f>
        <v/>
      </c>
      <c r="AA18" s="153">
        <f>$C18*INDEX(Curves!$D$8:$D$68,AA$4-$B18+1)</f>
        <v/>
      </c>
      <c r="AB18" s="153">
        <f>$C18*INDEX(Curves!$D$8:$D$68,AB$4-$B18+1)</f>
        <v/>
      </c>
      <c r="AC18" s="153">
        <f>$C18*INDEX(Curves!$D$8:$D$68,AC$4-$B18+1)</f>
        <v/>
      </c>
      <c r="AD18" s="153">
        <f>$C18*INDEX(Curves!$D$8:$D$68,AD$4-$B18+1)</f>
        <v/>
      </c>
      <c r="AE18" s="153">
        <f>$C18*INDEX(Curves!$D$8:$D$68,AE$4-$B18+1)</f>
        <v/>
      </c>
      <c r="AF18" s="153">
        <f>$C18*INDEX(Curves!$D$8:$D$68,AF$4-$B18+1)</f>
        <v/>
      </c>
      <c r="AG18" s="153">
        <f>$C18*INDEX(Curves!$D$8:$D$68,AG$4-$B18+1)</f>
        <v/>
      </c>
      <c r="AH18" s="153">
        <f>$C18*INDEX(Curves!$D$8:$D$68,AH$4-$B18+1)</f>
        <v/>
      </c>
      <c r="AI18" s="153">
        <f>$C18*INDEX(Curves!$D$8:$D$68,AI$4-$B18+1)</f>
        <v/>
      </c>
      <c r="AJ18" s="153">
        <f>$C18*INDEX(Curves!$D$8:$D$68,AJ$4-$B18+1)</f>
        <v/>
      </c>
      <c r="AK18" s="153">
        <f>$C18*INDEX(Curves!$D$8:$D$68,AK$4-$B18+1)</f>
        <v/>
      </c>
      <c r="AL18" s="153">
        <f>$C18*INDEX(Curves!$D$8:$D$68,AL$4-$B18+1)</f>
        <v/>
      </c>
      <c r="AM18" s="153">
        <f>$C18*INDEX(Curves!$D$8:$D$68,AM$4-$B18+1)</f>
        <v/>
      </c>
      <c r="AN18" s="153">
        <f>$C18*INDEX(Curves!$D$8:$D$68,AN$4-$B18+1)</f>
        <v/>
      </c>
      <c r="AO18" s="153">
        <f>$C18*INDEX(Curves!$D$8:$D$68,AO$4-$B18+1)</f>
        <v/>
      </c>
      <c r="AP18" s="153">
        <f>$C18*INDEX(Curves!$D$8:$D$68,AP$4-$B18+1)</f>
        <v/>
      </c>
      <c r="AQ18" s="153">
        <f>$C18*INDEX(Curves!$D$8:$D$68,AQ$4-$B18+1)</f>
        <v/>
      </c>
      <c r="AR18" s="153">
        <f>$C18*INDEX(Curves!$D$8:$D$68,AR$4-$B18+1)</f>
        <v/>
      </c>
      <c r="AS18" s="153">
        <f>$C18*INDEX(Curves!$D$8:$D$68,AS$4-$B18+1)</f>
        <v/>
      </c>
      <c r="AT18" s="153">
        <f>$C18*INDEX(Curves!$D$8:$D$68,AT$4-$B18+1)</f>
        <v/>
      </c>
      <c r="AU18" s="153">
        <f>$C18*INDEX(Curves!$D$8:$D$68,AU$4-$B18+1)</f>
        <v/>
      </c>
      <c r="AV18" s="153">
        <f>$C18*INDEX(Curves!$D$8:$D$68,AV$4-$B18+1)</f>
        <v/>
      </c>
      <c r="AW18" s="153">
        <f>$C18*INDEX(Curves!$D$8:$D$68,AW$4-$B18+1)</f>
        <v/>
      </c>
      <c r="AX18" s="153">
        <f>$C18*INDEX(Curves!$D$8:$D$68,AX$4-$B18+1)</f>
        <v/>
      </c>
      <c r="AY18" s="153">
        <f>$C18*INDEX(Curves!$D$8:$D$68,AY$4-$B18+1)</f>
        <v/>
      </c>
      <c r="AZ18" s="153">
        <f>$C18*INDEX(Curves!$D$8:$D$68,AZ$4-$B18+1)</f>
        <v/>
      </c>
      <c r="BA18" s="153">
        <f>$C18*INDEX(Curves!$D$8:$D$68,BA$4-$B18+1)</f>
        <v/>
      </c>
      <c r="BB18" s="153">
        <f>$C18*INDEX(Curves!$D$8:$D$68,BB$4-$B18+1)</f>
        <v/>
      </c>
      <c r="BC18" s="153">
        <f>$C18*INDEX(Curves!$D$8:$D$68,BC$4-$B18+1)</f>
        <v/>
      </c>
      <c r="BD18" s="153">
        <f>$C18*INDEX(Curves!$D$8:$D$68,BD$4-$B18+1)</f>
        <v/>
      </c>
      <c r="BE18" s="153">
        <f>$C18*INDEX(Curves!$D$8:$D$68,BE$4-$B18+1)</f>
        <v/>
      </c>
      <c r="BF18" s="153">
        <f>$C18*INDEX(Curves!$D$8:$D$68,BF$4-$B18+1)</f>
        <v/>
      </c>
      <c r="BG18" s="153">
        <f>$C18*INDEX(Curves!$D$8:$D$68,BG$4-$B18+1)</f>
        <v/>
      </c>
      <c r="BH18" s="153">
        <f>$C18*INDEX(Curves!$D$8:$D$68,BH$4-$B18+1)</f>
        <v/>
      </c>
      <c r="BI18" s="153">
        <f>$C18*INDEX(Curves!$D$8:$D$68,BI$4-$B18+1)</f>
        <v/>
      </c>
      <c r="BJ18" s="153">
        <f>$C18*INDEX(Curves!$D$8:$D$68,BJ$4-$B18+1)</f>
        <v/>
      </c>
      <c r="BK18" s="153">
        <f>$C18*INDEX(Curves!$D$8:$D$68,BK$4-$B18+1)</f>
        <v/>
      </c>
      <c r="BL18" s="153">
        <f>$C18*INDEX(Curves!$D$8:$D$68,BL$4-$B18+1)</f>
        <v/>
      </c>
    </row>
    <row r="19">
      <c r="A19" s="147" t="inlineStr">
        <is>
          <t>Cohort month 10</t>
        </is>
      </c>
      <c r="B19" s="147" t="n">
        <v>10</v>
      </c>
      <c r="C19" s="41">
        <f>INDEX(Ops!$E$10:$BL$10,1,$B19)</f>
        <v/>
      </c>
      <c r="O19" s="153">
        <f>$C19*INDEX(Curves!$D$8:$D$68,O$4-$B19+1)</f>
        <v/>
      </c>
      <c r="P19" s="153">
        <f>$C19*INDEX(Curves!$D$8:$D$68,P$4-$B19+1)</f>
        <v/>
      </c>
      <c r="Q19" s="153">
        <f>$C19*INDEX(Curves!$D$8:$D$68,Q$4-$B19+1)</f>
        <v/>
      </c>
      <c r="R19" s="153">
        <f>$C19*INDEX(Curves!$D$8:$D$68,R$4-$B19+1)</f>
        <v/>
      </c>
      <c r="S19" s="153">
        <f>$C19*INDEX(Curves!$D$8:$D$68,S$4-$B19+1)</f>
        <v/>
      </c>
      <c r="T19" s="153">
        <f>$C19*INDEX(Curves!$D$8:$D$68,T$4-$B19+1)</f>
        <v/>
      </c>
      <c r="U19" s="153">
        <f>$C19*INDEX(Curves!$D$8:$D$68,U$4-$B19+1)</f>
        <v/>
      </c>
      <c r="V19" s="153">
        <f>$C19*INDEX(Curves!$D$8:$D$68,V$4-$B19+1)</f>
        <v/>
      </c>
      <c r="W19" s="153">
        <f>$C19*INDEX(Curves!$D$8:$D$68,W$4-$B19+1)</f>
        <v/>
      </c>
      <c r="X19" s="153">
        <f>$C19*INDEX(Curves!$D$8:$D$68,X$4-$B19+1)</f>
        <v/>
      </c>
      <c r="Y19" s="153">
        <f>$C19*INDEX(Curves!$D$8:$D$68,Y$4-$B19+1)</f>
        <v/>
      </c>
      <c r="Z19" s="153">
        <f>$C19*INDEX(Curves!$D$8:$D$68,Z$4-$B19+1)</f>
        <v/>
      </c>
      <c r="AA19" s="153">
        <f>$C19*INDEX(Curves!$D$8:$D$68,AA$4-$B19+1)</f>
        <v/>
      </c>
      <c r="AB19" s="153">
        <f>$C19*INDEX(Curves!$D$8:$D$68,AB$4-$B19+1)</f>
        <v/>
      </c>
      <c r="AC19" s="153">
        <f>$C19*INDEX(Curves!$D$8:$D$68,AC$4-$B19+1)</f>
        <v/>
      </c>
      <c r="AD19" s="153">
        <f>$C19*INDEX(Curves!$D$8:$D$68,AD$4-$B19+1)</f>
        <v/>
      </c>
      <c r="AE19" s="153">
        <f>$C19*INDEX(Curves!$D$8:$D$68,AE$4-$B19+1)</f>
        <v/>
      </c>
      <c r="AF19" s="153">
        <f>$C19*INDEX(Curves!$D$8:$D$68,AF$4-$B19+1)</f>
        <v/>
      </c>
      <c r="AG19" s="153">
        <f>$C19*INDEX(Curves!$D$8:$D$68,AG$4-$B19+1)</f>
        <v/>
      </c>
      <c r="AH19" s="153">
        <f>$C19*INDEX(Curves!$D$8:$D$68,AH$4-$B19+1)</f>
        <v/>
      </c>
      <c r="AI19" s="153">
        <f>$C19*INDEX(Curves!$D$8:$D$68,AI$4-$B19+1)</f>
        <v/>
      </c>
      <c r="AJ19" s="153">
        <f>$C19*INDEX(Curves!$D$8:$D$68,AJ$4-$B19+1)</f>
        <v/>
      </c>
      <c r="AK19" s="153">
        <f>$C19*INDEX(Curves!$D$8:$D$68,AK$4-$B19+1)</f>
        <v/>
      </c>
      <c r="AL19" s="153">
        <f>$C19*INDEX(Curves!$D$8:$D$68,AL$4-$B19+1)</f>
        <v/>
      </c>
      <c r="AM19" s="153">
        <f>$C19*INDEX(Curves!$D$8:$D$68,AM$4-$B19+1)</f>
        <v/>
      </c>
      <c r="AN19" s="153">
        <f>$C19*INDEX(Curves!$D$8:$D$68,AN$4-$B19+1)</f>
        <v/>
      </c>
      <c r="AO19" s="153">
        <f>$C19*INDEX(Curves!$D$8:$D$68,AO$4-$B19+1)</f>
        <v/>
      </c>
      <c r="AP19" s="153">
        <f>$C19*INDEX(Curves!$D$8:$D$68,AP$4-$B19+1)</f>
        <v/>
      </c>
      <c r="AQ19" s="153">
        <f>$C19*INDEX(Curves!$D$8:$D$68,AQ$4-$B19+1)</f>
        <v/>
      </c>
      <c r="AR19" s="153">
        <f>$C19*INDEX(Curves!$D$8:$D$68,AR$4-$B19+1)</f>
        <v/>
      </c>
      <c r="AS19" s="153">
        <f>$C19*INDEX(Curves!$D$8:$D$68,AS$4-$B19+1)</f>
        <v/>
      </c>
      <c r="AT19" s="153">
        <f>$C19*INDEX(Curves!$D$8:$D$68,AT$4-$B19+1)</f>
        <v/>
      </c>
      <c r="AU19" s="153">
        <f>$C19*INDEX(Curves!$D$8:$D$68,AU$4-$B19+1)</f>
        <v/>
      </c>
      <c r="AV19" s="153">
        <f>$C19*INDEX(Curves!$D$8:$D$68,AV$4-$B19+1)</f>
        <v/>
      </c>
      <c r="AW19" s="153">
        <f>$C19*INDEX(Curves!$D$8:$D$68,AW$4-$B19+1)</f>
        <v/>
      </c>
      <c r="AX19" s="153">
        <f>$C19*INDEX(Curves!$D$8:$D$68,AX$4-$B19+1)</f>
        <v/>
      </c>
      <c r="AY19" s="153">
        <f>$C19*INDEX(Curves!$D$8:$D$68,AY$4-$B19+1)</f>
        <v/>
      </c>
      <c r="AZ19" s="153">
        <f>$C19*INDEX(Curves!$D$8:$D$68,AZ$4-$B19+1)</f>
        <v/>
      </c>
      <c r="BA19" s="153">
        <f>$C19*INDEX(Curves!$D$8:$D$68,BA$4-$B19+1)</f>
        <v/>
      </c>
      <c r="BB19" s="153">
        <f>$C19*INDEX(Curves!$D$8:$D$68,BB$4-$B19+1)</f>
        <v/>
      </c>
      <c r="BC19" s="153">
        <f>$C19*INDEX(Curves!$D$8:$D$68,BC$4-$B19+1)</f>
        <v/>
      </c>
      <c r="BD19" s="153">
        <f>$C19*INDEX(Curves!$D$8:$D$68,BD$4-$B19+1)</f>
        <v/>
      </c>
      <c r="BE19" s="153">
        <f>$C19*INDEX(Curves!$D$8:$D$68,BE$4-$B19+1)</f>
        <v/>
      </c>
      <c r="BF19" s="153">
        <f>$C19*INDEX(Curves!$D$8:$D$68,BF$4-$B19+1)</f>
        <v/>
      </c>
      <c r="BG19" s="153">
        <f>$C19*INDEX(Curves!$D$8:$D$68,BG$4-$B19+1)</f>
        <v/>
      </c>
      <c r="BH19" s="153">
        <f>$C19*INDEX(Curves!$D$8:$D$68,BH$4-$B19+1)</f>
        <v/>
      </c>
      <c r="BI19" s="153">
        <f>$C19*INDEX(Curves!$D$8:$D$68,BI$4-$B19+1)</f>
        <v/>
      </c>
      <c r="BJ19" s="153">
        <f>$C19*INDEX(Curves!$D$8:$D$68,BJ$4-$B19+1)</f>
        <v/>
      </c>
      <c r="BK19" s="153">
        <f>$C19*INDEX(Curves!$D$8:$D$68,BK$4-$B19+1)</f>
        <v/>
      </c>
      <c r="BL19" s="153">
        <f>$C19*INDEX(Curves!$D$8:$D$68,BL$4-$B19+1)</f>
        <v/>
      </c>
    </row>
    <row r="20">
      <c r="A20" s="147" t="inlineStr">
        <is>
          <t>Cohort month 11</t>
        </is>
      </c>
      <c r="B20" s="147" t="n">
        <v>11</v>
      </c>
      <c r="C20" s="41">
        <f>INDEX(Ops!$E$10:$BL$10,1,$B20)</f>
        <v/>
      </c>
      <c r="P20" s="153">
        <f>$C20*INDEX(Curves!$D$8:$D$68,P$4-$B20+1)</f>
        <v/>
      </c>
      <c r="Q20" s="153">
        <f>$C20*INDEX(Curves!$D$8:$D$68,Q$4-$B20+1)</f>
        <v/>
      </c>
      <c r="R20" s="153">
        <f>$C20*INDEX(Curves!$D$8:$D$68,R$4-$B20+1)</f>
        <v/>
      </c>
      <c r="S20" s="153">
        <f>$C20*INDEX(Curves!$D$8:$D$68,S$4-$B20+1)</f>
        <v/>
      </c>
      <c r="T20" s="153">
        <f>$C20*INDEX(Curves!$D$8:$D$68,T$4-$B20+1)</f>
        <v/>
      </c>
      <c r="U20" s="153">
        <f>$C20*INDEX(Curves!$D$8:$D$68,U$4-$B20+1)</f>
        <v/>
      </c>
      <c r="V20" s="153">
        <f>$C20*INDEX(Curves!$D$8:$D$68,V$4-$B20+1)</f>
        <v/>
      </c>
      <c r="W20" s="153">
        <f>$C20*INDEX(Curves!$D$8:$D$68,W$4-$B20+1)</f>
        <v/>
      </c>
      <c r="X20" s="153">
        <f>$C20*INDEX(Curves!$D$8:$D$68,X$4-$B20+1)</f>
        <v/>
      </c>
      <c r="Y20" s="153">
        <f>$C20*INDEX(Curves!$D$8:$D$68,Y$4-$B20+1)</f>
        <v/>
      </c>
      <c r="Z20" s="153">
        <f>$C20*INDEX(Curves!$D$8:$D$68,Z$4-$B20+1)</f>
        <v/>
      </c>
      <c r="AA20" s="153">
        <f>$C20*INDEX(Curves!$D$8:$D$68,AA$4-$B20+1)</f>
        <v/>
      </c>
      <c r="AB20" s="153">
        <f>$C20*INDEX(Curves!$D$8:$D$68,AB$4-$B20+1)</f>
        <v/>
      </c>
      <c r="AC20" s="153">
        <f>$C20*INDEX(Curves!$D$8:$D$68,AC$4-$B20+1)</f>
        <v/>
      </c>
      <c r="AD20" s="153">
        <f>$C20*INDEX(Curves!$D$8:$D$68,AD$4-$B20+1)</f>
        <v/>
      </c>
      <c r="AE20" s="153">
        <f>$C20*INDEX(Curves!$D$8:$D$68,AE$4-$B20+1)</f>
        <v/>
      </c>
      <c r="AF20" s="153">
        <f>$C20*INDEX(Curves!$D$8:$D$68,AF$4-$B20+1)</f>
        <v/>
      </c>
      <c r="AG20" s="153">
        <f>$C20*INDEX(Curves!$D$8:$D$68,AG$4-$B20+1)</f>
        <v/>
      </c>
      <c r="AH20" s="153">
        <f>$C20*INDEX(Curves!$D$8:$D$68,AH$4-$B20+1)</f>
        <v/>
      </c>
      <c r="AI20" s="153">
        <f>$C20*INDEX(Curves!$D$8:$D$68,AI$4-$B20+1)</f>
        <v/>
      </c>
      <c r="AJ20" s="153">
        <f>$C20*INDEX(Curves!$D$8:$D$68,AJ$4-$B20+1)</f>
        <v/>
      </c>
      <c r="AK20" s="153">
        <f>$C20*INDEX(Curves!$D$8:$D$68,AK$4-$B20+1)</f>
        <v/>
      </c>
      <c r="AL20" s="153">
        <f>$C20*INDEX(Curves!$D$8:$D$68,AL$4-$B20+1)</f>
        <v/>
      </c>
      <c r="AM20" s="153">
        <f>$C20*INDEX(Curves!$D$8:$D$68,AM$4-$B20+1)</f>
        <v/>
      </c>
      <c r="AN20" s="153">
        <f>$C20*INDEX(Curves!$D$8:$D$68,AN$4-$B20+1)</f>
        <v/>
      </c>
      <c r="AO20" s="153">
        <f>$C20*INDEX(Curves!$D$8:$D$68,AO$4-$B20+1)</f>
        <v/>
      </c>
      <c r="AP20" s="153">
        <f>$C20*INDEX(Curves!$D$8:$D$68,AP$4-$B20+1)</f>
        <v/>
      </c>
      <c r="AQ20" s="153">
        <f>$C20*INDEX(Curves!$D$8:$D$68,AQ$4-$B20+1)</f>
        <v/>
      </c>
      <c r="AR20" s="153">
        <f>$C20*INDEX(Curves!$D$8:$D$68,AR$4-$B20+1)</f>
        <v/>
      </c>
      <c r="AS20" s="153">
        <f>$C20*INDEX(Curves!$D$8:$D$68,AS$4-$B20+1)</f>
        <v/>
      </c>
      <c r="AT20" s="153">
        <f>$C20*INDEX(Curves!$D$8:$D$68,AT$4-$B20+1)</f>
        <v/>
      </c>
      <c r="AU20" s="153">
        <f>$C20*INDEX(Curves!$D$8:$D$68,AU$4-$B20+1)</f>
        <v/>
      </c>
      <c r="AV20" s="153">
        <f>$C20*INDEX(Curves!$D$8:$D$68,AV$4-$B20+1)</f>
        <v/>
      </c>
      <c r="AW20" s="153">
        <f>$C20*INDEX(Curves!$D$8:$D$68,AW$4-$B20+1)</f>
        <v/>
      </c>
      <c r="AX20" s="153">
        <f>$C20*INDEX(Curves!$D$8:$D$68,AX$4-$B20+1)</f>
        <v/>
      </c>
      <c r="AY20" s="153">
        <f>$C20*INDEX(Curves!$D$8:$D$68,AY$4-$B20+1)</f>
        <v/>
      </c>
      <c r="AZ20" s="153">
        <f>$C20*INDEX(Curves!$D$8:$D$68,AZ$4-$B20+1)</f>
        <v/>
      </c>
      <c r="BA20" s="153">
        <f>$C20*INDEX(Curves!$D$8:$D$68,BA$4-$B20+1)</f>
        <v/>
      </c>
      <c r="BB20" s="153">
        <f>$C20*INDEX(Curves!$D$8:$D$68,BB$4-$B20+1)</f>
        <v/>
      </c>
      <c r="BC20" s="153">
        <f>$C20*INDEX(Curves!$D$8:$D$68,BC$4-$B20+1)</f>
        <v/>
      </c>
      <c r="BD20" s="153">
        <f>$C20*INDEX(Curves!$D$8:$D$68,BD$4-$B20+1)</f>
        <v/>
      </c>
      <c r="BE20" s="153">
        <f>$C20*INDEX(Curves!$D$8:$D$68,BE$4-$B20+1)</f>
        <v/>
      </c>
      <c r="BF20" s="153">
        <f>$C20*INDEX(Curves!$D$8:$D$68,BF$4-$B20+1)</f>
        <v/>
      </c>
      <c r="BG20" s="153">
        <f>$C20*INDEX(Curves!$D$8:$D$68,BG$4-$B20+1)</f>
        <v/>
      </c>
      <c r="BH20" s="153">
        <f>$C20*INDEX(Curves!$D$8:$D$68,BH$4-$B20+1)</f>
        <v/>
      </c>
      <c r="BI20" s="153">
        <f>$C20*INDEX(Curves!$D$8:$D$68,BI$4-$B20+1)</f>
        <v/>
      </c>
      <c r="BJ20" s="153">
        <f>$C20*INDEX(Curves!$D$8:$D$68,BJ$4-$B20+1)</f>
        <v/>
      </c>
      <c r="BK20" s="153">
        <f>$C20*INDEX(Curves!$D$8:$D$68,BK$4-$B20+1)</f>
        <v/>
      </c>
      <c r="BL20" s="153">
        <f>$C20*INDEX(Curves!$D$8:$D$68,BL$4-$B20+1)</f>
        <v/>
      </c>
    </row>
    <row r="21">
      <c r="A21" s="147" t="inlineStr">
        <is>
          <t>Cohort month 12</t>
        </is>
      </c>
      <c r="B21" s="147" t="n">
        <v>12</v>
      </c>
      <c r="C21" s="41">
        <f>INDEX(Ops!$E$10:$BL$10,1,$B21)</f>
        <v/>
      </c>
      <c r="Q21" s="153">
        <f>$C21*INDEX(Curves!$D$8:$D$68,Q$4-$B21+1)</f>
        <v/>
      </c>
      <c r="R21" s="153">
        <f>$C21*INDEX(Curves!$D$8:$D$68,R$4-$B21+1)</f>
        <v/>
      </c>
      <c r="S21" s="153">
        <f>$C21*INDEX(Curves!$D$8:$D$68,S$4-$B21+1)</f>
        <v/>
      </c>
      <c r="T21" s="153">
        <f>$C21*INDEX(Curves!$D$8:$D$68,T$4-$B21+1)</f>
        <v/>
      </c>
      <c r="U21" s="153">
        <f>$C21*INDEX(Curves!$D$8:$D$68,U$4-$B21+1)</f>
        <v/>
      </c>
      <c r="V21" s="153">
        <f>$C21*INDEX(Curves!$D$8:$D$68,V$4-$B21+1)</f>
        <v/>
      </c>
      <c r="W21" s="153">
        <f>$C21*INDEX(Curves!$D$8:$D$68,W$4-$B21+1)</f>
        <v/>
      </c>
      <c r="X21" s="153">
        <f>$C21*INDEX(Curves!$D$8:$D$68,X$4-$B21+1)</f>
        <v/>
      </c>
      <c r="Y21" s="153">
        <f>$C21*INDEX(Curves!$D$8:$D$68,Y$4-$B21+1)</f>
        <v/>
      </c>
      <c r="Z21" s="153">
        <f>$C21*INDEX(Curves!$D$8:$D$68,Z$4-$B21+1)</f>
        <v/>
      </c>
      <c r="AA21" s="153">
        <f>$C21*INDEX(Curves!$D$8:$D$68,AA$4-$B21+1)</f>
        <v/>
      </c>
      <c r="AB21" s="153">
        <f>$C21*INDEX(Curves!$D$8:$D$68,AB$4-$B21+1)</f>
        <v/>
      </c>
      <c r="AC21" s="153">
        <f>$C21*INDEX(Curves!$D$8:$D$68,AC$4-$B21+1)</f>
        <v/>
      </c>
      <c r="AD21" s="153">
        <f>$C21*INDEX(Curves!$D$8:$D$68,AD$4-$B21+1)</f>
        <v/>
      </c>
      <c r="AE21" s="153">
        <f>$C21*INDEX(Curves!$D$8:$D$68,AE$4-$B21+1)</f>
        <v/>
      </c>
      <c r="AF21" s="153">
        <f>$C21*INDEX(Curves!$D$8:$D$68,AF$4-$B21+1)</f>
        <v/>
      </c>
      <c r="AG21" s="153">
        <f>$C21*INDEX(Curves!$D$8:$D$68,AG$4-$B21+1)</f>
        <v/>
      </c>
      <c r="AH21" s="153">
        <f>$C21*INDEX(Curves!$D$8:$D$68,AH$4-$B21+1)</f>
        <v/>
      </c>
      <c r="AI21" s="153">
        <f>$C21*INDEX(Curves!$D$8:$D$68,AI$4-$B21+1)</f>
        <v/>
      </c>
      <c r="AJ21" s="153">
        <f>$C21*INDEX(Curves!$D$8:$D$68,AJ$4-$B21+1)</f>
        <v/>
      </c>
      <c r="AK21" s="153">
        <f>$C21*INDEX(Curves!$D$8:$D$68,AK$4-$B21+1)</f>
        <v/>
      </c>
      <c r="AL21" s="153">
        <f>$C21*INDEX(Curves!$D$8:$D$68,AL$4-$B21+1)</f>
        <v/>
      </c>
      <c r="AM21" s="153">
        <f>$C21*INDEX(Curves!$D$8:$D$68,AM$4-$B21+1)</f>
        <v/>
      </c>
      <c r="AN21" s="153">
        <f>$C21*INDEX(Curves!$D$8:$D$68,AN$4-$B21+1)</f>
        <v/>
      </c>
      <c r="AO21" s="153">
        <f>$C21*INDEX(Curves!$D$8:$D$68,AO$4-$B21+1)</f>
        <v/>
      </c>
      <c r="AP21" s="153">
        <f>$C21*INDEX(Curves!$D$8:$D$68,AP$4-$B21+1)</f>
        <v/>
      </c>
      <c r="AQ21" s="153">
        <f>$C21*INDEX(Curves!$D$8:$D$68,AQ$4-$B21+1)</f>
        <v/>
      </c>
      <c r="AR21" s="153">
        <f>$C21*INDEX(Curves!$D$8:$D$68,AR$4-$B21+1)</f>
        <v/>
      </c>
      <c r="AS21" s="153">
        <f>$C21*INDEX(Curves!$D$8:$D$68,AS$4-$B21+1)</f>
        <v/>
      </c>
      <c r="AT21" s="153">
        <f>$C21*INDEX(Curves!$D$8:$D$68,AT$4-$B21+1)</f>
        <v/>
      </c>
      <c r="AU21" s="153">
        <f>$C21*INDEX(Curves!$D$8:$D$68,AU$4-$B21+1)</f>
        <v/>
      </c>
      <c r="AV21" s="153">
        <f>$C21*INDEX(Curves!$D$8:$D$68,AV$4-$B21+1)</f>
        <v/>
      </c>
      <c r="AW21" s="153">
        <f>$C21*INDEX(Curves!$D$8:$D$68,AW$4-$B21+1)</f>
        <v/>
      </c>
      <c r="AX21" s="153">
        <f>$C21*INDEX(Curves!$D$8:$D$68,AX$4-$B21+1)</f>
        <v/>
      </c>
      <c r="AY21" s="153">
        <f>$C21*INDEX(Curves!$D$8:$D$68,AY$4-$B21+1)</f>
        <v/>
      </c>
      <c r="AZ21" s="153">
        <f>$C21*INDEX(Curves!$D$8:$D$68,AZ$4-$B21+1)</f>
        <v/>
      </c>
      <c r="BA21" s="153">
        <f>$C21*INDEX(Curves!$D$8:$D$68,BA$4-$B21+1)</f>
        <v/>
      </c>
      <c r="BB21" s="153">
        <f>$C21*INDEX(Curves!$D$8:$D$68,BB$4-$B21+1)</f>
        <v/>
      </c>
      <c r="BC21" s="153">
        <f>$C21*INDEX(Curves!$D$8:$D$68,BC$4-$B21+1)</f>
        <v/>
      </c>
      <c r="BD21" s="153">
        <f>$C21*INDEX(Curves!$D$8:$D$68,BD$4-$B21+1)</f>
        <v/>
      </c>
      <c r="BE21" s="153">
        <f>$C21*INDEX(Curves!$D$8:$D$68,BE$4-$B21+1)</f>
        <v/>
      </c>
      <c r="BF21" s="153">
        <f>$C21*INDEX(Curves!$D$8:$D$68,BF$4-$B21+1)</f>
        <v/>
      </c>
      <c r="BG21" s="153">
        <f>$C21*INDEX(Curves!$D$8:$D$68,BG$4-$B21+1)</f>
        <v/>
      </c>
      <c r="BH21" s="153">
        <f>$C21*INDEX(Curves!$D$8:$D$68,BH$4-$B21+1)</f>
        <v/>
      </c>
      <c r="BI21" s="153">
        <f>$C21*INDEX(Curves!$D$8:$D$68,BI$4-$B21+1)</f>
        <v/>
      </c>
      <c r="BJ21" s="153">
        <f>$C21*INDEX(Curves!$D$8:$D$68,BJ$4-$B21+1)</f>
        <v/>
      </c>
      <c r="BK21" s="153">
        <f>$C21*INDEX(Curves!$D$8:$D$68,BK$4-$B21+1)</f>
        <v/>
      </c>
      <c r="BL21" s="153">
        <f>$C21*INDEX(Curves!$D$8:$D$68,BL$4-$B21+1)</f>
        <v/>
      </c>
    </row>
    <row r="22">
      <c r="A22" s="147" t="inlineStr">
        <is>
          <t>Cohort month 13</t>
        </is>
      </c>
      <c r="B22" s="147" t="n">
        <v>13</v>
      </c>
      <c r="C22" s="41">
        <f>INDEX(Ops!$E$10:$BL$10,1,$B22)</f>
        <v/>
      </c>
      <c r="R22" s="153">
        <f>$C22*INDEX(Curves!$D$8:$D$68,R$4-$B22+1)</f>
        <v/>
      </c>
      <c r="S22" s="153">
        <f>$C22*INDEX(Curves!$D$8:$D$68,S$4-$B22+1)</f>
        <v/>
      </c>
      <c r="T22" s="153">
        <f>$C22*INDEX(Curves!$D$8:$D$68,T$4-$B22+1)</f>
        <v/>
      </c>
      <c r="U22" s="153">
        <f>$C22*INDEX(Curves!$D$8:$D$68,U$4-$B22+1)</f>
        <v/>
      </c>
      <c r="V22" s="153">
        <f>$C22*INDEX(Curves!$D$8:$D$68,V$4-$B22+1)</f>
        <v/>
      </c>
      <c r="W22" s="153">
        <f>$C22*INDEX(Curves!$D$8:$D$68,W$4-$B22+1)</f>
        <v/>
      </c>
      <c r="X22" s="153">
        <f>$C22*INDEX(Curves!$D$8:$D$68,X$4-$B22+1)</f>
        <v/>
      </c>
      <c r="Y22" s="153">
        <f>$C22*INDEX(Curves!$D$8:$D$68,Y$4-$B22+1)</f>
        <v/>
      </c>
      <c r="Z22" s="153">
        <f>$C22*INDEX(Curves!$D$8:$D$68,Z$4-$B22+1)</f>
        <v/>
      </c>
      <c r="AA22" s="153">
        <f>$C22*INDEX(Curves!$D$8:$D$68,AA$4-$B22+1)</f>
        <v/>
      </c>
      <c r="AB22" s="153">
        <f>$C22*INDEX(Curves!$D$8:$D$68,AB$4-$B22+1)</f>
        <v/>
      </c>
      <c r="AC22" s="153">
        <f>$C22*INDEX(Curves!$D$8:$D$68,AC$4-$B22+1)</f>
        <v/>
      </c>
      <c r="AD22" s="153">
        <f>$C22*INDEX(Curves!$D$8:$D$68,AD$4-$B22+1)</f>
        <v/>
      </c>
      <c r="AE22" s="153">
        <f>$C22*INDEX(Curves!$D$8:$D$68,AE$4-$B22+1)</f>
        <v/>
      </c>
      <c r="AF22" s="153">
        <f>$C22*INDEX(Curves!$D$8:$D$68,AF$4-$B22+1)</f>
        <v/>
      </c>
      <c r="AG22" s="153">
        <f>$C22*INDEX(Curves!$D$8:$D$68,AG$4-$B22+1)</f>
        <v/>
      </c>
      <c r="AH22" s="153">
        <f>$C22*INDEX(Curves!$D$8:$D$68,AH$4-$B22+1)</f>
        <v/>
      </c>
      <c r="AI22" s="153">
        <f>$C22*INDEX(Curves!$D$8:$D$68,AI$4-$B22+1)</f>
        <v/>
      </c>
      <c r="AJ22" s="153">
        <f>$C22*INDEX(Curves!$D$8:$D$68,AJ$4-$B22+1)</f>
        <v/>
      </c>
      <c r="AK22" s="153">
        <f>$C22*INDEX(Curves!$D$8:$D$68,AK$4-$B22+1)</f>
        <v/>
      </c>
      <c r="AL22" s="153">
        <f>$C22*INDEX(Curves!$D$8:$D$68,AL$4-$B22+1)</f>
        <v/>
      </c>
      <c r="AM22" s="153">
        <f>$C22*INDEX(Curves!$D$8:$D$68,AM$4-$B22+1)</f>
        <v/>
      </c>
      <c r="AN22" s="153">
        <f>$C22*INDEX(Curves!$D$8:$D$68,AN$4-$B22+1)</f>
        <v/>
      </c>
      <c r="AO22" s="153">
        <f>$C22*INDEX(Curves!$D$8:$D$68,AO$4-$B22+1)</f>
        <v/>
      </c>
      <c r="AP22" s="153">
        <f>$C22*INDEX(Curves!$D$8:$D$68,AP$4-$B22+1)</f>
        <v/>
      </c>
      <c r="AQ22" s="153">
        <f>$C22*INDEX(Curves!$D$8:$D$68,AQ$4-$B22+1)</f>
        <v/>
      </c>
      <c r="AR22" s="153">
        <f>$C22*INDEX(Curves!$D$8:$D$68,AR$4-$B22+1)</f>
        <v/>
      </c>
      <c r="AS22" s="153">
        <f>$C22*INDEX(Curves!$D$8:$D$68,AS$4-$B22+1)</f>
        <v/>
      </c>
      <c r="AT22" s="153">
        <f>$C22*INDEX(Curves!$D$8:$D$68,AT$4-$B22+1)</f>
        <v/>
      </c>
      <c r="AU22" s="153">
        <f>$C22*INDEX(Curves!$D$8:$D$68,AU$4-$B22+1)</f>
        <v/>
      </c>
      <c r="AV22" s="153">
        <f>$C22*INDEX(Curves!$D$8:$D$68,AV$4-$B22+1)</f>
        <v/>
      </c>
      <c r="AW22" s="153">
        <f>$C22*INDEX(Curves!$D$8:$D$68,AW$4-$B22+1)</f>
        <v/>
      </c>
      <c r="AX22" s="153">
        <f>$C22*INDEX(Curves!$D$8:$D$68,AX$4-$B22+1)</f>
        <v/>
      </c>
      <c r="AY22" s="153">
        <f>$C22*INDEX(Curves!$D$8:$D$68,AY$4-$B22+1)</f>
        <v/>
      </c>
      <c r="AZ22" s="153">
        <f>$C22*INDEX(Curves!$D$8:$D$68,AZ$4-$B22+1)</f>
        <v/>
      </c>
      <c r="BA22" s="153">
        <f>$C22*INDEX(Curves!$D$8:$D$68,BA$4-$B22+1)</f>
        <v/>
      </c>
      <c r="BB22" s="153">
        <f>$C22*INDEX(Curves!$D$8:$D$68,BB$4-$B22+1)</f>
        <v/>
      </c>
      <c r="BC22" s="153">
        <f>$C22*INDEX(Curves!$D$8:$D$68,BC$4-$B22+1)</f>
        <v/>
      </c>
      <c r="BD22" s="153">
        <f>$C22*INDEX(Curves!$D$8:$D$68,BD$4-$B22+1)</f>
        <v/>
      </c>
      <c r="BE22" s="153">
        <f>$C22*INDEX(Curves!$D$8:$D$68,BE$4-$B22+1)</f>
        <v/>
      </c>
      <c r="BF22" s="153">
        <f>$C22*INDEX(Curves!$D$8:$D$68,BF$4-$B22+1)</f>
        <v/>
      </c>
      <c r="BG22" s="153">
        <f>$C22*INDEX(Curves!$D$8:$D$68,BG$4-$B22+1)</f>
        <v/>
      </c>
      <c r="BH22" s="153">
        <f>$C22*INDEX(Curves!$D$8:$D$68,BH$4-$B22+1)</f>
        <v/>
      </c>
      <c r="BI22" s="153">
        <f>$C22*INDEX(Curves!$D$8:$D$68,BI$4-$B22+1)</f>
        <v/>
      </c>
      <c r="BJ22" s="153">
        <f>$C22*INDEX(Curves!$D$8:$D$68,BJ$4-$B22+1)</f>
        <v/>
      </c>
      <c r="BK22" s="153">
        <f>$C22*INDEX(Curves!$D$8:$D$68,BK$4-$B22+1)</f>
        <v/>
      </c>
      <c r="BL22" s="153">
        <f>$C22*INDEX(Curves!$D$8:$D$68,BL$4-$B22+1)</f>
        <v/>
      </c>
    </row>
    <row r="23">
      <c r="A23" s="147" t="inlineStr">
        <is>
          <t>Cohort month 14</t>
        </is>
      </c>
      <c r="B23" s="147" t="n">
        <v>14</v>
      </c>
      <c r="C23" s="41">
        <f>INDEX(Ops!$E$10:$BL$10,1,$B23)</f>
        <v/>
      </c>
      <c r="S23" s="153">
        <f>$C23*INDEX(Curves!$D$8:$D$68,S$4-$B23+1)</f>
        <v/>
      </c>
      <c r="T23" s="153">
        <f>$C23*INDEX(Curves!$D$8:$D$68,T$4-$B23+1)</f>
        <v/>
      </c>
      <c r="U23" s="153">
        <f>$C23*INDEX(Curves!$D$8:$D$68,U$4-$B23+1)</f>
        <v/>
      </c>
      <c r="V23" s="153">
        <f>$C23*INDEX(Curves!$D$8:$D$68,V$4-$B23+1)</f>
        <v/>
      </c>
      <c r="W23" s="153">
        <f>$C23*INDEX(Curves!$D$8:$D$68,W$4-$B23+1)</f>
        <v/>
      </c>
      <c r="X23" s="153">
        <f>$C23*INDEX(Curves!$D$8:$D$68,X$4-$B23+1)</f>
        <v/>
      </c>
      <c r="Y23" s="153">
        <f>$C23*INDEX(Curves!$D$8:$D$68,Y$4-$B23+1)</f>
        <v/>
      </c>
      <c r="Z23" s="153">
        <f>$C23*INDEX(Curves!$D$8:$D$68,Z$4-$B23+1)</f>
        <v/>
      </c>
      <c r="AA23" s="153">
        <f>$C23*INDEX(Curves!$D$8:$D$68,AA$4-$B23+1)</f>
        <v/>
      </c>
      <c r="AB23" s="153">
        <f>$C23*INDEX(Curves!$D$8:$D$68,AB$4-$B23+1)</f>
        <v/>
      </c>
      <c r="AC23" s="153">
        <f>$C23*INDEX(Curves!$D$8:$D$68,AC$4-$B23+1)</f>
        <v/>
      </c>
      <c r="AD23" s="153">
        <f>$C23*INDEX(Curves!$D$8:$D$68,AD$4-$B23+1)</f>
        <v/>
      </c>
      <c r="AE23" s="153">
        <f>$C23*INDEX(Curves!$D$8:$D$68,AE$4-$B23+1)</f>
        <v/>
      </c>
      <c r="AF23" s="153">
        <f>$C23*INDEX(Curves!$D$8:$D$68,AF$4-$B23+1)</f>
        <v/>
      </c>
      <c r="AG23" s="153">
        <f>$C23*INDEX(Curves!$D$8:$D$68,AG$4-$B23+1)</f>
        <v/>
      </c>
      <c r="AH23" s="153">
        <f>$C23*INDEX(Curves!$D$8:$D$68,AH$4-$B23+1)</f>
        <v/>
      </c>
      <c r="AI23" s="153">
        <f>$C23*INDEX(Curves!$D$8:$D$68,AI$4-$B23+1)</f>
        <v/>
      </c>
      <c r="AJ23" s="153">
        <f>$C23*INDEX(Curves!$D$8:$D$68,AJ$4-$B23+1)</f>
        <v/>
      </c>
      <c r="AK23" s="153">
        <f>$C23*INDEX(Curves!$D$8:$D$68,AK$4-$B23+1)</f>
        <v/>
      </c>
      <c r="AL23" s="153">
        <f>$C23*INDEX(Curves!$D$8:$D$68,AL$4-$B23+1)</f>
        <v/>
      </c>
      <c r="AM23" s="153">
        <f>$C23*INDEX(Curves!$D$8:$D$68,AM$4-$B23+1)</f>
        <v/>
      </c>
      <c r="AN23" s="153">
        <f>$C23*INDEX(Curves!$D$8:$D$68,AN$4-$B23+1)</f>
        <v/>
      </c>
      <c r="AO23" s="153">
        <f>$C23*INDEX(Curves!$D$8:$D$68,AO$4-$B23+1)</f>
        <v/>
      </c>
      <c r="AP23" s="153">
        <f>$C23*INDEX(Curves!$D$8:$D$68,AP$4-$B23+1)</f>
        <v/>
      </c>
      <c r="AQ23" s="153">
        <f>$C23*INDEX(Curves!$D$8:$D$68,AQ$4-$B23+1)</f>
        <v/>
      </c>
      <c r="AR23" s="153">
        <f>$C23*INDEX(Curves!$D$8:$D$68,AR$4-$B23+1)</f>
        <v/>
      </c>
      <c r="AS23" s="153">
        <f>$C23*INDEX(Curves!$D$8:$D$68,AS$4-$B23+1)</f>
        <v/>
      </c>
      <c r="AT23" s="153">
        <f>$C23*INDEX(Curves!$D$8:$D$68,AT$4-$B23+1)</f>
        <v/>
      </c>
      <c r="AU23" s="153">
        <f>$C23*INDEX(Curves!$D$8:$D$68,AU$4-$B23+1)</f>
        <v/>
      </c>
      <c r="AV23" s="153">
        <f>$C23*INDEX(Curves!$D$8:$D$68,AV$4-$B23+1)</f>
        <v/>
      </c>
      <c r="AW23" s="153">
        <f>$C23*INDEX(Curves!$D$8:$D$68,AW$4-$B23+1)</f>
        <v/>
      </c>
      <c r="AX23" s="153">
        <f>$C23*INDEX(Curves!$D$8:$D$68,AX$4-$B23+1)</f>
        <v/>
      </c>
      <c r="AY23" s="153">
        <f>$C23*INDEX(Curves!$D$8:$D$68,AY$4-$B23+1)</f>
        <v/>
      </c>
      <c r="AZ23" s="153">
        <f>$C23*INDEX(Curves!$D$8:$D$68,AZ$4-$B23+1)</f>
        <v/>
      </c>
      <c r="BA23" s="153">
        <f>$C23*INDEX(Curves!$D$8:$D$68,BA$4-$B23+1)</f>
        <v/>
      </c>
      <c r="BB23" s="153">
        <f>$C23*INDEX(Curves!$D$8:$D$68,BB$4-$B23+1)</f>
        <v/>
      </c>
      <c r="BC23" s="153">
        <f>$C23*INDEX(Curves!$D$8:$D$68,BC$4-$B23+1)</f>
        <v/>
      </c>
      <c r="BD23" s="153">
        <f>$C23*INDEX(Curves!$D$8:$D$68,BD$4-$B23+1)</f>
        <v/>
      </c>
      <c r="BE23" s="153">
        <f>$C23*INDEX(Curves!$D$8:$D$68,BE$4-$B23+1)</f>
        <v/>
      </c>
      <c r="BF23" s="153">
        <f>$C23*INDEX(Curves!$D$8:$D$68,BF$4-$B23+1)</f>
        <v/>
      </c>
      <c r="BG23" s="153">
        <f>$C23*INDEX(Curves!$D$8:$D$68,BG$4-$B23+1)</f>
        <v/>
      </c>
      <c r="BH23" s="153">
        <f>$C23*INDEX(Curves!$D$8:$D$68,BH$4-$B23+1)</f>
        <v/>
      </c>
      <c r="BI23" s="153">
        <f>$C23*INDEX(Curves!$D$8:$D$68,BI$4-$B23+1)</f>
        <v/>
      </c>
      <c r="BJ23" s="153">
        <f>$C23*INDEX(Curves!$D$8:$D$68,BJ$4-$B23+1)</f>
        <v/>
      </c>
      <c r="BK23" s="153">
        <f>$C23*INDEX(Curves!$D$8:$D$68,BK$4-$B23+1)</f>
        <v/>
      </c>
      <c r="BL23" s="153">
        <f>$C23*INDEX(Curves!$D$8:$D$68,BL$4-$B23+1)</f>
        <v/>
      </c>
    </row>
    <row r="24">
      <c r="A24" s="147" t="inlineStr">
        <is>
          <t>Cohort month 15</t>
        </is>
      </c>
      <c r="B24" s="147" t="n">
        <v>15</v>
      </c>
      <c r="C24" s="41">
        <f>INDEX(Ops!$E$10:$BL$10,1,$B24)</f>
        <v/>
      </c>
      <c r="T24" s="153">
        <f>$C24*INDEX(Curves!$D$8:$D$68,T$4-$B24+1)</f>
        <v/>
      </c>
      <c r="U24" s="153">
        <f>$C24*INDEX(Curves!$D$8:$D$68,U$4-$B24+1)</f>
        <v/>
      </c>
      <c r="V24" s="153">
        <f>$C24*INDEX(Curves!$D$8:$D$68,V$4-$B24+1)</f>
        <v/>
      </c>
      <c r="W24" s="153">
        <f>$C24*INDEX(Curves!$D$8:$D$68,W$4-$B24+1)</f>
        <v/>
      </c>
      <c r="X24" s="153">
        <f>$C24*INDEX(Curves!$D$8:$D$68,X$4-$B24+1)</f>
        <v/>
      </c>
      <c r="Y24" s="153">
        <f>$C24*INDEX(Curves!$D$8:$D$68,Y$4-$B24+1)</f>
        <v/>
      </c>
      <c r="Z24" s="153">
        <f>$C24*INDEX(Curves!$D$8:$D$68,Z$4-$B24+1)</f>
        <v/>
      </c>
      <c r="AA24" s="153">
        <f>$C24*INDEX(Curves!$D$8:$D$68,AA$4-$B24+1)</f>
        <v/>
      </c>
      <c r="AB24" s="153">
        <f>$C24*INDEX(Curves!$D$8:$D$68,AB$4-$B24+1)</f>
        <v/>
      </c>
      <c r="AC24" s="153">
        <f>$C24*INDEX(Curves!$D$8:$D$68,AC$4-$B24+1)</f>
        <v/>
      </c>
      <c r="AD24" s="153">
        <f>$C24*INDEX(Curves!$D$8:$D$68,AD$4-$B24+1)</f>
        <v/>
      </c>
      <c r="AE24" s="153">
        <f>$C24*INDEX(Curves!$D$8:$D$68,AE$4-$B24+1)</f>
        <v/>
      </c>
      <c r="AF24" s="153">
        <f>$C24*INDEX(Curves!$D$8:$D$68,AF$4-$B24+1)</f>
        <v/>
      </c>
      <c r="AG24" s="153">
        <f>$C24*INDEX(Curves!$D$8:$D$68,AG$4-$B24+1)</f>
        <v/>
      </c>
      <c r="AH24" s="153">
        <f>$C24*INDEX(Curves!$D$8:$D$68,AH$4-$B24+1)</f>
        <v/>
      </c>
      <c r="AI24" s="153">
        <f>$C24*INDEX(Curves!$D$8:$D$68,AI$4-$B24+1)</f>
        <v/>
      </c>
      <c r="AJ24" s="153">
        <f>$C24*INDEX(Curves!$D$8:$D$68,AJ$4-$B24+1)</f>
        <v/>
      </c>
      <c r="AK24" s="153">
        <f>$C24*INDEX(Curves!$D$8:$D$68,AK$4-$B24+1)</f>
        <v/>
      </c>
      <c r="AL24" s="153">
        <f>$C24*INDEX(Curves!$D$8:$D$68,AL$4-$B24+1)</f>
        <v/>
      </c>
      <c r="AM24" s="153">
        <f>$C24*INDEX(Curves!$D$8:$D$68,AM$4-$B24+1)</f>
        <v/>
      </c>
      <c r="AN24" s="153">
        <f>$C24*INDEX(Curves!$D$8:$D$68,AN$4-$B24+1)</f>
        <v/>
      </c>
      <c r="AO24" s="153">
        <f>$C24*INDEX(Curves!$D$8:$D$68,AO$4-$B24+1)</f>
        <v/>
      </c>
      <c r="AP24" s="153">
        <f>$C24*INDEX(Curves!$D$8:$D$68,AP$4-$B24+1)</f>
        <v/>
      </c>
      <c r="AQ24" s="153">
        <f>$C24*INDEX(Curves!$D$8:$D$68,AQ$4-$B24+1)</f>
        <v/>
      </c>
      <c r="AR24" s="153">
        <f>$C24*INDEX(Curves!$D$8:$D$68,AR$4-$B24+1)</f>
        <v/>
      </c>
      <c r="AS24" s="153">
        <f>$C24*INDEX(Curves!$D$8:$D$68,AS$4-$B24+1)</f>
        <v/>
      </c>
      <c r="AT24" s="153">
        <f>$C24*INDEX(Curves!$D$8:$D$68,AT$4-$B24+1)</f>
        <v/>
      </c>
      <c r="AU24" s="153">
        <f>$C24*INDEX(Curves!$D$8:$D$68,AU$4-$B24+1)</f>
        <v/>
      </c>
      <c r="AV24" s="153">
        <f>$C24*INDEX(Curves!$D$8:$D$68,AV$4-$B24+1)</f>
        <v/>
      </c>
      <c r="AW24" s="153">
        <f>$C24*INDEX(Curves!$D$8:$D$68,AW$4-$B24+1)</f>
        <v/>
      </c>
      <c r="AX24" s="153">
        <f>$C24*INDEX(Curves!$D$8:$D$68,AX$4-$B24+1)</f>
        <v/>
      </c>
      <c r="AY24" s="153">
        <f>$C24*INDEX(Curves!$D$8:$D$68,AY$4-$B24+1)</f>
        <v/>
      </c>
      <c r="AZ24" s="153">
        <f>$C24*INDEX(Curves!$D$8:$D$68,AZ$4-$B24+1)</f>
        <v/>
      </c>
      <c r="BA24" s="153">
        <f>$C24*INDEX(Curves!$D$8:$D$68,BA$4-$B24+1)</f>
        <v/>
      </c>
      <c r="BB24" s="153">
        <f>$C24*INDEX(Curves!$D$8:$D$68,BB$4-$B24+1)</f>
        <v/>
      </c>
      <c r="BC24" s="153">
        <f>$C24*INDEX(Curves!$D$8:$D$68,BC$4-$B24+1)</f>
        <v/>
      </c>
      <c r="BD24" s="153">
        <f>$C24*INDEX(Curves!$D$8:$D$68,BD$4-$B24+1)</f>
        <v/>
      </c>
      <c r="BE24" s="153">
        <f>$C24*INDEX(Curves!$D$8:$D$68,BE$4-$B24+1)</f>
        <v/>
      </c>
      <c r="BF24" s="153">
        <f>$C24*INDEX(Curves!$D$8:$D$68,BF$4-$B24+1)</f>
        <v/>
      </c>
      <c r="BG24" s="153">
        <f>$C24*INDEX(Curves!$D$8:$D$68,BG$4-$B24+1)</f>
        <v/>
      </c>
      <c r="BH24" s="153">
        <f>$C24*INDEX(Curves!$D$8:$D$68,BH$4-$B24+1)</f>
        <v/>
      </c>
      <c r="BI24" s="153">
        <f>$C24*INDEX(Curves!$D$8:$D$68,BI$4-$B24+1)</f>
        <v/>
      </c>
      <c r="BJ24" s="153">
        <f>$C24*INDEX(Curves!$D$8:$D$68,BJ$4-$B24+1)</f>
        <v/>
      </c>
      <c r="BK24" s="153">
        <f>$C24*INDEX(Curves!$D$8:$D$68,BK$4-$B24+1)</f>
        <v/>
      </c>
      <c r="BL24" s="153">
        <f>$C24*INDEX(Curves!$D$8:$D$68,BL$4-$B24+1)</f>
        <v/>
      </c>
    </row>
    <row r="25">
      <c r="A25" s="147" t="inlineStr">
        <is>
          <t>Cohort month 16</t>
        </is>
      </c>
      <c r="B25" s="147" t="n">
        <v>16</v>
      </c>
      <c r="C25" s="41">
        <f>INDEX(Ops!$E$10:$BL$10,1,$B25)</f>
        <v/>
      </c>
      <c r="U25" s="153">
        <f>$C25*INDEX(Curves!$D$8:$D$68,U$4-$B25+1)</f>
        <v/>
      </c>
      <c r="V25" s="153">
        <f>$C25*INDEX(Curves!$D$8:$D$68,V$4-$B25+1)</f>
        <v/>
      </c>
      <c r="W25" s="153">
        <f>$C25*INDEX(Curves!$D$8:$D$68,W$4-$B25+1)</f>
        <v/>
      </c>
      <c r="X25" s="153">
        <f>$C25*INDEX(Curves!$D$8:$D$68,X$4-$B25+1)</f>
        <v/>
      </c>
      <c r="Y25" s="153">
        <f>$C25*INDEX(Curves!$D$8:$D$68,Y$4-$B25+1)</f>
        <v/>
      </c>
      <c r="Z25" s="153">
        <f>$C25*INDEX(Curves!$D$8:$D$68,Z$4-$B25+1)</f>
        <v/>
      </c>
      <c r="AA25" s="153">
        <f>$C25*INDEX(Curves!$D$8:$D$68,AA$4-$B25+1)</f>
        <v/>
      </c>
      <c r="AB25" s="153">
        <f>$C25*INDEX(Curves!$D$8:$D$68,AB$4-$B25+1)</f>
        <v/>
      </c>
      <c r="AC25" s="153">
        <f>$C25*INDEX(Curves!$D$8:$D$68,AC$4-$B25+1)</f>
        <v/>
      </c>
      <c r="AD25" s="153">
        <f>$C25*INDEX(Curves!$D$8:$D$68,AD$4-$B25+1)</f>
        <v/>
      </c>
      <c r="AE25" s="153">
        <f>$C25*INDEX(Curves!$D$8:$D$68,AE$4-$B25+1)</f>
        <v/>
      </c>
      <c r="AF25" s="153">
        <f>$C25*INDEX(Curves!$D$8:$D$68,AF$4-$B25+1)</f>
        <v/>
      </c>
      <c r="AG25" s="153">
        <f>$C25*INDEX(Curves!$D$8:$D$68,AG$4-$B25+1)</f>
        <v/>
      </c>
      <c r="AH25" s="153">
        <f>$C25*INDEX(Curves!$D$8:$D$68,AH$4-$B25+1)</f>
        <v/>
      </c>
      <c r="AI25" s="153">
        <f>$C25*INDEX(Curves!$D$8:$D$68,AI$4-$B25+1)</f>
        <v/>
      </c>
      <c r="AJ25" s="153">
        <f>$C25*INDEX(Curves!$D$8:$D$68,AJ$4-$B25+1)</f>
        <v/>
      </c>
      <c r="AK25" s="153">
        <f>$C25*INDEX(Curves!$D$8:$D$68,AK$4-$B25+1)</f>
        <v/>
      </c>
      <c r="AL25" s="153">
        <f>$C25*INDEX(Curves!$D$8:$D$68,AL$4-$B25+1)</f>
        <v/>
      </c>
      <c r="AM25" s="153">
        <f>$C25*INDEX(Curves!$D$8:$D$68,AM$4-$B25+1)</f>
        <v/>
      </c>
      <c r="AN25" s="153">
        <f>$C25*INDEX(Curves!$D$8:$D$68,AN$4-$B25+1)</f>
        <v/>
      </c>
      <c r="AO25" s="153">
        <f>$C25*INDEX(Curves!$D$8:$D$68,AO$4-$B25+1)</f>
        <v/>
      </c>
      <c r="AP25" s="153">
        <f>$C25*INDEX(Curves!$D$8:$D$68,AP$4-$B25+1)</f>
        <v/>
      </c>
      <c r="AQ25" s="153">
        <f>$C25*INDEX(Curves!$D$8:$D$68,AQ$4-$B25+1)</f>
        <v/>
      </c>
      <c r="AR25" s="153">
        <f>$C25*INDEX(Curves!$D$8:$D$68,AR$4-$B25+1)</f>
        <v/>
      </c>
      <c r="AS25" s="153">
        <f>$C25*INDEX(Curves!$D$8:$D$68,AS$4-$B25+1)</f>
        <v/>
      </c>
      <c r="AT25" s="153">
        <f>$C25*INDEX(Curves!$D$8:$D$68,AT$4-$B25+1)</f>
        <v/>
      </c>
      <c r="AU25" s="153">
        <f>$C25*INDEX(Curves!$D$8:$D$68,AU$4-$B25+1)</f>
        <v/>
      </c>
      <c r="AV25" s="153">
        <f>$C25*INDEX(Curves!$D$8:$D$68,AV$4-$B25+1)</f>
        <v/>
      </c>
      <c r="AW25" s="153">
        <f>$C25*INDEX(Curves!$D$8:$D$68,AW$4-$B25+1)</f>
        <v/>
      </c>
      <c r="AX25" s="153">
        <f>$C25*INDEX(Curves!$D$8:$D$68,AX$4-$B25+1)</f>
        <v/>
      </c>
      <c r="AY25" s="153">
        <f>$C25*INDEX(Curves!$D$8:$D$68,AY$4-$B25+1)</f>
        <v/>
      </c>
      <c r="AZ25" s="153">
        <f>$C25*INDEX(Curves!$D$8:$D$68,AZ$4-$B25+1)</f>
        <v/>
      </c>
      <c r="BA25" s="153">
        <f>$C25*INDEX(Curves!$D$8:$D$68,BA$4-$B25+1)</f>
        <v/>
      </c>
      <c r="BB25" s="153">
        <f>$C25*INDEX(Curves!$D$8:$D$68,BB$4-$B25+1)</f>
        <v/>
      </c>
      <c r="BC25" s="153">
        <f>$C25*INDEX(Curves!$D$8:$D$68,BC$4-$B25+1)</f>
        <v/>
      </c>
      <c r="BD25" s="153">
        <f>$C25*INDEX(Curves!$D$8:$D$68,BD$4-$B25+1)</f>
        <v/>
      </c>
      <c r="BE25" s="153">
        <f>$C25*INDEX(Curves!$D$8:$D$68,BE$4-$B25+1)</f>
        <v/>
      </c>
      <c r="BF25" s="153">
        <f>$C25*INDEX(Curves!$D$8:$D$68,BF$4-$B25+1)</f>
        <v/>
      </c>
      <c r="BG25" s="153">
        <f>$C25*INDEX(Curves!$D$8:$D$68,BG$4-$B25+1)</f>
        <v/>
      </c>
      <c r="BH25" s="153">
        <f>$C25*INDEX(Curves!$D$8:$D$68,BH$4-$B25+1)</f>
        <v/>
      </c>
      <c r="BI25" s="153">
        <f>$C25*INDEX(Curves!$D$8:$D$68,BI$4-$B25+1)</f>
        <v/>
      </c>
      <c r="BJ25" s="153">
        <f>$C25*INDEX(Curves!$D$8:$D$68,BJ$4-$B25+1)</f>
        <v/>
      </c>
      <c r="BK25" s="153">
        <f>$C25*INDEX(Curves!$D$8:$D$68,BK$4-$B25+1)</f>
        <v/>
      </c>
      <c r="BL25" s="153">
        <f>$C25*INDEX(Curves!$D$8:$D$68,BL$4-$B25+1)</f>
        <v/>
      </c>
    </row>
    <row r="26">
      <c r="A26" s="147" t="inlineStr">
        <is>
          <t>Cohort month 17</t>
        </is>
      </c>
      <c r="B26" s="147" t="n">
        <v>17</v>
      </c>
      <c r="C26" s="41">
        <f>INDEX(Ops!$E$10:$BL$10,1,$B26)</f>
        <v/>
      </c>
      <c r="V26" s="153">
        <f>$C26*INDEX(Curves!$D$8:$D$68,V$4-$B26+1)</f>
        <v/>
      </c>
      <c r="W26" s="153">
        <f>$C26*INDEX(Curves!$D$8:$D$68,W$4-$B26+1)</f>
        <v/>
      </c>
      <c r="X26" s="153">
        <f>$C26*INDEX(Curves!$D$8:$D$68,X$4-$B26+1)</f>
        <v/>
      </c>
      <c r="Y26" s="153">
        <f>$C26*INDEX(Curves!$D$8:$D$68,Y$4-$B26+1)</f>
        <v/>
      </c>
      <c r="Z26" s="153">
        <f>$C26*INDEX(Curves!$D$8:$D$68,Z$4-$B26+1)</f>
        <v/>
      </c>
      <c r="AA26" s="153">
        <f>$C26*INDEX(Curves!$D$8:$D$68,AA$4-$B26+1)</f>
        <v/>
      </c>
      <c r="AB26" s="153">
        <f>$C26*INDEX(Curves!$D$8:$D$68,AB$4-$B26+1)</f>
        <v/>
      </c>
      <c r="AC26" s="153">
        <f>$C26*INDEX(Curves!$D$8:$D$68,AC$4-$B26+1)</f>
        <v/>
      </c>
      <c r="AD26" s="153">
        <f>$C26*INDEX(Curves!$D$8:$D$68,AD$4-$B26+1)</f>
        <v/>
      </c>
      <c r="AE26" s="153">
        <f>$C26*INDEX(Curves!$D$8:$D$68,AE$4-$B26+1)</f>
        <v/>
      </c>
      <c r="AF26" s="153">
        <f>$C26*INDEX(Curves!$D$8:$D$68,AF$4-$B26+1)</f>
        <v/>
      </c>
      <c r="AG26" s="153">
        <f>$C26*INDEX(Curves!$D$8:$D$68,AG$4-$B26+1)</f>
        <v/>
      </c>
      <c r="AH26" s="153">
        <f>$C26*INDEX(Curves!$D$8:$D$68,AH$4-$B26+1)</f>
        <v/>
      </c>
      <c r="AI26" s="153">
        <f>$C26*INDEX(Curves!$D$8:$D$68,AI$4-$B26+1)</f>
        <v/>
      </c>
      <c r="AJ26" s="153">
        <f>$C26*INDEX(Curves!$D$8:$D$68,AJ$4-$B26+1)</f>
        <v/>
      </c>
      <c r="AK26" s="153">
        <f>$C26*INDEX(Curves!$D$8:$D$68,AK$4-$B26+1)</f>
        <v/>
      </c>
      <c r="AL26" s="153">
        <f>$C26*INDEX(Curves!$D$8:$D$68,AL$4-$B26+1)</f>
        <v/>
      </c>
      <c r="AM26" s="153">
        <f>$C26*INDEX(Curves!$D$8:$D$68,AM$4-$B26+1)</f>
        <v/>
      </c>
      <c r="AN26" s="153">
        <f>$C26*INDEX(Curves!$D$8:$D$68,AN$4-$B26+1)</f>
        <v/>
      </c>
      <c r="AO26" s="153">
        <f>$C26*INDEX(Curves!$D$8:$D$68,AO$4-$B26+1)</f>
        <v/>
      </c>
      <c r="AP26" s="153">
        <f>$C26*INDEX(Curves!$D$8:$D$68,AP$4-$B26+1)</f>
        <v/>
      </c>
      <c r="AQ26" s="153">
        <f>$C26*INDEX(Curves!$D$8:$D$68,AQ$4-$B26+1)</f>
        <v/>
      </c>
      <c r="AR26" s="153">
        <f>$C26*INDEX(Curves!$D$8:$D$68,AR$4-$B26+1)</f>
        <v/>
      </c>
      <c r="AS26" s="153">
        <f>$C26*INDEX(Curves!$D$8:$D$68,AS$4-$B26+1)</f>
        <v/>
      </c>
      <c r="AT26" s="153">
        <f>$C26*INDEX(Curves!$D$8:$D$68,AT$4-$B26+1)</f>
        <v/>
      </c>
      <c r="AU26" s="153">
        <f>$C26*INDEX(Curves!$D$8:$D$68,AU$4-$B26+1)</f>
        <v/>
      </c>
      <c r="AV26" s="153">
        <f>$C26*INDEX(Curves!$D$8:$D$68,AV$4-$B26+1)</f>
        <v/>
      </c>
      <c r="AW26" s="153">
        <f>$C26*INDEX(Curves!$D$8:$D$68,AW$4-$B26+1)</f>
        <v/>
      </c>
      <c r="AX26" s="153">
        <f>$C26*INDEX(Curves!$D$8:$D$68,AX$4-$B26+1)</f>
        <v/>
      </c>
      <c r="AY26" s="153">
        <f>$C26*INDEX(Curves!$D$8:$D$68,AY$4-$B26+1)</f>
        <v/>
      </c>
      <c r="AZ26" s="153">
        <f>$C26*INDEX(Curves!$D$8:$D$68,AZ$4-$B26+1)</f>
        <v/>
      </c>
      <c r="BA26" s="153">
        <f>$C26*INDEX(Curves!$D$8:$D$68,BA$4-$B26+1)</f>
        <v/>
      </c>
      <c r="BB26" s="153">
        <f>$C26*INDEX(Curves!$D$8:$D$68,BB$4-$B26+1)</f>
        <v/>
      </c>
      <c r="BC26" s="153">
        <f>$C26*INDEX(Curves!$D$8:$D$68,BC$4-$B26+1)</f>
        <v/>
      </c>
      <c r="BD26" s="153">
        <f>$C26*INDEX(Curves!$D$8:$D$68,BD$4-$B26+1)</f>
        <v/>
      </c>
      <c r="BE26" s="153">
        <f>$C26*INDEX(Curves!$D$8:$D$68,BE$4-$B26+1)</f>
        <v/>
      </c>
      <c r="BF26" s="153">
        <f>$C26*INDEX(Curves!$D$8:$D$68,BF$4-$B26+1)</f>
        <v/>
      </c>
      <c r="BG26" s="153">
        <f>$C26*INDEX(Curves!$D$8:$D$68,BG$4-$B26+1)</f>
        <v/>
      </c>
      <c r="BH26" s="153">
        <f>$C26*INDEX(Curves!$D$8:$D$68,BH$4-$B26+1)</f>
        <v/>
      </c>
      <c r="BI26" s="153">
        <f>$C26*INDEX(Curves!$D$8:$D$68,BI$4-$B26+1)</f>
        <v/>
      </c>
      <c r="BJ26" s="153">
        <f>$C26*INDEX(Curves!$D$8:$D$68,BJ$4-$B26+1)</f>
        <v/>
      </c>
      <c r="BK26" s="153">
        <f>$C26*INDEX(Curves!$D$8:$D$68,BK$4-$B26+1)</f>
        <v/>
      </c>
      <c r="BL26" s="153">
        <f>$C26*INDEX(Curves!$D$8:$D$68,BL$4-$B26+1)</f>
        <v/>
      </c>
    </row>
    <row r="27">
      <c r="A27" s="147" t="inlineStr">
        <is>
          <t>Cohort month 18</t>
        </is>
      </c>
      <c r="B27" s="147" t="n">
        <v>18</v>
      </c>
      <c r="C27" s="41">
        <f>INDEX(Ops!$E$10:$BL$10,1,$B27)</f>
        <v/>
      </c>
      <c r="W27" s="153">
        <f>$C27*INDEX(Curves!$D$8:$D$68,W$4-$B27+1)</f>
        <v/>
      </c>
      <c r="X27" s="153">
        <f>$C27*INDEX(Curves!$D$8:$D$68,X$4-$B27+1)</f>
        <v/>
      </c>
      <c r="Y27" s="153">
        <f>$C27*INDEX(Curves!$D$8:$D$68,Y$4-$B27+1)</f>
        <v/>
      </c>
      <c r="Z27" s="153">
        <f>$C27*INDEX(Curves!$D$8:$D$68,Z$4-$B27+1)</f>
        <v/>
      </c>
      <c r="AA27" s="153">
        <f>$C27*INDEX(Curves!$D$8:$D$68,AA$4-$B27+1)</f>
        <v/>
      </c>
      <c r="AB27" s="153">
        <f>$C27*INDEX(Curves!$D$8:$D$68,AB$4-$B27+1)</f>
        <v/>
      </c>
      <c r="AC27" s="153">
        <f>$C27*INDEX(Curves!$D$8:$D$68,AC$4-$B27+1)</f>
        <v/>
      </c>
      <c r="AD27" s="153">
        <f>$C27*INDEX(Curves!$D$8:$D$68,AD$4-$B27+1)</f>
        <v/>
      </c>
      <c r="AE27" s="153">
        <f>$C27*INDEX(Curves!$D$8:$D$68,AE$4-$B27+1)</f>
        <v/>
      </c>
      <c r="AF27" s="153">
        <f>$C27*INDEX(Curves!$D$8:$D$68,AF$4-$B27+1)</f>
        <v/>
      </c>
      <c r="AG27" s="153">
        <f>$C27*INDEX(Curves!$D$8:$D$68,AG$4-$B27+1)</f>
        <v/>
      </c>
      <c r="AH27" s="153">
        <f>$C27*INDEX(Curves!$D$8:$D$68,AH$4-$B27+1)</f>
        <v/>
      </c>
      <c r="AI27" s="153">
        <f>$C27*INDEX(Curves!$D$8:$D$68,AI$4-$B27+1)</f>
        <v/>
      </c>
      <c r="AJ27" s="153">
        <f>$C27*INDEX(Curves!$D$8:$D$68,AJ$4-$B27+1)</f>
        <v/>
      </c>
      <c r="AK27" s="153">
        <f>$C27*INDEX(Curves!$D$8:$D$68,AK$4-$B27+1)</f>
        <v/>
      </c>
      <c r="AL27" s="153">
        <f>$C27*INDEX(Curves!$D$8:$D$68,AL$4-$B27+1)</f>
        <v/>
      </c>
      <c r="AM27" s="153">
        <f>$C27*INDEX(Curves!$D$8:$D$68,AM$4-$B27+1)</f>
        <v/>
      </c>
      <c r="AN27" s="153">
        <f>$C27*INDEX(Curves!$D$8:$D$68,AN$4-$B27+1)</f>
        <v/>
      </c>
      <c r="AO27" s="153">
        <f>$C27*INDEX(Curves!$D$8:$D$68,AO$4-$B27+1)</f>
        <v/>
      </c>
      <c r="AP27" s="153">
        <f>$C27*INDEX(Curves!$D$8:$D$68,AP$4-$B27+1)</f>
        <v/>
      </c>
      <c r="AQ27" s="153">
        <f>$C27*INDEX(Curves!$D$8:$D$68,AQ$4-$B27+1)</f>
        <v/>
      </c>
      <c r="AR27" s="153">
        <f>$C27*INDEX(Curves!$D$8:$D$68,AR$4-$B27+1)</f>
        <v/>
      </c>
      <c r="AS27" s="153">
        <f>$C27*INDEX(Curves!$D$8:$D$68,AS$4-$B27+1)</f>
        <v/>
      </c>
      <c r="AT27" s="153">
        <f>$C27*INDEX(Curves!$D$8:$D$68,AT$4-$B27+1)</f>
        <v/>
      </c>
      <c r="AU27" s="153">
        <f>$C27*INDEX(Curves!$D$8:$D$68,AU$4-$B27+1)</f>
        <v/>
      </c>
      <c r="AV27" s="153">
        <f>$C27*INDEX(Curves!$D$8:$D$68,AV$4-$B27+1)</f>
        <v/>
      </c>
      <c r="AW27" s="153">
        <f>$C27*INDEX(Curves!$D$8:$D$68,AW$4-$B27+1)</f>
        <v/>
      </c>
      <c r="AX27" s="153">
        <f>$C27*INDEX(Curves!$D$8:$D$68,AX$4-$B27+1)</f>
        <v/>
      </c>
      <c r="AY27" s="153">
        <f>$C27*INDEX(Curves!$D$8:$D$68,AY$4-$B27+1)</f>
        <v/>
      </c>
      <c r="AZ27" s="153">
        <f>$C27*INDEX(Curves!$D$8:$D$68,AZ$4-$B27+1)</f>
        <v/>
      </c>
      <c r="BA27" s="153">
        <f>$C27*INDEX(Curves!$D$8:$D$68,BA$4-$B27+1)</f>
        <v/>
      </c>
      <c r="BB27" s="153">
        <f>$C27*INDEX(Curves!$D$8:$D$68,BB$4-$B27+1)</f>
        <v/>
      </c>
      <c r="BC27" s="153">
        <f>$C27*INDEX(Curves!$D$8:$D$68,BC$4-$B27+1)</f>
        <v/>
      </c>
      <c r="BD27" s="153">
        <f>$C27*INDEX(Curves!$D$8:$D$68,BD$4-$B27+1)</f>
        <v/>
      </c>
      <c r="BE27" s="153">
        <f>$C27*INDEX(Curves!$D$8:$D$68,BE$4-$B27+1)</f>
        <v/>
      </c>
      <c r="BF27" s="153">
        <f>$C27*INDEX(Curves!$D$8:$D$68,BF$4-$B27+1)</f>
        <v/>
      </c>
      <c r="BG27" s="153">
        <f>$C27*INDEX(Curves!$D$8:$D$68,BG$4-$B27+1)</f>
        <v/>
      </c>
      <c r="BH27" s="153">
        <f>$C27*INDEX(Curves!$D$8:$D$68,BH$4-$B27+1)</f>
        <v/>
      </c>
      <c r="BI27" s="153">
        <f>$C27*INDEX(Curves!$D$8:$D$68,BI$4-$B27+1)</f>
        <v/>
      </c>
      <c r="BJ27" s="153">
        <f>$C27*INDEX(Curves!$D$8:$D$68,BJ$4-$B27+1)</f>
        <v/>
      </c>
      <c r="BK27" s="153">
        <f>$C27*INDEX(Curves!$D$8:$D$68,BK$4-$B27+1)</f>
        <v/>
      </c>
      <c r="BL27" s="153">
        <f>$C27*INDEX(Curves!$D$8:$D$68,BL$4-$B27+1)</f>
        <v/>
      </c>
    </row>
    <row r="28">
      <c r="A28" s="147" t="inlineStr">
        <is>
          <t>Cohort month 19</t>
        </is>
      </c>
      <c r="B28" s="147" t="n">
        <v>19</v>
      </c>
      <c r="C28" s="41">
        <f>INDEX(Ops!$E$10:$BL$10,1,$B28)</f>
        <v/>
      </c>
      <c r="X28" s="153">
        <f>$C28*INDEX(Curves!$D$8:$D$68,X$4-$B28+1)</f>
        <v/>
      </c>
      <c r="Y28" s="153">
        <f>$C28*INDEX(Curves!$D$8:$D$68,Y$4-$B28+1)</f>
        <v/>
      </c>
      <c r="Z28" s="153">
        <f>$C28*INDEX(Curves!$D$8:$D$68,Z$4-$B28+1)</f>
        <v/>
      </c>
      <c r="AA28" s="153">
        <f>$C28*INDEX(Curves!$D$8:$D$68,AA$4-$B28+1)</f>
        <v/>
      </c>
      <c r="AB28" s="153">
        <f>$C28*INDEX(Curves!$D$8:$D$68,AB$4-$B28+1)</f>
        <v/>
      </c>
      <c r="AC28" s="153">
        <f>$C28*INDEX(Curves!$D$8:$D$68,AC$4-$B28+1)</f>
        <v/>
      </c>
      <c r="AD28" s="153">
        <f>$C28*INDEX(Curves!$D$8:$D$68,AD$4-$B28+1)</f>
        <v/>
      </c>
      <c r="AE28" s="153">
        <f>$C28*INDEX(Curves!$D$8:$D$68,AE$4-$B28+1)</f>
        <v/>
      </c>
      <c r="AF28" s="153">
        <f>$C28*INDEX(Curves!$D$8:$D$68,AF$4-$B28+1)</f>
        <v/>
      </c>
      <c r="AG28" s="153">
        <f>$C28*INDEX(Curves!$D$8:$D$68,AG$4-$B28+1)</f>
        <v/>
      </c>
      <c r="AH28" s="153">
        <f>$C28*INDEX(Curves!$D$8:$D$68,AH$4-$B28+1)</f>
        <v/>
      </c>
      <c r="AI28" s="153">
        <f>$C28*INDEX(Curves!$D$8:$D$68,AI$4-$B28+1)</f>
        <v/>
      </c>
      <c r="AJ28" s="153">
        <f>$C28*INDEX(Curves!$D$8:$D$68,AJ$4-$B28+1)</f>
        <v/>
      </c>
      <c r="AK28" s="153">
        <f>$C28*INDEX(Curves!$D$8:$D$68,AK$4-$B28+1)</f>
        <v/>
      </c>
      <c r="AL28" s="153">
        <f>$C28*INDEX(Curves!$D$8:$D$68,AL$4-$B28+1)</f>
        <v/>
      </c>
      <c r="AM28" s="153">
        <f>$C28*INDEX(Curves!$D$8:$D$68,AM$4-$B28+1)</f>
        <v/>
      </c>
      <c r="AN28" s="153">
        <f>$C28*INDEX(Curves!$D$8:$D$68,AN$4-$B28+1)</f>
        <v/>
      </c>
      <c r="AO28" s="153">
        <f>$C28*INDEX(Curves!$D$8:$D$68,AO$4-$B28+1)</f>
        <v/>
      </c>
      <c r="AP28" s="153">
        <f>$C28*INDEX(Curves!$D$8:$D$68,AP$4-$B28+1)</f>
        <v/>
      </c>
      <c r="AQ28" s="153">
        <f>$C28*INDEX(Curves!$D$8:$D$68,AQ$4-$B28+1)</f>
        <v/>
      </c>
      <c r="AR28" s="153">
        <f>$C28*INDEX(Curves!$D$8:$D$68,AR$4-$B28+1)</f>
        <v/>
      </c>
      <c r="AS28" s="153">
        <f>$C28*INDEX(Curves!$D$8:$D$68,AS$4-$B28+1)</f>
        <v/>
      </c>
      <c r="AT28" s="153">
        <f>$C28*INDEX(Curves!$D$8:$D$68,AT$4-$B28+1)</f>
        <v/>
      </c>
      <c r="AU28" s="153">
        <f>$C28*INDEX(Curves!$D$8:$D$68,AU$4-$B28+1)</f>
        <v/>
      </c>
      <c r="AV28" s="153">
        <f>$C28*INDEX(Curves!$D$8:$D$68,AV$4-$B28+1)</f>
        <v/>
      </c>
      <c r="AW28" s="153">
        <f>$C28*INDEX(Curves!$D$8:$D$68,AW$4-$B28+1)</f>
        <v/>
      </c>
      <c r="AX28" s="153">
        <f>$C28*INDEX(Curves!$D$8:$D$68,AX$4-$B28+1)</f>
        <v/>
      </c>
      <c r="AY28" s="153">
        <f>$C28*INDEX(Curves!$D$8:$D$68,AY$4-$B28+1)</f>
        <v/>
      </c>
      <c r="AZ28" s="153">
        <f>$C28*INDEX(Curves!$D$8:$D$68,AZ$4-$B28+1)</f>
        <v/>
      </c>
      <c r="BA28" s="153">
        <f>$C28*INDEX(Curves!$D$8:$D$68,BA$4-$B28+1)</f>
        <v/>
      </c>
      <c r="BB28" s="153">
        <f>$C28*INDEX(Curves!$D$8:$D$68,BB$4-$B28+1)</f>
        <v/>
      </c>
      <c r="BC28" s="153">
        <f>$C28*INDEX(Curves!$D$8:$D$68,BC$4-$B28+1)</f>
        <v/>
      </c>
      <c r="BD28" s="153">
        <f>$C28*INDEX(Curves!$D$8:$D$68,BD$4-$B28+1)</f>
        <v/>
      </c>
      <c r="BE28" s="153">
        <f>$C28*INDEX(Curves!$D$8:$D$68,BE$4-$B28+1)</f>
        <v/>
      </c>
      <c r="BF28" s="153">
        <f>$C28*INDEX(Curves!$D$8:$D$68,BF$4-$B28+1)</f>
        <v/>
      </c>
      <c r="BG28" s="153">
        <f>$C28*INDEX(Curves!$D$8:$D$68,BG$4-$B28+1)</f>
        <v/>
      </c>
      <c r="BH28" s="153">
        <f>$C28*INDEX(Curves!$D$8:$D$68,BH$4-$B28+1)</f>
        <v/>
      </c>
      <c r="BI28" s="153">
        <f>$C28*INDEX(Curves!$D$8:$D$68,BI$4-$B28+1)</f>
        <v/>
      </c>
      <c r="BJ28" s="153">
        <f>$C28*INDEX(Curves!$D$8:$D$68,BJ$4-$B28+1)</f>
        <v/>
      </c>
      <c r="BK28" s="153">
        <f>$C28*INDEX(Curves!$D$8:$D$68,BK$4-$B28+1)</f>
        <v/>
      </c>
      <c r="BL28" s="153">
        <f>$C28*INDEX(Curves!$D$8:$D$68,BL$4-$B28+1)</f>
        <v/>
      </c>
    </row>
    <row r="29">
      <c r="A29" s="147" t="inlineStr">
        <is>
          <t>Cohort month 20</t>
        </is>
      </c>
      <c r="B29" s="147" t="n">
        <v>20</v>
      </c>
      <c r="C29" s="41">
        <f>INDEX(Ops!$E$10:$BL$10,1,$B29)</f>
        <v/>
      </c>
      <c r="Y29" s="153">
        <f>$C29*INDEX(Curves!$D$8:$D$68,Y$4-$B29+1)</f>
        <v/>
      </c>
      <c r="Z29" s="153">
        <f>$C29*INDEX(Curves!$D$8:$D$68,Z$4-$B29+1)</f>
        <v/>
      </c>
      <c r="AA29" s="153">
        <f>$C29*INDEX(Curves!$D$8:$D$68,AA$4-$B29+1)</f>
        <v/>
      </c>
      <c r="AB29" s="153">
        <f>$C29*INDEX(Curves!$D$8:$D$68,AB$4-$B29+1)</f>
        <v/>
      </c>
      <c r="AC29" s="153">
        <f>$C29*INDEX(Curves!$D$8:$D$68,AC$4-$B29+1)</f>
        <v/>
      </c>
      <c r="AD29" s="153">
        <f>$C29*INDEX(Curves!$D$8:$D$68,AD$4-$B29+1)</f>
        <v/>
      </c>
      <c r="AE29" s="153">
        <f>$C29*INDEX(Curves!$D$8:$D$68,AE$4-$B29+1)</f>
        <v/>
      </c>
      <c r="AF29" s="153">
        <f>$C29*INDEX(Curves!$D$8:$D$68,AF$4-$B29+1)</f>
        <v/>
      </c>
      <c r="AG29" s="153">
        <f>$C29*INDEX(Curves!$D$8:$D$68,AG$4-$B29+1)</f>
        <v/>
      </c>
      <c r="AH29" s="153">
        <f>$C29*INDEX(Curves!$D$8:$D$68,AH$4-$B29+1)</f>
        <v/>
      </c>
      <c r="AI29" s="153">
        <f>$C29*INDEX(Curves!$D$8:$D$68,AI$4-$B29+1)</f>
        <v/>
      </c>
      <c r="AJ29" s="153">
        <f>$C29*INDEX(Curves!$D$8:$D$68,AJ$4-$B29+1)</f>
        <v/>
      </c>
      <c r="AK29" s="153">
        <f>$C29*INDEX(Curves!$D$8:$D$68,AK$4-$B29+1)</f>
        <v/>
      </c>
      <c r="AL29" s="153">
        <f>$C29*INDEX(Curves!$D$8:$D$68,AL$4-$B29+1)</f>
        <v/>
      </c>
      <c r="AM29" s="153">
        <f>$C29*INDEX(Curves!$D$8:$D$68,AM$4-$B29+1)</f>
        <v/>
      </c>
      <c r="AN29" s="153">
        <f>$C29*INDEX(Curves!$D$8:$D$68,AN$4-$B29+1)</f>
        <v/>
      </c>
      <c r="AO29" s="153">
        <f>$C29*INDEX(Curves!$D$8:$D$68,AO$4-$B29+1)</f>
        <v/>
      </c>
      <c r="AP29" s="153">
        <f>$C29*INDEX(Curves!$D$8:$D$68,AP$4-$B29+1)</f>
        <v/>
      </c>
      <c r="AQ29" s="153">
        <f>$C29*INDEX(Curves!$D$8:$D$68,AQ$4-$B29+1)</f>
        <v/>
      </c>
      <c r="AR29" s="153">
        <f>$C29*INDEX(Curves!$D$8:$D$68,AR$4-$B29+1)</f>
        <v/>
      </c>
      <c r="AS29" s="153">
        <f>$C29*INDEX(Curves!$D$8:$D$68,AS$4-$B29+1)</f>
        <v/>
      </c>
      <c r="AT29" s="153">
        <f>$C29*INDEX(Curves!$D$8:$D$68,AT$4-$B29+1)</f>
        <v/>
      </c>
      <c r="AU29" s="153">
        <f>$C29*INDEX(Curves!$D$8:$D$68,AU$4-$B29+1)</f>
        <v/>
      </c>
      <c r="AV29" s="153">
        <f>$C29*INDEX(Curves!$D$8:$D$68,AV$4-$B29+1)</f>
        <v/>
      </c>
      <c r="AW29" s="153">
        <f>$C29*INDEX(Curves!$D$8:$D$68,AW$4-$B29+1)</f>
        <v/>
      </c>
      <c r="AX29" s="153">
        <f>$C29*INDEX(Curves!$D$8:$D$68,AX$4-$B29+1)</f>
        <v/>
      </c>
      <c r="AY29" s="153">
        <f>$C29*INDEX(Curves!$D$8:$D$68,AY$4-$B29+1)</f>
        <v/>
      </c>
      <c r="AZ29" s="153">
        <f>$C29*INDEX(Curves!$D$8:$D$68,AZ$4-$B29+1)</f>
        <v/>
      </c>
      <c r="BA29" s="153">
        <f>$C29*INDEX(Curves!$D$8:$D$68,BA$4-$B29+1)</f>
        <v/>
      </c>
      <c r="BB29" s="153">
        <f>$C29*INDEX(Curves!$D$8:$D$68,BB$4-$B29+1)</f>
        <v/>
      </c>
      <c r="BC29" s="153">
        <f>$C29*INDEX(Curves!$D$8:$D$68,BC$4-$B29+1)</f>
        <v/>
      </c>
      <c r="BD29" s="153">
        <f>$C29*INDEX(Curves!$D$8:$D$68,BD$4-$B29+1)</f>
        <v/>
      </c>
      <c r="BE29" s="153">
        <f>$C29*INDEX(Curves!$D$8:$D$68,BE$4-$B29+1)</f>
        <v/>
      </c>
      <c r="BF29" s="153">
        <f>$C29*INDEX(Curves!$D$8:$D$68,BF$4-$B29+1)</f>
        <v/>
      </c>
      <c r="BG29" s="153">
        <f>$C29*INDEX(Curves!$D$8:$D$68,BG$4-$B29+1)</f>
        <v/>
      </c>
      <c r="BH29" s="153">
        <f>$C29*INDEX(Curves!$D$8:$D$68,BH$4-$B29+1)</f>
        <v/>
      </c>
      <c r="BI29" s="153">
        <f>$C29*INDEX(Curves!$D$8:$D$68,BI$4-$B29+1)</f>
        <v/>
      </c>
      <c r="BJ29" s="153">
        <f>$C29*INDEX(Curves!$D$8:$D$68,BJ$4-$B29+1)</f>
        <v/>
      </c>
      <c r="BK29" s="153">
        <f>$C29*INDEX(Curves!$D$8:$D$68,BK$4-$B29+1)</f>
        <v/>
      </c>
      <c r="BL29" s="153">
        <f>$C29*INDEX(Curves!$D$8:$D$68,BL$4-$B29+1)</f>
        <v/>
      </c>
    </row>
    <row r="30">
      <c r="A30" s="147" t="inlineStr">
        <is>
          <t>Cohort month 21</t>
        </is>
      </c>
      <c r="B30" s="147" t="n">
        <v>21</v>
      </c>
      <c r="C30" s="41">
        <f>INDEX(Ops!$E$10:$BL$10,1,$B30)</f>
        <v/>
      </c>
      <c r="Z30" s="153">
        <f>$C30*INDEX(Curves!$D$8:$D$68,Z$4-$B30+1)</f>
        <v/>
      </c>
      <c r="AA30" s="153">
        <f>$C30*INDEX(Curves!$D$8:$D$68,AA$4-$B30+1)</f>
        <v/>
      </c>
      <c r="AB30" s="153">
        <f>$C30*INDEX(Curves!$D$8:$D$68,AB$4-$B30+1)</f>
        <v/>
      </c>
      <c r="AC30" s="153">
        <f>$C30*INDEX(Curves!$D$8:$D$68,AC$4-$B30+1)</f>
        <v/>
      </c>
      <c r="AD30" s="153">
        <f>$C30*INDEX(Curves!$D$8:$D$68,AD$4-$B30+1)</f>
        <v/>
      </c>
      <c r="AE30" s="153">
        <f>$C30*INDEX(Curves!$D$8:$D$68,AE$4-$B30+1)</f>
        <v/>
      </c>
      <c r="AF30" s="153">
        <f>$C30*INDEX(Curves!$D$8:$D$68,AF$4-$B30+1)</f>
        <v/>
      </c>
      <c r="AG30" s="153">
        <f>$C30*INDEX(Curves!$D$8:$D$68,AG$4-$B30+1)</f>
        <v/>
      </c>
      <c r="AH30" s="153">
        <f>$C30*INDEX(Curves!$D$8:$D$68,AH$4-$B30+1)</f>
        <v/>
      </c>
      <c r="AI30" s="153">
        <f>$C30*INDEX(Curves!$D$8:$D$68,AI$4-$B30+1)</f>
        <v/>
      </c>
      <c r="AJ30" s="153">
        <f>$C30*INDEX(Curves!$D$8:$D$68,AJ$4-$B30+1)</f>
        <v/>
      </c>
      <c r="AK30" s="153">
        <f>$C30*INDEX(Curves!$D$8:$D$68,AK$4-$B30+1)</f>
        <v/>
      </c>
      <c r="AL30" s="153">
        <f>$C30*INDEX(Curves!$D$8:$D$68,AL$4-$B30+1)</f>
        <v/>
      </c>
      <c r="AM30" s="153">
        <f>$C30*INDEX(Curves!$D$8:$D$68,AM$4-$B30+1)</f>
        <v/>
      </c>
      <c r="AN30" s="153">
        <f>$C30*INDEX(Curves!$D$8:$D$68,AN$4-$B30+1)</f>
        <v/>
      </c>
      <c r="AO30" s="153">
        <f>$C30*INDEX(Curves!$D$8:$D$68,AO$4-$B30+1)</f>
        <v/>
      </c>
      <c r="AP30" s="153">
        <f>$C30*INDEX(Curves!$D$8:$D$68,AP$4-$B30+1)</f>
        <v/>
      </c>
      <c r="AQ30" s="153">
        <f>$C30*INDEX(Curves!$D$8:$D$68,AQ$4-$B30+1)</f>
        <v/>
      </c>
      <c r="AR30" s="153">
        <f>$C30*INDEX(Curves!$D$8:$D$68,AR$4-$B30+1)</f>
        <v/>
      </c>
      <c r="AS30" s="153">
        <f>$C30*INDEX(Curves!$D$8:$D$68,AS$4-$B30+1)</f>
        <v/>
      </c>
      <c r="AT30" s="153">
        <f>$C30*INDEX(Curves!$D$8:$D$68,AT$4-$B30+1)</f>
        <v/>
      </c>
      <c r="AU30" s="153">
        <f>$C30*INDEX(Curves!$D$8:$D$68,AU$4-$B30+1)</f>
        <v/>
      </c>
      <c r="AV30" s="153">
        <f>$C30*INDEX(Curves!$D$8:$D$68,AV$4-$B30+1)</f>
        <v/>
      </c>
      <c r="AW30" s="153">
        <f>$C30*INDEX(Curves!$D$8:$D$68,AW$4-$B30+1)</f>
        <v/>
      </c>
      <c r="AX30" s="153">
        <f>$C30*INDEX(Curves!$D$8:$D$68,AX$4-$B30+1)</f>
        <v/>
      </c>
      <c r="AY30" s="153">
        <f>$C30*INDEX(Curves!$D$8:$D$68,AY$4-$B30+1)</f>
        <v/>
      </c>
      <c r="AZ30" s="153">
        <f>$C30*INDEX(Curves!$D$8:$D$68,AZ$4-$B30+1)</f>
        <v/>
      </c>
      <c r="BA30" s="153">
        <f>$C30*INDEX(Curves!$D$8:$D$68,BA$4-$B30+1)</f>
        <v/>
      </c>
      <c r="BB30" s="153">
        <f>$C30*INDEX(Curves!$D$8:$D$68,BB$4-$B30+1)</f>
        <v/>
      </c>
      <c r="BC30" s="153">
        <f>$C30*INDEX(Curves!$D$8:$D$68,BC$4-$B30+1)</f>
        <v/>
      </c>
      <c r="BD30" s="153">
        <f>$C30*INDEX(Curves!$D$8:$D$68,BD$4-$B30+1)</f>
        <v/>
      </c>
      <c r="BE30" s="153">
        <f>$C30*INDEX(Curves!$D$8:$D$68,BE$4-$B30+1)</f>
        <v/>
      </c>
      <c r="BF30" s="153">
        <f>$C30*INDEX(Curves!$D$8:$D$68,BF$4-$B30+1)</f>
        <v/>
      </c>
      <c r="BG30" s="153">
        <f>$C30*INDEX(Curves!$D$8:$D$68,BG$4-$B30+1)</f>
        <v/>
      </c>
      <c r="BH30" s="153">
        <f>$C30*INDEX(Curves!$D$8:$D$68,BH$4-$B30+1)</f>
        <v/>
      </c>
      <c r="BI30" s="153">
        <f>$C30*INDEX(Curves!$D$8:$D$68,BI$4-$B30+1)</f>
        <v/>
      </c>
      <c r="BJ30" s="153">
        <f>$C30*INDEX(Curves!$D$8:$D$68,BJ$4-$B30+1)</f>
        <v/>
      </c>
      <c r="BK30" s="153">
        <f>$C30*INDEX(Curves!$D$8:$D$68,BK$4-$B30+1)</f>
        <v/>
      </c>
      <c r="BL30" s="153">
        <f>$C30*INDEX(Curves!$D$8:$D$68,BL$4-$B30+1)</f>
        <v/>
      </c>
    </row>
    <row r="31">
      <c r="A31" s="147" t="inlineStr">
        <is>
          <t>Cohort month 22</t>
        </is>
      </c>
      <c r="B31" s="147" t="n">
        <v>22</v>
      </c>
      <c r="C31" s="41">
        <f>INDEX(Ops!$E$10:$BL$10,1,$B31)</f>
        <v/>
      </c>
      <c r="AA31" s="153">
        <f>$C31*INDEX(Curves!$D$8:$D$68,AA$4-$B31+1)</f>
        <v/>
      </c>
      <c r="AB31" s="153">
        <f>$C31*INDEX(Curves!$D$8:$D$68,AB$4-$B31+1)</f>
        <v/>
      </c>
      <c r="AC31" s="153">
        <f>$C31*INDEX(Curves!$D$8:$D$68,AC$4-$B31+1)</f>
        <v/>
      </c>
      <c r="AD31" s="153">
        <f>$C31*INDEX(Curves!$D$8:$D$68,AD$4-$B31+1)</f>
        <v/>
      </c>
      <c r="AE31" s="153">
        <f>$C31*INDEX(Curves!$D$8:$D$68,AE$4-$B31+1)</f>
        <v/>
      </c>
      <c r="AF31" s="153">
        <f>$C31*INDEX(Curves!$D$8:$D$68,AF$4-$B31+1)</f>
        <v/>
      </c>
      <c r="AG31" s="153">
        <f>$C31*INDEX(Curves!$D$8:$D$68,AG$4-$B31+1)</f>
        <v/>
      </c>
      <c r="AH31" s="153">
        <f>$C31*INDEX(Curves!$D$8:$D$68,AH$4-$B31+1)</f>
        <v/>
      </c>
      <c r="AI31" s="153">
        <f>$C31*INDEX(Curves!$D$8:$D$68,AI$4-$B31+1)</f>
        <v/>
      </c>
      <c r="AJ31" s="153">
        <f>$C31*INDEX(Curves!$D$8:$D$68,AJ$4-$B31+1)</f>
        <v/>
      </c>
      <c r="AK31" s="153">
        <f>$C31*INDEX(Curves!$D$8:$D$68,AK$4-$B31+1)</f>
        <v/>
      </c>
      <c r="AL31" s="153">
        <f>$C31*INDEX(Curves!$D$8:$D$68,AL$4-$B31+1)</f>
        <v/>
      </c>
      <c r="AM31" s="153">
        <f>$C31*INDEX(Curves!$D$8:$D$68,AM$4-$B31+1)</f>
        <v/>
      </c>
      <c r="AN31" s="153">
        <f>$C31*INDEX(Curves!$D$8:$D$68,AN$4-$B31+1)</f>
        <v/>
      </c>
      <c r="AO31" s="153">
        <f>$C31*INDEX(Curves!$D$8:$D$68,AO$4-$B31+1)</f>
        <v/>
      </c>
      <c r="AP31" s="153">
        <f>$C31*INDEX(Curves!$D$8:$D$68,AP$4-$B31+1)</f>
        <v/>
      </c>
      <c r="AQ31" s="153">
        <f>$C31*INDEX(Curves!$D$8:$D$68,AQ$4-$B31+1)</f>
        <v/>
      </c>
      <c r="AR31" s="153">
        <f>$C31*INDEX(Curves!$D$8:$D$68,AR$4-$B31+1)</f>
        <v/>
      </c>
      <c r="AS31" s="153">
        <f>$C31*INDEX(Curves!$D$8:$D$68,AS$4-$B31+1)</f>
        <v/>
      </c>
      <c r="AT31" s="153">
        <f>$C31*INDEX(Curves!$D$8:$D$68,AT$4-$B31+1)</f>
        <v/>
      </c>
      <c r="AU31" s="153">
        <f>$C31*INDEX(Curves!$D$8:$D$68,AU$4-$B31+1)</f>
        <v/>
      </c>
      <c r="AV31" s="153">
        <f>$C31*INDEX(Curves!$D$8:$D$68,AV$4-$B31+1)</f>
        <v/>
      </c>
      <c r="AW31" s="153">
        <f>$C31*INDEX(Curves!$D$8:$D$68,AW$4-$B31+1)</f>
        <v/>
      </c>
      <c r="AX31" s="153">
        <f>$C31*INDEX(Curves!$D$8:$D$68,AX$4-$B31+1)</f>
        <v/>
      </c>
      <c r="AY31" s="153">
        <f>$C31*INDEX(Curves!$D$8:$D$68,AY$4-$B31+1)</f>
        <v/>
      </c>
      <c r="AZ31" s="153">
        <f>$C31*INDEX(Curves!$D$8:$D$68,AZ$4-$B31+1)</f>
        <v/>
      </c>
      <c r="BA31" s="153">
        <f>$C31*INDEX(Curves!$D$8:$D$68,BA$4-$B31+1)</f>
        <v/>
      </c>
      <c r="BB31" s="153">
        <f>$C31*INDEX(Curves!$D$8:$D$68,BB$4-$B31+1)</f>
        <v/>
      </c>
      <c r="BC31" s="153">
        <f>$C31*INDEX(Curves!$D$8:$D$68,BC$4-$B31+1)</f>
        <v/>
      </c>
      <c r="BD31" s="153">
        <f>$C31*INDEX(Curves!$D$8:$D$68,BD$4-$B31+1)</f>
        <v/>
      </c>
      <c r="BE31" s="153">
        <f>$C31*INDEX(Curves!$D$8:$D$68,BE$4-$B31+1)</f>
        <v/>
      </c>
      <c r="BF31" s="153">
        <f>$C31*INDEX(Curves!$D$8:$D$68,BF$4-$B31+1)</f>
        <v/>
      </c>
      <c r="BG31" s="153">
        <f>$C31*INDEX(Curves!$D$8:$D$68,BG$4-$B31+1)</f>
        <v/>
      </c>
      <c r="BH31" s="153">
        <f>$C31*INDEX(Curves!$D$8:$D$68,BH$4-$B31+1)</f>
        <v/>
      </c>
      <c r="BI31" s="153">
        <f>$C31*INDEX(Curves!$D$8:$D$68,BI$4-$B31+1)</f>
        <v/>
      </c>
      <c r="BJ31" s="153">
        <f>$C31*INDEX(Curves!$D$8:$D$68,BJ$4-$B31+1)</f>
        <v/>
      </c>
      <c r="BK31" s="153">
        <f>$C31*INDEX(Curves!$D$8:$D$68,BK$4-$B31+1)</f>
        <v/>
      </c>
      <c r="BL31" s="153">
        <f>$C31*INDEX(Curves!$D$8:$D$68,BL$4-$B31+1)</f>
        <v/>
      </c>
    </row>
    <row r="32">
      <c r="A32" s="147" t="inlineStr">
        <is>
          <t>Cohort month 23</t>
        </is>
      </c>
      <c r="B32" s="147" t="n">
        <v>23</v>
      </c>
      <c r="C32" s="41">
        <f>INDEX(Ops!$E$10:$BL$10,1,$B32)</f>
        <v/>
      </c>
      <c r="AB32" s="153">
        <f>$C32*INDEX(Curves!$D$8:$D$68,AB$4-$B32+1)</f>
        <v/>
      </c>
      <c r="AC32" s="153">
        <f>$C32*INDEX(Curves!$D$8:$D$68,AC$4-$B32+1)</f>
        <v/>
      </c>
      <c r="AD32" s="153">
        <f>$C32*INDEX(Curves!$D$8:$D$68,AD$4-$B32+1)</f>
        <v/>
      </c>
      <c r="AE32" s="153">
        <f>$C32*INDEX(Curves!$D$8:$D$68,AE$4-$B32+1)</f>
        <v/>
      </c>
      <c r="AF32" s="153">
        <f>$C32*INDEX(Curves!$D$8:$D$68,AF$4-$B32+1)</f>
        <v/>
      </c>
      <c r="AG32" s="153">
        <f>$C32*INDEX(Curves!$D$8:$D$68,AG$4-$B32+1)</f>
        <v/>
      </c>
      <c r="AH32" s="153">
        <f>$C32*INDEX(Curves!$D$8:$D$68,AH$4-$B32+1)</f>
        <v/>
      </c>
      <c r="AI32" s="153">
        <f>$C32*INDEX(Curves!$D$8:$D$68,AI$4-$B32+1)</f>
        <v/>
      </c>
      <c r="AJ32" s="153">
        <f>$C32*INDEX(Curves!$D$8:$D$68,AJ$4-$B32+1)</f>
        <v/>
      </c>
      <c r="AK32" s="153">
        <f>$C32*INDEX(Curves!$D$8:$D$68,AK$4-$B32+1)</f>
        <v/>
      </c>
      <c r="AL32" s="153">
        <f>$C32*INDEX(Curves!$D$8:$D$68,AL$4-$B32+1)</f>
        <v/>
      </c>
      <c r="AM32" s="153">
        <f>$C32*INDEX(Curves!$D$8:$D$68,AM$4-$B32+1)</f>
        <v/>
      </c>
      <c r="AN32" s="153">
        <f>$C32*INDEX(Curves!$D$8:$D$68,AN$4-$B32+1)</f>
        <v/>
      </c>
      <c r="AO32" s="153">
        <f>$C32*INDEX(Curves!$D$8:$D$68,AO$4-$B32+1)</f>
        <v/>
      </c>
      <c r="AP32" s="153">
        <f>$C32*INDEX(Curves!$D$8:$D$68,AP$4-$B32+1)</f>
        <v/>
      </c>
      <c r="AQ32" s="153">
        <f>$C32*INDEX(Curves!$D$8:$D$68,AQ$4-$B32+1)</f>
        <v/>
      </c>
      <c r="AR32" s="153">
        <f>$C32*INDEX(Curves!$D$8:$D$68,AR$4-$B32+1)</f>
        <v/>
      </c>
      <c r="AS32" s="153">
        <f>$C32*INDEX(Curves!$D$8:$D$68,AS$4-$B32+1)</f>
        <v/>
      </c>
      <c r="AT32" s="153">
        <f>$C32*INDEX(Curves!$D$8:$D$68,AT$4-$B32+1)</f>
        <v/>
      </c>
      <c r="AU32" s="153">
        <f>$C32*INDEX(Curves!$D$8:$D$68,AU$4-$B32+1)</f>
        <v/>
      </c>
      <c r="AV32" s="153">
        <f>$C32*INDEX(Curves!$D$8:$D$68,AV$4-$B32+1)</f>
        <v/>
      </c>
      <c r="AW32" s="153">
        <f>$C32*INDEX(Curves!$D$8:$D$68,AW$4-$B32+1)</f>
        <v/>
      </c>
      <c r="AX32" s="153">
        <f>$C32*INDEX(Curves!$D$8:$D$68,AX$4-$B32+1)</f>
        <v/>
      </c>
      <c r="AY32" s="153">
        <f>$C32*INDEX(Curves!$D$8:$D$68,AY$4-$B32+1)</f>
        <v/>
      </c>
      <c r="AZ32" s="153">
        <f>$C32*INDEX(Curves!$D$8:$D$68,AZ$4-$B32+1)</f>
        <v/>
      </c>
      <c r="BA32" s="153">
        <f>$C32*INDEX(Curves!$D$8:$D$68,BA$4-$B32+1)</f>
        <v/>
      </c>
      <c r="BB32" s="153">
        <f>$C32*INDEX(Curves!$D$8:$D$68,BB$4-$B32+1)</f>
        <v/>
      </c>
      <c r="BC32" s="153">
        <f>$C32*INDEX(Curves!$D$8:$D$68,BC$4-$B32+1)</f>
        <v/>
      </c>
      <c r="BD32" s="153">
        <f>$C32*INDEX(Curves!$D$8:$D$68,BD$4-$B32+1)</f>
        <v/>
      </c>
      <c r="BE32" s="153">
        <f>$C32*INDEX(Curves!$D$8:$D$68,BE$4-$B32+1)</f>
        <v/>
      </c>
      <c r="BF32" s="153">
        <f>$C32*INDEX(Curves!$D$8:$D$68,BF$4-$B32+1)</f>
        <v/>
      </c>
      <c r="BG32" s="153">
        <f>$C32*INDEX(Curves!$D$8:$D$68,BG$4-$B32+1)</f>
        <v/>
      </c>
      <c r="BH32" s="153">
        <f>$C32*INDEX(Curves!$D$8:$D$68,BH$4-$B32+1)</f>
        <v/>
      </c>
      <c r="BI32" s="153">
        <f>$C32*INDEX(Curves!$D$8:$D$68,BI$4-$B32+1)</f>
        <v/>
      </c>
      <c r="BJ32" s="153">
        <f>$C32*INDEX(Curves!$D$8:$D$68,BJ$4-$B32+1)</f>
        <v/>
      </c>
      <c r="BK32" s="153">
        <f>$C32*INDEX(Curves!$D$8:$D$68,BK$4-$B32+1)</f>
        <v/>
      </c>
      <c r="BL32" s="153">
        <f>$C32*INDEX(Curves!$D$8:$D$68,BL$4-$B32+1)</f>
        <v/>
      </c>
    </row>
    <row r="33">
      <c r="A33" s="147" t="inlineStr">
        <is>
          <t>Cohort month 24</t>
        </is>
      </c>
      <c r="B33" s="147" t="n">
        <v>24</v>
      </c>
      <c r="C33" s="41">
        <f>INDEX(Ops!$E$10:$BL$10,1,$B33)</f>
        <v/>
      </c>
      <c r="AC33" s="153">
        <f>$C33*INDEX(Curves!$D$8:$D$68,AC$4-$B33+1)</f>
        <v/>
      </c>
      <c r="AD33" s="153">
        <f>$C33*INDEX(Curves!$D$8:$D$68,AD$4-$B33+1)</f>
        <v/>
      </c>
      <c r="AE33" s="153">
        <f>$C33*INDEX(Curves!$D$8:$D$68,AE$4-$B33+1)</f>
        <v/>
      </c>
      <c r="AF33" s="153">
        <f>$C33*INDEX(Curves!$D$8:$D$68,AF$4-$B33+1)</f>
        <v/>
      </c>
      <c r="AG33" s="153">
        <f>$C33*INDEX(Curves!$D$8:$D$68,AG$4-$B33+1)</f>
        <v/>
      </c>
      <c r="AH33" s="153">
        <f>$C33*INDEX(Curves!$D$8:$D$68,AH$4-$B33+1)</f>
        <v/>
      </c>
      <c r="AI33" s="153">
        <f>$C33*INDEX(Curves!$D$8:$D$68,AI$4-$B33+1)</f>
        <v/>
      </c>
      <c r="AJ33" s="153">
        <f>$C33*INDEX(Curves!$D$8:$D$68,AJ$4-$B33+1)</f>
        <v/>
      </c>
      <c r="AK33" s="153">
        <f>$C33*INDEX(Curves!$D$8:$D$68,AK$4-$B33+1)</f>
        <v/>
      </c>
      <c r="AL33" s="153">
        <f>$C33*INDEX(Curves!$D$8:$D$68,AL$4-$B33+1)</f>
        <v/>
      </c>
      <c r="AM33" s="153">
        <f>$C33*INDEX(Curves!$D$8:$D$68,AM$4-$B33+1)</f>
        <v/>
      </c>
      <c r="AN33" s="153">
        <f>$C33*INDEX(Curves!$D$8:$D$68,AN$4-$B33+1)</f>
        <v/>
      </c>
      <c r="AO33" s="153">
        <f>$C33*INDEX(Curves!$D$8:$D$68,AO$4-$B33+1)</f>
        <v/>
      </c>
      <c r="AP33" s="153">
        <f>$C33*INDEX(Curves!$D$8:$D$68,AP$4-$B33+1)</f>
        <v/>
      </c>
      <c r="AQ33" s="153">
        <f>$C33*INDEX(Curves!$D$8:$D$68,AQ$4-$B33+1)</f>
        <v/>
      </c>
      <c r="AR33" s="153">
        <f>$C33*INDEX(Curves!$D$8:$D$68,AR$4-$B33+1)</f>
        <v/>
      </c>
      <c r="AS33" s="153">
        <f>$C33*INDEX(Curves!$D$8:$D$68,AS$4-$B33+1)</f>
        <v/>
      </c>
      <c r="AT33" s="153">
        <f>$C33*INDEX(Curves!$D$8:$D$68,AT$4-$B33+1)</f>
        <v/>
      </c>
      <c r="AU33" s="153">
        <f>$C33*INDEX(Curves!$D$8:$D$68,AU$4-$B33+1)</f>
        <v/>
      </c>
      <c r="AV33" s="153">
        <f>$C33*INDEX(Curves!$D$8:$D$68,AV$4-$B33+1)</f>
        <v/>
      </c>
      <c r="AW33" s="153">
        <f>$C33*INDEX(Curves!$D$8:$D$68,AW$4-$B33+1)</f>
        <v/>
      </c>
      <c r="AX33" s="153">
        <f>$C33*INDEX(Curves!$D$8:$D$68,AX$4-$B33+1)</f>
        <v/>
      </c>
      <c r="AY33" s="153">
        <f>$C33*INDEX(Curves!$D$8:$D$68,AY$4-$B33+1)</f>
        <v/>
      </c>
      <c r="AZ33" s="153">
        <f>$C33*INDEX(Curves!$D$8:$D$68,AZ$4-$B33+1)</f>
        <v/>
      </c>
      <c r="BA33" s="153">
        <f>$C33*INDEX(Curves!$D$8:$D$68,BA$4-$B33+1)</f>
        <v/>
      </c>
      <c r="BB33" s="153">
        <f>$C33*INDEX(Curves!$D$8:$D$68,BB$4-$B33+1)</f>
        <v/>
      </c>
      <c r="BC33" s="153">
        <f>$C33*INDEX(Curves!$D$8:$D$68,BC$4-$B33+1)</f>
        <v/>
      </c>
      <c r="BD33" s="153">
        <f>$C33*INDEX(Curves!$D$8:$D$68,BD$4-$B33+1)</f>
        <v/>
      </c>
      <c r="BE33" s="153">
        <f>$C33*INDEX(Curves!$D$8:$D$68,BE$4-$B33+1)</f>
        <v/>
      </c>
      <c r="BF33" s="153">
        <f>$C33*INDEX(Curves!$D$8:$D$68,BF$4-$B33+1)</f>
        <v/>
      </c>
      <c r="BG33" s="153">
        <f>$C33*INDEX(Curves!$D$8:$D$68,BG$4-$B33+1)</f>
        <v/>
      </c>
      <c r="BH33" s="153">
        <f>$C33*INDEX(Curves!$D$8:$D$68,BH$4-$B33+1)</f>
        <v/>
      </c>
      <c r="BI33" s="153">
        <f>$C33*INDEX(Curves!$D$8:$D$68,BI$4-$B33+1)</f>
        <v/>
      </c>
      <c r="BJ33" s="153">
        <f>$C33*INDEX(Curves!$D$8:$D$68,BJ$4-$B33+1)</f>
        <v/>
      </c>
      <c r="BK33" s="153">
        <f>$C33*INDEX(Curves!$D$8:$D$68,BK$4-$B33+1)</f>
        <v/>
      </c>
      <c r="BL33" s="153">
        <f>$C33*INDEX(Curves!$D$8:$D$68,BL$4-$B33+1)</f>
        <v/>
      </c>
    </row>
    <row r="34">
      <c r="A34" s="147" t="inlineStr">
        <is>
          <t>Cohort month 25</t>
        </is>
      </c>
      <c r="B34" s="147" t="n">
        <v>25</v>
      </c>
      <c r="C34" s="41">
        <f>INDEX(Ops!$E$10:$BL$10,1,$B34)</f>
        <v/>
      </c>
      <c r="AD34" s="153">
        <f>$C34*INDEX(Curves!$D$8:$D$68,AD$4-$B34+1)</f>
        <v/>
      </c>
      <c r="AE34" s="153">
        <f>$C34*INDEX(Curves!$D$8:$D$68,AE$4-$B34+1)</f>
        <v/>
      </c>
      <c r="AF34" s="153">
        <f>$C34*INDEX(Curves!$D$8:$D$68,AF$4-$B34+1)</f>
        <v/>
      </c>
      <c r="AG34" s="153">
        <f>$C34*INDEX(Curves!$D$8:$D$68,AG$4-$B34+1)</f>
        <v/>
      </c>
      <c r="AH34" s="153">
        <f>$C34*INDEX(Curves!$D$8:$D$68,AH$4-$B34+1)</f>
        <v/>
      </c>
      <c r="AI34" s="153">
        <f>$C34*INDEX(Curves!$D$8:$D$68,AI$4-$B34+1)</f>
        <v/>
      </c>
      <c r="AJ34" s="153">
        <f>$C34*INDEX(Curves!$D$8:$D$68,AJ$4-$B34+1)</f>
        <v/>
      </c>
      <c r="AK34" s="153">
        <f>$C34*INDEX(Curves!$D$8:$D$68,AK$4-$B34+1)</f>
        <v/>
      </c>
      <c r="AL34" s="153">
        <f>$C34*INDEX(Curves!$D$8:$D$68,AL$4-$B34+1)</f>
        <v/>
      </c>
      <c r="AM34" s="153">
        <f>$C34*INDEX(Curves!$D$8:$D$68,AM$4-$B34+1)</f>
        <v/>
      </c>
      <c r="AN34" s="153">
        <f>$C34*INDEX(Curves!$D$8:$D$68,AN$4-$B34+1)</f>
        <v/>
      </c>
      <c r="AO34" s="153">
        <f>$C34*INDEX(Curves!$D$8:$D$68,AO$4-$B34+1)</f>
        <v/>
      </c>
      <c r="AP34" s="153">
        <f>$C34*INDEX(Curves!$D$8:$D$68,AP$4-$B34+1)</f>
        <v/>
      </c>
      <c r="AQ34" s="153">
        <f>$C34*INDEX(Curves!$D$8:$D$68,AQ$4-$B34+1)</f>
        <v/>
      </c>
      <c r="AR34" s="153">
        <f>$C34*INDEX(Curves!$D$8:$D$68,AR$4-$B34+1)</f>
        <v/>
      </c>
      <c r="AS34" s="153">
        <f>$C34*INDEX(Curves!$D$8:$D$68,AS$4-$B34+1)</f>
        <v/>
      </c>
      <c r="AT34" s="153">
        <f>$C34*INDEX(Curves!$D$8:$D$68,AT$4-$B34+1)</f>
        <v/>
      </c>
      <c r="AU34" s="153">
        <f>$C34*INDEX(Curves!$D$8:$D$68,AU$4-$B34+1)</f>
        <v/>
      </c>
      <c r="AV34" s="153">
        <f>$C34*INDEX(Curves!$D$8:$D$68,AV$4-$B34+1)</f>
        <v/>
      </c>
      <c r="AW34" s="153">
        <f>$C34*INDEX(Curves!$D$8:$D$68,AW$4-$B34+1)</f>
        <v/>
      </c>
      <c r="AX34" s="153">
        <f>$C34*INDEX(Curves!$D$8:$D$68,AX$4-$B34+1)</f>
        <v/>
      </c>
      <c r="AY34" s="153">
        <f>$C34*INDEX(Curves!$D$8:$D$68,AY$4-$B34+1)</f>
        <v/>
      </c>
      <c r="AZ34" s="153">
        <f>$C34*INDEX(Curves!$D$8:$D$68,AZ$4-$B34+1)</f>
        <v/>
      </c>
      <c r="BA34" s="153">
        <f>$C34*INDEX(Curves!$D$8:$D$68,BA$4-$B34+1)</f>
        <v/>
      </c>
      <c r="BB34" s="153">
        <f>$C34*INDEX(Curves!$D$8:$D$68,BB$4-$B34+1)</f>
        <v/>
      </c>
      <c r="BC34" s="153">
        <f>$C34*INDEX(Curves!$D$8:$D$68,BC$4-$B34+1)</f>
        <v/>
      </c>
      <c r="BD34" s="153">
        <f>$C34*INDEX(Curves!$D$8:$D$68,BD$4-$B34+1)</f>
        <v/>
      </c>
      <c r="BE34" s="153">
        <f>$C34*INDEX(Curves!$D$8:$D$68,BE$4-$B34+1)</f>
        <v/>
      </c>
      <c r="BF34" s="153">
        <f>$C34*INDEX(Curves!$D$8:$D$68,BF$4-$B34+1)</f>
        <v/>
      </c>
      <c r="BG34" s="153">
        <f>$C34*INDEX(Curves!$D$8:$D$68,BG$4-$B34+1)</f>
        <v/>
      </c>
      <c r="BH34" s="153">
        <f>$C34*INDEX(Curves!$D$8:$D$68,BH$4-$B34+1)</f>
        <v/>
      </c>
      <c r="BI34" s="153">
        <f>$C34*INDEX(Curves!$D$8:$D$68,BI$4-$B34+1)</f>
        <v/>
      </c>
      <c r="BJ34" s="153">
        <f>$C34*INDEX(Curves!$D$8:$D$68,BJ$4-$B34+1)</f>
        <v/>
      </c>
      <c r="BK34" s="153">
        <f>$C34*INDEX(Curves!$D$8:$D$68,BK$4-$B34+1)</f>
        <v/>
      </c>
      <c r="BL34" s="153">
        <f>$C34*INDEX(Curves!$D$8:$D$68,BL$4-$B34+1)</f>
        <v/>
      </c>
    </row>
    <row r="35">
      <c r="A35" s="147" t="inlineStr">
        <is>
          <t>Cohort month 26</t>
        </is>
      </c>
      <c r="B35" s="147" t="n">
        <v>26</v>
      </c>
      <c r="C35" s="41">
        <f>INDEX(Ops!$E$10:$BL$10,1,$B35)</f>
        <v/>
      </c>
      <c r="AE35" s="153">
        <f>$C35*INDEX(Curves!$D$8:$D$68,AE$4-$B35+1)</f>
        <v/>
      </c>
      <c r="AF35" s="153">
        <f>$C35*INDEX(Curves!$D$8:$D$68,AF$4-$B35+1)</f>
        <v/>
      </c>
      <c r="AG35" s="153">
        <f>$C35*INDEX(Curves!$D$8:$D$68,AG$4-$B35+1)</f>
        <v/>
      </c>
      <c r="AH35" s="153">
        <f>$C35*INDEX(Curves!$D$8:$D$68,AH$4-$B35+1)</f>
        <v/>
      </c>
      <c r="AI35" s="153">
        <f>$C35*INDEX(Curves!$D$8:$D$68,AI$4-$B35+1)</f>
        <v/>
      </c>
      <c r="AJ35" s="153">
        <f>$C35*INDEX(Curves!$D$8:$D$68,AJ$4-$B35+1)</f>
        <v/>
      </c>
      <c r="AK35" s="153">
        <f>$C35*INDEX(Curves!$D$8:$D$68,AK$4-$B35+1)</f>
        <v/>
      </c>
      <c r="AL35" s="153">
        <f>$C35*INDEX(Curves!$D$8:$D$68,AL$4-$B35+1)</f>
        <v/>
      </c>
      <c r="AM35" s="153">
        <f>$C35*INDEX(Curves!$D$8:$D$68,AM$4-$B35+1)</f>
        <v/>
      </c>
      <c r="AN35" s="153">
        <f>$C35*INDEX(Curves!$D$8:$D$68,AN$4-$B35+1)</f>
        <v/>
      </c>
      <c r="AO35" s="153">
        <f>$C35*INDEX(Curves!$D$8:$D$68,AO$4-$B35+1)</f>
        <v/>
      </c>
      <c r="AP35" s="153">
        <f>$C35*INDEX(Curves!$D$8:$D$68,AP$4-$B35+1)</f>
        <v/>
      </c>
      <c r="AQ35" s="153">
        <f>$C35*INDEX(Curves!$D$8:$D$68,AQ$4-$B35+1)</f>
        <v/>
      </c>
      <c r="AR35" s="153">
        <f>$C35*INDEX(Curves!$D$8:$D$68,AR$4-$B35+1)</f>
        <v/>
      </c>
      <c r="AS35" s="153">
        <f>$C35*INDEX(Curves!$D$8:$D$68,AS$4-$B35+1)</f>
        <v/>
      </c>
      <c r="AT35" s="153">
        <f>$C35*INDEX(Curves!$D$8:$D$68,AT$4-$B35+1)</f>
        <v/>
      </c>
      <c r="AU35" s="153">
        <f>$C35*INDEX(Curves!$D$8:$D$68,AU$4-$B35+1)</f>
        <v/>
      </c>
      <c r="AV35" s="153">
        <f>$C35*INDEX(Curves!$D$8:$D$68,AV$4-$B35+1)</f>
        <v/>
      </c>
      <c r="AW35" s="153">
        <f>$C35*INDEX(Curves!$D$8:$D$68,AW$4-$B35+1)</f>
        <v/>
      </c>
      <c r="AX35" s="153">
        <f>$C35*INDEX(Curves!$D$8:$D$68,AX$4-$B35+1)</f>
        <v/>
      </c>
      <c r="AY35" s="153">
        <f>$C35*INDEX(Curves!$D$8:$D$68,AY$4-$B35+1)</f>
        <v/>
      </c>
      <c r="AZ35" s="153">
        <f>$C35*INDEX(Curves!$D$8:$D$68,AZ$4-$B35+1)</f>
        <v/>
      </c>
      <c r="BA35" s="153">
        <f>$C35*INDEX(Curves!$D$8:$D$68,BA$4-$B35+1)</f>
        <v/>
      </c>
      <c r="BB35" s="153">
        <f>$C35*INDEX(Curves!$D$8:$D$68,BB$4-$B35+1)</f>
        <v/>
      </c>
      <c r="BC35" s="153">
        <f>$C35*INDEX(Curves!$D$8:$D$68,BC$4-$B35+1)</f>
        <v/>
      </c>
      <c r="BD35" s="153">
        <f>$C35*INDEX(Curves!$D$8:$D$68,BD$4-$B35+1)</f>
        <v/>
      </c>
      <c r="BE35" s="153">
        <f>$C35*INDEX(Curves!$D$8:$D$68,BE$4-$B35+1)</f>
        <v/>
      </c>
      <c r="BF35" s="153">
        <f>$C35*INDEX(Curves!$D$8:$D$68,BF$4-$B35+1)</f>
        <v/>
      </c>
      <c r="BG35" s="153">
        <f>$C35*INDEX(Curves!$D$8:$D$68,BG$4-$B35+1)</f>
        <v/>
      </c>
      <c r="BH35" s="153">
        <f>$C35*INDEX(Curves!$D$8:$D$68,BH$4-$B35+1)</f>
        <v/>
      </c>
      <c r="BI35" s="153">
        <f>$C35*INDEX(Curves!$D$8:$D$68,BI$4-$B35+1)</f>
        <v/>
      </c>
      <c r="BJ35" s="153">
        <f>$C35*INDEX(Curves!$D$8:$D$68,BJ$4-$B35+1)</f>
        <v/>
      </c>
      <c r="BK35" s="153">
        <f>$C35*INDEX(Curves!$D$8:$D$68,BK$4-$B35+1)</f>
        <v/>
      </c>
      <c r="BL35" s="153">
        <f>$C35*INDEX(Curves!$D$8:$D$68,BL$4-$B35+1)</f>
        <v/>
      </c>
    </row>
    <row r="36">
      <c r="A36" s="147" t="inlineStr">
        <is>
          <t>Cohort month 27</t>
        </is>
      </c>
      <c r="B36" s="147" t="n">
        <v>27</v>
      </c>
      <c r="C36" s="41">
        <f>INDEX(Ops!$E$10:$BL$10,1,$B36)</f>
        <v/>
      </c>
      <c r="AF36" s="153">
        <f>$C36*INDEX(Curves!$D$8:$D$68,AF$4-$B36+1)</f>
        <v/>
      </c>
      <c r="AG36" s="153">
        <f>$C36*INDEX(Curves!$D$8:$D$68,AG$4-$B36+1)</f>
        <v/>
      </c>
      <c r="AH36" s="153">
        <f>$C36*INDEX(Curves!$D$8:$D$68,AH$4-$B36+1)</f>
        <v/>
      </c>
      <c r="AI36" s="153">
        <f>$C36*INDEX(Curves!$D$8:$D$68,AI$4-$B36+1)</f>
        <v/>
      </c>
      <c r="AJ36" s="153">
        <f>$C36*INDEX(Curves!$D$8:$D$68,AJ$4-$B36+1)</f>
        <v/>
      </c>
      <c r="AK36" s="153">
        <f>$C36*INDEX(Curves!$D$8:$D$68,AK$4-$B36+1)</f>
        <v/>
      </c>
      <c r="AL36" s="153">
        <f>$C36*INDEX(Curves!$D$8:$D$68,AL$4-$B36+1)</f>
        <v/>
      </c>
      <c r="AM36" s="153">
        <f>$C36*INDEX(Curves!$D$8:$D$68,AM$4-$B36+1)</f>
        <v/>
      </c>
      <c r="AN36" s="153">
        <f>$C36*INDEX(Curves!$D$8:$D$68,AN$4-$B36+1)</f>
        <v/>
      </c>
      <c r="AO36" s="153">
        <f>$C36*INDEX(Curves!$D$8:$D$68,AO$4-$B36+1)</f>
        <v/>
      </c>
      <c r="AP36" s="153">
        <f>$C36*INDEX(Curves!$D$8:$D$68,AP$4-$B36+1)</f>
        <v/>
      </c>
      <c r="AQ36" s="153">
        <f>$C36*INDEX(Curves!$D$8:$D$68,AQ$4-$B36+1)</f>
        <v/>
      </c>
      <c r="AR36" s="153">
        <f>$C36*INDEX(Curves!$D$8:$D$68,AR$4-$B36+1)</f>
        <v/>
      </c>
      <c r="AS36" s="153">
        <f>$C36*INDEX(Curves!$D$8:$D$68,AS$4-$B36+1)</f>
        <v/>
      </c>
      <c r="AT36" s="153">
        <f>$C36*INDEX(Curves!$D$8:$D$68,AT$4-$B36+1)</f>
        <v/>
      </c>
      <c r="AU36" s="153">
        <f>$C36*INDEX(Curves!$D$8:$D$68,AU$4-$B36+1)</f>
        <v/>
      </c>
      <c r="AV36" s="153">
        <f>$C36*INDEX(Curves!$D$8:$D$68,AV$4-$B36+1)</f>
        <v/>
      </c>
      <c r="AW36" s="153">
        <f>$C36*INDEX(Curves!$D$8:$D$68,AW$4-$B36+1)</f>
        <v/>
      </c>
      <c r="AX36" s="153">
        <f>$C36*INDEX(Curves!$D$8:$D$68,AX$4-$B36+1)</f>
        <v/>
      </c>
      <c r="AY36" s="153">
        <f>$C36*INDEX(Curves!$D$8:$D$68,AY$4-$B36+1)</f>
        <v/>
      </c>
      <c r="AZ36" s="153">
        <f>$C36*INDEX(Curves!$D$8:$D$68,AZ$4-$B36+1)</f>
        <v/>
      </c>
      <c r="BA36" s="153">
        <f>$C36*INDEX(Curves!$D$8:$D$68,BA$4-$B36+1)</f>
        <v/>
      </c>
      <c r="BB36" s="153">
        <f>$C36*INDEX(Curves!$D$8:$D$68,BB$4-$B36+1)</f>
        <v/>
      </c>
      <c r="BC36" s="153">
        <f>$C36*INDEX(Curves!$D$8:$D$68,BC$4-$B36+1)</f>
        <v/>
      </c>
      <c r="BD36" s="153">
        <f>$C36*INDEX(Curves!$D$8:$D$68,BD$4-$B36+1)</f>
        <v/>
      </c>
      <c r="BE36" s="153">
        <f>$C36*INDEX(Curves!$D$8:$D$68,BE$4-$B36+1)</f>
        <v/>
      </c>
      <c r="BF36" s="153">
        <f>$C36*INDEX(Curves!$D$8:$D$68,BF$4-$B36+1)</f>
        <v/>
      </c>
      <c r="BG36" s="153">
        <f>$C36*INDEX(Curves!$D$8:$D$68,BG$4-$B36+1)</f>
        <v/>
      </c>
      <c r="BH36" s="153">
        <f>$C36*INDEX(Curves!$D$8:$D$68,BH$4-$B36+1)</f>
        <v/>
      </c>
      <c r="BI36" s="153">
        <f>$C36*INDEX(Curves!$D$8:$D$68,BI$4-$B36+1)</f>
        <v/>
      </c>
      <c r="BJ36" s="153">
        <f>$C36*INDEX(Curves!$D$8:$D$68,BJ$4-$B36+1)</f>
        <v/>
      </c>
      <c r="BK36" s="153">
        <f>$C36*INDEX(Curves!$D$8:$D$68,BK$4-$B36+1)</f>
        <v/>
      </c>
      <c r="BL36" s="153">
        <f>$C36*INDEX(Curves!$D$8:$D$68,BL$4-$B36+1)</f>
        <v/>
      </c>
    </row>
    <row r="37">
      <c r="A37" s="147" t="inlineStr">
        <is>
          <t>Cohort month 28</t>
        </is>
      </c>
      <c r="B37" s="147" t="n">
        <v>28</v>
      </c>
      <c r="C37" s="41">
        <f>INDEX(Ops!$E$10:$BL$10,1,$B37)</f>
        <v/>
      </c>
      <c r="AG37" s="153">
        <f>$C37*INDEX(Curves!$D$8:$D$68,AG$4-$B37+1)</f>
        <v/>
      </c>
      <c r="AH37" s="153">
        <f>$C37*INDEX(Curves!$D$8:$D$68,AH$4-$B37+1)</f>
        <v/>
      </c>
      <c r="AI37" s="153">
        <f>$C37*INDEX(Curves!$D$8:$D$68,AI$4-$B37+1)</f>
        <v/>
      </c>
      <c r="AJ37" s="153">
        <f>$C37*INDEX(Curves!$D$8:$D$68,AJ$4-$B37+1)</f>
        <v/>
      </c>
      <c r="AK37" s="153">
        <f>$C37*INDEX(Curves!$D$8:$D$68,AK$4-$B37+1)</f>
        <v/>
      </c>
      <c r="AL37" s="153">
        <f>$C37*INDEX(Curves!$D$8:$D$68,AL$4-$B37+1)</f>
        <v/>
      </c>
      <c r="AM37" s="153">
        <f>$C37*INDEX(Curves!$D$8:$D$68,AM$4-$B37+1)</f>
        <v/>
      </c>
      <c r="AN37" s="153">
        <f>$C37*INDEX(Curves!$D$8:$D$68,AN$4-$B37+1)</f>
        <v/>
      </c>
      <c r="AO37" s="153">
        <f>$C37*INDEX(Curves!$D$8:$D$68,AO$4-$B37+1)</f>
        <v/>
      </c>
      <c r="AP37" s="153">
        <f>$C37*INDEX(Curves!$D$8:$D$68,AP$4-$B37+1)</f>
        <v/>
      </c>
      <c r="AQ37" s="153">
        <f>$C37*INDEX(Curves!$D$8:$D$68,AQ$4-$B37+1)</f>
        <v/>
      </c>
      <c r="AR37" s="153">
        <f>$C37*INDEX(Curves!$D$8:$D$68,AR$4-$B37+1)</f>
        <v/>
      </c>
      <c r="AS37" s="153">
        <f>$C37*INDEX(Curves!$D$8:$D$68,AS$4-$B37+1)</f>
        <v/>
      </c>
      <c r="AT37" s="153">
        <f>$C37*INDEX(Curves!$D$8:$D$68,AT$4-$B37+1)</f>
        <v/>
      </c>
      <c r="AU37" s="153">
        <f>$C37*INDEX(Curves!$D$8:$D$68,AU$4-$B37+1)</f>
        <v/>
      </c>
      <c r="AV37" s="153">
        <f>$C37*INDEX(Curves!$D$8:$D$68,AV$4-$B37+1)</f>
        <v/>
      </c>
      <c r="AW37" s="153">
        <f>$C37*INDEX(Curves!$D$8:$D$68,AW$4-$B37+1)</f>
        <v/>
      </c>
      <c r="AX37" s="153">
        <f>$C37*INDEX(Curves!$D$8:$D$68,AX$4-$B37+1)</f>
        <v/>
      </c>
      <c r="AY37" s="153">
        <f>$C37*INDEX(Curves!$D$8:$D$68,AY$4-$B37+1)</f>
        <v/>
      </c>
      <c r="AZ37" s="153">
        <f>$C37*INDEX(Curves!$D$8:$D$68,AZ$4-$B37+1)</f>
        <v/>
      </c>
      <c r="BA37" s="153">
        <f>$C37*INDEX(Curves!$D$8:$D$68,BA$4-$B37+1)</f>
        <v/>
      </c>
      <c r="BB37" s="153">
        <f>$C37*INDEX(Curves!$D$8:$D$68,BB$4-$B37+1)</f>
        <v/>
      </c>
      <c r="BC37" s="153">
        <f>$C37*INDEX(Curves!$D$8:$D$68,BC$4-$B37+1)</f>
        <v/>
      </c>
      <c r="BD37" s="153">
        <f>$C37*INDEX(Curves!$D$8:$D$68,BD$4-$B37+1)</f>
        <v/>
      </c>
      <c r="BE37" s="153">
        <f>$C37*INDEX(Curves!$D$8:$D$68,BE$4-$B37+1)</f>
        <v/>
      </c>
      <c r="BF37" s="153">
        <f>$C37*INDEX(Curves!$D$8:$D$68,BF$4-$B37+1)</f>
        <v/>
      </c>
      <c r="BG37" s="153">
        <f>$C37*INDEX(Curves!$D$8:$D$68,BG$4-$B37+1)</f>
        <v/>
      </c>
      <c r="BH37" s="153">
        <f>$C37*INDEX(Curves!$D$8:$D$68,BH$4-$B37+1)</f>
        <v/>
      </c>
      <c r="BI37" s="153">
        <f>$C37*INDEX(Curves!$D$8:$D$68,BI$4-$B37+1)</f>
        <v/>
      </c>
      <c r="BJ37" s="153">
        <f>$C37*INDEX(Curves!$D$8:$D$68,BJ$4-$B37+1)</f>
        <v/>
      </c>
      <c r="BK37" s="153">
        <f>$C37*INDEX(Curves!$D$8:$D$68,BK$4-$B37+1)</f>
        <v/>
      </c>
      <c r="BL37" s="153">
        <f>$C37*INDEX(Curves!$D$8:$D$68,BL$4-$B37+1)</f>
        <v/>
      </c>
    </row>
    <row r="38">
      <c r="A38" s="147" t="inlineStr">
        <is>
          <t>Cohort month 29</t>
        </is>
      </c>
      <c r="B38" s="147" t="n">
        <v>29</v>
      </c>
      <c r="C38" s="41">
        <f>INDEX(Ops!$E$10:$BL$10,1,$B38)</f>
        <v/>
      </c>
      <c r="AH38" s="153">
        <f>$C38*INDEX(Curves!$D$8:$D$68,AH$4-$B38+1)</f>
        <v/>
      </c>
      <c r="AI38" s="153">
        <f>$C38*INDEX(Curves!$D$8:$D$68,AI$4-$B38+1)</f>
        <v/>
      </c>
      <c r="AJ38" s="153">
        <f>$C38*INDEX(Curves!$D$8:$D$68,AJ$4-$B38+1)</f>
        <v/>
      </c>
      <c r="AK38" s="153">
        <f>$C38*INDEX(Curves!$D$8:$D$68,AK$4-$B38+1)</f>
        <v/>
      </c>
      <c r="AL38" s="153">
        <f>$C38*INDEX(Curves!$D$8:$D$68,AL$4-$B38+1)</f>
        <v/>
      </c>
      <c r="AM38" s="153">
        <f>$C38*INDEX(Curves!$D$8:$D$68,AM$4-$B38+1)</f>
        <v/>
      </c>
      <c r="AN38" s="153">
        <f>$C38*INDEX(Curves!$D$8:$D$68,AN$4-$B38+1)</f>
        <v/>
      </c>
      <c r="AO38" s="153">
        <f>$C38*INDEX(Curves!$D$8:$D$68,AO$4-$B38+1)</f>
        <v/>
      </c>
      <c r="AP38" s="153">
        <f>$C38*INDEX(Curves!$D$8:$D$68,AP$4-$B38+1)</f>
        <v/>
      </c>
      <c r="AQ38" s="153">
        <f>$C38*INDEX(Curves!$D$8:$D$68,AQ$4-$B38+1)</f>
        <v/>
      </c>
      <c r="AR38" s="153">
        <f>$C38*INDEX(Curves!$D$8:$D$68,AR$4-$B38+1)</f>
        <v/>
      </c>
      <c r="AS38" s="153">
        <f>$C38*INDEX(Curves!$D$8:$D$68,AS$4-$B38+1)</f>
        <v/>
      </c>
      <c r="AT38" s="153">
        <f>$C38*INDEX(Curves!$D$8:$D$68,AT$4-$B38+1)</f>
        <v/>
      </c>
      <c r="AU38" s="153">
        <f>$C38*INDEX(Curves!$D$8:$D$68,AU$4-$B38+1)</f>
        <v/>
      </c>
      <c r="AV38" s="153">
        <f>$C38*INDEX(Curves!$D$8:$D$68,AV$4-$B38+1)</f>
        <v/>
      </c>
      <c r="AW38" s="153">
        <f>$C38*INDEX(Curves!$D$8:$D$68,AW$4-$B38+1)</f>
        <v/>
      </c>
      <c r="AX38" s="153">
        <f>$C38*INDEX(Curves!$D$8:$D$68,AX$4-$B38+1)</f>
        <v/>
      </c>
      <c r="AY38" s="153">
        <f>$C38*INDEX(Curves!$D$8:$D$68,AY$4-$B38+1)</f>
        <v/>
      </c>
      <c r="AZ38" s="153">
        <f>$C38*INDEX(Curves!$D$8:$D$68,AZ$4-$B38+1)</f>
        <v/>
      </c>
      <c r="BA38" s="153">
        <f>$C38*INDEX(Curves!$D$8:$D$68,BA$4-$B38+1)</f>
        <v/>
      </c>
      <c r="BB38" s="153">
        <f>$C38*INDEX(Curves!$D$8:$D$68,BB$4-$B38+1)</f>
        <v/>
      </c>
      <c r="BC38" s="153">
        <f>$C38*INDEX(Curves!$D$8:$D$68,BC$4-$B38+1)</f>
        <v/>
      </c>
      <c r="BD38" s="153">
        <f>$C38*INDEX(Curves!$D$8:$D$68,BD$4-$B38+1)</f>
        <v/>
      </c>
      <c r="BE38" s="153">
        <f>$C38*INDEX(Curves!$D$8:$D$68,BE$4-$B38+1)</f>
        <v/>
      </c>
      <c r="BF38" s="153">
        <f>$C38*INDEX(Curves!$D$8:$D$68,BF$4-$B38+1)</f>
        <v/>
      </c>
      <c r="BG38" s="153">
        <f>$C38*INDEX(Curves!$D$8:$D$68,BG$4-$B38+1)</f>
        <v/>
      </c>
      <c r="BH38" s="153">
        <f>$C38*INDEX(Curves!$D$8:$D$68,BH$4-$B38+1)</f>
        <v/>
      </c>
      <c r="BI38" s="153">
        <f>$C38*INDEX(Curves!$D$8:$D$68,BI$4-$B38+1)</f>
        <v/>
      </c>
      <c r="BJ38" s="153">
        <f>$C38*INDEX(Curves!$D$8:$D$68,BJ$4-$B38+1)</f>
        <v/>
      </c>
      <c r="BK38" s="153">
        <f>$C38*INDEX(Curves!$D$8:$D$68,BK$4-$B38+1)</f>
        <v/>
      </c>
      <c r="BL38" s="153">
        <f>$C38*INDEX(Curves!$D$8:$D$68,BL$4-$B38+1)</f>
        <v/>
      </c>
    </row>
    <row r="39">
      <c r="A39" s="147" t="inlineStr">
        <is>
          <t>Cohort month 30</t>
        </is>
      </c>
      <c r="B39" s="147" t="n">
        <v>30</v>
      </c>
      <c r="C39" s="41">
        <f>INDEX(Ops!$E$10:$BL$10,1,$B39)</f>
        <v/>
      </c>
      <c r="AI39" s="153">
        <f>$C39*INDEX(Curves!$D$8:$D$68,AI$4-$B39+1)</f>
        <v/>
      </c>
      <c r="AJ39" s="153">
        <f>$C39*INDEX(Curves!$D$8:$D$68,AJ$4-$B39+1)</f>
        <v/>
      </c>
      <c r="AK39" s="153">
        <f>$C39*INDEX(Curves!$D$8:$D$68,AK$4-$B39+1)</f>
        <v/>
      </c>
      <c r="AL39" s="153">
        <f>$C39*INDEX(Curves!$D$8:$D$68,AL$4-$B39+1)</f>
        <v/>
      </c>
      <c r="AM39" s="153">
        <f>$C39*INDEX(Curves!$D$8:$D$68,AM$4-$B39+1)</f>
        <v/>
      </c>
      <c r="AN39" s="153">
        <f>$C39*INDEX(Curves!$D$8:$D$68,AN$4-$B39+1)</f>
        <v/>
      </c>
      <c r="AO39" s="153">
        <f>$C39*INDEX(Curves!$D$8:$D$68,AO$4-$B39+1)</f>
        <v/>
      </c>
      <c r="AP39" s="153">
        <f>$C39*INDEX(Curves!$D$8:$D$68,AP$4-$B39+1)</f>
        <v/>
      </c>
      <c r="AQ39" s="153">
        <f>$C39*INDEX(Curves!$D$8:$D$68,AQ$4-$B39+1)</f>
        <v/>
      </c>
      <c r="AR39" s="153">
        <f>$C39*INDEX(Curves!$D$8:$D$68,AR$4-$B39+1)</f>
        <v/>
      </c>
      <c r="AS39" s="153">
        <f>$C39*INDEX(Curves!$D$8:$D$68,AS$4-$B39+1)</f>
        <v/>
      </c>
      <c r="AT39" s="153">
        <f>$C39*INDEX(Curves!$D$8:$D$68,AT$4-$B39+1)</f>
        <v/>
      </c>
      <c r="AU39" s="153">
        <f>$C39*INDEX(Curves!$D$8:$D$68,AU$4-$B39+1)</f>
        <v/>
      </c>
      <c r="AV39" s="153">
        <f>$C39*INDEX(Curves!$D$8:$D$68,AV$4-$B39+1)</f>
        <v/>
      </c>
      <c r="AW39" s="153">
        <f>$C39*INDEX(Curves!$D$8:$D$68,AW$4-$B39+1)</f>
        <v/>
      </c>
      <c r="AX39" s="153">
        <f>$C39*INDEX(Curves!$D$8:$D$68,AX$4-$B39+1)</f>
        <v/>
      </c>
      <c r="AY39" s="153">
        <f>$C39*INDEX(Curves!$D$8:$D$68,AY$4-$B39+1)</f>
        <v/>
      </c>
      <c r="AZ39" s="153">
        <f>$C39*INDEX(Curves!$D$8:$D$68,AZ$4-$B39+1)</f>
        <v/>
      </c>
      <c r="BA39" s="153">
        <f>$C39*INDEX(Curves!$D$8:$D$68,BA$4-$B39+1)</f>
        <v/>
      </c>
      <c r="BB39" s="153">
        <f>$C39*INDEX(Curves!$D$8:$D$68,BB$4-$B39+1)</f>
        <v/>
      </c>
      <c r="BC39" s="153">
        <f>$C39*INDEX(Curves!$D$8:$D$68,BC$4-$B39+1)</f>
        <v/>
      </c>
      <c r="BD39" s="153">
        <f>$C39*INDEX(Curves!$D$8:$D$68,BD$4-$B39+1)</f>
        <v/>
      </c>
      <c r="BE39" s="153">
        <f>$C39*INDEX(Curves!$D$8:$D$68,BE$4-$B39+1)</f>
        <v/>
      </c>
      <c r="BF39" s="153">
        <f>$C39*INDEX(Curves!$D$8:$D$68,BF$4-$B39+1)</f>
        <v/>
      </c>
      <c r="BG39" s="153">
        <f>$C39*INDEX(Curves!$D$8:$D$68,BG$4-$B39+1)</f>
        <v/>
      </c>
      <c r="BH39" s="153">
        <f>$C39*INDEX(Curves!$D$8:$D$68,BH$4-$B39+1)</f>
        <v/>
      </c>
      <c r="BI39" s="153">
        <f>$C39*INDEX(Curves!$D$8:$D$68,BI$4-$B39+1)</f>
        <v/>
      </c>
      <c r="BJ39" s="153">
        <f>$C39*INDEX(Curves!$D$8:$D$68,BJ$4-$B39+1)</f>
        <v/>
      </c>
      <c r="BK39" s="153">
        <f>$C39*INDEX(Curves!$D$8:$D$68,BK$4-$B39+1)</f>
        <v/>
      </c>
      <c r="BL39" s="153">
        <f>$C39*INDEX(Curves!$D$8:$D$68,BL$4-$B39+1)</f>
        <v/>
      </c>
    </row>
    <row r="40">
      <c r="A40" s="147" t="inlineStr">
        <is>
          <t>Cohort month 31</t>
        </is>
      </c>
      <c r="B40" s="147" t="n">
        <v>31</v>
      </c>
      <c r="C40" s="41">
        <f>INDEX(Ops!$E$10:$BL$10,1,$B40)</f>
        <v/>
      </c>
      <c r="AJ40" s="153">
        <f>$C40*INDEX(Curves!$D$8:$D$68,AJ$4-$B40+1)</f>
        <v/>
      </c>
      <c r="AK40" s="153">
        <f>$C40*INDEX(Curves!$D$8:$D$68,AK$4-$B40+1)</f>
        <v/>
      </c>
      <c r="AL40" s="153">
        <f>$C40*INDEX(Curves!$D$8:$D$68,AL$4-$B40+1)</f>
        <v/>
      </c>
      <c r="AM40" s="153">
        <f>$C40*INDEX(Curves!$D$8:$D$68,AM$4-$B40+1)</f>
        <v/>
      </c>
      <c r="AN40" s="153">
        <f>$C40*INDEX(Curves!$D$8:$D$68,AN$4-$B40+1)</f>
        <v/>
      </c>
      <c r="AO40" s="153">
        <f>$C40*INDEX(Curves!$D$8:$D$68,AO$4-$B40+1)</f>
        <v/>
      </c>
      <c r="AP40" s="153">
        <f>$C40*INDEX(Curves!$D$8:$D$68,AP$4-$B40+1)</f>
        <v/>
      </c>
      <c r="AQ40" s="153">
        <f>$C40*INDEX(Curves!$D$8:$D$68,AQ$4-$B40+1)</f>
        <v/>
      </c>
      <c r="AR40" s="153">
        <f>$C40*INDEX(Curves!$D$8:$D$68,AR$4-$B40+1)</f>
        <v/>
      </c>
      <c r="AS40" s="153">
        <f>$C40*INDEX(Curves!$D$8:$D$68,AS$4-$B40+1)</f>
        <v/>
      </c>
      <c r="AT40" s="153">
        <f>$C40*INDEX(Curves!$D$8:$D$68,AT$4-$B40+1)</f>
        <v/>
      </c>
      <c r="AU40" s="153">
        <f>$C40*INDEX(Curves!$D$8:$D$68,AU$4-$B40+1)</f>
        <v/>
      </c>
      <c r="AV40" s="153">
        <f>$C40*INDEX(Curves!$D$8:$D$68,AV$4-$B40+1)</f>
        <v/>
      </c>
      <c r="AW40" s="153">
        <f>$C40*INDEX(Curves!$D$8:$D$68,AW$4-$B40+1)</f>
        <v/>
      </c>
      <c r="AX40" s="153">
        <f>$C40*INDEX(Curves!$D$8:$D$68,AX$4-$B40+1)</f>
        <v/>
      </c>
      <c r="AY40" s="153">
        <f>$C40*INDEX(Curves!$D$8:$D$68,AY$4-$B40+1)</f>
        <v/>
      </c>
      <c r="AZ40" s="153">
        <f>$C40*INDEX(Curves!$D$8:$D$68,AZ$4-$B40+1)</f>
        <v/>
      </c>
      <c r="BA40" s="153">
        <f>$C40*INDEX(Curves!$D$8:$D$68,BA$4-$B40+1)</f>
        <v/>
      </c>
      <c r="BB40" s="153">
        <f>$C40*INDEX(Curves!$D$8:$D$68,BB$4-$B40+1)</f>
        <v/>
      </c>
      <c r="BC40" s="153">
        <f>$C40*INDEX(Curves!$D$8:$D$68,BC$4-$B40+1)</f>
        <v/>
      </c>
      <c r="BD40" s="153">
        <f>$C40*INDEX(Curves!$D$8:$D$68,BD$4-$B40+1)</f>
        <v/>
      </c>
      <c r="BE40" s="153">
        <f>$C40*INDEX(Curves!$D$8:$D$68,BE$4-$B40+1)</f>
        <v/>
      </c>
      <c r="BF40" s="153">
        <f>$C40*INDEX(Curves!$D$8:$D$68,BF$4-$B40+1)</f>
        <v/>
      </c>
      <c r="BG40" s="153">
        <f>$C40*INDEX(Curves!$D$8:$D$68,BG$4-$B40+1)</f>
        <v/>
      </c>
      <c r="BH40" s="153">
        <f>$C40*INDEX(Curves!$D$8:$D$68,BH$4-$B40+1)</f>
        <v/>
      </c>
      <c r="BI40" s="153">
        <f>$C40*INDEX(Curves!$D$8:$D$68,BI$4-$B40+1)</f>
        <v/>
      </c>
      <c r="BJ40" s="153">
        <f>$C40*INDEX(Curves!$D$8:$D$68,BJ$4-$B40+1)</f>
        <v/>
      </c>
      <c r="BK40" s="153">
        <f>$C40*INDEX(Curves!$D$8:$D$68,BK$4-$B40+1)</f>
        <v/>
      </c>
      <c r="BL40" s="153">
        <f>$C40*INDEX(Curves!$D$8:$D$68,BL$4-$B40+1)</f>
        <v/>
      </c>
    </row>
    <row r="41">
      <c r="A41" s="147" t="inlineStr">
        <is>
          <t>Cohort month 32</t>
        </is>
      </c>
      <c r="B41" s="147" t="n">
        <v>32</v>
      </c>
      <c r="C41" s="41">
        <f>INDEX(Ops!$E$10:$BL$10,1,$B41)</f>
        <v/>
      </c>
      <c r="AK41" s="153">
        <f>$C41*INDEX(Curves!$D$8:$D$68,AK$4-$B41+1)</f>
        <v/>
      </c>
      <c r="AL41" s="153">
        <f>$C41*INDEX(Curves!$D$8:$D$68,AL$4-$B41+1)</f>
        <v/>
      </c>
      <c r="AM41" s="153">
        <f>$C41*INDEX(Curves!$D$8:$D$68,AM$4-$B41+1)</f>
        <v/>
      </c>
      <c r="AN41" s="153">
        <f>$C41*INDEX(Curves!$D$8:$D$68,AN$4-$B41+1)</f>
        <v/>
      </c>
      <c r="AO41" s="153">
        <f>$C41*INDEX(Curves!$D$8:$D$68,AO$4-$B41+1)</f>
        <v/>
      </c>
      <c r="AP41" s="153">
        <f>$C41*INDEX(Curves!$D$8:$D$68,AP$4-$B41+1)</f>
        <v/>
      </c>
      <c r="AQ41" s="153">
        <f>$C41*INDEX(Curves!$D$8:$D$68,AQ$4-$B41+1)</f>
        <v/>
      </c>
      <c r="AR41" s="153">
        <f>$C41*INDEX(Curves!$D$8:$D$68,AR$4-$B41+1)</f>
        <v/>
      </c>
      <c r="AS41" s="153">
        <f>$C41*INDEX(Curves!$D$8:$D$68,AS$4-$B41+1)</f>
        <v/>
      </c>
      <c r="AT41" s="153">
        <f>$C41*INDEX(Curves!$D$8:$D$68,AT$4-$B41+1)</f>
        <v/>
      </c>
      <c r="AU41" s="153">
        <f>$C41*INDEX(Curves!$D$8:$D$68,AU$4-$B41+1)</f>
        <v/>
      </c>
      <c r="AV41" s="153">
        <f>$C41*INDEX(Curves!$D$8:$D$68,AV$4-$B41+1)</f>
        <v/>
      </c>
      <c r="AW41" s="153">
        <f>$C41*INDEX(Curves!$D$8:$D$68,AW$4-$B41+1)</f>
        <v/>
      </c>
      <c r="AX41" s="153">
        <f>$C41*INDEX(Curves!$D$8:$D$68,AX$4-$B41+1)</f>
        <v/>
      </c>
      <c r="AY41" s="153">
        <f>$C41*INDEX(Curves!$D$8:$D$68,AY$4-$B41+1)</f>
        <v/>
      </c>
      <c r="AZ41" s="153">
        <f>$C41*INDEX(Curves!$D$8:$D$68,AZ$4-$B41+1)</f>
        <v/>
      </c>
      <c r="BA41" s="153">
        <f>$C41*INDEX(Curves!$D$8:$D$68,BA$4-$B41+1)</f>
        <v/>
      </c>
      <c r="BB41" s="153">
        <f>$C41*INDEX(Curves!$D$8:$D$68,BB$4-$B41+1)</f>
        <v/>
      </c>
      <c r="BC41" s="153">
        <f>$C41*INDEX(Curves!$D$8:$D$68,BC$4-$B41+1)</f>
        <v/>
      </c>
      <c r="BD41" s="153">
        <f>$C41*INDEX(Curves!$D$8:$D$68,BD$4-$B41+1)</f>
        <v/>
      </c>
      <c r="BE41" s="153">
        <f>$C41*INDEX(Curves!$D$8:$D$68,BE$4-$B41+1)</f>
        <v/>
      </c>
      <c r="BF41" s="153">
        <f>$C41*INDEX(Curves!$D$8:$D$68,BF$4-$B41+1)</f>
        <v/>
      </c>
      <c r="BG41" s="153">
        <f>$C41*INDEX(Curves!$D$8:$D$68,BG$4-$B41+1)</f>
        <v/>
      </c>
      <c r="BH41" s="153">
        <f>$C41*INDEX(Curves!$D$8:$D$68,BH$4-$B41+1)</f>
        <v/>
      </c>
      <c r="BI41" s="153">
        <f>$C41*INDEX(Curves!$D$8:$D$68,BI$4-$B41+1)</f>
        <v/>
      </c>
      <c r="BJ41" s="153">
        <f>$C41*INDEX(Curves!$D$8:$D$68,BJ$4-$B41+1)</f>
        <v/>
      </c>
      <c r="BK41" s="153">
        <f>$C41*INDEX(Curves!$D$8:$D$68,BK$4-$B41+1)</f>
        <v/>
      </c>
      <c r="BL41" s="153">
        <f>$C41*INDEX(Curves!$D$8:$D$68,BL$4-$B41+1)</f>
        <v/>
      </c>
    </row>
    <row r="42">
      <c r="A42" s="147" t="inlineStr">
        <is>
          <t>Cohort month 33</t>
        </is>
      </c>
      <c r="B42" s="147" t="n">
        <v>33</v>
      </c>
      <c r="C42" s="41">
        <f>INDEX(Ops!$E$10:$BL$10,1,$B42)</f>
        <v/>
      </c>
      <c r="AL42" s="153">
        <f>$C42*INDEX(Curves!$D$8:$D$68,AL$4-$B42+1)</f>
        <v/>
      </c>
      <c r="AM42" s="153">
        <f>$C42*INDEX(Curves!$D$8:$D$68,AM$4-$B42+1)</f>
        <v/>
      </c>
      <c r="AN42" s="153">
        <f>$C42*INDEX(Curves!$D$8:$D$68,AN$4-$B42+1)</f>
        <v/>
      </c>
      <c r="AO42" s="153">
        <f>$C42*INDEX(Curves!$D$8:$D$68,AO$4-$B42+1)</f>
        <v/>
      </c>
      <c r="AP42" s="153">
        <f>$C42*INDEX(Curves!$D$8:$D$68,AP$4-$B42+1)</f>
        <v/>
      </c>
      <c r="AQ42" s="153">
        <f>$C42*INDEX(Curves!$D$8:$D$68,AQ$4-$B42+1)</f>
        <v/>
      </c>
      <c r="AR42" s="153">
        <f>$C42*INDEX(Curves!$D$8:$D$68,AR$4-$B42+1)</f>
        <v/>
      </c>
      <c r="AS42" s="153">
        <f>$C42*INDEX(Curves!$D$8:$D$68,AS$4-$B42+1)</f>
        <v/>
      </c>
      <c r="AT42" s="153">
        <f>$C42*INDEX(Curves!$D$8:$D$68,AT$4-$B42+1)</f>
        <v/>
      </c>
      <c r="AU42" s="153">
        <f>$C42*INDEX(Curves!$D$8:$D$68,AU$4-$B42+1)</f>
        <v/>
      </c>
      <c r="AV42" s="153">
        <f>$C42*INDEX(Curves!$D$8:$D$68,AV$4-$B42+1)</f>
        <v/>
      </c>
      <c r="AW42" s="153">
        <f>$C42*INDEX(Curves!$D$8:$D$68,AW$4-$B42+1)</f>
        <v/>
      </c>
      <c r="AX42" s="153">
        <f>$C42*INDEX(Curves!$D$8:$D$68,AX$4-$B42+1)</f>
        <v/>
      </c>
      <c r="AY42" s="153">
        <f>$C42*INDEX(Curves!$D$8:$D$68,AY$4-$B42+1)</f>
        <v/>
      </c>
      <c r="AZ42" s="153">
        <f>$C42*INDEX(Curves!$D$8:$D$68,AZ$4-$B42+1)</f>
        <v/>
      </c>
      <c r="BA42" s="153">
        <f>$C42*INDEX(Curves!$D$8:$D$68,BA$4-$B42+1)</f>
        <v/>
      </c>
      <c r="BB42" s="153">
        <f>$C42*INDEX(Curves!$D$8:$D$68,BB$4-$B42+1)</f>
        <v/>
      </c>
      <c r="BC42" s="153">
        <f>$C42*INDEX(Curves!$D$8:$D$68,BC$4-$B42+1)</f>
        <v/>
      </c>
      <c r="BD42" s="153">
        <f>$C42*INDEX(Curves!$D$8:$D$68,BD$4-$B42+1)</f>
        <v/>
      </c>
      <c r="BE42" s="153">
        <f>$C42*INDEX(Curves!$D$8:$D$68,BE$4-$B42+1)</f>
        <v/>
      </c>
      <c r="BF42" s="153">
        <f>$C42*INDEX(Curves!$D$8:$D$68,BF$4-$B42+1)</f>
        <v/>
      </c>
      <c r="BG42" s="153">
        <f>$C42*INDEX(Curves!$D$8:$D$68,BG$4-$B42+1)</f>
        <v/>
      </c>
      <c r="BH42" s="153">
        <f>$C42*INDEX(Curves!$D$8:$D$68,BH$4-$B42+1)</f>
        <v/>
      </c>
      <c r="BI42" s="153">
        <f>$C42*INDEX(Curves!$D$8:$D$68,BI$4-$B42+1)</f>
        <v/>
      </c>
      <c r="BJ42" s="153">
        <f>$C42*INDEX(Curves!$D$8:$D$68,BJ$4-$B42+1)</f>
        <v/>
      </c>
      <c r="BK42" s="153">
        <f>$C42*INDEX(Curves!$D$8:$D$68,BK$4-$B42+1)</f>
        <v/>
      </c>
      <c r="BL42" s="153">
        <f>$C42*INDEX(Curves!$D$8:$D$68,BL$4-$B42+1)</f>
        <v/>
      </c>
    </row>
    <row r="43">
      <c r="A43" s="147" t="inlineStr">
        <is>
          <t>Cohort month 34</t>
        </is>
      </c>
      <c r="B43" s="147" t="n">
        <v>34</v>
      </c>
      <c r="C43" s="41">
        <f>INDEX(Ops!$E$10:$BL$10,1,$B43)</f>
        <v/>
      </c>
      <c r="AM43" s="153">
        <f>$C43*INDEX(Curves!$D$8:$D$68,AM$4-$B43+1)</f>
        <v/>
      </c>
      <c r="AN43" s="153">
        <f>$C43*INDEX(Curves!$D$8:$D$68,AN$4-$B43+1)</f>
        <v/>
      </c>
      <c r="AO43" s="153">
        <f>$C43*INDEX(Curves!$D$8:$D$68,AO$4-$B43+1)</f>
        <v/>
      </c>
      <c r="AP43" s="153">
        <f>$C43*INDEX(Curves!$D$8:$D$68,AP$4-$B43+1)</f>
        <v/>
      </c>
      <c r="AQ43" s="153">
        <f>$C43*INDEX(Curves!$D$8:$D$68,AQ$4-$B43+1)</f>
        <v/>
      </c>
      <c r="AR43" s="153">
        <f>$C43*INDEX(Curves!$D$8:$D$68,AR$4-$B43+1)</f>
        <v/>
      </c>
      <c r="AS43" s="153">
        <f>$C43*INDEX(Curves!$D$8:$D$68,AS$4-$B43+1)</f>
        <v/>
      </c>
      <c r="AT43" s="153">
        <f>$C43*INDEX(Curves!$D$8:$D$68,AT$4-$B43+1)</f>
        <v/>
      </c>
      <c r="AU43" s="153">
        <f>$C43*INDEX(Curves!$D$8:$D$68,AU$4-$B43+1)</f>
        <v/>
      </c>
      <c r="AV43" s="153">
        <f>$C43*INDEX(Curves!$D$8:$D$68,AV$4-$B43+1)</f>
        <v/>
      </c>
      <c r="AW43" s="153">
        <f>$C43*INDEX(Curves!$D$8:$D$68,AW$4-$B43+1)</f>
        <v/>
      </c>
      <c r="AX43" s="153">
        <f>$C43*INDEX(Curves!$D$8:$D$68,AX$4-$B43+1)</f>
        <v/>
      </c>
      <c r="AY43" s="153">
        <f>$C43*INDEX(Curves!$D$8:$D$68,AY$4-$B43+1)</f>
        <v/>
      </c>
      <c r="AZ43" s="153">
        <f>$C43*INDEX(Curves!$D$8:$D$68,AZ$4-$B43+1)</f>
        <v/>
      </c>
      <c r="BA43" s="153">
        <f>$C43*INDEX(Curves!$D$8:$D$68,BA$4-$B43+1)</f>
        <v/>
      </c>
      <c r="BB43" s="153">
        <f>$C43*INDEX(Curves!$D$8:$D$68,BB$4-$B43+1)</f>
        <v/>
      </c>
      <c r="BC43" s="153">
        <f>$C43*INDEX(Curves!$D$8:$D$68,BC$4-$B43+1)</f>
        <v/>
      </c>
      <c r="BD43" s="153">
        <f>$C43*INDEX(Curves!$D$8:$D$68,BD$4-$B43+1)</f>
        <v/>
      </c>
      <c r="BE43" s="153">
        <f>$C43*INDEX(Curves!$D$8:$D$68,BE$4-$B43+1)</f>
        <v/>
      </c>
      <c r="BF43" s="153">
        <f>$C43*INDEX(Curves!$D$8:$D$68,BF$4-$B43+1)</f>
        <v/>
      </c>
      <c r="BG43" s="153">
        <f>$C43*INDEX(Curves!$D$8:$D$68,BG$4-$B43+1)</f>
        <v/>
      </c>
      <c r="BH43" s="153">
        <f>$C43*INDEX(Curves!$D$8:$D$68,BH$4-$B43+1)</f>
        <v/>
      </c>
      <c r="BI43" s="153">
        <f>$C43*INDEX(Curves!$D$8:$D$68,BI$4-$B43+1)</f>
        <v/>
      </c>
      <c r="BJ43" s="153">
        <f>$C43*INDEX(Curves!$D$8:$D$68,BJ$4-$B43+1)</f>
        <v/>
      </c>
      <c r="BK43" s="153">
        <f>$C43*INDEX(Curves!$D$8:$D$68,BK$4-$B43+1)</f>
        <v/>
      </c>
      <c r="BL43" s="153">
        <f>$C43*INDEX(Curves!$D$8:$D$68,BL$4-$B43+1)</f>
        <v/>
      </c>
    </row>
    <row r="44">
      <c r="A44" s="147" t="inlineStr">
        <is>
          <t>Cohort month 35</t>
        </is>
      </c>
      <c r="B44" s="147" t="n">
        <v>35</v>
      </c>
      <c r="C44" s="41">
        <f>INDEX(Ops!$E$10:$BL$10,1,$B44)</f>
        <v/>
      </c>
      <c r="AN44" s="153">
        <f>$C44*INDEX(Curves!$D$8:$D$68,AN$4-$B44+1)</f>
        <v/>
      </c>
      <c r="AO44" s="153">
        <f>$C44*INDEX(Curves!$D$8:$D$68,AO$4-$B44+1)</f>
        <v/>
      </c>
      <c r="AP44" s="153">
        <f>$C44*INDEX(Curves!$D$8:$D$68,AP$4-$B44+1)</f>
        <v/>
      </c>
      <c r="AQ44" s="153">
        <f>$C44*INDEX(Curves!$D$8:$D$68,AQ$4-$B44+1)</f>
        <v/>
      </c>
      <c r="AR44" s="153">
        <f>$C44*INDEX(Curves!$D$8:$D$68,AR$4-$B44+1)</f>
        <v/>
      </c>
      <c r="AS44" s="153">
        <f>$C44*INDEX(Curves!$D$8:$D$68,AS$4-$B44+1)</f>
        <v/>
      </c>
      <c r="AT44" s="153">
        <f>$C44*INDEX(Curves!$D$8:$D$68,AT$4-$B44+1)</f>
        <v/>
      </c>
      <c r="AU44" s="153">
        <f>$C44*INDEX(Curves!$D$8:$D$68,AU$4-$B44+1)</f>
        <v/>
      </c>
      <c r="AV44" s="153">
        <f>$C44*INDEX(Curves!$D$8:$D$68,AV$4-$B44+1)</f>
        <v/>
      </c>
      <c r="AW44" s="153">
        <f>$C44*INDEX(Curves!$D$8:$D$68,AW$4-$B44+1)</f>
        <v/>
      </c>
      <c r="AX44" s="153">
        <f>$C44*INDEX(Curves!$D$8:$D$68,AX$4-$B44+1)</f>
        <v/>
      </c>
      <c r="AY44" s="153">
        <f>$C44*INDEX(Curves!$D$8:$D$68,AY$4-$B44+1)</f>
        <v/>
      </c>
      <c r="AZ44" s="153">
        <f>$C44*INDEX(Curves!$D$8:$D$68,AZ$4-$B44+1)</f>
        <v/>
      </c>
      <c r="BA44" s="153">
        <f>$C44*INDEX(Curves!$D$8:$D$68,BA$4-$B44+1)</f>
        <v/>
      </c>
      <c r="BB44" s="153">
        <f>$C44*INDEX(Curves!$D$8:$D$68,BB$4-$B44+1)</f>
        <v/>
      </c>
      <c r="BC44" s="153">
        <f>$C44*INDEX(Curves!$D$8:$D$68,BC$4-$B44+1)</f>
        <v/>
      </c>
      <c r="BD44" s="153">
        <f>$C44*INDEX(Curves!$D$8:$D$68,BD$4-$B44+1)</f>
        <v/>
      </c>
      <c r="BE44" s="153">
        <f>$C44*INDEX(Curves!$D$8:$D$68,BE$4-$B44+1)</f>
        <v/>
      </c>
      <c r="BF44" s="153">
        <f>$C44*INDEX(Curves!$D$8:$D$68,BF$4-$B44+1)</f>
        <v/>
      </c>
      <c r="BG44" s="153">
        <f>$C44*INDEX(Curves!$D$8:$D$68,BG$4-$B44+1)</f>
        <v/>
      </c>
      <c r="BH44" s="153">
        <f>$C44*INDEX(Curves!$D$8:$D$68,BH$4-$B44+1)</f>
        <v/>
      </c>
      <c r="BI44" s="153">
        <f>$C44*INDEX(Curves!$D$8:$D$68,BI$4-$B44+1)</f>
        <v/>
      </c>
      <c r="BJ44" s="153">
        <f>$C44*INDEX(Curves!$D$8:$D$68,BJ$4-$B44+1)</f>
        <v/>
      </c>
      <c r="BK44" s="153">
        <f>$C44*INDEX(Curves!$D$8:$D$68,BK$4-$B44+1)</f>
        <v/>
      </c>
      <c r="BL44" s="153">
        <f>$C44*INDEX(Curves!$D$8:$D$68,BL$4-$B44+1)</f>
        <v/>
      </c>
    </row>
    <row r="45">
      <c r="A45" s="147" t="inlineStr">
        <is>
          <t>Cohort month 36</t>
        </is>
      </c>
      <c r="B45" s="147" t="n">
        <v>36</v>
      </c>
      <c r="C45" s="41">
        <f>INDEX(Ops!$E$10:$BL$10,1,$B45)</f>
        <v/>
      </c>
      <c r="AO45" s="153">
        <f>$C45*INDEX(Curves!$D$8:$D$68,AO$4-$B45+1)</f>
        <v/>
      </c>
      <c r="AP45" s="153">
        <f>$C45*INDEX(Curves!$D$8:$D$68,AP$4-$B45+1)</f>
        <v/>
      </c>
      <c r="AQ45" s="153">
        <f>$C45*INDEX(Curves!$D$8:$D$68,AQ$4-$B45+1)</f>
        <v/>
      </c>
      <c r="AR45" s="153">
        <f>$C45*INDEX(Curves!$D$8:$D$68,AR$4-$B45+1)</f>
        <v/>
      </c>
      <c r="AS45" s="153">
        <f>$C45*INDEX(Curves!$D$8:$D$68,AS$4-$B45+1)</f>
        <v/>
      </c>
      <c r="AT45" s="153">
        <f>$C45*INDEX(Curves!$D$8:$D$68,AT$4-$B45+1)</f>
        <v/>
      </c>
      <c r="AU45" s="153">
        <f>$C45*INDEX(Curves!$D$8:$D$68,AU$4-$B45+1)</f>
        <v/>
      </c>
      <c r="AV45" s="153">
        <f>$C45*INDEX(Curves!$D$8:$D$68,AV$4-$B45+1)</f>
        <v/>
      </c>
      <c r="AW45" s="153">
        <f>$C45*INDEX(Curves!$D$8:$D$68,AW$4-$B45+1)</f>
        <v/>
      </c>
      <c r="AX45" s="153">
        <f>$C45*INDEX(Curves!$D$8:$D$68,AX$4-$B45+1)</f>
        <v/>
      </c>
      <c r="AY45" s="153">
        <f>$C45*INDEX(Curves!$D$8:$D$68,AY$4-$B45+1)</f>
        <v/>
      </c>
      <c r="AZ45" s="153">
        <f>$C45*INDEX(Curves!$D$8:$D$68,AZ$4-$B45+1)</f>
        <v/>
      </c>
      <c r="BA45" s="153">
        <f>$C45*INDEX(Curves!$D$8:$D$68,BA$4-$B45+1)</f>
        <v/>
      </c>
      <c r="BB45" s="153">
        <f>$C45*INDEX(Curves!$D$8:$D$68,BB$4-$B45+1)</f>
        <v/>
      </c>
      <c r="BC45" s="153">
        <f>$C45*INDEX(Curves!$D$8:$D$68,BC$4-$B45+1)</f>
        <v/>
      </c>
      <c r="BD45" s="153">
        <f>$C45*INDEX(Curves!$D$8:$D$68,BD$4-$B45+1)</f>
        <v/>
      </c>
      <c r="BE45" s="153">
        <f>$C45*INDEX(Curves!$D$8:$D$68,BE$4-$B45+1)</f>
        <v/>
      </c>
      <c r="BF45" s="153">
        <f>$C45*INDEX(Curves!$D$8:$D$68,BF$4-$B45+1)</f>
        <v/>
      </c>
      <c r="BG45" s="153">
        <f>$C45*INDEX(Curves!$D$8:$D$68,BG$4-$B45+1)</f>
        <v/>
      </c>
      <c r="BH45" s="153">
        <f>$C45*INDEX(Curves!$D$8:$D$68,BH$4-$B45+1)</f>
        <v/>
      </c>
      <c r="BI45" s="153">
        <f>$C45*INDEX(Curves!$D$8:$D$68,BI$4-$B45+1)</f>
        <v/>
      </c>
      <c r="BJ45" s="153">
        <f>$C45*INDEX(Curves!$D$8:$D$68,BJ$4-$B45+1)</f>
        <v/>
      </c>
      <c r="BK45" s="153">
        <f>$C45*INDEX(Curves!$D$8:$D$68,BK$4-$B45+1)</f>
        <v/>
      </c>
      <c r="BL45" s="153">
        <f>$C45*INDEX(Curves!$D$8:$D$68,BL$4-$B45+1)</f>
        <v/>
      </c>
    </row>
    <row r="46">
      <c r="A46" s="147" t="inlineStr">
        <is>
          <t>Cohort month 37</t>
        </is>
      </c>
      <c r="B46" s="147" t="n">
        <v>37</v>
      </c>
      <c r="C46" s="41">
        <f>INDEX(Ops!$E$10:$BL$10,1,$B46)</f>
        <v/>
      </c>
      <c r="AP46" s="153">
        <f>$C46*INDEX(Curves!$D$8:$D$68,AP$4-$B46+1)</f>
        <v/>
      </c>
      <c r="AQ46" s="153">
        <f>$C46*INDEX(Curves!$D$8:$D$68,AQ$4-$B46+1)</f>
        <v/>
      </c>
      <c r="AR46" s="153">
        <f>$C46*INDEX(Curves!$D$8:$D$68,AR$4-$B46+1)</f>
        <v/>
      </c>
      <c r="AS46" s="153">
        <f>$C46*INDEX(Curves!$D$8:$D$68,AS$4-$B46+1)</f>
        <v/>
      </c>
      <c r="AT46" s="153">
        <f>$C46*INDEX(Curves!$D$8:$D$68,AT$4-$B46+1)</f>
        <v/>
      </c>
      <c r="AU46" s="153">
        <f>$C46*INDEX(Curves!$D$8:$D$68,AU$4-$B46+1)</f>
        <v/>
      </c>
      <c r="AV46" s="153">
        <f>$C46*INDEX(Curves!$D$8:$D$68,AV$4-$B46+1)</f>
        <v/>
      </c>
      <c r="AW46" s="153">
        <f>$C46*INDEX(Curves!$D$8:$D$68,AW$4-$B46+1)</f>
        <v/>
      </c>
      <c r="AX46" s="153">
        <f>$C46*INDEX(Curves!$D$8:$D$68,AX$4-$B46+1)</f>
        <v/>
      </c>
      <c r="AY46" s="153">
        <f>$C46*INDEX(Curves!$D$8:$D$68,AY$4-$B46+1)</f>
        <v/>
      </c>
      <c r="AZ46" s="153">
        <f>$C46*INDEX(Curves!$D$8:$D$68,AZ$4-$B46+1)</f>
        <v/>
      </c>
      <c r="BA46" s="153">
        <f>$C46*INDEX(Curves!$D$8:$D$68,BA$4-$B46+1)</f>
        <v/>
      </c>
      <c r="BB46" s="153">
        <f>$C46*INDEX(Curves!$D$8:$D$68,BB$4-$B46+1)</f>
        <v/>
      </c>
      <c r="BC46" s="153">
        <f>$C46*INDEX(Curves!$D$8:$D$68,BC$4-$B46+1)</f>
        <v/>
      </c>
      <c r="BD46" s="153">
        <f>$C46*INDEX(Curves!$D$8:$D$68,BD$4-$B46+1)</f>
        <v/>
      </c>
      <c r="BE46" s="153">
        <f>$C46*INDEX(Curves!$D$8:$D$68,BE$4-$B46+1)</f>
        <v/>
      </c>
      <c r="BF46" s="153">
        <f>$C46*INDEX(Curves!$D$8:$D$68,BF$4-$B46+1)</f>
        <v/>
      </c>
      <c r="BG46" s="153">
        <f>$C46*INDEX(Curves!$D$8:$D$68,BG$4-$B46+1)</f>
        <v/>
      </c>
      <c r="BH46" s="153">
        <f>$C46*INDEX(Curves!$D$8:$D$68,BH$4-$B46+1)</f>
        <v/>
      </c>
      <c r="BI46" s="153">
        <f>$C46*INDEX(Curves!$D$8:$D$68,BI$4-$B46+1)</f>
        <v/>
      </c>
      <c r="BJ46" s="153">
        <f>$C46*INDEX(Curves!$D$8:$D$68,BJ$4-$B46+1)</f>
        <v/>
      </c>
      <c r="BK46" s="153">
        <f>$C46*INDEX(Curves!$D$8:$D$68,BK$4-$B46+1)</f>
        <v/>
      </c>
      <c r="BL46" s="153">
        <f>$C46*INDEX(Curves!$D$8:$D$68,BL$4-$B46+1)</f>
        <v/>
      </c>
    </row>
    <row r="47">
      <c r="A47" s="147" t="inlineStr">
        <is>
          <t>Cohort month 38</t>
        </is>
      </c>
      <c r="B47" s="147" t="n">
        <v>38</v>
      </c>
      <c r="C47" s="41">
        <f>INDEX(Ops!$E$10:$BL$10,1,$B47)</f>
        <v/>
      </c>
      <c r="AQ47" s="153">
        <f>$C47*INDEX(Curves!$D$8:$D$68,AQ$4-$B47+1)</f>
        <v/>
      </c>
      <c r="AR47" s="153">
        <f>$C47*INDEX(Curves!$D$8:$D$68,AR$4-$B47+1)</f>
        <v/>
      </c>
      <c r="AS47" s="153">
        <f>$C47*INDEX(Curves!$D$8:$D$68,AS$4-$B47+1)</f>
        <v/>
      </c>
      <c r="AT47" s="153">
        <f>$C47*INDEX(Curves!$D$8:$D$68,AT$4-$B47+1)</f>
        <v/>
      </c>
      <c r="AU47" s="153">
        <f>$C47*INDEX(Curves!$D$8:$D$68,AU$4-$B47+1)</f>
        <v/>
      </c>
      <c r="AV47" s="153">
        <f>$C47*INDEX(Curves!$D$8:$D$68,AV$4-$B47+1)</f>
        <v/>
      </c>
      <c r="AW47" s="153">
        <f>$C47*INDEX(Curves!$D$8:$D$68,AW$4-$B47+1)</f>
        <v/>
      </c>
      <c r="AX47" s="153">
        <f>$C47*INDEX(Curves!$D$8:$D$68,AX$4-$B47+1)</f>
        <v/>
      </c>
      <c r="AY47" s="153">
        <f>$C47*INDEX(Curves!$D$8:$D$68,AY$4-$B47+1)</f>
        <v/>
      </c>
      <c r="AZ47" s="153">
        <f>$C47*INDEX(Curves!$D$8:$D$68,AZ$4-$B47+1)</f>
        <v/>
      </c>
      <c r="BA47" s="153">
        <f>$C47*INDEX(Curves!$D$8:$D$68,BA$4-$B47+1)</f>
        <v/>
      </c>
      <c r="BB47" s="153">
        <f>$C47*INDEX(Curves!$D$8:$D$68,BB$4-$B47+1)</f>
        <v/>
      </c>
      <c r="BC47" s="153">
        <f>$C47*INDEX(Curves!$D$8:$D$68,BC$4-$B47+1)</f>
        <v/>
      </c>
      <c r="BD47" s="153">
        <f>$C47*INDEX(Curves!$D$8:$D$68,BD$4-$B47+1)</f>
        <v/>
      </c>
      <c r="BE47" s="153">
        <f>$C47*INDEX(Curves!$D$8:$D$68,BE$4-$B47+1)</f>
        <v/>
      </c>
      <c r="BF47" s="153">
        <f>$C47*INDEX(Curves!$D$8:$D$68,BF$4-$B47+1)</f>
        <v/>
      </c>
      <c r="BG47" s="153">
        <f>$C47*INDEX(Curves!$D$8:$D$68,BG$4-$B47+1)</f>
        <v/>
      </c>
      <c r="BH47" s="153">
        <f>$C47*INDEX(Curves!$D$8:$D$68,BH$4-$B47+1)</f>
        <v/>
      </c>
      <c r="BI47" s="153">
        <f>$C47*INDEX(Curves!$D$8:$D$68,BI$4-$B47+1)</f>
        <v/>
      </c>
      <c r="BJ47" s="153">
        <f>$C47*INDEX(Curves!$D$8:$D$68,BJ$4-$B47+1)</f>
        <v/>
      </c>
      <c r="BK47" s="153">
        <f>$C47*INDEX(Curves!$D$8:$D$68,BK$4-$B47+1)</f>
        <v/>
      </c>
      <c r="BL47" s="153">
        <f>$C47*INDEX(Curves!$D$8:$D$68,BL$4-$B47+1)</f>
        <v/>
      </c>
    </row>
    <row r="48">
      <c r="A48" s="147" t="inlineStr">
        <is>
          <t>Cohort month 39</t>
        </is>
      </c>
      <c r="B48" s="147" t="n">
        <v>39</v>
      </c>
      <c r="C48" s="41">
        <f>INDEX(Ops!$E$10:$BL$10,1,$B48)</f>
        <v/>
      </c>
      <c r="AR48" s="153">
        <f>$C48*INDEX(Curves!$D$8:$D$68,AR$4-$B48+1)</f>
        <v/>
      </c>
      <c r="AS48" s="153">
        <f>$C48*INDEX(Curves!$D$8:$D$68,AS$4-$B48+1)</f>
        <v/>
      </c>
      <c r="AT48" s="153">
        <f>$C48*INDEX(Curves!$D$8:$D$68,AT$4-$B48+1)</f>
        <v/>
      </c>
      <c r="AU48" s="153">
        <f>$C48*INDEX(Curves!$D$8:$D$68,AU$4-$B48+1)</f>
        <v/>
      </c>
      <c r="AV48" s="153">
        <f>$C48*INDEX(Curves!$D$8:$D$68,AV$4-$B48+1)</f>
        <v/>
      </c>
      <c r="AW48" s="153">
        <f>$C48*INDEX(Curves!$D$8:$D$68,AW$4-$B48+1)</f>
        <v/>
      </c>
      <c r="AX48" s="153">
        <f>$C48*INDEX(Curves!$D$8:$D$68,AX$4-$B48+1)</f>
        <v/>
      </c>
      <c r="AY48" s="153">
        <f>$C48*INDEX(Curves!$D$8:$D$68,AY$4-$B48+1)</f>
        <v/>
      </c>
      <c r="AZ48" s="153">
        <f>$C48*INDEX(Curves!$D$8:$D$68,AZ$4-$B48+1)</f>
        <v/>
      </c>
      <c r="BA48" s="153">
        <f>$C48*INDEX(Curves!$D$8:$D$68,BA$4-$B48+1)</f>
        <v/>
      </c>
      <c r="BB48" s="153">
        <f>$C48*INDEX(Curves!$D$8:$D$68,BB$4-$B48+1)</f>
        <v/>
      </c>
      <c r="BC48" s="153">
        <f>$C48*INDEX(Curves!$D$8:$D$68,BC$4-$B48+1)</f>
        <v/>
      </c>
      <c r="BD48" s="153">
        <f>$C48*INDEX(Curves!$D$8:$D$68,BD$4-$B48+1)</f>
        <v/>
      </c>
      <c r="BE48" s="153">
        <f>$C48*INDEX(Curves!$D$8:$D$68,BE$4-$B48+1)</f>
        <v/>
      </c>
      <c r="BF48" s="153">
        <f>$C48*INDEX(Curves!$D$8:$D$68,BF$4-$B48+1)</f>
        <v/>
      </c>
      <c r="BG48" s="153">
        <f>$C48*INDEX(Curves!$D$8:$D$68,BG$4-$B48+1)</f>
        <v/>
      </c>
      <c r="BH48" s="153">
        <f>$C48*INDEX(Curves!$D$8:$D$68,BH$4-$B48+1)</f>
        <v/>
      </c>
      <c r="BI48" s="153">
        <f>$C48*INDEX(Curves!$D$8:$D$68,BI$4-$B48+1)</f>
        <v/>
      </c>
      <c r="BJ48" s="153">
        <f>$C48*INDEX(Curves!$D$8:$D$68,BJ$4-$B48+1)</f>
        <v/>
      </c>
      <c r="BK48" s="153">
        <f>$C48*INDEX(Curves!$D$8:$D$68,BK$4-$B48+1)</f>
        <v/>
      </c>
      <c r="BL48" s="153">
        <f>$C48*INDEX(Curves!$D$8:$D$68,BL$4-$B48+1)</f>
        <v/>
      </c>
    </row>
    <row r="49">
      <c r="A49" s="147" t="inlineStr">
        <is>
          <t>Cohort month 40</t>
        </is>
      </c>
      <c r="B49" s="147" t="n">
        <v>40</v>
      </c>
      <c r="C49" s="41">
        <f>INDEX(Ops!$E$10:$BL$10,1,$B49)</f>
        <v/>
      </c>
      <c r="AS49" s="153">
        <f>$C49*INDEX(Curves!$D$8:$D$68,AS$4-$B49+1)</f>
        <v/>
      </c>
      <c r="AT49" s="153">
        <f>$C49*INDEX(Curves!$D$8:$D$68,AT$4-$B49+1)</f>
        <v/>
      </c>
      <c r="AU49" s="153">
        <f>$C49*INDEX(Curves!$D$8:$D$68,AU$4-$B49+1)</f>
        <v/>
      </c>
      <c r="AV49" s="153">
        <f>$C49*INDEX(Curves!$D$8:$D$68,AV$4-$B49+1)</f>
        <v/>
      </c>
      <c r="AW49" s="153">
        <f>$C49*INDEX(Curves!$D$8:$D$68,AW$4-$B49+1)</f>
        <v/>
      </c>
      <c r="AX49" s="153">
        <f>$C49*INDEX(Curves!$D$8:$D$68,AX$4-$B49+1)</f>
        <v/>
      </c>
      <c r="AY49" s="153">
        <f>$C49*INDEX(Curves!$D$8:$D$68,AY$4-$B49+1)</f>
        <v/>
      </c>
      <c r="AZ49" s="153">
        <f>$C49*INDEX(Curves!$D$8:$D$68,AZ$4-$B49+1)</f>
        <v/>
      </c>
      <c r="BA49" s="153">
        <f>$C49*INDEX(Curves!$D$8:$D$68,BA$4-$B49+1)</f>
        <v/>
      </c>
      <c r="BB49" s="153">
        <f>$C49*INDEX(Curves!$D$8:$D$68,BB$4-$B49+1)</f>
        <v/>
      </c>
      <c r="BC49" s="153">
        <f>$C49*INDEX(Curves!$D$8:$D$68,BC$4-$B49+1)</f>
        <v/>
      </c>
      <c r="BD49" s="153">
        <f>$C49*INDEX(Curves!$D$8:$D$68,BD$4-$B49+1)</f>
        <v/>
      </c>
      <c r="BE49" s="153">
        <f>$C49*INDEX(Curves!$D$8:$D$68,BE$4-$B49+1)</f>
        <v/>
      </c>
      <c r="BF49" s="153">
        <f>$C49*INDEX(Curves!$D$8:$D$68,BF$4-$B49+1)</f>
        <v/>
      </c>
      <c r="BG49" s="153">
        <f>$C49*INDEX(Curves!$D$8:$D$68,BG$4-$B49+1)</f>
        <v/>
      </c>
      <c r="BH49" s="153">
        <f>$C49*INDEX(Curves!$D$8:$D$68,BH$4-$B49+1)</f>
        <v/>
      </c>
      <c r="BI49" s="153">
        <f>$C49*INDEX(Curves!$D$8:$D$68,BI$4-$B49+1)</f>
        <v/>
      </c>
      <c r="BJ49" s="153">
        <f>$C49*INDEX(Curves!$D$8:$D$68,BJ$4-$B49+1)</f>
        <v/>
      </c>
      <c r="BK49" s="153">
        <f>$C49*INDEX(Curves!$D$8:$D$68,BK$4-$B49+1)</f>
        <v/>
      </c>
      <c r="BL49" s="153">
        <f>$C49*INDEX(Curves!$D$8:$D$68,BL$4-$B49+1)</f>
        <v/>
      </c>
    </row>
    <row r="50">
      <c r="A50" s="147" t="inlineStr">
        <is>
          <t>Cohort month 41</t>
        </is>
      </c>
      <c r="B50" s="147" t="n">
        <v>41</v>
      </c>
      <c r="C50" s="41">
        <f>INDEX(Ops!$E$10:$BL$10,1,$B50)</f>
        <v/>
      </c>
      <c r="AT50" s="153">
        <f>$C50*INDEX(Curves!$D$8:$D$68,AT$4-$B50+1)</f>
        <v/>
      </c>
      <c r="AU50" s="153">
        <f>$C50*INDEX(Curves!$D$8:$D$68,AU$4-$B50+1)</f>
        <v/>
      </c>
      <c r="AV50" s="153">
        <f>$C50*INDEX(Curves!$D$8:$D$68,AV$4-$B50+1)</f>
        <v/>
      </c>
      <c r="AW50" s="153">
        <f>$C50*INDEX(Curves!$D$8:$D$68,AW$4-$B50+1)</f>
        <v/>
      </c>
      <c r="AX50" s="153">
        <f>$C50*INDEX(Curves!$D$8:$D$68,AX$4-$B50+1)</f>
        <v/>
      </c>
      <c r="AY50" s="153">
        <f>$C50*INDEX(Curves!$D$8:$D$68,AY$4-$B50+1)</f>
        <v/>
      </c>
      <c r="AZ50" s="153">
        <f>$C50*INDEX(Curves!$D$8:$D$68,AZ$4-$B50+1)</f>
        <v/>
      </c>
      <c r="BA50" s="153">
        <f>$C50*INDEX(Curves!$D$8:$D$68,BA$4-$B50+1)</f>
        <v/>
      </c>
      <c r="BB50" s="153">
        <f>$C50*INDEX(Curves!$D$8:$D$68,BB$4-$B50+1)</f>
        <v/>
      </c>
      <c r="BC50" s="153">
        <f>$C50*INDEX(Curves!$D$8:$D$68,BC$4-$B50+1)</f>
        <v/>
      </c>
      <c r="BD50" s="153">
        <f>$C50*INDEX(Curves!$D$8:$D$68,BD$4-$B50+1)</f>
        <v/>
      </c>
      <c r="BE50" s="153">
        <f>$C50*INDEX(Curves!$D$8:$D$68,BE$4-$B50+1)</f>
        <v/>
      </c>
      <c r="BF50" s="153">
        <f>$C50*INDEX(Curves!$D$8:$D$68,BF$4-$B50+1)</f>
        <v/>
      </c>
      <c r="BG50" s="153">
        <f>$C50*INDEX(Curves!$D$8:$D$68,BG$4-$B50+1)</f>
        <v/>
      </c>
      <c r="BH50" s="153">
        <f>$C50*INDEX(Curves!$D$8:$D$68,BH$4-$B50+1)</f>
        <v/>
      </c>
      <c r="BI50" s="153">
        <f>$C50*INDEX(Curves!$D$8:$D$68,BI$4-$B50+1)</f>
        <v/>
      </c>
      <c r="BJ50" s="153">
        <f>$C50*INDEX(Curves!$D$8:$D$68,BJ$4-$B50+1)</f>
        <v/>
      </c>
      <c r="BK50" s="153">
        <f>$C50*INDEX(Curves!$D$8:$D$68,BK$4-$B50+1)</f>
        <v/>
      </c>
      <c r="BL50" s="153">
        <f>$C50*INDEX(Curves!$D$8:$D$68,BL$4-$B50+1)</f>
        <v/>
      </c>
    </row>
    <row r="51">
      <c r="A51" s="147" t="inlineStr">
        <is>
          <t>Cohort month 42</t>
        </is>
      </c>
      <c r="B51" s="147" t="n">
        <v>42</v>
      </c>
      <c r="C51" s="41">
        <f>INDEX(Ops!$E$10:$BL$10,1,$B51)</f>
        <v/>
      </c>
      <c r="AU51" s="153">
        <f>$C51*INDEX(Curves!$D$8:$D$68,AU$4-$B51+1)</f>
        <v/>
      </c>
      <c r="AV51" s="153">
        <f>$C51*INDEX(Curves!$D$8:$D$68,AV$4-$B51+1)</f>
        <v/>
      </c>
      <c r="AW51" s="153">
        <f>$C51*INDEX(Curves!$D$8:$D$68,AW$4-$B51+1)</f>
        <v/>
      </c>
      <c r="AX51" s="153">
        <f>$C51*INDEX(Curves!$D$8:$D$68,AX$4-$B51+1)</f>
        <v/>
      </c>
      <c r="AY51" s="153">
        <f>$C51*INDEX(Curves!$D$8:$D$68,AY$4-$B51+1)</f>
        <v/>
      </c>
      <c r="AZ51" s="153">
        <f>$C51*INDEX(Curves!$D$8:$D$68,AZ$4-$B51+1)</f>
        <v/>
      </c>
      <c r="BA51" s="153">
        <f>$C51*INDEX(Curves!$D$8:$D$68,BA$4-$B51+1)</f>
        <v/>
      </c>
      <c r="BB51" s="153">
        <f>$C51*INDEX(Curves!$D$8:$D$68,BB$4-$B51+1)</f>
        <v/>
      </c>
      <c r="BC51" s="153">
        <f>$C51*INDEX(Curves!$D$8:$D$68,BC$4-$B51+1)</f>
        <v/>
      </c>
      <c r="BD51" s="153">
        <f>$C51*INDEX(Curves!$D$8:$D$68,BD$4-$B51+1)</f>
        <v/>
      </c>
      <c r="BE51" s="153">
        <f>$C51*INDEX(Curves!$D$8:$D$68,BE$4-$B51+1)</f>
        <v/>
      </c>
      <c r="BF51" s="153">
        <f>$C51*INDEX(Curves!$D$8:$D$68,BF$4-$B51+1)</f>
        <v/>
      </c>
      <c r="BG51" s="153">
        <f>$C51*INDEX(Curves!$D$8:$D$68,BG$4-$B51+1)</f>
        <v/>
      </c>
      <c r="BH51" s="153">
        <f>$C51*INDEX(Curves!$D$8:$D$68,BH$4-$B51+1)</f>
        <v/>
      </c>
      <c r="BI51" s="153">
        <f>$C51*INDEX(Curves!$D$8:$D$68,BI$4-$B51+1)</f>
        <v/>
      </c>
      <c r="BJ51" s="153">
        <f>$C51*INDEX(Curves!$D$8:$D$68,BJ$4-$B51+1)</f>
        <v/>
      </c>
      <c r="BK51" s="153">
        <f>$C51*INDEX(Curves!$D$8:$D$68,BK$4-$B51+1)</f>
        <v/>
      </c>
      <c r="BL51" s="153">
        <f>$C51*INDEX(Curves!$D$8:$D$68,BL$4-$B51+1)</f>
        <v/>
      </c>
    </row>
    <row r="52">
      <c r="A52" s="147" t="inlineStr">
        <is>
          <t>Cohort month 43</t>
        </is>
      </c>
      <c r="B52" s="147" t="n">
        <v>43</v>
      </c>
      <c r="C52" s="41">
        <f>INDEX(Ops!$E$10:$BL$10,1,$B52)</f>
        <v/>
      </c>
      <c r="AV52" s="153">
        <f>$C52*INDEX(Curves!$D$8:$D$68,AV$4-$B52+1)</f>
        <v/>
      </c>
      <c r="AW52" s="153">
        <f>$C52*INDEX(Curves!$D$8:$D$68,AW$4-$B52+1)</f>
        <v/>
      </c>
      <c r="AX52" s="153">
        <f>$C52*INDEX(Curves!$D$8:$D$68,AX$4-$B52+1)</f>
        <v/>
      </c>
      <c r="AY52" s="153">
        <f>$C52*INDEX(Curves!$D$8:$D$68,AY$4-$B52+1)</f>
        <v/>
      </c>
      <c r="AZ52" s="153">
        <f>$C52*INDEX(Curves!$D$8:$D$68,AZ$4-$B52+1)</f>
        <v/>
      </c>
      <c r="BA52" s="153">
        <f>$C52*INDEX(Curves!$D$8:$D$68,BA$4-$B52+1)</f>
        <v/>
      </c>
      <c r="BB52" s="153">
        <f>$C52*INDEX(Curves!$D$8:$D$68,BB$4-$B52+1)</f>
        <v/>
      </c>
      <c r="BC52" s="153">
        <f>$C52*INDEX(Curves!$D$8:$D$68,BC$4-$B52+1)</f>
        <v/>
      </c>
      <c r="BD52" s="153">
        <f>$C52*INDEX(Curves!$D$8:$D$68,BD$4-$B52+1)</f>
        <v/>
      </c>
      <c r="BE52" s="153">
        <f>$C52*INDEX(Curves!$D$8:$D$68,BE$4-$B52+1)</f>
        <v/>
      </c>
      <c r="BF52" s="153">
        <f>$C52*INDEX(Curves!$D$8:$D$68,BF$4-$B52+1)</f>
        <v/>
      </c>
      <c r="BG52" s="153">
        <f>$C52*INDEX(Curves!$D$8:$D$68,BG$4-$B52+1)</f>
        <v/>
      </c>
      <c r="BH52" s="153">
        <f>$C52*INDEX(Curves!$D$8:$D$68,BH$4-$B52+1)</f>
        <v/>
      </c>
      <c r="BI52" s="153">
        <f>$C52*INDEX(Curves!$D$8:$D$68,BI$4-$B52+1)</f>
        <v/>
      </c>
      <c r="BJ52" s="153">
        <f>$C52*INDEX(Curves!$D$8:$D$68,BJ$4-$B52+1)</f>
        <v/>
      </c>
      <c r="BK52" s="153">
        <f>$C52*INDEX(Curves!$D$8:$D$68,BK$4-$B52+1)</f>
        <v/>
      </c>
      <c r="BL52" s="153">
        <f>$C52*INDEX(Curves!$D$8:$D$68,BL$4-$B52+1)</f>
        <v/>
      </c>
    </row>
    <row r="53">
      <c r="A53" s="147" t="inlineStr">
        <is>
          <t>Cohort month 44</t>
        </is>
      </c>
      <c r="B53" s="147" t="n">
        <v>44</v>
      </c>
      <c r="C53" s="41">
        <f>INDEX(Ops!$E$10:$BL$10,1,$B53)</f>
        <v/>
      </c>
      <c r="AW53" s="153">
        <f>$C53*INDEX(Curves!$D$8:$D$68,AW$4-$B53+1)</f>
        <v/>
      </c>
      <c r="AX53" s="153">
        <f>$C53*INDEX(Curves!$D$8:$D$68,AX$4-$B53+1)</f>
        <v/>
      </c>
      <c r="AY53" s="153">
        <f>$C53*INDEX(Curves!$D$8:$D$68,AY$4-$B53+1)</f>
        <v/>
      </c>
      <c r="AZ53" s="153">
        <f>$C53*INDEX(Curves!$D$8:$D$68,AZ$4-$B53+1)</f>
        <v/>
      </c>
      <c r="BA53" s="153">
        <f>$C53*INDEX(Curves!$D$8:$D$68,BA$4-$B53+1)</f>
        <v/>
      </c>
      <c r="BB53" s="153">
        <f>$C53*INDEX(Curves!$D$8:$D$68,BB$4-$B53+1)</f>
        <v/>
      </c>
      <c r="BC53" s="153">
        <f>$C53*INDEX(Curves!$D$8:$D$68,BC$4-$B53+1)</f>
        <v/>
      </c>
      <c r="BD53" s="153">
        <f>$C53*INDEX(Curves!$D$8:$D$68,BD$4-$B53+1)</f>
        <v/>
      </c>
      <c r="BE53" s="153">
        <f>$C53*INDEX(Curves!$D$8:$D$68,BE$4-$B53+1)</f>
        <v/>
      </c>
      <c r="BF53" s="153">
        <f>$C53*INDEX(Curves!$D$8:$D$68,BF$4-$B53+1)</f>
        <v/>
      </c>
      <c r="BG53" s="153">
        <f>$C53*INDEX(Curves!$D$8:$D$68,BG$4-$B53+1)</f>
        <v/>
      </c>
      <c r="BH53" s="153">
        <f>$C53*INDEX(Curves!$D$8:$D$68,BH$4-$B53+1)</f>
        <v/>
      </c>
      <c r="BI53" s="153">
        <f>$C53*INDEX(Curves!$D$8:$D$68,BI$4-$B53+1)</f>
        <v/>
      </c>
      <c r="BJ53" s="153">
        <f>$C53*INDEX(Curves!$D$8:$D$68,BJ$4-$B53+1)</f>
        <v/>
      </c>
      <c r="BK53" s="153">
        <f>$C53*INDEX(Curves!$D$8:$D$68,BK$4-$B53+1)</f>
        <v/>
      </c>
      <c r="BL53" s="153">
        <f>$C53*INDEX(Curves!$D$8:$D$68,BL$4-$B53+1)</f>
        <v/>
      </c>
    </row>
    <row r="54">
      <c r="A54" s="147" t="inlineStr">
        <is>
          <t>Cohort month 45</t>
        </is>
      </c>
      <c r="B54" s="147" t="n">
        <v>45</v>
      </c>
      <c r="C54" s="41">
        <f>INDEX(Ops!$E$10:$BL$10,1,$B54)</f>
        <v/>
      </c>
      <c r="AX54" s="153">
        <f>$C54*INDEX(Curves!$D$8:$D$68,AX$4-$B54+1)</f>
        <v/>
      </c>
      <c r="AY54" s="153">
        <f>$C54*INDEX(Curves!$D$8:$D$68,AY$4-$B54+1)</f>
        <v/>
      </c>
      <c r="AZ54" s="153">
        <f>$C54*INDEX(Curves!$D$8:$D$68,AZ$4-$B54+1)</f>
        <v/>
      </c>
      <c r="BA54" s="153">
        <f>$C54*INDEX(Curves!$D$8:$D$68,BA$4-$B54+1)</f>
        <v/>
      </c>
      <c r="BB54" s="153">
        <f>$C54*INDEX(Curves!$D$8:$D$68,BB$4-$B54+1)</f>
        <v/>
      </c>
      <c r="BC54" s="153">
        <f>$C54*INDEX(Curves!$D$8:$D$68,BC$4-$B54+1)</f>
        <v/>
      </c>
      <c r="BD54" s="153">
        <f>$C54*INDEX(Curves!$D$8:$D$68,BD$4-$B54+1)</f>
        <v/>
      </c>
      <c r="BE54" s="153">
        <f>$C54*INDEX(Curves!$D$8:$D$68,BE$4-$B54+1)</f>
        <v/>
      </c>
      <c r="BF54" s="153">
        <f>$C54*INDEX(Curves!$D$8:$D$68,BF$4-$B54+1)</f>
        <v/>
      </c>
      <c r="BG54" s="153">
        <f>$C54*INDEX(Curves!$D$8:$D$68,BG$4-$B54+1)</f>
        <v/>
      </c>
      <c r="BH54" s="153">
        <f>$C54*INDEX(Curves!$D$8:$D$68,BH$4-$B54+1)</f>
        <v/>
      </c>
      <c r="BI54" s="153">
        <f>$C54*INDEX(Curves!$D$8:$D$68,BI$4-$B54+1)</f>
        <v/>
      </c>
      <c r="BJ54" s="153">
        <f>$C54*INDEX(Curves!$D$8:$D$68,BJ$4-$B54+1)</f>
        <v/>
      </c>
      <c r="BK54" s="153">
        <f>$C54*INDEX(Curves!$D$8:$D$68,BK$4-$B54+1)</f>
        <v/>
      </c>
      <c r="BL54" s="153">
        <f>$C54*INDEX(Curves!$D$8:$D$68,BL$4-$B54+1)</f>
        <v/>
      </c>
    </row>
    <row r="55">
      <c r="A55" s="147" t="inlineStr">
        <is>
          <t>Cohort month 46</t>
        </is>
      </c>
      <c r="B55" s="147" t="n">
        <v>46</v>
      </c>
      <c r="C55" s="41">
        <f>INDEX(Ops!$E$10:$BL$10,1,$B55)</f>
        <v/>
      </c>
      <c r="AY55" s="153">
        <f>$C55*INDEX(Curves!$D$8:$D$68,AY$4-$B55+1)</f>
        <v/>
      </c>
      <c r="AZ55" s="153">
        <f>$C55*INDEX(Curves!$D$8:$D$68,AZ$4-$B55+1)</f>
        <v/>
      </c>
      <c r="BA55" s="153">
        <f>$C55*INDEX(Curves!$D$8:$D$68,BA$4-$B55+1)</f>
        <v/>
      </c>
      <c r="BB55" s="153">
        <f>$C55*INDEX(Curves!$D$8:$D$68,BB$4-$B55+1)</f>
        <v/>
      </c>
      <c r="BC55" s="153">
        <f>$C55*INDEX(Curves!$D$8:$D$68,BC$4-$B55+1)</f>
        <v/>
      </c>
      <c r="BD55" s="153">
        <f>$C55*INDEX(Curves!$D$8:$D$68,BD$4-$B55+1)</f>
        <v/>
      </c>
      <c r="BE55" s="153">
        <f>$C55*INDEX(Curves!$D$8:$D$68,BE$4-$B55+1)</f>
        <v/>
      </c>
      <c r="BF55" s="153">
        <f>$C55*INDEX(Curves!$D$8:$D$68,BF$4-$B55+1)</f>
        <v/>
      </c>
      <c r="BG55" s="153">
        <f>$C55*INDEX(Curves!$D$8:$D$68,BG$4-$B55+1)</f>
        <v/>
      </c>
      <c r="BH55" s="153">
        <f>$C55*INDEX(Curves!$D$8:$D$68,BH$4-$B55+1)</f>
        <v/>
      </c>
      <c r="BI55" s="153">
        <f>$C55*INDEX(Curves!$D$8:$D$68,BI$4-$B55+1)</f>
        <v/>
      </c>
      <c r="BJ55" s="153">
        <f>$C55*INDEX(Curves!$D$8:$D$68,BJ$4-$B55+1)</f>
        <v/>
      </c>
      <c r="BK55" s="153">
        <f>$C55*INDEX(Curves!$D$8:$D$68,BK$4-$B55+1)</f>
        <v/>
      </c>
      <c r="BL55" s="153">
        <f>$C55*INDEX(Curves!$D$8:$D$68,BL$4-$B55+1)</f>
        <v/>
      </c>
    </row>
    <row r="56">
      <c r="A56" s="147" t="inlineStr">
        <is>
          <t>Cohort month 47</t>
        </is>
      </c>
      <c r="B56" s="147" t="n">
        <v>47</v>
      </c>
      <c r="C56" s="41">
        <f>INDEX(Ops!$E$10:$BL$10,1,$B56)</f>
        <v/>
      </c>
      <c r="AZ56" s="153">
        <f>$C56*INDEX(Curves!$D$8:$D$68,AZ$4-$B56+1)</f>
        <v/>
      </c>
      <c r="BA56" s="153">
        <f>$C56*INDEX(Curves!$D$8:$D$68,BA$4-$B56+1)</f>
        <v/>
      </c>
      <c r="BB56" s="153">
        <f>$C56*INDEX(Curves!$D$8:$D$68,BB$4-$B56+1)</f>
        <v/>
      </c>
      <c r="BC56" s="153">
        <f>$C56*INDEX(Curves!$D$8:$D$68,BC$4-$B56+1)</f>
        <v/>
      </c>
      <c r="BD56" s="153">
        <f>$C56*INDEX(Curves!$D$8:$D$68,BD$4-$B56+1)</f>
        <v/>
      </c>
      <c r="BE56" s="153">
        <f>$C56*INDEX(Curves!$D$8:$D$68,BE$4-$B56+1)</f>
        <v/>
      </c>
      <c r="BF56" s="153">
        <f>$C56*INDEX(Curves!$D$8:$D$68,BF$4-$B56+1)</f>
        <v/>
      </c>
      <c r="BG56" s="153">
        <f>$C56*INDEX(Curves!$D$8:$D$68,BG$4-$B56+1)</f>
        <v/>
      </c>
      <c r="BH56" s="153">
        <f>$C56*INDEX(Curves!$D$8:$D$68,BH$4-$B56+1)</f>
        <v/>
      </c>
      <c r="BI56" s="153">
        <f>$C56*INDEX(Curves!$D$8:$D$68,BI$4-$B56+1)</f>
        <v/>
      </c>
      <c r="BJ56" s="153">
        <f>$C56*INDEX(Curves!$D$8:$D$68,BJ$4-$B56+1)</f>
        <v/>
      </c>
      <c r="BK56" s="153">
        <f>$C56*INDEX(Curves!$D$8:$D$68,BK$4-$B56+1)</f>
        <v/>
      </c>
      <c r="BL56" s="153">
        <f>$C56*INDEX(Curves!$D$8:$D$68,BL$4-$B56+1)</f>
        <v/>
      </c>
    </row>
    <row r="57">
      <c r="A57" s="147" t="inlineStr">
        <is>
          <t>Cohort month 48</t>
        </is>
      </c>
      <c r="B57" s="147" t="n">
        <v>48</v>
      </c>
      <c r="C57" s="41">
        <f>INDEX(Ops!$E$10:$BL$10,1,$B57)</f>
        <v/>
      </c>
      <c r="BA57" s="153">
        <f>$C57*INDEX(Curves!$D$8:$D$68,BA$4-$B57+1)</f>
        <v/>
      </c>
      <c r="BB57" s="153">
        <f>$C57*INDEX(Curves!$D$8:$D$68,BB$4-$B57+1)</f>
        <v/>
      </c>
      <c r="BC57" s="153">
        <f>$C57*INDEX(Curves!$D$8:$D$68,BC$4-$B57+1)</f>
        <v/>
      </c>
      <c r="BD57" s="153">
        <f>$C57*INDEX(Curves!$D$8:$D$68,BD$4-$B57+1)</f>
        <v/>
      </c>
      <c r="BE57" s="153">
        <f>$C57*INDEX(Curves!$D$8:$D$68,BE$4-$B57+1)</f>
        <v/>
      </c>
      <c r="BF57" s="153">
        <f>$C57*INDEX(Curves!$D$8:$D$68,BF$4-$B57+1)</f>
        <v/>
      </c>
      <c r="BG57" s="153">
        <f>$C57*INDEX(Curves!$D$8:$D$68,BG$4-$B57+1)</f>
        <v/>
      </c>
      <c r="BH57" s="153">
        <f>$C57*INDEX(Curves!$D$8:$D$68,BH$4-$B57+1)</f>
        <v/>
      </c>
      <c r="BI57" s="153">
        <f>$C57*INDEX(Curves!$D$8:$D$68,BI$4-$B57+1)</f>
        <v/>
      </c>
      <c r="BJ57" s="153">
        <f>$C57*INDEX(Curves!$D$8:$D$68,BJ$4-$B57+1)</f>
        <v/>
      </c>
      <c r="BK57" s="153">
        <f>$C57*INDEX(Curves!$D$8:$D$68,BK$4-$B57+1)</f>
        <v/>
      </c>
      <c r="BL57" s="153">
        <f>$C57*INDEX(Curves!$D$8:$D$68,BL$4-$B57+1)</f>
        <v/>
      </c>
    </row>
    <row r="58">
      <c r="A58" s="147" t="inlineStr">
        <is>
          <t>Cohort month 49</t>
        </is>
      </c>
      <c r="B58" s="147" t="n">
        <v>49</v>
      </c>
      <c r="C58" s="41">
        <f>INDEX(Ops!$E$10:$BL$10,1,$B58)</f>
        <v/>
      </c>
      <c r="BB58" s="153">
        <f>$C58*INDEX(Curves!$D$8:$D$68,BB$4-$B58+1)</f>
        <v/>
      </c>
      <c r="BC58" s="153">
        <f>$C58*INDEX(Curves!$D$8:$D$68,BC$4-$B58+1)</f>
        <v/>
      </c>
      <c r="BD58" s="153">
        <f>$C58*INDEX(Curves!$D$8:$D$68,BD$4-$B58+1)</f>
        <v/>
      </c>
      <c r="BE58" s="153">
        <f>$C58*INDEX(Curves!$D$8:$D$68,BE$4-$B58+1)</f>
        <v/>
      </c>
      <c r="BF58" s="153">
        <f>$C58*INDEX(Curves!$D$8:$D$68,BF$4-$B58+1)</f>
        <v/>
      </c>
      <c r="BG58" s="153">
        <f>$C58*INDEX(Curves!$D$8:$D$68,BG$4-$B58+1)</f>
        <v/>
      </c>
      <c r="BH58" s="153">
        <f>$C58*INDEX(Curves!$D$8:$D$68,BH$4-$B58+1)</f>
        <v/>
      </c>
      <c r="BI58" s="153">
        <f>$C58*INDEX(Curves!$D$8:$D$68,BI$4-$B58+1)</f>
        <v/>
      </c>
      <c r="BJ58" s="153">
        <f>$C58*INDEX(Curves!$D$8:$D$68,BJ$4-$B58+1)</f>
        <v/>
      </c>
      <c r="BK58" s="153">
        <f>$C58*INDEX(Curves!$D$8:$D$68,BK$4-$B58+1)</f>
        <v/>
      </c>
      <c r="BL58" s="153">
        <f>$C58*INDEX(Curves!$D$8:$D$68,BL$4-$B58+1)</f>
        <v/>
      </c>
    </row>
    <row r="59">
      <c r="A59" s="147" t="inlineStr">
        <is>
          <t>Cohort month 50</t>
        </is>
      </c>
      <c r="B59" s="147" t="n">
        <v>50</v>
      </c>
      <c r="C59" s="41">
        <f>INDEX(Ops!$E$10:$BL$10,1,$B59)</f>
        <v/>
      </c>
      <c r="BC59" s="153">
        <f>$C59*INDEX(Curves!$D$8:$D$68,BC$4-$B59+1)</f>
        <v/>
      </c>
      <c r="BD59" s="153">
        <f>$C59*INDEX(Curves!$D$8:$D$68,BD$4-$B59+1)</f>
        <v/>
      </c>
      <c r="BE59" s="153">
        <f>$C59*INDEX(Curves!$D$8:$D$68,BE$4-$B59+1)</f>
        <v/>
      </c>
      <c r="BF59" s="153">
        <f>$C59*INDEX(Curves!$D$8:$D$68,BF$4-$B59+1)</f>
        <v/>
      </c>
      <c r="BG59" s="153">
        <f>$C59*INDEX(Curves!$D$8:$D$68,BG$4-$B59+1)</f>
        <v/>
      </c>
      <c r="BH59" s="153">
        <f>$C59*INDEX(Curves!$D$8:$D$68,BH$4-$B59+1)</f>
        <v/>
      </c>
      <c r="BI59" s="153">
        <f>$C59*INDEX(Curves!$D$8:$D$68,BI$4-$B59+1)</f>
        <v/>
      </c>
      <c r="BJ59" s="153">
        <f>$C59*INDEX(Curves!$D$8:$D$68,BJ$4-$B59+1)</f>
        <v/>
      </c>
      <c r="BK59" s="153">
        <f>$C59*INDEX(Curves!$D$8:$D$68,BK$4-$B59+1)</f>
        <v/>
      </c>
      <c r="BL59" s="153">
        <f>$C59*INDEX(Curves!$D$8:$D$68,BL$4-$B59+1)</f>
        <v/>
      </c>
    </row>
    <row r="60">
      <c r="A60" s="147" t="inlineStr">
        <is>
          <t>Cohort month 51</t>
        </is>
      </c>
      <c r="B60" s="147" t="n">
        <v>51</v>
      </c>
      <c r="C60" s="41">
        <f>INDEX(Ops!$E$10:$BL$10,1,$B60)</f>
        <v/>
      </c>
      <c r="BD60" s="153">
        <f>$C60*INDEX(Curves!$D$8:$D$68,BD$4-$B60+1)</f>
        <v/>
      </c>
      <c r="BE60" s="153">
        <f>$C60*INDEX(Curves!$D$8:$D$68,BE$4-$B60+1)</f>
        <v/>
      </c>
      <c r="BF60" s="153">
        <f>$C60*INDEX(Curves!$D$8:$D$68,BF$4-$B60+1)</f>
        <v/>
      </c>
      <c r="BG60" s="153">
        <f>$C60*INDEX(Curves!$D$8:$D$68,BG$4-$B60+1)</f>
        <v/>
      </c>
      <c r="BH60" s="153">
        <f>$C60*INDEX(Curves!$D$8:$D$68,BH$4-$B60+1)</f>
        <v/>
      </c>
      <c r="BI60" s="153">
        <f>$C60*INDEX(Curves!$D$8:$D$68,BI$4-$B60+1)</f>
        <v/>
      </c>
      <c r="BJ60" s="153">
        <f>$C60*INDEX(Curves!$D$8:$D$68,BJ$4-$B60+1)</f>
        <v/>
      </c>
      <c r="BK60" s="153">
        <f>$C60*INDEX(Curves!$D$8:$D$68,BK$4-$B60+1)</f>
        <v/>
      </c>
      <c r="BL60" s="153">
        <f>$C60*INDEX(Curves!$D$8:$D$68,BL$4-$B60+1)</f>
        <v/>
      </c>
    </row>
    <row r="61">
      <c r="A61" s="147" t="inlineStr">
        <is>
          <t>Cohort month 52</t>
        </is>
      </c>
      <c r="B61" s="147" t="n">
        <v>52</v>
      </c>
      <c r="C61" s="41">
        <f>INDEX(Ops!$E$10:$BL$10,1,$B61)</f>
        <v/>
      </c>
      <c r="BE61" s="153">
        <f>$C61*INDEX(Curves!$D$8:$D$68,BE$4-$B61+1)</f>
        <v/>
      </c>
      <c r="BF61" s="153">
        <f>$C61*INDEX(Curves!$D$8:$D$68,BF$4-$B61+1)</f>
        <v/>
      </c>
      <c r="BG61" s="153">
        <f>$C61*INDEX(Curves!$D$8:$D$68,BG$4-$B61+1)</f>
        <v/>
      </c>
      <c r="BH61" s="153">
        <f>$C61*INDEX(Curves!$D$8:$D$68,BH$4-$B61+1)</f>
        <v/>
      </c>
      <c r="BI61" s="153">
        <f>$C61*INDEX(Curves!$D$8:$D$68,BI$4-$B61+1)</f>
        <v/>
      </c>
      <c r="BJ61" s="153">
        <f>$C61*INDEX(Curves!$D$8:$D$68,BJ$4-$B61+1)</f>
        <v/>
      </c>
      <c r="BK61" s="153">
        <f>$C61*INDEX(Curves!$D$8:$D$68,BK$4-$B61+1)</f>
        <v/>
      </c>
      <c r="BL61" s="153">
        <f>$C61*INDEX(Curves!$D$8:$D$68,BL$4-$B61+1)</f>
        <v/>
      </c>
    </row>
    <row r="62">
      <c r="A62" s="147" t="inlineStr">
        <is>
          <t>Cohort month 53</t>
        </is>
      </c>
      <c r="B62" s="147" t="n">
        <v>53</v>
      </c>
      <c r="C62" s="41">
        <f>INDEX(Ops!$E$10:$BL$10,1,$B62)</f>
        <v/>
      </c>
      <c r="BF62" s="153">
        <f>$C62*INDEX(Curves!$D$8:$D$68,BF$4-$B62+1)</f>
        <v/>
      </c>
      <c r="BG62" s="153">
        <f>$C62*INDEX(Curves!$D$8:$D$68,BG$4-$B62+1)</f>
        <v/>
      </c>
      <c r="BH62" s="153">
        <f>$C62*INDEX(Curves!$D$8:$D$68,BH$4-$B62+1)</f>
        <v/>
      </c>
      <c r="BI62" s="153">
        <f>$C62*INDEX(Curves!$D$8:$D$68,BI$4-$B62+1)</f>
        <v/>
      </c>
      <c r="BJ62" s="153">
        <f>$C62*INDEX(Curves!$D$8:$D$68,BJ$4-$B62+1)</f>
        <v/>
      </c>
      <c r="BK62" s="153">
        <f>$C62*INDEX(Curves!$D$8:$D$68,BK$4-$B62+1)</f>
        <v/>
      </c>
      <c r="BL62" s="153">
        <f>$C62*INDEX(Curves!$D$8:$D$68,BL$4-$B62+1)</f>
        <v/>
      </c>
    </row>
    <row r="63">
      <c r="A63" s="147" t="inlineStr">
        <is>
          <t>Cohort month 54</t>
        </is>
      </c>
      <c r="B63" s="147" t="n">
        <v>54</v>
      </c>
      <c r="C63" s="41">
        <f>INDEX(Ops!$E$10:$BL$10,1,$B63)</f>
        <v/>
      </c>
      <c r="BG63" s="153">
        <f>$C63*INDEX(Curves!$D$8:$D$68,BG$4-$B63+1)</f>
        <v/>
      </c>
      <c r="BH63" s="153">
        <f>$C63*INDEX(Curves!$D$8:$D$68,BH$4-$B63+1)</f>
        <v/>
      </c>
      <c r="BI63" s="153">
        <f>$C63*INDEX(Curves!$D$8:$D$68,BI$4-$B63+1)</f>
        <v/>
      </c>
      <c r="BJ63" s="153">
        <f>$C63*INDEX(Curves!$D$8:$D$68,BJ$4-$B63+1)</f>
        <v/>
      </c>
      <c r="BK63" s="153">
        <f>$C63*INDEX(Curves!$D$8:$D$68,BK$4-$B63+1)</f>
        <v/>
      </c>
      <c r="BL63" s="153">
        <f>$C63*INDEX(Curves!$D$8:$D$68,BL$4-$B63+1)</f>
        <v/>
      </c>
    </row>
    <row r="64">
      <c r="A64" s="147" t="inlineStr">
        <is>
          <t>Cohort month 55</t>
        </is>
      </c>
      <c r="B64" s="147" t="n">
        <v>55</v>
      </c>
      <c r="C64" s="41">
        <f>INDEX(Ops!$E$10:$BL$10,1,$B64)</f>
        <v/>
      </c>
      <c r="BH64" s="153">
        <f>$C64*INDEX(Curves!$D$8:$D$68,BH$4-$B64+1)</f>
        <v/>
      </c>
      <c r="BI64" s="153">
        <f>$C64*INDEX(Curves!$D$8:$D$68,BI$4-$B64+1)</f>
        <v/>
      </c>
      <c r="BJ64" s="153">
        <f>$C64*INDEX(Curves!$D$8:$D$68,BJ$4-$B64+1)</f>
        <v/>
      </c>
      <c r="BK64" s="153">
        <f>$C64*INDEX(Curves!$D$8:$D$68,BK$4-$B64+1)</f>
        <v/>
      </c>
      <c r="BL64" s="153">
        <f>$C64*INDEX(Curves!$D$8:$D$68,BL$4-$B64+1)</f>
        <v/>
      </c>
    </row>
    <row r="65">
      <c r="A65" s="147" t="inlineStr">
        <is>
          <t>Cohort month 56</t>
        </is>
      </c>
      <c r="B65" s="147" t="n">
        <v>56</v>
      </c>
      <c r="C65" s="41">
        <f>INDEX(Ops!$E$10:$BL$10,1,$B65)</f>
        <v/>
      </c>
      <c r="BI65" s="153">
        <f>$C65*INDEX(Curves!$D$8:$D$68,BI$4-$B65+1)</f>
        <v/>
      </c>
      <c r="BJ65" s="153">
        <f>$C65*INDEX(Curves!$D$8:$D$68,BJ$4-$B65+1)</f>
        <v/>
      </c>
      <c r="BK65" s="153">
        <f>$C65*INDEX(Curves!$D$8:$D$68,BK$4-$B65+1)</f>
        <v/>
      </c>
      <c r="BL65" s="153">
        <f>$C65*INDEX(Curves!$D$8:$D$68,BL$4-$B65+1)</f>
        <v/>
      </c>
    </row>
    <row r="66">
      <c r="A66" s="147" t="inlineStr">
        <is>
          <t>Cohort month 57</t>
        </is>
      </c>
      <c r="B66" s="147" t="n">
        <v>57</v>
      </c>
      <c r="C66" s="41">
        <f>INDEX(Ops!$E$10:$BL$10,1,$B66)</f>
        <v/>
      </c>
      <c r="BJ66" s="153">
        <f>$C66*INDEX(Curves!$D$8:$D$68,BJ$4-$B66+1)</f>
        <v/>
      </c>
      <c r="BK66" s="153">
        <f>$C66*INDEX(Curves!$D$8:$D$68,BK$4-$B66+1)</f>
        <v/>
      </c>
      <c r="BL66" s="153">
        <f>$C66*INDEX(Curves!$D$8:$D$68,BL$4-$B66+1)</f>
        <v/>
      </c>
    </row>
    <row r="67">
      <c r="A67" s="147" t="inlineStr">
        <is>
          <t>Cohort month 58</t>
        </is>
      </c>
      <c r="B67" s="147" t="n">
        <v>58</v>
      </c>
      <c r="C67" s="41">
        <f>INDEX(Ops!$E$10:$BL$10,1,$B67)</f>
        <v/>
      </c>
      <c r="BK67" s="153">
        <f>$C67*INDEX(Curves!$D$8:$D$68,BK$4-$B67+1)</f>
        <v/>
      </c>
      <c r="BL67" s="153">
        <f>$C67*INDEX(Curves!$D$8:$D$68,BL$4-$B67+1)</f>
        <v/>
      </c>
    </row>
    <row r="68">
      <c r="A68" s="147" t="inlineStr">
        <is>
          <t>Cohort month 59</t>
        </is>
      </c>
      <c r="B68" s="147" t="n">
        <v>59</v>
      </c>
      <c r="C68" s="41">
        <f>INDEX(Ops!$E$10:$BL$10,1,$B68)</f>
        <v/>
      </c>
      <c r="BL68" s="153">
        <f>$C68*INDEX(Curves!$D$8:$D$68,BL$4-$B68+1)</f>
        <v/>
      </c>
    </row>
    <row r="69">
      <c r="A69" s="147" t="inlineStr">
        <is>
          <t>Cohort month 60</t>
        </is>
      </c>
      <c r="B69" s="147" t="n">
        <v>60</v>
      </c>
      <c r="C69" s="41">
        <f>INDEX(Ops!$E$10:$BL$10,1,$B69)</f>
        <v/>
      </c>
    </row>
    <row r="70"/>
    <row r="71">
      <c r="A71" s="21" t="inlineStr">
        <is>
          <t>Active accounts by cohort</t>
        </is>
      </c>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c r="AA71" s="22" t="n"/>
      <c r="AB71" s="22" t="n"/>
      <c r="AC71" s="22" t="n"/>
      <c r="AD71" s="22" t="n"/>
      <c r="AE71" s="22" t="n"/>
      <c r="AF71" s="22" t="n"/>
      <c r="AG71" s="22" t="n"/>
      <c r="AH71" s="22" t="n"/>
      <c r="AI71" s="22" t="n"/>
      <c r="AJ71" s="22" t="n"/>
      <c r="AK71" s="22" t="n"/>
      <c r="AL71" s="22" t="n"/>
      <c r="AM71" s="22" t="n"/>
      <c r="AN71" s="22" t="n"/>
      <c r="AO71" s="22" t="n"/>
      <c r="AP71" s="22" t="n"/>
      <c r="AQ71" s="22" t="n"/>
      <c r="AR71" s="22" t="n"/>
      <c r="AS71" s="22" t="n"/>
      <c r="AT71" s="22" t="n"/>
      <c r="AU71" s="22" t="n"/>
      <c r="AV71" s="22" t="n"/>
      <c r="AW71" s="22" t="n"/>
      <c r="AX71" s="22" t="n"/>
      <c r="AY71" s="22" t="n"/>
      <c r="AZ71" s="22" t="n"/>
      <c r="BA71" s="22" t="n"/>
      <c r="BB71" s="22" t="n"/>
      <c r="BC71" s="22" t="n"/>
      <c r="BD71" s="22" t="n"/>
      <c r="BE71" s="22" t="n"/>
      <c r="BF71" s="22" t="n"/>
      <c r="BG71" s="22" t="n"/>
      <c r="BH71" s="22" t="n"/>
      <c r="BI71" s="22" t="n"/>
      <c r="BJ71" s="22" t="n"/>
      <c r="BK71" s="22" t="n"/>
      <c r="BL71" s="22" t="n"/>
    </row>
    <row r="72">
      <c r="A72" s="100" t="inlineStr">
        <is>
          <t>Total</t>
        </is>
      </c>
      <c r="B72" s="101" t="inlineStr"/>
      <c r="C72" s="103" t="n"/>
      <c r="D72" s="103" t="n"/>
      <c r="E72" s="104">
        <f>SUM(E73:E132)</f>
        <v/>
      </c>
      <c r="F72" s="104">
        <f>SUM(F73:F132)</f>
        <v/>
      </c>
      <c r="G72" s="104">
        <f>SUM(G73:G132)</f>
        <v/>
      </c>
      <c r="H72" s="104">
        <f>SUM(H73:H132)</f>
        <v/>
      </c>
      <c r="I72" s="104">
        <f>SUM(I73:I132)</f>
        <v/>
      </c>
      <c r="J72" s="104">
        <f>SUM(J73:J132)</f>
        <v/>
      </c>
      <c r="K72" s="104">
        <f>SUM(K73:K132)</f>
        <v/>
      </c>
      <c r="L72" s="104">
        <f>SUM(L73:L132)</f>
        <v/>
      </c>
      <c r="M72" s="104">
        <f>SUM(M73:M132)</f>
        <v/>
      </c>
      <c r="N72" s="104">
        <f>SUM(N73:N132)</f>
        <v/>
      </c>
      <c r="O72" s="104">
        <f>SUM(O73:O132)</f>
        <v/>
      </c>
      <c r="P72" s="104">
        <f>SUM(P73:P132)</f>
        <v/>
      </c>
      <c r="Q72" s="104">
        <f>SUM(Q73:Q132)</f>
        <v/>
      </c>
      <c r="R72" s="104">
        <f>SUM(R73:R132)</f>
        <v/>
      </c>
      <c r="S72" s="104">
        <f>SUM(S73:S132)</f>
        <v/>
      </c>
      <c r="T72" s="104">
        <f>SUM(T73:T132)</f>
        <v/>
      </c>
      <c r="U72" s="104">
        <f>SUM(U73:U132)</f>
        <v/>
      </c>
      <c r="V72" s="104">
        <f>SUM(V73:V132)</f>
        <v/>
      </c>
      <c r="W72" s="104">
        <f>SUM(W73:W132)</f>
        <v/>
      </c>
      <c r="X72" s="104">
        <f>SUM(X73:X132)</f>
        <v/>
      </c>
      <c r="Y72" s="104">
        <f>SUM(Y73:Y132)</f>
        <v/>
      </c>
      <c r="Z72" s="104">
        <f>SUM(Z73:Z132)</f>
        <v/>
      </c>
      <c r="AA72" s="104">
        <f>SUM(AA73:AA132)</f>
        <v/>
      </c>
      <c r="AB72" s="104">
        <f>SUM(AB73:AB132)</f>
        <v/>
      </c>
      <c r="AC72" s="104">
        <f>SUM(AC73:AC132)</f>
        <v/>
      </c>
      <c r="AD72" s="104">
        <f>SUM(AD73:AD132)</f>
        <v/>
      </c>
      <c r="AE72" s="104">
        <f>SUM(AE73:AE132)</f>
        <v/>
      </c>
      <c r="AF72" s="104">
        <f>SUM(AF73:AF132)</f>
        <v/>
      </c>
      <c r="AG72" s="104">
        <f>SUM(AG73:AG132)</f>
        <v/>
      </c>
      <c r="AH72" s="104">
        <f>SUM(AH73:AH132)</f>
        <v/>
      </c>
      <c r="AI72" s="104">
        <f>SUM(AI73:AI132)</f>
        <v/>
      </c>
      <c r="AJ72" s="104">
        <f>SUM(AJ73:AJ132)</f>
        <v/>
      </c>
      <c r="AK72" s="104">
        <f>SUM(AK73:AK132)</f>
        <v/>
      </c>
      <c r="AL72" s="104">
        <f>SUM(AL73:AL132)</f>
        <v/>
      </c>
      <c r="AM72" s="104">
        <f>SUM(AM73:AM132)</f>
        <v/>
      </c>
      <c r="AN72" s="104">
        <f>SUM(AN73:AN132)</f>
        <v/>
      </c>
      <c r="AO72" s="104">
        <f>SUM(AO73:AO132)</f>
        <v/>
      </c>
      <c r="AP72" s="104">
        <f>SUM(AP73:AP132)</f>
        <v/>
      </c>
      <c r="AQ72" s="104">
        <f>SUM(AQ73:AQ132)</f>
        <v/>
      </c>
      <c r="AR72" s="104">
        <f>SUM(AR73:AR132)</f>
        <v/>
      </c>
      <c r="AS72" s="104">
        <f>SUM(AS73:AS132)</f>
        <v/>
      </c>
      <c r="AT72" s="104">
        <f>SUM(AT73:AT132)</f>
        <v/>
      </c>
      <c r="AU72" s="104">
        <f>SUM(AU73:AU132)</f>
        <v/>
      </c>
      <c r="AV72" s="104">
        <f>SUM(AV73:AV132)</f>
        <v/>
      </c>
      <c r="AW72" s="104">
        <f>SUM(AW73:AW132)</f>
        <v/>
      </c>
      <c r="AX72" s="104">
        <f>SUM(AX73:AX132)</f>
        <v/>
      </c>
      <c r="AY72" s="104">
        <f>SUM(AY73:AY132)</f>
        <v/>
      </c>
      <c r="AZ72" s="104">
        <f>SUM(AZ73:AZ132)</f>
        <v/>
      </c>
      <c r="BA72" s="104">
        <f>SUM(BA73:BA132)</f>
        <v/>
      </c>
      <c r="BB72" s="104">
        <f>SUM(BB73:BB132)</f>
        <v/>
      </c>
      <c r="BC72" s="104">
        <f>SUM(BC73:BC132)</f>
        <v/>
      </c>
      <c r="BD72" s="104">
        <f>SUM(BD73:BD132)</f>
        <v/>
      </c>
      <c r="BE72" s="104">
        <f>SUM(BE73:BE132)</f>
        <v/>
      </c>
      <c r="BF72" s="104">
        <f>SUM(BF73:BF132)</f>
        <v/>
      </c>
      <c r="BG72" s="104">
        <f>SUM(BG73:BG132)</f>
        <v/>
      </c>
      <c r="BH72" s="104">
        <f>SUM(BH73:BH132)</f>
        <v/>
      </c>
      <c r="BI72" s="104">
        <f>SUM(BI73:BI132)</f>
        <v/>
      </c>
      <c r="BJ72" s="104">
        <f>SUM(BJ73:BJ132)</f>
        <v/>
      </c>
      <c r="BK72" s="104">
        <f>SUM(BK73:BK132)</f>
        <v/>
      </c>
      <c r="BL72" s="104">
        <f>SUM(BL73:BL132)</f>
        <v/>
      </c>
    </row>
    <row r="73">
      <c r="A73" s="147" t="inlineStr">
        <is>
          <t>Cohort month 1</t>
        </is>
      </c>
      <c r="B73" s="147" t="n">
        <v>1</v>
      </c>
      <c r="C73" s="41">
        <f>INDEX(Ops!$E$9:$BL$9,1,$B73)</f>
        <v/>
      </c>
      <c r="F73" s="153">
        <f>$C73*INDEX(Curves!$G$8:$G$68,F$4-$B73+1)</f>
        <v/>
      </c>
      <c r="G73" s="153">
        <f>$C73*INDEX(Curves!$G$8:$G$68,G$4-$B73+1)</f>
        <v/>
      </c>
      <c r="H73" s="153">
        <f>$C73*INDEX(Curves!$G$8:$G$68,H$4-$B73+1)</f>
        <v/>
      </c>
      <c r="I73" s="153">
        <f>$C73*INDEX(Curves!$G$8:$G$68,I$4-$B73+1)</f>
        <v/>
      </c>
      <c r="J73" s="153">
        <f>$C73*INDEX(Curves!$G$8:$G$68,J$4-$B73+1)</f>
        <v/>
      </c>
      <c r="K73" s="153">
        <f>$C73*INDEX(Curves!$G$8:$G$68,K$4-$B73+1)</f>
        <v/>
      </c>
      <c r="L73" s="153">
        <f>$C73*INDEX(Curves!$G$8:$G$68,L$4-$B73+1)</f>
        <v/>
      </c>
      <c r="M73" s="153">
        <f>$C73*INDEX(Curves!$G$8:$G$68,M$4-$B73+1)</f>
        <v/>
      </c>
      <c r="N73" s="153">
        <f>$C73*INDEX(Curves!$G$8:$G$68,N$4-$B73+1)</f>
        <v/>
      </c>
      <c r="O73" s="153">
        <f>$C73*INDEX(Curves!$G$8:$G$68,O$4-$B73+1)</f>
        <v/>
      </c>
      <c r="P73" s="153">
        <f>$C73*INDEX(Curves!$G$8:$G$68,P$4-$B73+1)</f>
        <v/>
      </c>
      <c r="Q73" s="153">
        <f>$C73*INDEX(Curves!$G$8:$G$68,Q$4-$B73+1)</f>
        <v/>
      </c>
      <c r="R73" s="153">
        <f>$C73*INDEX(Curves!$G$8:$G$68,R$4-$B73+1)</f>
        <v/>
      </c>
      <c r="S73" s="153">
        <f>$C73*INDEX(Curves!$G$8:$G$68,S$4-$B73+1)</f>
        <v/>
      </c>
      <c r="T73" s="153">
        <f>$C73*INDEX(Curves!$G$8:$G$68,T$4-$B73+1)</f>
        <v/>
      </c>
      <c r="U73" s="153">
        <f>$C73*INDEX(Curves!$G$8:$G$68,U$4-$B73+1)</f>
        <v/>
      </c>
      <c r="V73" s="153">
        <f>$C73*INDEX(Curves!$G$8:$G$68,V$4-$B73+1)</f>
        <v/>
      </c>
      <c r="W73" s="153">
        <f>$C73*INDEX(Curves!$G$8:$G$68,W$4-$B73+1)</f>
        <v/>
      </c>
      <c r="X73" s="153">
        <f>$C73*INDEX(Curves!$G$8:$G$68,X$4-$B73+1)</f>
        <v/>
      </c>
      <c r="Y73" s="153">
        <f>$C73*INDEX(Curves!$G$8:$G$68,Y$4-$B73+1)</f>
        <v/>
      </c>
      <c r="Z73" s="153">
        <f>$C73*INDEX(Curves!$G$8:$G$68,Z$4-$B73+1)</f>
        <v/>
      </c>
      <c r="AA73" s="153">
        <f>$C73*INDEX(Curves!$G$8:$G$68,AA$4-$B73+1)</f>
        <v/>
      </c>
      <c r="AB73" s="153">
        <f>$C73*INDEX(Curves!$G$8:$G$68,AB$4-$B73+1)</f>
        <v/>
      </c>
      <c r="AC73" s="153">
        <f>$C73*INDEX(Curves!$G$8:$G$68,AC$4-$B73+1)</f>
        <v/>
      </c>
      <c r="AD73" s="153">
        <f>$C73*INDEX(Curves!$G$8:$G$68,AD$4-$B73+1)</f>
        <v/>
      </c>
      <c r="AE73" s="153">
        <f>$C73*INDEX(Curves!$G$8:$G$68,AE$4-$B73+1)</f>
        <v/>
      </c>
      <c r="AF73" s="153">
        <f>$C73*INDEX(Curves!$G$8:$G$68,AF$4-$B73+1)</f>
        <v/>
      </c>
      <c r="AG73" s="153">
        <f>$C73*INDEX(Curves!$G$8:$G$68,AG$4-$B73+1)</f>
        <v/>
      </c>
      <c r="AH73" s="153">
        <f>$C73*INDEX(Curves!$G$8:$G$68,AH$4-$B73+1)</f>
        <v/>
      </c>
      <c r="AI73" s="153">
        <f>$C73*INDEX(Curves!$G$8:$G$68,AI$4-$B73+1)</f>
        <v/>
      </c>
      <c r="AJ73" s="153">
        <f>$C73*INDEX(Curves!$G$8:$G$68,AJ$4-$B73+1)</f>
        <v/>
      </c>
      <c r="AK73" s="153">
        <f>$C73*INDEX(Curves!$G$8:$G$68,AK$4-$B73+1)</f>
        <v/>
      </c>
      <c r="AL73" s="153">
        <f>$C73*INDEX(Curves!$G$8:$G$68,AL$4-$B73+1)</f>
        <v/>
      </c>
      <c r="AM73" s="153">
        <f>$C73*INDEX(Curves!$G$8:$G$68,AM$4-$B73+1)</f>
        <v/>
      </c>
      <c r="AN73" s="153">
        <f>$C73*INDEX(Curves!$G$8:$G$68,AN$4-$B73+1)</f>
        <v/>
      </c>
      <c r="AO73" s="153">
        <f>$C73*INDEX(Curves!$G$8:$G$68,AO$4-$B73+1)</f>
        <v/>
      </c>
      <c r="AP73" s="153">
        <f>$C73*INDEX(Curves!$G$8:$G$68,AP$4-$B73+1)</f>
        <v/>
      </c>
      <c r="AQ73" s="153">
        <f>$C73*INDEX(Curves!$G$8:$G$68,AQ$4-$B73+1)</f>
        <v/>
      </c>
      <c r="AR73" s="153">
        <f>$C73*INDEX(Curves!$G$8:$G$68,AR$4-$B73+1)</f>
        <v/>
      </c>
      <c r="AS73" s="153">
        <f>$C73*INDEX(Curves!$G$8:$G$68,AS$4-$B73+1)</f>
        <v/>
      </c>
      <c r="AT73" s="153">
        <f>$C73*INDEX(Curves!$G$8:$G$68,AT$4-$B73+1)</f>
        <v/>
      </c>
      <c r="AU73" s="153">
        <f>$C73*INDEX(Curves!$G$8:$G$68,AU$4-$B73+1)</f>
        <v/>
      </c>
      <c r="AV73" s="153">
        <f>$C73*INDEX(Curves!$G$8:$G$68,AV$4-$B73+1)</f>
        <v/>
      </c>
      <c r="AW73" s="153">
        <f>$C73*INDEX(Curves!$G$8:$G$68,AW$4-$B73+1)</f>
        <v/>
      </c>
      <c r="AX73" s="153">
        <f>$C73*INDEX(Curves!$G$8:$G$68,AX$4-$B73+1)</f>
        <v/>
      </c>
      <c r="AY73" s="153">
        <f>$C73*INDEX(Curves!$G$8:$G$68,AY$4-$B73+1)</f>
        <v/>
      </c>
      <c r="AZ73" s="153">
        <f>$C73*INDEX(Curves!$G$8:$G$68,AZ$4-$B73+1)</f>
        <v/>
      </c>
      <c r="BA73" s="153">
        <f>$C73*INDEX(Curves!$G$8:$G$68,BA$4-$B73+1)</f>
        <v/>
      </c>
      <c r="BB73" s="153">
        <f>$C73*INDEX(Curves!$G$8:$G$68,BB$4-$B73+1)</f>
        <v/>
      </c>
      <c r="BC73" s="153">
        <f>$C73*INDEX(Curves!$G$8:$G$68,BC$4-$B73+1)</f>
        <v/>
      </c>
      <c r="BD73" s="153">
        <f>$C73*INDEX(Curves!$G$8:$G$68,BD$4-$B73+1)</f>
        <v/>
      </c>
      <c r="BE73" s="153">
        <f>$C73*INDEX(Curves!$G$8:$G$68,BE$4-$B73+1)</f>
        <v/>
      </c>
      <c r="BF73" s="153">
        <f>$C73*INDEX(Curves!$G$8:$G$68,BF$4-$B73+1)</f>
        <v/>
      </c>
      <c r="BG73" s="153">
        <f>$C73*INDEX(Curves!$G$8:$G$68,BG$4-$B73+1)</f>
        <v/>
      </c>
      <c r="BH73" s="153">
        <f>$C73*INDEX(Curves!$G$8:$G$68,BH$4-$B73+1)</f>
        <v/>
      </c>
      <c r="BI73" s="153">
        <f>$C73*INDEX(Curves!$G$8:$G$68,BI$4-$B73+1)</f>
        <v/>
      </c>
      <c r="BJ73" s="153">
        <f>$C73*INDEX(Curves!$G$8:$G$68,BJ$4-$B73+1)</f>
        <v/>
      </c>
      <c r="BK73" s="153">
        <f>$C73*INDEX(Curves!$G$8:$G$68,BK$4-$B73+1)</f>
        <v/>
      </c>
      <c r="BL73" s="153">
        <f>$C73*INDEX(Curves!$G$8:$G$68,BL$4-$B73+1)</f>
        <v/>
      </c>
    </row>
    <row r="74">
      <c r="A74" s="147" t="inlineStr">
        <is>
          <t>Cohort month 2</t>
        </is>
      </c>
      <c r="B74" s="147" t="n">
        <v>2</v>
      </c>
      <c r="C74" s="41">
        <f>INDEX(Ops!$E$9:$BL$9,1,$B74)</f>
        <v/>
      </c>
      <c r="G74" s="153">
        <f>$C74*INDEX(Curves!$G$8:$G$68,G$4-$B74+1)</f>
        <v/>
      </c>
      <c r="H74" s="153">
        <f>$C74*INDEX(Curves!$G$8:$G$68,H$4-$B74+1)</f>
        <v/>
      </c>
      <c r="I74" s="153">
        <f>$C74*INDEX(Curves!$G$8:$G$68,I$4-$B74+1)</f>
        <v/>
      </c>
      <c r="J74" s="153">
        <f>$C74*INDEX(Curves!$G$8:$G$68,J$4-$B74+1)</f>
        <v/>
      </c>
      <c r="K74" s="153">
        <f>$C74*INDEX(Curves!$G$8:$G$68,K$4-$B74+1)</f>
        <v/>
      </c>
      <c r="L74" s="153">
        <f>$C74*INDEX(Curves!$G$8:$G$68,L$4-$B74+1)</f>
        <v/>
      </c>
      <c r="M74" s="153">
        <f>$C74*INDEX(Curves!$G$8:$G$68,M$4-$B74+1)</f>
        <v/>
      </c>
      <c r="N74" s="153">
        <f>$C74*INDEX(Curves!$G$8:$G$68,N$4-$B74+1)</f>
        <v/>
      </c>
      <c r="O74" s="153">
        <f>$C74*INDEX(Curves!$G$8:$G$68,O$4-$B74+1)</f>
        <v/>
      </c>
      <c r="P74" s="153">
        <f>$C74*INDEX(Curves!$G$8:$G$68,P$4-$B74+1)</f>
        <v/>
      </c>
      <c r="Q74" s="153">
        <f>$C74*INDEX(Curves!$G$8:$G$68,Q$4-$B74+1)</f>
        <v/>
      </c>
      <c r="R74" s="153">
        <f>$C74*INDEX(Curves!$G$8:$G$68,R$4-$B74+1)</f>
        <v/>
      </c>
      <c r="S74" s="153">
        <f>$C74*INDEX(Curves!$G$8:$G$68,S$4-$B74+1)</f>
        <v/>
      </c>
      <c r="T74" s="153">
        <f>$C74*INDEX(Curves!$G$8:$G$68,T$4-$B74+1)</f>
        <v/>
      </c>
      <c r="U74" s="153">
        <f>$C74*INDEX(Curves!$G$8:$G$68,U$4-$B74+1)</f>
        <v/>
      </c>
      <c r="V74" s="153">
        <f>$C74*INDEX(Curves!$G$8:$G$68,V$4-$B74+1)</f>
        <v/>
      </c>
      <c r="W74" s="153">
        <f>$C74*INDEX(Curves!$G$8:$G$68,W$4-$B74+1)</f>
        <v/>
      </c>
      <c r="X74" s="153">
        <f>$C74*INDEX(Curves!$G$8:$G$68,X$4-$B74+1)</f>
        <v/>
      </c>
      <c r="Y74" s="153">
        <f>$C74*INDEX(Curves!$G$8:$G$68,Y$4-$B74+1)</f>
        <v/>
      </c>
      <c r="Z74" s="153">
        <f>$C74*INDEX(Curves!$G$8:$G$68,Z$4-$B74+1)</f>
        <v/>
      </c>
      <c r="AA74" s="153">
        <f>$C74*INDEX(Curves!$G$8:$G$68,AA$4-$B74+1)</f>
        <v/>
      </c>
      <c r="AB74" s="153">
        <f>$C74*INDEX(Curves!$G$8:$G$68,AB$4-$B74+1)</f>
        <v/>
      </c>
      <c r="AC74" s="153">
        <f>$C74*INDEX(Curves!$G$8:$G$68,AC$4-$B74+1)</f>
        <v/>
      </c>
      <c r="AD74" s="153">
        <f>$C74*INDEX(Curves!$G$8:$G$68,AD$4-$B74+1)</f>
        <v/>
      </c>
      <c r="AE74" s="153">
        <f>$C74*INDEX(Curves!$G$8:$G$68,AE$4-$B74+1)</f>
        <v/>
      </c>
      <c r="AF74" s="153">
        <f>$C74*INDEX(Curves!$G$8:$G$68,AF$4-$B74+1)</f>
        <v/>
      </c>
      <c r="AG74" s="153">
        <f>$C74*INDEX(Curves!$G$8:$G$68,AG$4-$B74+1)</f>
        <v/>
      </c>
      <c r="AH74" s="153">
        <f>$C74*INDEX(Curves!$G$8:$G$68,AH$4-$B74+1)</f>
        <v/>
      </c>
      <c r="AI74" s="153">
        <f>$C74*INDEX(Curves!$G$8:$G$68,AI$4-$B74+1)</f>
        <v/>
      </c>
      <c r="AJ74" s="153">
        <f>$C74*INDEX(Curves!$G$8:$G$68,AJ$4-$B74+1)</f>
        <v/>
      </c>
      <c r="AK74" s="153">
        <f>$C74*INDEX(Curves!$G$8:$G$68,AK$4-$B74+1)</f>
        <v/>
      </c>
      <c r="AL74" s="153">
        <f>$C74*INDEX(Curves!$G$8:$G$68,AL$4-$B74+1)</f>
        <v/>
      </c>
      <c r="AM74" s="153">
        <f>$C74*INDEX(Curves!$G$8:$G$68,AM$4-$B74+1)</f>
        <v/>
      </c>
      <c r="AN74" s="153">
        <f>$C74*INDEX(Curves!$G$8:$G$68,AN$4-$B74+1)</f>
        <v/>
      </c>
      <c r="AO74" s="153">
        <f>$C74*INDEX(Curves!$G$8:$G$68,AO$4-$B74+1)</f>
        <v/>
      </c>
      <c r="AP74" s="153">
        <f>$C74*INDEX(Curves!$G$8:$G$68,AP$4-$B74+1)</f>
        <v/>
      </c>
      <c r="AQ74" s="153">
        <f>$C74*INDEX(Curves!$G$8:$G$68,AQ$4-$B74+1)</f>
        <v/>
      </c>
      <c r="AR74" s="153">
        <f>$C74*INDEX(Curves!$G$8:$G$68,AR$4-$B74+1)</f>
        <v/>
      </c>
      <c r="AS74" s="153">
        <f>$C74*INDEX(Curves!$G$8:$G$68,AS$4-$B74+1)</f>
        <v/>
      </c>
      <c r="AT74" s="153">
        <f>$C74*INDEX(Curves!$G$8:$G$68,AT$4-$B74+1)</f>
        <v/>
      </c>
      <c r="AU74" s="153">
        <f>$C74*INDEX(Curves!$G$8:$G$68,AU$4-$B74+1)</f>
        <v/>
      </c>
      <c r="AV74" s="153">
        <f>$C74*INDEX(Curves!$G$8:$G$68,AV$4-$B74+1)</f>
        <v/>
      </c>
      <c r="AW74" s="153">
        <f>$C74*INDEX(Curves!$G$8:$G$68,AW$4-$B74+1)</f>
        <v/>
      </c>
      <c r="AX74" s="153">
        <f>$C74*INDEX(Curves!$G$8:$G$68,AX$4-$B74+1)</f>
        <v/>
      </c>
      <c r="AY74" s="153">
        <f>$C74*INDEX(Curves!$G$8:$G$68,AY$4-$B74+1)</f>
        <v/>
      </c>
      <c r="AZ74" s="153">
        <f>$C74*INDEX(Curves!$G$8:$G$68,AZ$4-$B74+1)</f>
        <v/>
      </c>
      <c r="BA74" s="153">
        <f>$C74*INDEX(Curves!$G$8:$G$68,BA$4-$B74+1)</f>
        <v/>
      </c>
      <c r="BB74" s="153">
        <f>$C74*INDEX(Curves!$G$8:$G$68,BB$4-$B74+1)</f>
        <v/>
      </c>
      <c r="BC74" s="153">
        <f>$C74*INDEX(Curves!$G$8:$G$68,BC$4-$B74+1)</f>
        <v/>
      </c>
      <c r="BD74" s="153">
        <f>$C74*INDEX(Curves!$G$8:$G$68,BD$4-$B74+1)</f>
        <v/>
      </c>
      <c r="BE74" s="153">
        <f>$C74*INDEX(Curves!$G$8:$G$68,BE$4-$B74+1)</f>
        <v/>
      </c>
      <c r="BF74" s="153">
        <f>$C74*INDEX(Curves!$G$8:$G$68,BF$4-$B74+1)</f>
        <v/>
      </c>
      <c r="BG74" s="153">
        <f>$C74*INDEX(Curves!$G$8:$G$68,BG$4-$B74+1)</f>
        <v/>
      </c>
      <c r="BH74" s="153">
        <f>$C74*INDEX(Curves!$G$8:$G$68,BH$4-$B74+1)</f>
        <v/>
      </c>
      <c r="BI74" s="153">
        <f>$C74*INDEX(Curves!$G$8:$G$68,BI$4-$B74+1)</f>
        <v/>
      </c>
      <c r="BJ74" s="153">
        <f>$C74*INDEX(Curves!$G$8:$G$68,BJ$4-$B74+1)</f>
        <v/>
      </c>
      <c r="BK74" s="153">
        <f>$C74*INDEX(Curves!$G$8:$G$68,BK$4-$B74+1)</f>
        <v/>
      </c>
      <c r="BL74" s="153">
        <f>$C74*INDEX(Curves!$G$8:$G$68,BL$4-$B74+1)</f>
        <v/>
      </c>
    </row>
    <row r="75">
      <c r="A75" s="147" t="inlineStr">
        <is>
          <t>Cohort month 3</t>
        </is>
      </c>
      <c r="B75" s="147" t="n">
        <v>3</v>
      </c>
      <c r="C75" s="41">
        <f>INDEX(Ops!$E$9:$BL$9,1,$B75)</f>
        <v/>
      </c>
      <c r="H75" s="153">
        <f>$C75*INDEX(Curves!$G$8:$G$68,H$4-$B75+1)</f>
        <v/>
      </c>
      <c r="I75" s="153">
        <f>$C75*INDEX(Curves!$G$8:$G$68,I$4-$B75+1)</f>
        <v/>
      </c>
      <c r="J75" s="153">
        <f>$C75*INDEX(Curves!$G$8:$G$68,J$4-$B75+1)</f>
        <v/>
      </c>
      <c r="K75" s="153">
        <f>$C75*INDEX(Curves!$G$8:$G$68,K$4-$B75+1)</f>
        <v/>
      </c>
      <c r="L75" s="153">
        <f>$C75*INDEX(Curves!$G$8:$G$68,L$4-$B75+1)</f>
        <v/>
      </c>
      <c r="M75" s="153">
        <f>$C75*INDEX(Curves!$G$8:$G$68,M$4-$B75+1)</f>
        <v/>
      </c>
      <c r="N75" s="153">
        <f>$C75*INDEX(Curves!$G$8:$G$68,N$4-$B75+1)</f>
        <v/>
      </c>
      <c r="O75" s="153">
        <f>$C75*INDEX(Curves!$G$8:$G$68,O$4-$B75+1)</f>
        <v/>
      </c>
      <c r="P75" s="153">
        <f>$C75*INDEX(Curves!$G$8:$G$68,P$4-$B75+1)</f>
        <v/>
      </c>
      <c r="Q75" s="153">
        <f>$C75*INDEX(Curves!$G$8:$G$68,Q$4-$B75+1)</f>
        <v/>
      </c>
      <c r="R75" s="153">
        <f>$C75*INDEX(Curves!$G$8:$G$68,R$4-$B75+1)</f>
        <v/>
      </c>
      <c r="S75" s="153">
        <f>$C75*INDEX(Curves!$G$8:$G$68,S$4-$B75+1)</f>
        <v/>
      </c>
      <c r="T75" s="153">
        <f>$C75*INDEX(Curves!$G$8:$G$68,T$4-$B75+1)</f>
        <v/>
      </c>
      <c r="U75" s="153">
        <f>$C75*INDEX(Curves!$G$8:$G$68,U$4-$B75+1)</f>
        <v/>
      </c>
      <c r="V75" s="153">
        <f>$C75*INDEX(Curves!$G$8:$G$68,V$4-$B75+1)</f>
        <v/>
      </c>
      <c r="W75" s="153">
        <f>$C75*INDEX(Curves!$G$8:$G$68,W$4-$B75+1)</f>
        <v/>
      </c>
      <c r="X75" s="153">
        <f>$C75*INDEX(Curves!$G$8:$G$68,X$4-$B75+1)</f>
        <v/>
      </c>
      <c r="Y75" s="153">
        <f>$C75*INDEX(Curves!$G$8:$G$68,Y$4-$B75+1)</f>
        <v/>
      </c>
      <c r="Z75" s="153">
        <f>$C75*INDEX(Curves!$G$8:$G$68,Z$4-$B75+1)</f>
        <v/>
      </c>
      <c r="AA75" s="153">
        <f>$C75*INDEX(Curves!$G$8:$G$68,AA$4-$B75+1)</f>
        <v/>
      </c>
      <c r="AB75" s="153">
        <f>$C75*INDEX(Curves!$G$8:$G$68,AB$4-$B75+1)</f>
        <v/>
      </c>
      <c r="AC75" s="153">
        <f>$C75*INDEX(Curves!$G$8:$G$68,AC$4-$B75+1)</f>
        <v/>
      </c>
      <c r="AD75" s="153">
        <f>$C75*INDEX(Curves!$G$8:$G$68,AD$4-$B75+1)</f>
        <v/>
      </c>
      <c r="AE75" s="153">
        <f>$C75*INDEX(Curves!$G$8:$G$68,AE$4-$B75+1)</f>
        <v/>
      </c>
      <c r="AF75" s="153">
        <f>$C75*INDEX(Curves!$G$8:$G$68,AF$4-$B75+1)</f>
        <v/>
      </c>
      <c r="AG75" s="153">
        <f>$C75*INDEX(Curves!$G$8:$G$68,AG$4-$B75+1)</f>
        <v/>
      </c>
      <c r="AH75" s="153">
        <f>$C75*INDEX(Curves!$G$8:$G$68,AH$4-$B75+1)</f>
        <v/>
      </c>
      <c r="AI75" s="153">
        <f>$C75*INDEX(Curves!$G$8:$G$68,AI$4-$B75+1)</f>
        <v/>
      </c>
      <c r="AJ75" s="153">
        <f>$C75*INDEX(Curves!$G$8:$G$68,AJ$4-$B75+1)</f>
        <v/>
      </c>
      <c r="AK75" s="153">
        <f>$C75*INDEX(Curves!$G$8:$G$68,AK$4-$B75+1)</f>
        <v/>
      </c>
      <c r="AL75" s="153">
        <f>$C75*INDEX(Curves!$G$8:$G$68,AL$4-$B75+1)</f>
        <v/>
      </c>
      <c r="AM75" s="153">
        <f>$C75*INDEX(Curves!$G$8:$G$68,AM$4-$B75+1)</f>
        <v/>
      </c>
      <c r="AN75" s="153">
        <f>$C75*INDEX(Curves!$G$8:$G$68,AN$4-$B75+1)</f>
        <v/>
      </c>
      <c r="AO75" s="153">
        <f>$C75*INDEX(Curves!$G$8:$G$68,AO$4-$B75+1)</f>
        <v/>
      </c>
      <c r="AP75" s="153">
        <f>$C75*INDEX(Curves!$G$8:$G$68,AP$4-$B75+1)</f>
        <v/>
      </c>
      <c r="AQ75" s="153">
        <f>$C75*INDEX(Curves!$G$8:$G$68,AQ$4-$B75+1)</f>
        <v/>
      </c>
      <c r="AR75" s="153">
        <f>$C75*INDEX(Curves!$G$8:$G$68,AR$4-$B75+1)</f>
        <v/>
      </c>
      <c r="AS75" s="153">
        <f>$C75*INDEX(Curves!$G$8:$G$68,AS$4-$B75+1)</f>
        <v/>
      </c>
      <c r="AT75" s="153">
        <f>$C75*INDEX(Curves!$G$8:$G$68,AT$4-$B75+1)</f>
        <v/>
      </c>
      <c r="AU75" s="153">
        <f>$C75*INDEX(Curves!$G$8:$G$68,AU$4-$B75+1)</f>
        <v/>
      </c>
      <c r="AV75" s="153">
        <f>$C75*INDEX(Curves!$G$8:$G$68,AV$4-$B75+1)</f>
        <v/>
      </c>
      <c r="AW75" s="153">
        <f>$C75*INDEX(Curves!$G$8:$G$68,AW$4-$B75+1)</f>
        <v/>
      </c>
      <c r="AX75" s="153">
        <f>$C75*INDEX(Curves!$G$8:$G$68,AX$4-$B75+1)</f>
        <v/>
      </c>
      <c r="AY75" s="153">
        <f>$C75*INDEX(Curves!$G$8:$G$68,AY$4-$B75+1)</f>
        <v/>
      </c>
      <c r="AZ75" s="153">
        <f>$C75*INDEX(Curves!$G$8:$G$68,AZ$4-$B75+1)</f>
        <v/>
      </c>
      <c r="BA75" s="153">
        <f>$C75*INDEX(Curves!$G$8:$G$68,BA$4-$B75+1)</f>
        <v/>
      </c>
      <c r="BB75" s="153">
        <f>$C75*INDEX(Curves!$G$8:$G$68,BB$4-$B75+1)</f>
        <v/>
      </c>
      <c r="BC75" s="153">
        <f>$C75*INDEX(Curves!$G$8:$G$68,BC$4-$B75+1)</f>
        <v/>
      </c>
      <c r="BD75" s="153">
        <f>$C75*INDEX(Curves!$G$8:$G$68,BD$4-$B75+1)</f>
        <v/>
      </c>
      <c r="BE75" s="153">
        <f>$C75*INDEX(Curves!$G$8:$G$68,BE$4-$B75+1)</f>
        <v/>
      </c>
      <c r="BF75" s="153">
        <f>$C75*INDEX(Curves!$G$8:$G$68,BF$4-$B75+1)</f>
        <v/>
      </c>
      <c r="BG75" s="153">
        <f>$C75*INDEX(Curves!$G$8:$G$68,BG$4-$B75+1)</f>
        <v/>
      </c>
      <c r="BH75" s="153">
        <f>$C75*INDEX(Curves!$G$8:$G$68,BH$4-$B75+1)</f>
        <v/>
      </c>
      <c r="BI75" s="153">
        <f>$C75*INDEX(Curves!$G$8:$G$68,BI$4-$B75+1)</f>
        <v/>
      </c>
      <c r="BJ75" s="153">
        <f>$C75*INDEX(Curves!$G$8:$G$68,BJ$4-$B75+1)</f>
        <v/>
      </c>
      <c r="BK75" s="153">
        <f>$C75*INDEX(Curves!$G$8:$G$68,BK$4-$B75+1)</f>
        <v/>
      </c>
      <c r="BL75" s="153">
        <f>$C75*INDEX(Curves!$G$8:$G$68,BL$4-$B75+1)</f>
        <v/>
      </c>
    </row>
    <row r="76">
      <c r="A76" s="147" t="inlineStr">
        <is>
          <t>Cohort month 4</t>
        </is>
      </c>
      <c r="B76" s="147" t="n">
        <v>4</v>
      </c>
      <c r="C76" s="41">
        <f>INDEX(Ops!$E$9:$BL$9,1,$B76)</f>
        <v/>
      </c>
      <c r="I76" s="153">
        <f>$C76*INDEX(Curves!$G$8:$G$68,I$4-$B76+1)</f>
        <v/>
      </c>
      <c r="J76" s="153">
        <f>$C76*INDEX(Curves!$G$8:$G$68,J$4-$B76+1)</f>
        <v/>
      </c>
      <c r="K76" s="153">
        <f>$C76*INDEX(Curves!$G$8:$G$68,K$4-$B76+1)</f>
        <v/>
      </c>
      <c r="L76" s="153">
        <f>$C76*INDEX(Curves!$G$8:$G$68,L$4-$B76+1)</f>
        <v/>
      </c>
      <c r="M76" s="153">
        <f>$C76*INDEX(Curves!$G$8:$G$68,M$4-$B76+1)</f>
        <v/>
      </c>
      <c r="N76" s="153">
        <f>$C76*INDEX(Curves!$G$8:$G$68,N$4-$B76+1)</f>
        <v/>
      </c>
      <c r="O76" s="153">
        <f>$C76*INDEX(Curves!$G$8:$G$68,O$4-$B76+1)</f>
        <v/>
      </c>
      <c r="P76" s="153">
        <f>$C76*INDEX(Curves!$G$8:$G$68,P$4-$B76+1)</f>
        <v/>
      </c>
      <c r="Q76" s="153">
        <f>$C76*INDEX(Curves!$G$8:$G$68,Q$4-$B76+1)</f>
        <v/>
      </c>
      <c r="R76" s="153">
        <f>$C76*INDEX(Curves!$G$8:$G$68,R$4-$B76+1)</f>
        <v/>
      </c>
      <c r="S76" s="153">
        <f>$C76*INDEX(Curves!$G$8:$G$68,S$4-$B76+1)</f>
        <v/>
      </c>
      <c r="T76" s="153">
        <f>$C76*INDEX(Curves!$G$8:$G$68,T$4-$B76+1)</f>
        <v/>
      </c>
      <c r="U76" s="153">
        <f>$C76*INDEX(Curves!$G$8:$G$68,U$4-$B76+1)</f>
        <v/>
      </c>
      <c r="V76" s="153">
        <f>$C76*INDEX(Curves!$G$8:$G$68,V$4-$B76+1)</f>
        <v/>
      </c>
      <c r="W76" s="153">
        <f>$C76*INDEX(Curves!$G$8:$G$68,W$4-$B76+1)</f>
        <v/>
      </c>
      <c r="X76" s="153">
        <f>$C76*INDEX(Curves!$G$8:$G$68,X$4-$B76+1)</f>
        <v/>
      </c>
      <c r="Y76" s="153">
        <f>$C76*INDEX(Curves!$G$8:$G$68,Y$4-$B76+1)</f>
        <v/>
      </c>
      <c r="Z76" s="153">
        <f>$C76*INDEX(Curves!$G$8:$G$68,Z$4-$B76+1)</f>
        <v/>
      </c>
      <c r="AA76" s="153">
        <f>$C76*INDEX(Curves!$G$8:$G$68,AA$4-$B76+1)</f>
        <v/>
      </c>
      <c r="AB76" s="153">
        <f>$C76*INDEX(Curves!$G$8:$G$68,AB$4-$B76+1)</f>
        <v/>
      </c>
      <c r="AC76" s="153">
        <f>$C76*INDEX(Curves!$G$8:$G$68,AC$4-$B76+1)</f>
        <v/>
      </c>
      <c r="AD76" s="153">
        <f>$C76*INDEX(Curves!$G$8:$G$68,AD$4-$B76+1)</f>
        <v/>
      </c>
      <c r="AE76" s="153">
        <f>$C76*INDEX(Curves!$G$8:$G$68,AE$4-$B76+1)</f>
        <v/>
      </c>
      <c r="AF76" s="153">
        <f>$C76*INDEX(Curves!$G$8:$G$68,AF$4-$B76+1)</f>
        <v/>
      </c>
      <c r="AG76" s="153">
        <f>$C76*INDEX(Curves!$G$8:$G$68,AG$4-$B76+1)</f>
        <v/>
      </c>
      <c r="AH76" s="153">
        <f>$C76*INDEX(Curves!$G$8:$G$68,AH$4-$B76+1)</f>
        <v/>
      </c>
      <c r="AI76" s="153">
        <f>$C76*INDEX(Curves!$G$8:$G$68,AI$4-$B76+1)</f>
        <v/>
      </c>
      <c r="AJ76" s="153">
        <f>$C76*INDEX(Curves!$G$8:$G$68,AJ$4-$B76+1)</f>
        <v/>
      </c>
      <c r="AK76" s="153">
        <f>$C76*INDEX(Curves!$G$8:$G$68,AK$4-$B76+1)</f>
        <v/>
      </c>
      <c r="AL76" s="153">
        <f>$C76*INDEX(Curves!$G$8:$G$68,AL$4-$B76+1)</f>
        <v/>
      </c>
      <c r="AM76" s="153">
        <f>$C76*INDEX(Curves!$G$8:$G$68,AM$4-$B76+1)</f>
        <v/>
      </c>
      <c r="AN76" s="153">
        <f>$C76*INDEX(Curves!$G$8:$G$68,AN$4-$B76+1)</f>
        <v/>
      </c>
      <c r="AO76" s="153">
        <f>$C76*INDEX(Curves!$G$8:$G$68,AO$4-$B76+1)</f>
        <v/>
      </c>
      <c r="AP76" s="153">
        <f>$C76*INDEX(Curves!$G$8:$G$68,AP$4-$B76+1)</f>
        <v/>
      </c>
      <c r="AQ76" s="153">
        <f>$C76*INDEX(Curves!$G$8:$G$68,AQ$4-$B76+1)</f>
        <v/>
      </c>
      <c r="AR76" s="153">
        <f>$C76*INDEX(Curves!$G$8:$G$68,AR$4-$B76+1)</f>
        <v/>
      </c>
      <c r="AS76" s="153">
        <f>$C76*INDEX(Curves!$G$8:$G$68,AS$4-$B76+1)</f>
        <v/>
      </c>
      <c r="AT76" s="153">
        <f>$C76*INDEX(Curves!$G$8:$G$68,AT$4-$B76+1)</f>
        <v/>
      </c>
      <c r="AU76" s="153">
        <f>$C76*INDEX(Curves!$G$8:$G$68,AU$4-$B76+1)</f>
        <v/>
      </c>
      <c r="AV76" s="153">
        <f>$C76*INDEX(Curves!$G$8:$G$68,AV$4-$B76+1)</f>
        <v/>
      </c>
      <c r="AW76" s="153">
        <f>$C76*INDEX(Curves!$G$8:$G$68,AW$4-$B76+1)</f>
        <v/>
      </c>
      <c r="AX76" s="153">
        <f>$C76*INDEX(Curves!$G$8:$G$68,AX$4-$B76+1)</f>
        <v/>
      </c>
      <c r="AY76" s="153">
        <f>$C76*INDEX(Curves!$G$8:$G$68,AY$4-$B76+1)</f>
        <v/>
      </c>
      <c r="AZ76" s="153">
        <f>$C76*INDEX(Curves!$G$8:$G$68,AZ$4-$B76+1)</f>
        <v/>
      </c>
      <c r="BA76" s="153">
        <f>$C76*INDEX(Curves!$G$8:$G$68,BA$4-$B76+1)</f>
        <v/>
      </c>
      <c r="BB76" s="153">
        <f>$C76*INDEX(Curves!$G$8:$G$68,BB$4-$B76+1)</f>
        <v/>
      </c>
      <c r="BC76" s="153">
        <f>$C76*INDEX(Curves!$G$8:$G$68,BC$4-$B76+1)</f>
        <v/>
      </c>
      <c r="BD76" s="153">
        <f>$C76*INDEX(Curves!$G$8:$G$68,BD$4-$B76+1)</f>
        <v/>
      </c>
      <c r="BE76" s="153">
        <f>$C76*INDEX(Curves!$G$8:$G$68,BE$4-$B76+1)</f>
        <v/>
      </c>
      <c r="BF76" s="153">
        <f>$C76*INDEX(Curves!$G$8:$G$68,BF$4-$B76+1)</f>
        <v/>
      </c>
      <c r="BG76" s="153">
        <f>$C76*INDEX(Curves!$G$8:$G$68,BG$4-$B76+1)</f>
        <v/>
      </c>
      <c r="BH76" s="153">
        <f>$C76*INDEX(Curves!$G$8:$G$68,BH$4-$B76+1)</f>
        <v/>
      </c>
      <c r="BI76" s="153">
        <f>$C76*INDEX(Curves!$G$8:$G$68,BI$4-$B76+1)</f>
        <v/>
      </c>
      <c r="BJ76" s="153">
        <f>$C76*INDEX(Curves!$G$8:$G$68,BJ$4-$B76+1)</f>
        <v/>
      </c>
      <c r="BK76" s="153">
        <f>$C76*INDEX(Curves!$G$8:$G$68,BK$4-$B76+1)</f>
        <v/>
      </c>
      <c r="BL76" s="153">
        <f>$C76*INDEX(Curves!$G$8:$G$68,BL$4-$B76+1)</f>
        <v/>
      </c>
    </row>
    <row r="77">
      <c r="A77" s="147" t="inlineStr">
        <is>
          <t>Cohort month 5</t>
        </is>
      </c>
      <c r="B77" s="147" t="n">
        <v>5</v>
      </c>
      <c r="C77" s="41">
        <f>INDEX(Ops!$E$9:$BL$9,1,$B77)</f>
        <v/>
      </c>
      <c r="J77" s="153">
        <f>$C77*INDEX(Curves!$G$8:$G$68,J$4-$B77+1)</f>
        <v/>
      </c>
      <c r="K77" s="153">
        <f>$C77*INDEX(Curves!$G$8:$G$68,K$4-$B77+1)</f>
        <v/>
      </c>
      <c r="L77" s="153">
        <f>$C77*INDEX(Curves!$G$8:$G$68,L$4-$B77+1)</f>
        <v/>
      </c>
      <c r="M77" s="153">
        <f>$C77*INDEX(Curves!$G$8:$G$68,M$4-$B77+1)</f>
        <v/>
      </c>
      <c r="N77" s="153">
        <f>$C77*INDEX(Curves!$G$8:$G$68,N$4-$B77+1)</f>
        <v/>
      </c>
      <c r="O77" s="153">
        <f>$C77*INDEX(Curves!$G$8:$G$68,O$4-$B77+1)</f>
        <v/>
      </c>
      <c r="P77" s="153">
        <f>$C77*INDEX(Curves!$G$8:$G$68,P$4-$B77+1)</f>
        <v/>
      </c>
      <c r="Q77" s="153">
        <f>$C77*INDEX(Curves!$G$8:$G$68,Q$4-$B77+1)</f>
        <v/>
      </c>
      <c r="R77" s="153">
        <f>$C77*INDEX(Curves!$G$8:$G$68,R$4-$B77+1)</f>
        <v/>
      </c>
      <c r="S77" s="153">
        <f>$C77*INDEX(Curves!$G$8:$G$68,S$4-$B77+1)</f>
        <v/>
      </c>
      <c r="T77" s="153">
        <f>$C77*INDEX(Curves!$G$8:$G$68,T$4-$B77+1)</f>
        <v/>
      </c>
      <c r="U77" s="153">
        <f>$C77*INDEX(Curves!$G$8:$G$68,U$4-$B77+1)</f>
        <v/>
      </c>
      <c r="V77" s="153">
        <f>$C77*INDEX(Curves!$G$8:$G$68,V$4-$B77+1)</f>
        <v/>
      </c>
      <c r="W77" s="153">
        <f>$C77*INDEX(Curves!$G$8:$G$68,W$4-$B77+1)</f>
        <v/>
      </c>
      <c r="X77" s="153">
        <f>$C77*INDEX(Curves!$G$8:$G$68,X$4-$B77+1)</f>
        <v/>
      </c>
      <c r="Y77" s="153">
        <f>$C77*INDEX(Curves!$G$8:$G$68,Y$4-$B77+1)</f>
        <v/>
      </c>
      <c r="Z77" s="153">
        <f>$C77*INDEX(Curves!$G$8:$G$68,Z$4-$B77+1)</f>
        <v/>
      </c>
      <c r="AA77" s="153">
        <f>$C77*INDEX(Curves!$G$8:$G$68,AA$4-$B77+1)</f>
        <v/>
      </c>
      <c r="AB77" s="153">
        <f>$C77*INDEX(Curves!$G$8:$G$68,AB$4-$B77+1)</f>
        <v/>
      </c>
      <c r="AC77" s="153">
        <f>$C77*INDEX(Curves!$G$8:$G$68,AC$4-$B77+1)</f>
        <v/>
      </c>
      <c r="AD77" s="153">
        <f>$C77*INDEX(Curves!$G$8:$G$68,AD$4-$B77+1)</f>
        <v/>
      </c>
      <c r="AE77" s="153">
        <f>$C77*INDEX(Curves!$G$8:$G$68,AE$4-$B77+1)</f>
        <v/>
      </c>
      <c r="AF77" s="153">
        <f>$C77*INDEX(Curves!$G$8:$G$68,AF$4-$B77+1)</f>
        <v/>
      </c>
      <c r="AG77" s="153">
        <f>$C77*INDEX(Curves!$G$8:$G$68,AG$4-$B77+1)</f>
        <v/>
      </c>
      <c r="AH77" s="153">
        <f>$C77*INDEX(Curves!$G$8:$G$68,AH$4-$B77+1)</f>
        <v/>
      </c>
      <c r="AI77" s="153">
        <f>$C77*INDEX(Curves!$G$8:$G$68,AI$4-$B77+1)</f>
        <v/>
      </c>
      <c r="AJ77" s="153">
        <f>$C77*INDEX(Curves!$G$8:$G$68,AJ$4-$B77+1)</f>
        <v/>
      </c>
      <c r="AK77" s="153">
        <f>$C77*INDEX(Curves!$G$8:$G$68,AK$4-$B77+1)</f>
        <v/>
      </c>
      <c r="AL77" s="153">
        <f>$C77*INDEX(Curves!$G$8:$G$68,AL$4-$B77+1)</f>
        <v/>
      </c>
      <c r="AM77" s="153">
        <f>$C77*INDEX(Curves!$G$8:$G$68,AM$4-$B77+1)</f>
        <v/>
      </c>
      <c r="AN77" s="153">
        <f>$C77*INDEX(Curves!$G$8:$G$68,AN$4-$B77+1)</f>
        <v/>
      </c>
      <c r="AO77" s="153">
        <f>$C77*INDEX(Curves!$G$8:$G$68,AO$4-$B77+1)</f>
        <v/>
      </c>
      <c r="AP77" s="153">
        <f>$C77*INDEX(Curves!$G$8:$G$68,AP$4-$B77+1)</f>
        <v/>
      </c>
      <c r="AQ77" s="153">
        <f>$C77*INDEX(Curves!$G$8:$G$68,AQ$4-$B77+1)</f>
        <v/>
      </c>
      <c r="AR77" s="153">
        <f>$C77*INDEX(Curves!$G$8:$G$68,AR$4-$B77+1)</f>
        <v/>
      </c>
      <c r="AS77" s="153">
        <f>$C77*INDEX(Curves!$G$8:$G$68,AS$4-$B77+1)</f>
        <v/>
      </c>
      <c r="AT77" s="153">
        <f>$C77*INDEX(Curves!$G$8:$G$68,AT$4-$B77+1)</f>
        <v/>
      </c>
      <c r="AU77" s="153">
        <f>$C77*INDEX(Curves!$G$8:$G$68,AU$4-$B77+1)</f>
        <v/>
      </c>
      <c r="AV77" s="153">
        <f>$C77*INDEX(Curves!$G$8:$G$68,AV$4-$B77+1)</f>
        <v/>
      </c>
      <c r="AW77" s="153">
        <f>$C77*INDEX(Curves!$G$8:$G$68,AW$4-$B77+1)</f>
        <v/>
      </c>
      <c r="AX77" s="153">
        <f>$C77*INDEX(Curves!$G$8:$G$68,AX$4-$B77+1)</f>
        <v/>
      </c>
      <c r="AY77" s="153">
        <f>$C77*INDEX(Curves!$G$8:$G$68,AY$4-$B77+1)</f>
        <v/>
      </c>
      <c r="AZ77" s="153">
        <f>$C77*INDEX(Curves!$G$8:$G$68,AZ$4-$B77+1)</f>
        <v/>
      </c>
      <c r="BA77" s="153">
        <f>$C77*INDEX(Curves!$G$8:$G$68,BA$4-$B77+1)</f>
        <v/>
      </c>
      <c r="BB77" s="153">
        <f>$C77*INDEX(Curves!$G$8:$G$68,BB$4-$B77+1)</f>
        <v/>
      </c>
      <c r="BC77" s="153">
        <f>$C77*INDEX(Curves!$G$8:$G$68,BC$4-$B77+1)</f>
        <v/>
      </c>
      <c r="BD77" s="153">
        <f>$C77*INDEX(Curves!$G$8:$G$68,BD$4-$B77+1)</f>
        <v/>
      </c>
      <c r="BE77" s="153">
        <f>$C77*INDEX(Curves!$G$8:$G$68,BE$4-$B77+1)</f>
        <v/>
      </c>
      <c r="BF77" s="153">
        <f>$C77*INDEX(Curves!$G$8:$G$68,BF$4-$B77+1)</f>
        <v/>
      </c>
      <c r="BG77" s="153">
        <f>$C77*INDEX(Curves!$G$8:$G$68,BG$4-$B77+1)</f>
        <v/>
      </c>
      <c r="BH77" s="153">
        <f>$C77*INDEX(Curves!$G$8:$G$68,BH$4-$B77+1)</f>
        <v/>
      </c>
      <c r="BI77" s="153">
        <f>$C77*INDEX(Curves!$G$8:$G$68,BI$4-$B77+1)</f>
        <v/>
      </c>
      <c r="BJ77" s="153">
        <f>$C77*INDEX(Curves!$G$8:$G$68,BJ$4-$B77+1)</f>
        <v/>
      </c>
      <c r="BK77" s="153">
        <f>$C77*INDEX(Curves!$G$8:$G$68,BK$4-$B77+1)</f>
        <v/>
      </c>
      <c r="BL77" s="153">
        <f>$C77*INDEX(Curves!$G$8:$G$68,BL$4-$B77+1)</f>
        <v/>
      </c>
    </row>
    <row r="78">
      <c r="A78" s="147" t="inlineStr">
        <is>
          <t>Cohort month 6</t>
        </is>
      </c>
      <c r="B78" s="147" t="n">
        <v>6</v>
      </c>
      <c r="C78" s="41">
        <f>INDEX(Ops!$E$9:$BL$9,1,$B78)</f>
        <v/>
      </c>
      <c r="K78" s="153">
        <f>$C78*INDEX(Curves!$G$8:$G$68,K$4-$B78+1)</f>
        <v/>
      </c>
      <c r="L78" s="153">
        <f>$C78*INDEX(Curves!$G$8:$G$68,L$4-$B78+1)</f>
        <v/>
      </c>
      <c r="M78" s="153">
        <f>$C78*INDEX(Curves!$G$8:$G$68,M$4-$B78+1)</f>
        <v/>
      </c>
      <c r="N78" s="153">
        <f>$C78*INDEX(Curves!$G$8:$G$68,N$4-$B78+1)</f>
        <v/>
      </c>
      <c r="O78" s="153">
        <f>$C78*INDEX(Curves!$G$8:$G$68,O$4-$B78+1)</f>
        <v/>
      </c>
      <c r="P78" s="153">
        <f>$C78*INDEX(Curves!$G$8:$G$68,P$4-$B78+1)</f>
        <v/>
      </c>
      <c r="Q78" s="153">
        <f>$C78*INDEX(Curves!$G$8:$G$68,Q$4-$B78+1)</f>
        <v/>
      </c>
      <c r="R78" s="153">
        <f>$C78*INDEX(Curves!$G$8:$G$68,R$4-$B78+1)</f>
        <v/>
      </c>
      <c r="S78" s="153">
        <f>$C78*INDEX(Curves!$G$8:$G$68,S$4-$B78+1)</f>
        <v/>
      </c>
      <c r="T78" s="153">
        <f>$C78*INDEX(Curves!$G$8:$G$68,T$4-$B78+1)</f>
        <v/>
      </c>
      <c r="U78" s="153">
        <f>$C78*INDEX(Curves!$G$8:$G$68,U$4-$B78+1)</f>
        <v/>
      </c>
      <c r="V78" s="153">
        <f>$C78*INDEX(Curves!$G$8:$G$68,V$4-$B78+1)</f>
        <v/>
      </c>
      <c r="W78" s="153">
        <f>$C78*INDEX(Curves!$G$8:$G$68,W$4-$B78+1)</f>
        <v/>
      </c>
      <c r="X78" s="153">
        <f>$C78*INDEX(Curves!$G$8:$G$68,X$4-$B78+1)</f>
        <v/>
      </c>
      <c r="Y78" s="153">
        <f>$C78*INDEX(Curves!$G$8:$G$68,Y$4-$B78+1)</f>
        <v/>
      </c>
      <c r="Z78" s="153">
        <f>$C78*INDEX(Curves!$G$8:$G$68,Z$4-$B78+1)</f>
        <v/>
      </c>
      <c r="AA78" s="153">
        <f>$C78*INDEX(Curves!$G$8:$G$68,AA$4-$B78+1)</f>
        <v/>
      </c>
      <c r="AB78" s="153">
        <f>$C78*INDEX(Curves!$G$8:$G$68,AB$4-$B78+1)</f>
        <v/>
      </c>
      <c r="AC78" s="153">
        <f>$C78*INDEX(Curves!$G$8:$G$68,AC$4-$B78+1)</f>
        <v/>
      </c>
      <c r="AD78" s="153">
        <f>$C78*INDEX(Curves!$G$8:$G$68,AD$4-$B78+1)</f>
        <v/>
      </c>
      <c r="AE78" s="153">
        <f>$C78*INDEX(Curves!$G$8:$G$68,AE$4-$B78+1)</f>
        <v/>
      </c>
      <c r="AF78" s="153">
        <f>$C78*INDEX(Curves!$G$8:$G$68,AF$4-$B78+1)</f>
        <v/>
      </c>
      <c r="AG78" s="153">
        <f>$C78*INDEX(Curves!$G$8:$G$68,AG$4-$B78+1)</f>
        <v/>
      </c>
      <c r="AH78" s="153">
        <f>$C78*INDEX(Curves!$G$8:$G$68,AH$4-$B78+1)</f>
        <v/>
      </c>
      <c r="AI78" s="153">
        <f>$C78*INDEX(Curves!$G$8:$G$68,AI$4-$B78+1)</f>
        <v/>
      </c>
      <c r="AJ78" s="153">
        <f>$C78*INDEX(Curves!$G$8:$G$68,AJ$4-$B78+1)</f>
        <v/>
      </c>
      <c r="AK78" s="153">
        <f>$C78*INDEX(Curves!$G$8:$G$68,AK$4-$B78+1)</f>
        <v/>
      </c>
      <c r="AL78" s="153">
        <f>$C78*INDEX(Curves!$G$8:$G$68,AL$4-$B78+1)</f>
        <v/>
      </c>
      <c r="AM78" s="153">
        <f>$C78*INDEX(Curves!$G$8:$G$68,AM$4-$B78+1)</f>
        <v/>
      </c>
      <c r="AN78" s="153">
        <f>$C78*INDEX(Curves!$G$8:$G$68,AN$4-$B78+1)</f>
        <v/>
      </c>
      <c r="AO78" s="153">
        <f>$C78*INDEX(Curves!$G$8:$G$68,AO$4-$B78+1)</f>
        <v/>
      </c>
      <c r="AP78" s="153">
        <f>$C78*INDEX(Curves!$G$8:$G$68,AP$4-$B78+1)</f>
        <v/>
      </c>
      <c r="AQ78" s="153">
        <f>$C78*INDEX(Curves!$G$8:$G$68,AQ$4-$B78+1)</f>
        <v/>
      </c>
      <c r="AR78" s="153">
        <f>$C78*INDEX(Curves!$G$8:$G$68,AR$4-$B78+1)</f>
        <v/>
      </c>
      <c r="AS78" s="153">
        <f>$C78*INDEX(Curves!$G$8:$G$68,AS$4-$B78+1)</f>
        <v/>
      </c>
      <c r="AT78" s="153">
        <f>$C78*INDEX(Curves!$G$8:$G$68,AT$4-$B78+1)</f>
        <v/>
      </c>
      <c r="AU78" s="153">
        <f>$C78*INDEX(Curves!$G$8:$G$68,AU$4-$B78+1)</f>
        <v/>
      </c>
      <c r="AV78" s="153">
        <f>$C78*INDEX(Curves!$G$8:$G$68,AV$4-$B78+1)</f>
        <v/>
      </c>
      <c r="AW78" s="153">
        <f>$C78*INDEX(Curves!$G$8:$G$68,AW$4-$B78+1)</f>
        <v/>
      </c>
      <c r="AX78" s="153">
        <f>$C78*INDEX(Curves!$G$8:$G$68,AX$4-$B78+1)</f>
        <v/>
      </c>
      <c r="AY78" s="153">
        <f>$C78*INDEX(Curves!$G$8:$G$68,AY$4-$B78+1)</f>
        <v/>
      </c>
      <c r="AZ78" s="153">
        <f>$C78*INDEX(Curves!$G$8:$G$68,AZ$4-$B78+1)</f>
        <v/>
      </c>
      <c r="BA78" s="153">
        <f>$C78*INDEX(Curves!$G$8:$G$68,BA$4-$B78+1)</f>
        <v/>
      </c>
      <c r="BB78" s="153">
        <f>$C78*INDEX(Curves!$G$8:$G$68,BB$4-$B78+1)</f>
        <v/>
      </c>
      <c r="BC78" s="153">
        <f>$C78*INDEX(Curves!$G$8:$G$68,BC$4-$B78+1)</f>
        <v/>
      </c>
      <c r="BD78" s="153">
        <f>$C78*INDEX(Curves!$G$8:$G$68,BD$4-$B78+1)</f>
        <v/>
      </c>
      <c r="BE78" s="153">
        <f>$C78*INDEX(Curves!$G$8:$G$68,BE$4-$B78+1)</f>
        <v/>
      </c>
      <c r="BF78" s="153">
        <f>$C78*INDEX(Curves!$G$8:$G$68,BF$4-$B78+1)</f>
        <v/>
      </c>
      <c r="BG78" s="153">
        <f>$C78*INDEX(Curves!$G$8:$G$68,BG$4-$B78+1)</f>
        <v/>
      </c>
      <c r="BH78" s="153">
        <f>$C78*INDEX(Curves!$G$8:$G$68,BH$4-$B78+1)</f>
        <v/>
      </c>
      <c r="BI78" s="153">
        <f>$C78*INDEX(Curves!$G$8:$G$68,BI$4-$B78+1)</f>
        <v/>
      </c>
      <c r="BJ78" s="153">
        <f>$C78*INDEX(Curves!$G$8:$G$68,BJ$4-$B78+1)</f>
        <v/>
      </c>
      <c r="BK78" s="153">
        <f>$C78*INDEX(Curves!$G$8:$G$68,BK$4-$B78+1)</f>
        <v/>
      </c>
      <c r="BL78" s="153">
        <f>$C78*INDEX(Curves!$G$8:$G$68,BL$4-$B78+1)</f>
        <v/>
      </c>
    </row>
    <row r="79">
      <c r="A79" s="147" t="inlineStr">
        <is>
          <t>Cohort month 7</t>
        </is>
      </c>
      <c r="B79" s="147" t="n">
        <v>7</v>
      </c>
      <c r="C79" s="41">
        <f>INDEX(Ops!$E$9:$BL$9,1,$B79)</f>
        <v/>
      </c>
      <c r="L79" s="153">
        <f>$C79*INDEX(Curves!$G$8:$G$68,L$4-$B79+1)</f>
        <v/>
      </c>
      <c r="M79" s="153">
        <f>$C79*INDEX(Curves!$G$8:$G$68,M$4-$B79+1)</f>
        <v/>
      </c>
      <c r="N79" s="153">
        <f>$C79*INDEX(Curves!$G$8:$G$68,N$4-$B79+1)</f>
        <v/>
      </c>
      <c r="O79" s="153">
        <f>$C79*INDEX(Curves!$G$8:$G$68,O$4-$B79+1)</f>
        <v/>
      </c>
      <c r="P79" s="153">
        <f>$C79*INDEX(Curves!$G$8:$G$68,P$4-$B79+1)</f>
        <v/>
      </c>
      <c r="Q79" s="153">
        <f>$C79*INDEX(Curves!$G$8:$G$68,Q$4-$B79+1)</f>
        <v/>
      </c>
      <c r="R79" s="153">
        <f>$C79*INDEX(Curves!$G$8:$G$68,R$4-$B79+1)</f>
        <v/>
      </c>
      <c r="S79" s="153">
        <f>$C79*INDEX(Curves!$G$8:$G$68,S$4-$B79+1)</f>
        <v/>
      </c>
      <c r="T79" s="153">
        <f>$C79*INDEX(Curves!$G$8:$G$68,T$4-$B79+1)</f>
        <v/>
      </c>
      <c r="U79" s="153">
        <f>$C79*INDEX(Curves!$G$8:$G$68,U$4-$B79+1)</f>
        <v/>
      </c>
      <c r="V79" s="153">
        <f>$C79*INDEX(Curves!$G$8:$G$68,V$4-$B79+1)</f>
        <v/>
      </c>
      <c r="W79" s="153">
        <f>$C79*INDEX(Curves!$G$8:$G$68,W$4-$B79+1)</f>
        <v/>
      </c>
      <c r="X79" s="153">
        <f>$C79*INDEX(Curves!$G$8:$G$68,X$4-$B79+1)</f>
        <v/>
      </c>
      <c r="Y79" s="153">
        <f>$C79*INDEX(Curves!$G$8:$G$68,Y$4-$B79+1)</f>
        <v/>
      </c>
      <c r="Z79" s="153">
        <f>$C79*INDEX(Curves!$G$8:$G$68,Z$4-$B79+1)</f>
        <v/>
      </c>
      <c r="AA79" s="153">
        <f>$C79*INDEX(Curves!$G$8:$G$68,AA$4-$B79+1)</f>
        <v/>
      </c>
      <c r="AB79" s="153">
        <f>$C79*INDEX(Curves!$G$8:$G$68,AB$4-$B79+1)</f>
        <v/>
      </c>
      <c r="AC79" s="153">
        <f>$C79*INDEX(Curves!$G$8:$G$68,AC$4-$B79+1)</f>
        <v/>
      </c>
      <c r="AD79" s="153">
        <f>$C79*INDEX(Curves!$G$8:$G$68,AD$4-$B79+1)</f>
        <v/>
      </c>
      <c r="AE79" s="153">
        <f>$C79*INDEX(Curves!$G$8:$G$68,AE$4-$B79+1)</f>
        <v/>
      </c>
      <c r="AF79" s="153">
        <f>$C79*INDEX(Curves!$G$8:$G$68,AF$4-$B79+1)</f>
        <v/>
      </c>
      <c r="AG79" s="153">
        <f>$C79*INDEX(Curves!$G$8:$G$68,AG$4-$B79+1)</f>
        <v/>
      </c>
      <c r="AH79" s="153">
        <f>$C79*INDEX(Curves!$G$8:$G$68,AH$4-$B79+1)</f>
        <v/>
      </c>
      <c r="AI79" s="153">
        <f>$C79*INDEX(Curves!$G$8:$G$68,AI$4-$B79+1)</f>
        <v/>
      </c>
      <c r="AJ79" s="153">
        <f>$C79*INDEX(Curves!$G$8:$G$68,AJ$4-$B79+1)</f>
        <v/>
      </c>
      <c r="AK79" s="153">
        <f>$C79*INDEX(Curves!$G$8:$G$68,AK$4-$B79+1)</f>
        <v/>
      </c>
      <c r="AL79" s="153">
        <f>$C79*INDEX(Curves!$G$8:$G$68,AL$4-$B79+1)</f>
        <v/>
      </c>
      <c r="AM79" s="153">
        <f>$C79*INDEX(Curves!$G$8:$G$68,AM$4-$B79+1)</f>
        <v/>
      </c>
      <c r="AN79" s="153">
        <f>$C79*INDEX(Curves!$G$8:$G$68,AN$4-$B79+1)</f>
        <v/>
      </c>
      <c r="AO79" s="153">
        <f>$C79*INDEX(Curves!$G$8:$G$68,AO$4-$B79+1)</f>
        <v/>
      </c>
      <c r="AP79" s="153">
        <f>$C79*INDEX(Curves!$G$8:$G$68,AP$4-$B79+1)</f>
        <v/>
      </c>
      <c r="AQ79" s="153">
        <f>$C79*INDEX(Curves!$G$8:$G$68,AQ$4-$B79+1)</f>
        <v/>
      </c>
      <c r="AR79" s="153">
        <f>$C79*INDEX(Curves!$G$8:$G$68,AR$4-$B79+1)</f>
        <v/>
      </c>
      <c r="AS79" s="153">
        <f>$C79*INDEX(Curves!$G$8:$G$68,AS$4-$B79+1)</f>
        <v/>
      </c>
      <c r="AT79" s="153">
        <f>$C79*INDEX(Curves!$G$8:$G$68,AT$4-$B79+1)</f>
        <v/>
      </c>
      <c r="AU79" s="153">
        <f>$C79*INDEX(Curves!$G$8:$G$68,AU$4-$B79+1)</f>
        <v/>
      </c>
      <c r="AV79" s="153">
        <f>$C79*INDEX(Curves!$G$8:$G$68,AV$4-$B79+1)</f>
        <v/>
      </c>
      <c r="AW79" s="153">
        <f>$C79*INDEX(Curves!$G$8:$G$68,AW$4-$B79+1)</f>
        <v/>
      </c>
      <c r="AX79" s="153">
        <f>$C79*INDEX(Curves!$G$8:$G$68,AX$4-$B79+1)</f>
        <v/>
      </c>
      <c r="AY79" s="153">
        <f>$C79*INDEX(Curves!$G$8:$G$68,AY$4-$B79+1)</f>
        <v/>
      </c>
      <c r="AZ79" s="153">
        <f>$C79*INDEX(Curves!$G$8:$G$68,AZ$4-$B79+1)</f>
        <v/>
      </c>
      <c r="BA79" s="153">
        <f>$C79*INDEX(Curves!$G$8:$G$68,BA$4-$B79+1)</f>
        <v/>
      </c>
      <c r="BB79" s="153">
        <f>$C79*INDEX(Curves!$G$8:$G$68,BB$4-$B79+1)</f>
        <v/>
      </c>
      <c r="BC79" s="153">
        <f>$C79*INDEX(Curves!$G$8:$G$68,BC$4-$B79+1)</f>
        <v/>
      </c>
      <c r="BD79" s="153">
        <f>$C79*INDEX(Curves!$G$8:$G$68,BD$4-$B79+1)</f>
        <v/>
      </c>
      <c r="BE79" s="153">
        <f>$C79*INDEX(Curves!$G$8:$G$68,BE$4-$B79+1)</f>
        <v/>
      </c>
      <c r="BF79" s="153">
        <f>$C79*INDEX(Curves!$G$8:$G$68,BF$4-$B79+1)</f>
        <v/>
      </c>
      <c r="BG79" s="153">
        <f>$C79*INDEX(Curves!$G$8:$G$68,BG$4-$B79+1)</f>
        <v/>
      </c>
      <c r="BH79" s="153">
        <f>$C79*INDEX(Curves!$G$8:$G$68,BH$4-$B79+1)</f>
        <v/>
      </c>
      <c r="BI79" s="153">
        <f>$C79*INDEX(Curves!$G$8:$G$68,BI$4-$B79+1)</f>
        <v/>
      </c>
      <c r="BJ79" s="153">
        <f>$C79*INDEX(Curves!$G$8:$G$68,BJ$4-$B79+1)</f>
        <v/>
      </c>
      <c r="BK79" s="153">
        <f>$C79*INDEX(Curves!$G$8:$G$68,BK$4-$B79+1)</f>
        <v/>
      </c>
      <c r="BL79" s="153">
        <f>$C79*INDEX(Curves!$G$8:$G$68,BL$4-$B79+1)</f>
        <v/>
      </c>
    </row>
    <row r="80">
      <c r="A80" s="147" t="inlineStr">
        <is>
          <t>Cohort month 8</t>
        </is>
      </c>
      <c r="B80" s="147" t="n">
        <v>8</v>
      </c>
      <c r="C80" s="41">
        <f>INDEX(Ops!$E$9:$BL$9,1,$B80)</f>
        <v/>
      </c>
      <c r="M80" s="153">
        <f>$C80*INDEX(Curves!$G$8:$G$68,M$4-$B80+1)</f>
        <v/>
      </c>
      <c r="N80" s="153">
        <f>$C80*INDEX(Curves!$G$8:$G$68,N$4-$B80+1)</f>
        <v/>
      </c>
      <c r="O80" s="153">
        <f>$C80*INDEX(Curves!$G$8:$G$68,O$4-$B80+1)</f>
        <v/>
      </c>
      <c r="P80" s="153">
        <f>$C80*INDEX(Curves!$G$8:$G$68,P$4-$B80+1)</f>
        <v/>
      </c>
      <c r="Q80" s="153">
        <f>$C80*INDEX(Curves!$G$8:$G$68,Q$4-$B80+1)</f>
        <v/>
      </c>
      <c r="R80" s="153">
        <f>$C80*INDEX(Curves!$G$8:$G$68,R$4-$B80+1)</f>
        <v/>
      </c>
      <c r="S80" s="153">
        <f>$C80*INDEX(Curves!$G$8:$G$68,S$4-$B80+1)</f>
        <v/>
      </c>
      <c r="T80" s="153">
        <f>$C80*INDEX(Curves!$G$8:$G$68,T$4-$B80+1)</f>
        <v/>
      </c>
      <c r="U80" s="153">
        <f>$C80*INDEX(Curves!$G$8:$G$68,U$4-$B80+1)</f>
        <v/>
      </c>
      <c r="V80" s="153">
        <f>$C80*INDEX(Curves!$G$8:$G$68,V$4-$B80+1)</f>
        <v/>
      </c>
      <c r="W80" s="153">
        <f>$C80*INDEX(Curves!$G$8:$G$68,W$4-$B80+1)</f>
        <v/>
      </c>
      <c r="X80" s="153">
        <f>$C80*INDEX(Curves!$G$8:$G$68,X$4-$B80+1)</f>
        <v/>
      </c>
      <c r="Y80" s="153">
        <f>$C80*INDEX(Curves!$G$8:$G$68,Y$4-$B80+1)</f>
        <v/>
      </c>
      <c r="Z80" s="153">
        <f>$C80*INDEX(Curves!$G$8:$G$68,Z$4-$B80+1)</f>
        <v/>
      </c>
      <c r="AA80" s="153">
        <f>$C80*INDEX(Curves!$G$8:$G$68,AA$4-$B80+1)</f>
        <v/>
      </c>
      <c r="AB80" s="153">
        <f>$C80*INDEX(Curves!$G$8:$G$68,AB$4-$B80+1)</f>
        <v/>
      </c>
      <c r="AC80" s="153">
        <f>$C80*INDEX(Curves!$G$8:$G$68,AC$4-$B80+1)</f>
        <v/>
      </c>
      <c r="AD80" s="153">
        <f>$C80*INDEX(Curves!$G$8:$G$68,AD$4-$B80+1)</f>
        <v/>
      </c>
      <c r="AE80" s="153">
        <f>$C80*INDEX(Curves!$G$8:$G$68,AE$4-$B80+1)</f>
        <v/>
      </c>
      <c r="AF80" s="153">
        <f>$C80*INDEX(Curves!$G$8:$G$68,AF$4-$B80+1)</f>
        <v/>
      </c>
      <c r="AG80" s="153">
        <f>$C80*INDEX(Curves!$G$8:$G$68,AG$4-$B80+1)</f>
        <v/>
      </c>
      <c r="AH80" s="153">
        <f>$C80*INDEX(Curves!$G$8:$G$68,AH$4-$B80+1)</f>
        <v/>
      </c>
      <c r="AI80" s="153">
        <f>$C80*INDEX(Curves!$G$8:$G$68,AI$4-$B80+1)</f>
        <v/>
      </c>
      <c r="AJ80" s="153">
        <f>$C80*INDEX(Curves!$G$8:$G$68,AJ$4-$B80+1)</f>
        <v/>
      </c>
      <c r="AK80" s="153">
        <f>$C80*INDEX(Curves!$G$8:$G$68,AK$4-$B80+1)</f>
        <v/>
      </c>
      <c r="AL80" s="153">
        <f>$C80*INDEX(Curves!$G$8:$G$68,AL$4-$B80+1)</f>
        <v/>
      </c>
      <c r="AM80" s="153">
        <f>$C80*INDEX(Curves!$G$8:$G$68,AM$4-$B80+1)</f>
        <v/>
      </c>
      <c r="AN80" s="153">
        <f>$C80*INDEX(Curves!$G$8:$G$68,AN$4-$B80+1)</f>
        <v/>
      </c>
      <c r="AO80" s="153">
        <f>$C80*INDEX(Curves!$G$8:$G$68,AO$4-$B80+1)</f>
        <v/>
      </c>
      <c r="AP80" s="153">
        <f>$C80*INDEX(Curves!$G$8:$G$68,AP$4-$B80+1)</f>
        <v/>
      </c>
      <c r="AQ80" s="153">
        <f>$C80*INDEX(Curves!$G$8:$G$68,AQ$4-$B80+1)</f>
        <v/>
      </c>
      <c r="AR80" s="153">
        <f>$C80*INDEX(Curves!$G$8:$G$68,AR$4-$B80+1)</f>
        <v/>
      </c>
      <c r="AS80" s="153">
        <f>$C80*INDEX(Curves!$G$8:$G$68,AS$4-$B80+1)</f>
        <v/>
      </c>
      <c r="AT80" s="153">
        <f>$C80*INDEX(Curves!$G$8:$G$68,AT$4-$B80+1)</f>
        <v/>
      </c>
      <c r="AU80" s="153">
        <f>$C80*INDEX(Curves!$G$8:$G$68,AU$4-$B80+1)</f>
        <v/>
      </c>
      <c r="AV80" s="153">
        <f>$C80*INDEX(Curves!$G$8:$G$68,AV$4-$B80+1)</f>
        <v/>
      </c>
      <c r="AW80" s="153">
        <f>$C80*INDEX(Curves!$G$8:$G$68,AW$4-$B80+1)</f>
        <v/>
      </c>
      <c r="AX80" s="153">
        <f>$C80*INDEX(Curves!$G$8:$G$68,AX$4-$B80+1)</f>
        <v/>
      </c>
      <c r="AY80" s="153">
        <f>$C80*INDEX(Curves!$G$8:$G$68,AY$4-$B80+1)</f>
        <v/>
      </c>
      <c r="AZ80" s="153">
        <f>$C80*INDEX(Curves!$G$8:$G$68,AZ$4-$B80+1)</f>
        <v/>
      </c>
      <c r="BA80" s="153">
        <f>$C80*INDEX(Curves!$G$8:$G$68,BA$4-$B80+1)</f>
        <v/>
      </c>
      <c r="BB80" s="153">
        <f>$C80*INDEX(Curves!$G$8:$G$68,BB$4-$B80+1)</f>
        <v/>
      </c>
      <c r="BC80" s="153">
        <f>$C80*INDEX(Curves!$G$8:$G$68,BC$4-$B80+1)</f>
        <v/>
      </c>
      <c r="BD80" s="153">
        <f>$C80*INDEX(Curves!$G$8:$G$68,BD$4-$B80+1)</f>
        <v/>
      </c>
      <c r="BE80" s="153">
        <f>$C80*INDEX(Curves!$G$8:$G$68,BE$4-$B80+1)</f>
        <v/>
      </c>
      <c r="BF80" s="153">
        <f>$C80*INDEX(Curves!$G$8:$G$68,BF$4-$B80+1)</f>
        <v/>
      </c>
      <c r="BG80" s="153">
        <f>$C80*INDEX(Curves!$G$8:$G$68,BG$4-$B80+1)</f>
        <v/>
      </c>
      <c r="BH80" s="153">
        <f>$C80*INDEX(Curves!$G$8:$G$68,BH$4-$B80+1)</f>
        <v/>
      </c>
      <c r="BI80" s="153">
        <f>$C80*INDEX(Curves!$G$8:$G$68,BI$4-$B80+1)</f>
        <v/>
      </c>
      <c r="BJ80" s="153">
        <f>$C80*INDEX(Curves!$G$8:$G$68,BJ$4-$B80+1)</f>
        <v/>
      </c>
      <c r="BK80" s="153">
        <f>$C80*INDEX(Curves!$G$8:$G$68,BK$4-$B80+1)</f>
        <v/>
      </c>
      <c r="BL80" s="153">
        <f>$C80*INDEX(Curves!$G$8:$G$68,BL$4-$B80+1)</f>
        <v/>
      </c>
    </row>
    <row r="81">
      <c r="A81" s="147" t="inlineStr">
        <is>
          <t>Cohort month 9</t>
        </is>
      </c>
      <c r="B81" s="147" t="n">
        <v>9</v>
      </c>
      <c r="C81" s="41">
        <f>INDEX(Ops!$E$9:$BL$9,1,$B81)</f>
        <v/>
      </c>
      <c r="N81" s="153">
        <f>$C81*INDEX(Curves!$G$8:$G$68,N$4-$B81+1)</f>
        <v/>
      </c>
      <c r="O81" s="153">
        <f>$C81*INDEX(Curves!$G$8:$G$68,O$4-$B81+1)</f>
        <v/>
      </c>
      <c r="P81" s="153">
        <f>$C81*INDEX(Curves!$G$8:$G$68,P$4-$B81+1)</f>
        <v/>
      </c>
      <c r="Q81" s="153">
        <f>$C81*INDEX(Curves!$G$8:$G$68,Q$4-$B81+1)</f>
        <v/>
      </c>
      <c r="R81" s="153">
        <f>$C81*INDEX(Curves!$G$8:$G$68,R$4-$B81+1)</f>
        <v/>
      </c>
      <c r="S81" s="153">
        <f>$C81*INDEX(Curves!$G$8:$G$68,S$4-$B81+1)</f>
        <v/>
      </c>
      <c r="T81" s="153">
        <f>$C81*INDEX(Curves!$G$8:$G$68,T$4-$B81+1)</f>
        <v/>
      </c>
      <c r="U81" s="153">
        <f>$C81*INDEX(Curves!$G$8:$G$68,U$4-$B81+1)</f>
        <v/>
      </c>
      <c r="V81" s="153">
        <f>$C81*INDEX(Curves!$G$8:$G$68,V$4-$B81+1)</f>
        <v/>
      </c>
      <c r="W81" s="153">
        <f>$C81*INDEX(Curves!$G$8:$G$68,W$4-$B81+1)</f>
        <v/>
      </c>
      <c r="X81" s="153">
        <f>$C81*INDEX(Curves!$G$8:$G$68,X$4-$B81+1)</f>
        <v/>
      </c>
      <c r="Y81" s="153">
        <f>$C81*INDEX(Curves!$G$8:$G$68,Y$4-$B81+1)</f>
        <v/>
      </c>
      <c r="Z81" s="153">
        <f>$C81*INDEX(Curves!$G$8:$G$68,Z$4-$B81+1)</f>
        <v/>
      </c>
      <c r="AA81" s="153">
        <f>$C81*INDEX(Curves!$G$8:$G$68,AA$4-$B81+1)</f>
        <v/>
      </c>
      <c r="AB81" s="153">
        <f>$C81*INDEX(Curves!$G$8:$G$68,AB$4-$B81+1)</f>
        <v/>
      </c>
      <c r="AC81" s="153">
        <f>$C81*INDEX(Curves!$G$8:$G$68,AC$4-$B81+1)</f>
        <v/>
      </c>
      <c r="AD81" s="153">
        <f>$C81*INDEX(Curves!$G$8:$G$68,AD$4-$B81+1)</f>
        <v/>
      </c>
      <c r="AE81" s="153">
        <f>$C81*INDEX(Curves!$G$8:$G$68,AE$4-$B81+1)</f>
        <v/>
      </c>
      <c r="AF81" s="153">
        <f>$C81*INDEX(Curves!$G$8:$G$68,AF$4-$B81+1)</f>
        <v/>
      </c>
      <c r="AG81" s="153">
        <f>$C81*INDEX(Curves!$G$8:$G$68,AG$4-$B81+1)</f>
        <v/>
      </c>
      <c r="AH81" s="153">
        <f>$C81*INDEX(Curves!$G$8:$G$68,AH$4-$B81+1)</f>
        <v/>
      </c>
      <c r="AI81" s="153">
        <f>$C81*INDEX(Curves!$G$8:$G$68,AI$4-$B81+1)</f>
        <v/>
      </c>
      <c r="AJ81" s="153">
        <f>$C81*INDEX(Curves!$G$8:$G$68,AJ$4-$B81+1)</f>
        <v/>
      </c>
      <c r="AK81" s="153">
        <f>$C81*INDEX(Curves!$G$8:$G$68,AK$4-$B81+1)</f>
        <v/>
      </c>
      <c r="AL81" s="153">
        <f>$C81*INDEX(Curves!$G$8:$G$68,AL$4-$B81+1)</f>
        <v/>
      </c>
      <c r="AM81" s="153">
        <f>$C81*INDEX(Curves!$G$8:$G$68,AM$4-$B81+1)</f>
        <v/>
      </c>
      <c r="AN81" s="153">
        <f>$C81*INDEX(Curves!$G$8:$G$68,AN$4-$B81+1)</f>
        <v/>
      </c>
      <c r="AO81" s="153">
        <f>$C81*INDEX(Curves!$G$8:$G$68,AO$4-$B81+1)</f>
        <v/>
      </c>
      <c r="AP81" s="153">
        <f>$C81*INDEX(Curves!$G$8:$G$68,AP$4-$B81+1)</f>
        <v/>
      </c>
      <c r="AQ81" s="153">
        <f>$C81*INDEX(Curves!$G$8:$G$68,AQ$4-$B81+1)</f>
        <v/>
      </c>
      <c r="AR81" s="153">
        <f>$C81*INDEX(Curves!$G$8:$G$68,AR$4-$B81+1)</f>
        <v/>
      </c>
      <c r="AS81" s="153">
        <f>$C81*INDEX(Curves!$G$8:$G$68,AS$4-$B81+1)</f>
        <v/>
      </c>
      <c r="AT81" s="153">
        <f>$C81*INDEX(Curves!$G$8:$G$68,AT$4-$B81+1)</f>
        <v/>
      </c>
      <c r="AU81" s="153">
        <f>$C81*INDEX(Curves!$G$8:$G$68,AU$4-$B81+1)</f>
        <v/>
      </c>
      <c r="AV81" s="153">
        <f>$C81*INDEX(Curves!$G$8:$G$68,AV$4-$B81+1)</f>
        <v/>
      </c>
      <c r="AW81" s="153">
        <f>$C81*INDEX(Curves!$G$8:$G$68,AW$4-$B81+1)</f>
        <v/>
      </c>
      <c r="AX81" s="153">
        <f>$C81*INDEX(Curves!$G$8:$G$68,AX$4-$B81+1)</f>
        <v/>
      </c>
      <c r="AY81" s="153">
        <f>$C81*INDEX(Curves!$G$8:$G$68,AY$4-$B81+1)</f>
        <v/>
      </c>
      <c r="AZ81" s="153">
        <f>$C81*INDEX(Curves!$G$8:$G$68,AZ$4-$B81+1)</f>
        <v/>
      </c>
      <c r="BA81" s="153">
        <f>$C81*INDEX(Curves!$G$8:$G$68,BA$4-$B81+1)</f>
        <v/>
      </c>
      <c r="BB81" s="153">
        <f>$C81*INDEX(Curves!$G$8:$G$68,BB$4-$B81+1)</f>
        <v/>
      </c>
      <c r="BC81" s="153">
        <f>$C81*INDEX(Curves!$G$8:$G$68,BC$4-$B81+1)</f>
        <v/>
      </c>
      <c r="BD81" s="153">
        <f>$C81*INDEX(Curves!$G$8:$G$68,BD$4-$B81+1)</f>
        <v/>
      </c>
      <c r="BE81" s="153">
        <f>$C81*INDEX(Curves!$G$8:$G$68,BE$4-$B81+1)</f>
        <v/>
      </c>
      <c r="BF81" s="153">
        <f>$C81*INDEX(Curves!$G$8:$G$68,BF$4-$B81+1)</f>
        <v/>
      </c>
      <c r="BG81" s="153">
        <f>$C81*INDEX(Curves!$G$8:$G$68,BG$4-$B81+1)</f>
        <v/>
      </c>
      <c r="BH81" s="153">
        <f>$C81*INDEX(Curves!$G$8:$G$68,BH$4-$B81+1)</f>
        <v/>
      </c>
      <c r="BI81" s="153">
        <f>$C81*INDEX(Curves!$G$8:$G$68,BI$4-$B81+1)</f>
        <v/>
      </c>
      <c r="BJ81" s="153">
        <f>$C81*INDEX(Curves!$G$8:$G$68,BJ$4-$B81+1)</f>
        <v/>
      </c>
      <c r="BK81" s="153">
        <f>$C81*INDEX(Curves!$G$8:$G$68,BK$4-$B81+1)</f>
        <v/>
      </c>
      <c r="BL81" s="153">
        <f>$C81*INDEX(Curves!$G$8:$G$68,BL$4-$B81+1)</f>
        <v/>
      </c>
    </row>
    <row r="82">
      <c r="A82" s="147" t="inlineStr">
        <is>
          <t>Cohort month 10</t>
        </is>
      </c>
      <c r="B82" s="147" t="n">
        <v>10</v>
      </c>
      <c r="C82" s="41">
        <f>INDEX(Ops!$E$9:$BL$9,1,$B82)</f>
        <v/>
      </c>
      <c r="O82" s="153">
        <f>$C82*INDEX(Curves!$G$8:$G$68,O$4-$B82+1)</f>
        <v/>
      </c>
      <c r="P82" s="153">
        <f>$C82*INDEX(Curves!$G$8:$G$68,P$4-$B82+1)</f>
        <v/>
      </c>
      <c r="Q82" s="153">
        <f>$C82*INDEX(Curves!$G$8:$G$68,Q$4-$B82+1)</f>
        <v/>
      </c>
      <c r="R82" s="153">
        <f>$C82*INDEX(Curves!$G$8:$G$68,R$4-$B82+1)</f>
        <v/>
      </c>
      <c r="S82" s="153">
        <f>$C82*INDEX(Curves!$G$8:$G$68,S$4-$B82+1)</f>
        <v/>
      </c>
      <c r="T82" s="153">
        <f>$C82*INDEX(Curves!$G$8:$G$68,T$4-$B82+1)</f>
        <v/>
      </c>
      <c r="U82" s="153">
        <f>$C82*INDEX(Curves!$G$8:$G$68,U$4-$B82+1)</f>
        <v/>
      </c>
      <c r="V82" s="153">
        <f>$C82*INDEX(Curves!$G$8:$G$68,V$4-$B82+1)</f>
        <v/>
      </c>
      <c r="W82" s="153">
        <f>$C82*INDEX(Curves!$G$8:$G$68,W$4-$B82+1)</f>
        <v/>
      </c>
      <c r="X82" s="153">
        <f>$C82*INDEX(Curves!$G$8:$G$68,X$4-$B82+1)</f>
        <v/>
      </c>
      <c r="Y82" s="153">
        <f>$C82*INDEX(Curves!$G$8:$G$68,Y$4-$B82+1)</f>
        <v/>
      </c>
      <c r="Z82" s="153">
        <f>$C82*INDEX(Curves!$G$8:$G$68,Z$4-$B82+1)</f>
        <v/>
      </c>
      <c r="AA82" s="153">
        <f>$C82*INDEX(Curves!$G$8:$G$68,AA$4-$B82+1)</f>
        <v/>
      </c>
      <c r="AB82" s="153">
        <f>$C82*INDEX(Curves!$G$8:$G$68,AB$4-$B82+1)</f>
        <v/>
      </c>
      <c r="AC82" s="153">
        <f>$C82*INDEX(Curves!$G$8:$G$68,AC$4-$B82+1)</f>
        <v/>
      </c>
      <c r="AD82" s="153">
        <f>$C82*INDEX(Curves!$G$8:$G$68,AD$4-$B82+1)</f>
        <v/>
      </c>
      <c r="AE82" s="153">
        <f>$C82*INDEX(Curves!$G$8:$G$68,AE$4-$B82+1)</f>
        <v/>
      </c>
      <c r="AF82" s="153">
        <f>$C82*INDEX(Curves!$G$8:$G$68,AF$4-$B82+1)</f>
        <v/>
      </c>
      <c r="AG82" s="153">
        <f>$C82*INDEX(Curves!$G$8:$G$68,AG$4-$B82+1)</f>
        <v/>
      </c>
      <c r="AH82" s="153">
        <f>$C82*INDEX(Curves!$G$8:$G$68,AH$4-$B82+1)</f>
        <v/>
      </c>
      <c r="AI82" s="153">
        <f>$C82*INDEX(Curves!$G$8:$G$68,AI$4-$B82+1)</f>
        <v/>
      </c>
      <c r="AJ82" s="153">
        <f>$C82*INDEX(Curves!$G$8:$G$68,AJ$4-$B82+1)</f>
        <v/>
      </c>
      <c r="AK82" s="153">
        <f>$C82*INDEX(Curves!$G$8:$G$68,AK$4-$B82+1)</f>
        <v/>
      </c>
      <c r="AL82" s="153">
        <f>$C82*INDEX(Curves!$G$8:$G$68,AL$4-$B82+1)</f>
        <v/>
      </c>
      <c r="AM82" s="153">
        <f>$C82*INDEX(Curves!$G$8:$G$68,AM$4-$B82+1)</f>
        <v/>
      </c>
      <c r="AN82" s="153">
        <f>$C82*INDEX(Curves!$G$8:$G$68,AN$4-$B82+1)</f>
        <v/>
      </c>
      <c r="AO82" s="153">
        <f>$C82*INDEX(Curves!$G$8:$G$68,AO$4-$B82+1)</f>
        <v/>
      </c>
      <c r="AP82" s="153">
        <f>$C82*INDEX(Curves!$G$8:$G$68,AP$4-$B82+1)</f>
        <v/>
      </c>
      <c r="AQ82" s="153">
        <f>$C82*INDEX(Curves!$G$8:$G$68,AQ$4-$B82+1)</f>
        <v/>
      </c>
      <c r="AR82" s="153">
        <f>$C82*INDEX(Curves!$G$8:$G$68,AR$4-$B82+1)</f>
        <v/>
      </c>
      <c r="AS82" s="153">
        <f>$C82*INDEX(Curves!$G$8:$G$68,AS$4-$B82+1)</f>
        <v/>
      </c>
      <c r="AT82" s="153">
        <f>$C82*INDEX(Curves!$G$8:$G$68,AT$4-$B82+1)</f>
        <v/>
      </c>
      <c r="AU82" s="153">
        <f>$C82*INDEX(Curves!$G$8:$G$68,AU$4-$B82+1)</f>
        <v/>
      </c>
      <c r="AV82" s="153">
        <f>$C82*INDEX(Curves!$G$8:$G$68,AV$4-$B82+1)</f>
        <v/>
      </c>
      <c r="AW82" s="153">
        <f>$C82*INDEX(Curves!$G$8:$G$68,AW$4-$B82+1)</f>
        <v/>
      </c>
      <c r="AX82" s="153">
        <f>$C82*INDEX(Curves!$G$8:$G$68,AX$4-$B82+1)</f>
        <v/>
      </c>
      <c r="AY82" s="153">
        <f>$C82*INDEX(Curves!$G$8:$G$68,AY$4-$B82+1)</f>
        <v/>
      </c>
      <c r="AZ82" s="153">
        <f>$C82*INDEX(Curves!$G$8:$G$68,AZ$4-$B82+1)</f>
        <v/>
      </c>
      <c r="BA82" s="153">
        <f>$C82*INDEX(Curves!$G$8:$G$68,BA$4-$B82+1)</f>
        <v/>
      </c>
      <c r="BB82" s="153">
        <f>$C82*INDEX(Curves!$G$8:$G$68,BB$4-$B82+1)</f>
        <v/>
      </c>
      <c r="BC82" s="153">
        <f>$C82*INDEX(Curves!$G$8:$G$68,BC$4-$B82+1)</f>
        <v/>
      </c>
      <c r="BD82" s="153">
        <f>$C82*INDEX(Curves!$G$8:$G$68,BD$4-$B82+1)</f>
        <v/>
      </c>
      <c r="BE82" s="153">
        <f>$C82*INDEX(Curves!$G$8:$G$68,BE$4-$B82+1)</f>
        <v/>
      </c>
      <c r="BF82" s="153">
        <f>$C82*INDEX(Curves!$G$8:$G$68,BF$4-$B82+1)</f>
        <v/>
      </c>
      <c r="BG82" s="153">
        <f>$C82*INDEX(Curves!$G$8:$G$68,BG$4-$B82+1)</f>
        <v/>
      </c>
      <c r="BH82" s="153">
        <f>$C82*INDEX(Curves!$G$8:$G$68,BH$4-$B82+1)</f>
        <v/>
      </c>
      <c r="BI82" s="153">
        <f>$C82*INDEX(Curves!$G$8:$G$68,BI$4-$B82+1)</f>
        <v/>
      </c>
      <c r="BJ82" s="153">
        <f>$C82*INDEX(Curves!$G$8:$G$68,BJ$4-$B82+1)</f>
        <v/>
      </c>
      <c r="BK82" s="153">
        <f>$C82*INDEX(Curves!$G$8:$G$68,BK$4-$B82+1)</f>
        <v/>
      </c>
      <c r="BL82" s="153">
        <f>$C82*INDEX(Curves!$G$8:$G$68,BL$4-$B82+1)</f>
        <v/>
      </c>
    </row>
    <row r="83">
      <c r="A83" s="147" t="inlineStr">
        <is>
          <t>Cohort month 11</t>
        </is>
      </c>
      <c r="B83" s="147" t="n">
        <v>11</v>
      </c>
      <c r="C83" s="41">
        <f>INDEX(Ops!$E$9:$BL$9,1,$B83)</f>
        <v/>
      </c>
      <c r="P83" s="153">
        <f>$C83*INDEX(Curves!$G$8:$G$68,P$4-$B83+1)</f>
        <v/>
      </c>
      <c r="Q83" s="153">
        <f>$C83*INDEX(Curves!$G$8:$G$68,Q$4-$B83+1)</f>
        <v/>
      </c>
      <c r="R83" s="153">
        <f>$C83*INDEX(Curves!$G$8:$G$68,R$4-$B83+1)</f>
        <v/>
      </c>
      <c r="S83" s="153">
        <f>$C83*INDEX(Curves!$G$8:$G$68,S$4-$B83+1)</f>
        <v/>
      </c>
      <c r="T83" s="153">
        <f>$C83*INDEX(Curves!$G$8:$G$68,T$4-$B83+1)</f>
        <v/>
      </c>
      <c r="U83" s="153">
        <f>$C83*INDEX(Curves!$G$8:$G$68,U$4-$B83+1)</f>
        <v/>
      </c>
      <c r="V83" s="153">
        <f>$C83*INDEX(Curves!$G$8:$G$68,V$4-$B83+1)</f>
        <v/>
      </c>
      <c r="W83" s="153">
        <f>$C83*INDEX(Curves!$G$8:$G$68,W$4-$B83+1)</f>
        <v/>
      </c>
      <c r="X83" s="153">
        <f>$C83*INDEX(Curves!$G$8:$G$68,X$4-$B83+1)</f>
        <v/>
      </c>
      <c r="Y83" s="153">
        <f>$C83*INDEX(Curves!$G$8:$G$68,Y$4-$B83+1)</f>
        <v/>
      </c>
      <c r="Z83" s="153">
        <f>$C83*INDEX(Curves!$G$8:$G$68,Z$4-$B83+1)</f>
        <v/>
      </c>
      <c r="AA83" s="153">
        <f>$C83*INDEX(Curves!$G$8:$G$68,AA$4-$B83+1)</f>
        <v/>
      </c>
      <c r="AB83" s="153">
        <f>$C83*INDEX(Curves!$G$8:$G$68,AB$4-$B83+1)</f>
        <v/>
      </c>
      <c r="AC83" s="153">
        <f>$C83*INDEX(Curves!$G$8:$G$68,AC$4-$B83+1)</f>
        <v/>
      </c>
      <c r="AD83" s="153">
        <f>$C83*INDEX(Curves!$G$8:$G$68,AD$4-$B83+1)</f>
        <v/>
      </c>
      <c r="AE83" s="153">
        <f>$C83*INDEX(Curves!$G$8:$G$68,AE$4-$B83+1)</f>
        <v/>
      </c>
      <c r="AF83" s="153">
        <f>$C83*INDEX(Curves!$G$8:$G$68,AF$4-$B83+1)</f>
        <v/>
      </c>
      <c r="AG83" s="153">
        <f>$C83*INDEX(Curves!$G$8:$G$68,AG$4-$B83+1)</f>
        <v/>
      </c>
      <c r="AH83" s="153">
        <f>$C83*INDEX(Curves!$G$8:$G$68,AH$4-$B83+1)</f>
        <v/>
      </c>
      <c r="AI83" s="153">
        <f>$C83*INDEX(Curves!$G$8:$G$68,AI$4-$B83+1)</f>
        <v/>
      </c>
      <c r="AJ83" s="153">
        <f>$C83*INDEX(Curves!$G$8:$G$68,AJ$4-$B83+1)</f>
        <v/>
      </c>
      <c r="AK83" s="153">
        <f>$C83*INDEX(Curves!$G$8:$G$68,AK$4-$B83+1)</f>
        <v/>
      </c>
      <c r="AL83" s="153">
        <f>$C83*INDEX(Curves!$G$8:$G$68,AL$4-$B83+1)</f>
        <v/>
      </c>
      <c r="AM83" s="153">
        <f>$C83*INDEX(Curves!$G$8:$G$68,AM$4-$B83+1)</f>
        <v/>
      </c>
      <c r="AN83" s="153">
        <f>$C83*INDEX(Curves!$G$8:$G$68,AN$4-$B83+1)</f>
        <v/>
      </c>
      <c r="AO83" s="153">
        <f>$C83*INDEX(Curves!$G$8:$G$68,AO$4-$B83+1)</f>
        <v/>
      </c>
      <c r="AP83" s="153">
        <f>$C83*INDEX(Curves!$G$8:$G$68,AP$4-$B83+1)</f>
        <v/>
      </c>
      <c r="AQ83" s="153">
        <f>$C83*INDEX(Curves!$G$8:$G$68,AQ$4-$B83+1)</f>
        <v/>
      </c>
      <c r="AR83" s="153">
        <f>$C83*INDEX(Curves!$G$8:$G$68,AR$4-$B83+1)</f>
        <v/>
      </c>
      <c r="AS83" s="153">
        <f>$C83*INDEX(Curves!$G$8:$G$68,AS$4-$B83+1)</f>
        <v/>
      </c>
      <c r="AT83" s="153">
        <f>$C83*INDEX(Curves!$G$8:$G$68,AT$4-$B83+1)</f>
        <v/>
      </c>
      <c r="AU83" s="153">
        <f>$C83*INDEX(Curves!$G$8:$G$68,AU$4-$B83+1)</f>
        <v/>
      </c>
      <c r="AV83" s="153">
        <f>$C83*INDEX(Curves!$G$8:$G$68,AV$4-$B83+1)</f>
        <v/>
      </c>
      <c r="AW83" s="153">
        <f>$C83*INDEX(Curves!$G$8:$G$68,AW$4-$B83+1)</f>
        <v/>
      </c>
      <c r="AX83" s="153">
        <f>$C83*INDEX(Curves!$G$8:$G$68,AX$4-$B83+1)</f>
        <v/>
      </c>
      <c r="AY83" s="153">
        <f>$C83*INDEX(Curves!$G$8:$G$68,AY$4-$B83+1)</f>
        <v/>
      </c>
      <c r="AZ83" s="153">
        <f>$C83*INDEX(Curves!$G$8:$G$68,AZ$4-$B83+1)</f>
        <v/>
      </c>
      <c r="BA83" s="153">
        <f>$C83*INDEX(Curves!$G$8:$G$68,BA$4-$B83+1)</f>
        <v/>
      </c>
      <c r="BB83" s="153">
        <f>$C83*INDEX(Curves!$G$8:$G$68,BB$4-$B83+1)</f>
        <v/>
      </c>
      <c r="BC83" s="153">
        <f>$C83*INDEX(Curves!$G$8:$G$68,BC$4-$B83+1)</f>
        <v/>
      </c>
      <c r="BD83" s="153">
        <f>$C83*INDEX(Curves!$G$8:$G$68,BD$4-$B83+1)</f>
        <v/>
      </c>
      <c r="BE83" s="153">
        <f>$C83*INDEX(Curves!$G$8:$G$68,BE$4-$B83+1)</f>
        <v/>
      </c>
      <c r="BF83" s="153">
        <f>$C83*INDEX(Curves!$G$8:$G$68,BF$4-$B83+1)</f>
        <v/>
      </c>
      <c r="BG83" s="153">
        <f>$C83*INDEX(Curves!$G$8:$G$68,BG$4-$B83+1)</f>
        <v/>
      </c>
      <c r="BH83" s="153">
        <f>$C83*INDEX(Curves!$G$8:$G$68,BH$4-$B83+1)</f>
        <v/>
      </c>
      <c r="BI83" s="153">
        <f>$C83*INDEX(Curves!$G$8:$G$68,BI$4-$B83+1)</f>
        <v/>
      </c>
      <c r="BJ83" s="153">
        <f>$C83*INDEX(Curves!$G$8:$G$68,BJ$4-$B83+1)</f>
        <v/>
      </c>
      <c r="BK83" s="153">
        <f>$C83*INDEX(Curves!$G$8:$G$68,BK$4-$B83+1)</f>
        <v/>
      </c>
      <c r="BL83" s="153">
        <f>$C83*INDEX(Curves!$G$8:$G$68,BL$4-$B83+1)</f>
        <v/>
      </c>
    </row>
    <row r="84">
      <c r="A84" s="147" t="inlineStr">
        <is>
          <t>Cohort month 12</t>
        </is>
      </c>
      <c r="B84" s="147" t="n">
        <v>12</v>
      </c>
      <c r="C84" s="41">
        <f>INDEX(Ops!$E$9:$BL$9,1,$B84)</f>
        <v/>
      </c>
      <c r="Q84" s="153">
        <f>$C84*INDEX(Curves!$G$8:$G$68,Q$4-$B84+1)</f>
        <v/>
      </c>
      <c r="R84" s="153">
        <f>$C84*INDEX(Curves!$G$8:$G$68,R$4-$B84+1)</f>
        <v/>
      </c>
      <c r="S84" s="153">
        <f>$C84*INDEX(Curves!$G$8:$G$68,S$4-$B84+1)</f>
        <v/>
      </c>
      <c r="T84" s="153">
        <f>$C84*INDEX(Curves!$G$8:$G$68,T$4-$B84+1)</f>
        <v/>
      </c>
      <c r="U84" s="153">
        <f>$C84*INDEX(Curves!$G$8:$G$68,U$4-$B84+1)</f>
        <v/>
      </c>
      <c r="V84" s="153">
        <f>$C84*INDEX(Curves!$G$8:$G$68,V$4-$B84+1)</f>
        <v/>
      </c>
      <c r="W84" s="153">
        <f>$C84*INDEX(Curves!$G$8:$G$68,W$4-$B84+1)</f>
        <v/>
      </c>
      <c r="X84" s="153">
        <f>$C84*INDEX(Curves!$G$8:$G$68,X$4-$B84+1)</f>
        <v/>
      </c>
      <c r="Y84" s="153">
        <f>$C84*INDEX(Curves!$G$8:$G$68,Y$4-$B84+1)</f>
        <v/>
      </c>
      <c r="Z84" s="153">
        <f>$C84*INDEX(Curves!$G$8:$G$68,Z$4-$B84+1)</f>
        <v/>
      </c>
      <c r="AA84" s="153">
        <f>$C84*INDEX(Curves!$G$8:$G$68,AA$4-$B84+1)</f>
        <v/>
      </c>
      <c r="AB84" s="153">
        <f>$C84*INDEX(Curves!$G$8:$G$68,AB$4-$B84+1)</f>
        <v/>
      </c>
      <c r="AC84" s="153">
        <f>$C84*INDEX(Curves!$G$8:$G$68,AC$4-$B84+1)</f>
        <v/>
      </c>
      <c r="AD84" s="153">
        <f>$C84*INDEX(Curves!$G$8:$G$68,AD$4-$B84+1)</f>
        <v/>
      </c>
      <c r="AE84" s="153">
        <f>$C84*INDEX(Curves!$G$8:$G$68,AE$4-$B84+1)</f>
        <v/>
      </c>
      <c r="AF84" s="153">
        <f>$C84*INDEX(Curves!$G$8:$G$68,AF$4-$B84+1)</f>
        <v/>
      </c>
      <c r="AG84" s="153">
        <f>$C84*INDEX(Curves!$G$8:$G$68,AG$4-$B84+1)</f>
        <v/>
      </c>
      <c r="AH84" s="153">
        <f>$C84*INDEX(Curves!$G$8:$G$68,AH$4-$B84+1)</f>
        <v/>
      </c>
      <c r="AI84" s="153">
        <f>$C84*INDEX(Curves!$G$8:$G$68,AI$4-$B84+1)</f>
        <v/>
      </c>
      <c r="AJ84" s="153">
        <f>$C84*INDEX(Curves!$G$8:$G$68,AJ$4-$B84+1)</f>
        <v/>
      </c>
      <c r="AK84" s="153">
        <f>$C84*INDEX(Curves!$G$8:$G$68,AK$4-$B84+1)</f>
        <v/>
      </c>
      <c r="AL84" s="153">
        <f>$C84*INDEX(Curves!$G$8:$G$68,AL$4-$B84+1)</f>
        <v/>
      </c>
      <c r="AM84" s="153">
        <f>$C84*INDEX(Curves!$G$8:$G$68,AM$4-$B84+1)</f>
        <v/>
      </c>
      <c r="AN84" s="153">
        <f>$C84*INDEX(Curves!$G$8:$G$68,AN$4-$B84+1)</f>
        <v/>
      </c>
      <c r="AO84" s="153">
        <f>$C84*INDEX(Curves!$G$8:$G$68,AO$4-$B84+1)</f>
        <v/>
      </c>
      <c r="AP84" s="153">
        <f>$C84*INDEX(Curves!$G$8:$G$68,AP$4-$B84+1)</f>
        <v/>
      </c>
      <c r="AQ84" s="153">
        <f>$C84*INDEX(Curves!$G$8:$G$68,AQ$4-$B84+1)</f>
        <v/>
      </c>
      <c r="AR84" s="153">
        <f>$C84*INDEX(Curves!$G$8:$G$68,AR$4-$B84+1)</f>
        <v/>
      </c>
      <c r="AS84" s="153">
        <f>$C84*INDEX(Curves!$G$8:$G$68,AS$4-$B84+1)</f>
        <v/>
      </c>
      <c r="AT84" s="153">
        <f>$C84*INDEX(Curves!$G$8:$G$68,AT$4-$B84+1)</f>
        <v/>
      </c>
      <c r="AU84" s="153">
        <f>$C84*INDEX(Curves!$G$8:$G$68,AU$4-$B84+1)</f>
        <v/>
      </c>
      <c r="AV84" s="153">
        <f>$C84*INDEX(Curves!$G$8:$G$68,AV$4-$B84+1)</f>
        <v/>
      </c>
      <c r="AW84" s="153">
        <f>$C84*INDEX(Curves!$G$8:$G$68,AW$4-$B84+1)</f>
        <v/>
      </c>
      <c r="AX84" s="153">
        <f>$C84*INDEX(Curves!$G$8:$G$68,AX$4-$B84+1)</f>
        <v/>
      </c>
      <c r="AY84" s="153">
        <f>$C84*INDEX(Curves!$G$8:$G$68,AY$4-$B84+1)</f>
        <v/>
      </c>
      <c r="AZ84" s="153">
        <f>$C84*INDEX(Curves!$G$8:$G$68,AZ$4-$B84+1)</f>
        <v/>
      </c>
      <c r="BA84" s="153">
        <f>$C84*INDEX(Curves!$G$8:$G$68,BA$4-$B84+1)</f>
        <v/>
      </c>
      <c r="BB84" s="153">
        <f>$C84*INDEX(Curves!$G$8:$G$68,BB$4-$B84+1)</f>
        <v/>
      </c>
      <c r="BC84" s="153">
        <f>$C84*INDEX(Curves!$G$8:$G$68,BC$4-$B84+1)</f>
        <v/>
      </c>
      <c r="BD84" s="153">
        <f>$C84*INDEX(Curves!$G$8:$G$68,BD$4-$B84+1)</f>
        <v/>
      </c>
      <c r="BE84" s="153">
        <f>$C84*INDEX(Curves!$G$8:$G$68,BE$4-$B84+1)</f>
        <v/>
      </c>
      <c r="BF84" s="153">
        <f>$C84*INDEX(Curves!$G$8:$G$68,BF$4-$B84+1)</f>
        <v/>
      </c>
      <c r="BG84" s="153">
        <f>$C84*INDEX(Curves!$G$8:$G$68,BG$4-$B84+1)</f>
        <v/>
      </c>
      <c r="BH84" s="153">
        <f>$C84*INDEX(Curves!$G$8:$G$68,BH$4-$B84+1)</f>
        <v/>
      </c>
      <c r="BI84" s="153">
        <f>$C84*INDEX(Curves!$G$8:$G$68,BI$4-$B84+1)</f>
        <v/>
      </c>
      <c r="BJ84" s="153">
        <f>$C84*INDEX(Curves!$G$8:$G$68,BJ$4-$B84+1)</f>
        <v/>
      </c>
      <c r="BK84" s="153">
        <f>$C84*INDEX(Curves!$G$8:$G$68,BK$4-$B84+1)</f>
        <v/>
      </c>
      <c r="BL84" s="153">
        <f>$C84*INDEX(Curves!$G$8:$G$68,BL$4-$B84+1)</f>
        <v/>
      </c>
    </row>
    <row r="85">
      <c r="A85" s="147" t="inlineStr">
        <is>
          <t>Cohort month 13</t>
        </is>
      </c>
      <c r="B85" s="147" t="n">
        <v>13</v>
      </c>
      <c r="C85" s="41">
        <f>INDEX(Ops!$E$9:$BL$9,1,$B85)</f>
        <v/>
      </c>
      <c r="R85" s="153">
        <f>$C85*INDEX(Curves!$G$8:$G$68,R$4-$B85+1)</f>
        <v/>
      </c>
      <c r="S85" s="153">
        <f>$C85*INDEX(Curves!$G$8:$G$68,S$4-$B85+1)</f>
        <v/>
      </c>
      <c r="T85" s="153">
        <f>$C85*INDEX(Curves!$G$8:$G$68,T$4-$B85+1)</f>
        <v/>
      </c>
      <c r="U85" s="153">
        <f>$C85*INDEX(Curves!$G$8:$G$68,U$4-$B85+1)</f>
        <v/>
      </c>
      <c r="V85" s="153">
        <f>$C85*INDEX(Curves!$G$8:$G$68,V$4-$B85+1)</f>
        <v/>
      </c>
      <c r="W85" s="153">
        <f>$C85*INDEX(Curves!$G$8:$G$68,W$4-$B85+1)</f>
        <v/>
      </c>
      <c r="X85" s="153">
        <f>$C85*INDEX(Curves!$G$8:$G$68,X$4-$B85+1)</f>
        <v/>
      </c>
      <c r="Y85" s="153">
        <f>$C85*INDEX(Curves!$G$8:$G$68,Y$4-$B85+1)</f>
        <v/>
      </c>
      <c r="Z85" s="153">
        <f>$C85*INDEX(Curves!$G$8:$G$68,Z$4-$B85+1)</f>
        <v/>
      </c>
      <c r="AA85" s="153">
        <f>$C85*INDEX(Curves!$G$8:$G$68,AA$4-$B85+1)</f>
        <v/>
      </c>
      <c r="AB85" s="153">
        <f>$C85*INDEX(Curves!$G$8:$G$68,AB$4-$B85+1)</f>
        <v/>
      </c>
      <c r="AC85" s="153">
        <f>$C85*INDEX(Curves!$G$8:$G$68,AC$4-$B85+1)</f>
        <v/>
      </c>
      <c r="AD85" s="153">
        <f>$C85*INDEX(Curves!$G$8:$G$68,AD$4-$B85+1)</f>
        <v/>
      </c>
      <c r="AE85" s="153">
        <f>$C85*INDEX(Curves!$G$8:$G$68,AE$4-$B85+1)</f>
        <v/>
      </c>
      <c r="AF85" s="153">
        <f>$C85*INDEX(Curves!$G$8:$G$68,AF$4-$B85+1)</f>
        <v/>
      </c>
      <c r="AG85" s="153">
        <f>$C85*INDEX(Curves!$G$8:$G$68,AG$4-$B85+1)</f>
        <v/>
      </c>
      <c r="AH85" s="153">
        <f>$C85*INDEX(Curves!$G$8:$G$68,AH$4-$B85+1)</f>
        <v/>
      </c>
      <c r="AI85" s="153">
        <f>$C85*INDEX(Curves!$G$8:$G$68,AI$4-$B85+1)</f>
        <v/>
      </c>
      <c r="AJ85" s="153">
        <f>$C85*INDEX(Curves!$G$8:$G$68,AJ$4-$B85+1)</f>
        <v/>
      </c>
      <c r="AK85" s="153">
        <f>$C85*INDEX(Curves!$G$8:$G$68,AK$4-$B85+1)</f>
        <v/>
      </c>
      <c r="AL85" s="153">
        <f>$C85*INDEX(Curves!$G$8:$G$68,AL$4-$B85+1)</f>
        <v/>
      </c>
      <c r="AM85" s="153">
        <f>$C85*INDEX(Curves!$G$8:$G$68,AM$4-$B85+1)</f>
        <v/>
      </c>
      <c r="AN85" s="153">
        <f>$C85*INDEX(Curves!$G$8:$G$68,AN$4-$B85+1)</f>
        <v/>
      </c>
      <c r="AO85" s="153">
        <f>$C85*INDEX(Curves!$G$8:$G$68,AO$4-$B85+1)</f>
        <v/>
      </c>
      <c r="AP85" s="153">
        <f>$C85*INDEX(Curves!$G$8:$G$68,AP$4-$B85+1)</f>
        <v/>
      </c>
      <c r="AQ85" s="153">
        <f>$C85*INDEX(Curves!$G$8:$G$68,AQ$4-$B85+1)</f>
        <v/>
      </c>
      <c r="AR85" s="153">
        <f>$C85*INDEX(Curves!$G$8:$G$68,AR$4-$B85+1)</f>
        <v/>
      </c>
      <c r="AS85" s="153">
        <f>$C85*INDEX(Curves!$G$8:$G$68,AS$4-$B85+1)</f>
        <v/>
      </c>
      <c r="AT85" s="153">
        <f>$C85*INDEX(Curves!$G$8:$G$68,AT$4-$B85+1)</f>
        <v/>
      </c>
      <c r="AU85" s="153">
        <f>$C85*INDEX(Curves!$G$8:$G$68,AU$4-$B85+1)</f>
        <v/>
      </c>
      <c r="AV85" s="153">
        <f>$C85*INDEX(Curves!$G$8:$G$68,AV$4-$B85+1)</f>
        <v/>
      </c>
      <c r="AW85" s="153">
        <f>$C85*INDEX(Curves!$G$8:$G$68,AW$4-$B85+1)</f>
        <v/>
      </c>
      <c r="AX85" s="153">
        <f>$C85*INDEX(Curves!$G$8:$G$68,AX$4-$B85+1)</f>
        <v/>
      </c>
      <c r="AY85" s="153">
        <f>$C85*INDEX(Curves!$G$8:$G$68,AY$4-$B85+1)</f>
        <v/>
      </c>
      <c r="AZ85" s="153">
        <f>$C85*INDEX(Curves!$G$8:$G$68,AZ$4-$B85+1)</f>
        <v/>
      </c>
      <c r="BA85" s="153">
        <f>$C85*INDEX(Curves!$G$8:$G$68,BA$4-$B85+1)</f>
        <v/>
      </c>
      <c r="BB85" s="153">
        <f>$C85*INDEX(Curves!$G$8:$G$68,BB$4-$B85+1)</f>
        <v/>
      </c>
      <c r="BC85" s="153">
        <f>$C85*INDEX(Curves!$G$8:$G$68,BC$4-$B85+1)</f>
        <v/>
      </c>
      <c r="BD85" s="153">
        <f>$C85*INDEX(Curves!$G$8:$G$68,BD$4-$B85+1)</f>
        <v/>
      </c>
      <c r="BE85" s="153">
        <f>$C85*INDEX(Curves!$G$8:$G$68,BE$4-$B85+1)</f>
        <v/>
      </c>
      <c r="BF85" s="153">
        <f>$C85*INDEX(Curves!$G$8:$G$68,BF$4-$B85+1)</f>
        <v/>
      </c>
      <c r="BG85" s="153">
        <f>$C85*INDEX(Curves!$G$8:$G$68,BG$4-$B85+1)</f>
        <v/>
      </c>
      <c r="BH85" s="153">
        <f>$C85*INDEX(Curves!$G$8:$G$68,BH$4-$B85+1)</f>
        <v/>
      </c>
      <c r="BI85" s="153">
        <f>$C85*INDEX(Curves!$G$8:$G$68,BI$4-$B85+1)</f>
        <v/>
      </c>
      <c r="BJ85" s="153">
        <f>$C85*INDEX(Curves!$G$8:$G$68,BJ$4-$B85+1)</f>
        <v/>
      </c>
      <c r="BK85" s="153">
        <f>$C85*INDEX(Curves!$G$8:$G$68,BK$4-$B85+1)</f>
        <v/>
      </c>
      <c r="BL85" s="153">
        <f>$C85*INDEX(Curves!$G$8:$G$68,BL$4-$B85+1)</f>
        <v/>
      </c>
    </row>
    <row r="86">
      <c r="A86" s="147" t="inlineStr">
        <is>
          <t>Cohort month 14</t>
        </is>
      </c>
      <c r="B86" s="147" t="n">
        <v>14</v>
      </c>
      <c r="C86" s="41">
        <f>INDEX(Ops!$E$9:$BL$9,1,$B86)</f>
        <v/>
      </c>
      <c r="S86" s="153">
        <f>$C86*INDEX(Curves!$G$8:$G$68,S$4-$B86+1)</f>
        <v/>
      </c>
      <c r="T86" s="153">
        <f>$C86*INDEX(Curves!$G$8:$G$68,T$4-$B86+1)</f>
        <v/>
      </c>
      <c r="U86" s="153">
        <f>$C86*INDEX(Curves!$G$8:$G$68,U$4-$B86+1)</f>
        <v/>
      </c>
      <c r="V86" s="153">
        <f>$C86*INDEX(Curves!$G$8:$G$68,V$4-$B86+1)</f>
        <v/>
      </c>
      <c r="W86" s="153">
        <f>$C86*INDEX(Curves!$G$8:$G$68,W$4-$B86+1)</f>
        <v/>
      </c>
      <c r="X86" s="153">
        <f>$C86*INDEX(Curves!$G$8:$G$68,X$4-$B86+1)</f>
        <v/>
      </c>
      <c r="Y86" s="153">
        <f>$C86*INDEX(Curves!$G$8:$G$68,Y$4-$B86+1)</f>
        <v/>
      </c>
      <c r="Z86" s="153">
        <f>$C86*INDEX(Curves!$G$8:$G$68,Z$4-$B86+1)</f>
        <v/>
      </c>
      <c r="AA86" s="153">
        <f>$C86*INDEX(Curves!$G$8:$G$68,AA$4-$B86+1)</f>
        <v/>
      </c>
      <c r="AB86" s="153">
        <f>$C86*INDEX(Curves!$G$8:$G$68,AB$4-$B86+1)</f>
        <v/>
      </c>
      <c r="AC86" s="153">
        <f>$C86*INDEX(Curves!$G$8:$G$68,AC$4-$B86+1)</f>
        <v/>
      </c>
      <c r="AD86" s="153">
        <f>$C86*INDEX(Curves!$G$8:$G$68,AD$4-$B86+1)</f>
        <v/>
      </c>
      <c r="AE86" s="153">
        <f>$C86*INDEX(Curves!$G$8:$G$68,AE$4-$B86+1)</f>
        <v/>
      </c>
      <c r="AF86" s="153">
        <f>$C86*INDEX(Curves!$G$8:$G$68,AF$4-$B86+1)</f>
        <v/>
      </c>
      <c r="AG86" s="153">
        <f>$C86*INDEX(Curves!$G$8:$G$68,AG$4-$B86+1)</f>
        <v/>
      </c>
      <c r="AH86" s="153">
        <f>$C86*INDEX(Curves!$G$8:$G$68,AH$4-$B86+1)</f>
        <v/>
      </c>
      <c r="AI86" s="153">
        <f>$C86*INDEX(Curves!$G$8:$G$68,AI$4-$B86+1)</f>
        <v/>
      </c>
      <c r="AJ86" s="153">
        <f>$C86*INDEX(Curves!$G$8:$G$68,AJ$4-$B86+1)</f>
        <v/>
      </c>
      <c r="AK86" s="153">
        <f>$C86*INDEX(Curves!$G$8:$G$68,AK$4-$B86+1)</f>
        <v/>
      </c>
      <c r="AL86" s="153">
        <f>$C86*INDEX(Curves!$G$8:$G$68,AL$4-$B86+1)</f>
        <v/>
      </c>
      <c r="AM86" s="153">
        <f>$C86*INDEX(Curves!$G$8:$G$68,AM$4-$B86+1)</f>
        <v/>
      </c>
      <c r="AN86" s="153">
        <f>$C86*INDEX(Curves!$G$8:$G$68,AN$4-$B86+1)</f>
        <v/>
      </c>
      <c r="AO86" s="153">
        <f>$C86*INDEX(Curves!$G$8:$G$68,AO$4-$B86+1)</f>
        <v/>
      </c>
      <c r="AP86" s="153">
        <f>$C86*INDEX(Curves!$G$8:$G$68,AP$4-$B86+1)</f>
        <v/>
      </c>
      <c r="AQ86" s="153">
        <f>$C86*INDEX(Curves!$G$8:$G$68,AQ$4-$B86+1)</f>
        <v/>
      </c>
      <c r="AR86" s="153">
        <f>$C86*INDEX(Curves!$G$8:$G$68,AR$4-$B86+1)</f>
        <v/>
      </c>
      <c r="AS86" s="153">
        <f>$C86*INDEX(Curves!$G$8:$G$68,AS$4-$B86+1)</f>
        <v/>
      </c>
      <c r="AT86" s="153">
        <f>$C86*INDEX(Curves!$G$8:$G$68,AT$4-$B86+1)</f>
        <v/>
      </c>
      <c r="AU86" s="153">
        <f>$C86*INDEX(Curves!$G$8:$G$68,AU$4-$B86+1)</f>
        <v/>
      </c>
      <c r="AV86" s="153">
        <f>$C86*INDEX(Curves!$G$8:$G$68,AV$4-$B86+1)</f>
        <v/>
      </c>
      <c r="AW86" s="153">
        <f>$C86*INDEX(Curves!$G$8:$G$68,AW$4-$B86+1)</f>
        <v/>
      </c>
      <c r="AX86" s="153">
        <f>$C86*INDEX(Curves!$G$8:$G$68,AX$4-$B86+1)</f>
        <v/>
      </c>
      <c r="AY86" s="153">
        <f>$C86*INDEX(Curves!$G$8:$G$68,AY$4-$B86+1)</f>
        <v/>
      </c>
      <c r="AZ86" s="153">
        <f>$C86*INDEX(Curves!$G$8:$G$68,AZ$4-$B86+1)</f>
        <v/>
      </c>
      <c r="BA86" s="153">
        <f>$C86*INDEX(Curves!$G$8:$G$68,BA$4-$B86+1)</f>
        <v/>
      </c>
      <c r="BB86" s="153">
        <f>$C86*INDEX(Curves!$G$8:$G$68,BB$4-$B86+1)</f>
        <v/>
      </c>
      <c r="BC86" s="153">
        <f>$C86*INDEX(Curves!$G$8:$G$68,BC$4-$B86+1)</f>
        <v/>
      </c>
      <c r="BD86" s="153">
        <f>$C86*INDEX(Curves!$G$8:$G$68,BD$4-$B86+1)</f>
        <v/>
      </c>
      <c r="BE86" s="153">
        <f>$C86*INDEX(Curves!$G$8:$G$68,BE$4-$B86+1)</f>
        <v/>
      </c>
      <c r="BF86" s="153">
        <f>$C86*INDEX(Curves!$G$8:$G$68,BF$4-$B86+1)</f>
        <v/>
      </c>
      <c r="BG86" s="153">
        <f>$C86*INDEX(Curves!$G$8:$G$68,BG$4-$B86+1)</f>
        <v/>
      </c>
      <c r="BH86" s="153">
        <f>$C86*INDEX(Curves!$G$8:$G$68,BH$4-$B86+1)</f>
        <v/>
      </c>
      <c r="BI86" s="153">
        <f>$C86*INDEX(Curves!$G$8:$G$68,BI$4-$B86+1)</f>
        <v/>
      </c>
      <c r="BJ86" s="153">
        <f>$C86*INDEX(Curves!$G$8:$G$68,BJ$4-$B86+1)</f>
        <v/>
      </c>
      <c r="BK86" s="153">
        <f>$C86*INDEX(Curves!$G$8:$G$68,BK$4-$B86+1)</f>
        <v/>
      </c>
      <c r="BL86" s="153">
        <f>$C86*INDEX(Curves!$G$8:$G$68,BL$4-$B86+1)</f>
        <v/>
      </c>
    </row>
    <row r="87">
      <c r="A87" s="147" t="inlineStr">
        <is>
          <t>Cohort month 15</t>
        </is>
      </c>
      <c r="B87" s="147" t="n">
        <v>15</v>
      </c>
      <c r="C87" s="41">
        <f>INDEX(Ops!$E$9:$BL$9,1,$B87)</f>
        <v/>
      </c>
      <c r="T87" s="153">
        <f>$C87*INDEX(Curves!$G$8:$G$68,T$4-$B87+1)</f>
        <v/>
      </c>
      <c r="U87" s="153">
        <f>$C87*INDEX(Curves!$G$8:$G$68,U$4-$B87+1)</f>
        <v/>
      </c>
      <c r="V87" s="153">
        <f>$C87*INDEX(Curves!$G$8:$G$68,V$4-$B87+1)</f>
        <v/>
      </c>
      <c r="W87" s="153">
        <f>$C87*INDEX(Curves!$G$8:$G$68,W$4-$B87+1)</f>
        <v/>
      </c>
      <c r="X87" s="153">
        <f>$C87*INDEX(Curves!$G$8:$G$68,X$4-$B87+1)</f>
        <v/>
      </c>
      <c r="Y87" s="153">
        <f>$C87*INDEX(Curves!$G$8:$G$68,Y$4-$B87+1)</f>
        <v/>
      </c>
      <c r="Z87" s="153">
        <f>$C87*INDEX(Curves!$G$8:$G$68,Z$4-$B87+1)</f>
        <v/>
      </c>
      <c r="AA87" s="153">
        <f>$C87*INDEX(Curves!$G$8:$G$68,AA$4-$B87+1)</f>
        <v/>
      </c>
      <c r="AB87" s="153">
        <f>$C87*INDEX(Curves!$G$8:$G$68,AB$4-$B87+1)</f>
        <v/>
      </c>
      <c r="AC87" s="153">
        <f>$C87*INDEX(Curves!$G$8:$G$68,AC$4-$B87+1)</f>
        <v/>
      </c>
      <c r="AD87" s="153">
        <f>$C87*INDEX(Curves!$G$8:$G$68,AD$4-$B87+1)</f>
        <v/>
      </c>
      <c r="AE87" s="153">
        <f>$C87*INDEX(Curves!$G$8:$G$68,AE$4-$B87+1)</f>
        <v/>
      </c>
      <c r="AF87" s="153">
        <f>$C87*INDEX(Curves!$G$8:$G$68,AF$4-$B87+1)</f>
        <v/>
      </c>
      <c r="AG87" s="153">
        <f>$C87*INDEX(Curves!$G$8:$G$68,AG$4-$B87+1)</f>
        <v/>
      </c>
      <c r="AH87" s="153">
        <f>$C87*INDEX(Curves!$G$8:$G$68,AH$4-$B87+1)</f>
        <v/>
      </c>
      <c r="AI87" s="153">
        <f>$C87*INDEX(Curves!$G$8:$G$68,AI$4-$B87+1)</f>
        <v/>
      </c>
      <c r="AJ87" s="153">
        <f>$C87*INDEX(Curves!$G$8:$G$68,AJ$4-$B87+1)</f>
        <v/>
      </c>
      <c r="AK87" s="153">
        <f>$C87*INDEX(Curves!$G$8:$G$68,AK$4-$B87+1)</f>
        <v/>
      </c>
      <c r="AL87" s="153">
        <f>$C87*INDEX(Curves!$G$8:$G$68,AL$4-$B87+1)</f>
        <v/>
      </c>
      <c r="AM87" s="153">
        <f>$C87*INDEX(Curves!$G$8:$G$68,AM$4-$B87+1)</f>
        <v/>
      </c>
      <c r="AN87" s="153">
        <f>$C87*INDEX(Curves!$G$8:$G$68,AN$4-$B87+1)</f>
        <v/>
      </c>
      <c r="AO87" s="153">
        <f>$C87*INDEX(Curves!$G$8:$G$68,AO$4-$B87+1)</f>
        <v/>
      </c>
      <c r="AP87" s="153">
        <f>$C87*INDEX(Curves!$G$8:$G$68,AP$4-$B87+1)</f>
        <v/>
      </c>
      <c r="AQ87" s="153">
        <f>$C87*INDEX(Curves!$G$8:$G$68,AQ$4-$B87+1)</f>
        <v/>
      </c>
      <c r="AR87" s="153">
        <f>$C87*INDEX(Curves!$G$8:$G$68,AR$4-$B87+1)</f>
        <v/>
      </c>
      <c r="AS87" s="153">
        <f>$C87*INDEX(Curves!$G$8:$G$68,AS$4-$B87+1)</f>
        <v/>
      </c>
      <c r="AT87" s="153">
        <f>$C87*INDEX(Curves!$G$8:$G$68,AT$4-$B87+1)</f>
        <v/>
      </c>
      <c r="AU87" s="153">
        <f>$C87*INDEX(Curves!$G$8:$G$68,AU$4-$B87+1)</f>
        <v/>
      </c>
      <c r="AV87" s="153">
        <f>$C87*INDEX(Curves!$G$8:$G$68,AV$4-$B87+1)</f>
        <v/>
      </c>
      <c r="AW87" s="153">
        <f>$C87*INDEX(Curves!$G$8:$G$68,AW$4-$B87+1)</f>
        <v/>
      </c>
      <c r="AX87" s="153">
        <f>$C87*INDEX(Curves!$G$8:$G$68,AX$4-$B87+1)</f>
        <v/>
      </c>
      <c r="AY87" s="153">
        <f>$C87*INDEX(Curves!$G$8:$G$68,AY$4-$B87+1)</f>
        <v/>
      </c>
      <c r="AZ87" s="153">
        <f>$C87*INDEX(Curves!$G$8:$G$68,AZ$4-$B87+1)</f>
        <v/>
      </c>
      <c r="BA87" s="153">
        <f>$C87*INDEX(Curves!$G$8:$G$68,BA$4-$B87+1)</f>
        <v/>
      </c>
      <c r="BB87" s="153">
        <f>$C87*INDEX(Curves!$G$8:$G$68,BB$4-$B87+1)</f>
        <v/>
      </c>
      <c r="BC87" s="153">
        <f>$C87*INDEX(Curves!$G$8:$G$68,BC$4-$B87+1)</f>
        <v/>
      </c>
      <c r="BD87" s="153">
        <f>$C87*INDEX(Curves!$G$8:$G$68,BD$4-$B87+1)</f>
        <v/>
      </c>
      <c r="BE87" s="153">
        <f>$C87*INDEX(Curves!$G$8:$G$68,BE$4-$B87+1)</f>
        <v/>
      </c>
      <c r="BF87" s="153">
        <f>$C87*INDEX(Curves!$G$8:$G$68,BF$4-$B87+1)</f>
        <v/>
      </c>
      <c r="BG87" s="153">
        <f>$C87*INDEX(Curves!$G$8:$G$68,BG$4-$B87+1)</f>
        <v/>
      </c>
      <c r="BH87" s="153">
        <f>$C87*INDEX(Curves!$G$8:$G$68,BH$4-$B87+1)</f>
        <v/>
      </c>
      <c r="BI87" s="153">
        <f>$C87*INDEX(Curves!$G$8:$G$68,BI$4-$B87+1)</f>
        <v/>
      </c>
      <c r="BJ87" s="153">
        <f>$C87*INDEX(Curves!$G$8:$G$68,BJ$4-$B87+1)</f>
        <v/>
      </c>
      <c r="BK87" s="153">
        <f>$C87*INDEX(Curves!$G$8:$G$68,BK$4-$B87+1)</f>
        <v/>
      </c>
      <c r="BL87" s="153">
        <f>$C87*INDEX(Curves!$G$8:$G$68,BL$4-$B87+1)</f>
        <v/>
      </c>
    </row>
    <row r="88">
      <c r="A88" s="147" t="inlineStr">
        <is>
          <t>Cohort month 16</t>
        </is>
      </c>
      <c r="B88" s="147" t="n">
        <v>16</v>
      </c>
      <c r="C88" s="41">
        <f>INDEX(Ops!$E$9:$BL$9,1,$B88)</f>
        <v/>
      </c>
      <c r="U88" s="153">
        <f>$C88*INDEX(Curves!$G$8:$G$68,U$4-$B88+1)</f>
        <v/>
      </c>
      <c r="V88" s="153">
        <f>$C88*INDEX(Curves!$G$8:$G$68,V$4-$B88+1)</f>
        <v/>
      </c>
      <c r="W88" s="153">
        <f>$C88*INDEX(Curves!$G$8:$G$68,W$4-$B88+1)</f>
        <v/>
      </c>
      <c r="X88" s="153">
        <f>$C88*INDEX(Curves!$G$8:$G$68,X$4-$B88+1)</f>
        <v/>
      </c>
      <c r="Y88" s="153">
        <f>$C88*INDEX(Curves!$G$8:$G$68,Y$4-$B88+1)</f>
        <v/>
      </c>
      <c r="Z88" s="153">
        <f>$C88*INDEX(Curves!$G$8:$G$68,Z$4-$B88+1)</f>
        <v/>
      </c>
      <c r="AA88" s="153">
        <f>$C88*INDEX(Curves!$G$8:$G$68,AA$4-$B88+1)</f>
        <v/>
      </c>
      <c r="AB88" s="153">
        <f>$C88*INDEX(Curves!$G$8:$G$68,AB$4-$B88+1)</f>
        <v/>
      </c>
      <c r="AC88" s="153">
        <f>$C88*INDEX(Curves!$G$8:$G$68,AC$4-$B88+1)</f>
        <v/>
      </c>
      <c r="AD88" s="153">
        <f>$C88*INDEX(Curves!$G$8:$G$68,AD$4-$B88+1)</f>
        <v/>
      </c>
      <c r="AE88" s="153">
        <f>$C88*INDEX(Curves!$G$8:$G$68,AE$4-$B88+1)</f>
        <v/>
      </c>
      <c r="AF88" s="153">
        <f>$C88*INDEX(Curves!$G$8:$G$68,AF$4-$B88+1)</f>
        <v/>
      </c>
      <c r="AG88" s="153">
        <f>$C88*INDEX(Curves!$G$8:$G$68,AG$4-$B88+1)</f>
        <v/>
      </c>
      <c r="AH88" s="153">
        <f>$C88*INDEX(Curves!$G$8:$G$68,AH$4-$B88+1)</f>
        <v/>
      </c>
      <c r="AI88" s="153">
        <f>$C88*INDEX(Curves!$G$8:$G$68,AI$4-$B88+1)</f>
        <v/>
      </c>
      <c r="AJ88" s="153">
        <f>$C88*INDEX(Curves!$G$8:$G$68,AJ$4-$B88+1)</f>
        <v/>
      </c>
      <c r="AK88" s="153">
        <f>$C88*INDEX(Curves!$G$8:$G$68,AK$4-$B88+1)</f>
        <v/>
      </c>
      <c r="AL88" s="153">
        <f>$C88*INDEX(Curves!$G$8:$G$68,AL$4-$B88+1)</f>
        <v/>
      </c>
      <c r="AM88" s="153">
        <f>$C88*INDEX(Curves!$G$8:$G$68,AM$4-$B88+1)</f>
        <v/>
      </c>
      <c r="AN88" s="153">
        <f>$C88*INDEX(Curves!$G$8:$G$68,AN$4-$B88+1)</f>
        <v/>
      </c>
      <c r="AO88" s="153">
        <f>$C88*INDEX(Curves!$G$8:$G$68,AO$4-$B88+1)</f>
        <v/>
      </c>
      <c r="AP88" s="153">
        <f>$C88*INDEX(Curves!$G$8:$G$68,AP$4-$B88+1)</f>
        <v/>
      </c>
      <c r="AQ88" s="153">
        <f>$C88*INDEX(Curves!$G$8:$G$68,AQ$4-$B88+1)</f>
        <v/>
      </c>
      <c r="AR88" s="153">
        <f>$C88*INDEX(Curves!$G$8:$G$68,AR$4-$B88+1)</f>
        <v/>
      </c>
      <c r="AS88" s="153">
        <f>$C88*INDEX(Curves!$G$8:$G$68,AS$4-$B88+1)</f>
        <v/>
      </c>
      <c r="AT88" s="153">
        <f>$C88*INDEX(Curves!$G$8:$G$68,AT$4-$B88+1)</f>
        <v/>
      </c>
      <c r="AU88" s="153">
        <f>$C88*INDEX(Curves!$G$8:$G$68,AU$4-$B88+1)</f>
        <v/>
      </c>
      <c r="AV88" s="153">
        <f>$C88*INDEX(Curves!$G$8:$G$68,AV$4-$B88+1)</f>
        <v/>
      </c>
      <c r="AW88" s="153">
        <f>$C88*INDEX(Curves!$G$8:$G$68,AW$4-$B88+1)</f>
        <v/>
      </c>
      <c r="AX88" s="153">
        <f>$C88*INDEX(Curves!$G$8:$G$68,AX$4-$B88+1)</f>
        <v/>
      </c>
      <c r="AY88" s="153">
        <f>$C88*INDEX(Curves!$G$8:$G$68,AY$4-$B88+1)</f>
        <v/>
      </c>
      <c r="AZ88" s="153">
        <f>$C88*INDEX(Curves!$G$8:$G$68,AZ$4-$B88+1)</f>
        <v/>
      </c>
      <c r="BA88" s="153">
        <f>$C88*INDEX(Curves!$G$8:$G$68,BA$4-$B88+1)</f>
        <v/>
      </c>
      <c r="BB88" s="153">
        <f>$C88*INDEX(Curves!$G$8:$G$68,BB$4-$B88+1)</f>
        <v/>
      </c>
      <c r="BC88" s="153">
        <f>$C88*INDEX(Curves!$G$8:$G$68,BC$4-$B88+1)</f>
        <v/>
      </c>
      <c r="BD88" s="153">
        <f>$C88*INDEX(Curves!$G$8:$G$68,BD$4-$B88+1)</f>
        <v/>
      </c>
      <c r="BE88" s="153">
        <f>$C88*INDEX(Curves!$G$8:$G$68,BE$4-$B88+1)</f>
        <v/>
      </c>
      <c r="BF88" s="153">
        <f>$C88*INDEX(Curves!$G$8:$G$68,BF$4-$B88+1)</f>
        <v/>
      </c>
      <c r="BG88" s="153">
        <f>$C88*INDEX(Curves!$G$8:$G$68,BG$4-$B88+1)</f>
        <v/>
      </c>
      <c r="BH88" s="153">
        <f>$C88*INDEX(Curves!$G$8:$G$68,BH$4-$B88+1)</f>
        <v/>
      </c>
      <c r="BI88" s="153">
        <f>$C88*INDEX(Curves!$G$8:$G$68,BI$4-$B88+1)</f>
        <v/>
      </c>
      <c r="BJ88" s="153">
        <f>$C88*INDEX(Curves!$G$8:$G$68,BJ$4-$B88+1)</f>
        <v/>
      </c>
      <c r="BK88" s="153">
        <f>$C88*INDEX(Curves!$G$8:$G$68,BK$4-$B88+1)</f>
        <v/>
      </c>
      <c r="BL88" s="153">
        <f>$C88*INDEX(Curves!$G$8:$G$68,BL$4-$B88+1)</f>
        <v/>
      </c>
    </row>
    <row r="89">
      <c r="A89" s="147" t="inlineStr">
        <is>
          <t>Cohort month 17</t>
        </is>
      </c>
      <c r="B89" s="147" t="n">
        <v>17</v>
      </c>
      <c r="C89" s="41">
        <f>INDEX(Ops!$E$9:$BL$9,1,$B89)</f>
        <v/>
      </c>
      <c r="V89" s="153">
        <f>$C89*INDEX(Curves!$G$8:$G$68,V$4-$B89+1)</f>
        <v/>
      </c>
      <c r="W89" s="153">
        <f>$C89*INDEX(Curves!$G$8:$G$68,W$4-$B89+1)</f>
        <v/>
      </c>
      <c r="X89" s="153">
        <f>$C89*INDEX(Curves!$G$8:$G$68,X$4-$B89+1)</f>
        <v/>
      </c>
      <c r="Y89" s="153">
        <f>$C89*INDEX(Curves!$G$8:$G$68,Y$4-$B89+1)</f>
        <v/>
      </c>
      <c r="Z89" s="153">
        <f>$C89*INDEX(Curves!$G$8:$G$68,Z$4-$B89+1)</f>
        <v/>
      </c>
      <c r="AA89" s="153">
        <f>$C89*INDEX(Curves!$G$8:$G$68,AA$4-$B89+1)</f>
        <v/>
      </c>
      <c r="AB89" s="153">
        <f>$C89*INDEX(Curves!$G$8:$G$68,AB$4-$B89+1)</f>
        <v/>
      </c>
      <c r="AC89" s="153">
        <f>$C89*INDEX(Curves!$G$8:$G$68,AC$4-$B89+1)</f>
        <v/>
      </c>
      <c r="AD89" s="153">
        <f>$C89*INDEX(Curves!$G$8:$G$68,AD$4-$B89+1)</f>
        <v/>
      </c>
      <c r="AE89" s="153">
        <f>$C89*INDEX(Curves!$G$8:$G$68,AE$4-$B89+1)</f>
        <v/>
      </c>
      <c r="AF89" s="153">
        <f>$C89*INDEX(Curves!$G$8:$G$68,AF$4-$B89+1)</f>
        <v/>
      </c>
      <c r="AG89" s="153">
        <f>$C89*INDEX(Curves!$G$8:$G$68,AG$4-$B89+1)</f>
        <v/>
      </c>
      <c r="AH89" s="153">
        <f>$C89*INDEX(Curves!$G$8:$G$68,AH$4-$B89+1)</f>
        <v/>
      </c>
      <c r="AI89" s="153">
        <f>$C89*INDEX(Curves!$G$8:$G$68,AI$4-$B89+1)</f>
        <v/>
      </c>
      <c r="AJ89" s="153">
        <f>$C89*INDEX(Curves!$G$8:$G$68,AJ$4-$B89+1)</f>
        <v/>
      </c>
      <c r="AK89" s="153">
        <f>$C89*INDEX(Curves!$G$8:$G$68,AK$4-$B89+1)</f>
        <v/>
      </c>
      <c r="AL89" s="153">
        <f>$C89*INDEX(Curves!$G$8:$G$68,AL$4-$B89+1)</f>
        <v/>
      </c>
      <c r="AM89" s="153">
        <f>$C89*INDEX(Curves!$G$8:$G$68,AM$4-$B89+1)</f>
        <v/>
      </c>
      <c r="AN89" s="153">
        <f>$C89*INDEX(Curves!$G$8:$G$68,AN$4-$B89+1)</f>
        <v/>
      </c>
      <c r="AO89" s="153">
        <f>$C89*INDEX(Curves!$G$8:$G$68,AO$4-$B89+1)</f>
        <v/>
      </c>
      <c r="AP89" s="153">
        <f>$C89*INDEX(Curves!$G$8:$G$68,AP$4-$B89+1)</f>
        <v/>
      </c>
      <c r="AQ89" s="153">
        <f>$C89*INDEX(Curves!$G$8:$G$68,AQ$4-$B89+1)</f>
        <v/>
      </c>
      <c r="AR89" s="153">
        <f>$C89*INDEX(Curves!$G$8:$G$68,AR$4-$B89+1)</f>
        <v/>
      </c>
      <c r="AS89" s="153">
        <f>$C89*INDEX(Curves!$G$8:$G$68,AS$4-$B89+1)</f>
        <v/>
      </c>
      <c r="AT89" s="153">
        <f>$C89*INDEX(Curves!$G$8:$G$68,AT$4-$B89+1)</f>
        <v/>
      </c>
      <c r="AU89" s="153">
        <f>$C89*INDEX(Curves!$G$8:$G$68,AU$4-$B89+1)</f>
        <v/>
      </c>
      <c r="AV89" s="153">
        <f>$C89*INDEX(Curves!$G$8:$G$68,AV$4-$B89+1)</f>
        <v/>
      </c>
      <c r="AW89" s="153">
        <f>$C89*INDEX(Curves!$G$8:$G$68,AW$4-$B89+1)</f>
        <v/>
      </c>
      <c r="AX89" s="153">
        <f>$C89*INDEX(Curves!$G$8:$G$68,AX$4-$B89+1)</f>
        <v/>
      </c>
      <c r="AY89" s="153">
        <f>$C89*INDEX(Curves!$G$8:$G$68,AY$4-$B89+1)</f>
        <v/>
      </c>
      <c r="AZ89" s="153">
        <f>$C89*INDEX(Curves!$G$8:$G$68,AZ$4-$B89+1)</f>
        <v/>
      </c>
      <c r="BA89" s="153">
        <f>$C89*INDEX(Curves!$G$8:$G$68,BA$4-$B89+1)</f>
        <v/>
      </c>
      <c r="BB89" s="153">
        <f>$C89*INDEX(Curves!$G$8:$G$68,BB$4-$B89+1)</f>
        <v/>
      </c>
      <c r="BC89" s="153">
        <f>$C89*INDEX(Curves!$G$8:$G$68,BC$4-$B89+1)</f>
        <v/>
      </c>
      <c r="BD89" s="153">
        <f>$C89*INDEX(Curves!$G$8:$G$68,BD$4-$B89+1)</f>
        <v/>
      </c>
      <c r="BE89" s="153">
        <f>$C89*INDEX(Curves!$G$8:$G$68,BE$4-$B89+1)</f>
        <v/>
      </c>
      <c r="BF89" s="153">
        <f>$C89*INDEX(Curves!$G$8:$G$68,BF$4-$B89+1)</f>
        <v/>
      </c>
      <c r="BG89" s="153">
        <f>$C89*INDEX(Curves!$G$8:$G$68,BG$4-$B89+1)</f>
        <v/>
      </c>
      <c r="BH89" s="153">
        <f>$C89*INDEX(Curves!$G$8:$G$68,BH$4-$B89+1)</f>
        <v/>
      </c>
      <c r="BI89" s="153">
        <f>$C89*INDEX(Curves!$G$8:$G$68,BI$4-$B89+1)</f>
        <v/>
      </c>
      <c r="BJ89" s="153">
        <f>$C89*INDEX(Curves!$G$8:$G$68,BJ$4-$B89+1)</f>
        <v/>
      </c>
      <c r="BK89" s="153">
        <f>$C89*INDEX(Curves!$G$8:$G$68,BK$4-$B89+1)</f>
        <v/>
      </c>
      <c r="BL89" s="153">
        <f>$C89*INDEX(Curves!$G$8:$G$68,BL$4-$B89+1)</f>
        <v/>
      </c>
    </row>
    <row r="90">
      <c r="A90" s="147" t="inlineStr">
        <is>
          <t>Cohort month 18</t>
        </is>
      </c>
      <c r="B90" s="147" t="n">
        <v>18</v>
      </c>
      <c r="C90" s="41">
        <f>INDEX(Ops!$E$9:$BL$9,1,$B90)</f>
        <v/>
      </c>
      <c r="W90" s="153">
        <f>$C90*INDEX(Curves!$G$8:$G$68,W$4-$B90+1)</f>
        <v/>
      </c>
      <c r="X90" s="153">
        <f>$C90*INDEX(Curves!$G$8:$G$68,X$4-$B90+1)</f>
        <v/>
      </c>
      <c r="Y90" s="153">
        <f>$C90*INDEX(Curves!$G$8:$G$68,Y$4-$B90+1)</f>
        <v/>
      </c>
      <c r="Z90" s="153">
        <f>$C90*INDEX(Curves!$G$8:$G$68,Z$4-$B90+1)</f>
        <v/>
      </c>
      <c r="AA90" s="153">
        <f>$C90*INDEX(Curves!$G$8:$G$68,AA$4-$B90+1)</f>
        <v/>
      </c>
      <c r="AB90" s="153">
        <f>$C90*INDEX(Curves!$G$8:$G$68,AB$4-$B90+1)</f>
        <v/>
      </c>
      <c r="AC90" s="153">
        <f>$C90*INDEX(Curves!$G$8:$G$68,AC$4-$B90+1)</f>
        <v/>
      </c>
      <c r="AD90" s="153">
        <f>$C90*INDEX(Curves!$G$8:$G$68,AD$4-$B90+1)</f>
        <v/>
      </c>
      <c r="AE90" s="153">
        <f>$C90*INDEX(Curves!$G$8:$G$68,AE$4-$B90+1)</f>
        <v/>
      </c>
      <c r="AF90" s="153">
        <f>$C90*INDEX(Curves!$G$8:$G$68,AF$4-$B90+1)</f>
        <v/>
      </c>
      <c r="AG90" s="153">
        <f>$C90*INDEX(Curves!$G$8:$G$68,AG$4-$B90+1)</f>
        <v/>
      </c>
      <c r="AH90" s="153">
        <f>$C90*INDEX(Curves!$G$8:$G$68,AH$4-$B90+1)</f>
        <v/>
      </c>
      <c r="AI90" s="153">
        <f>$C90*INDEX(Curves!$G$8:$G$68,AI$4-$B90+1)</f>
        <v/>
      </c>
      <c r="AJ90" s="153">
        <f>$C90*INDEX(Curves!$G$8:$G$68,AJ$4-$B90+1)</f>
        <v/>
      </c>
      <c r="AK90" s="153">
        <f>$C90*INDEX(Curves!$G$8:$G$68,AK$4-$B90+1)</f>
        <v/>
      </c>
      <c r="AL90" s="153">
        <f>$C90*INDEX(Curves!$G$8:$G$68,AL$4-$B90+1)</f>
        <v/>
      </c>
      <c r="AM90" s="153">
        <f>$C90*INDEX(Curves!$G$8:$G$68,AM$4-$B90+1)</f>
        <v/>
      </c>
      <c r="AN90" s="153">
        <f>$C90*INDEX(Curves!$G$8:$G$68,AN$4-$B90+1)</f>
        <v/>
      </c>
      <c r="AO90" s="153">
        <f>$C90*INDEX(Curves!$G$8:$G$68,AO$4-$B90+1)</f>
        <v/>
      </c>
      <c r="AP90" s="153">
        <f>$C90*INDEX(Curves!$G$8:$G$68,AP$4-$B90+1)</f>
        <v/>
      </c>
      <c r="AQ90" s="153">
        <f>$C90*INDEX(Curves!$G$8:$G$68,AQ$4-$B90+1)</f>
        <v/>
      </c>
      <c r="AR90" s="153">
        <f>$C90*INDEX(Curves!$G$8:$G$68,AR$4-$B90+1)</f>
        <v/>
      </c>
      <c r="AS90" s="153">
        <f>$C90*INDEX(Curves!$G$8:$G$68,AS$4-$B90+1)</f>
        <v/>
      </c>
      <c r="AT90" s="153">
        <f>$C90*INDEX(Curves!$G$8:$G$68,AT$4-$B90+1)</f>
        <v/>
      </c>
      <c r="AU90" s="153">
        <f>$C90*INDEX(Curves!$G$8:$G$68,AU$4-$B90+1)</f>
        <v/>
      </c>
      <c r="AV90" s="153">
        <f>$C90*INDEX(Curves!$G$8:$G$68,AV$4-$B90+1)</f>
        <v/>
      </c>
      <c r="AW90" s="153">
        <f>$C90*INDEX(Curves!$G$8:$G$68,AW$4-$B90+1)</f>
        <v/>
      </c>
      <c r="AX90" s="153">
        <f>$C90*INDEX(Curves!$G$8:$G$68,AX$4-$B90+1)</f>
        <v/>
      </c>
      <c r="AY90" s="153">
        <f>$C90*INDEX(Curves!$G$8:$G$68,AY$4-$B90+1)</f>
        <v/>
      </c>
      <c r="AZ90" s="153">
        <f>$C90*INDEX(Curves!$G$8:$G$68,AZ$4-$B90+1)</f>
        <v/>
      </c>
      <c r="BA90" s="153">
        <f>$C90*INDEX(Curves!$G$8:$G$68,BA$4-$B90+1)</f>
        <v/>
      </c>
      <c r="BB90" s="153">
        <f>$C90*INDEX(Curves!$G$8:$G$68,BB$4-$B90+1)</f>
        <v/>
      </c>
      <c r="BC90" s="153">
        <f>$C90*INDEX(Curves!$G$8:$G$68,BC$4-$B90+1)</f>
        <v/>
      </c>
      <c r="BD90" s="153">
        <f>$C90*INDEX(Curves!$G$8:$G$68,BD$4-$B90+1)</f>
        <v/>
      </c>
      <c r="BE90" s="153">
        <f>$C90*INDEX(Curves!$G$8:$G$68,BE$4-$B90+1)</f>
        <v/>
      </c>
      <c r="BF90" s="153">
        <f>$C90*INDEX(Curves!$G$8:$G$68,BF$4-$B90+1)</f>
        <v/>
      </c>
      <c r="BG90" s="153">
        <f>$C90*INDEX(Curves!$G$8:$G$68,BG$4-$B90+1)</f>
        <v/>
      </c>
      <c r="BH90" s="153">
        <f>$C90*INDEX(Curves!$G$8:$G$68,BH$4-$B90+1)</f>
        <v/>
      </c>
      <c r="BI90" s="153">
        <f>$C90*INDEX(Curves!$G$8:$G$68,BI$4-$B90+1)</f>
        <v/>
      </c>
      <c r="BJ90" s="153">
        <f>$C90*INDEX(Curves!$G$8:$G$68,BJ$4-$B90+1)</f>
        <v/>
      </c>
      <c r="BK90" s="153">
        <f>$C90*INDEX(Curves!$G$8:$G$68,BK$4-$B90+1)</f>
        <v/>
      </c>
      <c r="BL90" s="153">
        <f>$C90*INDEX(Curves!$G$8:$G$68,BL$4-$B90+1)</f>
        <v/>
      </c>
    </row>
    <row r="91">
      <c r="A91" s="147" t="inlineStr">
        <is>
          <t>Cohort month 19</t>
        </is>
      </c>
      <c r="B91" s="147" t="n">
        <v>19</v>
      </c>
      <c r="C91" s="41">
        <f>INDEX(Ops!$E$9:$BL$9,1,$B91)</f>
        <v/>
      </c>
      <c r="X91" s="153">
        <f>$C91*INDEX(Curves!$G$8:$G$68,X$4-$B91+1)</f>
        <v/>
      </c>
      <c r="Y91" s="153">
        <f>$C91*INDEX(Curves!$G$8:$G$68,Y$4-$B91+1)</f>
        <v/>
      </c>
      <c r="Z91" s="153">
        <f>$C91*INDEX(Curves!$G$8:$G$68,Z$4-$B91+1)</f>
        <v/>
      </c>
      <c r="AA91" s="153">
        <f>$C91*INDEX(Curves!$G$8:$G$68,AA$4-$B91+1)</f>
        <v/>
      </c>
      <c r="AB91" s="153">
        <f>$C91*INDEX(Curves!$G$8:$G$68,AB$4-$B91+1)</f>
        <v/>
      </c>
      <c r="AC91" s="153">
        <f>$C91*INDEX(Curves!$G$8:$G$68,AC$4-$B91+1)</f>
        <v/>
      </c>
      <c r="AD91" s="153">
        <f>$C91*INDEX(Curves!$G$8:$G$68,AD$4-$B91+1)</f>
        <v/>
      </c>
      <c r="AE91" s="153">
        <f>$C91*INDEX(Curves!$G$8:$G$68,AE$4-$B91+1)</f>
        <v/>
      </c>
      <c r="AF91" s="153">
        <f>$C91*INDEX(Curves!$G$8:$G$68,AF$4-$B91+1)</f>
        <v/>
      </c>
      <c r="AG91" s="153">
        <f>$C91*INDEX(Curves!$G$8:$G$68,AG$4-$B91+1)</f>
        <v/>
      </c>
      <c r="AH91" s="153">
        <f>$C91*INDEX(Curves!$G$8:$G$68,AH$4-$B91+1)</f>
        <v/>
      </c>
      <c r="AI91" s="153">
        <f>$C91*INDEX(Curves!$G$8:$G$68,AI$4-$B91+1)</f>
        <v/>
      </c>
      <c r="AJ91" s="153">
        <f>$C91*INDEX(Curves!$G$8:$G$68,AJ$4-$B91+1)</f>
        <v/>
      </c>
      <c r="AK91" s="153">
        <f>$C91*INDEX(Curves!$G$8:$G$68,AK$4-$B91+1)</f>
        <v/>
      </c>
      <c r="AL91" s="153">
        <f>$C91*INDEX(Curves!$G$8:$G$68,AL$4-$B91+1)</f>
        <v/>
      </c>
      <c r="AM91" s="153">
        <f>$C91*INDEX(Curves!$G$8:$G$68,AM$4-$B91+1)</f>
        <v/>
      </c>
      <c r="AN91" s="153">
        <f>$C91*INDEX(Curves!$G$8:$G$68,AN$4-$B91+1)</f>
        <v/>
      </c>
      <c r="AO91" s="153">
        <f>$C91*INDEX(Curves!$G$8:$G$68,AO$4-$B91+1)</f>
        <v/>
      </c>
      <c r="AP91" s="153">
        <f>$C91*INDEX(Curves!$G$8:$G$68,AP$4-$B91+1)</f>
        <v/>
      </c>
      <c r="AQ91" s="153">
        <f>$C91*INDEX(Curves!$G$8:$G$68,AQ$4-$B91+1)</f>
        <v/>
      </c>
      <c r="AR91" s="153">
        <f>$C91*INDEX(Curves!$G$8:$G$68,AR$4-$B91+1)</f>
        <v/>
      </c>
      <c r="AS91" s="153">
        <f>$C91*INDEX(Curves!$G$8:$G$68,AS$4-$B91+1)</f>
        <v/>
      </c>
      <c r="AT91" s="153">
        <f>$C91*INDEX(Curves!$G$8:$G$68,AT$4-$B91+1)</f>
        <v/>
      </c>
      <c r="AU91" s="153">
        <f>$C91*INDEX(Curves!$G$8:$G$68,AU$4-$B91+1)</f>
        <v/>
      </c>
      <c r="AV91" s="153">
        <f>$C91*INDEX(Curves!$G$8:$G$68,AV$4-$B91+1)</f>
        <v/>
      </c>
      <c r="AW91" s="153">
        <f>$C91*INDEX(Curves!$G$8:$G$68,AW$4-$B91+1)</f>
        <v/>
      </c>
      <c r="AX91" s="153">
        <f>$C91*INDEX(Curves!$G$8:$G$68,AX$4-$B91+1)</f>
        <v/>
      </c>
      <c r="AY91" s="153">
        <f>$C91*INDEX(Curves!$G$8:$G$68,AY$4-$B91+1)</f>
        <v/>
      </c>
      <c r="AZ91" s="153">
        <f>$C91*INDEX(Curves!$G$8:$G$68,AZ$4-$B91+1)</f>
        <v/>
      </c>
      <c r="BA91" s="153">
        <f>$C91*INDEX(Curves!$G$8:$G$68,BA$4-$B91+1)</f>
        <v/>
      </c>
      <c r="BB91" s="153">
        <f>$C91*INDEX(Curves!$G$8:$G$68,BB$4-$B91+1)</f>
        <v/>
      </c>
      <c r="BC91" s="153">
        <f>$C91*INDEX(Curves!$G$8:$G$68,BC$4-$B91+1)</f>
        <v/>
      </c>
      <c r="BD91" s="153">
        <f>$C91*INDEX(Curves!$G$8:$G$68,BD$4-$B91+1)</f>
        <v/>
      </c>
      <c r="BE91" s="153">
        <f>$C91*INDEX(Curves!$G$8:$G$68,BE$4-$B91+1)</f>
        <v/>
      </c>
      <c r="BF91" s="153">
        <f>$C91*INDEX(Curves!$G$8:$G$68,BF$4-$B91+1)</f>
        <v/>
      </c>
      <c r="BG91" s="153">
        <f>$C91*INDEX(Curves!$G$8:$G$68,BG$4-$B91+1)</f>
        <v/>
      </c>
      <c r="BH91" s="153">
        <f>$C91*INDEX(Curves!$G$8:$G$68,BH$4-$B91+1)</f>
        <v/>
      </c>
      <c r="BI91" s="153">
        <f>$C91*INDEX(Curves!$G$8:$G$68,BI$4-$B91+1)</f>
        <v/>
      </c>
      <c r="BJ91" s="153">
        <f>$C91*INDEX(Curves!$G$8:$G$68,BJ$4-$B91+1)</f>
        <v/>
      </c>
      <c r="BK91" s="153">
        <f>$C91*INDEX(Curves!$G$8:$G$68,BK$4-$B91+1)</f>
        <v/>
      </c>
      <c r="BL91" s="153">
        <f>$C91*INDEX(Curves!$G$8:$G$68,BL$4-$B91+1)</f>
        <v/>
      </c>
    </row>
    <row r="92">
      <c r="A92" s="147" t="inlineStr">
        <is>
          <t>Cohort month 20</t>
        </is>
      </c>
      <c r="B92" s="147" t="n">
        <v>20</v>
      </c>
      <c r="C92" s="41">
        <f>INDEX(Ops!$E$9:$BL$9,1,$B92)</f>
        <v/>
      </c>
      <c r="Y92" s="153">
        <f>$C92*INDEX(Curves!$G$8:$G$68,Y$4-$B92+1)</f>
        <v/>
      </c>
      <c r="Z92" s="153">
        <f>$C92*INDEX(Curves!$G$8:$G$68,Z$4-$B92+1)</f>
        <v/>
      </c>
      <c r="AA92" s="153">
        <f>$C92*INDEX(Curves!$G$8:$G$68,AA$4-$B92+1)</f>
        <v/>
      </c>
      <c r="AB92" s="153">
        <f>$C92*INDEX(Curves!$G$8:$G$68,AB$4-$B92+1)</f>
        <v/>
      </c>
      <c r="AC92" s="153">
        <f>$C92*INDEX(Curves!$G$8:$G$68,AC$4-$B92+1)</f>
        <v/>
      </c>
      <c r="AD92" s="153">
        <f>$C92*INDEX(Curves!$G$8:$G$68,AD$4-$B92+1)</f>
        <v/>
      </c>
      <c r="AE92" s="153">
        <f>$C92*INDEX(Curves!$G$8:$G$68,AE$4-$B92+1)</f>
        <v/>
      </c>
      <c r="AF92" s="153">
        <f>$C92*INDEX(Curves!$G$8:$G$68,AF$4-$B92+1)</f>
        <v/>
      </c>
      <c r="AG92" s="153">
        <f>$C92*INDEX(Curves!$G$8:$G$68,AG$4-$B92+1)</f>
        <v/>
      </c>
      <c r="AH92" s="153">
        <f>$C92*INDEX(Curves!$G$8:$G$68,AH$4-$B92+1)</f>
        <v/>
      </c>
      <c r="AI92" s="153">
        <f>$C92*INDEX(Curves!$G$8:$G$68,AI$4-$B92+1)</f>
        <v/>
      </c>
      <c r="AJ92" s="153">
        <f>$C92*INDEX(Curves!$G$8:$G$68,AJ$4-$B92+1)</f>
        <v/>
      </c>
      <c r="AK92" s="153">
        <f>$C92*INDEX(Curves!$G$8:$G$68,AK$4-$B92+1)</f>
        <v/>
      </c>
      <c r="AL92" s="153">
        <f>$C92*INDEX(Curves!$G$8:$G$68,AL$4-$B92+1)</f>
        <v/>
      </c>
      <c r="AM92" s="153">
        <f>$C92*INDEX(Curves!$G$8:$G$68,AM$4-$B92+1)</f>
        <v/>
      </c>
      <c r="AN92" s="153">
        <f>$C92*INDEX(Curves!$G$8:$G$68,AN$4-$B92+1)</f>
        <v/>
      </c>
      <c r="AO92" s="153">
        <f>$C92*INDEX(Curves!$G$8:$G$68,AO$4-$B92+1)</f>
        <v/>
      </c>
      <c r="AP92" s="153">
        <f>$C92*INDEX(Curves!$G$8:$G$68,AP$4-$B92+1)</f>
        <v/>
      </c>
      <c r="AQ92" s="153">
        <f>$C92*INDEX(Curves!$G$8:$G$68,AQ$4-$B92+1)</f>
        <v/>
      </c>
      <c r="AR92" s="153">
        <f>$C92*INDEX(Curves!$G$8:$G$68,AR$4-$B92+1)</f>
        <v/>
      </c>
      <c r="AS92" s="153">
        <f>$C92*INDEX(Curves!$G$8:$G$68,AS$4-$B92+1)</f>
        <v/>
      </c>
      <c r="AT92" s="153">
        <f>$C92*INDEX(Curves!$G$8:$G$68,AT$4-$B92+1)</f>
        <v/>
      </c>
      <c r="AU92" s="153">
        <f>$C92*INDEX(Curves!$G$8:$G$68,AU$4-$B92+1)</f>
        <v/>
      </c>
      <c r="AV92" s="153">
        <f>$C92*INDEX(Curves!$G$8:$G$68,AV$4-$B92+1)</f>
        <v/>
      </c>
      <c r="AW92" s="153">
        <f>$C92*INDEX(Curves!$G$8:$G$68,AW$4-$B92+1)</f>
        <v/>
      </c>
      <c r="AX92" s="153">
        <f>$C92*INDEX(Curves!$G$8:$G$68,AX$4-$B92+1)</f>
        <v/>
      </c>
      <c r="AY92" s="153">
        <f>$C92*INDEX(Curves!$G$8:$G$68,AY$4-$B92+1)</f>
        <v/>
      </c>
      <c r="AZ92" s="153">
        <f>$C92*INDEX(Curves!$G$8:$G$68,AZ$4-$B92+1)</f>
        <v/>
      </c>
      <c r="BA92" s="153">
        <f>$C92*INDEX(Curves!$G$8:$G$68,BA$4-$B92+1)</f>
        <v/>
      </c>
      <c r="BB92" s="153">
        <f>$C92*INDEX(Curves!$G$8:$G$68,BB$4-$B92+1)</f>
        <v/>
      </c>
      <c r="BC92" s="153">
        <f>$C92*INDEX(Curves!$G$8:$G$68,BC$4-$B92+1)</f>
        <v/>
      </c>
      <c r="BD92" s="153">
        <f>$C92*INDEX(Curves!$G$8:$G$68,BD$4-$B92+1)</f>
        <v/>
      </c>
      <c r="BE92" s="153">
        <f>$C92*INDEX(Curves!$G$8:$G$68,BE$4-$B92+1)</f>
        <v/>
      </c>
      <c r="BF92" s="153">
        <f>$C92*INDEX(Curves!$G$8:$G$68,BF$4-$B92+1)</f>
        <v/>
      </c>
      <c r="BG92" s="153">
        <f>$C92*INDEX(Curves!$G$8:$G$68,BG$4-$B92+1)</f>
        <v/>
      </c>
      <c r="BH92" s="153">
        <f>$C92*INDEX(Curves!$G$8:$G$68,BH$4-$B92+1)</f>
        <v/>
      </c>
      <c r="BI92" s="153">
        <f>$C92*INDEX(Curves!$G$8:$G$68,BI$4-$B92+1)</f>
        <v/>
      </c>
      <c r="BJ92" s="153">
        <f>$C92*INDEX(Curves!$G$8:$G$68,BJ$4-$B92+1)</f>
        <v/>
      </c>
      <c r="BK92" s="153">
        <f>$C92*INDEX(Curves!$G$8:$G$68,BK$4-$B92+1)</f>
        <v/>
      </c>
      <c r="BL92" s="153">
        <f>$C92*INDEX(Curves!$G$8:$G$68,BL$4-$B92+1)</f>
        <v/>
      </c>
    </row>
    <row r="93">
      <c r="A93" s="147" t="inlineStr">
        <is>
          <t>Cohort month 21</t>
        </is>
      </c>
      <c r="B93" s="147" t="n">
        <v>21</v>
      </c>
      <c r="C93" s="41">
        <f>INDEX(Ops!$E$9:$BL$9,1,$B93)</f>
        <v/>
      </c>
      <c r="Z93" s="153">
        <f>$C93*INDEX(Curves!$G$8:$G$68,Z$4-$B93+1)</f>
        <v/>
      </c>
      <c r="AA93" s="153">
        <f>$C93*INDEX(Curves!$G$8:$G$68,AA$4-$B93+1)</f>
        <v/>
      </c>
      <c r="AB93" s="153">
        <f>$C93*INDEX(Curves!$G$8:$G$68,AB$4-$B93+1)</f>
        <v/>
      </c>
      <c r="AC93" s="153">
        <f>$C93*INDEX(Curves!$G$8:$G$68,AC$4-$B93+1)</f>
        <v/>
      </c>
      <c r="AD93" s="153">
        <f>$C93*INDEX(Curves!$G$8:$G$68,AD$4-$B93+1)</f>
        <v/>
      </c>
      <c r="AE93" s="153">
        <f>$C93*INDEX(Curves!$G$8:$G$68,AE$4-$B93+1)</f>
        <v/>
      </c>
      <c r="AF93" s="153">
        <f>$C93*INDEX(Curves!$G$8:$G$68,AF$4-$B93+1)</f>
        <v/>
      </c>
      <c r="AG93" s="153">
        <f>$C93*INDEX(Curves!$G$8:$G$68,AG$4-$B93+1)</f>
        <v/>
      </c>
      <c r="AH93" s="153">
        <f>$C93*INDEX(Curves!$G$8:$G$68,AH$4-$B93+1)</f>
        <v/>
      </c>
      <c r="AI93" s="153">
        <f>$C93*INDEX(Curves!$G$8:$G$68,AI$4-$B93+1)</f>
        <v/>
      </c>
      <c r="AJ93" s="153">
        <f>$C93*INDEX(Curves!$G$8:$G$68,AJ$4-$B93+1)</f>
        <v/>
      </c>
      <c r="AK93" s="153">
        <f>$C93*INDEX(Curves!$G$8:$G$68,AK$4-$B93+1)</f>
        <v/>
      </c>
      <c r="AL93" s="153">
        <f>$C93*INDEX(Curves!$G$8:$G$68,AL$4-$B93+1)</f>
        <v/>
      </c>
      <c r="AM93" s="153">
        <f>$C93*INDEX(Curves!$G$8:$G$68,AM$4-$B93+1)</f>
        <v/>
      </c>
      <c r="AN93" s="153">
        <f>$C93*INDEX(Curves!$G$8:$G$68,AN$4-$B93+1)</f>
        <v/>
      </c>
      <c r="AO93" s="153">
        <f>$C93*INDEX(Curves!$G$8:$G$68,AO$4-$B93+1)</f>
        <v/>
      </c>
      <c r="AP93" s="153">
        <f>$C93*INDEX(Curves!$G$8:$G$68,AP$4-$B93+1)</f>
        <v/>
      </c>
      <c r="AQ93" s="153">
        <f>$C93*INDEX(Curves!$G$8:$G$68,AQ$4-$B93+1)</f>
        <v/>
      </c>
      <c r="AR93" s="153">
        <f>$C93*INDEX(Curves!$G$8:$G$68,AR$4-$B93+1)</f>
        <v/>
      </c>
      <c r="AS93" s="153">
        <f>$C93*INDEX(Curves!$G$8:$G$68,AS$4-$B93+1)</f>
        <v/>
      </c>
      <c r="AT93" s="153">
        <f>$C93*INDEX(Curves!$G$8:$G$68,AT$4-$B93+1)</f>
        <v/>
      </c>
      <c r="AU93" s="153">
        <f>$C93*INDEX(Curves!$G$8:$G$68,AU$4-$B93+1)</f>
        <v/>
      </c>
      <c r="AV93" s="153">
        <f>$C93*INDEX(Curves!$G$8:$G$68,AV$4-$B93+1)</f>
        <v/>
      </c>
      <c r="AW93" s="153">
        <f>$C93*INDEX(Curves!$G$8:$G$68,AW$4-$B93+1)</f>
        <v/>
      </c>
      <c r="AX93" s="153">
        <f>$C93*INDEX(Curves!$G$8:$G$68,AX$4-$B93+1)</f>
        <v/>
      </c>
      <c r="AY93" s="153">
        <f>$C93*INDEX(Curves!$G$8:$G$68,AY$4-$B93+1)</f>
        <v/>
      </c>
      <c r="AZ93" s="153">
        <f>$C93*INDEX(Curves!$G$8:$G$68,AZ$4-$B93+1)</f>
        <v/>
      </c>
      <c r="BA93" s="153">
        <f>$C93*INDEX(Curves!$G$8:$G$68,BA$4-$B93+1)</f>
        <v/>
      </c>
      <c r="BB93" s="153">
        <f>$C93*INDEX(Curves!$G$8:$G$68,BB$4-$B93+1)</f>
        <v/>
      </c>
      <c r="BC93" s="153">
        <f>$C93*INDEX(Curves!$G$8:$G$68,BC$4-$B93+1)</f>
        <v/>
      </c>
      <c r="BD93" s="153">
        <f>$C93*INDEX(Curves!$G$8:$G$68,BD$4-$B93+1)</f>
        <v/>
      </c>
      <c r="BE93" s="153">
        <f>$C93*INDEX(Curves!$G$8:$G$68,BE$4-$B93+1)</f>
        <v/>
      </c>
      <c r="BF93" s="153">
        <f>$C93*INDEX(Curves!$G$8:$G$68,BF$4-$B93+1)</f>
        <v/>
      </c>
      <c r="BG93" s="153">
        <f>$C93*INDEX(Curves!$G$8:$G$68,BG$4-$B93+1)</f>
        <v/>
      </c>
      <c r="BH93" s="153">
        <f>$C93*INDEX(Curves!$G$8:$G$68,BH$4-$B93+1)</f>
        <v/>
      </c>
      <c r="BI93" s="153">
        <f>$C93*INDEX(Curves!$G$8:$G$68,BI$4-$B93+1)</f>
        <v/>
      </c>
      <c r="BJ93" s="153">
        <f>$C93*INDEX(Curves!$G$8:$G$68,BJ$4-$B93+1)</f>
        <v/>
      </c>
      <c r="BK93" s="153">
        <f>$C93*INDEX(Curves!$G$8:$G$68,BK$4-$B93+1)</f>
        <v/>
      </c>
      <c r="BL93" s="153">
        <f>$C93*INDEX(Curves!$G$8:$G$68,BL$4-$B93+1)</f>
        <v/>
      </c>
    </row>
    <row r="94">
      <c r="A94" s="147" t="inlineStr">
        <is>
          <t>Cohort month 22</t>
        </is>
      </c>
      <c r="B94" s="147" t="n">
        <v>22</v>
      </c>
      <c r="C94" s="41">
        <f>INDEX(Ops!$E$9:$BL$9,1,$B94)</f>
        <v/>
      </c>
      <c r="AA94" s="153">
        <f>$C94*INDEX(Curves!$G$8:$G$68,AA$4-$B94+1)</f>
        <v/>
      </c>
      <c r="AB94" s="153">
        <f>$C94*INDEX(Curves!$G$8:$G$68,AB$4-$B94+1)</f>
        <v/>
      </c>
      <c r="AC94" s="153">
        <f>$C94*INDEX(Curves!$G$8:$G$68,AC$4-$B94+1)</f>
        <v/>
      </c>
      <c r="AD94" s="153">
        <f>$C94*INDEX(Curves!$G$8:$G$68,AD$4-$B94+1)</f>
        <v/>
      </c>
      <c r="AE94" s="153">
        <f>$C94*INDEX(Curves!$G$8:$G$68,AE$4-$B94+1)</f>
        <v/>
      </c>
      <c r="AF94" s="153">
        <f>$C94*INDEX(Curves!$G$8:$G$68,AF$4-$B94+1)</f>
        <v/>
      </c>
      <c r="AG94" s="153">
        <f>$C94*INDEX(Curves!$G$8:$G$68,AG$4-$B94+1)</f>
        <v/>
      </c>
      <c r="AH94" s="153">
        <f>$C94*INDEX(Curves!$G$8:$G$68,AH$4-$B94+1)</f>
        <v/>
      </c>
      <c r="AI94" s="153">
        <f>$C94*INDEX(Curves!$G$8:$G$68,AI$4-$B94+1)</f>
        <v/>
      </c>
      <c r="AJ94" s="153">
        <f>$C94*INDEX(Curves!$G$8:$G$68,AJ$4-$B94+1)</f>
        <v/>
      </c>
      <c r="AK94" s="153">
        <f>$C94*INDEX(Curves!$G$8:$G$68,AK$4-$B94+1)</f>
        <v/>
      </c>
      <c r="AL94" s="153">
        <f>$C94*INDEX(Curves!$G$8:$G$68,AL$4-$B94+1)</f>
        <v/>
      </c>
      <c r="AM94" s="153">
        <f>$C94*INDEX(Curves!$G$8:$G$68,AM$4-$B94+1)</f>
        <v/>
      </c>
      <c r="AN94" s="153">
        <f>$C94*INDEX(Curves!$G$8:$G$68,AN$4-$B94+1)</f>
        <v/>
      </c>
      <c r="AO94" s="153">
        <f>$C94*INDEX(Curves!$G$8:$G$68,AO$4-$B94+1)</f>
        <v/>
      </c>
      <c r="AP94" s="153">
        <f>$C94*INDEX(Curves!$G$8:$G$68,AP$4-$B94+1)</f>
        <v/>
      </c>
      <c r="AQ94" s="153">
        <f>$C94*INDEX(Curves!$G$8:$G$68,AQ$4-$B94+1)</f>
        <v/>
      </c>
      <c r="AR94" s="153">
        <f>$C94*INDEX(Curves!$G$8:$G$68,AR$4-$B94+1)</f>
        <v/>
      </c>
      <c r="AS94" s="153">
        <f>$C94*INDEX(Curves!$G$8:$G$68,AS$4-$B94+1)</f>
        <v/>
      </c>
      <c r="AT94" s="153">
        <f>$C94*INDEX(Curves!$G$8:$G$68,AT$4-$B94+1)</f>
        <v/>
      </c>
      <c r="AU94" s="153">
        <f>$C94*INDEX(Curves!$G$8:$G$68,AU$4-$B94+1)</f>
        <v/>
      </c>
      <c r="AV94" s="153">
        <f>$C94*INDEX(Curves!$G$8:$G$68,AV$4-$B94+1)</f>
        <v/>
      </c>
      <c r="AW94" s="153">
        <f>$C94*INDEX(Curves!$G$8:$G$68,AW$4-$B94+1)</f>
        <v/>
      </c>
      <c r="AX94" s="153">
        <f>$C94*INDEX(Curves!$G$8:$G$68,AX$4-$B94+1)</f>
        <v/>
      </c>
      <c r="AY94" s="153">
        <f>$C94*INDEX(Curves!$G$8:$G$68,AY$4-$B94+1)</f>
        <v/>
      </c>
      <c r="AZ94" s="153">
        <f>$C94*INDEX(Curves!$G$8:$G$68,AZ$4-$B94+1)</f>
        <v/>
      </c>
      <c r="BA94" s="153">
        <f>$C94*INDEX(Curves!$G$8:$G$68,BA$4-$B94+1)</f>
        <v/>
      </c>
      <c r="BB94" s="153">
        <f>$C94*INDEX(Curves!$G$8:$G$68,BB$4-$B94+1)</f>
        <v/>
      </c>
      <c r="BC94" s="153">
        <f>$C94*INDEX(Curves!$G$8:$G$68,BC$4-$B94+1)</f>
        <v/>
      </c>
      <c r="BD94" s="153">
        <f>$C94*INDEX(Curves!$G$8:$G$68,BD$4-$B94+1)</f>
        <v/>
      </c>
      <c r="BE94" s="153">
        <f>$C94*INDEX(Curves!$G$8:$G$68,BE$4-$B94+1)</f>
        <v/>
      </c>
      <c r="BF94" s="153">
        <f>$C94*INDEX(Curves!$G$8:$G$68,BF$4-$B94+1)</f>
        <v/>
      </c>
      <c r="BG94" s="153">
        <f>$C94*INDEX(Curves!$G$8:$G$68,BG$4-$B94+1)</f>
        <v/>
      </c>
      <c r="BH94" s="153">
        <f>$C94*INDEX(Curves!$G$8:$G$68,BH$4-$B94+1)</f>
        <v/>
      </c>
      <c r="BI94" s="153">
        <f>$C94*INDEX(Curves!$G$8:$G$68,BI$4-$B94+1)</f>
        <v/>
      </c>
      <c r="BJ94" s="153">
        <f>$C94*INDEX(Curves!$G$8:$G$68,BJ$4-$B94+1)</f>
        <v/>
      </c>
      <c r="BK94" s="153">
        <f>$C94*INDEX(Curves!$G$8:$G$68,BK$4-$B94+1)</f>
        <v/>
      </c>
      <c r="BL94" s="153">
        <f>$C94*INDEX(Curves!$G$8:$G$68,BL$4-$B94+1)</f>
        <v/>
      </c>
    </row>
    <row r="95">
      <c r="A95" s="147" t="inlineStr">
        <is>
          <t>Cohort month 23</t>
        </is>
      </c>
      <c r="B95" s="147" t="n">
        <v>23</v>
      </c>
      <c r="C95" s="41">
        <f>INDEX(Ops!$E$9:$BL$9,1,$B95)</f>
        <v/>
      </c>
      <c r="AB95" s="153">
        <f>$C95*INDEX(Curves!$G$8:$G$68,AB$4-$B95+1)</f>
        <v/>
      </c>
      <c r="AC95" s="153">
        <f>$C95*INDEX(Curves!$G$8:$G$68,AC$4-$B95+1)</f>
        <v/>
      </c>
      <c r="AD95" s="153">
        <f>$C95*INDEX(Curves!$G$8:$G$68,AD$4-$B95+1)</f>
        <v/>
      </c>
      <c r="AE95" s="153">
        <f>$C95*INDEX(Curves!$G$8:$G$68,AE$4-$B95+1)</f>
        <v/>
      </c>
      <c r="AF95" s="153">
        <f>$C95*INDEX(Curves!$G$8:$G$68,AF$4-$B95+1)</f>
        <v/>
      </c>
      <c r="AG95" s="153">
        <f>$C95*INDEX(Curves!$G$8:$G$68,AG$4-$B95+1)</f>
        <v/>
      </c>
      <c r="AH95" s="153">
        <f>$C95*INDEX(Curves!$G$8:$G$68,AH$4-$B95+1)</f>
        <v/>
      </c>
      <c r="AI95" s="153">
        <f>$C95*INDEX(Curves!$G$8:$G$68,AI$4-$B95+1)</f>
        <v/>
      </c>
      <c r="AJ95" s="153">
        <f>$C95*INDEX(Curves!$G$8:$G$68,AJ$4-$B95+1)</f>
        <v/>
      </c>
      <c r="AK95" s="153">
        <f>$C95*INDEX(Curves!$G$8:$G$68,AK$4-$B95+1)</f>
        <v/>
      </c>
      <c r="AL95" s="153">
        <f>$C95*INDEX(Curves!$G$8:$G$68,AL$4-$B95+1)</f>
        <v/>
      </c>
      <c r="AM95" s="153">
        <f>$C95*INDEX(Curves!$G$8:$G$68,AM$4-$B95+1)</f>
        <v/>
      </c>
      <c r="AN95" s="153">
        <f>$C95*INDEX(Curves!$G$8:$G$68,AN$4-$B95+1)</f>
        <v/>
      </c>
      <c r="AO95" s="153">
        <f>$C95*INDEX(Curves!$G$8:$G$68,AO$4-$B95+1)</f>
        <v/>
      </c>
      <c r="AP95" s="153">
        <f>$C95*INDEX(Curves!$G$8:$G$68,AP$4-$B95+1)</f>
        <v/>
      </c>
      <c r="AQ95" s="153">
        <f>$C95*INDEX(Curves!$G$8:$G$68,AQ$4-$B95+1)</f>
        <v/>
      </c>
      <c r="AR95" s="153">
        <f>$C95*INDEX(Curves!$G$8:$G$68,AR$4-$B95+1)</f>
        <v/>
      </c>
      <c r="AS95" s="153">
        <f>$C95*INDEX(Curves!$G$8:$G$68,AS$4-$B95+1)</f>
        <v/>
      </c>
      <c r="AT95" s="153">
        <f>$C95*INDEX(Curves!$G$8:$G$68,AT$4-$B95+1)</f>
        <v/>
      </c>
      <c r="AU95" s="153">
        <f>$C95*INDEX(Curves!$G$8:$G$68,AU$4-$B95+1)</f>
        <v/>
      </c>
      <c r="AV95" s="153">
        <f>$C95*INDEX(Curves!$G$8:$G$68,AV$4-$B95+1)</f>
        <v/>
      </c>
      <c r="AW95" s="153">
        <f>$C95*INDEX(Curves!$G$8:$G$68,AW$4-$B95+1)</f>
        <v/>
      </c>
      <c r="AX95" s="153">
        <f>$C95*INDEX(Curves!$G$8:$G$68,AX$4-$B95+1)</f>
        <v/>
      </c>
      <c r="AY95" s="153">
        <f>$C95*INDEX(Curves!$G$8:$G$68,AY$4-$B95+1)</f>
        <v/>
      </c>
      <c r="AZ95" s="153">
        <f>$C95*INDEX(Curves!$G$8:$G$68,AZ$4-$B95+1)</f>
        <v/>
      </c>
      <c r="BA95" s="153">
        <f>$C95*INDEX(Curves!$G$8:$G$68,BA$4-$B95+1)</f>
        <v/>
      </c>
      <c r="BB95" s="153">
        <f>$C95*INDEX(Curves!$G$8:$G$68,BB$4-$B95+1)</f>
        <v/>
      </c>
      <c r="BC95" s="153">
        <f>$C95*INDEX(Curves!$G$8:$G$68,BC$4-$B95+1)</f>
        <v/>
      </c>
      <c r="BD95" s="153">
        <f>$C95*INDEX(Curves!$G$8:$G$68,BD$4-$B95+1)</f>
        <v/>
      </c>
      <c r="BE95" s="153">
        <f>$C95*INDEX(Curves!$G$8:$G$68,BE$4-$B95+1)</f>
        <v/>
      </c>
      <c r="BF95" s="153">
        <f>$C95*INDEX(Curves!$G$8:$G$68,BF$4-$B95+1)</f>
        <v/>
      </c>
      <c r="BG95" s="153">
        <f>$C95*INDEX(Curves!$G$8:$G$68,BG$4-$B95+1)</f>
        <v/>
      </c>
      <c r="BH95" s="153">
        <f>$C95*INDEX(Curves!$G$8:$G$68,BH$4-$B95+1)</f>
        <v/>
      </c>
      <c r="BI95" s="153">
        <f>$C95*INDEX(Curves!$G$8:$G$68,BI$4-$B95+1)</f>
        <v/>
      </c>
      <c r="BJ95" s="153">
        <f>$C95*INDEX(Curves!$G$8:$G$68,BJ$4-$B95+1)</f>
        <v/>
      </c>
      <c r="BK95" s="153">
        <f>$C95*INDEX(Curves!$G$8:$G$68,BK$4-$B95+1)</f>
        <v/>
      </c>
      <c r="BL95" s="153">
        <f>$C95*INDEX(Curves!$G$8:$G$68,BL$4-$B95+1)</f>
        <v/>
      </c>
    </row>
    <row r="96">
      <c r="A96" s="147" t="inlineStr">
        <is>
          <t>Cohort month 24</t>
        </is>
      </c>
      <c r="B96" s="147" t="n">
        <v>24</v>
      </c>
      <c r="C96" s="41">
        <f>INDEX(Ops!$E$9:$BL$9,1,$B96)</f>
        <v/>
      </c>
      <c r="AC96" s="153">
        <f>$C96*INDEX(Curves!$G$8:$G$68,AC$4-$B96+1)</f>
        <v/>
      </c>
      <c r="AD96" s="153">
        <f>$C96*INDEX(Curves!$G$8:$G$68,AD$4-$B96+1)</f>
        <v/>
      </c>
      <c r="AE96" s="153">
        <f>$C96*INDEX(Curves!$G$8:$G$68,AE$4-$B96+1)</f>
        <v/>
      </c>
      <c r="AF96" s="153">
        <f>$C96*INDEX(Curves!$G$8:$G$68,AF$4-$B96+1)</f>
        <v/>
      </c>
      <c r="AG96" s="153">
        <f>$C96*INDEX(Curves!$G$8:$G$68,AG$4-$B96+1)</f>
        <v/>
      </c>
      <c r="AH96" s="153">
        <f>$C96*INDEX(Curves!$G$8:$G$68,AH$4-$B96+1)</f>
        <v/>
      </c>
      <c r="AI96" s="153">
        <f>$C96*INDEX(Curves!$G$8:$G$68,AI$4-$B96+1)</f>
        <v/>
      </c>
      <c r="AJ96" s="153">
        <f>$C96*INDEX(Curves!$G$8:$G$68,AJ$4-$B96+1)</f>
        <v/>
      </c>
      <c r="AK96" s="153">
        <f>$C96*INDEX(Curves!$G$8:$G$68,AK$4-$B96+1)</f>
        <v/>
      </c>
      <c r="AL96" s="153">
        <f>$C96*INDEX(Curves!$G$8:$G$68,AL$4-$B96+1)</f>
        <v/>
      </c>
      <c r="AM96" s="153">
        <f>$C96*INDEX(Curves!$G$8:$G$68,AM$4-$B96+1)</f>
        <v/>
      </c>
      <c r="AN96" s="153">
        <f>$C96*INDEX(Curves!$G$8:$G$68,AN$4-$B96+1)</f>
        <v/>
      </c>
      <c r="AO96" s="153">
        <f>$C96*INDEX(Curves!$G$8:$G$68,AO$4-$B96+1)</f>
        <v/>
      </c>
      <c r="AP96" s="153">
        <f>$C96*INDEX(Curves!$G$8:$G$68,AP$4-$B96+1)</f>
        <v/>
      </c>
      <c r="AQ96" s="153">
        <f>$C96*INDEX(Curves!$G$8:$G$68,AQ$4-$B96+1)</f>
        <v/>
      </c>
      <c r="AR96" s="153">
        <f>$C96*INDEX(Curves!$G$8:$G$68,AR$4-$B96+1)</f>
        <v/>
      </c>
      <c r="AS96" s="153">
        <f>$C96*INDEX(Curves!$G$8:$G$68,AS$4-$B96+1)</f>
        <v/>
      </c>
      <c r="AT96" s="153">
        <f>$C96*INDEX(Curves!$G$8:$G$68,AT$4-$B96+1)</f>
        <v/>
      </c>
      <c r="AU96" s="153">
        <f>$C96*INDEX(Curves!$G$8:$G$68,AU$4-$B96+1)</f>
        <v/>
      </c>
      <c r="AV96" s="153">
        <f>$C96*INDEX(Curves!$G$8:$G$68,AV$4-$B96+1)</f>
        <v/>
      </c>
      <c r="AW96" s="153">
        <f>$C96*INDEX(Curves!$G$8:$G$68,AW$4-$B96+1)</f>
        <v/>
      </c>
      <c r="AX96" s="153">
        <f>$C96*INDEX(Curves!$G$8:$G$68,AX$4-$B96+1)</f>
        <v/>
      </c>
      <c r="AY96" s="153">
        <f>$C96*INDEX(Curves!$G$8:$G$68,AY$4-$B96+1)</f>
        <v/>
      </c>
      <c r="AZ96" s="153">
        <f>$C96*INDEX(Curves!$G$8:$G$68,AZ$4-$B96+1)</f>
        <v/>
      </c>
      <c r="BA96" s="153">
        <f>$C96*INDEX(Curves!$G$8:$G$68,BA$4-$B96+1)</f>
        <v/>
      </c>
      <c r="BB96" s="153">
        <f>$C96*INDEX(Curves!$G$8:$G$68,BB$4-$B96+1)</f>
        <v/>
      </c>
      <c r="BC96" s="153">
        <f>$C96*INDEX(Curves!$G$8:$G$68,BC$4-$B96+1)</f>
        <v/>
      </c>
      <c r="BD96" s="153">
        <f>$C96*INDEX(Curves!$G$8:$G$68,BD$4-$B96+1)</f>
        <v/>
      </c>
      <c r="BE96" s="153">
        <f>$C96*INDEX(Curves!$G$8:$G$68,BE$4-$B96+1)</f>
        <v/>
      </c>
      <c r="BF96" s="153">
        <f>$C96*INDEX(Curves!$G$8:$G$68,BF$4-$B96+1)</f>
        <v/>
      </c>
      <c r="BG96" s="153">
        <f>$C96*INDEX(Curves!$G$8:$G$68,BG$4-$B96+1)</f>
        <v/>
      </c>
      <c r="BH96" s="153">
        <f>$C96*INDEX(Curves!$G$8:$G$68,BH$4-$B96+1)</f>
        <v/>
      </c>
      <c r="BI96" s="153">
        <f>$C96*INDEX(Curves!$G$8:$G$68,BI$4-$B96+1)</f>
        <v/>
      </c>
      <c r="BJ96" s="153">
        <f>$C96*INDEX(Curves!$G$8:$G$68,BJ$4-$B96+1)</f>
        <v/>
      </c>
      <c r="BK96" s="153">
        <f>$C96*INDEX(Curves!$G$8:$G$68,BK$4-$B96+1)</f>
        <v/>
      </c>
      <c r="BL96" s="153">
        <f>$C96*INDEX(Curves!$G$8:$G$68,BL$4-$B96+1)</f>
        <v/>
      </c>
    </row>
    <row r="97">
      <c r="A97" s="147" t="inlineStr">
        <is>
          <t>Cohort month 25</t>
        </is>
      </c>
      <c r="B97" s="147" t="n">
        <v>25</v>
      </c>
      <c r="C97" s="41">
        <f>INDEX(Ops!$E$9:$BL$9,1,$B97)</f>
        <v/>
      </c>
      <c r="AD97" s="153">
        <f>$C97*INDEX(Curves!$G$8:$G$68,AD$4-$B97+1)</f>
        <v/>
      </c>
      <c r="AE97" s="153">
        <f>$C97*INDEX(Curves!$G$8:$G$68,AE$4-$B97+1)</f>
        <v/>
      </c>
      <c r="AF97" s="153">
        <f>$C97*INDEX(Curves!$G$8:$G$68,AF$4-$B97+1)</f>
        <v/>
      </c>
      <c r="AG97" s="153">
        <f>$C97*INDEX(Curves!$G$8:$G$68,AG$4-$B97+1)</f>
        <v/>
      </c>
      <c r="AH97" s="153">
        <f>$C97*INDEX(Curves!$G$8:$G$68,AH$4-$B97+1)</f>
        <v/>
      </c>
      <c r="AI97" s="153">
        <f>$C97*INDEX(Curves!$G$8:$G$68,AI$4-$B97+1)</f>
        <v/>
      </c>
      <c r="AJ97" s="153">
        <f>$C97*INDEX(Curves!$G$8:$G$68,AJ$4-$B97+1)</f>
        <v/>
      </c>
      <c r="AK97" s="153">
        <f>$C97*INDEX(Curves!$G$8:$G$68,AK$4-$B97+1)</f>
        <v/>
      </c>
      <c r="AL97" s="153">
        <f>$C97*INDEX(Curves!$G$8:$G$68,AL$4-$B97+1)</f>
        <v/>
      </c>
      <c r="AM97" s="153">
        <f>$C97*INDEX(Curves!$G$8:$G$68,AM$4-$B97+1)</f>
        <v/>
      </c>
      <c r="AN97" s="153">
        <f>$C97*INDEX(Curves!$G$8:$G$68,AN$4-$B97+1)</f>
        <v/>
      </c>
      <c r="AO97" s="153">
        <f>$C97*INDEX(Curves!$G$8:$G$68,AO$4-$B97+1)</f>
        <v/>
      </c>
      <c r="AP97" s="153">
        <f>$C97*INDEX(Curves!$G$8:$G$68,AP$4-$B97+1)</f>
        <v/>
      </c>
      <c r="AQ97" s="153">
        <f>$C97*INDEX(Curves!$G$8:$G$68,AQ$4-$B97+1)</f>
        <v/>
      </c>
      <c r="AR97" s="153">
        <f>$C97*INDEX(Curves!$G$8:$G$68,AR$4-$B97+1)</f>
        <v/>
      </c>
      <c r="AS97" s="153">
        <f>$C97*INDEX(Curves!$G$8:$G$68,AS$4-$B97+1)</f>
        <v/>
      </c>
      <c r="AT97" s="153">
        <f>$C97*INDEX(Curves!$G$8:$G$68,AT$4-$B97+1)</f>
        <v/>
      </c>
      <c r="AU97" s="153">
        <f>$C97*INDEX(Curves!$G$8:$G$68,AU$4-$B97+1)</f>
        <v/>
      </c>
      <c r="AV97" s="153">
        <f>$C97*INDEX(Curves!$G$8:$G$68,AV$4-$B97+1)</f>
        <v/>
      </c>
      <c r="AW97" s="153">
        <f>$C97*INDEX(Curves!$G$8:$G$68,AW$4-$B97+1)</f>
        <v/>
      </c>
      <c r="AX97" s="153">
        <f>$C97*INDEX(Curves!$G$8:$G$68,AX$4-$B97+1)</f>
        <v/>
      </c>
      <c r="AY97" s="153">
        <f>$C97*INDEX(Curves!$G$8:$G$68,AY$4-$B97+1)</f>
        <v/>
      </c>
      <c r="AZ97" s="153">
        <f>$C97*INDEX(Curves!$G$8:$G$68,AZ$4-$B97+1)</f>
        <v/>
      </c>
      <c r="BA97" s="153">
        <f>$C97*INDEX(Curves!$G$8:$G$68,BA$4-$B97+1)</f>
        <v/>
      </c>
      <c r="BB97" s="153">
        <f>$C97*INDEX(Curves!$G$8:$G$68,BB$4-$B97+1)</f>
        <v/>
      </c>
      <c r="BC97" s="153">
        <f>$C97*INDEX(Curves!$G$8:$G$68,BC$4-$B97+1)</f>
        <v/>
      </c>
      <c r="BD97" s="153">
        <f>$C97*INDEX(Curves!$G$8:$G$68,BD$4-$B97+1)</f>
        <v/>
      </c>
      <c r="BE97" s="153">
        <f>$C97*INDEX(Curves!$G$8:$G$68,BE$4-$B97+1)</f>
        <v/>
      </c>
      <c r="BF97" s="153">
        <f>$C97*INDEX(Curves!$G$8:$G$68,BF$4-$B97+1)</f>
        <v/>
      </c>
      <c r="BG97" s="153">
        <f>$C97*INDEX(Curves!$G$8:$G$68,BG$4-$B97+1)</f>
        <v/>
      </c>
      <c r="BH97" s="153">
        <f>$C97*INDEX(Curves!$G$8:$G$68,BH$4-$B97+1)</f>
        <v/>
      </c>
      <c r="BI97" s="153">
        <f>$C97*INDEX(Curves!$G$8:$G$68,BI$4-$B97+1)</f>
        <v/>
      </c>
      <c r="BJ97" s="153">
        <f>$C97*INDEX(Curves!$G$8:$G$68,BJ$4-$B97+1)</f>
        <v/>
      </c>
      <c r="BK97" s="153">
        <f>$C97*INDEX(Curves!$G$8:$G$68,BK$4-$B97+1)</f>
        <v/>
      </c>
      <c r="BL97" s="153">
        <f>$C97*INDEX(Curves!$G$8:$G$68,BL$4-$B97+1)</f>
        <v/>
      </c>
    </row>
    <row r="98">
      <c r="A98" s="147" t="inlineStr">
        <is>
          <t>Cohort month 26</t>
        </is>
      </c>
      <c r="B98" s="147" t="n">
        <v>26</v>
      </c>
      <c r="C98" s="41">
        <f>INDEX(Ops!$E$9:$BL$9,1,$B98)</f>
        <v/>
      </c>
      <c r="AE98" s="153">
        <f>$C98*INDEX(Curves!$G$8:$G$68,AE$4-$B98+1)</f>
        <v/>
      </c>
      <c r="AF98" s="153">
        <f>$C98*INDEX(Curves!$G$8:$G$68,AF$4-$B98+1)</f>
        <v/>
      </c>
      <c r="AG98" s="153">
        <f>$C98*INDEX(Curves!$G$8:$G$68,AG$4-$B98+1)</f>
        <v/>
      </c>
      <c r="AH98" s="153">
        <f>$C98*INDEX(Curves!$G$8:$G$68,AH$4-$B98+1)</f>
        <v/>
      </c>
      <c r="AI98" s="153">
        <f>$C98*INDEX(Curves!$G$8:$G$68,AI$4-$B98+1)</f>
        <v/>
      </c>
      <c r="AJ98" s="153">
        <f>$C98*INDEX(Curves!$G$8:$G$68,AJ$4-$B98+1)</f>
        <v/>
      </c>
      <c r="AK98" s="153">
        <f>$C98*INDEX(Curves!$G$8:$G$68,AK$4-$B98+1)</f>
        <v/>
      </c>
      <c r="AL98" s="153">
        <f>$C98*INDEX(Curves!$G$8:$G$68,AL$4-$B98+1)</f>
        <v/>
      </c>
      <c r="AM98" s="153">
        <f>$C98*INDEX(Curves!$G$8:$G$68,AM$4-$B98+1)</f>
        <v/>
      </c>
      <c r="AN98" s="153">
        <f>$C98*INDEX(Curves!$G$8:$G$68,AN$4-$B98+1)</f>
        <v/>
      </c>
      <c r="AO98" s="153">
        <f>$C98*INDEX(Curves!$G$8:$G$68,AO$4-$B98+1)</f>
        <v/>
      </c>
      <c r="AP98" s="153">
        <f>$C98*INDEX(Curves!$G$8:$G$68,AP$4-$B98+1)</f>
        <v/>
      </c>
      <c r="AQ98" s="153">
        <f>$C98*INDEX(Curves!$G$8:$G$68,AQ$4-$B98+1)</f>
        <v/>
      </c>
      <c r="AR98" s="153">
        <f>$C98*INDEX(Curves!$G$8:$G$68,AR$4-$B98+1)</f>
        <v/>
      </c>
      <c r="AS98" s="153">
        <f>$C98*INDEX(Curves!$G$8:$G$68,AS$4-$B98+1)</f>
        <v/>
      </c>
      <c r="AT98" s="153">
        <f>$C98*INDEX(Curves!$G$8:$G$68,AT$4-$B98+1)</f>
        <v/>
      </c>
      <c r="AU98" s="153">
        <f>$C98*INDEX(Curves!$G$8:$G$68,AU$4-$B98+1)</f>
        <v/>
      </c>
      <c r="AV98" s="153">
        <f>$C98*INDEX(Curves!$G$8:$G$68,AV$4-$B98+1)</f>
        <v/>
      </c>
      <c r="AW98" s="153">
        <f>$C98*INDEX(Curves!$G$8:$G$68,AW$4-$B98+1)</f>
        <v/>
      </c>
      <c r="AX98" s="153">
        <f>$C98*INDEX(Curves!$G$8:$G$68,AX$4-$B98+1)</f>
        <v/>
      </c>
      <c r="AY98" s="153">
        <f>$C98*INDEX(Curves!$G$8:$G$68,AY$4-$B98+1)</f>
        <v/>
      </c>
      <c r="AZ98" s="153">
        <f>$C98*INDEX(Curves!$G$8:$G$68,AZ$4-$B98+1)</f>
        <v/>
      </c>
      <c r="BA98" s="153">
        <f>$C98*INDEX(Curves!$G$8:$G$68,BA$4-$B98+1)</f>
        <v/>
      </c>
      <c r="BB98" s="153">
        <f>$C98*INDEX(Curves!$G$8:$G$68,BB$4-$B98+1)</f>
        <v/>
      </c>
      <c r="BC98" s="153">
        <f>$C98*INDEX(Curves!$G$8:$G$68,BC$4-$B98+1)</f>
        <v/>
      </c>
      <c r="BD98" s="153">
        <f>$C98*INDEX(Curves!$G$8:$G$68,BD$4-$B98+1)</f>
        <v/>
      </c>
      <c r="BE98" s="153">
        <f>$C98*INDEX(Curves!$G$8:$G$68,BE$4-$B98+1)</f>
        <v/>
      </c>
      <c r="BF98" s="153">
        <f>$C98*INDEX(Curves!$G$8:$G$68,BF$4-$B98+1)</f>
        <v/>
      </c>
      <c r="BG98" s="153">
        <f>$C98*INDEX(Curves!$G$8:$G$68,BG$4-$B98+1)</f>
        <v/>
      </c>
      <c r="BH98" s="153">
        <f>$C98*INDEX(Curves!$G$8:$G$68,BH$4-$B98+1)</f>
        <v/>
      </c>
      <c r="BI98" s="153">
        <f>$C98*INDEX(Curves!$G$8:$G$68,BI$4-$B98+1)</f>
        <v/>
      </c>
      <c r="BJ98" s="153">
        <f>$C98*INDEX(Curves!$G$8:$G$68,BJ$4-$B98+1)</f>
        <v/>
      </c>
      <c r="BK98" s="153">
        <f>$C98*INDEX(Curves!$G$8:$G$68,BK$4-$B98+1)</f>
        <v/>
      </c>
      <c r="BL98" s="153">
        <f>$C98*INDEX(Curves!$G$8:$G$68,BL$4-$B98+1)</f>
        <v/>
      </c>
    </row>
    <row r="99">
      <c r="A99" s="147" t="inlineStr">
        <is>
          <t>Cohort month 27</t>
        </is>
      </c>
      <c r="B99" s="147" t="n">
        <v>27</v>
      </c>
      <c r="C99" s="41">
        <f>INDEX(Ops!$E$9:$BL$9,1,$B99)</f>
        <v/>
      </c>
      <c r="AF99" s="153">
        <f>$C99*INDEX(Curves!$G$8:$G$68,AF$4-$B99+1)</f>
        <v/>
      </c>
      <c r="AG99" s="153">
        <f>$C99*INDEX(Curves!$G$8:$G$68,AG$4-$B99+1)</f>
        <v/>
      </c>
      <c r="AH99" s="153">
        <f>$C99*INDEX(Curves!$G$8:$G$68,AH$4-$B99+1)</f>
        <v/>
      </c>
      <c r="AI99" s="153">
        <f>$C99*INDEX(Curves!$G$8:$G$68,AI$4-$B99+1)</f>
        <v/>
      </c>
      <c r="AJ99" s="153">
        <f>$C99*INDEX(Curves!$G$8:$G$68,AJ$4-$B99+1)</f>
        <v/>
      </c>
      <c r="AK99" s="153">
        <f>$C99*INDEX(Curves!$G$8:$G$68,AK$4-$B99+1)</f>
        <v/>
      </c>
      <c r="AL99" s="153">
        <f>$C99*INDEX(Curves!$G$8:$G$68,AL$4-$B99+1)</f>
        <v/>
      </c>
      <c r="AM99" s="153">
        <f>$C99*INDEX(Curves!$G$8:$G$68,AM$4-$B99+1)</f>
        <v/>
      </c>
      <c r="AN99" s="153">
        <f>$C99*INDEX(Curves!$G$8:$G$68,AN$4-$B99+1)</f>
        <v/>
      </c>
      <c r="AO99" s="153">
        <f>$C99*INDEX(Curves!$G$8:$G$68,AO$4-$B99+1)</f>
        <v/>
      </c>
      <c r="AP99" s="153">
        <f>$C99*INDEX(Curves!$G$8:$G$68,AP$4-$B99+1)</f>
        <v/>
      </c>
      <c r="AQ99" s="153">
        <f>$C99*INDEX(Curves!$G$8:$G$68,AQ$4-$B99+1)</f>
        <v/>
      </c>
      <c r="AR99" s="153">
        <f>$C99*INDEX(Curves!$G$8:$G$68,AR$4-$B99+1)</f>
        <v/>
      </c>
      <c r="AS99" s="153">
        <f>$C99*INDEX(Curves!$G$8:$G$68,AS$4-$B99+1)</f>
        <v/>
      </c>
      <c r="AT99" s="153">
        <f>$C99*INDEX(Curves!$G$8:$G$68,AT$4-$B99+1)</f>
        <v/>
      </c>
      <c r="AU99" s="153">
        <f>$C99*INDEX(Curves!$G$8:$G$68,AU$4-$B99+1)</f>
        <v/>
      </c>
      <c r="AV99" s="153">
        <f>$C99*INDEX(Curves!$G$8:$G$68,AV$4-$B99+1)</f>
        <v/>
      </c>
      <c r="AW99" s="153">
        <f>$C99*INDEX(Curves!$G$8:$G$68,AW$4-$B99+1)</f>
        <v/>
      </c>
      <c r="AX99" s="153">
        <f>$C99*INDEX(Curves!$G$8:$G$68,AX$4-$B99+1)</f>
        <v/>
      </c>
      <c r="AY99" s="153">
        <f>$C99*INDEX(Curves!$G$8:$G$68,AY$4-$B99+1)</f>
        <v/>
      </c>
      <c r="AZ99" s="153">
        <f>$C99*INDEX(Curves!$G$8:$G$68,AZ$4-$B99+1)</f>
        <v/>
      </c>
      <c r="BA99" s="153">
        <f>$C99*INDEX(Curves!$G$8:$G$68,BA$4-$B99+1)</f>
        <v/>
      </c>
      <c r="BB99" s="153">
        <f>$C99*INDEX(Curves!$G$8:$G$68,BB$4-$B99+1)</f>
        <v/>
      </c>
      <c r="BC99" s="153">
        <f>$C99*INDEX(Curves!$G$8:$G$68,BC$4-$B99+1)</f>
        <v/>
      </c>
      <c r="BD99" s="153">
        <f>$C99*INDEX(Curves!$G$8:$G$68,BD$4-$B99+1)</f>
        <v/>
      </c>
      <c r="BE99" s="153">
        <f>$C99*INDEX(Curves!$G$8:$G$68,BE$4-$B99+1)</f>
        <v/>
      </c>
      <c r="BF99" s="153">
        <f>$C99*INDEX(Curves!$G$8:$G$68,BF$4-$B99+1)</f>
        <v/>
      </c>
      <c r="BG99" s="153">
        <f>$C99*INDEX(Curves!$G$8:$G$68,BG$4-$B99+1)</f>
        <v/>
      </c>
      <c r="BH99" s="153">
        <f>$C99*INDEX(Curves!$G$8:$G$68,BH$4-$B99+1)</f>
        <v/>
      </c>
      <c r="BI99" s="153">
        <f>$C99*INDEX(Curves!$G$8:$G$68,BI$4-$B99+1)</f>
        <v/>
      </c>
      <c r="BJ99" s="153">
        <f>$C99*INDEX(Curves!$G$8:$G$68,BJ$4-$B99+1)</f>
        <v/>
      </c>
      <c r="BK99" s="153">
        <f>$C99*INDEX(Curves!$G$8:$G$68,BK$4-$B99+1)</f>
        <v/>
      </c>
      <c r="BL99" s="153">
        <f>$C99*INDEX(Curves!$G$8:$G$68,BL$4-$B99+1)</f>
        <v/>
      </c>
    </row>
    <row r="100">
      <c r="A100" s="147" t="inlineStr">
        <is>
          <t>Cohort month 28</t>
        </is>
      </c>
      <c r="B100" s="147" t="n">
        <v>28</v>
      </c>
      <c r="C100" s="41">
        <f>INDEX(Ops!$E$9:$BL$9,1,$B100)</f>
        <v/>
      </c>
      <c r="AG100" s="153">
        <f>$C100*INDEX(Curves!$G$8:$G$68,AG$4-$B100+1)</f>
        <v/>
      </c>
      <c r="AH100" s="153">
        <f>$C100*INDEX(Curves!$G$8:$G$68,AH$4-$B100+1)</f>
        <v/>
      </c>
      <c r="AI100" s="153">
        <f>$C100*INDEX(Curves!$G$8:$G$68,AI$4-$B100+1)</f>
        <v/>
      </c>
      <c r="AJ100" s="153">
        <f>$C100*INDEX(Curves!$G$8:$G$68,AJ$4-$B100+1)</f>
        <v/>
      </c>
      <c r="AK100" s="153">
        <f>$C100*INDEX(Curves!$G$8:$G$68,AK$4-$B100+1)</f>
        <v/>
      </c>
      <c r="AL100" s="153">
        <f>$C100*INDEX(Curves!$G$8:$G$68,AL$4-$B100+1)</f>
        <v/>
      </c>
      <c r="AM100" s="153">
        <f>$C100*INDEX(Curves!$G$8:$G$68,AM$4-$B100+1)</f>
        <v/>
      </c>
      <c r="AN100" s="153">
        <f>$C100*INDEX(Curves!$G$8:$G$68,AN$4-$B100+1)</f>
        <v/>
      </c>
      <c r="AO100" s="153">
        <f>$C100*INDEX(Curves!$G$8:$G$68,AO$4-$B100+1)</f>
        <v/>
      </c>
      <c r="AP100" s="153">
        <f>$C100*INDEX(Curves!$G$8:$G$68,AP$4-$B100+1)</f>
        <v/>
      </c>
      <c r="AQ100" s="153">
        <f>$C100*INDEX(Curves!$G$8:$G$68,AQ$4-$B100+1)</f>
        <v/>
      </c>
      <c r="AR100" s="153">
        <f>$C100*INDEX(Curves!$G$8:$G$68,AR$4-$B100+1)</f>
        <v/>
      </c>
      <c r="AS100" s="153">
        <f>$C100*INDEX(Curves!$G$8:$G$68,AS$4-$B100+1)</f>
        <v/>
      </c>
      <c r="AT100" s="153">
        <f>$C100*INDEX(Curves!$G$8:$G$68,AT$4-$B100+1)</f>
        <v/>
      </c>
      <c r="AU100" s="153">
        <f>$C100*INDEX(Curves!$G$8:$G$68,AU$4-$B100+1)</f>
        <v/>
      </c>
      <c r="AV100" s="153">
        <f>$C100*INDEX(Curves!$G$8:$G$68,AV$4-$B100+1)</f>
        <v/>
      </c>
      <c r="AW100" s="153">
        <f>$C100*INDEX(Curves!$G$8:$G$68,AW$4-$B100+1)</f>
        <v/>
      </c>
      <c r="AX100" s="153">
        <f>$C100*INDEX(Curves!$G$8:$G$68,AX$4-$B100+1)</f>
        <v/>
      </c>
      <c r="AY100" s="153">
        <f>$C100*INDEX(Curves!$G$8:$G$68,AY$4-$B100+1)</f>
        <v/>
      </c>
      <c r="AZ100" s="153">
        <f>$C100*INDEX(Curves!$G$8:$G$68,AZ$4-$B100+1)</f>
        <v/>
      </c>
      <c r="BA100" s="153">
        <f>$C100*INDEX(Curves!$G$8:$G$68,BA$4-$B100+1)</f>
        <v/>
      </c>
      <c r="BB100" s="153">
        <f>$C100*INDEX(Curves!$G$8:$G$68,BB$4-$B100+1)</f>
        <v/>
      </c>
      <c r="BC100" s="153">
        <f>$C100*INDEX(Curves!$G$8:$G$68,BC$4-$B100+1)</f>
        <v/>
      </c>
      <c r="BD100" s="153">
        <f>$C100*INDEX(Curves!$G$8:$G$68,BD$4-$B100+1)</f>
        <v/>
      </c>
      <c r="BE100" s="153">
        <f>$C100*INDEX(Curves!$G$8:$G$68,BE$4-$B100+1)</f>
        <v/>
      </c>
      <c r="BF100" s="153">
        <f>$C100*INDEX(Curves!$G$8:$G$68,BF$4-$B100+1)</f>
        <v/>
      </c>
      <c r="BG100" s="153">
        <f>$C100*INDEX(Curves!$G$8:$G$68,BG$4-$B100+1)</f>
        <v/>
      </c>
      <c r="BH100" s="153">
        <f>$C100*INDEX(Curves!$G$8:$G$68,BH$4-$B100+1)</f>
        <v/>
      </c>
      <c r="BI100" s="153">
        <f>$C100*INDEX(Curves!$G$8:$G$68,BI$4-$B100+1)</f>
        <v/>
      </c>
      <c r="BJ100" s="153">
        <f>$C100*INDEX(Curves!$G$8:$G$68,BJ$4-$B100+1)</f>
        <v/>
      </c>
      <c r="BK100" s="153">
        <f>$C100*INDEX(Curves!$G$8:$G$68,BK$4-$B100+1)</f>
        <v/>
      </c>
      <c r="BL100" s="153">
        <f>$C100*INDEX(Curves!$G$8:$G$68,BL$4-$B100+1)</f>
        <v/>
      </c>
    </row>
    <row r="101">
      <c r="A101" s="147" t="inlineStr">
        <is>
          <t>Cohort month 29</t>
        </is>
      </c>
      <c r="B101" s="147" t="n">
        <v>29</v>
      </c>
      <c r="C101" s="41">
        <f>INDEX(Ops!$E$9:$BL$9,1,$B101)</f>
        <v/>
      </c>
      <c r="AH101" s="153">
        <f>$C101*INDEX(Curves!$G$8:$G$68,AH$4-$B101+1)</f>
        <v/>
      </c>
      <c r="AI101" s="153">
        <f>$C101*INDEX(Curves!$G$8:$G$68,AI$4-$B101+1)</f>
        <v/>
      </c>
      <c r="AJ101" s="153">
        <f>$C101*INDEX(Curves!$G$8:$G$68,AJ$4-$B101+1)</f>
        <v/>
      </c>
      <c r="AK101" s="153">
        <f>$C101*INDEX(Curves!$G$8:$G$68,AK$4-$B101+1)</f>
        <v/>
      </c>
      <c r="AL101" s="153">
        <f>$C101*INDEX(Curves!$G$8:$G$68,AL$4-$B101+1)</f>
        <v/>
      </c>
      <c r="AM101" s="153">
        <f>$C101*INDEX(Curves!$G$8:$G$68,AM$4-$B101+1)</f>
        <v/>
      </c>
      <c r="AN101" s="153">
        <f>$C101*INDEX(Curves!$G$8:$G$68,AN$4-$B101+1)</f>
        <v/>
      </c>
      <c r="AO101" s="153">
        <f>$C101*INDEX(Curves!$G$8:$G$68,AO$4-$B101+1)</f>
        <v/>
      </c>
      <c r="AP101" s="153">
        <f>$C101*INDEX(Curves!$G$8:$G$68,AP$4-$B101+1)</f>
        <v/>
      </c>
      <c r="AQ101" s="153">
        <f>$C101*INDEX(Curves!$G$8:$G$68,AQ$4-$B101+1)</f>
        <v/>
      </c>
      <c r="AR101" s="153">
        <f>$C101*INDEX(Curves!$G$8:$G$68,AR$4-$B101+1)</f>
        <v/>
      </c>
      <c r="AS101" s="153">
        <f>$C101*INDEX(Curves!$G$8:$G$68,AS$4-$B101+1)</f>
        <v/>
      </c>
      <c r="AT101" s="153">
        <f>$C101*INDEX(Curves!$G$8:$G$68,AT$4-$B101+1)</f>
        <v/>
      </c>
      <c r="AU101" s="153">
        <f>$C101*INDEX(Curves!$G$8:$G$68,AU$4-$B101+1)</f>
        <v/>
      </c>
      <c r="AV101" s="153">
        <f>$C101*INDEX(Curves!$G$8:$G$68,AV$4-$B101+1)</f>
        <v/>
      </c>
      <c r="AW101" s="153">
        <f>$C101*INDEX(Curves!$G$8:$G$68,AW$4-$B101+1)</f>
        <v/>
      </c>
      <c r="AX101" s="153">
        <f>$C101*INDEX(Curves!$G$8:$G$68,AX$4-$B101+1)</f>
        <v/>
      </c>
      <c r="AY101" s="153">
        <f>$C101*INDEX(Curves!$G$8:$G$68,AY$4-$B101+1)</f>
        <v/>
      </c>
      <c r="AZ101" s="153">
        <f>$C101*INDEX(Curves!$G$8:$G$68,AZ$4-$B101+1)</f>
        <v/>
      </c>
      <c r="BA101" s="153">
        <f>$C101*INDEX(Curves!$G$8:$G$68,BA$4-$B101+1)</f>
        <v/>
      </c>
      <c r="BB101" s="153">
        <f>$C101*INDEX(Curves!$G$8:$G$68,BB$4-$B101+1)</f>
        <v/>
      </c>
      <c r="BC101" s="153">
        <f>$C101*INDEX(Curves!$G$8:$G$68,BC$4-$B101+1)</f>
        <v/>
      </c>
      <c r="BD101" s="153">
        <f>$C101*INDEX(Curves!$G$8:$G$68,BD$4-$B101+1)</f>
        <v/>
      </c>
      <c r="BE101" s="153">
        <f>$C101*INDEX(Curves!$G$8:$G$68,BE$4-$B101+1)</f>
        <v/>
      </c>
      <c r="BF101" s="153">
        <f>$C101*INDEX(Curves!$G$8:$G$68,BF$4-$B101+1)</f>
        <v/>
      </c>
      <c r="BG101" s="153">
        <f>$C101*INDEX(Curves!$G$8:$G$68,BG$4-$B101+1)</f>
        <v/>
      </c>
      <c r="BH101" s="153">
        <f>$C101*INDEX(Curves!$G$8:$G$68,BH$4-$B101+1)</f>
        <v/>
      </c>
      <c r="BI101" s="153">
        <f>$C101*INDEX(Curves!$G$8:$G$68,BI$4-$B101+1)</f>
        <v/>
      </c>
      <c r="BJ101" s="153">
        <f>$C101*INDEX(Curves!$G$8:$G$68,BJ$4-$B101+1)</f>
        <v/>
      </c>
      <c r="BK101" s="153">
        <f>$C101*INDEX(Curves!$G$8:$G$68,BK$4-$B101+1)</f>
        <v/>
      </c>
      <c r="BL101" s="153">
        <f>$C101*INDEX(Curves!$G$8:$G$68,BL$4-$B101+1)</f>
        <v/>
      </c>
    </row>
    <row r="102">
      <c r="A102" s="147" t="inlineStr">
        <is>
          <t>Cohort month 30</t>
        </is>
      </c>
      <c r="B102" s="147" t="n">
        <v>30</v>
      </c>
      <c r="C102" s="41">
        <f>INDEX(Ops!$E$9:$BL$9,1,$B102)</f>
        <v/>
      </c>
      <c r="AI102" s="153">
        <f>$C102*INDEX(Curves!$G$8:$G$68,AI$4-$B102+1)</f>
        <v/>
      </c>
      <c r="AJ102" s="153">
        <f>$C102*INDEX(Curves!$G$8:$G$68,AJ$4-$B102+1)</f>
        <v/>
      </c>
      <c r="AK102" s="153">
        <f>$C102*INDEX(Curves!$G$8:$G$68,AK$4-$B102+1)</f>
        <v/>
      </c>
      <c r="AL102" s="153">
        <f>$C102*INDEX(Curves!$G$8:$G$68,AL$4-$B102+1)</f>
        <v/>
      </c>
      <c r="AM102" s="153">
        <f>$C102*INDEX(Curves!$G$8:$G$68,AM$4-$B102+1)</f>
        <v/>
      </c>
      <c r="AN102" s="153">
        <f>$C102*INDEX(Curves!$G$8:$G$68,AN$4-$B102+1)</f>
        <v/>
      </c>
      <c r="AO102" s="153">
        <f>$C102*INDEX(Curves!$G$8:$G$68,AO$4-$B102+1)</f>
        <v/>
      </c>
      <c r="AP102" s="153">
        <f>$C102*INDEX(Curves!$G$8:$G$68,AP$4-$B102+1)</f>
        <v/>
      </c>
      <c r="AQ102" s="153">
        <f>$C102*INDEX(Curves!$G$8:$G$68,AQ$4-$B102+1)</f>
        <v/>
      </c>
      <c r="AR102" s="153">
        <f>$C102*INDEX(Curves!$G$8:$G$68,AR$4-$B102+1)</f>
        <v/>
      </c>
      <c r="AS102" s="153">
        <f>$C102*INDEX(Curves!$G$8:$G$68,AS$4-$B102+1)</f>
        <v/>
      </c>
      <c r="AT102" s="153">
        <f>$C102*INDEX(Curves!$G$8:$G$68,AT$4-$B102+1)</f>
        <v/>
      </c>
      <c r="AU102" s="153">
        <f>$C102*INDEX(Curves!$G$8:$G$68,AU$4-$B102+1)</f>
        <v/>
      </c>
      <c r="AV102" s="153">
        <f>$C102*INDEX(Curves!$G$8:$G$68,AV$4-$B102+1)</f>
        <v/>
      </c>
      <c r="AW102" s="153">
        <f>$C102*INDEX(Curves!$G$8:$G$68,AW$4-$B102+1)</f>
        <v/>
      </c>
      <c r="AX102" s="153">
        <f>$C102*INDEX(Curves!$G$8:$G$68,AX$4-$B102+1)</f>
        <v/>
      </c>
      <c r="AY102" s="153">
        <f>$C102*INDEX(Curves!$G$8:$G$68,AY$4-$B102+1)</f>
        <v/>
      </c>
      <c r="AZ102" s="153">
        <f>$C102*INDEX(Curves!$G$8:$G$68,AZ$4-$B102+1)</f>
        <v/>
      </c>
      <c r="BA102" s="153">
        <f>$C102*INDEX(Curves!$G$8:$G$68,BA$4-$B102+1)</f>
        <v/>
      </c>
      <c r="BB102" s="153">
        <f>$C102*INDEX(Curves!$G$8:$G$68,BB$4-$B102+1)</f>
        <v/>
      </c>
      <c r="BC102" s="153">
        <f>$C102*INDEX(Curves!$G$8:$G$68,BC$4-$B102+1)</f>
        <v/>
      </c>
      <c r="BD102" s="153">
        <f>$C102*INDEX(Curves!$G$8:$G$68,BD$4-$B102+1)</f>
        <v/>
      </c>
      <c r="BE102" s="153">
        <f>$C102*INDEX(Curves!$G$8:$G$68,BE$4-$B102+1)</f>
        <v/>
      </c>
      <c r="BF102" s="153">
        <f>$C102*INDEX(Curves!$G$8:$G$68,BF$4-$B102+1)</f>
        <v/>
      </c>
      <c r="BG102" s="153">
        <f>$C102*INDEX(Curves!$G$8:$G$68,BG$4-$B102+1)</f>
        <v/>
      </c>
      <c r="BH102" s="153">
        <f>$C102*INDEX(Curves!$G$8:$G$68,BH$4-$B102+1)</f>
        <v/>
      </c>
      <c r="BI102" s="153">
        <f>$C102*INDEX(Curves!$G$8:$G$68,BI$4-$B102+1)</f>
        <v/>
      </c>
      <c r="BJ102" s="153">
        <f>$C102*INDEX(Curves!$G$8:$G$68,BJ$4-$B102+1)</f>
        <v/>
      </c>
      <c r="BK102" s="153">
        <f>$C102*INDEX(Curves!$G$8:$G$68,BK$4-$B102+1)</f>
        <v/>
      </c>
      <c r="BL102" s="153">
        <f>$C102*INDEX(Curves!$G$8:$G$68,BL$4-$B102+1)</f>
        <v/>
      </c>
    </row>
    <row r="103">
      <c r="A103" s="147" t="inlineStr">
        <is>
          <t>Cohort month 31</t>
        </is>
      </c>
      <c r="B103" s="147" t="n">
        <v>31</v>
      </c>
      <c r="C103" s="41">
        <f>INDEX(Ops!$E$9:$BL$9,1,$B103)</f>
        <v/>
      </c>
      <c r="AJ103" s="153">
        <f>$C103*INDEX(Curves!$G$8:$G$68,AJ$4-$B103+1)</f>
        <v/>
      </c>
      <c r="AK103" s="153">
        <f>$C103*INDEX(Curves!$G$8:$G$68,AK$4-$B103+1)</f>
        <v/>
      </c>
      <c r="AL103" s="153">
        <f>$C103*INDEX(Curves!$G$8:$G$68,AL$4-$B103+1)</f>
        <v/>
      </c>
      <c r="AM103" s="153">
        <f>$C103*INDEX(Curves!$G$8:$G$68,AM$4-$B103+1)</f>
        <v/>
      </c>
      <c r="AN103" s="153">
        <f>$C103*INDEX(Curves!$G$8:$G$68,AN$4-$B103+1)</f>
        <v/>
      </c>
      <c r="AO103" s="153">
        <f>$C103*INDEX(Curves!$G$8:$G$68,AO$4-$B103+1)</f>
        <v/>
      </c>
      <c r="AP103" s="153">
        <f>$C103*INDEX(Curves!$G$8:$G$68,AP$4-$B103+1)</f>
        <v/>
      </c>
      <c r="AQ103" s="153">
        <f>$C103*INDEX(Curves!$G$8:$G$68,AQ$4-$B103+1)</f>
        <v/>
      </c>
      <c r="AR103" s="153">
        <f>$C103*INDEX(Curves!$G$8:$G$68,AR$4-$B103+1)</f>
        <v/>
      </c>
      <c r="AS103" s="153">
        <f>$C103*INDEX(Curves!$G$8:$G$68,AS$4-$B103+1)</f>
        <v/>
      </c>
      <c r="AT103" s="153">
        <f>$C103*INDEX(Curves!$G$8:$G$68,AT$4-$B103+1)</f>
        <v/>
      </c>
      <c r="AU103" s="153">
        <f>$C103*INDEX(Curves!$G$8:$G$68,AU$4-$B103+1)</f>
        <v/>
      </c>
      <c r="AV103" s="153">
        <f>$C103*INDEX(Curves!$G$8:$G$68,AV$4-$B103+1)</f>
        <v/>
      </c>
      <c r="AW103" s="153">
        <f>$C103*INDEX(Curves!$G$8:$G$68,AW$4-$B103+1)</f>
        <v/>
      </c>
      <c r="AX103" s="153">
        <f>$C103*INDEX(Curves!$G$8:$G$68,AX$4-$B103+1)</f>
        <v/>
      </c>
      <c r="AY103" s="153">
        <f>$C103*INDEX(Curves!$G$8:$G$68,AY$4-$B103+1)</f>
        <v/>
      </c>
      <c r="AZ103" s="153">
        <f>$C103*INDEX(Curves!$G$8:$G$68,AZ$4-$B103+1)</f>
        <v/>
      </c>
      <c r="BA103" s="153">
        <f>$C103*INDEX(Curves!$G$8:$G$68,BA$4-$B103+1)</f>
        <v/>
      </c>
      <c r="BB103" s="153">
        <f>$C103*INDEX(Curves!$G$8:$G$68,BB$4-$B103+1)</f>
        <v/>
      </c>
      <c r="BC103" s="153">
        <f>$C103*INDEX(Curves!$G$8:$G$68,BC$4-$B103+1)</f>
        <v/>
      </c>
      <c r="BD103" s="153">
        <f>$C103*INDEX(Curves!$G$8:$G$68,BD$4-$B103+1)</f>
        <v/>
      </c>
      <c r="BE103" s="153">
        <f>$C103*INDEX(Curves!$G$8:$G$68,BE$4-$B103+1)</f>
        <v/>
      </c>
      <c r="BF103" s="153">
        <f>$C103*INDEX(Curves!$G$8:$G$68,BF$4-$B103+1)</f>
        <v/>
      </c>
      <c r="BG103" s="153">
        <f>$C103*INDEX(Curves!$G$8:$G$68,BG$4-$B103+1)</f>
        <v/>
      </c>
      <c r="BH103" s="153">
        <f>$C103*INDEX(Curves!$G$8:$G$68,BH$4-$B103+1)</f>
        <v/>
      </c>
      <c r="BI103" s="153">
        <f>$C103*INDEX(Curves!$G$8:$G$68,BI$4-$B103+1)</f>
        <v/>
      </c>
      <c r="BJ103" s="153">
        <f>$C103*INDEX(Curves!$G$8:$G$68,BJ$4-$B103+1)</f>
        <v/>
      </c>
      <c r="BK103" s="153">
        <f>$C103*INDEX(Curves!$G$8:$G$68,BK$4-$B103+1)</f>
        <v/>
      </c>
      <c r="BL103" s="153">
        <f>$C103*INDEX(Curves!$G$8:$G$68,BL$4-$B103+1)</f>
        <v/>
      </c>
    </row>
    <row r="104">
      <c r="A104" s="147" t="inlineStr">
        <is>
          <t>Cohort month 32</t>
        </is>
      </c>
      <c r="B104" s="147" t="n">
        <v>32</v>
      </c>
      <c r="C104" s="41">
        <f>INDEX(Ops!$E$9:$BL$9,1,$B104)</f>
        <v/>
      </c>
      <c r="AK104" s="153">
        <f>$C104*INDEX(Curves!$G$8:$G$68,AK$4-$B104+1)</f>
        <v/>
      </c>
      <c r="AL104" s="153">
        <f>$C104*INDEX(Curves!$G$8:$G$68,AL$4-$B104+1)</f>
        <v/>
      </c>
      <c r="AM104" s="153">
        <f>$C104*INDEX(Curves!$G$8:$G$68,AM$4-$B104+1)</f>
        <v/>
      </c>
      <c r="AN104" s="153">
        <f>$C104*INDEX(Curves!$G$8:$G$68,AN$4-$B104+1)</f>
        <v/>
      </c>
      <c r="AO104" s="153">
        <f>$C104*INDEX(Curves!$G$8:$G$68,AO$4-$B104+1)</f>
        <v/>
      </c>
      <c r="AP104" s="153">
        <f>$C104*INDEX(Curves!$G$8:$G$68,AP$4-$B104+1)</f>
        <v/>
      </c>
      <c r="AQ104" s="153">
        <f>$C104*INDEX(Curves!$G$8:$G$68,AQ$4-$B104+1)</f>
        <v/>
      </c>
      <c r="AR104" s="153">
        <f>$C104*INDEX(Curves!$G$8:$G$68,AR$4-$B104+1)</f>
        <v/>
      </c>
      <c r="AS104" s="153">
        <f>$C104*INDEX(Curves!$G$8:$G$68,AS$4-$B104+1)</f>
        <v/>
      </c>
      <c r="AT104" s="153">
        <f>$C104*INDEX(Curves!$G$8:$G$68,AT$4-$B104+1)</f>
        <v/>
      </c>
      <c r="AU104" s="153">
        <f>$C104*INDEX(Curves!$G$8:$G$68,AU$4-$B104+1)</f>
        <v/>
      </c>
      <c r="AV104" s="153">
        <f>$C104*INDEX(Curves!$G$8:$G$68,AV$4-$B104+1)</f>
        <v/>
      </c>
      <c r="AW104" s="153">
        <f>$C104*INDEX(Curves!$G$8:$G$68,AW$4-$B104+1)</f>
        <v/>
      </c>
      <c r="AX104" s="153">
        <f>$C104*INDEX(Curves!$G$8:$G$68,AX$4-$B104+1)</f>
        <v/>
      </c>
      <c r="AY104" s="153">
        <f>$C104*INDEX(Curves!$G$8:$G$68,AY$4-$B104+1)</f>
        <v/>
      </c>
      <c r="AZ104" s="153">
        <f>$C104*INDEX(Curves!$G$8:$G$68,AZ$4-$B104+1)</f>
        <v/>
      </c>
      <c r="BA104" s="153">
        <f>$C104*INDEX(Curves!$G$8:$G$68,BA$4-$B104+1)</f>
        <v/>
      </c>
      <c r="BB104" s="153">
        <f>$C104*INDEX(Curves!$G$8:$G$68,BB$4-$B104+1)</f>
        <v/>
      </c>
      <c r="BC104" s="153">
        <f>$C104*INDEX(Curves!$G$8:$G$68,BC$4-$B104+1)</f>
        <v/>
      </c>
      <c r="BD104" s="153">
        <f>$C104*INDEX(Curves!$G$8:$G$68,BD$4-$B104+1)</f>
        <v/>
      </c>
      <c r="BE104" s="153">
        <f>$C104*INDEX(Curves!$G$8:$G$68,BE$4-$B104+1)</f>
        <v/>
      </c>
      <c r="BF104" s="153">
        <f>$C104*INDEX(Curves!$G$8:$G$68,BF$4-$B104+1)</f>
        <v/>
      </c>
      <c r="BG104" s="153">
        <f>$C104*INDEX(Curves!$G$8:$G$68,BG$4-$B104+1)</f>
        <v/>
      </c>
      <c r="BH104" s="153">
        <f>$C104*INDEX(Curves!$G$8:$G$68,BH$4-$B104+1)</f>
        <v/>
      </c>
      <c r="BI104" s="153">
        <f>$C104*INDEX(Curves!$G$8:$G$68,BI$4-$B104+1)</f>
        <v/>
      </c>
      <c r="BJ104" s="153">
        <f>$C104*INDEX(Curves!$G$8:$G$68,BJ$4-$B104+1)</f>
        <v/>
      </c>
      <c r="BK104" s="153">
        <f>$C104*INDEX(Curves!$G$8:$G$68,BK$4-$B104+1)</f>
        <v/>
      </c>
      <c r="BL104" s="153">
        <f>$C104*INDEX(Curves!$G$8:$G$68,BL$4-$B104+1)</f>
        <v/>
      </c>
    </row>
    <row r="105">
      <c r="A105" s="147" t="inlineStr">
        <is>
          <t>Cohort month 33</t>
        </is>
      </c>
      <c r="B105" s="147" t="n">
        <v>33</v>
      </c>
      <c r="C105" s="41">
        <f>INDEX(Ops!$E$9:$BL$9,1,$B105)</f>
        <v/>
      </c>
      <c r="AL105" s="153">
        <f>$C105*INDEX(Curves!$G$8:$G$68,AL$4-$B105+1)</f>
        <v/>
      </c>
      <c r="AM105" s="153">
        <f>$C105*INDEX(Curves!$G$8:$G$68,AM$4-$B105+1)</f>
        <v/>
      </c>
      <c r="AN105" s="153">
        <f>$C105*INDEX(Curves!$G$8:$G$68,AN$4-$B105+1)</f>
        <v/>
      </c>
      <c r="AO105" s="153">
        <f>$C105*INDEX(Curves!$G$8:$G$68,AO$4-$B105+1)</f>
        <v/>
      </c>
      <c r="AP105" s="153">
        <f>$C105*INDEX(Curves!$G$8:$G$68,AP$4-$B105+1)</f>
        <v/>
      </c>
      <c r="AQ105" s="153">
        <f>$C105*INDEX(Curves!$G$8:$G$68,AQ$4-$B105+1)</f>
        <v/>
      </c>
      <c r="AR105" s="153">
        <f>$C105*INDEX(Curves!$G$8:$G$68,AR$4-$B105+1)</f>
        <v/>
      </c>
      <c r="AS105" s="153">
        <f>$C105*INDEX(Curves!$G$8:$G$68,AS$4-$B105+1)</f>
        <v/>
      </c>
      <c r="AT105" s="153">
        <f>$C105*INDEX(Curves!$G$8:$G$68,AT$4-$B105+1)</f>
        <v/>
      </c>
      <c r="AU105" s="153">
        <f>$C105*INDEX(Curves!$G$8:$G$68,AU$4-$B105+1)</f>
        <v/>
      </c>
      <c r="AV105" s="153">
        <f>$C105*INDEX(Curves!$G$8:$G$68,AV$4-$B105+1)</f>
        <v/>
      </c>
      <c r="AW105" s="153">
        <f>$C105*INDEX(Curves!$G$8:$G$68,AW$4-$B105+1)</f>
        <v/>
      </c>
      <c r="AX105" s="153">
        <f>$C105*INDEX(Curves!$G$8:$G$68,AX$4-$B105+1)</f>
        <v/>
      </c>
      <c r="AY105" s="153">
        <f>$C105*INDEX(Curves!$G$8:$G$68,AY$4-$B105+1)</f>
        <v/>
      </c>
      <c r="AZ105" s="153">
        <f>$C105*INDEX(Curves!$G$8:$G$68,AZ$4-$B105+1)</f>
        <v/>
      </c>
      <c r="BA105" s="153">
        <f>$C105*INDEX(Curves!$G$8:$G$68,BA$4-$B105+1)</f>
        <v/>
      </c>
      <c r="BB105" s="153">
        <f>$C105*INDEX(Curves!$G$8:$G$68,BB$4-$B105+1)</f>
        <v/>
      </c>
      <c r="BC105" s="153">
        <f>$C105*INDEX(Curves!$G$8:$G$68,BC$4-$B105+1)</f>
        <v/>
      </c>
      <c r="BD105" s="153">
        <f>$C105*INDEX(Curves!$G$8:$G$68,BD$4-$B105+1)</f>
        <v/>
      </c>
      <c r="BE105" s="153">
        <f>$C105*INDEX(Curves!$G$8:$G$68,BE$4-$B105+1)</f>
        <v/>
      </c>
      <c r="BF105" s="153">
        <f>$C105*INDEX(Curves!$G$8:$G$68,BF$4-$B105+1)</f>
        <v/>
      </c>
      <c r="BG105" s="153">
        <f>$C105*INDEX(Curves!$G$8:$G$68,BG$4-$B105+1)</f>
        <v/>
      </c>
      <c r="BH105" s="153">
        <f>$C105*INDEX(Curves!$G$8:$G$68,BH$4-$B105+1)</f>
        <v/>
      </c>
      <c r="BI105" s="153">
        <f>$C105*INDEX(Curves!$G$8:$G$68,BI$4-$B105+1)</f>
        <v/>
      </c>
      <c r="BJ105" s="153">
        <f>$C105*INDEX(Curves!$G$8:$G$68,BJ$4-$B105+1)</f>
        <v/>
      </c>
      <c r="BK105" s="153">
        <f>$C105*INDEX(Curves!$G$8:$G$68,BK$4-$B105+1)</f>
        <v/>
      </c>
      <c r="BL105" s="153">
        <f>$C105*INDEX(Curves!$G$8:$G$68,BL$4-$B105+1)</f>
        <v/>
      </c>
    </row>
    <row r="106">
      <c r="A106" s="147" t="inlineStr">
        <is>
          <t>Cohort month 34</t>
        </is>
      </c>
      <c r="B106" s="147" t="n">
        <v>34</v>
      </c>
      <c r="C106" s="41">
        <f>INDEX(Ops!$E$9:$BL$9,1,$B106)</f>
        <v/>
      </c>
      <c r="AM106" s="153">
        <f>$C106*INDEX(Curves!$G$8:$G$68,AM$4-$B106+1)</f>
        <v/>
      </c>
      <c r="AN106" s="153">
        <f>$C106*INDEX(Curves!$G$8:$G$68,AN$4-$B106+1)</f>
        <v/>
      </c>
      <c r="AO106" s="153">
        <f>$C106*INDEX(Curves!$G$8:$G$68,AO$4-$B106+1)</f>
        <v/>
      </c>
      <c r="AP106" s="153">
        <f>$C106*INDEX(Curves!$G$8:$G$68,AP$4-$B106+1)</f>
        <v/>
      </c>
      <c r="AQ106" s="153">
        <f>$C106*INDEX(Curves!$G$8:$G$68,AQ$4-$B106+1)</f>
        <v/>
      </c>
      <c r="AR106" s="153">
        <f>$C106*INDEX(Curves!$G$8:$G$68,AR$4-$B106+1)</f>
        <v/>
      </c>
      <c r="AS106" s="153">
        <f>$C106*INDEX(Curves!$G$8:$G$68,AS$4-$B106+1)</f>
        <v/>
      </c>
      <c r="AT106" s="153">
        <f>$C106*INDEX(Curves!$G$8:$G$68,AT$4-$B106+1)</f>
        <v/>
      </c>
      <c r="AU106" s="153">
        <f>$C106*INDEX(Curves!$G$8:$G$68,AU$4-$B106+1)</f>
        <v/>
      </c>
      <c r="AV106" s="153">
        <f>$C106*INDEX(Curves!$G$8:$G$68,AV$4-$B106+1)</f>
        <v/>
      </c>
      <c r="AW106" s="153">
        <f>$C106*INDEX(Curves!$G$8:$G$68,AW$4-$B106+1)</f>
        <v/>
      </c>
      <c r="AX106" s="153">
        <f>$C106*INDEX(Curves!$G$8:$G$68,AX$4-$B106+1)</f>
        <v/>
      </c>
      <c r="AY106" s="153">
        <f>$C106*INDEX(Curves!$G$8:$G$68,AY$4-$B106+1)</f>
        <v/>
      </c>
      <c r="AZ106" s="153">
        <f>$C106*INDEX(Curves!$G$8:$G$68,AZ$4-$B106+1)</f>
        <v/>
      </c>
      <c r="BA106" s="153">
        <f>$C106*INDEX(Curves!$G$8:$G$68,BA$4-$B106+1)</f>
        <v/>
      </c>
      <c r="BB106" s="153">
        <f>$C106*INDEX(Curves!$G$8:$G$68,BB$4-$B106+1)</f>
        <v/>
      </c>
      <c r="BC106" s="153">
        <f>$C106*INDEX(Curves!$G$8:$G$68,BC$4-$B106+1)</f>
        <v/>
      </c>
      <c r="BD106" s="153">
        <f>$C106*INDEX(Curves!$G$8:$G$68,BD$4-$B106+1)</f>
        <v/>
      </c>
      <c r="BE106" s="153">
        <f>$C106*INDEX(Curves!$G$8:$G$68,BE$4-$B106+1)</f>
        <v/>
      </c>
      <c r="BF106" s="153">
        <f>$C106*INDEX(Curves!$G$8:$G$68,BF$4-$B106+1)</f>
        <v/>
      </c>
      <c r="BG106" s="153">
        <f>$C106*INDEX(Curves!$G$8:$G$68,BG$4-$B106+1)</f>
        <v/>
      </c>
      <c r="BH106" s="153">
        <f>$C106*INDEX(Curves!$G$8:$G$68,BH$4-$B106+1)</f>
        <v/>
      </c>
      <c r="BI106" s="153">
        <f>$C106*INDEX(Curves!$G$8:$G$68,BI$4-$B106+1)</f>
        <v/>
      </c>
      <c r="BJ106" s="153">
        <f>$C106*INDEX(Curves!$G$8:$G$68,BJ$4-$B106+1)</f>
        <v/>
      </c>
      <c r="BK106" s="153">
        <f>$C106*INDEX(Curves!$G$8:$G$68,BK$4-$B106+1)</f>
        <v/>
      </c>
      <c r="BL106" s="153">
        <f>$C106*INDEX(Curves!$G$8:$G$68,BL$4-$B106+1)</f>
        <v/>
      </c>
    </row>
    <row r="107">
      <c r="A107" s="147" t="inlineStr">
        <is>
          <t>Cohort month 35</t>
        </is>
      </c>
      <c r="B107" s="147" t="n">
        <v>35</v>
      </c>
      <c r="C107" s="41">
        <f>INDEX(Ops!$E$9:$BL$9,1,$B107)</f>
        <v/>
      </c>
      <c r="AN107" s="153">
        <f>$C107*INDEX(Curves!$G$8:$G$68,AN$4-$B107+1)</f>
        <v/>
      </c>
      <c r="AO107" s="153">
        <f>$C107*INDEX(Curves!$G$8:$G$68,AO$4-$B107+1)</f>
        <v/>
      </c>
      <c r="AP107" s="153">
        <f>$C107*INDEX(Curves!$G$8:$G$68,AP$4-$B107+1)</f>
        <v/>
      </c>
      <c r="AQ107" s="153">
        <f>$C107*INDEX(Curves!$G$8:$G$68,AQ$4-$B107+1)</f>
        <v/>
      </c>
      <c r="AR107" s="153">
        <f>$C107*INDEX(Curves!$G$8:$G$68,AR$4-$B107+1)</f>
        <v/>
      </c>
      <c r="AS107" s="153">
        <f>$C107*INDEX(Curves!$G$8:$G$68,AS$4-$B107+1)</f>
        <v/>
      </c>
      <c r="AT107" s="153">
        <f>$C107*INDEX(Curves!$G$8:$G$68,AT$4-$B107+1)</f>
        <v/>
      </c>
      <c r="AU107" s="153">
        <f>$C107*INDEX(Curves!$G$8:$G$68,AU$4-$B107+1)</f>
        <v/>
      </c>
      <c r="AV107" s="153">
        <f>$C107*INDEX(Curves!$G$8:$G$68,AV$4-$B107+1)</f>
        <v/>
      </c>
      <c r="AW107" s="153">
        <f>$C107*INDEX(Curves!$G$8:$G$68,AW$4-$B107+1)</f>
        <v/>
      </c>
      <c r="AX107" s="153">
        <f>$C107*INDEX(Curves!$G$8:$G$68,AX$4-$B107+1)</f>
        <v/>
      </c>
      <c r="AY107" s="153">
        <f>$C107*INDEX(Curves!$G$8:$G$68,AY$4-$B107+1)</f>
        <v/>
      </c>
      <c r="AZ107" s="153">
        <f>$C107*INDEX(Curves!$G$8:$G$68,AZ$4-$B107+1)</f>
        <v/>
      </c>
      <c r="BA107" s="153">
        <f>$C107*INDEX(Curves!$G$8:$G$68,BA$4-$B107+1)</f>
        <v/>
      </c>
      <c r="BB107" s="153">
        <f>$C107*INDEX(Curves!$G$8:$G$68,BB$4-$B107+1)</f>
        <v/>
      </c>
      <c r="BC107" s="153">
        <f>$C107*INDEX(Curves!$G$8:$G$68,BC$4-$B107+1)</f>
        <v/>
      </c>
      <c r="BD107" s="153">
        <f>$C107*INDEX(Curves!$G$8:$G$68,BD$4-$B107+1)</f>
        <v/>
      </c>
      <c r="BE107" s="153">
        <f>$C107*INDEX(Curves!$G$8:$G$68,BE$4-$B107+1)</f>
        <v/>
      </c>
      <c r="BF107" s="153">
        <f>$C107*INDEX(Curves!$G$8:$G$68,BF$4-$B107+1)</f>
        <v/>
      </c>
      <c r="BG107" s="153">
        <f>$C107*INDEX(Curves!$G$8:$G$68,BG$4-$B107+1)</f>
        <v/>
      </c>
      <c r="BH107" s="153">
        <f>$C107*INDEX(Curves!$G$8:$G$68,BH$4-$B107+1)</f>
        <v/>
      </c>
      <c r="BI107" s="153">
        <f>$C107*INDEX(Curves!$G$8:$G$68,BI$4-$B107+1)</f>
        <v/>
      </c>
      <c r="BJ107" s="153">
        <f>$C107*INDEX(Curves!$G$8:$G$68,BJ$4-$B107+1)</f>
        <v/>
      </c>
      <c r="BK107" s="153">
        <f>$C107*INDEX(Curves!$G$8:$G$68,BK$4-$B107+1)</f>
        <v/>
      </c>
      <c r="BL107" s="153">
        <f>$C107*INDEX(Curves!$G$8:$G$68,BL$4-$B107+1)</f>
        <v/>
      </c>
    </row>
    <row r="108">
      <c r="A108" s="147" t="inlineStr">
        <is>
          <t>Cohort month 36</t>
        </is>
      </c>
      <c r="B108" s="147" t="n">
        <v>36</v>
      </c>
      <c r="C108" s="41">
        <f>INDEX(Ops!$E$9:$BL$9,1,$B108)</f>
        <v/>
      </c>
      <c r="AO108" s="153">
        <f>$C108*INDEX(Curves!$G$8:$G$68,AO$4-$B108+1)</f>
        <v/>
      </c>
      <c r="AP108" s="153">
        <f>$C108*INDEX(Curves!$G$8:$G$68,AP$4-$B108+1)</f>
        <v/>
      </c>
      <c r="AQ108" s="153">
        <f>$C108*INDEX(Curves!$G$8:$G$68,AQ$4-$B108+1)</f>
        <v/>
      </c>
      <c r="AR108" s="153">
        <f>$C108*INDEX(Curves!$G$8:$G$68,AR$4-$B108+1)</f>
        <v/>
      </c>
      <c r="AS108" s="153">
        <f>$C108*INDEX(Curves!$G$8:$G$68,AS$4-$B108+1)</f>
        <v/>
      </c>
      <c r="AT108" s="153">
        <f>$C108*INDEX(Curves!$G$8:$G$68,AT$4-$B108+1)</f>
        <v/>
      </c>
      <c r="AU108" s="153">
        <f>$C108*INDEX(Curves!$G$8:$G$68,AU$4-$B108+1)</f>
        <v/>
      </c>
      <c r="AV108" s="153">
        <f>$C108*INDEX(Curves!$G$8:$G$68,AV$4-$B108+1)</f>
        <v/>
      </c>
      <c r="AW108" s="153">
        <f>$C108*INDEX(Curves!$G$8:$G$68,AW$4-$B108+1)</f>
        <v/>
      </c>
      <c r="AX108" s="153">
        <f>$C108*INDEX(Curves!$G$8:$G$68,AX$4-$B108+1)</f>
        <v/>
      </c>
      <c r="AY108" s="153">
        <f>$C108*INDEX(Curves!$G$8:$G$68,AY$4-$B108+1)</f>
        <v/>
      </c>
      <c r="AZ108" s="153">
        <f>$C108*INDEX(Curves!$G$8:$G$68,AZ$4-$B108+1)</f>
        <v/>
      </c>
      <c r="BA108" s="153">
        <f>$C108*INDEX(Curves!$G$8:$G$68,BA$4-$B108+1)</f>
        <v/>
      </c>
      <c r="BB108" s="153">
        <f>$C108*INDEX(Curves!$G$8:$G$68,BB$4-$B108+1)</f>
        <v/>
      </c>
      <c r="BC108" s="153">
        <f>$C108*INDEX(Curves!$G$8:$G$68,BC$4-$B108+1)</f>
        <v/>
      </c>
      <c r="BD108" s="153">
        <f>$C108*INDEX(Curves!$G$8:$G$68,BD$4-$B108+1)</f>
        <v/>
      </c>
      <c r="BE108" s="153">
        <f>$C108*INDEX(Curves!$G$8:$G$68,BE$4-$B108+1)</f>
        <v/>
      </c>
      <c r="BF108" s="153">
        <f>$C108*INDEX(Curves!$G$8:$G$68,BF$4-$B108+1)</f>
        <v/>
      </c>
      <c r="BG108" s="153">
        <f>$C108*INDEX(Curves!$G$8:$G$68,BG$4-$B108+1)</f>
        <v/>
      </c>
      <c r="BH108" s="153">
        <f>$C108*INDEX(Curves!$G$8:$G$68,BH$4-$B108+1)</f>
        <v/>
      </c>
      <c r="BI108" s="153">
        <f>$C108*INDEX(Curves!$G$8:$G$68,BI$4-$B108+1)</f>
        <v/>
      </c>
      <c r="BJ108" s="153">
        <f>$C108*INDEX(Curves!$G$8:$G$68,BJ$4-$B108+1)</f>
        <v/>
      </c>
      <c r="BK108" s="153">
        <f>$C108*INDEX(Curves!$G$8:$G$68,BK$4-$B108+1)</f>
        <v/>
      </c>
      <c r="BL108" s="153">
        <f>$C108*INDEX(Curves!$G$8:$G$68,BL$4-$B108+1)</f>
        <v/>
      </c>
    </row>
    <row r="109">
      <c r="A109" s="147" t="inlineStr">
        <is>
          <t>Cohort month 37</t>
        </is>
      </c>
      <c r="B109" s="147" t="n">
        <v>37</v>
      </c>
      <c r="C109" s="41">
        <f>INDEX(Ops!$E$9:$BL$9,1,$B109)</f>
        <v/>
      </c>
      <c r="AP109" s="153">
        <f>$C109*INDEX(Curves!$G$8:$G$68,AP$4-$B109+1)</f>
        <v/>
      </c>
      <c r="AQ109" s="153">
        <f>$C109*INDEX(Curves!$G$8:$G$68,AQ$4-$B109+1)</f>
        <v/>
      </c>
      <c r="AR109" s="153">
        <f>$C109*INDEX(Curves!$G$8:$G$68,AR$4-$B109+1)</f>
        <v/>
      </c>
      <c r="AS109" s="153">
        <f>$C109*INDEX(Curves!$G$8:$G$68,AS$4-$B109+1)</f>
        <v/>
      </c>
      <c r="AT109" s="153">
        <f>$C109*INDEX(Curves!$G$8:$G$68,AT$4-$B109+1)</f>
        <v/>
      </c>
      <c r="AU109" s="153">
        <f>$C109*INDEX(Curves!$G$8:$G$68,AU$4-$B109+1)</f>
        <v/>
      </c>
      <c r="AV109" s="153">
        <f>$C109*INDEX(Curves!$G$8:$G$68,AV$4-$B109+1)</f>
        <v/>
      </c>
      <c r="AW109" s="153">
        <f>$C109*INDEX(Curves!$G$8:$G$68,AW$4-$B109+1)</f>
        <v/>
      </c>
      <c r="AX109" s="153">
        <f>$C109*INDEX(Curves!$G$8:$G$68,AX$4-$B109+1)</f>
        <v/>
      </c>
      <c r="AY109" s="153">
        <f>$C109*INDEX(Curves!$G$8:$G$68,AY$4-$B109+1)</f>
        <v/>
      </c>
      <c r="AZ109" s="153">
        <f>$C109*INDEX(Curves!$G$8:$G$68,AZ$4-$B109+1)</f>
        <v/>
      </c>
      <c r="BA109" s="153">
        <f>$C109*INDEX(Curves!$G$8:$G$68,BA$4-$B109+1)</f>
        <v/>
      </c>
      <c r="BB109" s="153">
        <f>$C109*INDEX(Curves!$G$8:$G$68,BB$4-$B109+1)</f>
        <v/>
      </c>
      <c r="BC109" s="153">
        <f>$C109*INDEX(Curves!$G$8:$G$68,BC$4-$B109+1)</f>
        <v/>
      </c>
      <c r="BD109" s="153">
        <f>$C109*INDEX(Curves!$G$8:$G$68,BD$4-$B109+1)</f>
        <v/>
      </c>
      <c r="BE109" s="153">
        <f>$C109*INDEX(Curves!$G$8:$G$68,BE$4-$B109+1)</f>
        <v/>
      </c>
      <c r="BF109" s="153">
        <f>$C109*INDEX(Curves!$G$8:$G$68,BF$4-$B109+1)</f>
        <v/>
      </c>
      <c r="BG109" s="153">
        <f>$C109*INDEX(Curves!$G$8:$G$68,BG$4-$B109+1)</f>
        <v/>
      </c>
      <c r="BH109" s="153">
        <f>$C109*INDEX(Curves!$G$8:$G$68,BH$4-$B109+1)</f>
        <v/>
      </c>
      <c r="BI109" s="153">
        <f>$C109*INDEX(Curves!$G$8:$G$68,BI$4-$B109+1)</f>
        <v/>
      </c>
      <c r="BJ109" s="153">
        <f>$C109*INDEX(Curves!$G$8:$G$68,BJ$4-$B109+1)</f>
        <v/>
      </c>
      <c r="BK109" s="153">
        <f>$C109*INDEX(Curves!$G$8:$G$68,BK$4-$B109+1)</f>
        <v/>
      </c>
      <c r="BL109" s="153">
        <f>$C109*INDEX(Curves!$G$8:$G$68,BL$4-$B109+1)</f>
        <v/>
      </c>
    </row>
    <row r="110">
      <c r="A110" s="147" t="inlineStr">
        <is>
          <t>Cohort month 38</t>
        </is>
      </c>
      <c r="B110" s="147" t="n">
        <v>38</v>
      </c>
      <c r="C110" s="41">
        <f>INDEX(Ops!$E$9:$BL$9,1,$B110)</f>
        <v/>
      </c>
      <c r="AQ110" s="153">
        <f>$C110*INDEX(Curves!$G$8:$G$68,AQ$4-$B110+1)</f>
        <v/>
      </c>
      <c r="AR110" s="153">
        <f>$C110*INDEX(Curves!$G$8:$G$68,AR$4-$B110+1)</f>
        <v/>
      </c>
      <c r="AS110" s="153">
        <f>$C110*INDEX(Curves!$G$8:$G$68,AS$4-$B110+1)</f>
        <v/>
      </c>
      <c r="AT110" s="153">
        <f>$C110*INDEX(Curves!$G$8:$G$68,AT$4-$B110+1)</f>
        <v/>
      </c>
      <c r="AU110" s="153">
        <f>$C110*INDEX(Curves!$G$8:$G$68,AU$4-$B110+1)</f>
        <v/>
      </c>
      <c r="AV110" s="153">
        <f>$C110*INDEX(Curves!$G$8:$G$68,AV$4-$B110+1)</f>
        <v/>
      </c>
      <c r="AW110" s="153">
        <f>$C110*INDEX(Curves!$G$8:$G$68,AW$4-$B110+1)</f>
        <v/>
      </c>
      <c r="AX110" s="153">
        <f>$C110*INDEX(Curves!$G$8:$G$68,AX$4-$B110+1)</f>
        <v/>
      </c>
      <c r="AY110" s="153">
        <f>$C110*INDEX(Curves!$G$8:$G$68,AY$4-$B110+1)</f>
        <v/>
      </c>
      <c r="AZ110" s="153">
        <f>$C110*INDEX(Curves!$G$8:$G$68,AZ$4-$B110+1)</f>
        <v/>
      </c>
      <c r="BA110" s="153">
        <f>$C110*INDEX(Curves!$G$8:$G$68,BA$4-$B110+1)</f>
        <v/>
      </c>
      <c r="BB110" s="153">
        <f>$C110*INDEX(Curves!$G$8:$G$68,BB$4-$B110+1)</f>
        <v/>
      </c>
      <c r="BC110" s="153">
        <f>$C110*INDEX(Curves!$G$8:$G$68,BC$4-$B110+1)</f>
        <v/>
      </c>
      <c r="BD110" s="153">
        <f>$C110*INDEX(Curves!$G$8:$G$68,BD$4-$B110+1)</f>
        <v/>
      </c>
      <c r="BE110" s="153">
        <f>$C110*INDEX(Curves!$G$8:$G$68,BE$4-$B110+1)</f>
        <v/>
      </c>
      <c r="BF110" s="153">
        <f>$C110*INDEX(Curves!$G$8:$G$68,BF$4-$B110+1)</f>
        <v/>
      </c>
      <c r="BG110" s="153">
        <f>$C110*INDEX(Curves!$G$8:$G$68,BG$4-$B110+1)</f>
        <v/>
      </c>
      <c r="BH110" s="153">
        <f>$C110*INDEX(Curves!$G$8:$G$68,BH$4-$B110+1)</f>
        <v/>
      </c>
      <c r="BI110" s="153">
        <f>$C110*INDEX(Curves!$G$8:$G$68,BI$4-$B110+1)</f>
        <v/>
      </c>
      <c r="BJ110" s="153">
        <f>$C110*INDEX(Curves!$G$8:$G$68,BJ$4-$B110+1)</f>
        <v/>
      </c>
      <c r="BK110" s="153">
        <f>$C110*INDEX(Curves!$G$8:$G$68,BK$4-$B110+1)</f>
        <v/>
      </c>
      <c r="BL110" s="153">
        <f>$C110*INDEX(Curves!$G$8:$G$68,BL$4-$B110+1)</f>
        <v/>
      </c>
    </row>
    <row r="111">
      <c r="A111" s="147" t="inlineStr">
        <is>
          <t>Cohort month 39</t>
        </is>
      </c>
      <c r="B111" s="147" t="n">
        <v>39</v>
      </c>
      <c r="C111" s="41">
        <f>INDEX(Ops!$E$9:$BL$9,1,$B111)</f>
        <v/>
      </c>
      <c r="AR111" s="153">
        <f>$C111*INDEX(Curves!$G$8:$G$68,AR$4-$B111+1)</f>
        <v/>
      </c>
      <c r="AS111" s="153">
        <f>$C111*INDEX(Curves!$G$8:$G$68,AS$4-$B111+1)</f>
        <v/>
      </c>
      <c r="AT111" s="153">
        <f>$C111*INDEX(Curves!$G$8:$G$68,AT$4-$B111+1)</f>
        <v/>
      </c>
      <c r="AU111" s="153">
        <f>$C111*INDEX(Curves!$G$8:$G$68,AU$4-$B111+1)</f>
        <v/>
      </c>
      <c r="AV111" s="153">
        <f>$C111*INDEX(Curves!$G$8:$G$68,AV$4-$B111+1)</f>
        <v/>
      </c>
      <c r="AW111" s="153">
        <f>$C111*INDEX(Curves!$G$8:$G$68,AW$4-$B111+1)</f>
        <v/>
      </c>
      <c r="AX111" s="153">
        <f>$C111*INDEX(Curves!$G$8:$G$68,AX$4-$B111+1)</f>
        <v/>
      </c>
      <c r="AY111" s="153">
        <f>$C111*INDEX(Curves!$G$8:$G$68,AY$4-$B111+1)</f>
        <v/>
      </c>
      <c r="AZ111" s="153">
        <f>$C111*INDEX(Curves!$G$8:$G$68,AZ$4-$B111+1)</f>
        <v/>
      </c>
      <c r="BA111" s="153">
        <f>$C111*INDEX(Curves!$G$8:$G$68,BA$4-$B111+1)</f>
        <v/>
      </c>
      <c r="BB111" s="153">
        <f>$C111*INDEX(Curves!$G$8:$G$68,BB$4-$B111+1)</f>
        <v/>
      </c>
      <c r="BC111" s="153">
        <f>$C111*INDEX(Curves!$G$8:$G$68,BC$4-$B111+1)</f>
        <v/>
      </c>
      <c r="BD111" s="153">
        <f>$C111*INDEX(Curves!$G$8:$G$68,BD$4-$B111+1)</f>
        <v/>
      </c>
      <c r="BE111" s="153">
        <f>$C111*INDEX(Curves!$G$8:$G$68,BE$4-$B111+1)</f>
        <v/>
      </c>
      <c r="BF111" s="153">
        <f>$C111*INDEX(Curves!$G$8:$G$68,BF$4-$B111+1)</f>
        <v/>
      </c>
      <c r="BG111" s="153">
        <f>$C111*INDEX(Curves!$G$8:$G$68,BG$4-$B111+1)</f>
        <v/>
      </c>
      <c r="BH111" s="153">
        <f>$C111*INDEX(Curves!$G$8:$G$68,BH$4-$B111+1)</f>
        <v/>
      </c>
      <c r="BI111" s="153">
        <f>$C111*INDEX(Curves!$G$8:$G$68,BI$4-$B111+1)</f>
        <v/>
      </c>
      <c r="BJ111" s="153">
        <f>$C111*INDEX(Curves!$G$8:$G$68,BJ$4-$B111+1)</f>
        <v/>
      </c>
      <c r="BK111" s="153">
        <f>$C111*INDEX(Curves!$G$8:$G$68,BK$4-$B111+1)</f>
        <v/>
      </c>
      <c r="BL111" s="153">
        <f>$C111*INDEX(Curves!$G$8:$G$68,BL$4-$B111+1)</f>
        <v/>
      </c>
    </row>
    <row r="112">
      <c r="A112" s="147" t="inlineStr">
        <is>
          <t>Cohort month 40</t>
        </is>
      </c>
      <c r="B112" s="147" t="n">
        <v>40</v>
      </c>
      <c r="C112" s="41">
        <f>INDEX(Ops!$E$9:$BL$9,1,$B112)</f>
        <v/>
      </c>
      <c r="AS112" s="153">
        <f>$C112*INDEX(Curves!$G$8:$G$68,AS$4-$B112+1)</f>
        <v/>
      </c>
      <c r="AT112" s="153">
        <f>$C112*INDEX(Curves!$G$8:$G$68,AT$4-$B112+1)</f>
        <v/>
      </c>
      <c r="AU112" s="153">
        <f>$C112*INDEX(Curves!$G$8:$G$68,AU$4-$B112+1)</f>
        <v/>
      </c>
      <c r="AV112" s="153">
        <f>$C112*INDEX(Curves!$G$8:$G$68,AV$4-$B112+1)</f>
        <v/>
      </c>
      <c r="AW112" s="153">
        <f>$C112*INDEX(Curves!$G$8:$G$68,AW$4-$B112+1)</f>
        <v/>
      </c>
      <c r="AX112" s="153">
        <f>$C112*INDEX(Curves!$G$8:$G$68,AX$4-$B112+1)</f>
        <v/>
      </c>
      <c r="AY112" s="153">
        <f>$C112*INDEX(Curves!$G$8:$G$68,AY$4-$B112+1)</f>
        <v/>
      </c>
      <c r="AZ112" s="153">
        <f>$C112*INDEX(Curves!$G$8:$G$68,AZ$4-$B112+1)</f>
        <v/>
      </c>
      <c r="BA112" s="153">
        <f>$C112*INDEX(Curves!$G$8:$G$68,BA$4-$B112+1)</f>
        <v/>
      </c>
      <c r="BB112" s="153">
        <f>$C112*INDEX(Curves!$G$8:$G$68,BB$4-$B112+1)</f>
        <v/>
      </c>
      <c r="BC112" s="153">
        <f>$C112*INDEX(Curves!$G$8:$G$68,BC$4-$B112+1)</f>
        <v/>
      </c>
      <c r="BD112" s="153">
        <f>$C112*INDEX(Curves!$G$8:$G$68,BD$4-$B112+1)</f>
        <v/>
      </c>
      <c r="BE112" s="153">
        <f>$C112*INDEX(Curves!$G$8:$G$68,BE$4-$B112+1)</f>
        <v/>
      </c>
      <c r="BF112" s="153">
        <f>$C112*INDEX(Curves!$G$8:$G$68,BF$4-$B112+1)</f>
        <v/>
      </c>
      <c r="BG112" s="153">
        <f>$C112*INDEX(Curves!$G$8:$G$68,BG$4-$B112+1)</f>
        <v/>
      </c>
      <c r="BH112" s="153">
        <f>$C112*INDEX(Curves!$G$8:$G$68,BH$4-$B112+1)</f>
        <v/>
      </c>
      <c r="BI112" s="153">
        <f>$C112*INDEX(Curves!$G$8:$G$68,BI$4-$B112+1)</f>
        <v/>
      </c>
      <c r="BJ112" s="153">
        <f>$C112*INDEX(Curves!$G$8:$G$68,BJ$4-$B112+1)</f>
        <v/>
      </c>
      <c r="BK112" s="153">
        <f>$C112*INDEX(Curves!$G$8:$G$68,BK$4-$B112+1)</f>
        <v/>
      </c>
      <c r="BL112" s="153">
        <f>$C112*INDEX(Curves!$G$8:$G$68,BL$4-$B112+1)</f>
        <v/>
      </c>
    </row>
    <row r="113">
      <c r="A113" s="147" t="inlineStr">
        <is>
          <t>Cohort month 41</t>
        </is>
      </c>
      <c r="B113" s="147" t="n">
        <v>41</v>
      </c>
      <c r="C113" s="41">
        <f>INDEX(Ops!$E$9:$BL$9,1,$B113)</f>
        <v/>
      </c>
      <c r="AT113" s="153">
        <f>$C113*INDEX(Curves!$G$8:$G$68,AT$4-$B113+1)</f>
        <v/>
      </c>
      <c r="AU113" s="153">
        <f>$C113*INDEX(Curves!$G$8:$G$68,AU$4-$B113+1)</f>
        <v/>
      </c>
      <c r="AV113" s="153">
        <f>$C113*INDEX(Curves!$G$8:$G$68,AV$4-$B113+1)</f>
        <v/>
      </c>
      <c r="AW113" s="153">
        <f>$C113*INDEX(Curves!$G$8:$G$68,AW$4-$B113+1)</f>
        <v/>
      </c>
      <c r="AX113" s="153">
        <f>$C113*INDEX(Curves!$G$8:$G$68,AX$4-$B113+1)</f>
        <v/>
      </c>
      <c r="AY113" s="153">
        <f>$C113*INDEX(Curves!$G$8:$G$68,AY$4-$B113+1)</f>
        <v/>
      </c>
      <c r="AZ113" s="153">
        <f>$C113*INDEX(Curves!$G$8:$G$68,AZ$4-$B113+1)</f>
        <v/>
      </c>
      <c r="BA113" s="153">
        <f>$C113*INDEX(Curves!$G$8:$G$68,BA$4-$B113+1)</f>
        <v/>
      </c>
      <c r="BB113" s="153">
        <f>$C113*INDEX(Curves!$G$8:$G$68,BB$4-$B113+1)</f>
        <v/>
      </c>
      <c r="BC113" s="153">
        <f>$C113*INDEX(Curves!$G$8:$G$68,BC$4-$B113+1)</f>
        <v/>
      </c>
      <c r="BD113" s="153">
        <f>$C113*INDEX(Curves!$G$8:$G$68,BD$4-$B113+1)</f>
        <v/>
      </c>
      <c r="BE113" s="153">
        <f>$C113*INDEX(Curves!$G$8:$G$68,BE$4-$B113+1)</f>
        <v/>
      </c>
      <c r="BF113" s="153">
        <f>$C113*INDEX(Curves!$G$8:$G$68,BF$4-$B113+1)</f>
        <v/>
      </c>
      <c r="BG113" s="153">
        <f>$C113*INDEX(Curves!$G$8:$G$68,BG$4-$B113+1)</f>
        <v/>
      </c>
      <c r="BH113" s="153">
        <f>$C113*INDEX(Curves!$G$8:$G$68,BH$4-$B113+1)</f>
        <v/>
      </c>
      <c r="BI113" s="153">
        <f>$C113*INDEX(Curves!$G$8:$G$68,BI$4-$B113+1)</f>
        <v/>
      </c>
      <c r="BJ113" s="153">
        <f>$C113*INDEX(Curves!$G$8:$G$68,BJ$4-$B113+1)</f>
        <v/>
      </c>
      <c r="BK113" s="153">
        <f>$C113*INDEX(Curves!$G$8:$G$68,BK$4-$B113+1)</f>
        <v/>
      </c>
      <c r="BL113" s="153">
        <f>$C113*INDEX(Curves!$G$8:$G$68,BL$4-$B113+1)</f>
        <v/>
      </c>
    </row>
    <row r="114">
      <c r="A114" s="147" t="inlineStr">
        <is>
          <t>Cohort month 42</t>
        </is>
      </c>
      <c r="B114" s="147" t="n">
        <v>42</v>
      </c>
      <c r="C114" s="41">
        <f>INDEX(Ops!$E$9:$BL$9,1,$B114)</f>
        <v/>
      </c>
      <c r="AU114" s="153">
        <f>$C114*INDEX(Curves!$G$8:$G$68,AU$4-$B114+1)</f>
        <v/>
      </c>
      <c r="AV114" s="153">
        <f>$C114*INDEX(Curves!$G$8:$G$68,AV$4-$B114+1)</f>
        <v/>
      </c>
      <c r="AW114" s="153">
        <f>$C114*INDEX(Curves!$G$8:$G$68,AW$4-$B114+1)</f>
        <v/>
      </c>
      <c r="AX114" s="153">
        <f>$C114*INDEX(Curves!$G$8:$G$68,AX$4-$B114+1)</f>
        <v/>
      </c>
      <c r="AY114" s="153">
        <f>$C114*INDEX(Curves!$G$8:$G$68,AY$4-$B114+1)</f>
        <v/>
      </c>
      <c r="AZ114" s="153">
        <f>$C114*INDEX(Curves!$G$8:$G$68,AZ$4-$B114+1)</f>
        <v/>
      </c>
      <c r="BA114" s="153">
        <f>$C114*INDEX(Curves!$G$8:$G$68,BA$4-$B114+1)</f>
        <v/>
      </c>
      <c r="BB114" s="153">
        <f>$C114*INDEX(Curves!$G$8:$G$68,BB$4-$B114+1)</f>
        <v/>
      </c>
      <c r="BC114" s="153">
        <f>$C114*INDEX(Curves!$G$8:$G$68,BC$4-$B114+1)</f>
        <v/>
      </c>
      <c r="BD114" s="153">
        <f>$C114*INDEX(Curves!$G$8:$G$68,BD$4-$B114+1)</f>
        <v/>
      </c>
      <c r="BE114" s="153">
        <f>$C114*INDEX(Curves!$G$8:$G$68,BE$4-$B114+1)</f>
        <v/>
      </c>
      <c r="BF114" s="153">
        <f>$C114*INDEX(Curves!$G$8:$G$68,BF$4-$B114+1)</f>
        <v/>
      </c>
      <c r="BG114" s="153">
        <f>$C114*INDEX(Curves!$G$8:$G$68,BG$4-$B114+1)</f>
        <v/>
      </c>
      <c r="BH114" s="153">
        <f>$C114*INDEX(Curves!$G$8:$G$68,BH$4-$B114+1)</f>
        <v/>
      </c>
      <c r="BI114" s="153">
        <f>$C114*INDEX(Curves!$G$8:$G$68,BI$4-$B114+1)</f>
        <v/>
      </c>
      <c r="BJ114" s="153">
        <f>$C114*INDEX(Curves!$G$8:$G$68,BJ$4-$B114+1)</f>
        <v/>
      </c>
      <c r="BK114" s="153">
        <f>$C114*INDEX(Curves!$G$8:$G$68,BK$4-$B114+1)</f>
        <v/>
      </c>
      <c r="BL114" s="153">
        <f>$C114*INDEX(Curves!$G$8:$G$68,BL$4-$B114+1)</f>
        <v/>
      </c>
    </row>
    <row r="115">
      <c r="A115" s="147" t="inlineStr">
        <is>
          <t>Cohort month 43</t>
        </is>
      </c>
      <c r="B115" s="147" t="n">
        <v>43</v>
      </c>
      <c r="C115" s="41">
        <f>INDEX(Ops!$E$9:$BL$9,1,$B115)</f>
        <v/>
      </c>
      <c r="AV115" s="153">
        <f>$C115*INDEX(Curves!$G$8:$G$68,AV$4-$B115+1)</f>
        <v/>
      </c>
      <c r="AW115" s="153">
        <f>$C115*INDEX(Curves!$G$8:$G$68,AW$4-$B115+1)</f>
        <v/>
      </c>
      <c r="AX115" s="153">
        <f>$C115*INDEX(Curves!$G$8:$G$68,AX$4-$B115+1)</f>
        <v/>
      </c>
      <c r="AY115" s="153">
        <f>$C115*INDEX(Curves!$G$8:$G$68,AY$4-$B115+1)</f>
        <v/>
      </c>
      <c r="AZ115" s="153">
        <f>$C115*INDEX(Curves!$G$8:$G$68,AZ$4-$B115+1)</f>
        <v/>
      </c>
      <c r="BA115" s="153">
        <f>$C115*INDEX(Curves!$G$8:$G$68,BA$4-$B115+1)</f>
        <v/>
      </c>
      <c r="BB115" s="153">
        <f>$C115*INDEX(Curves!$G$8:$G$68,BB$4-$B115+1)</f>
        <v/>
      </c>
      <c r="BC115" s="153">
        <f>$C115*INDEX(Curves!$G$8:$G$68,BC$4-$B115+1)</f>
        <v/>
      </c>
      <c r="BD115" s="153">
        <f>$C115*INDEX(Curves!$G$8:$G$68,BD$4-$B115+1)</f>
        <v/>
      </c>
      <c r="BE115" s="153">
        <f>$C115*INDEX(Curves!$G$8:$G$68,BE$4-$B115+1)</f>
        <v/>
      </c>
      <c r="BF115" s="153">
        <f>$C115*INDEX(Curves!$G$8:$G$68,BF$4-$B115+1)</f>
        <v/>
      </c>
      <c r="BG115" s="153">
        <f>$C115*INDEX(Curves!$G$8:$G$68,BG$4-$B115+1)</f>
        <v/>
      </c>
      <c r="BH115" s="153">
        <f>$C115*INDEX(Curves!$G$8:$G$68,BH$4-$B115+1)</f>
        <v/>
      </c>
      <c r="BI115" s="153">
        <f>$C115*INDEX(Curves!$G$8:$G$68,BI$4-$B115+1)</f>
        <v/>
      </c>
      <c r="BJ115" s="153">
        <f>$C115*INDEX(Curves!$G$8:$G$68,BJ$4-$B115+1)</f>
        <v/>
      </c>
      <c r="BK115" s="153">
        <f>$C115*INDEX(Curves!$G$8:$G$68,BK$4-$B115+1)</f>
        <v/>
      </c>
      <c r="BL115" s="153">
        <f>$C115*INDEX(Curves!$G$8:$G$68,BL$4-$B115+1)</f>
        <v/>
      </c>
    </row>
    <row r="116">
      <c r="A116" s="147" t="inlineStr">
        <is>
          <t>Cohort month 44</t>
        </is>
      </c>
      <c r="B116" s="147" t="n">
        <v>44</v>
      </c>
      <c r="C116" s="41">
        <f>INDEX(Ops!$E$9:$BL$9,1,$B116)</f>
        <v/>
      </c>
      <c r="AW116" s="153">
        <f>$C116*INDEX(Curves!$G$8:$G$68,AW$4-$B116+1)</f>
        <v/>
      </c>
      <c r="AX116" s="153">
        <f>$C116*INDEX(Curves!$G$8:$G$68,AX$4-$B116+1)</f>
        <v/>
      </c>
      <c r="AY116" s="153">
        <f>$C116*INDEX(Curves!$G$8:$G$68,AY$4-$B116+1)</f>
        <v/>
      </c>
      <c r="AZ116" s="153">
        <f>$C116*INDEX(Curves!$G$8:$G$68,AZ$4-$B116+1)</f>
        <v/>
      </c>
      <c r="BA116" s="153">
        <f>$C116*INDEX(Curves!$G$8:$G$68,BA$4-$B116+1)</f>
        <v/>
      </c>
      <c r="BB116" s="153">
        <f>$C116*INDEX(Curves!$G$8:$G$68,BB$4-$B116+1)</f>
        <v/>
      </c>
      <c r="BC116" s="153">
        <f>$C116*INDEX(Curves!$G$8:$G$68,BC$4-$B116+1)</f>
        <v/>
      </c>
      <c r="BD116" s="153">
        <f>$C116*INDEX(Curves!$G$8:$G$68,BD$4-$B116+1)</f>
        <v/>
      </c>
      <c r="BE116" s="153">
        <f>$C116*INDEX(Curves!$G$8:$G$68,BE$4-$B116+1)</f>
        <v/>
      </c>
      <c r="BF116" s="153">
        <f>$C116*INDEX(Curves!$G$8:$G$68,BF$4-$B116+1)</f>
        <v/>
      </c>
      <c r="BG116" s="153">
        <f>$C116*INDEX(Curves!$G$8:$G$68,BG$4-$B116+1)</f>
        <v/>
      </c>
      <c r="BH116" s="153">
        <f>$C116*INDEX(Curves!$G$8:$G$68,BH$4-$B116+1)</f>
        <v/>
      </c>
      <c r="BI116" s="153">
        <f>$C116*INDEX(Curves!$G$8:$G$68,BI$4-$B116+1)</f>
        <v/>
      </c>
      <c r="BJ116" s="153">
        <f>$C116*INDEX(Curves!$G$8:$G$68,BJ$4-$B116+1)</f>
        <v/>
      </c>
      <c r="BK116" s="153">
        <f>$C116*INDEX(Curves!$G$8:$G$68,BK$4-$B116+1)</f>
        <v/>
      </c>
      <c r="BL116" s="153">
        <f>$C116*INDEX(Curves!$G$8:$G$68,BL$4-$B116+1)</f>
        <v/>
      </c>
    </row>
    <row r="117">
      <c r="A117" s="147" t="inlineStr">
        <is>
          <t>Cohort month 45</t>
        </is>
      </c>
      <c r="B117" s="147" t="n">
        <v>45</v>
      </c>
      <c r="C117" s="41">
        <f>INDEX(Ops!$E$9:$BL$9,1,$B117)</f>
        <v/>
      </c>
      <c r="AX117" s="153">
        <f>$C117*INDEX(Curves!$G$8:$G$68,AX$4-$B117+1)</f>
        <v/>
      </c>
      <c r="AY117" s="153">
        <f>$C117*INDEX(Curves!$G$8:$G$68,AY$4-$B117+1)</f>
        <v/>
      </c>
      <c r="AZ117" s="153">
        <f>$C117*INDEX(Curves!$G$8:$G$68,AZ$4-$B117+1)</f>
        <v/>
      </c>
      <c r="BA117" s="153">
        <f>$C117*INDEX(Curves!$G$8:$G$68,BA$4-$B117+1)</f>
        <v/>
      </c>
      <c r="BB117" s="153">
        <f>$C117*INDEX(Curves!$G$8:$G$68,BB$4-$B117+1)</f>
        <v/>
      </c>
      <c r="BC117" s="153">
        <f>$C117*INDEX(Curves!$G$8:$G$68,BC$4-$B117+1)</f>
        <v/>
      </c>
      <c r="BD117" s="153">
        <f>$C117*INDEX(Curves!$G$8:$G$68,BD$4-$B117+1)</f>
        <v/>
      </c>
      <c r="BE117" s="153">
        <f>$C117*INDEX(Curves!$G$8:$G$68,BE$4-$B117+1)</f>
        <v/>
      </c>
      <c r="BF117" s="153">
        <f>$C117*INDEX(Curves!$G$8:$G$68,BF$4-$B117+1)</f>
        <v/>
      </c>
      <c r="BG117" s="153">
        <f>$C117*INDEX(Curves!$G$8:$G$68,BG$4-$B117+1)</f>
        <v/>
      </c>
      <c r="BH117" s="153">
        <f>$C117*INDEX(Curves!$G$8:$G$68,BH$4-$B117+1)</f>
        <v/>
      </c>
      <c r="BI117" s="153">
        <f>$C117*INDEX(Curves!$G$8:$G$68,BI$4-$B117+1)</f>
        <v/>
      </c>
      <c r="BJ117" s="153">
        <f>$C117*INDEX(Curves!$G$8:$G$68,BJ$4-$B117+1)</f>
        <v/>
      </c>
      <c r="BK117" s="153">
        <f>$C117*INDEX(Curves!$G$8:$G$68,BK$4-$B117+1)</f>
        <v/>
      </c>
      <c r="BL117" s="153">
        <f>$C117*INDEX(Curves!$G$8:$G$68,BL$4-$B117+1)</f>
        <v/>
      </c>
    </row>
    <row r="118">
      <c r="A118" s="147" t="inlineStr">
        <is>
          <t>Cohort month 46</t>
        </is>
      </c>
      <c r="B118" s="147" t="n">
        <v>46</v>
      </c>
      <c r="C118" s="41">
        <f>INDEX(Ops!$E$9:$BL$9,1,$B118)</f>
        <v/>
      </c>
      <c r="AY118" s="153">
        <f>$C118*INDEX(Curves!$G$8:$G$68,AY$4-$B118+1)</f>
        <v/>
      </c>
      <c r="AZ118" s="153">
        <f>$C118*INDEX(Curves!$G$8:$G$68,AZ$4-$B118+1)</f>
        <v/>
      </c>
      <c r="BA118" s="153">
        <f>$C118*INDEX(Curves!$G$8:$G$68,BA$4-$B118+1)</f>
        <v/>
      </c>
      <c r="BB118" s="153">
        <f>$C118*INDEX(Curves!$G$8:$G$68,BB$4-$B118+1)</f>
        <v/>
      </c>
      <c r="BC118" s="153">
        <f>$C118*INDEX(Curves!$G$8:$G$68,BC$4-$B118+1)</f>
        <v/>
      </c>
      <c r="BD118" s="153">
        <f>$C118*INDEX(Curves!$G$8:$G$68,BD$4-$B118+1)</f>
        <v/>
      </c>
      <c r="BE118" s="153">
        <f>$C118*INDEX(Curves!$G$8:$G$68,BE$4-$B118+1)</f>
        <v/>
      </c>
      <c r="BF118" s="153">
        <f>$C118*INDEX(Curves!$G$8:$G$68,BF$4-$B118+1)</f>
        <v/>
      </c>
      <c r="BG118" s="153">
        <f>$C118*INDEX(Curves!$G$8:$G$68,BG$4-$B118+1)</f>
        <v/>
      </c>
      <c r="BH118" s="153">
        <f>$C118*INDEX(Curves!$G$8:$G$68,BH$4-$B118+1)</f>
        <v/>
      </c>
      <c r="BI118" s="153">
        <f>$C118*INDEX(Curves!$G$8:$G$68,BI$4-$B118+1)</f>
        <v/>
      </c>
      <c r="BJ118" s="153">
        <f>$C118*INDEX(Curves!$G$8:$G$68,BJ$4-$B118+1)</f>
        <v/>
      </c>
      <c r="BK118" s="153">
        <f>$C118*INDEX(Curves!$G$8:$G$68,BK$4-$B118+1)</f>
        <v/>
      </c>
      <c r="BL118" s="153">
        <f>$C118*INDEX(Curves!$G$8:$G$68,BL$4-$B118+1)</f>
        <v/>
      </c>
    </row>
    <row r="119">
      <c r="A119" s="147" t="inlineStr">
        <is>
          <t>Cohort month 47</t>
        </is>
      </c>
      <c r="B119" s="147" t="n">
        <v>47</v>
      </c>
      <c r="C119" s="41">
        <f>INDEX(Ops!$E$9:$BL$9,1,$B119)</f>
        <v/>
      </c>
      <c r="AZ119" s="153">
        <f>$C119*INDEX(Curves!$G$8:$G$68,AZ$4-$B119+1)</f>
        <v/>
      </c>
      <c r="BA119" s="153">
        <f>$C119*INDEX(Curves!$G$8:$G$68,BA$4-$B119+1)</f>
        <v/>
      </c>
      <c r="BB119" s="153">
        <f>$C119*INDEX(Curves!$G$8:$G$68,BB$4-$B119+1)</f>
        <v/>
      </c>
      <c r="BC119" s="153">
        <f>$C119*INDEX(Curves!$G$8:$G$68,BC$4-$B119+1)</f>
        <v/>
      </c>
      <c r="BD119" s="153">
        <f>$C119*INDEX(Curves!$G$8:$G$68,BD$4-$B119+1)</f>
        <v/>
      </c>
      <c r="BE119" s="153">
        <f>$C119*INDEX(Curves!$G$8:$G$68,BE$4-$B119+1)</f>
        <v/>
      </c>
      <c r="BF119" s="153">
        <f>$C119*INDEX(Curves!$G$8:$G$68,BF$4-$B119+1)</f>
        <v/>
      </c>
      <c r="BG119" s="153">
        <f>$C119*INDEX(Curves!$G$8:$G$68,BG$4-$B119+1)</f>
        <v/>
      </c>
      <c r="BH119" s="153">
        <f>$C119*INDEX(Curves!$G$8:$G$68,BH$4-$B119+1)</f>
        <v/>
      </c>
      <c r="BI119" s="153">
        <f>$C119*INDEX(Curves!$G$8:$G$68,BI$4-$B119+1)</f>
        <v/>
      </c>
      <c r="BJ119" s="153">
        <f>$C119*INDEX(Curves!$G$8:$G$68,BJ$4-$B119+1)</f>
        <v/>
      </c>
      <c r="BK119" s="153">
        <f>$C119*INDEX(Curves!$G$8:$G$68,BK$4-$B119+1)</f>
        <v/>
      </c>
      <c r="BL119" s="153">
        <f>$C119*INDEX(Curves!$G$8:$G$68,BL$4-$B119+1)</f>
        <v/>
      </c>
    </row>
    <row r="120">
      <c r="A120" s="147" t="inlineStr">
        <is>
          <t>Cohort month 48</t>
        </is>
      </c>
      <c r="B120" s="147" t="n">
        <v>48</v>
      </c>
      <c r="C120" s="41">
        <f>INDEX(Ops!$E$9:$BL$9,1,$B120)</f>
        <v/>
      </c>
      <c r="BA120" s="153">
        <f>$C120*INDEX(Curves!$G$8:$G$68,BA$4-$B120+1)</f>
        <v/>
      </c>
      <c r="BB120" s="153">
        <f>$C120*INDEX(Curves!$G$8:$G$68,BB$4-$B120+1)</f>
        <v/>
      </c>
      <c r="BC120" s="153">
        <f>$C120*INDEX(Curves!$G$8:$G$68,BC$4-$B120+1)</f>
        <v/>
      </c>
      <c r="BD120" s="153">
        <f>$C120*INDEX(Curves!$G$8:$G$68,BD$4-$B120+1)</f>
        <v/>
      </c>
      <c r="BE120" s="153">
        <f>$C120*INDEX(Curves!$G$8:$G$68,BE$4-$B120+1)</f>
        <v/>
      </c>
      <c r="BF120" s="153">
        <f>$C120*INDEX(Curves!$G$8:$G$68,BF$4-$B120+1)</f>
        <v/>
      </c>
      <c r="BG120" s="153">
        <f>$C120*INDEX(Curves!$G$8:$G$68,BG$4-$B120+1)</f>
        <v/>
      </c>
      <c r="BH120" s="153">
        <f>$C120*INDEX(Curves!$G$8:$G$68,BH$4-$B120+1)</f>
        <v/>
      </c>
      <c r="BI120" s="153">
        <f>$C120*INDEX(Curves!$G$8:$G$68,BI$4-$B120+1)</f>
        <v/>
      </c>
      <c r="BJ120" s="153">
        <f>$C120*INDEX(Curves!$G$8:$G$68,BJ$4-$B120+1)</f>
        <v/>
      </c>
      <c r="BK120" s="153">
        <f>$C120*INDEX(Curves!$G$8:$G$68,BK$4-$B120+1)</f>
        <v/>
      </c>
      <c r="BL120" s="153">
        <f>$C120*INDEX(Curves!$G$8:$G$68,BL$4-$B120+1)</f>
        <v/>
      </c>
    </row>
    <row r="121">
      <c r="A121" s="147" t="inlineStr">
        <is>
          <t>Cohort month 49</t>
        </is>
      </c>
      <c r="B121" s="147" t="n">
        <v>49</v>
      </c>
      <c r="C121" s="41">
        <f>INDEX(Ops!$E$9:$BL$9,1,$B121)</f>
        <v/>
      </c>
      <c r="BB121" s="153">
        <f>$C121*INDEX(Curves!$G$8:$G$68,BB$4-$B121+1)</f>
        <v/>
      </c>
      <c r="BC121" s="153">
        <f>$C121*INDEX(Curves!$G$8:$G$68,BC$4-$B121+1)</f>
        <v/>
      </c>
      <c r="BD121" s="153">
        <f>$C121*INDEX(Curves!$G$8:$G$68,BD$4-$B121+1)</f>
        <v/>
      </c>
      <c r="BE121" s="153">
        <f>$C121*INDEX(Curves!$G$8:$G$68,BE$4-$B121+1)</f>
        <v/>
      </c>
      <c r="BF121" s="153">
        <f>$C121*INDEX(Curves!$G$8:$G$68,BF$4-$B121+1)</f>
        <v/>
      </c>
      <c r="BG121" s="153">
        <f>$C121*INDEX(Curves!$G$8:$G$68,BG$4-$B121+1)</f>
        <v/>
      </c>
      <c r="BH121" s="153">
        <f>$C121*INDEX(Curves!$G$8:$G$68,BH$4-$B121+1)</f>
        <v/>
      </c>
      <c r="BI121" s="153">
        <f>$C121*INDEX(Curves!$G$8:$G$68,BI$4-$B121+1)</f>
        <v/>
      </c>
      <c r="BJ121" s="153">
        <f>$C121*INDEX(Curves!$G$8:$G$68,BJ$4-$B121+1)</f>
        <v/>
      </c>
      <c r="BK121" s="153">
        <f>$C121*INDEX(Curves!$G$8:$G$68,BK$4-$B121+1)</f>
        <v/>
      </c>
      <c r="BL121" s="153">
        <f>$C121*INDEX(Curves!$G$8:$G$68,BL$4-$B121+1)</f>
        <v/>
      </c>
    </row>
    <row r="122">
      <c r="A122" s="147" t="inlineStr">
        <is>
          <t>Cohort month 50</t>
        </is>
      </c>
      <c r="B122" s="147" t="n">
        <v>50</v>
      </c>
      <c r="C122" s="41">
        <f>INDEX(Ops!$E$9:$BL$9,1,$B122)</f>
        <v/>
      </c>
      <c r="BC122" s="153">
        <f>$C122*INDEX(Curves!$G$8:$G$68,BC$4-$B122+1)</f>
        <v/>
      </c>
      <c r="BD122" s="153">
        <f>$C122*INDEX(Curves!$G$8:$G$68,BD$4-$B122+1)</f>
        <v/>
      </c>
      <c r="BE122" s="153">
        <f>$C122*INDEX(Curves!$G$8:$G$68,BE$4-$B122+1)</f>
        <v/>
      </c>
      <c r="BF122" s="153">
        <f>$C122*INDEX(Curves!$G$8:$G$68,BF$4-$B122+1)</f>
        <v/>
      </c>
      <c r="BG122" s="153">
        <f>$C122*INDEX(Curves!$G$8:$G$68,BG$4-$B122+1)</f>
        <v/>
      </c>
      <c r="BH122" s="153">
        <f>$C122*INDEX(Curves!$G$8:$G$68,BH$4-$B122+1)</f>
        <v/>
      </c>
      <c r="BI122" s="153">
        <f>$C122*INDEX(Curves!$G$8:$G$68,BI$4-$B122+1)</f>
        <v/>
      </c>
      <c r="BJ122" s="153">
        <f>$C122*INDEX(Curves!$G$8:$G$68,BJ$4-$B122+1)</f>
        <v/>
      </c>
      <c r="BK122" s="153">
        <f>$C122*INDEX(Curves!$G$8:$G$68,BK$4-$B122+1)</f>
        <v/>
      </c>
      <c r="BL122" s="153">
        <f>$C122*INDEX(Curves!$G$8:$G$68,BL$4-$B122+1)</f>
        <v/>
      </c>
    </row>
    <row r="123">
      <c r="A123" s="147" t="inlineStr">
        <is>
          <t>Cohort month 51</t>
        </is>
      </c>
      <c r="B123" s="147" t="n">
        <v>51</v>
      </c>
      <c r="C123" s="41">
        <f>INDEX(Ops!$E$9:$BL$9,1,$B123)</f>
        <v/>
      </c>
      <c r="BD123" s="153">
        <f>$C123*INDEX(Curves!$G$8:$G$68,BD$4-$B123+1)</f>
        <v/>
      </c>
      <c r="BE123" s="153">
        <f>$C123*INDEX(Curves!$G$8:$G$68,BE$4-$B123+1)</f>
        <v/>
      </c>
      <c r="BF123" s="153">
        <f>$C123*INDEX(Curves!$G$8:$G$68,BF$4-$B123+1)</f>
        <v/>
      </c>
      <c r="BG123" s="153">
        <f>$C123*INDEX(Curves!$G$8:$G$68,BG$4-$B123+1)</f>
        <v/>
      </c>
      <c r="BH123" s="153">
        <f>$C123*INDEX(Curves!$G$8:$G$68,BH$4-$B123+1)</f>
        <v/>
      </c>
      <c r="BI123" s="153">
        <f>$C123*INDEX(Curves!$G$8:$G$68,BI$4-$B123+1)</f>
        <v/>
      </c>
      <c r="BJ123" s="153">
        <f>$C123*INDEX(Curves!$G$8:$G$68,BJ$4-$B123+1)</f>
        <v/>
      </c>
      <c r="BK123" s="153">
        <f>$C123*INDEX(Curves!$G$8:$G$68,BK$4-$B123+1)</f>
        <v/>
      </c>
      <c r="BL123" s="153">
        <f>$C123*INDEX(Curves!$G$8:$G$68,BL$4-$B123+1)</f>
        <v/>
      </c>
    </row>
    <row r="124">
      <c r="A124" s="147" t="inlineStr">
        <is>
          <t>Cohort month 52</t>
        </is>
      </c>
      <c r="B124" s="147" t="n">
        <v>52</v>
      </c>
      <c r="C124" s="41">
        <f>INDEX(Ops!$E$9:$BL$9,1,$B124)</f>
        <v/>
      </c>
      <c r="BE124" s="153">
        <f>$C124*INDEX(Curves!$G$8:$G$68,BE$4-$B124+1)</f>
        <v/>
      </c>
      <c r="BF124" s="153">
        <f>$C124*INDEX(Curves!$G$8:$G$68,BF$4-$B124+1)</f>
        <v/>
      </c>
      <c r="BG124" s="153">
        <f>$C124*INDEX(Curves!$G$8:$G$68,BG$4-$B124+1)</f>
        <v/>
      </c>
      <c r="BH124" s="153">
        <f>$C124*INDEX(Curves!$G$8:$G$68,BH$4-$B124+1)</f>
        <v/>
      </c>
      <c r="BI124" s="153">
        <f>$C124*INDEX(Curves!$G$8:$G$68,BI$4-$B124+1)</f>
        <v/>
      </c>
      <c r="BJ124" s="153">
        <f>$C124*INDEX(Curves!$G$8:$G$68,BJ$4-$B124+1)</f>
        <v/>
      </c>
      <c r="BK124" s="153">
        <f>$C124*INDEX(Curves!$G$8:$G$68,BK$4-$B124+1)</f>
        <v/>
      </c>
      <c r="BL124" s="153">
        <f>$C124*INDEX(Curves!$G$8:$G$68,BL$4-$B124+1)</f>
        <v/>
      </c>
    </row>
    <row r="125">
      <c r="A125" s="147" t="inlineStr">
        <is>
          <t>Cohort month 53</t>
        </is>
      </c>
      <c r="B125" s="147" t="n">
        <v>53</v>
      </c>
      <c r="C125" s="41">
        <f>INDEX(Ops!$E$9:$BL$9,1,$B125)</f>
        <v/>
      </c>
      <c r="BF125" s="153">
        <f>$C125*INDEX(Curves!$G$8:$G$68,BF$4-$B125+1)</f>
        <v/>
      </c>
      <c r="BG125" s="153">
        <f>$C125*INDEX(Curves!$G$8:$G$68,BG$4-$B125+1)</f>
        <v/>
      </c>
      <c r="BH125" s="153">
        <f>$C125*INDEX(Curves!$G$8:$G$68,BH$4-$B125+1)</f>
        <v/>
      </c>
      <c r="BI125" s="153">
        <f>$C125*INDEX(Curves!$G$8:$G$68,BI$4-$B125+1)</f>
        <v/>
      </c>
      <c r="BJ125" s="153">
        <f>$C125*INDEX(Curves!$G$8:$G$68,BJ$4-$B125+1)</f>
        <v/>
      </c>
      <c r="BK125" s="153">
        <f>$C125*INDEX(Curves!$G$8:$G$68,BK$4-$B125+1)</f>
        <v/>
      </c>
      <c r="BL125" s="153">
        <f>$C125*INDEX(Curves!$G$8:$G$68,BL$4-$B125+1)</f>
        <v/>
      </c>
    </row>
    <row r="126">
      <c r="A126" s="147" t="inlineStr">
        <is>
          <t>Cohort month 54</t>
        </is>
      </c>
      <c r="B126" s="147" t="n">
        <v>54</v>
      </c>
      <c r="C126" s="41">
        <f>INDEX(Ops!$E$9:$BL$9,1,$B126)</f>
        <v/>
      </c>
      <c r="BG126" s="153">
        <f>$C126*INDEX(Curves!$G$8:$G$68,BG$4-$B126+1)</f>
        <v/>
      </c>
      <c r="BH126" s="153">
        <f>$C126*INDEX(Curves!$G$8:$G$68,BH$4-$B126+1)</f>
        <v/>
      </c>
      <c r="BI126" s="153">
        <f>$C126*INDEX(Curves!$G$8:$G$68,BI$4-$B126+1)</f>
        <v/>
      </c>
      <c r="BJ126" s="153">
        <f>$C126*INDEX(Curves!$G$8:$G$68,BJ$4-$B126+1)</f>
        <v/>
      </c>
      <c r="BK126" s="153">
        <f>$C126*INDEX(Curves!$G$8:$G$68,BK$4-$B126+1)</f>
        <v/>
      </c>
      <c r="BL126" s="153">
        <f>$C126*INDEX(Curves!$G$8:$G$68,BL$4-$B126+1)</f>
        <v/>
      </c>
    </row>
    <row r="127">
      <c r="A127" s="147" t="inlineStr">
        <is>
          <t>Cohort month 55</t>
        </is>
      </c>
      <c r="B127" s="147" t="n">
        <v>55</v>
      </c>
      <c r="C127" s="41">
        <f>INDEX(Ops!$E$9:$BL$9,1,$B127)</f>
        <v/>
      </c>
      <c r="BH127" s="153">
        <f>$C127*INDEX(Curves!$G$8:$G$68,BH$4-$B127+1)</f>
        <v/>
      </c>
      <c r="BI127" s="153">
        <f>$C127*INDEX(Curves!$G$8:$G$68,BI$4-$B127+1)</f>
        <v/>
      </c>
      <c r="BJ127" s="153">
        <f>$C127*INDEX(Curves!$G$8:$G$68,BJ$4-$B127+1)</f>
        <v/>
      </c>
      <c r="BK127" s="153">
        <f>$C127*INDEX(Curves!$G$8:$G$68,BK$4-$B127+1)</f>
        <v/>
      </c>
      <c r="BL127" s="153">
        <f>$C127*INDEX(Curves!$G$8:$G$68,BL$4-$B127+1)</f>
        <v/>
      </c>
    </row>
    <row r="128">
      <c r="A128" s="147" t="inlineStr">
        <is>
          <t>Cohort month 56</t>
        </is>
      </c>
      <c r="B128" s="147" t="n">
        <v>56</v>
      </c>
      <c r="C128" s="41">
        <f>INDEX(Ops!$E$9:$BL$9,1,$B128)</f>
        <v/>
      </c>
      <c r="BI128" s="153">
        <f>$C128*INDEX(Curves!$G$8:$G$68,BI$4-$B128+1)</f>
        <v/>
      </c>
      <c r="BJ128" s="153">
        <f>$C128*INDEX(Curves!$G$8:$G$68,BJ$4-$B128+1)</f>
        <v/>
      </c>
      <c r="BK128" s="153">
        <f>$C128*INDEX(Curves!$G$8:$G$68,BK$4-$B128+1)</f>
        <v/>
      </c>
      <c r="BL128" s="153">
        <f>$C128*INDEX(Curves!$G$8:$G$68,BL$4-$B128+1)</f>
        <v/>
      </c>
    </row>
    <row r="129">
      <c r="A129" s="147" t="inlineStr">
        <is>
          <t>Cohort month 57</t>
        </is>
      </c>
      <c r="B129" s="147" t="n">
        <v>57</v>
      </c>
      <c r="C129" s="41">
        <f>INDEX(Ops!$E$9:$BL$9,1,$B129)</f>
        <v/>
      </c>
      <c r="BJ129" s="153">
        <f>$C129*INDEX(Curves!$G$8:$G$68,BJ$4-$B129+1)</f>
        <v/>
      </c>
      <c r="BK129" s="153">
        <f>$C129*INDEX(Curves!$G$8:$G$68,BK$4-$B129+1)</f>
        <v/>
      </c>
      <c r="BL129" s="153">
        <f>$C129*INDEX(Curves!$G$8:$G$68,BL$4-$B129+1)</f>
        <v/>
      </c>
    </row>
    <row r="130">
      <c r="A130" s="147" t="inlineStr">
        <is>
          <t>Cohort month 58</t>
        </is>
      </c>
      <c r="B130" s="147" t="n">
        <v>58</v>
      </c>
      <c r="C130" s="41">
        <f>INDEX(Ops!$E$9:$BL$9,1,$B130)</f>
        <v/>
      </c>
      <c r="BK130" s="153">
        <f>$C130*INDEX(Curves!$G$8:$G$68,BK$4-$B130+1)</f>
        <v/>
      </c>
      <c r="BL130" s="153">
        <f>$C130*INDEX(Curves!$G$8:$G$68,BL$4-$B130+1)</f>
        <v/>
      </c>
    </row>
    <row r="131">
      <c r="A131" s="147" t="inlineStr">
        <is>
          <t>Cohort month 59</t>
        </is>
      </c>
      <c r="B131" s="147" t="n">
        <v>59</v>
      </c>
      <c r="C131" s="41">
        <f>INDEX(Ops!$E$9:$BL$9,1,$B131)</f>
        <v/>
      </c>
      <c r="BL131" s="153">
        <f>$C131*INDEX(Curves!$G$8:$G$68,BL$4-$B131+1)</f>
        <v/>
      </c>
    </row>
    <row r="132">
      <c r="A132" s="147" t="inlineStr">
        <is>
          <t>Cohort month 60</t>
        </is>
      </c>
      <c r="B132" s="147" t="n">
        <v>60</v>
      </c>
      <c r="C132" s="41">
        <f>INDEX(Ops!$E$9:$BL$9,1,$B132)</f>
        <v/>
      </c>
    </row>
    <row r="133"/>
    <row r="134">
      <c r="A134" s="21" t="inlineStr">
        <is>
          <t>Receivables at risk by cohort (LCY)</t>
        </is>
      </c>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c r="AA134" s="22" t="n"/>
      <c r="AB134" s="22" t="n"/>
      <c r="AC134" s="22" t="n"/>
      <c r="AD134" s="22" t="n"/>
      <c r="AE134" s="22" t="n"/>
      <c r="AF134" s="22" t="n"/>
      <c r="AG134" s="22" t="n"/>
      <c r="AH134" s="22" t="n"/>
      <c r="AI134" s="22" t="n"/>
      <c r="AJ134" s="22" t="n"/>
      <c r="AK134" s="22" t="n"/>
      <c r="AL134" s="22" t="n"/>
      <c r="AM134" s="22" t="n"/>
      <c r="AN134" s="22" t="n"/>
      <c r="AO134" s="22" t="n"/>
      <c r="AP134" s="22" t="n"/>
      <c r="AQ134" s="22" t="n"/>
      <c r="AR134" s="22" t="n"/>
      <c r="AS134" s="22" t="n"/>
      <c r="AT134" s="22" t="n"/>
      <c r="AU134" s="22" t="n"/>
      <c r="AV134" s="22" t="n"/>
      <c r="AW134" s="22" t="n"/>
      <c r="AX134" s="22" t="n"/>
      <c r="AY134" s="22" t="n"/>
      <c r="AZ134" s="22" t="n"/>
      <c r="BA134" s="22" t="n"/>
      <c r="BB134" s="22" t="n"/>
      <c r="BC134" s="22" t="n"/>
      <c r="BD134" s="22" t="n"/>
      <c r="BE134" s="22" t="n"/>
      <c r="BF134" s="22" t="n"/>
      <c r="BG134" s="22" t="n"/>
      <c r="BH134" s="22" t="n"/>
      <c r="BI134" s="22" t="n"/>
      <c r="BJ134" s="22" t="n"/>
      <c r="BK134" s="22" t="n"/>
      <c r="BL134" s="22" t="n"/>
    </row>
    <row r="135">
      <c r="A135" s="100" t="inlineStr">
        <is>
          <t>Total</t>
        </is>
      </c>
      <c r="B135" s="101" t="inlineStr"/>
      <c r="C135" s="103" t="n"/>
      <c r="D135" s="103" t="n"/>
      <c r="E135" s="104">
        <f>SUM(E136:E195)</f>
        <v/>
      </c>
      <c r="F135" s="104">
        <f>SUM(F136:F195)</f>
        <v/>
      </c>
      <c r="G135" s="104">
        <f>SUM(G136:G195)</f>
        <v/>
      </c>
      <c r="H135" s="104">
        <f>SUM(H136:H195)</f>
        <v/>
      </c>
      <c r="I135" s="104">
        <f>SUM(I136:I195)</f>
        <v/>
      </c>
      <c r="J135" s="104">
        <f>SUM(J136:J195)</f>
        <v/>
      </c>
      <c r="K135" s="104">
        <f>SUM(K136:K195)</f>
        <v/>
      </c>
      <c r="L135" s="104">
        <f>SUM(L136:L195)</f>
        <v/>
      </c>
      <c r="M135" s="104">
        <f>SUM(M136:M195)</f>
        <v/>
      </c>
      <c r="N135" s="104">
        <f>SUM(N136:N195)</f>
        <v/>
      </c>
      <c r="O135" s="104">
        <f>SUM(O136:O195)</f>
        <v/>
      </c>
      <c r="P135" s="104">
        <f>SUM(P136:P195)</f>
        <v/>
      </c>
      <c r="Q135" s="104">
        <f>SUM(Q136:Q195)</f>
        <v/>
      </c>
      <c r="R135" s="104">
        <f>SUM(R136:R195)</f>
        <v/>
      </c>
      <c r="S135" s="104">
        <f>SUM(S136:S195)</f>
        <v/>
      </c>
      <c r="T135" s="104">
        <f>SUM(T136:T195)</f>
        <v/>
      </c>
      <c r="U135" s="104">
        <f>SUM(U136:U195)</f>
        <v/>
      </c>
      <c r="V135" s="104">
        <f>SUM(V136:V195)</f>
        <v/>
      </c>
      <c r="W135" s="104">
        <f>SUM(W136:W195)</f>
        <v/>
      </c>
      <c r="X135" s="104">
        <f>SUM(X136:X195)</f>
        <v/>
      </c>
      <c r="Y135" s="104">
        <f>SUM(Y136:Y195)</f>
        <v/>
      </c>
      <c r="Z135" s="104">
        <f>SUM(Z136:Z195)</f>
        <v/>
      </c>
      <c r="AA135" s="104">
        <f>SUM(AA136:AA195)</f>
        <v/>
      </c>
      <c r="AB135" s="104">
        <f>SUM(AB136:AB195)</f>
        <v/>
      </c>
      <c r="AC135" s="104">
        <f>SUM(AC136:AC195)</f>
        <v/>
      </c>
      <c r="AD135" s="104">
        <f>SUM(AD136:AD195)</f>
        <v/>
      </c>
      <c r="AE135" s="104">
        <f>SUM(AE136:AE195)</f>
        <v/>
      </c>
      <c r="AF135" s="104">
        <f>SUM(AF136:AF195)</f>
        <v/>
      </c>
      <c r="AG135" s="104">
        <f>SUM(AG136:AG195)</f>
        <v/>
      </c>
      <c r="AH135" s="104">
        <f>SUM(AH136:AH195)</f>
        <v/>
      </c>
      <c r="AI135" s="104">
        <f>SUM(AI136:AI195)</f>
        <v/>
      </c>
      <c r="AJ135" s="104">
        <f>SUM(AJ136:AJ195)</f>
        <v/>
      </c>
      <c r="AK135" s="104">
        <f>SUM(AK136:AK195)</f>
        <v/>
      </c>
      <c r="AL135" s="104">
        <f>SUM(AL136:AL195)</f>
        <v/>
      </c>
      <c r="AM135" s="104">
        <f>SUM(AM136:AM195)</f>
        <v/>
      </c>
      <c r="AN135" s="104">
        <f>SUM(AN136:AN195)</f>
        <v/>
      </c>
      <c r="AO135" s="104">
        <f>SUM(AO136:AO195)</f>
        <v/>
      </c>
      <c r="AP135" s="104">
        <f>SUM(AP136:AP195)</f>
        <v/>
      </c>
      <c r="AQ135" s="104">
        <f>SUM(AQ136:AQ195)</f>
        <v/>
      </c>
      <c r="AR135" s="104">
        <f>SUM(AR136:AR195)</f>
        <v/>
      </c>
      <c r="AS135" s="104">
        <f>SUM(AS136:AS195)</f>
        <v/>
      </c>
      <c r="AT135" s="104">
        <f>SUM(AT136:AT195)</f>
        <v/>
      </c>
      <c r="AU135" s="104">
        <f>SUM(AU136:AU195)</f>
        <v/>
      </c>
      <c r="AV135" s="104">
        <f>SUM(AV136:AV195)</f>
        <v/>
      </c>
      <c r="AW135" s="104">
        <f>SUM(AW136:AW195)</f>
        <v/>
      </c>
      <c r="AX135" s="104">
        <f>SUM(AX136:AX195)</f>
        <v/>
      </c>
      <c r="AY135" s="104">
        <f>SUM(AY136:AY195)</f>
        <v/>
      </c>
      <c r="AZ135" s="104">
        <f>SUM(AZ136:AZ195)</f>
        <v/>
      </c>
      <c r="BA135" s="104">
        <f>SUM(BA136:BA195)</f>
        <v/>
      </c>
      <c r="BB135" s="104">
        <f>SUM(BB136:BB195)</f>
        <v/>
      </c>
      <c r="BC135" s="104">
        <f>SUM(BC136:BC195)</f>
        <v/>
      </c>
      <c r="BD135" s="104">
        <f>SUM(BD136:BD195)</f>
        <v/>
      </c>
      <c r="BE135" s="104">
        <f>SUM(BE136:BE195)</f>
        <v/>
      </c>
      <c r="BF135" s="104">
        <f>SUM(BF136:BF195)</f>
        <v/>
      </c>
      <c r="BG135" s="104">
        <f>SUM(BG136:BG195)</f>
        <v/>
      </c>
      <c r="BH135" s="104">
        <f>SUM(BH136:BH195)</f>
        <v/>
      </c>
      <c r="BI135" s="104">
        <f>SUM(BI136:BI195)</f>
        <v/>
      </c>
      <c r="BJ135" s="104">
        <f>SUM(BJ136:BJ195)</f>
        <v/>
      </c>
      <c r="BK135" s="104">
        <f>SUM(BK136:BK195)</f>
        <v/>
      </c>
      <c r="BL135" s="104">
        <f>SUM(BL136:BL195)</f>
        <v/>
      </c>
    </row>
    <row r="136">
      <c r="A136" s="147" t="inlineStr">
        <is>
          <t>Cohort month 1</t>
        </is>
      </c>
      <c r="B136" s="147" t="n">
        <v>1</v>
      </c>
      <c r="C136" s="41">
        <f>INDEX(Ops!$E$10:$BL$10,1,$B136)</f>
        <v/>
      </c>
      <c r="F136" s="153">
        <f>$C136*INDEX(Curves!$F$8:$F$68,F$4-$B136+1)</f>
        <v/>
      </c>
      <c r="G136" s="153">
        <f>$C136*INDEX(Curves!$F$8:$F$68,G$4-$B136+1)</f>
        <v/>
      </c>
      <c r="H136" s="153">
        <f>$C136*INDEX(Curves!$F$8:$F$68,H$4-$B136+1)</f>
        <v/>
      </c>
      <c r="I136" s="153">
        <f>$C136*INDEX(Curves!$F$8:$F$68,I$4-$B136+1)</f>
        <v/>
      </c>
      <c r="J136" s="153">
        <f>$C136*INDEX(Curves!$F$8:$F$68,J$4-$B136+1)</f>
        <v/>
      </c>
      <c r="K136" s="153">
        <f>$C136*INDEX(Curves!$F$8:$F$68,K$4-$B136+1)</f>
        <v/>
      </c>
      <c r="L136" s="153">
        <f>$C136*INDEX(Curves!$F$8:$F$68,L$4-$B136+1)</f>
        <v/>
      </c>
      <c r="M136" s="153">
        <f>$C136*INDEX(Curves!$F$8:$F$68,M$4-$B136+1)</f>
        <v/>
      </c>
      <c r="N136" s="153">
        <f>$C136*INDEX(Curves!$F$8:$F$68,N$4-$B136+1)</f>
        <v/>
      </c>
      <c r="O136" s="153">
        <f>$C136*INDEX(Curves!$F$8:$F$68,O$4-$B136+1)</f>
        <v/>
      </c>
      <c r="P136" s="153">
        <f>$C136*INDEX(Curves!$F$8:$F$68,P$4-$B136+1)</f>
        <v/>
      </c>
      <c r="Q136" s="153">
        <f>$C136*INDEX(Curves!$F$8:$F$68,Q$4-$B136+1)</f>
        <v/>
      </c>
      <c r="R136" s="153">
        <f>$C136*INDEX(Curves!$F$8:$F$68,R$4-$B136+1)</f>
        <v/>
      </c>
      <c r="S136" s="153">
        <f>$C136*INDEX(Curves!$F$8:$F$68,S$4-$B136+1)</f>
        <v/>
      </c>
      <c r="T136" s="153">
        <f>$C136*INDEX(Curves!$F$8:$F$68,T$4-$B136+1)</f>
        <v/>
      </c>
      <c r="U136" s="153">
        <f>$C136*INDEX(Curves!$F$8:$F$68,U$4-$B136+1)</f>
        <v/>
      </c>
      <c r="V136" s="153">
        <f>$C136*INDEX(Curves!$F$8:$F$68,V$4-$B136+1)</f>
        <v/>
      </c>
      <c r="W136" s="153">
        <f>$C136*INDEX(Curves!$F$8:$F$68,W$4-$B136+1)</f>
        <v/>
      </c>
      <c r="X136" s="153">
        <f>$C136*INDEX(Curves!$F$8:$F$68,X$4-$B136+1)</f>
        <v/>
      </c>
      <c r="Y136" s="153">
        <f>$C136*INDEX(Curves!$F$8:$F$68,Y$4-$B136+1)</f>
        <v/>
      </c>
      <c r="Z136" s="153">
        <f>$C136*INDEX(Curves!$F$8:$F$68,Z$4-$B136+1)</f>
        <v/>
      </c>
      <c r="AA136" s="153">
        <f>$C136*INDEX(Curves!$F$8:$F$68,AA$4-$B136+1)</f>
        <v/>
      </c>
      <c r="AB136" s="153">
        <f>$C136*INDEX(Curves!$F$8:$F$68,AB$4-$B136+1)</f>
        <v/>
      </c>
      <c r="AC136" s="153">
        <f>$C136*INDEX(Curves!$F$8:$F$68,AC$4-$B136+1)</f>
        <v/>
      </c>
      <c r="AD136" s="153">
        <f>$C136*INDEX(Curves!$F$8:$F$68,AD$4-$B136+1)</f>
        <v/>
      </c>
      <c r="AE136" s="153">
        <f>$C136*INDEX(Curves!$F$8:$F$68,AE$4-$B136+1)</f>
        <v/>
      </c>
      <c r="AF136" s="153">
        <f>$C136*INDEX(Curves!$F$8:$F$68,AF$4-$B136+1)</f>
        <v/>
      </c>
      <c r="AG136" s="153">
        <f>$C136*INDEX(Curves!$F$8:$F$68,AG$4-$B136+1)</f>
        <v/>
      </c>
      <c r="AH136" s="153">
        <f>$C136*INDEX(Curves!$F$8:$F$68,AH$4-$B136+1)</f>
        <v/>
      </c>
      <c r="AI136" s="153">
        <f>$C136*INDEX(Curves!$F$8:$F$68,AI$4-$B136+1)</f>
        <v/>
      </c>
      <c r="AJ136" s="153">
        <f>$C136*INDEX(Curves!$F$8:$F$68,AJ$4-$B136+1)</f>
        <v/>
      </c>
      <c r="AK136" s="153">
        <f>$C136*INDEX(Curves!$F$8:$F$68,AK$4-$B136+1)</f>
        <v/>
      </c>
      <c r="AL136" s="153">
        <f>$C136*INDEX(Curves!$F$8:$F$68,AL$4-$B136+1)</f>
        <v/>
      </c>
      <c r="AM136" s="153">
        <f>$C136*INDEX(Curves!$F$8:$F$68,AM$4-$B136+1)</f>
        <v/>
      </c>
      <c r="AN136" s="153">
        <f>$C136*INDEX(Curves!$F$8:$F$68,AN$4-$B136+1)</f>
        <v/>
      </c>
      <c r="AO136" s="153">
        <f>$C136*INDEX(Curves!$F$8:$F$68,AO$4-$B136+1)</f>
        <v/>
      </c>
      <c r="AP136" s="153">
        <f>$C136*INDEX(Curves!$F$8:$F$68,AP$4-$B136+1)</f>
        <v/>
      </c>
      <c r="AQ136" s="153">
        <f>$C136*INDEX(Curves!$F$8:$F$68,AQ$4-$B136+1)</f>
        <v/>
      </c>
      <c r="AR136" s="153">
        <f>$C136*INDEX(Curves!$F$8:$F$68,AR$4-$B136+1)</f>
        <v/>
      </c>
      <c r="AS136" s="153">
        <f>$C136*INDEX(Curves!$F$8:$F$68,AS$4-$B136+1)</f>
        <v/>
      </c>
      <c r="AT136" s="153">
        <f>$C136*INDEX(Curves!$F$8:$F$68,AT$4-$B136+1)</f>
        <v/>
      </c>
      <c r="AU136" s="153">
        <f>$C136*INDEX(Curves!$F$8:$F$68,AU$4-$B136+1)</f>
        <v/>
      </c>
      <c r="AV136" s="153">
        <f>$C136*INDEX(Curves!$F$8:$F$68,AV$4-$B136+1)</f>
        <v/>
      </c>
      <c r="AW136" s="153">
        <f>$C136*INDEX(Curves!$F$8:$F$68,AW$4-$B136+1)</f>
        <v/>
      </c>
      <c r="AX136" s="153">
        <f>$C136*INDEX(Curves!$F$8:$F$68,AX$4-$B136+1)</f>
        <v/>
      </c>
      <c r="AY136" s="153">
        <f>$C136*INDEX(Curves!$F$8:$F$68,AY$4-$B136+1)</f>
        <v/>
      </c>
      <c r="AZ136" s="153">
        <f>$C136*INDEX(Curves!$F$8:$F$68,AZ$4-$B136+1)</f>
        <v/>
      </c>
      <c r="BA136" s="153">
        <f>$C136*INDEX(Curves!$F$8:$F$68,BA$4-$B136+1)</f>
        <v/>
      </c>
      <c r="BB136" s="153">
        <f>$C136*INDEX(Curves!$F$8:$F$68,BB$4-$B136+1)</f>
        <v/>
      </c>
      <c r="BC136" s="153">
        <f>$C136*INDEX(Curves!$F$8:$F$68,BC$4-$B136+1)</f>
        <v/>
      </c>
      <c r="BD136" s="153">
        <f>$C136*INDEX(Curves!$F$8:$F$68,BD$4-$B136+1)</f>
        <v/>
      </c>
      <c r="BE136" s="153">
        <f>$C136*INDEX(Curves!$F$8:$F$68,BE$4-$B136+1)</f>
        <v/>
      </c>
      <c r="BF136" s="153">
        <f>$C136*INDEX(Curves!$F$8:$F$68,BF$4-$B136+1)</f>
        <v/>
      </c>
      <c r="BG136" s="153">
        <f>$C136*INDEX(Curves!$F$8:$F$68,BG$4-$B136+1)</f>
        <v/>
      </c>
      <c r="BH136" s="153">
        <f>$C136*INDEX(Curves!$F$8:$F$68,BH$4-$B136+1)</f>
        <v/>
      </c>
      <c r="BI136" s="153">
        <f>$C136*INDEX(Curves!$F$8:$F$68,BI$4-$B136+1)</f>
        <v/>
      </c>
      <c r="BJ136" s="153">
        <f>$C136*INDEX(Curves!$F$8:$F$68,BJ$4-$B136+1)</f>
        <v/>
      </c>
      <c r="BK136" s="153">
        <f>$C136*INDEX(Curves!$F$8:$F$68,BK$4-$B136+1)</f>
        <v/>
      </c>
      <c r="BL136" s="153">
        <f>$C136*INDEX(Curves!$F$8:$F$68,BL$4-$B136+1)</f>
        <v/>
      </c>
    </row>
    <row r="137">
      <c r="A137" s="147" t="inlineStr">
        <is>
          <t>Cohort month 2</t>
        </is>
      </c>
      <c r="B137" s="147" t="n">
        <v>2</v>
      </c>
      <c r="C137" s="41">
        <f>INDEX(Ops!$E$10:$BL$10,1,$B137)</f>
        <v/>
      </c>
      <c r="G137" s="153">
        <f>$C137*INDEX(Curves!$F$8:$F$68,G$4-$B137+1)</f>
        <v/>
      </c>
      <c r="H137" s="153">
        <f>$C137*INDEX(Curves!$F$8:$F$68,H$4-$B137+1)</f>
        <v/>
      </c>
      <c r="I137" s="153">
        <f>$C137*INDEX(Curves!$F$8:$F$68,I$4-$B137+1)</f>
        <v/>
      </c>
      <c r="J137" s="153">
        <f>$C137*INDEX(Curves!$F$8:$F$68,J$4-$B137+1)</f>
        <v/>
      </c>
      <c r="K137" s="153">
        <f>$C137*INDEX(Curves!$F$8:$F$68,K$4-$B137+1)</f>
        <v/>
      </c>
      <c r="L137" s="153">
        <f>$C137*INDEX(Curves!$F$8:$F$68,L$4-$B137+1)</f>
        <v/>
      </c>
      <c r="M137" s="153">
        <f>$C137*INDEX(Curves!$F$8:$F$68,M$4-$B137+1)</f>
        <v/>
      </c>
      <c r="N137" s="153">
        <f>$C137*INDEX(Curves!$F$8:$F$68,N$4-$B137+1)</f>
        <v/>
      </c>
      <c r="O137" s="153">
        <f>$C137*INDEX(Curves!$F$8:$F$68,O$4-$B137+1)</f>
        <v/>
      </c>
      <c r="P137" s="153">
        <f>$C137*INDEX(Curves!$F$8:$F$68,P$4-$B137+1)</f>
        <v/>
      </c>
      <c r="Q137" s="153">
        <f>$C137*INDEX(Curves!$F$8:$F$68,Q$4-$B137+1)</f>
        <v/>
      </c>
      <c r="R137" s="153">
        <f>$C137*INDEX(Curves!$F$8:$F$68,R$4-$B137+1)</f>
        <v/>
      </c>
      <c r="S137" s="153">
        <f>$C137*INDEX(Curves!$F$8:$F$68,S$4-$B137+1)</f>
        <v/>
      </c>
      <c r="T137" s="153">
        <f>$C137*INDEX(Curves!$F$8:$F$68,T$4-$B137+1)</f>
        <v/>
      </c>
      <c r="U137" s="153">
        <f>$C137*INDEX(Curves!$F$8:$F$68,U$4-$B137+1)</f>
        <v/>
      </c>
      <c r="V137" s="153">
        <f>$C137*INDEX(Curves!$F$8:$F$68,V$4-$B137+1)</f>
        <v/>
      </c>
      <c r="W137" s="153">
        <f>$C137*INDEX(Curves!$F$8:$F$68,W$4-$B137+1)</f>
        <v/>
      </c>
      <c r="X137" s="153">
        <f>$C137*INDEX(Curves!$F$8:$F$68,X$4-$B137+1)</f>
        <v/>
      </c>
      <c r="Y137" s="153">
        <f>$C137*INDEX(Curves!$F$8:$F$68,Y$4-$B137+1)</f>
        <v/>
      </c>
      <c r="Z137" s="153">
        <f>$C137*INDEX(Curves!$F$8:$F$68,Z$4-$B137+1)</f>
        <v/>
      </c>
      <c r="AA137" s="153">
        <f>$C137*INDEX(Curves!$F$8:$F$68,AA$4-$B137+1)</f>
        <v/>
      </c>
      <c r="AB137" s="153">
        <f>$C137*INDEX(Curves!$F$8:$F$68,AB$4-$B137+1)</f>
        <v/>
      </c>
      <c r="AC137" s="153">
        <f>$C137*INDEX(Curves!$F$8:$F$68,AC$4-$B137+1)</f>
        <v/>
      </c>
      <c r="AD137" s="153">
        <f>$C137*INDEX(Curves!$F$8:$F$68,AD$4-$B137+1)</f>
        <v/>
      </c>
      <c r="AE137" s="153">
        <f>$C137*INDEX(Curves!$F$8:$F$68,AE$4-$B137+1)</f>
        <v/>
      </c>
      <c r="AF137" s="153">
        <f>$C137*INDEX(Curves!$F$8:$F$68,AF$4-$B137+1)</f>
        <v/>
      </c>
      <c r="AG137" s="153">
        <f>$C137*INDEX(Curves!$F$8:$F$68,AG$4-$B137+1)</f>
        <v/>
      </c>
      <c r="AH137" s="153">
        <f>$C137*INDEX(Curves!$F$8:$F$68,AH$4-$B137+1)</f>
        <v/>
      </c>
      <c r="AI137" s="153">
        <f>$C137*INDEX(Curves!$F$8:$F$68,AI$4-$B137+1)</f>
        <v/>
      </c>
      <c r="AJ137" s="153">
        <f>$C137*INDEX(Curves!$F$8:$F$68,AJ$4-$B137+1)</f>
        <v/>
      </c>
      <c r="AK137" s="153">
        <f>$C137*INDEX(Curves!$F$8:$F$68,AK$4-$B137+1)</f>
        <v/>
      </c>
      <c r="AL137" s="153">
        <f>$C137*INDEX(Curves!$F$8:$F$68,AL$4-$B137+1)</f>
        <v/>
      </c>
      <c r="AM137" s="153">
        <f>$C137*INDEX(Curves!$F$8:$F$68,AM$4-$B137+1)</f>
        <v/>
      </c>
      <c r="AN137" s="153">
        <f>$C137*INDEX(Curves!$F$8:$F$68,AN$4-$B137+1)</f>
        <v/>
      </c>
      <c r="AO137" s="153">
        <f>$C137*INDEX(Curves!$F$8:$F$68,AO$4-$B137+1)</f>
        <v/>
      </c>
      <c r="AP137" s="153">
        <f>$C137*INDEX(Curves!$F$8:$F$68,AP$4-$B137+1)</f>
        <v/>
      </c>
      <c r="AQ137" s="153">
        <f>$C137*INDEX(Curves!$F$8:$F$68,AQ$4-$B137+1)</f>
        <v/>
      </c>
      <c r="AR137" s="153">
        <f>$C137*INDEX(Curves!$F$8:$F$68,AR$4-$B137+1)</f>
        <v/>
      </c>
      <c r="AS137" s="153">
        <f>$C137*INDEX(Curves!$F$8:$F$68,AS$4-$B137+1)</f>
        <v/>
      </c>
      <c r="AT137" s="153">
        <f>$C137*INDEX(Curves!$F$8:$F$68,AT$4-$B137+1)</f>
        <v/>
      </c>
      <c r="AU137" s="153">
        <f>$C137*INDEX(Curves!$F$8:$F$68,AU$4-$B137+1)</f>
        <v/>
      </c>
      <c r="AV137" s="153">
        <f>$C137*INDEX(Curves!$F$8:$F$68,AV$4-$B137+1)</f>
        <v/>
      </c>
      <c r="AW137" s="153">
        <f>$C137*INDEX(Curves!$F$8:$F$68,AW$4-$B137+1)</f>
        <v/>
      </c>
      <c r="AX137" s="153">
        <f>$C137*INDEX(Curves!$F$8:$F$68,AX$4-$B137+1)</f>
        <v/>
      </c>
      <c r="AY137" s="153">
        <f>$C137*INDEX(Curves!$F$8:$F$68,AY$4-$B137+1)</f>
        <v/>
      </c>
      <c r="AZ137" s="153">
        <f>$C137*INDEX(Curves!$F$8:$F$68,AZ$4-$B137+1)</f>
        <v/>
      </c>
      <c r="BA137" s="153">
        <f>$C137*INDEX(Curves!$F$8:$F$68,BA$4-$B137+1)</f>
        <v/>
      </c>
      <c r="BB137" s="153">
        <f>$C137*INDEX(Curves!$F$8:$F$68,BB$4-$B137+1)</f>
        <v/>
      </c>
      <c r="BC137" s="153">
        <f>$C137*INDEX(Curves!$F$8:$F$68,BC$4-$B137+1)</f>
        <v/>
      </c>
      <c r="BD137" s="153">
        <f>$C137*INDEX(Curves!$F$8:$F$68,BD$4-$B137+1)</f>
        <v/>
      </c>
      <c r="BE137" s="153">
        <f>$C137*INDEX(Curves!$F$8:$F$68,BE$4-$B137+1)</f>
        <v/>
      </c>
      <c r="BF137" s="153">
        <f>$C137*INDEX(Curves!$F$8:$F$68,BF$4-$B137+1)</f>
        <v/>
      </c>
      <c r="BG137" s="153">
        <f>$C137*INDEX(Curves!$F$8:$F$68,BG$4-$B137+1)</f>
        <v/>
      </c>
      <c r="BH137" s="153">
        <f>$C137*INDEX(Curves!$F$8:$F$68,BH$4-$B137+1)</f>
        <v/>
      </c>
      <c r="BI137" s="153">
        <f>$C137*INDEX(Curves!$F$8:$F$68,BI$4-$B137+1)</f>
        <v/>
      </c>
      <c r="BJ137" s="153">
        <f>$C137*INDEX(Curves!$F$8:$F$68,BJ$4-$B137+1)</f>
        <v/>
      </c>
      <c r="BK137" s="153">
        <f>$C137*INDEX(Curves!$F$8:$F$68,BK$4-$B137+1)</f>
        <v/>
      </c>
      <c r="BL137" s="153">
        <f>$C137*INDEX(Curves!$F$8:$F$68,BL$4-$B137+1)</f>
        <v/>
      </c>
    </row>
    <row r="138">
      <c r="A138" s="147" t="inlineStr">
        <is>
          <t>Cohort month 3</t>
        </is>
      </c>
      <c r="B138" s="147" t="n">
        <v>3</v>
      </c>
      <c r="C138" s="41">
        <f>INDEX(Ops!$E$10:$BL$10,1,$B138)</f>
        <v/>
      </c>
      <c r="H138" s="153">
        <f>$C138*INDEX(Curves!$F$8:$F$68,H$4-$B138+1)</f>
        <v/>
      </c>
      <c r="I138" s="153">
        <f>$C138*INDEX(Curves!$F$8:$F$68,I$4-$B138+1)</f>
        <v/>
      </c>
      <c r="J138" s="153">
        <f>$C138*INDEX(Curves!$F$8:$F$68,J$4-$B138+1)</f>
        <v/>
      </c>
      <c r="K138" s="153">
        <f>$C138*INDEX(Curves!$F$8:$F$68,K$4-$B138+1)</f>
        <v/>
      </c>
      <c r="L138" s="153">
        <f>$C138*INDEX(Curves!$F$8:$F$68,L$4-$B138+1)</f>
        <v/>
      </c>
      <c r="M138" s="153">
        <f>$C138*INDEX(Curves!$F$8:$F$68,M$4-$B138+1)</f>
        <v/>
      </c>
      <c r="N138" s="153">
        <f>$C138*INDEX(Curves!$F$8:$F$68,N$4-$B138+1)</f>
        <v/>
      </c>
      <c r="O138" s="153">
        <f>$C138*INDEX(Curves!$F$8:$F$68,O$4-$B138+1)</f>
        <v/>
      </c>
      <c r="P138" s="153">
        <f>$C138*INDEX(Curves!$F$8:$F$68,P$4-$B138+1)</f>
        <v/>
      </c>
      <c r="Q138" s="153">
        <f>$C138*INDEX(Curves!$F$8:$F$68,Q$4-$B138+1)</f>
        <v/>
      </c>
      <c r="R138" s="153">
        <f>$C138*INDEX(Curves!$F$8:$F$68,R$4-$B138+1)</f>
        <v/>
      </c>
      <c r="S138" s="153">
        <f>$C138*INDEX(Curves!$F$8:$F$68,S$4-$B138+1)</f>
        <v/>
      </c>
      <c r="T138" s="153">
        <f>$C138*INDEX(Curves!$F$8:$F$68,T$4-$B138+1)</f>
        <v/>
      </c>
      <c r="U138" s="153">
        <f>$C138*INDEX(Curves!$F$8:$F$68,U$4-$B138+1)</f>
        <v/>
      </c>
      <c r="V138" s="153">
        <f>$C138*INDEX(Curves!$F$8:$F$68,V$4-$B138+1)</f>
        <v/>
      </c>
      <c r="W138" s="153">
        <f>$C138*INDEX(Curves!$F$8:$F$68,W$4-$B138+1)</f>
        <v/>
      </c>
      <c r="X138" s="153">
        <f>$C138*INDEX(Curves!$F$8:$F$68,X$4-$B138+1)</f>
        <v/>
      </c>
      <c r="Y138" s="153">
        <f>$C138*INDEX(Curves!$F$8:$F$68,Y$4-$B138+1)</f>
        <v/>
      </c>
      <c r="Z138" s="153">
        <f>$C138*INDEX(Curves!$F$8:$F$68,Z$4-$B138+1)</f>
        <v/>
      </c>
      <c r="AA138" s="153">
        <f>$C138*INDEX(Curves!$F$8:$F$68,AA$4-$B138+1)</f>
        <v/>
      </c>
      <c r="AB138" s="153">
        <f>$C138*INDEX(Curves!$F$8:$F$68,AB$4-$B138+1)</f>
        <v/>
      </c>
      <c r="AC138" s="153">
        <f>$C138*INDEX(Curves!$F$8:$F$68,AC$4-$B138+1)</f>
        <v/>
      </c>
      <c r="AD138" s="153">
        <f>$C138*INDEX(Curves!$F$8:$F$68,AD$4-$B138+1)</f>
        <v/>
      </c>
      <c r="AE138" s="153">
        <f>$C138*INDEX(Curves!$F$8:$F$68,AE$4-$B138+1)</f>
        <v/>
      </c>
      <c r="AF138" s="153">
        <f>$C138*INDEX(Curves!$F$8:$F$68,AF$4-$B138+1)</f>
        <v/>
      </c>
      <c r="AG138" s="153">
        <f>$C138*INDEX(Curves!$F$8:$F$68,AG$4-$B138+1)</f>
        <v/>
      </c>
      <c r="AH138" s="153">
        <f>$C138*INDEX(Curves!$F$8:$F$68,AH$4-$B138+1)</f>
        <v/>
      </c>
      <c r="AI138" s="153">
        <f>$C138*INDEX(Curves!$F$8:$F$68,AI$4-$B138+1)</f>
        <v/>
      </c>
      <c r="AJ138" s="153">
        <f>$C138*INDEX(Curves!$F$8:$F$68,AJ$4-$B138+1)</f>
        <v/>
      </c>
      <c r="AK138" s="153">
        <f>$C138*INDEX(Curves!$F$8:$F$68,AK$4-$B138+1)</f>
        <v/>
      </c>
      <c r="AL138" s="153">
        <f>$C138*INDEX(Curves!$F$8:$F$68,AL$4-$B138+1)</f>
        <v/>
      </c>
      <c r="AM138" s="153">
        <f>$C138*INDEX(Curves!$F$8:$F$68,AM$4-$B138+1)</f>
        <v/>
      </c>
      <c r="AN138" s="153">
        <f>$C138*INDEX(Curves!$F$8:$F$68,AN$4-$B138+1)</f>
        <v/>
      </c>
      <c r="AO138" s="153">
        <f>$C138*INDEX(Curves!$F$8:$F$68,AO$4-$B138+1)</f>
        <v/>
      </c>
      <c r="AP138" s="153">
        <f>$C138*INDEX(Curves!$F$8:$F$68,AP$4-$B138+1)</f>
        <v/>
      </c>
      <c r="AQ138" s="153">
        <f>$C138*INDEX(Curves!$F$8:$F$68,AQ$4-$B138+1)</f>
        <v/>
      </c>
      <c r="AR138" s="153">
        <f>$C138*INDEX(Curves!$F$8:$F$68,AR$4-$B138+1)</f>
        <v/>
      </c>
      <c r="AS138" s="153">
        <f>$C138*INDEX(Curves!$F$8:$F$68,AS$4-$B138+1)</f>
        <v/>
      </c>
      <c r="AT138" s="153">
        <f>$C138*INDEX(Curves!$F$8:$F$68,AT$4-$B138+1)</f>
        <v/>
      </c>
      <c r="AU138" s="153">
        <f>$C138*INDEX(Curves!$F$8:$F$68,AU$4-$B138+1)</f>
        <v/>
      </c>
      <c r="AV138" s="153">
        <f>$C138*INDEX(Curves!$F$8:$F$68,AV$4-$B138+1)</f>
        <v/>
      </c>
      <c r="AW138" s="153">
        <f>$C138*INDEX(Curves!$F$8:$F$68,AW$4-$B138+1)</f>
        <v/>
      </c>
      <c r="AX138" s="153">
        <f>$C138*INDEX(Curves!$F$8:$F$68,AX$4-$B138+1)</f>
        <v/>
      </c>
      <c r="AY138" s="153">
        <f>$C138*INDEX(Curves!$F$8:$F$68,AY$4-$B138+1)</f>
        <v/>
      </c>
      <c r="AZ138" s="153">
        <f>$C138*INDEX(Curves!$F$8:$F$68,AZ$4-$B138+1)</f>
        <v/>
      </c>
      <c r="BA138" s="153">
        <f>$C138*INDEX(Curves!$F$8:$F$68,BA$4-$B138+1)</f>
        <v/>
      </c>
      <c r="BB138" s="153">
        <f>$C138*INDEX(Curves!$F$8:$F$68,BB$4-$B138+1)</f>
        <v/>
      </c>
      <c r="BC138" s="153">
        <f>$C138*INDEX(Curves!$F$8:$F$68,BC$4-$B138+1)</f>
        <v/>
      </c>
      <c r="BD138" s="153">
        <f>$C138*INDEX(Curves!$F$8:$F$68,BD$4-$B138+1)</f>
        <v/>
      </c>
      <c r="BE138" s="153">
        <f>$C138*INDEX(Curves!$F$8:$F$68,BE$4-$B138+1)</f>
        <v/>
      </c>
      <c r="BF138" s="153">
        <f>$C138*INDEX(Curves!$F$8:$F$68,BF$4-$B138+1)</f>
        <v/>
      </c>
      <c r="BG138" s="153">
        <f>$C138*INDEX(Curves!$F$8:$F$68,BG$4-$B138+1)</f>
        <v/>
      </c>
      <c r="BH138" s="153">
        <f>$C138*INDEX(Curves!$F$8:$F$68,BH$4-$B138+1)</f>
        <v/>
      </c>
      <c r="BI138" s="153">
        <f>$C138*INDEX(Curves!$F$8:$F$68,BI$4-$B138+1)</f>
        <v/>
      </c>
      <c r="BJ138" s="153">
        <f>$C138*INDEX(Curves!$F$8:$F$68,BJ$4-$B138+1)</f>
        <v/>
      </c>
      <c r="BK138" s="153">
        <f>$C138*INDEX(Curves!$F$8:$F$68,BK$4-$B138+1)</f>
        <v/>
      </c>
      <c r="BL138" s="153">
        <f>$C138*INDEX(Curves!$F$8:$F$68,BL$4-$B138+1)</f>
        <v/>
      </c>
    </row>
    <row r="139">
      <c r="A139" s="147" t="inlineStr">
        <is>
          <t>Cohort month 4</t>
        </is>
      </c>
      <c r="B139" s="147" t="n">
        <v>4</v>
      </c>
      <c r="C139" s="41">
        <f>INDEX(Ops!$E$10:$BL$10,1,$B139)</f>
        <v/>
      </c>
      <c r="I139" s="153">
        <f>$C139*INDEX(Curves!$F$8:$F$68,I$4-$B139+1)</f>
        <v/>
      </c>
      <c r="J139" s="153">
        <f>$C139*INDEX(Curves!$F$8:$F$68,J$4-$B139+1)</f>
        <v/>
      </c>
      <c r="K139" s="153">
        <f>$C139*INDEX(Curves!$F$8:$F$68,K$4-$B139+1)</f>
        <v/>
      </c>
      <c r="L139" s="153">
        <f>$C139*INDEX(Curves!$F$8:$F$68,L$4-$B139+1)</f>
        <v/>
      </c>
      <c r="M139" s="153">
        <f>$C139*INDEX(Curves!$F$8:$F$68,M$4-$B139+1)</f>
        <v/>
      </c>
      <c r="N139" s="153">
        <f>$C139*INDEX(Curves!$F$8:$F$68,N$4-$B139+1)</f>
        <v/>
      </c>
      <c r="O139" s="153">
        <f>$C139*INDEX(Curves!$F$8:$F$68,O$4-$B139+1)</f>
        <v/>
      </c>
      <c r="P139" s="153">
        <f>$C139*INDEX(Curves!$F$8:$F$68,P$4-$B139+1)</f>
        <v/>
      </c>
      <c r="Q139" s="153">
        <f>$C139*INDEX(Curves!$F$8:$F$68,Q$4-$B139+1)</f>
        <v/>
      </c>
      <c r="R139" s="153">
        <f>$C139*INDEX(Curves!$F$8:$F$68,R$4-$B139+1)</f>
        <v/>
      </c>
      <c r="S139" s="153">
        <f>$C139*INDEX(Curves!$F$8:$F$68,S$4-$B139+1)</f>
        <v/>
      </c>
      <c r="T139" s="153">
        <f>$C139*INDEX(Curves!$F$8:$F$68,T$4-$B139+1)</f>
        <v/>
      </c>
      <c r="U139" s="153">
        <f>$C139*INDEX(Curves!$F$8:$F$68,U$4-$B139+1)</f>
        <v/>
      </c>
      <c r="V139" s="153">
        <f>$C139*INDEX(Curves!$F$8:$F$68,V$4-$B139+1)</f>
        <v/>
      </c>
      <c r="W139" s="153">
        <f>$C139*INDEX(Curves!$F$8:$F$68,W$4-$B139+1)</f>
        <v/>
      </c>
      <c r="X139" s="153">
        <f>$C139*INDEX(Curves!$F$8:$F$68,X$4-$B139+1)</f>
        <v/>
      </c>
      <c r="Y139" s="153">
        <f>$C139*INDEX(Curves!$F$8:$F$68,Y$4-$B139+1)</f>
        <v/>
      </c>
      <c r="Z139" s="153">
        <f>$C139*INDEX(Curves!$F$8:$F$68,Z$4-$B139+1)</f>
        <v/>
      </c>
      <c r="AA139" s="153">
        <f>$C139*INDEX(Curves!$F$8:$F$68,AA$4-$B139+1)</f>
        <v/>
      </c>
      <c r="AB139" s="153">
        <f>$C139*INDEX(Curves!$F$8:$F$68,AB$4-$B139+1)</f>
        <v/>
      </c>
      <c r="AC139" s="153">
        <f>$C139*INDEX(Curves!$F$8:$F$68,AC$4-$B139+1)</f>
        <v/>
      </c>
      <c r="AD139" s="153">
        <f>$C139*INDEX(Curves!$F$8:$F$68,AD$4-$B139+1)</f>
        <v/>
      </c>
      <c r="AE139" s="153">
        <f>$C139*INDEX(Curves!$F$8:$F$68,AE$4-$B139+1)</f>
        <v/>
      </c>
      <c r="AF139" s="153">
        <f>$C139*INDEX(Curves!$F$8:$F$68,AF$4-$B139+1)</f>
        <v/>
      </c>
      <c r="AG139" s="153">
        <f>$C139*INDEX(Curves!$F$8:$F$68,AG$4-$B139+1)</f>
        <v/>
      </c>
      <c r="AH139" s="153">
        <f>$C139*INDEX(Curves!$F$8:$F$68,AH$4-$B139+1)</f>
        <v/>
      </c>
      <c r="AI139" s="153">
        <f>$C139*INDEX(Curves!$F$8:$F$68,AI$4-$B139+1)</f>
        <v/>
      </c>
      <c r="AJ139" s="153">
        <f>$C139*INDEX(Curves!$F$8:$F$68,AJ$4-$B139+1)</f>
        <v/>
      </c>
      <c r="AK139" s="153">
        <f>$C139*INDEX(Curves!$F$8:$F$68,AK$4-$B139+1)</f>
        <v/>
      </c>
      <c r="AL139" s="153">
        <f>$C139*INDEX(Curves!$F$8:$F$68,AL$4-$B139+1)</f>
        <v/>
      </c>
      <c r="AM139" s="153">
        <f>$C139*INDEX(Curves!$F$8:$F$68,AM$4-$B139+1)</f>
        <v/>
      </c>
      <c r="AN139" s="153">
        <f>$C139*INDEX(Curves!$F$8:$F$68,AN$4-$B139+1)</f>
        <v/>
      </c>
      <c r="AO139" s="153">
        <f>$C139*INDEX(Curves!$F$8:$F$68,AO$4-$B139+1)</f>
        <v/>
      </c>
      <c r="AP139" s="153">
        <f>$C139*INDEX(Curves!$F$8:$F$68,AP$4-$B139+1)</f>
        <v/>
      </c>
      <c r="AQ139" s="153">
        <f>$C139*INDEX(Curves!$F$8:$F$68,AQ$4-$B139+1)</f>
        <v/>
      </c>
      <c r="AR139" s="153">
        <f>$C139*INDEX(Curves!$F$8:$F$68,AR$4-$B139+1)</f>
        <v/>
      </c>
      <c r="AS139" s="153">
        <f>$C139*INDEX(Curves!$F$8:$F$68,AS$4-$B139+1)</f>
        <v/>
      </c>
      <c r="AT139" s="153">
        <f>$C139*INDEX(Curves!$F$8:$F$68,AT$4-$B139+1)</f>
        <v/>
      </c>
      <c r="AU139" s="153">
        <f>$C139*INDEX(Curves!$F$8:$F$68,AU$4-$B139+1)</f>
        <v/>
      </c>
      <c r="AV139" s="153">
        <f>$C139*INDEX(Curves!$F$8:$F$68,AV$4-$B139+1)</f>
        <v/>
      </c>
      <c r="AW139" s="153">
        <f>$C139*INDEX(Curves!$F$8:$F$68,AW$4-$B139+1)</f>
        <v/>
      </c>
      <c r="AX139" s="153">
        <f>$C139*INDEX(Curves!$F$8:$F$68,AX$4-$B139+1)</f>
        <v/>
      </c>
      <c r="AY139" s="153">
        <f>$C139*INDEX(Curves!$F$8:$F$68,AY$4-$B139+1)</f>
        <v/>
      </c>
      <c r="AZ139" s="153">
        <f>$C139*INDEX(Curves!$F$8:$F$68,AZ$4-$B139+1)</f>
        <v/>
      </c>
      <c r="BA139" s="153">
        <f>$C139*INDEX(Curves!$F$8:$F$68,BA$4-$B139+1)</f>
        <v/>
      </c>
      <c r="BB139" s="153">
        <f>$C139*INDEX(Curves!$F$8:$F$68,BB$4-$B139+1)</f>
        <v/>
      </c>
      <c r="BC139" s="153">
        <f>$C139*INDEX(Curves!$F$8:$F$68,BC$4-$B139+1)</f>
        <v/>
      </c>
      <c r="BD139" s="153">
        <f>$C139*INDEX(Curves!$F$8:$F$68,BD$4-$B139+1)</f>
        <v/>
      </c>
      <c r="BE139" s="153">
        <f>$C139*INDEX(Curves!$F$8:$F$68,BE$4-$B139+1)</f>
        <v/>
      </c>
      <c r="BF139" s="153">
        <f>$C139*INDEX(Curves!$F$8:$F$68,BF$4-$B139+1)</f>
        <v/>
      </c>
      <c r="BG139" s="153">
        <f>$C139*INDEX(Curves!$F$8:$F$68,BG$4-$B139+1)</f>
        <v/>
      </c>
      <c r="BH139" s="153">
        <f>$C139*INDEX(Curves!$F$8:$F$68,BH$4-$B139+1)</f>
        <v/>
      </c>
      <c r="BI139" s="153">
        <f>$C139*INDEX(Curves!$F$8:$F$68,BI$4-$B139+1)</f>
        <v/>
      </c>
      <c r="BJ139" s="153">
        <f>$C139*INDEX(Curves!$F$8:$F$68,BJ$4-$B139+1)</f>
        <v/>
      </c>
      <c r="BK139" s="153">
        <f>$C139*INDEX(Curves!$F$8:$F$68,BK$4-$B139+1)</f>
        <v/>
      </c>
      <c r="BL139" s="153">
        <f>$C139*INDEX(Curves!$F$8:$F$68,BL$4-$B139+1)</f>
        <v/>
      </c>
    </row>
    <row r="140">
      <c r="A140" s="147" t="inlineStr">
        <is>
          <t>Cohort month 5</t>
        </is>
      </c>
      <c r="B140" s="147" t="n">
        <v>5</v>
      </c>
      <c r="C140" s="41">
        <f>INDEX(Ops!$E$10:$BL$10,1,$B140)</f>
        <v/>
      </c>
      <c r="J140" s="153">
        <f>$C140*INDEX(Curves!$F$8:$F$68,J$4-$B140+1)</f>
        <v/>
      </c>
      <c r="K140" s="153">
        <f>$C140*INDEX(Curves!$F$8:$F$68,K$4-$B140+1)</f>
        <v/>
      </c>
      <c r="L140" s="153">
        <f>$C140*INDEX(Curves!$F$8:$F$68,L$4-$B140+1)</f>
        <v/>
      </c>
      <c r="M140" s="153">
        <f>$C140*INDEX(Curves!$F$8:$F$68,M$4-$B140+1)</f>
        <v/>
      </c>
      <c r="N140" s="153">
        <f>$C140*INDEX(Curves!$F$8:$F$68,N$4-$B140+1)</f>
        <v/>
      </c>
      <c r="O140" s="153">
        <f>$C140*INDEX(Curves!$F$8:$F$68,O$4-$B140+1)</f>
        <v/>
      </c>
      <c r="P140" s="153">
        <f>$C140*INDEX(Curves!$F$8:$F$68,P$4-$B140+1)</f>
        <v/>
      </c>
      <c r="Q140" s="153">
        <f>$C140*INDEX(Curves!$F$8:$F$68,Q$4-$B140+1)</f>
        <v/>
      </c>
      <c r="R140" s="153">
        <f>$C140*INDEX(Curves!$F$8:$F$68,R$4-$B140+1)</f>
        <v/>
      </c>
      <c r="S140" s="153">
        <f>$C140*INDEX(Curves!$F$8:$F$68,S$4-$B140+1)</f>
        <v/>
      </c>
      <c r="T140" s="153">
        <f>$C140*INDEX(Curves!$F$8:$F$68,T$4-$B140+1)</f>
        <v/>
      </c>
      <c r="U140" s="153">
        <f>$C140*INDEX(Curves!$F$8:$F$68,U$4-$B140+1)</f>
        <v/>
      </c>
      <c r="V140" s="153">
        <f>$C140*INDEX(Curves!$F$8:$F$68,V$4-$B140+1)</f>
        <v/>
      </c>
      <c r="W140" s="153">
        <f>$C140*INDEX(Curves!$F$8:$F$68,W$4-$B140+1)</f>
        <v/>
      </c>
      <c r="X140" s="153">
        <f>$C140*INDEX(Curves!$F$8:$F$68,X$4-$B140+1)</f>
        <v/>
      </c>
      <c r="Y140" s="153">
        <f>$C140*INDEX(Curves!$F$8:$F$68,Y$4-$B140+1)</f>
        <v/>
      </c>
      <c r="Z140" s="153">
        <f>$C140*INDEX(Curves!$F$8:$F$68,Z$4-$B140+1)</f>
        <v/>
      </c>
      <c r="AA140" s="153">
        <f>$C140*INDEX(Curves!$F$8:$F$68,AA$4-$B140+1)</f>
        <v/>
      </c>
      <c r="AB140" s="153">
        <f>$C140*INDEX(Curves!$F$8:$F$68,AB$4-$B140+1)</f>
        <v/>
      </c>
      <c r="AC140" s="153">
        <f>$C140*INDEX(Curves!$F$8:$F$68,AC$4-$B140+1)</f>
        <v/>
      </c>
      <c r="AD140" s="153">
        <f>$C140*INDEX(Curves!$F$8:$F$68,AD$4-$B140+1)</f>
        <v/>
      </c>
      <c r="AE140" s="153">
        <f>$C140*INDEX(Curves!$F$8:$F$68,AE$4-$B140+1)</f>
        <v/>
      </c>
      <c r="AF140" s="153">
        <f>$C140*INDEX(Curves!$F$8:$F$68,AF$4-$B140+1)</f>
        <v/>
      </c>
      <c r="AG140" s="153">
        <f>$C140*INDEX(Curves!$F$8:$F$68,AG$4-$B140+1)</f>
        <v/>
      </c>
      <c r="AH140" s="153">
        <f>$C140*INDEX(Curves!$F$8:$F$68,AH$4-$B140+1)</f>
        <v/>
      </c>
      <c r="AI140" s="153">
        <f>$C140*INDEX(Curves!$F$8:$F$68,AI$4-$B140+1)</f>
        <v/>
      </c>
      <c r="AJ140" s="153">
        <f>$C140*INDEX(Curves!$F$8:$F$68,AJ$4-$B140+1)</f>
        <v/>
      </c>
      <c r="AK140" s="153">
        <f>$C140*INDEX(Curves!$F$8:$F$68,AK$4-$B140+1)</f>
        <v/>
      </c>
      <c r="AL140" s="153">
        <f>$C140*INDEX(Curves!$F$8:$F$68,AL$4-$B140+1)</f>
        <v/>
      </c>
      <c r="AM140" s="153">
        <f>$C140*INDEX(Curves!$F$8:$F$68,AM$4-$B140+1)</f>
        <v/>
      </c>
      <c r="AN140" s="153">
        <f>$C140*INDEX(Curves!$F$8:$F$68,AN$4-$B140+1)</f>
        <v/>
      </c>
      <c r="AO140" s="153">
        <f>$C140*INDEX(Curves!$F$8:$F$68,AO$4-$B140+1)</f>
        <v/>
      </c>
      <c r="AP140" s="153">
        <f>$C140*INDEX(Curves!$F$8:$F$68,AP$4-$B140+1)</f>
        <v/>
      </c>
      <c r="AQ140" s="153">
        <f>$C140*INDEX(Curves!$F$8:$F$68,AQ$4-$B140+1)</f>
        <v/>
      </c>
      <c r="AR140" s="153">
        <f>$C140*INDEX(Curves!$F$8:$F$68,AR$4-$B140+1)</f>
        <v/>
      </c>
      <c r="AS140" s="153">
        <f>$C140*INDEX(Curves!$F$8:$F$68,AS$4-$B140+1)</f>
        <v/>
      </c>
      <c r="AT140" s="153">
        <f>$C140*INDEX(Curves!$F$8:$F$68,AT$4-$B140+1)</f>
        <v/>
      </c>
      <c r="AU140" s="153">
        <f>$C140*INDEX(Curves!$F$8:$F$68,AU$4-$B140+1)</f>
        <v/>
      </c>
      <c r="AV140" s="153">
        <f>$C140*INDEX(Curves!$F$8:$F$68,AV$4-$B140+1)</f>
        <v/>
      </c>
      <c r="AW140" s="153">
        <f>$C140*INDEX(Curves!$F$8:$F$68,AW$4-$B140+1)</f>
        <v/>
      </c>
      <c r="AX140" s="153">
        <f>$C140*INDEX(Curves!$F$8:$F$68,AX$4-$B140+1)</f>
        <v/>
      </c>
      <c r="AY140" s="153">
        <f>$C140*INDEX(Curves!$F$8:$F$68,AY$4-$B140+1)</f>
        <v/>
      </c>
      <c r="AZ140" s="153">
        <f>$C140*INDEX(Curves!$F$8:$F$68,AZ$4-$B140+1)</f>
        <v/>
      </c>
      <c r="BA140" s="153">
        <f>$C140*INDEX(Curves!$F$8:$F$68,BA$4-$B140+1)</f>
        <v/>
      </c>
      <c r="BB140" s="153">
        <f>$C140*INDEX(Curves!$F$8:$F$68,BB$4-$B140+1)</f>
        <v/>
      </c>
      <c r="BC140" s="153">
        <f>$C140*INDEX(Curves!$F$8:$F$68,BC$4-$B140+1)</f>
        <v/>
      </c>
      <c r="BD140" s="153">
        <f>$C140*INDEX(Curves!$F$8:$F$68,BD$4-$B140+1)</f>
        <v/>
      </c>
      <c r="BE140" s="153">
        <f>$C140*INDEX(Curves!$F$8:$F$68,BE$4-$B140+1)</f>
        <v/>
      </c>
      <c r="BF140" s="153">
        <f>$C140*INDEX(Curves!$F$8:$F$68,BF$4-$B140+1)</f>
        <v/>
      </c>
      <c r="BG140" s="153">
        <f>$C140*INDEX(Curves!$F$8:$F$68,BG$4-$B140+1)</f>
        <v/>
      </c>
      <c r="BH140" s="153">
        <f>$C140*INDEX(Curves!$F$8:$F$68,BH$4-$B140+1)</f>
        <v/>
      </c>
      <c r="BI140" s="153">
        <f>$C140*INDEX(Curves!$F$8:$F$68,BI$4-$B140+1)</f>
        <v/>
      </c>
      <c r="BJ140" s="153">
        <f>$C140*INDEX(Curves!$F$8:$F$68,BJ$4-$B140+1)</f>
        <v/>
      </c>
      <c r="BK140" s="153">
        <f>$C140*INDEX(Curves!$F$8:$F$68,BK$4-$B140+1)</f>
        <v/>
      </c>
      <c r="BL140" s="153">
        <f>$C140*INDEX(Curves!$F$8:$F$68,BL$4-$B140+1)</f>
        <v/>
      </c>
    </row>
    <row r="141">
      <c r="A141" s="147" t="inlineStr">
        <is>
          <t>Cohort month 6</t>
        </is>
      </c>
      <c r="B141" s="147" t="n">
        <v>6</v>
      </c>
      <c r="C141" s="41">
        <f>INDEX(Ops!$E$10:$BL$10,1,$B141)</f>
        <v/>
      </c>
      <c r="K141" s="153">
        <f>$C141*INDEX(Curves!$F$8:$F$68,K$4-$B141+1)</f>
        <v/>
      </c>
      <c r="L141" s="153">
        <f>$C141*INDEX(Curves!$F$8:$F$68,L$4-$B141+1)</f>
        <v/>
      </c>
      <c r="M141" s="153">
        <f>$C141*INDEX(Curves!$F$8:$F$68,M$4-$B141+1)</f>
        <v/>
      </c>
      <c r="N141" s="153">
        <f>$C141*INDEX(Curves!$F$8:$F$68,N$4-$B141+1)</f>
        <v/>
      </c>
      <c r="O141" s="153">
        <f>$C141*INDEX(Curves!$F$8:$F$68,O$4-$B141+1)</f>
        <v/>
      </c>
      <c r="P141" s="153">
        <f>$C141*INDEX(Curves!$F$8:$F$68,P$4-$B141+1)</f>
        <v/>
      </c>
      <c r="Q141" s="153">
        <f>$C141*INDEX(Curves!$F$8:$F$68,Q$4-$B141+1)</f>
        <v/>
      </c>
      <c r="R141" s="153">
        <f>$C141*INDEX(Curves!$F$8:$F$68,R$4-$B141+1)</f>
        <v/>
      </c>
      <c r="S141" s="153">
        <f>$C141*INDEX(Curves!$F$8:$F$68,S$4-$B141+1)</f>
        <v/>
      </c>
      <c r="T141" s="153">
        <f>$C141*INDEX(Curves!$F$8:$F$68,T$4-$B141+1)</f>
        <v/>
      </c>
      <c r="U141" s="153">
        <f>$C141*INDEX(Curves!$F$8:$F$68,U$4-$B141+1)</f>
        <v/>
      </c>
      <c r="V141" s="153">
        <f>$C141*INDEX(Curves!$F$8:$F$68,V$4-$B141+1)</f>
        <v/>
      </c>
      <c r="W141" s="153">
        <f>$C141*INDEX(Curves!$F$8:$F$68,W$4-$B141+1)</f>
        <v/>
      </c>
      <c r="X141" s="153">
        <f>$C141*INDEX(Curves!$F$8:$F$68,X$4-$B141+1)</f>
        <v/>
      </c>
      <c r="Y141" s="153">
        <f>$C141*INDEX(Curves!$F$8:$F$68,Y$4-$B141+1)</f>
        <v/>
      </c>
      <c r="Z141" s="153">
        <f>$C141*INDEX(Curves!$F$8:$F$68,Z$4-$B141+1)</f>
        <v/>
      </c>
      <c r="AA141" s="153">
        <f>$C141*INDEX(Curves!$F$8:$F$68,AA$4-$B141+1)</f>
        <v/>
      </c>
      <c r="AB141" s="153">
        <f>$C141*INDEX(Curves!$F$8:$F$68,AB$4-$B141+1)</f>
        <v/>
      </c>
      <c r="AC141" s="153">
        <f>$C141*INDEX(Curves!$F$8:$F$68,AC$4-$B141+1)</f>
        <v/>
      </c>
      <c r="AD141" s="153">
        <f>$C141*INDEX(Curves!$F$8:$F$68,AD$4-$B141+1)</f>
        <v/>
      </c>
      <c r="AE141" s="153">
        <f>$C141*INDEX(Curves!$F$8:$F$68,AE$4-$B141+1)</f>
        <v/>
      </c>
      <c r="AF141" s="153">
        <f>$C141*INDEX(Curves!$F$8:$F$68,AF$4-$B141+1)</f>
        <v/>
      </c>
      <c r="AG141" s="153">
        <f>$C141*INDEX(Curves!$F$8:$F$68,AG$4-$B141+1)</f>
        <v/>
      </c>
      <c r="AH141" s="153">
        <f>$C141*INDEX(Curves!$F$8:$F$68,AH$4-$B141+1)</f>
        <v/>
      </c>
      <c r="AI141" s="153">
        <f>$C141*INDEX(Curves!$F$8:$F$68,AI$4-$B141+1)</f>
        <v/>
      </c>
      <c r="AJ141" s="153">
        <f>$C141*INDEX(Curves!$F$8:$F$68,AJ$4-$B141+1)</f>
        <v/>
      </c>
      <c r="AK141" s="153">
        <f>$C141*INDEX(Curves!$F$8:$F$68,AK$4-$B141+1)</f>
        <v/>
      </c>
      <c r="AL141" s="153">
        <f>$C141*INDEX(Curves!$F$8:$F$68,AL$4-$B141+1)</f>
        <v/>
      </c>
      <c r="AM141" s="153">
        <f>$C141*INDEX(Curves!$F$8:$F$68,AM$4-$B141+1)</f>
        <v/>
      </c>
      <c r="AN141" s="153">
        <f>$C141*INDEX(Curves!$F$8:$F$68,AN$4-$B141+1)</f>
        <v/>
      </c>
      <c r="AO141" s="153">
        <f>$C141*INDEX(Curves!$F$8:$F$68,AO$4-$B141+1)</f>
        <v/>
      </c>
      <c r="AP141" s="153">
        <f>$C141*INDEX(Curves!$F$8:$F$68,AP$4-$B141+1)</f>
        <v/>
      </c>
      <c r="AQ141" s="153">
        <f>$C141*INDEX(Curves!$F$8:$F$68,AQ$4-$B141+1)</f>
        <v/>
      </c>
      <c r="AR141" s="153">
        <f>$C141*INDEX(Curves!$F$8:$F$68,AR$4-$B141+1)</f>
        <v/>
      </c>
      <c r="AS141" s="153">
        <f>$C141*INDEX(Curves!$F$8:$F$68,AS$4-$B141+1)</f>
        <v/>
      </c>
      <c r="AT141" s="153">
        <f>$C141*INDEX(Curves!$F$8:$F$68,AT$4-$B141+1)</f>
        <v/>
      </c>
      <c r="AU141" s="153">
        <f>$C141*INDEX(Curves!$F$8:$F$68,AU$4-$B141+1)</f>
        <v/>
      </c>
      <c r="AV141" s="153">
        <f>$C141*INDEX(Curves!$F$8:$F$68,AV$4-$B141+1)</f>
        <v/>
      </c>
      <c r="AW141" s="153">
        <f>$C141*INDEX(Curves!$F$8:$F$68,AW$4-$B141+1)</f>
        <v/>
      </c>
      <c r="AX141" s="153">
        <f>$C141*INDEX(Curves!$F$8:$F$68,AX$4-$B141+1)</f>
        <v/>
      </c>
      <c r="AY141" s="153">
        <f>$C141*INDEX(Curves!$F$8:$F$68,AY$4-$B141+1)</f>
        <v/>
      </c>
      <c r="AZ141" s="153">
        <f>$C141*INDEX(Curves!$F$8:$F$68,AZ$4-$B141+1)</f>
        <v/>
      </c>
      <c r="BA141" s="153">
        <f>$C141*INDEX(Curves!$F$8:$F$68,BA$4-$B141+1)</f>
        <v/>
      </c>
      <c r="BB141" s="153">
        <f>$C141*INDEX(Curves!$F$8:$F$68,BB$4-$B141+1)</f>
        <v/>
      </c>
      <c r="BC141" s="153">
        <f>$C141*INDEX(Curves!$F$8:$F$68,BC$4-$B141+1)</f>
        <v/>
      </c>
      <c r="BD141" s="153">
        <f>$C141*INDEX(Curves!$F$8:$F$68,BD$4-$B141+1)</f>
        <v/>
      </c>
      <c r="BE141" s="153">
        <f>$C141*INDEX(Curves!$F$8:$F$68,BE$4-$B141+1)</f>
        <v/>
      </c>
      <c r="BF141" s="153">
        <f>$C141*INDEX(Curves!$F$8:$F$68,BF$4-$B141+1)</f>
        <v/>
      </c>
      <c r="BG141" s="153">
        <f>$C141*INDEX(Curves!$F$8:$F$68,BG$4-$B141+1)</f>
        <v/>
      </c>
      <c r="BH141" s="153">
        <f>$C141*INDEX(Curves!$F$8:$F$68,BH$4-$B141+1)</f>
        <v/>
      </c>
      <c r="BI141" s="153">
        <f>$C141*INDEX(Curves!$F$8:$F$68,BI$4-$B141+1)</f>
        <v/>
      </c>
      <c r="BJ141" s="153">
        <f>$C141*INDEX(Curves!$F$8:$F$68,BJ$4-$B141+1)</f>
        <v/>
      </c>
      <c r="BK141" s="153">
        <f>$C141*INDEX(Curves!$F$8:$F$68,BK$4-$B141+1)</f>
        <v/>
      </c>
      <c r="BL141" s="153">
        <f>$C141*INDEX(Curves!$F$8:$F$68,BL$4-$B141+1)</f>
        <v/>
      </c>
    </row>
    <row r="142">
      <c r="A142" s="147" t="inlineStr">
        <is>
          <t>Cohort month 7</t>
        </is>
      </c>
      <c r="B142" s="147" t="n">
        <v>7</v>
      </c>
      <c r="C142" s="41">
        <f>INDEX(Ops!$E$10:$BL$10,1,$B142)</f>
        <v/>
      </c>
      <c r="L142" s="153">
        <f>$C142*INDEX(Curves!$F$8:$F$68,L$4-$B142+1)</f>
        <v/>
      </c>
      <c r="M142" s="153">
        <f>$C142*INDEX(Curves!$F$8:$F$68,M$4-$B142+1)</f>
        <v/>
      </c>
      <c r="N142" s="153">
        <f>$C142*INDEX(Curves!$F$8:$F$68,N$4-$B142+1)</f>
        <v/>
      </c>
      <c r="O142" s="153">
        <f>$C142*INDEX(Curves!$F$8:$F$68,O$4-$B142+1)</f>
        <v/>
      </c>
      <c r="P142" s="153">
        <f>$C142*INDEX(Curves!$F$8:$F$68,P$4-$B142+1)</f>
        <v/>
      </c>
      <c r="Q142" s="153">
        <f>$C142*INDEX(Curves!$F$8:$F$68,Q$4-$B142+1)</f>
        <v/>
      </c>
      <c r="R142" s="153">
        <f>$C142*INDEX(Curves!$F$8:$F$68,R$4-$B142+1)</f>
        <v/>
      </c>
      <c r="S142" s="153">
        <f>$C142*INDEX(Curves!$F$8:$F$68,S$4-$B142+1)</f>
        <v/>
      </c>
      <c r="T142" s="153">
        <f>$C142*INDEX(Curves!$F$8:$F$68,T$4-$B142+1)</f>
        <v/>
      </c>
      <c r="U142" s="153">
        <f>$C142*INDEX(Curves!$F$8:$F$68,U$4-$B142+1)</f>
        <v/>
      </c>
      <c r="V142" s="153">
        <f>$C142*INDEX(Curves!$F$8:$F$68,V$4-$B142+1)</f>
        <v/>
      </c>
      <c r="W142" s="153">
        <f>$C142*INDEX(Curves!$F$8:$F$68,W$4-$B142+1)</f>
        <v/>
      </c>
      <c r="X142" s="153">
        <f>$C142*INDEX(Curves!$F$8:$F$68,X$4-$B142+1)</f>
        <v/>
      </c>
      <c r="Y142" s="153">
        <f>$C142*INDEX(Curves!$F$8:$F$68,Y$4-$B142+1)</f>
        <v/>
      </c>
      <c r="Z142" s="153">
        <f>$C142*INDEX(Curves!$F$8:$F$68,Z$4-$B142+1)</f>
        <v/>
      </c>
      <c r="AA142" s="153">
        <f>$C142*INDEX(Curves!$F$8:$F$68,AA$4-$B142+1)</f>
        <v/>
      </c>
      <c r="AB142" s="153">
        <f>$C142*INDEX(Curves!$F$8:$F$68,AB$4-$B142+1)</f>
        <v/>
      </c>
      <c r="AC142" s="153">
        <f>$C142*INDEX(Curves!$F$8:$F$68,AC$4-$B142+1)</f>
        <v/>
      </c>
      <c r="AD142" s="153">
        <f>$C142*INDEX(Curves!$F$8:$F$68,AD$4-$B142+1)</f>
        <v/>
      </c>
      <c r="AE142" s="153">
        <f>$C142*INDEX(Curves!$F$8:$F$68,AE$4-$B142+1)</f>
        <v/>
      </c>
      <c r="AF142" s="153">
        <f>$C142*INDEX(Curves!$F$8:$F$68,AF$4-$B142+1)</f>
        <v/>
      </c>
      <c r="AG142" s="153">
        <f>$C142*INDEX(Curves!$F$8:$F$68,AG$4-$B142+1)</f>
        <v/>
      </c>
      <c r="AH142" s="153">
        <f>$C142*INDEX(Curves!$F$8:$F$68,AH$4-$B142+1)</f>
        <v/>
      </c>
      <c r="AI142" s="153">
        <f>$C142*INDEX(Curves!$F$8:$F$68,AI$4-$B142+1)</f>
        <v/>
      </c>
      <c r="AJ142" s="153">
        <f>$C142*INDEX(Curves!$F$8:$F$68,AJ$4-$B142+1)</f>
        <v/>
      </c>
      <c r="AK142" s="153">
        <f>$C142*INDEX(Curves!$F$8:$F$68,AK$4-$B142+1)</f>
        <v/>
      </c>
      <c r="AL142" s="153">
        <f>$C142*INDEX(Curves!$F$8:$F$68,AL$4-$B142+1)</f>
        <v/>
      </c>
      <c r="AM142" s="153">
        <f>$C142*INDEX(Curves!$F$8:$F$68,AM$4-$B142+1)</f>
        <v/>
      </c>
      <c r="AN142" s="153">
        <f>$C142*INDEX(Curves!$F$8:$F$68,AN$4-$B142+1)</f>
        <v/>
      </c>
      <c r="AO142" s="153">
        <f>$C142*INDEX(Curves!$F$8:$F$68,AO$4-$B142+1)</f>
        <v/>
      </c>
      <c r="AP142" s="153">
        <f>$C142*INDEX(Curves!$F$8:$F$68,AP$4-$B142+1)</f>
        <v/>
      </c>
      <c r="AQ142" s="153">
        <f>$C142*INDEX(Curves!$F$8:$F$68,AQ$4-$B142+1)</f>
        <v/>
      </c>
      <c r="AR142" s="153">
        <f>$C142*INDEX(Curves!$F$8:$F$68,AR$4-$B142+1)</f>
        <v/>
      </c>
      <c r="AS142" s="153">
        <f>$C142*INDEX(Curves!$F$8:$F$68,AS$4-$B142+1)</f>
        <v/>
      </c>
      <c r="AT142" s="153">
        <f>$C142*INDEX(Curves!$F$8:$F$68,AT$4-$B142+1)</f>
        <v/>
      </c>
      <c r="AU142" s="153">
        <f>$C142*INDEX(Curves!$F$8:$F$68,AU$4-$B142+1)</f>
        <v/>
      </c>
      <c r="AV142" s="153">
        <f>$C142*INDEX(Curves!$F$8:$F$68,AV$4-$B142+1)</f>
        <v/>
      </c>
      <c r="AW142" s="153">
        <f>$C142*INDEX(Curves!$F$8:$F$68,AW$4-$B142+1)</f>
        <v/>
      </c>
      <c r="AX142" s="153">
        <f>$C142*INDEX(Curves!$F$8:$F$68,AX$4-$B142+1)</f>
        <v/>
      </c>
      <c r="AY142" s="153">
        <f>$C142*INDEX(Curves!$F$8:$F$68,AY$4-$B142+1)</f>
        <v/>
      </c>
      <c r="AZ142" s="153">
        <f>$C142*INDEX(Curves!$F$8:$F$68,AZ$4-$B142+1)</f>
        <v/>
      </c>
      <c r="BA142" s="153">
        <f>$C142*INDEX(Curves!$F$8:$F$68,BA$4-$B142+1)</f>
        <v/>
      </c>
      <c r="BB142" s="153">
        <f>$C142*INDEX(Curves!$F$8:$F$68,BB$4-$B142+1)</f>
        <v/>
      </c>
      <c r="BC142" s="153">
        <f>$C142*INDEX(Curves!$F$8:$F$68,BC$4-$B142+1)</f>
        <v/>
      </c>
      <c r="BD142" s="153">
        <f>$C142*INDEX(Curves!$F$8:$F$68,BD$4-$B142+1)</f>
        <v/>
      </c>
      <c r="BE142" s="153">
        <f>$C142*INDEX(Curves!$F$8:$F$68,BE$4-$B142+1)</f>
        <v/>
      </c>
      <c r="BF142" s="153">
        <f>$C142*INDEX(Curves!$F$8:$F$68,BF$4-$B142+1)</f>
        <v/>
      </c>
      <c r="BG142" s="153">
        <f>$C142*INDEX(Curves!$F$8:$F$68,BG$4-$B142+1)</f>
        <v/>
      </c>
      <c r="BH142" s="153">
        <f>$C142*INDEX(Curves!$F$8:$F$68,BH$4-$B142+1)</f>
        <v/>
      </c>
      <c r="BI142" s="153">
        <f>$C142*INDEX(Curves!$F$8:$F$68,BI$4-$B142+1)</f>
        <v/>
      </c>
      <c r="BJ142" s="153">
        <f>$C142*INDEX(Curves!$F$8:$F$68,BJ$4-$B142+1)</f>
        <v/>
      </c>
      <c r="BK142" s="153">
        <f>$C142*INDEX(Curves!$F$8:$F$68,BK$4-$B142+1)</f>
        <v/>
      </c>
      <c r="BL142" s="153">
        <f>$C142*INDEX(Curves!$F$8:$F$68,BL$4-$B142+1)</f>
        <v/>
      </c>
    </row>
    <row r="143">
      <c r="A143" s="147" t="inlineStr">
        <is>
          <t>Cohort month 8</t>
        </is>
      </c>
      <c r="B143" s="147" t="n">
        <v>8</v>
      </c>
      <c r="C143" s="41">
        <f>INDEX(Ops!$E$10:$BL$10,1,$B143)</f>
        <v/>
      </c>
      <c r="M143" s="153">
        <f>$C143*INDEX(Curves!$F$8:$F$68,M$4-$B143+1)</f>
        <v/>
      </c>
      <c r="N143" s="153">
        <f>$C143*INDEX(Curves!$F$8:$F$68,N$4-$B143+1)</f>
        <v/>
      </c>
      <c r="O143" s="153">
        <f>$C143*INDEX(Curves!$F$8:$F$68,O$4-$B143+1)</f>
        <v/>
      </c>
      <c r="P143" s="153">
        <f>$C143*INDEX(Curves!$F$8:$F$68,P$4-$B143+1)</f>
        <v/>
      </c>
      <c r="Q143" s="153">
        <f>$C143*INDEX(Curves!$F$8:$F$68,Q$4-$B143+1)</f>
        <v/>
      </c>
      <c r="R143" s="153">
        <f>$C143*INDEX(Curves!$F$8:$F$68,R$4-$B143+1)</f>
        <v/>
      </c>
      <c r="S143" s="153">
        <f>$C143*INDEX(Curves!$F$8:$F$68,S$4-$B143+1)</f>
        <v/>
      </c>
      <c r="T143" s="153">
        <f>$C143*INDEX(Curves!$F$8:$F$68,T$4-$B143+1)</f>
        <v/>
      </c>
      <c r="U143" s="153">
        <f>$C143*INDEX(Curves!$F$8:$F$68,U$4-$B143+1)</f>
        <v/>
      </c>
      <c r="V143" s="153">
        <f>$C143*INDEX(Curves!$F$8:$F$68,V$4-$B143+1)</f>
        <v/>
      </c>
      <c r="W143" s="153">
        <f>$C143*INDEX(Curves!$F$8:$F$68,W$4-$B143+1)</f>
        <v/>
      </c>
      <c r="X143" s="153">
        <f>$C143*INDEX(Curves!$F$8:$F$68,X$4-$B143+1)</f>
        <v/>
      </c>
      <c r="Y143" s="153">
        <f>$C143*INDEX(Curves!$F$8:$F$68,Y$4-$B143+1)</f>
        <v/>
      </c>
      <c r="Z143" s="153">
        <f>$C143*INDEX(Curves!$F$8:$F$68,Z$4-$B143+1)</f>
        <v/>
      </c>
      <c r="AA143" s="153">
        <f>$C143*INDEX(Curves!$F$8:$F$68,AA$4-$B143+1)</f>
        <v/>
      </c>
      <c r="AB143" s="153">
        <f>$C143*INDEX(Curves!$F$8:$F$68,AB$4-$B143+1)</f>
        <v/>
      </c>
      <c r="AC143" s="153">
        <f>$C143*INDEX(Curves!$F$8:$F$68,AC$4-$B143+1)</f>
        <v/>
      </c>
      <c r="AD143" s="153">
        <f>$C143*INDEX(Curves!$F$8:$F$68,AD$4-$B143+1)</f>
        <v/>
      </c>
      <c r="AE143" s="153">
        <f>$C143*INDEX(Curves!$F$8:$F$68,AE$4-$B143+1)</f>
        <v/>
      </c>
      <c r="AF143" s="153">
        <f>$C143*INDEX(Curves!$F$8:$F$68,AF$4-$B143+1)</f>
        <v/>
      </c>
      <c r="AG143" s="153">
        <f>$C143*INDEX(Curves!$F$8:$F$68,AG$4-$B143+1)</f>
        <v/>
      </c>
      <c r="AH143" s="153">
        <f>$C143*INDEX(Curves!$F$8:$F$68,AH$4-$B143+1)</f>
        <v/>
      </c>
      <c r="AI143" s="153">
        <f>$C143*INDEX(Curves!$F$8:$F$68,AI$4-$B143+1)</f>
        <v/>
      </c>
      <c r="AJ143" s="153">
        <f>$C143*INDEX(Curves!$F$8:$F$68,AJ$4-$B143+1)</f>
        <v/>
      </c>
      <c r="AK143" s="153">
        <f>$C143*INDEX(Curves!$F$8:$F$68,AK$4-$B143+1)</f>
        <v/>
      </c>
      <c r="AL143" s="153">
        <f>$C143*INDEX(Curves!$F$8:$F$68,AL$4-$B143+1)</f>
        <v/>
      </c>
      <c r="AM143" s="153">
        <f>$C143*INDEX(Curves!$F$8:$F$68,AM$4-$B143+1)</f>
        <v/>
      </c>
      <c r="AN143" s="153">
        <f>$C143*INDEX(Curves!$F$8:$F$68,AN$4-$B143+1)</f>
        <v/>
      </c>
      <c r="AO143" s="153">
        <f>$C143*INDEX(Curves!$F$8:$F$68,AO$4-$B143+1)</f>
        <v/>
      </c>
      <c r="AP143" s="153">
        <f>$C143*INDEX(Curves!$F$8:$F$68,AP$4-$B143+1)</f>
        <v/>
      </c>
      <c r="AQ143" s="153">
        <f>$C143*INDEX(Curves!$F$8:$F$68,AQ$4-$B143+1)</f>
        <v/>
      </c>
      <c r="AR143" s="153">
        <f>$C143*INDEX(Curves!$F$8:$F$68,AR$4-$B143+1)</f>
        <v/>
      </c>
      <c r="AS143" s="153">
        <f>$C143*INDEX(Curves!$F$8:$F$68,AS$4-$B143+1)</f>
        <v/>
      </c>
      <c r="AT143" s="153">
        <f>$C143*INDEX(Curves!$F$8:$F$68,AT$4-$B143+1)</f>
        <v/>
      </c>
      <c r="AU143" s="153">
        <f>$C143*INDEX(Curves!$F$8:$F$68,AU$4-$B143+1)</f>
        <v/>
      </c>
      <c r="AV143" s="153">
        <f>$C143*INDEX(Curves!$F$8:$F$68,AV$4-$B143+1)</f>
        <v/>
      </c>
      <c r="AW143" s="153">
        <f>$C143*INDEX(Curves!$F$8:$F$68,AW$4-$B143+1)</f>
        <v/>
      </c>
      <c r="AX143" s="153">
        <f>$C143*INDEX(Curves!$F$8:$F$68,AX$4-$B143+1)</f>
        <v/>
      </c>
      <c r="AY143" s="153">
        <f>$C143*INDEX(Curves!$F$8:$F$68,AY$4-$B143+1)</f>
        <v/>
      </c>
      <c r="AZ143" s="153">
        <f>$C143*INDEX(Curves!$F$8:$F$68,AZ$4-$B143+1)</f>
        <v/>
      </c>
      <c r="BA143" s="153">
        <f>$C143*INDEX(Curves!$F$8:$F$68,BA$4-$B143+1)</f>
        <v/>
      </c>
      <c r="BB143" s="153">
        <f>$C143*INDEX(Curves!$F$8:$F$68,BB$4-$B143+1)</f>
        <v/>
      </c>
      <c r="BC143" s="153">
        <f>$C143*INDEX(Curves!$F$8:$F$68,BC$4-$B143+1)</f>
        <v/>
      </c>
      <c r="BD143" s="153">
        <f>$C143*INDEX(Curves!$F$8:$F$68,BD$4-$B143+1)</f>
        <v/>
      </c>
      <c r="BE143" s="153">
        <f>$C143*INDEX(Curves!$F$8:$F$68,BE$4-$B143+1)</f>
        <v/>
      </c>
      <c r="BF143" s="153">
        <f>$C143*INDEX(Curves!$F$8:$F$68,BF$4-$B143+1)</f>
        <v/>
      </c>
      <c r="BG143" s="153">
        <f>$C143*INDEX(Curves!$F$8:$F$68,BG$4-$B143+1)</f>
        <v/>
      </c>
      <c r="BH143" s="153">
        <f>$C143*INDEX(Curves!$F$8:$F$68,BH$4-$B143+1)</f>
        <v/>
      </c>
      <c r="BI143" s="153">
        <f>$C143*INDEX(Curves!$F$8:$F$68,BI$4-$B143+1)</f>
        <v/>
      </c>
      <c r="BJ143" s="153">
        <f>$C143*INDEX(Curves!$F$8:$F$68,BJ$4-$B143+1)</f>
        <v/>
      </c>
      <c r="BK143" s="153">
        <f>$C143*INDEX(Curves!$F$8:$F$68,BK$4-$B143+1)</f>
        <v/>
      </c>
      <c r="BL143" s="153">
        <f>$C143*INDEX(Curves!$F$8:$F$68,BL$4-$B143+1)</f>
        <v/>
      </c>
    </row>
    <row r="144">
      <c r="A144" s="147" t="inlineStr">
        <is>
          <t>Cohort month 9</t>
        </is>
      </c>
      <c r="B144" s="147" t="n">
        <v>9</v>
      </c>
      <c r="C144" s="41">
        <f>INDEX(Ops!$E$10:$BL$10,1,$B144)</f>
        <v/>
      </c>
      <c r="N144" s="153">
        <f>$C144*INDEX(Curves!$F$8:$F$68,N$4-$B144+1)</f>
        <v/>
      </c>
      <c r="O144" s="153">
        <f>$C144*INDEX(Curves!$F$8:$F$68,O$4-$B144+1)</f>
        <v/>
      </c>
      <c r="P144" s="153">
        <f>$C144*INDEX(Curves!$F$8:$F$68,P$4-$B144+1)</f>
        <v/>
      </c>
      <c r="Q144" s="153">
        <f>$C144*INDEX(Curves!$F$8:$F$68,Q$4-$B144+1)</f>
        <v/>
      </c>
      <c r="R144" s="153">
        <f>$C144*INDEX(Curves!$F$8:$F$68,R$4-$B144+1)</f>
        <v/>
      </c>
      <c r="S144" s="153">
        <f>$C144*INDEX(Curves!$F$8:$F$68,S$4-$B144+1)</f>
        <v/>
      </c>
      <c r="T144" s="153">
        <f>$C144*INDEX(Curves!$F$8:$F$68,T$4-$B144+1)</f>
        <v/>
      </c>
      <c r="U144" s="153">
        <f>$C144*INDEX(Curves!$F$8:$F$68,U$4-$B144+1)</f>
        <v/>
      </c>
      <c r="V144" s="153">
        <f>$C144*INDEX(Curves!$F$8:$F$68,V$4-$B144+1)</f>
        <v/>
      </c>
      <c r="W144" s="153">
        <f>$C144*INDEX(Curves!$F$8:$F$68,W$4-$B144+1)</f>
        <v/>
      </c>
      <c r="X144" s="153">
        <f>$C144*INDEX(Curves!$F$8:$F$68,X$4-$B144+1)</f>
        <v/>
      </c>
      <c r="Y144" s="153">
        <f>$C144*INDEX(Curves!$F$8:$F$68,Y$4-$B144+1)</f>
        <v/>
      </c>
      <c r="Z144" s="153">
        <f>$C144*INDEX(Curves!$F$8:$F$68,Z$4-$B144+1)</f>
        <v/>
      </c>
      <c r="AA144" s="153">
        <f>$C144*INDEX(Curves!$F$8:$F$68,AA$4-$B144+1)</f>
        <v/>
      </c>
      <c r="AB144" s="153">
        <f>$C144*INDEX(Curves!$F$8:$F$68,AB$4-$B144+1)</f>
        <v/>
      </c>
      <c r="AC144" s="153">
        <f>$C144*INDEX(Curves!$F$8:$F$68,AC$4-$B144+1)</f>
        <v/>
      </c>
      <c r="AD144" s="153">
        <f>$C144*INDEX(Curves!$F$8:$F$68,AD$4-$B144+1)</f>
        <v/>
      </c>
      <c r="AE144" s="153">
        <f>$C144*INDEX(Curves!$F$8:$F$68,AE$4-$B144+1)</f>
        <v/>
      </c>
      <c r="AF144" s="153">
        <f>$C144*INDEX(Curves!$F$8:$F$68,AF$4-$B144+1)</f>
        <v/>
      </c>
      <c r="AG144" s="153">
        <f>$C144*INDEX(Curves!$F$8:$F$68,AG$4-$B144+1)</f>
        <v/>
      </c>
      <c r="AH144" s="153">
        <f>$C144*INDEX(Curves!$F$8:$F$68,AH$4-$B144+1)</f>
        <v/>
      </c>
      <c r="AI144" s="153">
        <f>$C144*INDEX(Curves!$F$8:$F$68,AI$4-$B144+1)</f>
        <v/>
      </c>
      <c r="AJ144" s="153">
        <f>$C144*INDEX(Curves!$F$8:$F$68,AJ$4-$B144+1)</f>
        <v/>
      </c>
      <c r="AK144" s="153">
        <f>$C144*INDEX(Curves!$F$8:$F$68,AK$4-$B144+1)</f>
        <v/>
      </c>
      <c r="AL144" s="153">
        <f>$C144*INDEX(Curves!$F$8:$F$68,AL$4-$B144+1)</f>
        <v/>
      </c>
      <c r="AM144" s="153">
        <f>$C144*INDEX(Curves!$F$8:$F$68,AM$4-$B144+1)</f>
        <v/>
      </c>
      <c r="AN144" s="153">
        <f>$C144*INDEX(Curves!$F$8:$F$68,AN$4-$B144+1)</f>
        <v/>
      </c>
      <c r="AO144" s="153">
        <f>$C144*INDEX(Curves!$F$8:$F$68,AO$4-$B144+1)</f>
        <v/>
      </c>
      <c r="AP144" s="153">
        <f>$C144*INDEX(Curves!$F$8:$F$68,AP$4-$B144+1)</f>
        <v/>
      </c>
      <c r="AQ144" s="153">
        <f>$C144*INDEX(Curves!$F$8:$F$68,AQ$4-$B144+1)</f>
        <v/>
      </c>
      <c r="AR144" s="153">
        <f>$C144*INDEX(Curves!$F$8:$F$68,AR$4-$B144+1)</f>
        <v/>
      </c>
      <c r="AS144" s="153">
        <f>$C144*INDEX(Curves!$F$8:$F$68,AS$4-$B144+1)</f>
        <v/>
      </c>
      <c r="AT144" s="153">
        <f>$C144*INDEX(Curves!$F$8:$F$68,AT$4-$B144+1)</f>
        <v/>
      </c>
      <c r="AU144" s="153">
        <f>$C144*INDEX(Curves!$F$8:$F$68,AU$4-$B144+1)</f>
        <v/>
      </c>
      <c r="AV144" s="153">
        <f>$C144*INDEX(Curves!$F$8:$F$68,AV$4-$B144+1)</f>
        <v/>
      </c>
      <c r="AW144" s="153">
        <f>$C144*INDEX(Curves!$F$8:$F$68,AW$4-$B144+1)</f>
        <v/>
      </c>
      <c r="AX144" s="153">
        <f>$C144*INDEX(Curves!$F$8:$F$68,AX$4-$B144+1)</f>
        <v/>
      </c>
      <c r="AY144" s="153">
        <f>$C144*INDEX(Curves!$F$8:$F$68,AY$4-$B144+1)</f>
        <v/>
      </c>
      <c r="AZ144" s="153">
        <f>$C144*INDEX(Curves!$F$8:$F$68,AZ$4-$B144+1)</f>
        <v/>
      </c>
      <c r="BA144" s="153">
        <f>$C144*INDEX(Curves!$F$8:$F$68,BA$4-$B144+1)</f>
        <v/>
      </c>
      <c r="BB144" s="153">
        <f>$C144*INDEX(Curves!$F$8:$F$68,BB$4-$B144+1)</f>
        <v/>
      </c>
      <c r="BC144" s="153">
        <f>$C144*INDEX(Curves!$F$8:$F$68,BC$4-$B144+1)</f>
        <v/>
      </c>
      <c r="BD144" s="153">
        <f>$C144*INDEX(Curves!$F$8:$F$68,BD$4-$B144+1)</f>
        <v/>
      </c>
      <c r="BE144" s="153">
        <f>$C144*INDEX(Curves!$F$8:$F$68,BE$4-$B144+1)</f>
        <v/>
      </c>
      <c r="BF144" s="153">
        <f>$C144*INDEX(Curves!$F$8:$F$68,BF$4-$B144+1)</f>
        <v/>
      </c>
      <c r="BG144" s="153">
        <f>$C144*INDEX(Curves!$F$8:$F$68,BG$4-$B144+1)</f>
        <v/>
      </c>
      <c r="BH144" s="153">
        <f>$C144*INDEX(Curves!$F$8:$F$68,BH$4-$B144+1)</f>
        <v/>
      </c>
      <c r="BI144" s="153">
        <f>$C144*INDEX(Curves!$F$8:$F$68,BI$4-$B144+1)</f>
        <v/>
      </c>
      <c r="BJ144" s="153">
        <f>$C144*INDEX(Curves!$F$8:$F$68,BJ$4-$B144+1)</f>
        <v/>
      </c>
      <c r="BK144" s="153">
        <f>$C144*INDEX(Curves!$F$8:$F$68,BK$4-$B144+1)</f>
        <v/>
      </c>
      <c r="BL144" s="153">
        <f>$C144*INDEX(Curves!$F$8:$F$68,BL$4-$B144+1)</f>
        <v/>
      </c>
    </row>
    <row r="145">
      <c r="A145" s="147" t="inlineStr">
        <is>
          <t>Cohort month 10</t>
        </is>
      </c>
      <c r="B145" s="147" t="n">
        <v>10</v>
      </c>
      <c r="C145" s="41">
        <f>INDEX(Ops!$E$10:$BL$10,1,$B145)</f>
        <v/>
      </c>
      <c r="O145" s="153">
        <f>$C145*INDEX(Curves!$F$8:$F$68,O$4-$B145+1)</f>
        <v/>
      </c>
      <c r="P145" s="153">
        <f>$C145*INDEX(Curves!$F$8:$F$68,P$4-$B145+1)</f>
        <v/>
      </c>
      <c r="Q145" s="153">
        <f>$C145*INDEX(Curves!$F$8:$F$68,Q$4-$B145+1)</f>
        <v/>
      </c>
      <c r="R145" s="153">
        <f>$C145*INDEX(Curves!$F$8:$F$68,R$4-$B145+1)</f>
        <v/>
      </c>
      <c r="S145" s="153">
        <f>$C145*INDEX(Curves!$F$8:$F$68,S$4-$B145+1)</f>
        <v/>
      </c>
      <c r="T145" s="153">
        <f>$C145*INDEX(Curves!$F$8:$F$68,T$4-$B145+1)</f>
        <v/>
      </c>
      <c r="U145" s="153">
        <f>$C145*INDEX(Curves!$F$8:$F$68,U$4-$B145+1)</f>
        <v/>
      </c>
      <c r="V145" s="153">
        <f>$C145*INDEX(Curves!$F$8:$F$68,V$4-$B145+1)</f>
        <v/>
      </c>
      <c r="W145" s="153">
        <f>$C145*INDEX(Curves!$F$8:$F$68,W$4-$B145+1)</f>
        <v/>
      </c>
      <c r="X145" s="153">
        <f>$C145*INDEX(Curves!$F$8:$F$68,X$4-$B145+1)</f>
        <v/>
      </c>
      <c r="Y145" s="153">
        <f>$C145*INDEX(Curves!$F$8:$F$68,Y$4-$B145+1)</f>
        <v/>
      </c>
      <c r="Z145" s="153">
        <f>$C145*INDEX(Curves!$F$8:$F$68,Z$4-$B145+1)</f>
        <v/>
      </c>
      <c r="AA145" s="153">
        <f>$C145*INDEX(Curves!$F$8:$F$68,AA$4-$B145+1)</f>
        <v/>
      </c>
      <c r="AB145" s="153">
        <f>$C145*INDEX(Curves!$F$8:$F$68,AB$4-$B145+1)</f>
        <v/>
      </c>
      <c r="AC145" s="153">
        <f>$C145*INDEX(Curves!$F$8:$F$68,AC$4-$B145+1)</f>
        <v/>
      </c>
      <c r="AD145" s="153">
        <f>$C145*INDEX(Curves!$F$8:$F$68,AD$4-$B145+1)</f>
        <v/>
      </c>
      <c r="AE145" s="153">
        <f>$C145*INDEX(Curves!$F$8:$F$68,AE$4-$B145+1)</f>
        <v/>
      </c>
      <c r="AF145" s="153">
        <f>$C145*INDEX(Curves!$F$8:$F$68,AF$4-$B145+1)</f>
        <v/>
      </c>
      <c r="AG145" s="153">
        <f>$C145*INDEX(Curves!$F$8:$F$68,AG$4-$B145+1)</f>
        <v/>
      </c>
      <c r="AH145" s="153">
        <f>$C145*INDEX(Curves!$F$8:$F$68,AH$4-$B145+1)</f>
        <v/>
      </c>
      <c r="AI145" s="153">
        <f>$C145*INDEX(Curves!$F$8:$F$68,AI$4-$B145+1)</f>
        <v/>
      </c>
      <c r="AJ145" s="153">
        <f>$C145*INDEX(Curves!$F$8:$F$68,AJ$4-$B145+1)</f>
        <v/>
      </c>
      <c r="AK145" s="153">
        <f>$C145*INDEX(Curves!$F$8:$F$68,AK$4-$B145+1)</f>
        <v/>
      </c>
      <c r="AL145" s="153">
        <f>$C145*INDEX(Curves!$F$8:$F$68,AL$4-$B145+1)</f>
        <v/>
      </c>
      <c r="AM145" s="153">
        <f>$C145*INDEX(Curves!$F$8:$F$68,AM$4-$B145+1)</f>
        <v/>
      </c>
      <c r="AN145" s="153">
        <f>$C145*INDEX(Curves!$F$8:$F$68,AN$4-$B145+1)</f>
        <v/>
      </c>
      <c r="AO145" s="153">
        <f>$C145*INDEX(Curves!$F$8:$F$68,AO$4-$B145+1)</f>
        <v/>
      </c>
      <c r="AP145" s="153">
        <f>$C145*INDEX(Curves!$F$8:$F$68,AP$4-$B145+1)</f>
        <v/>
      </c>
      <c r="AQ145" s="153">
        <f>$C145*INDEX(Curves!$F$8:$F$68,AQ$4-$B145+1)</f>
        <v/>
      </c>
      <c r="AR145" s="153">
        <f>$C145*INDEX(Curves!$F$8:$F$68,AR$4-$B145+1)</f>
        <v/>
      </c>
      <c r="AS145" s="153">
        <f>$C145*INDEX(Curves!$F$8:$F$68,AS$4-$B145+1)</f>
        <v/>
      </c>
      <c r="AT145" s="153">
        <f>$C145*INDEX(Curves!$F$8:$F$68,AT$4-$B145+1)</f>
        <v/>
      </c>
      <c r="AU145" s="153">
        <f>$C145*INDEX(Curves!$F$8:$F$68,AU$4-$B145+1)</f>
        <v/>
      </c>
      <c r="AV145" s="153">
        <f>$C145*INDEX(Curves!$F$8:$F$68,AV$4-$B145+1)</f>
        <v/>
      </c>
      <c r="AW145" s="153">
        <f>$C145*INDEX(Curves!$F$8:$F$68,AW$4-$B145+1)</f>
        <v/>
      </c>
      <c r="AX145" s="153">
        <f>$C145*INDEX(Curves!$F$8:$F$68,AX$4-$B145+1)</f>
        <v/>
      </c>
      <c r="AY145" s="153">
        <f>$C145*INDEX(Curves!$F$8:$F$68,AY$4-$B145+1)</f>
        <v/>
      </c>
      <c r="AZ145" s="153">
        <f>$C145*INDEX(Curves!$F$8:$F$68,AZ$4-$B145+1)</f>
        <v/>
      </c>
      <c r="BA145" s="153">
        <f>$C145*INDEX(Curves!$F$8:$F$68,BA$4-$B145+1)</f>
        <v/>
      </c>
      <c r="BB145" s="153">
        <f>$C145*INDEX(Curves!$F$8:$F$68,BB$4-$B145+1)</f>
        <v/>
      </c>
      <c r="BC145" s="153">
        <f>$C145*INDEX(Curves!$F$8:$F$68,BC$4-$B145+1)</f>
        <v/>
      </c>
      <c r="BD145" s="153">
        <f>$C145*INDEX(Curves!$F$8:$F$68,BD$4-$B145+1)</f>
        <v/>
      </c>
      <c r="BE145" s="153">
        <f>$C145*INDEX(Curves!$F$8:$F$68,BE$4-$B145+1)</f>
        <v/>
      </c>
      <c r="BF145" s="153">
        <f>$C145*INDEX(Curves!$F$8:$F$68,BF$4-$B145+1)</f>
        <v/>
      </c>
      <c r="BG145" s="153">
        <f>$C145*INDEX(Curves!$F$8:$F$68,BG$4-$B145+1)</f>
        <v/>
      </c>
      <c r="BH145" s="153">
        <f>$C145*INDEX(Curves!$F$8:$F$68,BH$4-$B145+1)</f>
        <v/>
      </c>
      <c r="BI145" s="153">
        <f>$C145*INDEX(Curves!$F$8:$F$68,BI$4-$B145+1)</f>
        <v/>
      </c>
      <c r="BJ145" s="153">
        <f>$C145*INDEX(Curves!$F$8:$F$68,BJ$4-$B145+1)</f>
        <v/>
      </c>
      <c r="BK145" s="153">
        <f>$C145*INDEX(Curves!$F$8:$F$68,BK$4-$B145+1)</f>
        <v/>
      </c>
      <c r="BL145" s="153">
        <f>$C145*INDEX(Curves!$F$8:$F$68,BL$4-$B145+1)</f>
        <v/>
      </c>
    </row>
    <row r="146">
      <c r="A146" s="147" t="inlineStr">
        <is>
          <t>Cohort month 11</t>
        </is>
      </c>
      <c r="B146" s="147" t="n">
        <v>11</v>
      </c>
      <c r="C146" s="41">
        <f>INDEX(Ops!$E$10:$BL$10,1,$B146)</f>
        <v/>
      </c>
      <c r="P146" s="153">
        <f>$C146*INDEX(Curves!$F$8:$F$68,P$4-$B146+1)</f>
        <v/>
      </c>
      <c r="Q146" s="153">
        <f>$C146*INDEX(Curves!$F$8:$F$68,Q$4-$B146+1)</f>
        <v/>
      </c>
      <c r="R146" s="153">
        <f>$C146*INDEX(Curves!$F$8:$F$68,R$4-$B146+1)</f>
        <v/>
      </c>
      <c r="S146" s="153">
        <f>$C146*INDEX(Curves!$F$8:$F$68,S$4-$B146+1)</f>
        <v/>
      </c>
      <c r="T146" s="153">
        <f>$C146*INDEX(Curves!$F$8:$F$68,T$4-$B146+1)</f>
        <v/>
      </c>
      <c r="U146" s="153">
        <f>$C146*INDEX(Curves!$F$8:$F$68,U$4-$B146+1)</f>
        <v/>
      </c>
      <c r="V146" s="153">
        <f>$C146*INDEX(Curves!$F$8:$F$68,V$4-$B146+1)</f>
        <v/>
      </c>
      <c r="W146" s="153">
        <f>$C146*INDEX(Curves!$F$8:$F$68,W$4-$B146+1)</f>
        <v/>
      </c>
      <c r="X146" s="153">
        <f>$C146*INDEX(Curves!$F$8:$F$68,X$4-$B146+1)</f>
        <v/>
      </c>
      <c r="Y146" s="153">
        <f>$C146*INDEX(Curves!$F$8:$F$68,Y$4-$B146+1)</f>
        <v/>
      </c>
      <c r="Z146" s="153">
        <f>$C146*INDEX(Curves!$F$8:$F$68,Z$4-$B146+1)</f>
        <v/>
      </c>
      <c r="AA146" s="153">
        <f>$C146*INDEX(Curves!$F$8:$F$68,AA$4-$B146+1)</f>
        <v/>
      </c>
      <c r="AB146" s="153">
        <f>$C146*INDEX(Curves!$F$8:$F$68,AB$4-$B146+1)</f>
        <v/>
      </c>
      <c r="AC146" s="153">
        <f>$C146*INDEX(Curves!$F$8:$F$68,AC$4-$B146+1)</f>
        <v/>
      </c>
      <c r="AD146" s="153">
        <f>$C146*INDEX(Curves!$F$8:$F$68,AD$4-$B146+1)</f>
        <v/>
      </c>
      <c r="AE146" s="153">
        <f>$C146*INDEX(Curves!$F$8:$F$68,AE$4-$B146+1)</f>
        <v/>
      </c>
      <c r="AF146" s="153">
        <f>$C146*INDEX(Curves!$F$8:$F$68,AF$4-$B146+1)</f>
        <v/>
      </c>
      <c r="AG146" s="153">
        <f>$C146*INDEX(Curves!$F$8:$F$68,AG$4-$B146+1)</f>
        <v/>
      </c>
      <c r="AH146" s="153">
        <f>$C146*INDEX(Curves!$F$8:$F$68,AH$4-$B146+1)</f>
        <v/>
      </c>
      <c r="AI146" s="153">
        <f>$C146*INDEX(Curves!$F$8:$F$68,AI$4-$B146+1)</f>
        <v/>
      </c>
      <c r="AJ146" s="153">
        <f>$C146*INDEX(Curves!$F$8:$F$68,AJ$4-$B146+1)</f>
        <v/>
      </c>
      <c r="AK146" s="153">
        <f>$C146*INDEX(Curves!$F$8:$F$68,AK$4-$B146+1)</f>
        <v/>
      </c>
      <c r="AL146" s="153">
        <f>$C146*INDEX(Curves!$F$8:$F$68,AL$4-$B146+1)</f>
        <v/>
      </c>
      <c r="AM146" s="153">
        <f>$C146*INDEX(Curves!$F$8:$F$68,AM$4-$B146+1)</f>
        <v/>
      </c>
      <c r="AN146" s="153">
        <f>$C146*INDEX(Curves!$F$8:$F$68,AN$4-$B146+1)</f>
        <v/>
      </c>
      <c r="AO146" s="153">
        <f>$C146*INDEX(Curves!$F$8:$F$68,AO$4-$B146+1)</f>
        <v/>
      </c>
      <c r="AP146" s="153">
        <f>$C146*INDEX(Curves!$F$8:$F$68,AP$4-$B146+1)</f>
        <v/>
      </c>
      <c r="AQ146" s="153">
        <f>$C146*INDEX(Curves!$F$8:$F$68,AQ$4-$B146+1)</f>
        <v/>
      </c>
      <c r="AR146" s="153">
        <f>$C146*INDEX(Curves!$F$8:$F$68,AR$4-$B146+1)</f>
        <v/>
      </c>
      <c r="AS146" s="153">
        <f>$C146*INDEX(Curves!$F$8:$F$68,AS$4-$B146+1)</f>
        <v/>
      </c>
      <c r="AT146" s="153">
        <f>$C146*INDEX(Curves!$F$8:$F$68,AT$4-$B146+1)</f>
        <v/>
      </c>
      <c r="AU146" s="153">
        <f>$C146*INDEX(Curves!$F$8:$F$68,AU$4-$B146+1)</f>
        <v/>
      </c>
      <c r="AV146" s="153">
        <f>$C146*INDEX(Curves!$F$8:$F$68,AV$4-$B146+1)</f>
        <v/>
      </c>
      <c r="AW146" s="153">
        <f>$C146*INDEX(Curves!$F$8:$F$68,AW$4-$B146+1)</f>
        <v/>
      </c>
      <c r="AX146" s="153">
        <f>$C146*INDEX(Curves!$F$8:$F$68,AX$4-$B146+1)</f>
        <v/>
      </c>
      <c r="AY146" s="153">
        <f>$C146*INDEX(Curves!$F$8:$F$68,AY$4-$B146+1)</f>
        <v/>
      </c>
      <c r="AZ146" s="153">
        <f>$C146*INDEX(Curves!$F$8:$F$68,AZ$4-$B146+1)</f>
        <v/>
      </c>
      <c r="BA146" s="153">
        <f>$C146*INDEX(Curves!$F$8:$F$68,BA$4-$B146+1)</f>
        <v/>
      </c>
      <c r="BB146" s="153">
        <f>$C146*INDEX(Curves!$F$8:$F$68,BB$4-$B146+1)</f>
        <v/>
      </c>
      <c r="BC146" s="153">
        <f>$C146*INDEX(Curves!$F$8:$F$68,BC$4-$B146+1)</f>
        <v/>
      </c>
      <c r="BD146" s="153">
        <f>$C146*INDEX(Curves!$F$8:$F$68,BD$4-$B146+1)</f>
        <v/>
      </c>
      <c r="BE146" s="153">
        <f>$C146*INDEX(Curves!$F$8:$F$68,BE$4-$B146+1)</f>
        <v/>
      </c>
      <c r="BF146" s="153">
        <f>$C146*INDEX(Curves!$F$8:$F$68,BF$4-$B146+1)</f>
        <v/>
      </c>
      <c r="BG146" s="153">
        <f>$C146*INDEX(Curves!$F$8:$F$68,BG$4-$B146+1)</f>
        <v/>
      </c>
      <c r="BH146" s="153">
        <f>$C146*INDEX(Curves!$F$8:$F$68,BH$4-$B146+1)</f>
        <v/>
      </c>
      <c r="BI146" s="153">
        <f>$C146*INDEX(Curves!$F$8:$F$68,BI$4-$B146+1)</f>
        <v/>
      </c>
      <c r="BJ146" s="153">
        <f>$C146*INDEX(Curves!$F$8:$F$68,BJ$4-$B146+1)</f>
        <v/>
      </c>
      <c r="BK146" s="153">
        <f>$C146*INDEX(Curves!$F$8:$F$68,BK$4-$B146+1)</f>
        <v/>
      </c>
      <c r="BL146" s="153">
        <f>$C146*INDEX(Curves!$F$8:$F$68,BL$4-$B146+1)</f>
        <v/>
      </c>
    </row>
    <row r="147">
      <c r="A147" s="147" t="inlineStr">
        <is>
          <t>Cohort month 12</t>
        </is>
      </c>
      <c r="B147" s="147" t="n">
        <v>12</v>
      </c>
      <c r="C147" s="41">
        <f>INDEX(Ops!$E$10:$BL$10,1,$B147)</f>
        <v/>
      </c>
      <c r="Q147" s="153">
        <f>$C147*INDEX(Curves!$F$8:$F$68,Q$4-$B147+1)</f>
        <v/>
      </c>
      <c r="R147" s="153">
        <f>$C147*INDEX(Curves!$F$8:$F$68,R$4-$B147+1)</f>
        <v/>
      </c>
      <c r="S147" s="153">
        <f>$C147*INDEX(Curves!$F$8:$F$68,S$4-$B147+1)</f>
        <v/>
      </c>
      <c r="T147" s="153">
        <f>$C147*INDEX(Curves!$F$8:$F$68,T$4-$B147+1)</f>
        <v/>
      </c>
      <c r="U147" s="153">
        <f>$C147*INDEX(Curves!$F$8:$F$68,U$4-$B147+1)</f>
        <v/>
      </c>
      <c r="V147" s="153">
        <f>$C147*INDEX(Curves!$F$8:$F$68,V$4-$B147+1)</f>
        <v/>
      </c>
      <c r="W147" s="153">
        <f>$C147*INDEX(Curves!$F$8:$F$68,W$4-$B147+1)</f>
        <v/>
      </c>
      <c r="X147" s="153">
        <f>$C147*INDEX(Curves!$F$8:$F$68,X$4-$B147+1)</f>
        <v/>
      </c>
      <c r="Y147" s="153">
        <f>$C147*INDEX(Curves!$F$8:$F$68,Y$4-$B147+1)</f>
        <v/>
      </c>
      <c r="Z147" s="153">
        <f>$C147*INDEX(Curves!$F$8:$F$68,Z$4-$B147+1)</f>
        <v/>
      </c>
      <c r="AA147" s="153">
        <f>$C147*INDEX(Curves!$F$8:$F$68,AA$4-$B147+1)</f>
        <v/>
      </c>
      <c r="AB147" s="153">
        <f>$C147*INDEX(Curves!$F$8:$F$68,AB$4-$B147+1)</f>
        <v/>
      </c>
      <c r="AC147" s="153">
        <f>$C147*INDEX(Curves!$F$8:$F$68,AC$4-$B147+1)</f>
        <v/>
      </c>
      <c r="AD147" s="153">
        <f>$C147*INDEX(Curves!$F$8:$F$68,AD$4-$B147+1)</f>
        <v/>
      </c>
      <c r="AE147" s="153">
        <f>$C147*INDEX(Curves!$F$8:$F$68,AE$4-$B147+1)</f>
        <v/>
      </c>
      <c r="AF147" s="153">
        <f>$C147*INDEX(Curves!$F$8:$F$68,AF$4-$B147+1)</f>
        <v/>
      </c>
      <c r="AG147" s="153">
        <f>$C147*INDEX(Curves!$F$8:$F$68,AG$4-$B147+1)</f>
        <v/>
      </c>
      <c r="AH147" s="153">
        <f>$C147*INDEX(Curves!$F$8:$F$68,AH$4-$B147+1)</f>
        <v/>
      </c>
      <c r="AI147" s="153">
        <f>$C147*INDEX(Curves!$F$8:$F$68,AI$4-$B147+1)</f>
        <v/>
      </c>
      <c r="AJ147" s="153">
        <f>$C147*INDEX(Curves!$F$8:$F$68,AJ$4-$B147+1)</f>
        <v/>
      </c>
      <c r="AK147" s="153">
        <f>$C147*INDEX(Curves!$F$8:$F$68,AK$4-$B147+1)</f>
        <v/>
      </c>
      <c r="AL147" s="153">
        <f>$C147*INDEX(Curves!$F$8:$F$68,AL$4-$B147+1)</f>
        <v/>
      </c>
      <c r="AM147" s="153">
        <f>$C147*INDEX(Curves!$F$8:$F$68,AM$4-$B147+1)</f>
        <v/>
      </c>
      <c r="AN147" s="153">
        <f>$C147*INDEX(Curves!$F$8:$F$68,AN$4-$B147+1)</f>
        <v/>
      </c>
      <c r="AO147" s="153">
        <f>$C147*INDEX(Curves!$F$8:$F$68,AO$4-$B147+1)</f>
        <v/>
      </c>
      <c r="AP147" s="153">
        <f>$C147*INDEX(Curves!$F$8:$F$68,AP$4-$B147+1)</f>
        <v/>
      </c>
      <c r="AQ147" s="153">
        <f>$C147*INDEX(Curves!$F$8:$F$68,AQ$4-$B147+1)</f>
        <v/>
      </c>
      <c r="AR147" s="153">
        <f>$C147*INDEX(Curves!$F$8:$F$68,AR$4-$B147+1)</f>
        <v/>
      </c>
      <c r="AS147" s="153">
        <f>$C147*INDEX(Curves!$F$8:$F$68,AS$4-$B147+1)</f>
        <v/>
      </c>
      <c r="AT147" s="153">
        <f>$C147*INDEX(Curves!$F$8:$F$68,AT$4-$B147+1)</f>
        <v/>
      </c>
      <c r="AU147" s="153">
        <f>$C147*INDEX(Curves!$F$8:$F$68,AU$4-$B147+1)</f>
        <v/>
      </c>
      <c r="AV147" s="153">
        <f>$C147*INDEX(Curves!$F$8:$F$68,AV$4-$B147+1)</f>
        <v/>
      </c>
      <c r="AW147" s="153">
        <f>$C147*INDEX(Curves!$F$8:$F$68,AW$4-$B147+1)</f>
        <v/>
      </c>
      <c r="AX147" s="153">
        <f>$C147*INDEX(Curves!$F$8:$F$68,AX$4-$B147+1)</f>
        <v/>
      </c>
      <c r="AY147" s="153">
        <f>$C147*INDEX(Curves!$F$8:$F$68,AY$4-$B147+1)</f>
        <v/>
      </c>
      <c r="AZ147" s="153">
        <f>$C147*INDEX(Curves!$F$8:$F$68,AZ$4-$B147+1)</f>
        <v/>
      </c>
      <c r="BA147" s="153">
        <f>$C147*INDEX(Curves!$F$8:$F$68,BA$4-$B147+1)</f>
        <v/>
      </c>
      <c r="BB147" s="153">
        <f>$C147*INDEX(Curves!$F$8:$F$68,BB$4-$B147+1)</f>
        <v/>
      </c>
      <c r="BC147" s="153">
        <f>$C147*INDEX(Curves!$F$8:$F$68,BC$4-$B147+1)</f>
        <v/>
      </c>
      <c r="BD147" s="153">
        <f>$C147*INDEX(Curves!$F$8:$F$68,BD$4-$B147+1)</f>
        <v/>
      </c>
      <c r="BE147" s="153">
        <f>$C147*INDEX(Curves!$F$8:$F$68,BE$4-$B147+1)</f>
        <v/>
      </c>
      <c r="BF147" s="153">
        <f>$C147*INDEX(Curves!$F$8:$F$68,BF$4-$B147+1)</f>
        <v/>
      </c>
      <c r="BG147" s="153">
        <f>$C147*INDEX(Curves!$F$8:$F$68,BG$4-$B147+1)</f>
        <v/>
      </c>
      <c r="BH147" s="153">
        <f>$C147*INDEX(Curves!$F$8:$F$68,BH$4-$B147+1)</f>
        <v/>
      </c>
      <c r="BI147" s="153">
        <f>$C147*INDEX(Curves!$F$8:$F$68,BI$4-$B147+1)</f>
        <v/>
      </c>
      <c r="BJ147" s="153">
        <f>$C147*INDEX(Curves!$F$8:$F$68,BJ$4-$B147+1)</f>
        <v/>
      </c>
      <c r="BK147" s="153">
        <f>$C147*INDEX(Curves!$F$8:$F$68,BK$4-$B147+1)</f>
        <v/>
      </c>
      <c r="BL147" s="153">
        <f>$C147*INDEX(Curves!$F$8:$F$68,BL$4-$B147+1)</f>
        <v/>
      </c>
    </row>
    <row r="148">
      <c r="A148" s="147" t="inlineStr">
        <is>
          <t>Cohort month 13</t>
        </is>
      </c>
      <c r="B148" s="147" t="n">
        <v>13</v>
      </c>
      <c r="C148" s="41">
        <f>INDEX(Ops!$E$10:$BL$10,1,$B148)</f>
        <v/>
      </c>
      <c r="R148" s="153">
        <f>$C148*INDEX(Curves!$F$8:$F$68,R$4-$B148+1)</f>
        <v/>
      </c>
      <c r="S148" s="153">
        <f>$C148*INDEX(Curves!$F$8:$F$68,S$4-$B148+1)</f>
        <v/>
      </c>
      <c r="T148" s="153">
        <f>$C148*INDEX(Curves!$F$8:$F$68,T$4-$B148+1)</f>
        <v/>
      </c>
      <c r="U148" s="153">
        <f>$C148*INDEX(Curves!$F$8:$F$68,U$4-$B148+1)</f>
        <v/>
      </c>
      <c r="V148" s="153">
        <f>$C148*INDEX(Curves!$F$8:$F$68,V$4-$B148+1)</f>
        <v/>
      </c>
      <c r="W148" s="153">
        <f>$C148*INDEX(Curves!$F$8:$F$68,W$4-$B148+1)</f>
        <v/>
      </c>
      <c r="X148" s="153">
        <f>$C148*INDEX(Curves!$F$8:$F$68,X$4-$B148+1)</f>
        <v/>
      </c>
      <c r="Y148" s="153">
        <f>$C148*INDEX(Curves!$F$8:$F$68,Y$4-$B148+1)</f>
        <v/>
      </c>
      <c r="Z148" s="153">
        <f>$C148*INDEX(Curves!$F$8:$F$68,Z$4-$B148+1)</f>
        <v/>
      </c>
      <c r="AA148" s="153">
        <f>$C148*INDEX(Curves!$F$8:$F$68,AA$4-$B148+1)</f>
        <v/>
      </c>
      <c r="AB148" s="153">
        <f>$C148*INDEX(Curves!$F$8:$F$68,AB$4-$B148+1)</f>
        <v/>
      </c>
      <c r="AC148" s="153">
        <f>$C148*INDEX(Curves!$F$8:$F$68,AC$4-$B148+1)</f>
        <v/>
      </c>
      <c r="AD148" s="153">
        <f>$C148*INDEX(Curves!$F$8:$F$68,AD$4-$B148+1)</f>
        <v/>
      </c>
      <c r="AE148" s="153">
        <f>$C148*INDEX(Curves!$F$8:$F$68,AE$4-$B148+1)</f>
        <v/>
      </c>
      <c r="AF148" s="153">
        <f>$C148*INDEX(Curves!$F$8:$F$68,AF$4-$B148+1)</f>
        <v/>
      </c>
      <c r="AG148" s="153">
        <f>$C148*INDEX(Curves!$F$8:$F$68,AG$4-$B148+1)</f>
        <v/>
      </c>
      <c r="AH148" s="153">
        <f>$C148*INDEX(Curves!$F$8:$F$68,AH$4-$B148+1)</f>
        <v/>
      </c>
      <c r="AI148" s="153">
        <f>$C148*INDEX(Curves!$F$8:$F$68,AI$4-$B148+1)</f>
        <v/>
      </c>
      <c r="AJ148" s="153">
        <f>$C148*INDEX(Curves!$F$8:$F$68,AJ$4-$B148+1)</f>
        <v/>
      </c>
      <c r="AK148" s="153">
        <f>$C148*INDEX(Curves!$F$8:$F$68,AK$4-$B148+1)</f>
        <v/>
      </c>
      <c r="AL148" s="153">
        <f>$C148*INDEX(Curves!$F$8:$F$68,AL$4-$B148+1)</f>
        <v/>
      </c>
      <c r="AM148" s="153">
        <f>$C148*INDEX(Curves!$F$8:$F$68,AM$4-$B148+1)</f>
        <v/>
      </c>
      <c r="AN148" s="153">
        <f>$C148*INDEX(Curves!$F$8:$F$68,AN$4-$B148+1)</f>
        <v/>
      </c>
      <c r="AO148" s="153">
        <f>$C148*INDEX(Curves!$F$8:$F$68,AO$4-$B148+1)</f>
        <v/>
      </c>
      <c r="AP148" s="153">
        <f>$C148*INDEX(Curves!$F$8:$F$68,AP$4-$B148+1)</f>
        <v/>
      </c>
      <c r="AQ148" s="153">
        <f>$C148*INDEX(Curves!$F$8:$F$68,AQ$4-$B148+1)</f>
        <v/>
      </c>
      <c r="AR148" s="153">
        <f>$C148*INDEX(Curves!$F$8:$F$68,AR$4-$B148+1)</f>
        <v/>
      </c>
      <c r="AS148" s="153">
        <f>$C148*INDEX(Curves!$F$8:$F$68,AS$4-$B148+1)</f>
        <v/>
      </c>
      <c r="AT148" s="153">
        <f>$C148*INDEX(Curves!$F$8:$F$68,AT$4-$B148+1)</f>
        <v/>
      </c>
      <c r="AU148" s="153">
        <f>$C148*INDEX(Curves!$F$8:$F$68,AU$4-$B148+1)</f>
        <v/>
      </c>
      <c r="AV148" s="153">
        <f>$C148*INDEX(Curves!$F$8:$F$68,AV$4-$B148+1)</f>
        <v/>
      </c>
      <c r="AW148" s="153">
        <f>$C148*INDEX(Curves!$F$8:$F$68,AW$4-$B148+1)</f>
        <v/>
      </c>
      <c r="AX148" s="153">
        <f>$C148*INDEX(Curves!$F$8:$F$68,AX$4-$B148+1)</f>
        <v/>
      </c>
      <c r="AY148" s="153">
        <f>$C148*INDEX(Curves!$F$8:$F$68,AY$4-$B148+1)</f>
        <v/>
      </c>
      <c r="AZ148" s="153">
        <f>$C148*INDEX(Curves!$F$8:$F$68,AZ$4-$B148+1)</f>
        <v/>
      </c>
      <c r="BA148" s="153">
        <f>$C148*INDEX(Curves!$F$8:$F$68,BA$4-$B148+1)</f>
        <v/>
      </c>
      <c r="BB148" s="153">
        <f>$C148*INDEX(Curves!$F$8:$F$68,BB$4-$B148+1)</f>
        <v/>
      </c>
      <c r="BC148" s="153">
        <f>$C148*INDEX(Curves!$F$8:$F$68,BC$4-$B148+1)</f>
        <v/>
      </c>
      <c r="BD148" s="153">
        <f>$C148*INDEX(Curves!$F$8:$F$68,BD$4-$B148+1)</f>
        <v/>
      </c>
      <c r="BE148" s="153">
        <f>$C148*INDEX(Curves!$F$8:$F$68,BE$4-$B148+1)</f>
        <v/>
      </c>
      <c r="BF148" s="153">
        <f>$C148*INDEX(Curves!$F$8:$F$68,BF$4-$B148+1)</f>
        <v/>
      </c>
      <c r="BG148" s="153">
        <f>$C148*INDEX(Curves!$F$8:$F$68,BG$4-$B148+1)</f>
        <v/>
      </c>
      <c r="BH148" s="153">
        <f>$C148*INDEX(Curves!$F$8:$F$68,BH$4-$B148+1)</f>
        <v/>
      </c>
      <c r="BI148" s="153">
        <f>$C148*INDEX(Curves!$F$8:$F$68,BI$4-$B148+1)</f>
        <v/>
      </c>
      <c r="BJ148" s="153">
        <f>$C148*INDEX(Curves!$F$8:$F$68,BJ$4-$B148+1)</f>
        <v/>
      </c>
      <c r="BK148" s="153">
        <f>$C148*INDEX(Curves!$F$8:$F$68,BK$4-$B148+1)</f>
        <v/>
      </c>
      <c r="BL148" s="153">
        <f>$C148*INDEX(Curves!$F$8:$F$68,BL$4-$B148+1)</f>
        <v/>
      </c>
    </row>
    <row r="149">
      <c r="A149" s="147" t="inlineStr">
        <is>
          <t>Cohort month 14</t>
        </is>
      </c>
      <c r="B149" s="147" t="n">
        <v>14</v>
      </c>
      <c r="C149" s="41">
        <f>INDEX(Ops!$E$10:$BL$10,1,$B149)</f>
        <v/>
      </c>
      <c r="S149" s="153">
        <f>$C149*INDEX(Curves!$F$8:$F$68,S$4-$B149+1)</f>
        <v/>
      </c>
      <c r="T149" s="153">
        <f>$C149*INDEX(Curves!$F$8:$F$68,T$4-$B149+1)</f>
        <v/>
      </c>
      <c r="U149" s="153">
        <f>$C149*INDEX(Curves!$F$8:$F$68,U$4-$B149+1)</f>
        <v/>
      </c>
      <c r="V149" s="153">
        <f>$C149*INDEX(Curves!$F$8:$F$68,V$4-$B149+1)</f>
        <v/>
      </c>
      <c r="W149" s="153">
        <f>$C149*INDEX(Curves!$F$8:$F$68,W$4-$B149+1)</f>
        <v/>
      </c>
      <c r="X149" s="153">
        <f>$C149*INDEX(Curves!$F$8:$F$68,X$4-$B149+1)</f>
        <v/>
      </c>
      <c r="Y149" s="153">
        <f>$C149*INDEX(Curves!$F$8:$F$68,Y$4-$B149+1)</f>
        <v/>
      </c>
      <c r="Z149" s="153">
        <f>$C149*INDEX(Curves!$F$8:$F$68,Z$4-$B149+1)</f>
        <v/>
      </c>
      <c r="AA149" s="153">
        <f>$C149*INDEX(Curves!$F$8:$F$68,AA$4-$B149+1)</f>
        <v/>
      </c>
      <c r="AB149" s="153">
        <f>$C149*INDEX(Curves!$F$8:$F$68,AB$4-$B149+1)</f>
        <v/>
      </c>
      <c r="AC149" s="153">
        <f>$C149*INDEX(Curves!$F$8:$F$68,AC$4-$B149+1)</f>
        <v/>
      </c>
      <c r="AD149" s="153">
        <f>$C149*INDEX(Curves!$F$8:$F$68,AD$4-$B149+1)</f>
        <v/>
      </c>
      <c r="AE149" s="153">
        <f>$C149*INDEX(Curves!$F$8:$F$68,AE$4-$B149+1)</f>
        <v/>
      </c>
      <c r="AF149" s="153">
        <f>$C149*INDEX(Curves!$F$8:$F$68,AF$4-$B149+1)</f>
        <v/>
      </c>
      <c r="AG149" s="153">
        <f>$C149*INDEX(Curves!$F$8:$F$68,AG$4-$B149+1)</f>
        <v/>
      </c>
      <c r="AH149" s="153">
        <f>$C149*INDEX(Curves!$F$8:$F$68,AH$4-$B149+1)</f>
        <v/>
      </c>
      <c r="AI149" s="153">
        <f>$C149*INDEX(Curves!$F$8:$F$68,AI$4-$B149+1)</f>
        <v/>
      </c>
      <c r="AJ149" s="153">
        <f>$C149*INDEX(Curves!$F$8:$F$68,AJ$4-$B149+1)</f>
        <v/>
      </c>
      <c r="AK149" s="153">
        <f>$C149*INDEX(Curves!$F$8:$F$68,AK$4-$B149+1)</f>
        <v/>
      </c>
      <c r="AL149" s="153">
        <f>$C149*INDEX(Curves!$F$8:$F$68,AL$4-$B149+1)</f>
        <v/>
      </c>
      <c r="AM149" s="153">
        <f>$C149*INDEX(Curves!$F$8:$F$68,AM$4-$B149+1)</f>
        <v/>
      </c>
      <c r="AN149" s="153">
        <f>$C149*INDEX(Curves!$F$8:$F$68,AN$4-$B149+1)</f>
        <v/>
      </c>
      <c r="AO149" s="153">
        <f>$C149*INDEX(Curves!$F$8:$F$68,AO$4-$B149+1)</f>
        <v/>
      </c>
      <c r="AP149" s="153">
        <f>$C149*INDEX(Curves!$F$8:$F$68,AP$4-$B149+1)</f>
        <v/>
      </c>
      <c r="AQ149" s="153">
        <f>$C149*INDEX(Curves!$F$8:$F$68,AQ$4-$B149+1)</f>
        <v/>
      </c>
      <c r="AR149" s="153">
        <f>$C149*INDEX(Curves!$F$8:$F$68,AR$4-$B149+1)</f>
        <v/>
      </c>
      <c r="AS149" s="153">
        <f>$C149*INDEX(Curves!$F$8:$F$68,AS$4-$B149+1)</f>
        <v/>
      </c>
      <c r="AT149" s="153">
        <f>$C149*INDEX(Curves!$F$8:$F$68,AT$4-$B149+1)</f>
        <v/>
      </c>
      <c r="AU149" s="153">
        <f>$C149*INDEX(Curves!$F$8:$F$68,AU$4-$B149+1)</f>
        <v/>
      </c>
      <c r="AV149" s="153">
        <f>$C149*INDEX(Curves!$F$8:$F$68,AV$4-$B149+1)</f>
        <v/>
      </c>
      <c r="AW149" s="153">
        <f>$C149*INDEX(Curves!$F$8:$F$68,AW$4-$B149+1)</f>
        <v/>
      </c>
      <c r="AX149" s="153">
        <f>$C149*INDEX(Curves!$F$8:$F$68,AX$4-$B149+1)</f>
        <v/>
      </c>
      <c r="AY149" s="153">
        <f>$C149*INDEX(Curves!$F$8:$F$68,AY$4-$B149+1)</f>
        <v/>
      </c>
      <c r="AZ149" s="153">
        <f>$C149*INDEX(Curves!$F$8:$F$68,AZ$4-$B149+1)</f>
        <v/>
      </c>
      <c r="BA149" s="153">
        <f>$C149*INDEX(Curves!$F$8:$F$68,BA$4-$B149+1)</f>
        <v/>
      </c>
      <c r="BB149" s="153">
        <f>$C149*INDEX(Curves!$F$8:$F$68,BB$4-$B149+1)</f>
        <v/>
      </c>
      <c r="BC149" s="153">
        <f>$C149*INDEX(Curves!$F$8:$F$68,BC$4-$B149+1)</f>
        <v/>
      </c>
      <c r="BD149" s="153">
        <f>$C149*INDEX(Curves!$F$8:$F$68,BD$4-$B149+1)</f>
        <v/>
      </c>
      <c r="BE149" s="153">
        <f>$C149*INDEX(Curves!$F$8:$F$68,BE$4-$B149+1)</f>
        <v/>
      </c>
      <c r="BF149" s="153">
        <f>$C149*INDEX(Curves!$F$8:$F$68,BF$4-$B149+1)</f>
        <v/>
      </c>
      <c r="BG149" s="153">
        <f>$C149*INDEX(Curves!$F$8:$F$68,BG$4-$B149+1)</f>
        <v/>
      </c>
      <c r="BH149" s="153">
        <f>$C149*INDEX(Curves!$F$8:$F$68,BH$4-$B149+1)</f>
        <v/>
      </c>
      <c r="BI149" s="153">
        <f>$C149*INDEX(Curves!$F$8:$F$68,BI$4-$B149+1)</f>
        <v/>
      </c>
      <c r="BJ149" s="153">
        <f>$C149*INDEX(Curves!$F$8:$F$68,BJ$4-$B149+1)</f>
        <v/>
      </c>
      <c r="BK149" s="153">
        <f>$C149*INDEX(Curves!$F$8:$F$68,BK$4-$B149+1)</f>
        <v/>
      </c>
      <c r="BL149" s="153">
        <f>$C149*INDEX(Curves!$F$8:$F$68,BL$4-$B149+1)</f>
        <v/>
      </c>
    </row>
    <row r="150">
      <c r="A150" s="147" t="inlineStr">
        <is>
          <t>Cohort month 15</t>
        </is>
      </c>
      <c r="B150" s="147" t="n">
        <v>15</v>
      </c>
      <c r="C150" s="41">
        <f>INDEX(Ops!$E$10:$BL$10,1,$B150)</f>
        <v/>
      </c>
      <c r="T150" s="153">
        <f>$C150*INDEX(Curves!$F$8:$F$68,T$4-$B150+1)</f>
        <v/>
      </c>
      <c r="U150" s="153">
        <f>$C150*INDEX(Curves!$F$8:$F$68,U$4-$B150+1)</f>
        <v/>
      </c>
      <c r="V150" s="153">
        <f>$C150*INDEX(Curves!$F$8:$F$68,V$4-$B150+1)</f>
        <v/>
      </c>
      <c r="W150" s="153">
        <f>$C150*INDEX(Curves!$F$8:$F$68,W$4-$B150+1)</f>
        <v/>
      </c>
      <c r="X150" s="153">
        <f>$C150*INDEX(Curves!$F$8:$F$68,X$4-$B150+1)</f>
        <v/>
      </c>
      <c r="Y150" s="153">
        <f>$C150*INDEX(Curves!$F$8:$F$68,Y$4-$B150+1)</f>
        <v/>
      </c>
      <c r="Z150" s="153">
        <f>$C150*INDEX(Curves!$F$8:$F$68,Z$4-$B150+1)</f>
        <v/>
      </c>
      <c r="AA150" s="153">
        <f>$C150*INDEX(Curves!$F$8:$F$68,AA$4-$B150+1)</f>
        <v/>
      </c>
      <c r="AB150" s="153">
        <f>$C150*INDEX(Curves!$F$8:$F$68,AB$4-$B150+1)</f>
        <v/>
      </c>
      <c r="AC150" s="153">
        <f>$C150*INDEX(Curves!$F$8:$F$68,AC$4-$B150+1)</f>
        <v/>
      </c>
      <c r="AD150" s="153">
        <f>$C150*INDEX(Curves!$F$8:$F$68,AD$4-$B150+1)</f>
        <v/>
      </c>
      <c r="AE150" s="153">
        <f>$C150*INDEX(Curves!$F$8:$F$68,AE$4-$B150+1)</f>
        <v/>
      </c>
      <c r="AF150" s="153">
        <f>$C150*INDEX(Curves!$F$8:$F$68,AF$4-$B150+1)</f>
        <v/>
      </c>
      <c r="AG150" s="153">
        <f>$C150*INDEX(Curves!$F$8:$F$68,AG$4-$B150+1)</f>
        <v/>
      </c>
      <c r="AH150" s="153">
        <f>$C150*INDEX(Curves!$F$8:$F$68,AH$4-$B150+1)</f>
        <v/>
      </c>
      <c r="AI150" s="153">
        <f>$C150*INDEX(Curves!$F$8:$F$68,AI$4-$B150+1)</f>
        <v/>
      </c>
      <c r="AJ150" s="153">
        <f>$C150*INDEX(Curves!$F$8:$F$68,AJ$4-$B150+1)</f>
        <v/>
      </c>
      <c r="AK150" s="153">
        <f>$C150*INDEX(Curves!$F$8:$F$68,AK$4-$B150+1)</f>
        <v/>
      </c>
      <c r="AL150" s="153">
        <f>$C150*INDEX(Curves!$F$8:$F$68,AL$4-$B150+1)</f>
        <v/>
      </c>
      <c r="AM150" s="153">
        <f>$C150*INDEX(Curves!$F$8:$F$68,AM$4-$B150+1)</f>
        <v/>
      </c>
      <c r="AN150" s="153">
        <f>$C150*INDEX(Curves!$F$8:$F$68,AN$4-$B150+1)</f>
        <v/>
      </c>
      <c r="AO150" s="153">
        <f>$C150*INDEX(Curves!$F$8:$F$68,AO$4-$B150+1)</f>
        <v/>
      </c>
      <c r="AP150" s="153">
        <f>$C150*INDEX(Curves!$F$8:$F$68,AP$4-$B150+1)</f>
        <v/>
      </c>
      <c r="AQ150" s="153">
        <f>$C150*INDEX(Curves!$F$8:$F$68,AQ$4-$B150+1)</f>
        <v/>
      </c>
      <c r="AR150" s="153">
        <f>$C150*INDEX(Curves!$F$8:$F$68,AR$4-$B150+1)</f>
        <v/>
      </c>
      <c r="AS150" s="153">
        <f>$C150*INDEX(Curves!$F$8:$F$68,AS$4-$B150+1)</f>
        <v/>
      </c>
      <c r="AT150" s="153">
        <f>$C150*INDEX(Curves!$F$8:$F$68,AT$4-$B150+1)</f>
        <v/>
      </c>
      <c r="AU150" s="153">
        <f>$C150*INDEX(Curves!$F$8:$F$68,AU$4-$B150+1)</f>
        <v/>
      </c>
      <c r="AV150" s="153">
        <f>$C150*INDEX(Curves!$F$8:$F$68,AV$4-$B150+1)</f>
        <v/>
      </c>
      <c r="AW150" s="153">
        <f>$C150*INDEX(Curves!$F$8:$F$68,AW$4-$B150+1)</f>
        <v/>
      </c>
      <c r="AX150" s="153">
        <f>$C150*INDEX(Curves!$F$8:$F$68,AX$4-$B150+1)</f>
        <v/>
      </c>
      <c r="AY150" s="153">
        <f>$C150*INDEX(Curves!$F$8:$F$68,AY$4-$B150+1)</f>
        <v/>
      </c>
      <c r="AZ150" s="153">
        <f>$C150*INDEX(Curves!$F$8:$F$68,AZ$4-$B150+1)</f>
        <v/>
      </c>
      <c r="BA150" s="153">
        <f>$C150*INDEX(Curves!$F$8:$F$68,BA$4-$B150+1)</f>
        <v/>
      </c>
      <c r="BB150" s="153">
        <f>$C150*INDEX(Curves!$F$8:$F$68,BB$4-$B150+1)</f>
        <v/>
      </c>
      <c r="BC150" s="153">
        <f>$C150*INDEX(Curves!$F$8:$F$68,BC$4-$B150+1)</f>
        <v/>
      </c>
      <c r="BD150" s="153">
        <f>$C150*INDEX(Curves!$F$8:$F$68,BD$4-$B150+1)</f>
        <v/>
      </c>
      <c r="BE150" s="153">
        <f>$C150*INDEX(Curves!$F$8:$F$68,BE$4-$B150+1)</f>
        <v/>
      </c>
      <c r="BF150" s="153">
        <f>$C150*INDEX(Curves!$F$8:$F$68,BF$4-$B150+1)</f>
        <v/>
      </c>
      <c r="BG150" s="153">
        <f>$C150*INDEX(Curves!$F$8:$F$68,BG$4-$B150+1)</f>
        <v/>
      </c>
      <c r="BH150" s="153">
        <f>$C150*INDEX(Curves!$F$8:$F$68,BH$4-$B150+1)</f>
        <v/>
      </c>
      <c r="BI150" s="153">
        <f>$C150*INDEX(Curves!$F$8:$F$68,BI$4-$B150+1)</f>
        <v/>
      </c>
      <c r="BJ150" s="153">
        <f>$C150*INDEX(Curves!$F$8:$F$68,BJ$4-$B150+1)</f>
        <v/>
      </c>
      <c r="BK150" s="153">
        <f>$C150*INDEX(Curves!$F$8:$F$68,BK$4-$B150+1)</f>
        <v/>
      </c>
      <c r="BL150" s="153">
        <f>$C150*INDEX(Curves!$F$8:$F$68,BL$4-$B150+1)</f>
        <v/>
      </c>
    </row>
    <row r="151">
      <c r="A151" s="147" t="inlineStr">
        <is>
          <t>Cohort month 16</t>
        </is>
      </c>
      <c r="B151" s="147" t="n">
        <v>16</v>
      </c>
      <c r="C151" s="41">
        <f>INDEX(Ops!$E$10:$BL$10,1,$B151)</f>
        <v/>
      </c>
      <c r="U151" s="153">
        <f>$C151*INDEX(Curves!$F$8:$F$68,U$4-$B151+1)</f>
        <v/>
      </c>
      <c r="V151" s="153">
        <f>$C151*INDEX(Curves!$F$8:$F$68,V$4-$B151+1)</f>
        <v/>
      </c>
      <c r="W151" s="153">
        <f>$C151*INDEX(Curves!$F$8:$F$68,W$4-$B151+1)</f>
        <v/>
      </c>
      <c r="X151" s="153">
        <f>$C151*INDEX(Curves!$F$8:$F$68,X$4-$B151+1)</f>
        <v/>
      </c>
      <c r="Y151" s="153">
        <f>$C151*INDEX(Curves!$F$8:$F$68,Y$4-$B151+1)</f>
        <v/>
      </c>
      <c r="Z151" s="153">
        <f>$C151*INDEX(Curves!$F$8:$F$68,Z$4-$B151+1)</f>
        <v/>
      </c>
      <c r="AA151" s="153">
        <f>$C151*INDEX(Curves!$F$8:$F$68,AA$4-$B151+1)</f>
        <v/>
      </c>
      <c r="AB151" s="153">
        <f>$C151*INDEX(Curves!$F$8:$F$68,AB$4-$B151+1)</f>
        <v/>
      </c>
      <c r="AC151" s="153">
        <f>$C151*INDEX(Curves!$F$8:$F$68,AC$4-$B151+1)</f>
        <v/>
      </c>
      <c r="AD151" s="153">
        <f>$C151*INDEX(Curves!$F$8:$F$68,AD$4-$B151+1)</f>
        <v/>
      </c>
      <c r="AE151" s="153">
        <f>$C151*INDEX(Curves!$F$8:$F$68,AE$4-$B151+1)</f>
        <v/>
      </c>
      <c r="AF151" s="153">
        <f>$C151*INDEX(Curves!$F$8:$F$68,AF$4-$B151+1)</f>
        <v/>
      </c>
      <c r="AG151" s="153">
        <f>$C151*INDEX(Curves!$F$8:$F$68,AG$4-$B151+1)</f>
        <v/>
      </c>
      <c r="AH151" s="153">
        <f>$C151*INDEX(Curves!$F$8:$F$68,AH$4-$B151+1)</f>
        <v/>
      </c>
      <c r="AI151" s="153">
        <f>$C151*INDEX(Curves!$F$8:$F$68,AI$4-$B151+1)</f>
        <v/>
      </c>
      <c r="AJ151" s="153">
        <f>$C151*INDEX(Curves!$F$8:$F$68,AJ$4-$B151+1)</f>
        <v/>
      </c>
      <c r="AK151" s="153">
        <f>$C151*INDEX(Curves!$F$8:$F$68,AK$4-$B151+1)</f>
        <v/>
      </c>
      <c r="AL151" s="153">
        <f>$C151*INDEX(Curves!$F$8:$F$68,AL$4-$B151+1)</f>
        <v/>
      </c>
      <c r="AM151" s="153">
        <f>$C151*INDEX(Curves!$F$8:$F$68,AM$4-$B151+1)</f>
        <v/>
      </c>
      <c r="AN151" s="153">
        <f>$C151*INDEX(Curves!$F$8:$F$68,AN$4-$B151+1)</f>
        <v/>
      </c>
      <c r="AO151" s="153">
        <f>$C151*INDEX(Curves!$F$8:$F$68,AO$4-$B151+1)</f>
        <v/>
      </c>
      <c r="AP151" s="153">
        <f>$C151*INDEX(Curves!$F$8:$F$68,AP$4-$B151+1)</f>
        <v/>
      </c>
      <c r="AQ151" s="153">
        <f>$C151*INDEX(Curves!$F$8:$F$68,AQ$4-$B151+1)</f>
        <v/>
      </c>
      <c r="AR151" s="153">
        <f>$C151*INDEX(Curves!$F$8:$F$68,AR$4-$B151+1)</f>
        <v/>
      </c>
      <c r="AS151" s="153">
        <f>$C151*INDEX(Curves!$F$8:$F$68,AS$4-$B151+1)</f>
        <v/>
      </c>
      <c r="AT151" s="153">
        <f>$C151*INDEX(Curves!$F$8:$F$68,AT$4-$B151+1)</f>
        <v/>
      </c>
      <c r="AU151" s="153">
        <f>$C151*INDEX(Curves!$F$8:$F$68,AU$4-$B151+1)</f>
        <v/>
      </c>
      <c r="AV151" s="153">
        <f>$C151*INDEX(Curves!$F$8:$F$68,AV$4-$B151+1)</f>
        <v/>
      </c>
      <c r="AW151" s="153">
        <f>$C151*INDEX(Curves!$F$8:$F$68,AW$4-$B151+1)</f>
        <v/>
      </c>
      <c r="AX151" s="153">
        <f>$C151*INDEX(Curves!$F$8:$F$68,AX$4-$B151+1)</f>
        <v/>
      </c>
      <c r="AY151" s="153">
        <f>$C151*INDEX(Curves!$F$8:$F$68,AY$4-$B151+1)</f>
        <v/>
      </c>
      <c r="AZ151" s="153">
        <f>$C151*INDEX(Curves!$F$8:$F$68,AZ$4-$B151+1)</f>
        <v/>
      </c>
      <c r="BA151" s="153">
        <f>$C151*INDEX(Curves!$F$8:$F$68,BA$4-$B151+1)</f>
        <v/>
      </c>
      <c r="BB151" s="153">
        <f>$C151*INDEX(Curves!$F$8:$F$68,BB$4-$B151+1)</f>
        <v/>
      </c>
      <c r="BC151" s="153">
        <f>$C151*INDEX(Curves!$F$8:$F$68,BC$4-$B151+1)</f>
        <v/>
      </c>
      <c r="BD151" s="153">
        <f>$C151*INDEX(Curves!$F$8:$F$68,BD$4-$B151+1)</f>
        <v/>
      </c>
      <c r="BE151" s="153">
        <f>$C151*INDEX(Curves!$F$8:$F$68,BE$4-$B151+1)</f>
        <v/>
      </c>
      <c r="BF151" s="153">
        <f>$C151*INDEX(Curves!$F$8:$F$68,BF$4-$B151+1)</f>
        <v/>
      </c>
      <c r="BG151" s="153">
        <f>$C151*INDEX(Curves!$F$8:$F$68,BG$4-$B151+1)</f>
        <v/>
      </c>
      <c r="BH151" s="153">
        <f>$C151*INDEX(Curves!$F$8:$F$68,BH$4-$B151+1)</f>
        <v/>
      </c>
      <c r="BI151" s="153">
        <f>$C151*INDEX(Curves!$F$8:$F$68,BI$4-$B151+1)</f>
        <v/>
      </c>
      <c r="BJ151" s="153">
        <f>$C151*INDEX(Curves!$F$8:$F$68,BJ$4-$B151+1)</f>
        <v/>
      </c>
      <c r="BK151" s="153">
        <f>$C151*INDEX(Curves!$F$8:$F$68,BK$4-$B151+1)</f>
        <v/>
      </c>
      <c r="BL151" s="153">
        <f>$C151*INDEX(Curves!$F$8:$F$68,BL$4-$B151+1)</f>
        <v/>
      </c>
    </row>
    <row r="152">
      <c r="A152" s="147" t="inlineStr">
        <is>
          <t>Cohort month 17</t>
        </is>
      </c>
      <c r="B152" s="147" t="n">
        <v>17</v>
      </c>
      <c r="C152" s="41">
        <f>INDEX(Ops!$E$10:$BL$10,1,$B152)</f>
        <v/>
      </c>
      <c r="V152" s="153">
        <f>$C152*INDEX(Curves!$F$8:$F$68,V$4-$B152+1)</f>
        <v/>
      </c>
      <c r="W152" s="153">
        <f>$C152*INDEX(Curves!$F$8:$F$68,W$4-$B152+1)</f>
        <v/>
      </c>
      <c r="X152" s="153">
        <f>$C152*INDEX(Curves!$F$8:$F$68,X$4-$B152+1)</f>
        <v/>
      </c>
      <c r="Y152" s="153">
        <f>$C152*INDEX(Curves!$F$8:$F$68,Y$4-$B152+1)</f>
        <v/>
      </c>
      <c r="Z152" s="153">
        <f>$C152*INDEX(Curves!$F$8:$F$68,Z$4-$B152+1)</f>
        <v/>
      </c>
      <c r="AA152" s="153">
        <f>$C152*INDEX(Curves!$F$8:$F$68,AA$4-$B152+1)</f>
        <v/>
      </c>
      <c r="AB152" s="153">
        <f>$C152*INDEX(Curves!$F$8:$F$68,AB$4-$B152+1)</f>
        <v/>
      </c>
      <c r="AC152" s="153">
        <f>$C152*INDEX(Curves!$F$8:$F$68,AC$4-$B152+1)</f>
        <v/>
      </c>
      <c r="AD152" s="153">
        <f>$C152*INDEX(Curves!$F$8:$F$68,AD$4-$B152+1)</f>
        <v/>
      </c>
      <c r="AE152" s="153">
        <f>$C152*INDEX(Curves!$F$8:$F$68,AE$4-$B152+1)</f>
        <v/>
      </c>
      <c r="AF152" s="153">
        <f>$C152*INDEX(Curves!$F$8:$F$68,AF$4-$B152+1)</f>
        <v/>
      </c>
      <c r="AG152" s="153">
        <f>$C152*INDEX(Curves!$F$8:$F$68,AG$4-$B152+1)</f>
        <v/>
      </c>
      <c r="AH152" s="153">
        <f>$C152*INDEX(Curves!$F$8:$F$68,AH$4-$B152+1)</f>
        <v/>
      </c>
      <c r="AI152" s="153">
        <f>$C152*INDEX(Curves!$F$8:$F$68,AI$4-$B152+1)</f>
        <v/>
      </c>
      <c r="AJ152" s="153">
        <f>$C152*INDEX(Curves!$F$8:$F$68,AJ$4-$B152+1)</f>
        <v/>
      </c>
      <c r="AK152" s="153">
        <f>$C152*INDEX(Curves!$F$8:$F$68,AK$4-$B152+1)</f>
        <v/>
      </c>
      <c r="AL152" s="153">
        <f>$C152*INDEX(Curves!$F$8:$F$68,AL$4-$B152+1)</f>
        <v/>
      </c>
      <c r="AM152" s="153">
        <f>$C152*INDEX(Curves!$F$8:$F$68,AM$4-$B152+1)</f>
        <v/>
      </c>
      <c r="AN152" s="153">
        <f>$C152*INDEX(Curves!$F$8:$F$68,AN$4-$B152+1)</f>
        <v/>
      </c>
      <c r="AO152" s="153">
        <f>$C152*INDEX(Curves!$F$8:$F$68,AO$4-$B152+1)</f>
        <v/>
      </c>
      <c r="AP152" s="153">
        <f>$C152*INDEX(Curves!$F$8:$F$68,AP$4-$B152+1)</f>
        <v/>
      </c>
      <c r="AQ152" s="153">
        <f>$C152*INDEX(Curves!$F$8:$F$68,AQ$4-$B152+1)</f>
        <v/>
      </c>
      <c r="AR152" s="153">
        <f>$C152*INDEX(Curves!$F$8:$F$68,AR$4-$B152+1)</f>
        <v/>
      </c>
      <c r="AS152" s="153">
        <f>$C152*INDEX(Curves!$F$8:$F$68,AS$4-$B152+1)</f>
        <v/>
      </c>
      <c r="AT152" s="153">
        <f>$C152*INDEX(Curves!$F$8:$F$68,AT$4-$B152+1)</f>
        <v/>
      </c>
      <c r="AU152" s="153">
        <f>$C152*INDEX(Curves!$F$8:$F$68,AU$4-$B152+1)</f>
        <v/>
      </c>
      <c r="AV152" s="153">
        <f>$C152*INDEX(Curves!$F$8:$F$68,AV$4-$B152+1)</f>
        <v/>
      </c>
      <c r="AW152" s="153">
        <f>$C152*INDEX(Curves!$F$8:$F$68,AW$4-$B152+1)</f>
        <v/>
      </c>
      <c r="AX152" s="153">
        <f>$C152*INDEX(Curves!$F$8:$F$68,AX$4-$B152+1)</f>
        <v/>
      </c>
      <c r="AY152" s="153">
        <f>$C152*INDEX(Curves!$F$8:$F$68,AY$4-$B152+1)</f>
        <v/>
      </c>
      <c r="AZ152" s="153">
        <f>$C152*INDEX(Curves!$F$8:$F$68,AZ$4-$B152+1)</f>
        <v/>
      </c>
      <c r="BA152" s="153">
        <f>$C152*INDEX(Curves!$F$8:$F$68,BA$4-$B152+1)</f>
        <v/>
      </c>
      <c r="BB152" s="153">
        <f>$C152*INDEX(Curves!$F$8:$F$68,BB$4-$B152+1)</f>
        <v/>
      </c>
      <c r="BC152" s="153">
        <f>$C152*INDEX(Curves!$F$8:$F$68,BC$4-$B152+1)</f>
        <v/>
      </c>
      <c r="BD152" s="153">
        <f>$C152*INDEX(Curves!$F$8:$F$68,BD$4-$B152+1)</f>
        <v/>
      </c>
      <c r="BE152" s="153">
        <f>$C152*INDEX(Curves!$F$8:$F$68,BE$4-$B152+1)</f>
        <v/>
      </c>
      <c r="BF152" s="153">
        <f>$C152*INDEX(Curves!$F$8:$F$68,BF$4-$B152+1)</f>
        <v/>
      </c>
      <c r="BG152" s="153">
        <f>$C152*INDEX(Curves!$F$8:$F$68,BG$4-$B152+1)</f>
        <v/>
      </c>
      <c r="BH152" s="153">
        <f>$C152*INDEX(Curves!$F$8:$F$68,BH$4-$B152+1)</f>
        <v/>
      </c>
      <c r="BI152" s="153">
        <f>$C152*INDEX(Curves!$F$8:$F$68,BI$4-$B152+1)</f>
        <v/>
      </c>
      <c r="BJ152" s="153">
        <f>$C152*INDEX(Curves!$F$8:$F$68,BJ$4-$B152+1)</f>
        <v/>
      </c>
      <c r="BK152" s="153">
        <f>$C152*INDEX(Curves!$F$8:$F$68,BK$4-$B152+1)</f>
        <v/>
      </c>
      <c r="BL152" s="153">
        <f>$C152*INDEX(Curves!$F$8:$F$68,BL$4-$B152+1)</f>
        <v/>
      </c>
    </row>
    <row r="153">
      <c r="A153" s="147" t="inlineStr">
        <is>
          <t>Cohort month 18</t>
        </is>
      </c>
      <c r="B153" s="147" t="n">
        <v>18</v>
      </c>
      <c r="C153" s="41">
        <f>INDEX(Ops!$E$10:$BL$10,1,$B153)</f>
        <v/>
      </c>
      <c r="W153" s="153">
        <f>$C153*INDEX(Curves!$F$8:$F$68,W$4-$B153+1)</f>
        <v/>
      </c>
      <c r="X153" s="153">
        <f>$C153*INDEX(Curves!$F$8:$F$68,X$4-$B153+1)</f>
        <v/>
      </c>
      <c r="Y153" s="153">
        <f>$C153*INDEX(Curves!$F$8:$F$68,Y$4-$B153+1)</f>
        <v/>
      </c>
      <c r="Z153" s="153">
        <f>$C153*INDEX(Curves!$F$8:$F$68,Z$4-$B153+1)</f>
        <v/>
      </c>
      <c r="AA153" s="153">
        <f>$C153*INDEX(Curves!$F$8:$F$68,AA$4-$B153+1)</f>
        <v/>
      </c>
      <c r="AB153" s="153">
        <f>$C153*INDEX(Curves!$F$8:$F$68,AB$4-$B153+1)</f>
        <v/>
      </c>
      <c r="AC153" s="153">
        <f>$C153*INDEX(Curves!$F$8:$F$68,AC$4-$B153+1)</f>
        <v/>
      </c>
      <c r="AD153" s="153">
        <f>$C153*INDEX(Curves!$F$8:$F$68,AD$4-$B153+1)</f>
        <v/>
      </c>
      <c r="AE153" s="153">
        <f>$C153*INDEX(Curves!$F$8:$F$68,AE$4-$B153+1)</f>
        <v/>
      </c>
      <c r="AF153" s="153">
        <f>$C153*INDEX(Curves!$F$8:$F$68,AF$4-$B153+1)</f>
        <v/>
      </c>
      <c r="AG153" s="153">
        <f>$C153*INDEX(Curves!$F$8:$F$68,AG$4-$B153+1)</f>
        <v/>
      </c>
      <c r="AH153" s="153">
        <f>$C153*INDEX(Curves!$F$8:$F$68,AH$4-$B153+1)</f>
        <v/>
      </c>
      <c r="AI153" s="153">
        <f>$C153*INDEX(Curves!$F$8:$F$68,AI$4-$B153+1)</f>
        <v/>
      </c>
      <c r="AJ153" s="153">
        <f>$C153*INDEX(Curves!$F$8:$F$68,AJ$4-$B153+1)</f>
        <v/>
      </c>
      <c r="AK153" s="153">
        <f>$C153*INDEX(Curves!$F$8:$F$68,AK$4-$B153+1)</f>
        <v/>
      </c>
      <c r="AL153" s="153">
        <f>$C153*INDEX(Curves!$F$8:$F$68,AL$4-$B153+1)</f>
        <v/>
      </c>
      <c r="AM153" s="153">
        <f>$C153*INDEX(Curves!$F$8:$F$68,AM$4-$B153+1)</f>
        <v/>
      </c>
      <c r="AN153" s="153">
        <f>$C153*INDEX(Curves!$F$8:$F$68,AN$4-$B153+1)</f>
        <v/>
      </c>
      <c r="AO153" s="153">
        <f>$C153*INDEX(Curves!$F$8:$F$68,AO$4-$B153+1)</f>
        <v/>
      </c>
      <c r="AP153" s="153">
        <f>$C153*INDEX(Curves!$F$8:$F$68,AP$4-$B153+1)</f>
        <v/>
      </c>
      <c r="AQ153" s="153">
        <f>$C153*INDEX(Curves!$F$8:$F$68,AQ$4-$B153+1)</f>
        <v/>
      </c>
      <c r="AR153" s="153">
        <f>$C153*INDEX(Curves!$F$8:$F$68,AR$4-$B153+1)</f>
        <v/>
      </c>
      <c r="AS153" s="153">
        <f>$C153*INDEX(Curves!$F$8:$F$68,AS$4-$B153+1)</f>
        <v/>
      </c>
      <c r="AT153" s="153">
        <f>$C153*INDEX(Curves!$F$8:$F$68,AT$4-$B153+1)</f>
        <v/>
      </c>
      <c r="AU153" s="153">
        <f>$C153*INDEX(Curves!$F$8:$F$68,AU$4-$B153+1)</f>
        <v/>
      </c>
      <c r="AV153" s="153">
        <f>$C153*INDEX(Curves!$F$8:$F$68,AV$4-$B153+1)</f>
        <v/>
      </c>
      <c r="AW153" s="153">
        <f>$C153*INDEX(Curves!$F$8:$F$68,AW$4-$B153+1)</f>
        <v/>
      </c>
      <c r="AX153" s="153">
        <f>$C153*INDEX(Curves!$F$8:$F$68,AX$4-$B153+1)</f>
        <v/>
      </c>
      <c r="AY153" s="153">
        <f>$C153*INDEX(Curves!$F$8:$F$68,AY$4-$B153+1)</f>
        <v/>
      </c>
      <c r="AZ153" s="153">
        <f>$C153*INDEX(Curves!$F$8:$F$68,AZ$4-$B153+1)</f>
        <v/>
      </c>
      <c r="BA153" s="153">
        <f>$C153*INDEX(Curves!$F$8:$F$68,BA$4-$B153+1)</f>
        <v/>
      </c>
      <c r="BB153" s="153">
        <f>$C153*INDEX(Curves!$F$8:$F$68,BB$4-$B153+1)</f>
        <v/>
      </c>
      <c r="BC153" s="153">
        <f>$C153*INDEX(Curves!$F$8:$F$68,BC$4-$B153+1)</f>
        <v/>
      </c>
      <c r="BD153" s="153">
        <f>$C153*INDEX(Curves!$F$8:$F$68,BD$4-$B153+1)</f>
        <v/>
      </c>
      <c r="BE153" s="153">
        <f>$C153*INDEX(Curves!$F$8:$F$68,BE$4-$B153+1)</f>
        <v/>
      </c>
      <c r="BF153" s="153">
        <f>$C153*INDEX(Curves!$F$8:$F$68,BF$4-$B153+1)</f>
        <v/>
      </c>
      <c r="BG153" s="153">
        <f>$C153*INDEX(Curves!$F$8:$F$68,BG$4-$B153+1)</f>
        <v/>
      </c>
      <c r="BH153" s="153">
        <f>$C153*INDEX(Curves!$F$8:$F$68,BH$4-$B153+1)</f>
        <v/>
      </c>
      <c r="BI153" s="153">
        <f>$C153*INDEX(Curves!$F$8:$F$68,BI$4-$B153+1)</f>
        <v/>
      </c>
      <c r="BJ153" s="153">
        <f>$C153*INDEX(Curves!$F$8:$F$68,BJ$4-$B153+1)</f>
        <v/>
      </c>
      <c r="BK153" s="153">
        <f>$C153*INDEX(Curves!$F$8:$F$68,BK$4-$B153+1)</f>
        <v/>
      </c>
      <c r="BL153" s="153">
        <f>$C153*INDEX(Curves!$F$8:$F$68,BL$4-$B153+1)</f>
        <v/>
      </c>
    </row>
    <row r="154">
      <c r="A154" s="147" t="inlineStr">
        <is>
          <t>Cohort month 19</t>
        </is>
      </c>
      <c r="B154" s="147" t="n">
        <v>19</v>
      </c>
      <c r="C154" s="41">
        <f>INDEX(Ops!$E$10:$BL$10,1,$B154)</f>
        <v/>
      </c>
      <c r="X154" s="153">
        <f>$C154*INDEX(Curves!$F$8:$F$68,X$4-$B154+1)</f>
        <v/>
      </c>
      <c r="Y154" s="153">
        <f>$C154*INDEX(Curves!$F$8:$F$68,Y$4-$B154+1)</f>
        <v/>
      </c>
      <c r="Z154" s="153">
        <f>$C154*INDEX(Curves!$F$8:$F$68,Z$4-$B154+1)</f>
        <v/>
      </c>
      <c r="AA154" s="153">
        <f>$C154*INDEX(Curves!$F$8:$F$68,AA$4-$B154+1)</f>
        <v/>
      </c>
      <c r="AB154" s="153">
        <f>$C154*INDEX(Curves!$F$8:$F$68,AB$4-$B154+1)</f>
        <v/>
      </c>
      <c r="AC154" s="153">
        <f>$C154*INDEX(Curves!$F$8:$F$68,AC$4-$B154+1)</f>
        <v/>
      </c>
      <c r="AD154" s="153">
        <f>$C154*INDEX(Curves!$F$8:$F$68,AD$4-$B154+1)</f>
        <v/>
      </c>
      <c r="AE154" s="153">
        <f>$C154*INDEX(Curves!$F$8:$F$68,AE$4-$B154+1)</f>
        <v/>
      </c>
      <c r="AF154" s="153">
        <f>$C154*INDEX(Curves!$F$8:$F$68,AF$4-$B154+1)</f>
        <v/>
      </c>
      <c r="AG154" s="153">
        <f>$C154*INDEX(Curves!$F$8:$F$68,AG$4-$B154+1)</f>
        <v/>
      </c>
      <c r="AH154" s="153">
        <f>$C154*INDEX(Curves!$F$8:$F$68,AH$4-$B154+1)</f>
        <v/>
      </c>
      <c r="AI154" s="153">
        <f>$C154*INDEX(Curves!$F$8:$F$68,AI$4-$B154+1)</f>
        <v/>
      </c>
      <c r="AJ154" s="153">
        <f>$C154*INDEX(Curves!$F$8:$F$68,AJ$4-$B154+1)</f>
        <v/>
      </c>
      <c r="AK154" s="153">
        <f>$C154*INDEX(Curves!$F$8:$F$68,AK$4-$B154+1)</f>
        <v/>
      </c>
      <c r="AL154" s="153">
        <f>$C154*INDEX(Curves!$F$8:$F$68,AL$4-$B154+1)</f>
        <v/>
      </c>
      <c r="AM154" s="153">
        <f>$C154*INDEX(Curves!$F$8:$F$68,AM$4-$B154+1)</f>
        <v/>
      </c>
      <c r="AN154" s="153">
        <f>$C154*INDEX(Curves!$F$8:$F$68,AN$4-$B154+1)</f>
        <v/>
      </c>
      <c r="AO154" s="153">
        <f>$C154*INDEX(Curves!$F$8:$F$68,AO$4-$B154+1)</f>
        <v/>
      </c>
      <c r="AP154" s="153">
        <f>$C154*INDEX(Curves!$F$8:$F$68,AP$4-$B154+1)</f>
        <v/>
      </c>
      <c r="AQ154" s="153">
        <f>$C154*INDEX(Curves!$F$8:$F$68,AQ$4-$B154+1)</f>
        <v/>
      </c>
      <c r="AR154" s="153">
        <f>$C154*INDEX(Curves!$F$8:$F$68,AR$4-$B154+1)</f>
        <v/>
      </c>
      <c r="AS154" s="153">
        <f>$C154*INDEX(Curves!$F$8:$F$68,AS$4-$B154+1)</f>
        <v/>
      </c>
      <c r="AT154" s="153">
        <f>$C154*INDEX(Curves!$F$8:$F$68,AT$4-$B154+1)</f>
        <v/>
      </c>
      <c r="AU154" s="153">
        <f>$C154*INDEX(Curves!$F$8:$F$68,AU$4-$B154+1)</f>
        <v/>
      </c>
      <c r="AV154" s="153">
        <f>$C154*INDEX(Curves!$F$8:$F$68,AV$4-$B154+1)</f>
        <v/>
      </c>
      <c r="AW154" s="153">
        <f>$C154*INDEX(Curves!$F$8:$F$68,AW$4-$B154+1)</f>
        <v/>
      </c>
      <c r="AX154" s="153">
        <f>$C154*INDEX(Curves!$F$8:$F$68,AX$4-$B154+1)</f>
        <v/>
      </c>
      <c r="AY154" s="153">
        <f>$C154*INDEX(Curves!$F$8:$F$68,AY$4-$B154+1)</f>
        <v/>
      </c>
      <c r="AZ154" s="153">
        <f>$C154*INDEX(Curves!$F$8:$F$68,AZ$4-$B154+1)</f>
        <v/>
      </c>
      <c r="BA154" s="153">
        <f>$C154*INDEX(Curves!$F$8:$F$68,BA$4-$B154+1)</f>
        <v/>
      </c>
      <c r="BB154" s="153">
        <f>$C154*INDEX(Curves!$F$8:$F$68,BB$4-$B154+1)</f>
        <v/>
      </c>
      <c r="BC154" s="153">
        <f>$C154*INDEX(Curves!$F$8:$F$68,BC$4-$B154+1)</f>
        <v/>
      </c>
      <c r="BD154" s="153">
        <f>$C154*INDEX(Curves!$F$8:$F$68,BD$4-$B154+1)</f>
        <v/>
      </c>
      <c r="BE154" s="153">
        <f>$C154*INDEX(Curves!$F$8:$F$68,BE$4-$B154+1)</f>
        <v/>
      </c>
      <c r="BF154" s="153">
        <f>$C154*INDEX(Curves!$F$8:$F$68,BF$4-$B154+1)</f>
        <v/>
      </c>
      <c r="BG154" s="153">
        <f>$C154*INDEX(Curves!$F$8:$F$68,BG$4-$B154+1)</f>
        <v/>
      </c>
      <c r="BH154" s="153">
        <f>$C154*INDEX(Curves!$F$8:$F$68,BH$4-$B154+1)</f>
        <v/>
      </c>
      <c r="BI154" s="153">
        <f>$C154*INDEX(Curves!$F$8:$F$68,BI$4-$B154+1)</f>
        <v/>
      </c>
      <c r="BJ154" s="153">
        <f>$C154*INDEX(Curves!$F$8:$F$68,BJ$4-$B154+1)</f>
        <v/>
      </c>
      <c r="BK154" s="153">
        <f>$C154*INDEX(Curves!$F$8:$F$68,BK$4-$B154+1)</f>
        <v/>
      </c>
      <c r="BL154" s="153">
        <f>$C154*INDEX(Curves!$F$8:$F$68,BL$4-$B154+1)</f>
        <v/>
      </c>
    </row>
    <row r="155">
      <c r="A155" s="147" t="inlineStr">
        <is>
          <t>Cohort month 20</t>
        </is>
      </c>
      <c r="B155" s="147" t="n">
        <v>20</v>
      </c>
      <c r="C155" s="41">
        <f>INDEX(Ops!$E$10:$BL$10,1,$B155)</f>
        <v/>
      </c>
      <c r="Y155" s="153">
        <f>$C155*INDEX(Curves!$F$8:$F$68,Y$4-$B155+1)</f>
        <v/>
      </c>
      <c r="Z155" s="153">
        <f>$C155*INDEX(Curves!$F$8:$F$68,Z$4-$B155+1)</f>
        <v/>
      </c>
      <c r="AA155" s="153">
        <f>$C155*INDEX(Curves!$F$8:$F$68,AA$4-$B155+1)</f>
        <v/>
      </c>
      <c r="AB155" s="153">
        <f>$C155*INDEX(Curves!$F$8:$F$68,AB$4-$B155+1)</f>
        <v/>
      </c>
      <c r="AC155" s="153">
        <f>$C155*INDEX(Curves!$F$8:$F$68,AC$4-$B155+1)</f>
        <v/>
      </c>
      <c r="AD155" s="153">
        <f>$C155*INDEX(Curves!$F$8:$F$68,AD$4-$B155+1)</f>
        <v/>
      </c>
      <c r="AE155" s="153">
        <f>$C155*INDEX(Curves!$F$8:$F$68,AE$4-$B155+1)</f>
        <v/>
      </c>
      <c r="AF155" s="153">
        <f>$C155*INDEX(Curves!$F$8:$F$68,AF$4-$B155+1)</f>
        <v/>
      </c>
      <c r="AG155" s="153">
        <f>$C155*INDEX(Curves!$F$8:$F$68,AG$4-$B155+1)</f>
        <v/>
      </c>
      <c r="AH155" s="153">
        <f>$C155*INDEX(Curves!$F$8:$F$68,AH$4-$B155+1)</f>
        <v/>
      </c>
      <c r="AI155" s="153">
        <f>$C155*INDEX(Curves!$F$8:$F$68,AI$4-$B155+1)</f>
        <v/>
      </c>
      <c r="AJ155" s="153">
        <f>$C155*INDEX(Curves!$F$8:$F$68,AJ$4-$B155+1)</f>
        <v/>
      </c>
      <c r="AK155" s="153">
        <f>$C155*INDEX(Curves!$F$8:$F$68,AK$4-$B155+1)</f>
        <v/>
      </c>
      <c r="AL155" s="153">
        <f>$C155*INDEX(Curves!$F$8:$F$68,AL$4-$B155+1)</f>
        <v/>
      </c>
      <c r="AM155" s="153">
        <f>$C155*INDEX(Curves!$F$8:$F$68,AM$4-$B155+1)</f>
        <v/>
      </c>
      <c r="AN155" s="153">
        <f>$C155*INDEX(Curves!$F$8:$F$68,AN$4-$B155+1)</f>
        <v/>
      </c>
      <c r="AO155" s="153">
        <f>$C155*INDEX(Curves!$F$8:$F$68,AO$4-$B155+1)</f>
        <v/>
      </c>
      <c r="AP155" s="153">
        <f>$C155*INDEX(Curves!$F$8:$F$68,AP$4-$B155+1)</f>
        <v/>
      </c>
      <c r="AQ155" s="153">
        <f>$C155*INDEX(Curves!$F$8:$F$68,AQ$4-$B155+1)</f>
        <v/>
      </c>
      <c r="AR155" s="153">
        <f>$C155*INDEX(Curves!$F$8:$F$68,AR$4-$B155+1)</f>
        <v/>
      </c>
      <c r="AS155" s="153">
        <f>$C155*INDEX(Curves!$F$8:$F$68,AS$4-$B155+1)</f>
        <v/>
      </c>
      <c r="AT155" s="153">
        <f>$C155*INDEX(Curves!$F$8:$F$68,AT$4-$B155+1)</f>
        <v/>
      </c>
      <c r="AU155" s="153">
        <f>$C155*INDEX(Curves!$F$8:$F$68,AU$4-$B155+1)</f>
        <v/>
      </c>
      <c r="AV155" s="153">
        <f>$C155*INDEX(Curves!$F$8:$F$68,AV$4-$B155+1)</f>
        <v/>
      </c>
      <c r="AW155" s="153">
        <f>$C155*INDEX(Curves!$F$8:$F$68,AW$4-$B155+1)</f>
        <v/>
      </c>
      <c r="AX155" s="153">
        <f>$C155*INDEX(Curves!$F$8:$F$68,AX$4-$B155+1)</f>
        <v/>
      </c>
      <c r="AY155" s="153">
        <f>$C155*INDEX(Curves!$F$8:$F$68,AY$4-$B155+1)</f>
        <v/>
      </c>
      <c r="AZ155" s="153">
        <f>$C155*INDEX(Curves!$F$8:$F$68,AZ$4-$B155+1)</f>
        <v/>
      </c>
      <c r="BA155" s="153">
        <f>$C155*INDEX(Curves!$F$8:$F$68,BA$4-$B155+1)</f>
        <v/>
      </c>
      <c r="BB155" s="153">
        <f>$C155*INDEX(Curves!$F$8:$F$68,BB$4-$B155+1)</f>
        <v/>
      </c>
      <c r="BC155" s="153">
        <f>$C155*INDEX(Curves!$F$8:$F$68,BC$4-$B155+1)</f>
        <v/>
      </c>
      <c r="BD155" s="153">
        <f>$C155*INDEX(Curves!$F$8:$F$68,BD$4-$B155+1)</f>
        <v/>
      </c>
      <c r="BE155" s="153">
        <f>$C155*INDEX(Curves!$F$8:$F$68,BE$4-$B155+1)</f>
        <v/>
      </c>
      <c r="BF155" s="153">
        <f>$C155*INDEX(Curves!$F$8:$F$68,BF$4-$B155+1)</f>
        <v/>
      </c>
      <c r="BG155" s="153">
        <f>$C155*INDEX(Curves!$F$8:$F$68,BG$4-$B155+1)</f>
        <v/>
      </c>
      <c r="BH155" s="153">
        <f>$C155*INDEX(Curves!$F$8:$F$68,BH$4-$B155+1)</f>
        <v/>
      </c>
      <c r="BI155" s="153">
        <f>$C155*INDEX(Curves!$F$8:$F$68,BI$4-$B155+1)</f>
        <v/>
      </c>
      <c r="BJ155" s="153">
        <f>$C155*INDEX(Curves!$F$8:$F$68,BJ$4-$B155+1)</f>
        <v/>
      </c>
      <c r="BK155" s="153">
        <f>$C155*INDEX(Curves!$F$8:$F$68,BK$4-$B155+1)</f>
        <v/>
      </c>
      <c r="BL155" s="153">
        <f>$C155*INDEX(Curves!$F$8:$F$68,BL$4-$B155+1)</f>
        <v/>
      </c>
    </row>
    <row r="156">
      <c r="A156" s="147" t="inlineStr">
        <is>
          <t>Cohort month 21</t>
        </is>
      </c>
      <c r="B156" s="147" t="n">
        <v>21</v>
      </c>
      <c r="C156" s="41">
        <f>INDEX(Ops!$E$10:$BL$10,1,$B156)</f>
        <v/>
      </c>
      <c r="Z156" s="153">
        <f>$C156*INDEX(Curves!$F$8:$F$68,Z$4-$B156+1)</f>
        <v/>
      </c>
      <c r="AA156" s="153">
        <f>$C156*INDEX(Curves!$F$8:$F$68,AA$4-$B156+1)</f>
        <v/>
      </c>
      <c r="AB156" s="153">
        <f>$C156*INDEX(Curves!$F$8:$F$68,AB$4-$B156+1)</f>
        <v/>
      </c>
      <c r="AC156" s="153">
        <f>$C156*INDEX(Curves!$F$8:$F$68,AC$4-$B156+1)</f>
        <v/>
      </c>
      <c r="AD156" s="153">
        <f>$C156*INDEX(Curves!$F$8:$F$68,AD$4-$B156+1)</f>
        <v/>
      </c>
      <c r="AE156" s="153">
        <f>$C156*INDEX(Curves!$F$8:$F$68,AE$4-$B156+1)</f>
        <v/>
      </c>
      <c r="AF156" s="153">
        <f>$C156*INDEX(Curves!$F$8:$F$68,AF$4-$B156+1)</f>
        <v/>
      </c>
      <c r="AG156" s="153">
        <f>$C156*INDEX(Curves!$F$8:$F$68,AG$4-$B156+1)</f>
        <v/>
      </c>
      <c r="AH156" s="153">
        <f>$C156*INDEX(Curves!$F$8:$F$68,AH$4-$B156+1)</f>
        <v/>
      </c>
      <c r="AI156" s="153">
        <f>$C156*INDEX(Curves!$F$8:$F$68,AI$4-$B156+1)</f>
        <v/>
      </c>
      <c r="AJ156" s="153">
        <f>$C156*INDEX(Curves!$F$8:$F$68,AJ$4-$B156+1)</f>
        <v/>
      </c>
      <c r="AK156" s="153">
        <f>$C156*INDEX(Curves!$F$8:$F$68,AK$4-$B156+1)</f>
        <v/>
      </c>
      <c r="AL156" s="153">
        <f>$C156*INDEX(Curves!$F$8:$F$68,AL$4-$B156+1)</f>
        <v/>
      </c>
      <c r="AM156" s="153">
        <f>$C156*INDEX(Curves!$F$8:$F$68,AM$4-$B156+1)</f>
        <v/>
      </c>
      <c r="AN156" s="153">
        <f>$C156*INDEX(Curves!$F$8:$F$68,AN$4-$B156+1)</f>
        <v/>
      </c>
      <c r="AO156" s="153">
        <f>$C156*INDEX(Curves!$F$8:$F$68,AO$4-$B156+1)</f>
        <v/>
      </c>
      <c r="AP156" s="153">
        <f>$C156*INDEX(Curves!$F$8:$F$68,AP$4-$B156+1)</f>
        <v/>
      </c>
      <c r="AQ156" s="153">
        <f>$C156*INDEX(Curves!$F$8:$F$68,AQ$4-$B156+1)</f>
        <v/>
      </c>
      <c r="AR156" s="153">
        <f>$C156*INDEX(Curves!$F$8:$F$68,AR$4-$B156+1)</f>
        <v/>
      </c>
      <c r="AS156" s="153">
        <f>$C156*INDEX(Curves!$F$8:$F$68,AS$4-$B156+1)</f>
        <v/>
      </c>
      <c r="AT156" s="153">
        <f>$C156*INDEX(Curves!$F$8:$F$68,AT$4-$B156+1)</f>
        <v/>
      </c>
      <c r="AU156" s="153">
        <f>$C156*INDEX(Curves!$F$8:$F$68,AU$4-$B156+1)</f>
        <v/>
      </c>
      <c r="AV156" s="153">
        <f>$C156*INDEX(Curves!$F$8:$F$68,AV$4-$B156+1)</f>
        <v/>
      </c>
      <c r="AW156" s="153">
        <f>$C156*INDEX(Curves!$F$8:$F$68,AW$4-$B156+1)</f>
        <v/>
      </c>
      <c r="AX156" s="153">
        <f>$C156*INDEX(Curves!$F$8:$F$68,AX$4-$B156+1)</f>
        <v/>
      </c>
      <c r="AY156" s="153">
        <f>$C156*INDEX(Curves!$F$8:$F$68,AY$4-$B156+1)</f>
        <v/>
      </c>
      <c r="AZ156" s="153">
        <f>$C156*INDEX(Curves!$F$8:$F$68,AZ$4-$B156+1)</f>
        <v/>
      </c>
      <c r="BA156" s="153">
        <f>$C156*INDEX(Curves!$F$8:$F$68,BA$4-$B156+1)</f>
        <v/>
      </c>
      <c r="BB156" s="153">
        <f>$C156*INDEX(Curves!$F$8:$F$68,BB$4-$B156+1)</f>
        <v/>
      </c>
      <c r="BC156" s="153">
        <f>$C156*INDEX(Curves!$F$8:$F$68,BC$4-$B156+1)</f>
        <v/>
      </c>
      <c r="BD156" s="153">
        <f>$C156*INDEX(Curves!$F$8:$F$68,BD$4-$B156+1)</f>
        <v/>
      </c>
      <c r="BE156" s="153">
        <f>$C156*INDEX(Curves!$F$8:$F$68,BE$4-$B156+1)</f>
        <v/>
      </c>
      <c r="BF156" s="153">
        <f>$C156*INDEX(Curves!$F$8:$F$68,BF$4-$B156+1)</f>
        <v/>
      </c>
      <c r="BG156" s="153">
        <f>$C156*INDEX(Curves!$F$8:$F$68,BG$4-$B156+1)</f>
        <v/>
      </c>
      <c r="BH156" s="153">
        <f>$C156*INDEX(Curves!$F$8:$F$68,BH$4-$B156+1)</f>
        <v/>
      </c>
      <c r="BI156" s="153">
        <f>$C156*INDEX(Curves!$F$8:$F$68,BI$4-$B156+1)</f>
        <v/>
      </c>
      <c r="BJ156" s="153">
        <f>$C156*INDEX(Curves!$F$8:$F$68,BJ$4-$B156+1)</f>
        <v/>
      </c>
      <c r="BK156" s="153">
        <f>$C156*INDEX(Curves!$F$8:$F$68,BK$4-$B156+1)</f>
        <v/>
      </c>
      <c r="BL156" s="153">
        <f>$C156*INDEX(Curves!$F$8:$F$68,BL$4-$B156+1)</f>
        <v/>
      </c>
    </row>
    <row r="157">
      <c r="A157" s="147" t="inlineStr">
        <is>
          <t>Cohort month 22</t>
        </is>
      </c>
      <c r="B157" s="147" t="n">
        <v>22</v>
      </c>
      <c r="C157" s="41">
        <f>INDEX(Ops!$E$10:$BL$10,1,$B157)</f>
        <v/>
      </c>
      <c r="AA157" s="153">
        <f>$C157*INDEX(Curves!$F$8:$F$68,AA$4-$B157+1)</f>
        <v/>
      </c>
      <c r="AB157" s="153">
        <f>$C157*INDEX(Curves!$F$8:$F$68,AB$4-$B157+1)</f>
        <v/>
      </c>
      <c r="AC157" s="153">
        <f>$C157*INDEX(Curves!$F$8:$F$68,AC$4-$B157+1)</f>
        <v/>
      </c>
      <c r="AD157" s="153">
        <f>$C157*INDEX(Curves!$F$8:$F$68,AD$4-$B157+1)</f>
        <v/>
      </c>
      <c r="AE157" s="153">
        <f>$C157*INDEX(Curves!$F$8:$F$68,AE$4-$B157+1)</f>
        <v/>
      </c>
      <c r="AF157" s="153">
        <f>$C157*INDEX(Curves!$F$8:$F$68,AF$4-$B157+1)</f>
        <v/>
      </c>
      <c r="AG157" s="153">
        <f>$C157*INDEX(Curves!$F$8:$F$68,AG$4-$B157+1)</f>
        <v/>
      </c>
      <c r="AH157" s="153">
        <f>$C157*INDEX(Curves!$F$8:$F$68,AH$4-$B157+1)</f>
        <v/>
      </c>
      <c r="AI157" s="153">
        <f>$C157*INDEX(Curves!$F$8:$F$68,AI$4-$B157+1)</f>
        <v/>
      </c>
      <c r="AJ157" s="153">
        <f>$C157*INDEX(Curves!$F$8:$F$68,AJ$4-$B157+1)</f>
        <v/>
      </c>
      <c r="AK157" s="153">
        <f>$C157*INDEX(Curves!$F$8:$F$68,AK$4-$B157+1)</f>
        <v/>
      </c>
      <c r="AL157" s="153">
        <f>$C157*INDEX(Curves!$F$8:$F$68,AL$4-$B157+1)</f>
        <v/>
      </c>
      <c r="AM157" s="153">
        <f>$C157*INDEX(Curves!$F$8:$F$68,AM$4-$B157+1)</f>
        <v/>
      </c>
      <c r="AN157" s="153">
        <f>$C157*INDEX(Curves!$F$8:$F$68,AN$4-$B157+1)</f>
        <v/>
      </c>
      <c r="AO157" s="153">
        <f>$C157*INDEX(Curves!$F$8:$F$68,AO$4-$B157+1)</f>
        <v/>
      </c>
      <c r="AP157" s="153">
        <f>$C157*INDEX(Curves!$F$8:$F$68,AP$4-$B157+1)</f>
        <v/>
      </c>
      <c r="AQ157" s="153">
        <f>$C157*INDEX(Curves!$F$8:$F$68,AQ$4-$B157+1)</f>
        <v/>
      </c>
      <c r="AR157" s="153">
        <f>$C157*INDEX(Curves!$F$8:$F$68,AR$4-$B157+1)</f>
        <v/>
      </c>
      <c r="AS157" s="153">
        <f>$C157*INDEX(Curves!$F$8:$F$68,AS$4-$B157+1)</f>
        <v/>
      </c>
      <c r="AT157" s="153">
        <f>$C157*INDEX(Curves!$F$8:$F$68,AT$4-$B157+1)</f>
        <v/>
      </c>
      <c r="AU157" s="153">
        <f>$C157*INDEX(Curves!$F$8:$F$68,AU$4-$B157+1)</f>
        <v/>
      </c>
      <c r="AV157" s="153">
        <f>$C157*INDEX(Curves!$F$8:$F$68,AV$4-$B157+1)</f>
        <v/>
      </c>
      <c r="AW157" s="153">
        <f>$C157*INDEX(Curves!$F$8:$F$68,AW$4-$B157+1)</f>
        <v/>
      </c>
      <c r="AX157" s="153">
        <f>$C157*INDEX(Curves!$F$8:$F$68,AX$4-$B157+1)</f>
        <v/>
      </c>
      <c r="AY157" s="153">
        <f>$C157*INDEX(Curves!$F$8:$F$68,AY$4-$B157+1)</f>
        <v/>
      </c>
      <c r="AZ157" s="153">
        <f>$C157*INDEX(Curves!$F$8:$F$68,AZ$4-$B157+1)</f>
        <v/>
      </c>
      <c r="BA157" s="153">
        <f>$C157*INDEX(Curves!$F$8:$F$68,BA$4-$B157+1)</f>
        <v/>
      </c>
      <c r="BB157" s="153">
        <f>$C157*INDEX(Curves!$F$8:$F$68,BB$4-$B157+1)</f>
        <v/>
      </c>
      <c r="BC157" s="153">
        <f>$C157*INDEX(Curves!$F$8:$F$68,BC$4-$B157+1)</f>
        <v/>
      </c>
      <c r="BD157" s="153">
        <f>$C157*INDEX(Curves!$F$8:$F$68,BD$4-$B157+1)</f>
        <v/>
      </c>
      <c r="BE157" s="153">
        <f>$C157*INDEX(Curves!$F$8:$F$68,BE$4-$B157+1)</f>
        <v/>
      </c>
      <c r="BF157" s="153">
        <f>$C157*INDEX(Curves!$F$8:$F$68,BF$4-$B157+1)</f>
        <v/>
      </c>
      <c r="BG157" s="153">
        <f>$C157*INDEX(Curves!$F$8:$F$68,BG$4-$B157+1)</f>
        <v/>
      </c>
      <c r="BH157" s="153">
        <f>$C157*INDEX(Curves!$F$8:$F$68,BH$4-$B157+1)</f>
        <v/>
      </c>
      <c r="BI157" s="153">
        <f>$C157*INDEX(Curves!$F$8:$F$68,BI$4-$B157+1)</f>
        <v/>
      </c>
      <c r="BJ157" s="153">
        <f>$C157*INDEX(Curves!$F$8:$F$68,BJ$4-$B157+1)</f>
        <v/>
      </c>
      <c r="BK157" s="153">
        <f>$C157*INDEX(Curves!$F$8:$F$68,BK$4-$B157+1)</f>
        <v/>
      </c>
      <c r="BL157" s="153">
        <f>$C157*INDEX(Curves!$F$8:$F$68,BL$4-$B157+1)</f>
        <v/>
      </c>
    </row>
    <row r="158">
      <c r="A158" s="147" t="inlineStr">
        <is>
          <t>Cohort month 23</t>
        </is>
      </c>
      <c r="B158" s="147" t="n">
        <v>23</v>
      </c>
      <c r="C158" s="41">
        <f>INDEX(Ops!$E$10:$BL$10,1,$B158)</f>
        <v/>
      </c>
      <c r="AB158" s="153">
        <f>$C158*INDEX(Curves!$F$8:$F$68,AB$4-$B158+1)</f>
        <v/>
      </c>
      <c r="AC158" s="153">
        <f>$C158*INDEX(Curves!$F$8:$F$68,AC$4-$B158+1)</f>
        <v/>
      </c>
      <c r="AD158" s="153">
        <f>$C158*INDEX(Curves!$F$8:$F$68,AD$4-$B158+1)</f>
        <v/>
      </c>
      <c r="AE158" s="153">
        <f>$C158*INDEX(Curves!$F$8:$F$68,AE$4-$B158+1)</f>
        <v/>
      </c>
      <c r="AF158" s="153">
        <f>$C158*INDEX(Curves!$F$8:$F$68,AF$4-$B158+1)</f>
        <v/>
      </c>
      <c r="AG158" s="153">
        <f>$C158*INDEX(Curves!$F$8:$F$68,AG$4-$B158+1)</f>
        <v/>
      </c>
      <c r="AH158" s="153">
        <f>$C158*INDEX(Curves!$F$8:$F$68,AH$4-$B158+1)</f>
        <v/>
      </c>
      <c r="AI158" s="153">
        <f>$C158*INDEX(Curves!$F$8:$F$68,AI$4-$B158+1)</f>
        <v/>
      </c>
      <c r="AJ158" s="153">
        <f>$C158*INDEX(Curves!$F$8:$F$68,AJ$4-$B158+1)</f>
        <v/>
      </c>
      <c r="AK158" s="153">
        <f>$C158*INDEX(Curves!$F$8:$F$68,AK$4-$B158+1)</f>
        <v/>
      </c>
      <c r="AL158" s="153">
        <f>$C158*INDEX(Curves!$F$8:$F$68,AL$4-$B158+1)</f>
        <v/>
      </c>
      <c r="AM158" s="153">
        <f>$C158*INDEX(Curves!$F$8:$F$68,AM$4-$B158+1)</f>
        <v/>
      </c>
      <c r="AN158" s="153">
        <f>$C158*INDEX(Curves!$F$8:$F$68,AN$4-$B158+1)</f>
        <v/>
      </c>
      <c r="AO158" s="153">
        <f>$C158*INDEX(Curves!$F$8:$F$68,AO$4-$B158+1)</f>
        <v/>
      </c>
      <c r="AP158" s="153">
        <f>$C158*INDEX(Curves!$F$8:$F$68,AP$4-$B158+1)</f>
        <v/>
      </c>
      <c r="AQ158" s="153">
        <f>$C158*INDEX(Curves!$F$8:$F$68,AQ$4-$B158+1)</f>
        <v/>
      </c>
      <c r="AR158" s="153">
        <f>$C158*INDEX(Curves!$F$8:$F$68,AR$4-$B158+1)</f>
        <v/>
      </c>
      <c r="AS158" s="153">
        <f>$C158*INDEX(Curves!$F$8:$F$68,AS$4-$B158+1)</f>
        <v/>
      </c>
      <c r="AT158" s="153">
        <f>$C158*INDEX(Curves!$F$8:$F$68,AT$4-$B158+1)</f>
        <v/>
      </c>
      <c r="AU158" s="153">
        <f>$C158*INDEX(Curves!$F$8:$F$68,AU$4-$B158+1)</f>
        <v/>
      </c>
      <c r="AV158" s="153">
        <f>$C158*INDEX(Curves!$F$8:$F$68,AV$4-$B158+1)</f>
        <v/>
      </c>
      <c r="AW158" s="153">
        <f>$C158*INDEX(Curves!$F$8:$F$68,AW$4-$B158+1)</f>
        <v/>
      </c>
      <c r="AX158" s="153">
        <f>$C158*INDEX(Curves!$F$8:$F$68,AX$4-$B158+1)</f>
        <v/>
      </c>
      <c r="AY158" s="153">
        <f>$C158*INDEX(Curves!$F$8:$F$68,AY$4-$B158+1)</f>
        <v/>
      </c>
      <c r="AZ158" s="153">
        <f>$C158*INDEX(Curves!$F$8:$F$68,AZ$4-$B158+1)</f>
        <v/>
      </c>
      <c r="BA158" s="153">
        <f>$C158*INDEX(Curves!$F$8:$F$68,BA$4-$B158+1)</f>
        <v/>
      </c>
      <c r="BB158" s="153">
        <f>$C158*INDEX(Curves!$F$8:$F$68,BB$4-$B158+1)</f>
        <v/>
      </c>
      <c r="BC158" s="153">
        <f>$C158*INDEX(Curves!$F$8:$F$68,BC$4-$B158+1)</f>
        <v/>
      </c>
      <c r="BD158" s="153">
        <f>$C158*INDEX(Curves!$F$8:$F$68,BD$4-$B158+1)</f>
        <v/>
      </c>
      <c r="BE158" s="153">
        <f>$C158*INDEX(Curves!$F$8:$F$68,BE$4-$B158+1)</f>
        <v/>
      </c>
      <c r="BF158" s="153">
        <f>$C158*INDEX(Curves!$F$8:$F$68,BF$4-$B158+1)</f>
        <v/>
      </c>
      <c r="BG158" s="153">
        <f>$C158*INDEX(Curves!$F$8:$F$68,BG$4-$B158+1)</f>
        <v/>
      </c>
      <c r="BH158" s="153">
        <f>$C158*INDEX(Curves!$F$8:$F$68,BH$4-$B158+1)</f>
        <v/>
      </c>
      <c r="BI158" s="153">
        <f>$C158*INDEX(Curves!$F$8:$F$68,BI$4-$B158+1)</f>
        <v/>
      </c>
      <c r="BJ158" s="153">
        <f>$C158*INDEX(Curves!$F$8:$F$68,BJ$4-$B158+1)</f>
        <v/>
      </c>
      <c r="BK158" s="153">
        <f>$C158*INDEX(Curves!$F$8:$F$68,BK$4-$B158+1)</f>
        <v/>
      </c>
      <c r="BL158" s="153">
        <f>$C158*INDEX(Curves!$F$8:$F$68,BL$4-$B158+1)</f>
        <v/>
      </c>
    </row>
    <row r="159">
      <c r="A159" s="147" t="inlineStr">
        <is>
          <t>Cohort month 24</t>
        </is>
      </c>
      <c r="B159" s="147" t="n">
        <v>24</v>
      </c>
      <c r="C159" s="41">
        <f>INDEX(Ops!$E$10:$BL$10,1,$B159)</f>
        <v/>
      </c>
      <c r="AC159" s="153">
        <f>$C159*INDEX(Curves!$F$8:$F$68,AC$4-$B159+1)</f>
        <v/>
      </c>
      <c r="AD159" s="153">
        <f>$C159*INDEX(Curves!$F$8:$F$68,AD$4-$B159+1)</f>
        <v/>
      </c>
      <c r="AE159" s="153">
        <f>$C159*INDEX(Curves!$F$8:$F$68,AE$4-$B159+1)</f>
        <v/>
      </c>
      <c r="AF159" s="153">
        <f>$C159*INDEX(Curves!$F$8:$F$68,AF$4-$B159+1)</f>
        <v/>
      </c>
      <c r="AG159" s="153">
        <f>$C159*INDEX(Curves!$F$8:$F$68,AG$4-$B159+1)</f>
        <v/>
      </c>
      <c r="AH159" s="153">
        <f>$C159*INDEX(Curves!$F$8:$F$68,AH$4-$B159+1)</f>
        <v/>
      </c>
      <c r="AI159" s="153">
        <f>$C159*INDEX(Curves!$F$8:$F$68,AI$4-$B159+1)</f>
        <v/>
      </c>
      <c r="AJ159" s="153">
        <f>$C159*INDEX(Curves!$F$8:$F$68,AJ$4-$B159+1)</f>
        <v/>
      </c>
      <c r="AK159" s="153">
        <f>$C159*INDEX(Curves!$F$8:$F$68,AK$4-$B159+1)</f>
        <v/>
      </c>
      <c r="AL159" s="153">
        <f>$C159*INDEX(Curves!$F$8:$F$68,AL$4-$B159+1)</f>
        <v/>
      </c>
      <c r="AM159" s="153">
        <f>$C159*INDEX(Curves!$F$8:$F$68,AM$4-$B159+1)</f>
        <v/>
      </c>
      <c r="AN159" s="153">
        <f>$C159*INDEX(Curves!$F$8:$F$68,AN$4-$B159+1)</f>
        <v/>
      </c>
      <c r="AO159" s="153">
        <f>$C159*INDEX(Curves!$F$8:$F$68,AO$4-$B159+1)</f>
        <v/>
      </c>
      <c r="AP159" s="153">
        <f>$C159*INDEX(Curves!$F$8:$F$68,AP$4-$B159+1)</f>
        <v/>
      </c>
      <c r="AQ159" s="153">
        <f>$C159*INDEX(Curves!$F$8:$F$68,AQ$4-$B159+1)</f>
        <v/>
      </c>
      <c r="AR159" s="153">
        <f>$C159*INDEX(Curves!$F$8:$F$68,AR$4-$B159+1)</f>
        <v/>
      </c>
      <c r="AS159" s="153">
        <f>$C159*INDEX(Curves!$F$8:$F$68,AS$4-$B159+1)</f>
        <v/>
      </c>
      <c r="AT159" s="153">
        <f>$C159*INDEX(Curves!$F$8:$F$68,AT$4-$B159+1)</f>
        <v/>
      </c>
      <c r="AU159" s="153">
        <f>$C159*INDEX(Curves!$F$8:$F$68,AU$4-$B159+1)</f>
        <v/>
      </c>
      <c r="AV159" s="153">
        <f>$C159*INDEX(Curves!$F$8:$F$68,AV$4-$B159+1)</f>
        <v/>
      </c>
      <c r="AW159" s="153">
        <f>$C159*INDEX(Curves!$F$8:$F$68,AW$4-$B159+1)</f>
        <v/>
      </c>
      <c r="AX159" s="153">
        <f>$C159*INDEX(Curves!$F$8:$F$68,AX$4-$B159+1)</f>
        <v/>
      </c>
      <c r="AY159" s="153">
        <f>$C159*INDEX(Curves!$F$8:$F$68,AY$4-$B159+1)</f>
        <v/>
      </c>
      <c r="AZ159" s="153">
        <f>$C159*INDEX(Curves!$F$8:$F$68,AZ$4-$B159+1)</f>
        <v/>
      </c>
      <c r="BA159" s="153">
        <f>$C159*INDEX(Curves!$F$8:$F$68,BA$4-$B159+1)</f>
        <v/>
      </c>
      <c r="BB159" s="153">
        <f>$C159*INDEX(Curves!$F$8:$F$68,BB$4-$B159+1)</f>
        <v/>
      </c>
      <c r="BC159" s="153">
        <f>$C159*INDEX(Curves!$F$8:$F$68,BC$4-$B159+1)</f>
        <v/>
      </c>
      <c r="BD159" s="153">
        <f>$C159*INDEX(Curves!$F$8:$F$68,BD$4-$B159+1)</f>
        <v/>
      </c>
      <c r="BE159" s="153">
        <f>$C159*INDEX(Curves!$F$8:$F$68,BE$4-$B159+1)</f>
        <v/>
      </c>
      <c r="BF159" s="153">
        <f>$C159*INDEX(Curves!$F$8:$F$68,BF$4-$B159+1)</f>
        <v/>
      </c>
      <c r="BG159" s="153">
        <f>$C159*INDEX(Curves!$F$8:$F$68,BG$4-$B159+1)</f>
        <v/>
      </c>
      <c r="BH159" s="153">
        <f>$C159*INDEX(Curves!$F$8:$F$68,BH$4-$B159+1)</f>
        <v/>
      </c>
      <c r="BI159" s="153">
        <f>$C159*INDEX(Curves!$F$8:$F$68,BI$4-$B159+1)</f>
        <v/>
      </c>
      <c r="BJ159" s="153">
        <f>$C159*INDEX(Curves!$F$8:$F$68,BJ$4-$B159+1)</f>
        <v/>
      </c>
      <c r="BK159" s="153">
        <f>$C159*INDEX(Curves!$F$8:$F$68,BK$4-$B159+1)</f>
        <v/>
      </c>
      <c r="BL159" s="153">
        <f>$C159*INDEX(Curves!$F$8:$F$68,BL$4-$B159+1)</f>
        <v/>
      </c>
    </row>
    <row r="160">
      <c r="A160" s="147" t="inlineStr">
        <is>
          <t>Cohort month 25</t>
        </is>
      </c>
      <c r="B160" s="147" t="n">
        <v>25</v>
      </c>
      <c r="C160" s="41">
        <f>INDEX(Ops!$E$10:$BL$10,1,$B160)</f>
        <v/>
      </c>
      <c r="AD160" s="153">
        <f>$C160*INDEX(Curves!$F$8:$F$68,AD$4-$B160+1)</f>
        <v/>
      </c>
      <c r="AE160" s="153">
        <f>$C160*INDEX(Curves!$F$8:$F$68,AE$4-$B160+1)</f>
        <v/>
      </c>
      <c r="AF160" s="153">
        <f>$C160*INDEX(Curves!$F$8:$F$68,AF$4-$B160+1)</f>
        <v/>
      </c>
      <c r="AG160" s="153">
        <f>$C160*INDEX(Curves!$F$8:$F$68,AG$4-$B160+1)</f>
        <v/>
      </c>
      <c r="AH160" s="153">
        <f>$C160*INDEX(Curves!$F$8:$F$68,AH$4-$B160+1)</f>
        <v/>
      </c>
      <c r="AI160" s="153">
        <f>$C160*INDEX(Curves!$F$8:$F$68,AI$4-$B160+1)</f>
        <v/>
      </c>
      <c r="AJ160" s="153">
        <f>$C160*INDEX(Curves!$F$8:$F$68,AJ$4-$B160+1)</f>
        <v/>
      </c>
      <c r="AK160" s="153">
        <f>$C160*INDEX(Curves!$F$8:$F$68,AK$4-$B160+1)</f>
        <v/>
      </c>
      <c r="AL160" s="153">
        <f>$C160*INDEX(Curves!$F$8:$F$68,AL$4-$B160+1)</f>
        <v/>
      </c>
      <c r="AM160" s="153">
        <f>$C160*INDEX(Curves!$F$8:$F$68,AM$4-$B160+1)</f>
        <v/>
      </c>
      <c r="AN160" s="153">
        <f>$C160*INDEX(Curves!$F$8:$F$68,AN$4-$B160+1)</f>
        <v/>
      </c>
      <c r="AO160" s="153">
        <f>$C160*INDEX(Curves!$F$8:$F$68,AO$4-$B160+1)</f>
        <v/>
      </c>
      <c r="AP160" s="153">
        <f>$C160*INDEX(Curves!$F$8:$F$68,AP$4-$B160+1)</f>
        <v/>
      </c>
      <c r="AQ160" s="153">
        <f>$C160*INDEX(Curves!$F$8:$F$68,AQ$4-$B160+1)</f>
        <v/>
      </c>
      <c r="AR160" s="153">
        <f>$C160*INDEX(Curves!$F$8:$F$68,AR$4-$B160+1)</f>
        <v/>
      </c>
      <c r="AS160" s="153">
        <f>$C160*INDEX(Curves!$F$8:$F$68,AS$4-$B160+1)</f>
        <v/>
      </c>
      <c r="AT160" s="153">
        <f>$C160*INDEX(Curves!$F$8:$F$68,AT$4-$B160+1)</f>
        <v/>
      </c>
      <c r="AU160" s="153">
        <f>$C160*INDEX(Curves!$F$8:$F$68,AU$4-$B160+1)</f>
        <v/>
      </c>
      <c r="AV160" s="153">
        <f>$C160*INDEX(Curves!$F$8:$F$68,AV$4-$B160+1)</f>
        <v/>
      </c>
      <c r="AW160" s="153">
        <f>$C160*INDEX(Curves!$F$8:$F$68,AW$4-$B160+1)</f>
        <v/>
      </c>
      <c r="AX160" s="153">
        <f>$C160*INDEX(Curves!$F$8:$F$68,AX$4-$B160+1)</f>
        <v/>
      </c>
      <c r="AY160" s="153">
        <f>$C160*INDEX(Curves!$F$8:$F$68,AY$4-$B160+1)</f>
        <v/>
      </c>
      <c r="AZ160" s="153">
        <f>$C160*INDEX(Curves!$F$8:$F$68,AZ$4-$B160+1)</f>
        <v/>
      </c>
      <c r="BA160" s="153">
        <f>$C160*INDEX(Curves!$F$8:$F$68,BA$4-$B160+1)</f>
        <v/>
      </c>
      <c r="BB160" s="153">
        <f>$C160*INDEX(Curves!$F$8:$F$68,BB$4-$B160+1)</f>
        <v/>
      </c>
      <c r="BC160" s="153">
        <f>$C160*INDEX(Curves!$F$8:$F$68,BC$4-$B160+1)</f>
        <v/>
      </c>
      <c r="BD160" s="153">
        <f>$C160*INDEX(Curves!$F$8:$F$68,BD$4-$B160+1)</f>
        <v/>
      </c>
      <c r="BE160" s="153">
        <f>$C160*INDEX(Curves!$F$8:$F$68,BE$4-$B160+1)</f>
        <v/>
      </c>
      <c r="BF160" s="153">
        <f>$C160*INDEX(Curves!$F$8:$F$68,BF$4-$B160+1)</f>
        <v/>
      </c>
      <c r="BG160" s="153">
        <f>$C160*INDEX(Curves!$F$8:$F$68,BG$4-$B160+1)</f>
        <v/>
      </c>
      <c r="BH160" s="153">
        <f>$C160*INDEX(Curves!$F$8:$F$68,BH$4-$B160+1)</f>
        <v/>
      </c>
      <c r="BI160" s="153">
        <f>$C160*INDEX(Curves!$F$8:$F$68,BI$4-$B160+1)</f>
        <v/>
      </c>
      <c r="BJ160" s="153">
        <f>$C160*INDEX(Curves!$F$8:$F$68,BJ$4-$B160+1)</f>
        <v/>
      </c>
      <c r="BK160" s="153">
        <f>$C160*INDEX(Curves!$F$8:$F$68,BK$4-$B160+1)</f>
        <v/>
      </c>
      <c r="BL160" s="153">
        <f>$C160*INDEX(Curves!$F$8:$F$68,BL$4-$B160+1)</f>
        <v/>
      </c>
    </row>
    <row r="161">
      <c r="A161" s="147" t="inlineStr">
        <is>
          <t>Cohort month 26</t>
        </is>
      </c>
      <c r="B161" s="147" t="n">
        <v>26</v>
      </c>
      <c r="C161" s="41">
        <f>INDEX(Ops!$E$10:$BL$10,1,$B161)</f>
        <v/>
      </c>
      <c r="AE161" s="153">
        <f>$C161*INDEX(Curves!$F$8:$F$68,AE$4-$B161+1)</f>
        <v/>
      </c>
      <c r="AF161" s="153">
        <f>$C161*INDEX(Curves!$F$8:$F$68,AF$4-$B161+1)</f>
        <v/>
      </c>
      <c r="AG161" s="153">
        <f>$C161*INDEX(Curves!$F$8:$F$68,AG$4-$B161+1)</f>
        <v/>
      </c>
      <c r="AH161" s="153">
        <f>$C161*INDEX(Curves!$F$8:$F$68,AH$4-$B161+1)</f>
        <v/>
      </c>
      <c r="AI161" s="153">
        <f>$C161*INDEX(Curves!$F$8:$F$68,AI$4-$B161+1)</f>
        <v/>
      </c>
      <c r="AJ161" s="153">
        <f>$C161*INDEX(Curves!$F$8:$F$68,AJ$4-$B161+1)</f>
        <v/>
      </c>
      <c r="AK161" s="153">
        <f>$C161*INDEX(Curves!$F$8:$F$68,AK$4-$B161+1)</f>
        <v/>
      </c>
      <c r="AL161" s="153">
        <f>$C161*INDEX(Curves!$F$8:$F$68,AL$4-$B161+1)</f>
        <v/>
      </c>
      <c r="AM161" s="153">
        <f>$C161*INDEX(Curves!$F$8:$F$68,AM$4-$B161+1)</f>
        <v/>
      </c>
      <c r="AN161" s="153">
        <f>$C161*INDEX(Curves!$F$8:$F$68,AN$4-$B161+1)</f>
        <v/>
      </c>
      <c r="AO161" s="153">
        <f>$C161*INDEX(Curves!$F$8:$F$68,AO$4-$B161+1)</f>
        <v/>
      </c>
      <c r="AP161" s="153">
        <f>$C161*INDEX(Curves!$F$8:$F$68,AP$4-$B161+1)</f>
        <v/>
      </c>
      <c r="AQ161" s="153">
        <f>$C161*INDEX(Curves!$F$8:$F$68,AQ$4-$B161+1)</f>
        <v/>
      </c>
      <c r="AR161" s="153">
        <f>$C161*INDEX(Curves!$F$8:$F$68,AR$4-$B161+1)</f>
        <v/>
      </c>
      <c r="AS161" s="153">
        <f>$C161*INDEX(Curves!$F$8:$F$68,AS$4-$B161+1)</f>
        <v/>
      </c>
      <c r="AT161" s="153">
        <f>$C161*INDEX(Curves!$F$8:$F$68,AT$4-$B161+1)</f>
        <v/>
      </c>
      <c r="AU161" s="153">
        <f>$C161*INDEX(Curves!$F$8:$F$68,AU$4-$B161+1)</f>
        <v/>
      </c>
      <c r="AV161" s="153">
        <f>$C161*INDEX(Curves!$F$8:$F$68,AV$4-$B161+1)</f>
        <v/>
      </c>
      <c r="AW161" s="153">
        <f>$C161*INDEX(Curves!$F$8:$F$68,AW$4-$B161+1)</f>
        <v/>
      </c>
      <c r="AX161" s="153">
        <f>$C161*INDEX(Curves!$F$8:$F$68,AX$4-$B161+1)</f>
        <v/>
      </c>
      <c r="AY161" s="153">
        <f>$C161*INDEX(Curves!$F$8:$F$68,AY$4-$B161+1)</f>
        <v/>
      </c>
      <c r="AZ161" s="153">
        <f>$C161*INDEX(Curves!$F$8:$F$68,AZ$4-$B161+1)</f>
        <v/>
      </c>
      <c r="BA161" s="153">
        <f>$C161*INDEX(Curves!$F$8:$F$68,BA$4-$B161+1)</f>
        <v/>
      </c>
      <c r="BB161" s="153">
        <f>$C161*INDEX(Curves!$F$8:$F$68,BB$4-$B161+1)</f>
        <v/>
      </c>
      <c r="BC161" s="153">
        <f>$C161*INDEX(Curves!$F$8:$F$68,BC$4-$B161+1)</f>
        <v/>
      </c>
      <c r="BD161" s="153">
        <f>$C161*INDEX(Curves!$F$8:$F$68,BD$4-$B161+1)</f>
        <v/>
      </c>
      <c r="BE161" s="153">
        <f>$C161*INDEX(Curves!$F$8:$F$68,BE$4-$B161+1)</f>
        <v/>
      </c>
      <c r="BF161" s="153">
        <f>$C161*INDEX(Curves!$F$8:$F$68,BF$4-$B161+1)</f>
        <v/>
      </c>
      <c r="BG161" s="153">
        <f>$C161*INDEX(Curves!$F$8:$F$68,BG$4-$B161+1)</f>
        <v/>
      </c>
      <c r="BH161" s="153">
        <f>$C161*INDEX(Curves!$F$8:$F$68,BH$4-$B161+1)</f>
        <v/>
      </c>
      <c r="BI161" s="153">
        <f>$C161*INDEX(Curves!$F$8:$F$68,BI$4-$B161+1)</f>
        <v/>
      </c>
      <c r="BJ161" s="153">
        <f>$C161*INDEX(Curves!$F$8:$F$68,BJ$4-$B161+1)</f>
        <v/>
      </c>
      <c r="BK161" s="153">
        <f>$C161*INDEX(Curves!$F$8:$F$68,BK$4-$B161+1)</f>
        <v/>
      </c>
      <c r="BL161" s="153">
        <f>$C161*INDEX(Curves!$F$8:$F$68,BL$4-$B161+1)</f>
        <v/>
      </c>
    </row>
    <row r="162">
      <c r="A162" s="147" t="inlineStr">
        <is>
          <t>Cohort month 27</t>
        </is>
      </c>
      <c r="B162" s="147" t="n">
        <v>27</v>
      </c>
      <c r="C162" s="41">
        <f>INDEX(Ops!$E$10:$BL$10,1,$B162)</f>
        <v/>
      </c>
      <c r="AF162" s="153">
        <f>$C162*INDEX(Curves!$F$8:$F$68,AF$4-$B162+1)</f>
        <v/>
      </c>
      <c r="AG162" s="153">
        <f>$C162*INDEX(Curves!$F$8:$F$68,AG$4-$B162+1)</f>
        <v/>
      </c>
      <c r="AH162" s="153">
        <f>$C162*INDEX(Curves!$F$8:$F$68,AH$4-$B162+1)</f>
        <v/>
      </c>
      <c r="AI162" s="153">
        <f>$C162*INDEX(Curves!$F$8:$F$68,AI$4-$B162+1)</f>
        <v/>
      </c>
      <c r="AJ162" s="153">
        <f>$C162*INDEX(Curves!$F$8:$F$68,AJ$4-$B162+1)</f>
        <v/>
      </c>
      <c r="AK162" s="153">
        <f>$C162*INDEX(Curves!$F$8:$F$68,AK$4-$B162+1)</f>
        <v/>
      </c>
      <c r="AL162" s="153">
        <f>$C162*INDEX(Curves!$F$8:$F$68,AL$4-$B162+1)</f>
        <v/>
      </c>
      <c r="AM162" s="153">
        <f>$C162*INDEX(Curves!$F$8:$F$68,AM$4-$B162+1)</f>
        <v/>
      </c>
      <c r="AN162" s="153">
        <f>$C162*INDEX(Curves!$F$8:$F$68,AN$4-$B162+1)</f>
        <v/>
      </c>
      <c r="AO162" s="153">
        <f>$C162*INDEX(Curves!$F$8:$F$68,AO$4-$B162+1)</f>
        <v/>
      </c>
      <c r="AP162" s="153">
        <f>$C162*INDEX(Curves!$F$8:$F$68,AP$4-$B162+1)</f>
        <v/>
      </c>
      <c r="AQ162" s="153">
        <f>$C162*INDEX(Curves!$F$8:$F$68,AQ$4-$B162+1)</f>
        <v/>
      </c>
      <c r="AR162" s="153">
        <f>$C162*INDEX(Curves!$F$8:$F$68,AR$4-$B162+1)</f>
        <v/>
      </c>
      <c r="AS162" s="153">
        <f>$C162*INDEX(Curves!$F$8:$F$68,AS$4-$B162+1)</f>
        <v/>
      </c>
      <c r="AT162" s="153">
        <f>$C162*INDEX(Curves!$F$8:$F$68,AT$4-$B162+1)</f>
        <v/>
      </c>
      <c r="AU162" s="153">
        <f>$C162*INDEX(Curves!$F$8:$F$68,AU$4-$B162+1)</f>
        <v/>
      </c>
      <c r="AV162" s="153">
        <f>$C162*INDEX(Curves!$F$8:$F$68,AV$4-$B162+1)</f>
        <v/>
      </c>
      <c r="AW162" s="153">
        <f>$C162*INDEX(Curves!$F$8:$F$68,AW$4-$B162+1)</f>
        <v/>
      </c>
      <c r="AX162" s="153">
        <f>$C162*INDEX(Curves!$F$8:$F$68,AX$4-$B162+1)</f>
        <v/>
      </c>
      <c r="AY162" s="153">
        <f>$C162*INDEX(Curves!$F$8:$F$68,AY$4-$B162+1)</f>
        <v/>
      </c>
      <c r="AZ162" s="153">
        <f>$C162*INDEX(Curves!$F$8:$F$68,AZ$4-$B162+1)</f>
        <v/>
      </c>
      <c r="BA162" s="153">
        <f>$C162*INDEX(Curves!$F$8:$F$68,BA$4-$B162+1)</f>
        <v/>
      </c>
      <c r="BB162" s="153">
        <f>$C162*INDEX(Curves!$F$8:$F$68,BB$4-$B162+1)</f>
        <v/>
      </c>
      <c r="BC162" s="153">
        <f>$C162*INDEX(Curves!$F$8:$F$68,BC$4-$B162+1)</f>
        <v/>
      </c>
      <c r="BD162" s="153">
        <f>$C162*INDEX(Curves!$F$8:$F$68,BD$4-$B162+1)</f>
        <v/>
      </c>
      <c r="BE162" s="153">
        <f>$C162*INDEX(Curves!$F$8:$F$68,BE$4-$B162+1)</f>
        <v/>
      </c>
      <c r="BF162" s="153">
        <f>$C162*INDEX(Curves!$F$8:$F$68,BF$4-$B162+1)</f>
        <v/>
      </c>
      <c r="BG162" s="153">
        <f>$C162*INDEX(Curves!$F$8:$F$68,BG$4-$B162+1)</f>
        <v/>
      </c>
      <c r="BH162" s="153">
        <f>$C162*INDEX(Curves!$F$8:$F$68,BH$4-$B162+1)</f>
        <v/>
      </c>
      <c r="BI162" s="153">
        <f>$C162*INDEX(Curves!$F$8:$F$68,BI$4-$B162+1)</f>
        <v/>
      </c>
      <c r="BJ162" s="153">
        <f>$C162*INDEX(Curves!$F$8:$F$68,BJ$4-$B162+1)</f>
        <v/>
      </c>
      <c r="BK162" s="153">
        <f>$C162*INDEX(Curves!$F$8:$F$68,BK$4-$B162+1)</f>
        <v/>
      </c>
      <c r="BL162" s="153">
        <f>$C162*INDEX(Curves!$F$8:$F$68,BL$4-$B162+1)</f>
        <v/>
      </c>
    </row>
    <row r="163">
      <c r="A163" s="147" t="inlineStr">
        <is>
          <t>Cohort month 28</t>
        </is>
      </c>
      <c r="B163" s="147" t="n">
        <v>28</v>
      </c>
      <c r="C163" s="41">
        <f>INDEX(Ops!$E$10:$BL$10,1,$B163)</f>
        <v/>
      </c>
      <c r="AG163" s="153">
        <f>$C163*INDEX(Curves!$F$8:$F$68,AG$4-$B163+1)</f>
        <v/>
      </c>
      <c r="AH163" s="153">
        <f>$C163*INDEX(Curves!$F$8:$F$68,AH$4-$B163+1)</f>
        <v/>
      </c>
      <c r="AI163" s="153">
        <f>$C163*INDEX(Curves!$F$8:$F$68,AI$4-$B163+1)</f>
        <v/>
      </c>
      <c r="AJ163" s="153">
        <f>$C163*INDEX(Curves!$F$8:$F$68,AJ$4-$B163+1)</f>
        <v/>
      </c>
      <c r="AK163" s="153">
        <f>$C163*INDEX(Curves!$F$8:$F$68,AK$4-$B163+1)</f>
        <v/>
      </c>
      <c r="AL163" s="153">
        <f>$C163*INDEX(Curves!$F$8:$F$68,AL$4-$B163+1)</f>
        <v/>
      </c>
      <c r="AM163" s="153">
        <f>$C163*INDEX(Curves!$F$8:$F$68,AM$4-$B163+1)</f>
        <v/>
      </c>
      <c r="AN163" s="153">
        <f>$C163*INDEX(Curves!$F$8:$F$68,AN$4-$B163+1)</f>
        <v/>
      </c>
      <c r="AO163" s="153">
        <f>$C163*INDEX(Curves!$F$8:$F$68,AO$4-$B163+1)</f>
        <v/>
      </c>
      <c r="AP163" s="153">
        <f>$C163*INDEX(Curves!$F$8:$F$68,AP$4-$B163+1)</f>
        <v/>
      </c>
      <c r="AQ163" s="153">
        <f>$C163*INDEX(Curves!$F$8:$F$68,AQ$4-$B163+1)</f>
        <v/>
      </c>
      <c r="AR163" s="153">
        <f>$C163*INDEX(Curves!$F$8:$F$68,AR$4-$B163+1)</f>
        <v/>
      </c>
      <c r="AS163" s="153">
        <f>$C163*INDEX(Curves!$F$8:$F$68,AS$4-$B163+1)</f>
        <v/>
      </c>
      <c r="AT163" s="153">
        <f>$C163*INDEX(Curves!$F$8:$F$68,AT$4-$B163+1)</f>
        <v/>
      </c>
      <c r="AU163" s="153">
        <f>$C163*INDEX(Curves!$F$8:$F$68,AU$4-$B163+1)</f>
        <v/>
      </c>
      <c r="AV163" s="153">
        <f>$C163*INDEX(Curves!$F$8:$F$68,AV$4-$B163+1)</f>
        <v/>
      </c>
      <c r="AW163" s="153">
        <f>$C163*INDEX(Curves!$F$8:$F$68,AW$4-$B163+1)</f>
        <v/>
      </c>
      <c r="AX163" s="153">
        <f>$C163*INDEX(Curves!$F$8:$F$68,AX$4-$B163+1)</f>
        <v/>
      </c>
      <c r="AY163" s="153">
        <f>$C163*INDEX(Curves!$F$8:$F$68,AY$4-$B163+1)</f>
        <v/>
      </c>
      <c r="AZ163" s="153">
        <f>$C163*INDEX(Curves!$F$8:$F$68,AZ$4-$B163+1)</f>
        <v/>
      </c>
      <c r="BA163" s="153">
        <f>$C163*INDEX(Curves!$F$8:$F$68,BA$4-$B163+1)</f>
        <v/>
      </c>
      <c r="BB163" s="153">
        <f>$C163*INDEX(Curves!$F$8:$F$68,BB$4-$B163+1)</f>
        <v/>
      </c>
      <c r="BC163" s="153">
        <f>$C163*INDEX(Curves!$F$8:$F$68,BC$4-$B163+1)</f>
        <v/>
      </c>
      <c r="BD163" s="153">
        <f>$C163*INDEX(Curves!$F$8:$F$68,BD$4-$B163+1)</f>
        <v/>
      </c>
      <c r="BE163" s="153">
        <f>$C163*INDEX(Curves!$F$8:$F$68,BE$4-$B163+1)</f>
        <v/>
      </c>
      <c r="BF163" s="153">
        <f>$C163*INDEX(Curves!$F$8:$F$68,BF$4-$B163+1)</f>
        <v/>
      </c>
      <c r="BG163" s="153">
        <f>$C163*INDEX(Curves!$F$8:$F$68,BG$4-$B163+1)</f>
        <v/>
      </c>
      <c r="BH163" s="153">
        <f>$C163*INDEX(Curves!$F$8:$F$68,BH$4-$B163+1)</f>
        <v/>
      </c>
      <c r="BI163" s="153">
        <f>$C163*INDEX(Curves!$F$8:$F$68,BI$4-$B163+1)</f>
        <v/>
      </c>
      <c r="BJ163" s="153">
        <f>$C163*INDEX(Curves!$F$8:$F$68,BJ$4-$B163+1)</f>
        <v/>
      </c>
      <c r="BK163" s="153">
        <f>$C163*INDEX(Curves!$F$8:$F$68,BK$4-$B163+1)</f>
        <v/>
      </c>
      <c r="BL163" s="153">
        <f>$C163*INDEX(Curves!$F$8:$F$68,BL$4-$B163+1)</f>
        <v/>
      </c>
    </row>
    <row r="164">
      <c r="A164" s="147" t="inlineStr">
        <is>
          <t>Cohort month 29</t>
        </is>
      </c>
      <c r="B164" s="147" t="n">
        <v>29</v>
      </c>
      <c r="C164" s="41">
        <f>INDEX(Ops!$E$10:$BL$10,1,$B164)</f>
        <v/>
      </c>
      <c r="AH164" s="153">
        <f>$C164*INDEX(Curves!$F$8:$F$68,AH$4-$B164+1)</f>
        <v/>
      </c>
      <c r="AI164" s="153">
        <f>$C164*INDEX(Curves!$F$8:$F$68,AI$4-$B164+1)</f>
        <v/>
      </c>
      <c r="AJ164" s="153">
        <f>$C164*INDEX(Curves!$F$8:$F$68,AJ$4-$B164+1)</f>
        <v/>
      </c>
      <c r="AK164" s="153">
        <f>$C164*INDEX(Curves!$F$8:$F$68,AK$4-$B164+1)</f>
        <v/>
      </c>
      <c r="AL164" s="153">
        <f>$C164*INDEX(Curves!$F$8:$F$68,AL$4-$B164+1)</f>
        <v/>
      </c>
      <c r="AM164" s="153">
        <f>$C164*INDEX(Curves!$F$8:$F$68,AM$4-$B164+1)</f>
        <v/>
      </c>
      <c r="AN164" s="153">
        <f>$C164*INDEX(Curves!$F$8:$F$68,AN$4-$B164+1)</f>
        <v/>
      </c>
      <c r="AO164" s="153">
        <f>$C164*INDEX(Curves!$F$8:$F$68,AO$4-$B164+1)</f>
        <v/>
      </c>
      <c r="AP164" s="153">
        <f>$C164*INDEX(Curves!$F$8:$F$68,AP$4-$B164+1)</f>
        <v/>
      </c>
      <c r="AQ164" s="153">
        <f>$C164*INDEX(Curves!$F$8:$F$68,AQ$4-$B164+1)</f>
        <v/>
      </c>
      <c r="AR164" s="153">
        <f>$C164*INDEX(Curves!$F$8:$F$68,AR$4-$B164+1)</f>
        <v/>
      </c>
      <c r="AS164" s="153">
        <f>$C164*INDEX(Curves!$F$8:$F$68,AS$4-$B164+1)</f>
        <v/>
      </c>
      <c r="AT164" s="153">
        <f>$C164*INDEX(Curves!$F$8:$F$68,AT$4-$B164+1)</f>
        <v/>
      </c>
      <c r="AU164" s="153">
        <f>$C164*INDEX(Curves!$F$8:$F$68,AU$4-$B164+1)</f>
        <v/>
      </c>
      <c r="AV164" s="153">
        <f>$C164*INDEX(Curves!$F$8:$F$68,AV$4-$B164+1)</f>
        <v/>
      </c>
      <c r="AW164" s="153">
        <f>$C164*INDEX(Curves!$F$8:$F$68,AW$4-$B164+1)</f>
        <v/>
      </c>
      <c r="AX164" s="153">
        <f>$C164*INDEX(Curves!$F$8:$F$68,AX$4-$B164+1)</f>
        <v/>
      </c>
      <c r="AY164" s="153">
        <f>$C164*INDEX(Curves!$F$8:$F$68,AY$4-$B164+1)</f>
        <v/>
      </c>
      <c r="AZ164" s="153">
        <f>$C164*INDEX(Curves!$F$8:$F$68,AZ$4-$B164+1)</f>
        <v/>
      </c>
      <c r="BA164" s="153">
        <f>$C164*INDEX(Curves!$F$8:$F$68,BA$4-$B164+1)</f>
        <v/>
      </c>
      <c r="BB164" s="153">
        <f>$C164*INDEX(Curves!$F$8:$F$68,BB$4-$B164+1)</f>
        <v/>
      </c>
      <c r="BC164" s="153">
        <f>$C164*INDEX(Curves!$F$8:$F$68,BC$4-$B164+1)</f>
        <v/>
      </c>
      <c r="BD164" s="153">
        <f>$C164*INDEX(Curves!$F$8:$F$68,BD$4-$B164+1)</f>
        <v/>
      </c>
      <c r="BE164" s="153">
        <f>$C164*INDEX(Curves!$F$8:$F$68,BE$4-$B164+1)</f>
        <v/>
      </c>
      <c r="BF164" s="153">
        <f>$C164*INDEX(Curves!$F$8:$F$68,BF$4-$B164+1)</f>
        <v/>
      </c>
      <c r="BG164" s="153">
        <f>$C164*INDEX(Curves!$F$8:$F$68,BG$4-$B164+1)</f>
        <v/>
      </c>
      <c r="BH164" s="153">
        <f>$C164*INDEX(Curves!$F$8:$F$68,BH$4-$B164+1)</f>
        <v/>
      </c>
      <c r="BI164" s="153">
        <f>$C164*INDEX(Curves!$F$8:$F$68,BI$4-$B164+1)</f>
        <v/>
      </c>
      <c r="BJ164" s="153">
        <f>$C164*INDEX(Curves!$F$8:$F$68,BJ$4-$B164+1)</f>
        <v/>
      </c>
      <c r="BK164" s="153">
        <f>$C164*INDEX(Curves!$F$8:$F$68,BK$4-$B164+1)</f>
        <v/>
      </c>
      <c r="BL164" s="153">
        <f>$C164*INDEX(Curves!$F$8:$F$68,BL$4-$B164+1)</f>
        <v/>
      </c>
    </row>
    <row r="165">
      <c r="A165" s="147" t="inlineStr">
        <is>
          <t>Cohort month 30</t>
        </is>
      </c>
      <c r="B165" s="147" t="n">
        <v>30</v>
      </c>
      <c r="C165" s="41">
        <f>INDEX(Ops!$E$10:$BL$10,1,$B165)</f>
        <v/>
      </c>
      <c r="AI165" s="153">
        <f>$C165*INDEX(Curves!$F$8:$F$68,AI$4-$B165+1)</f>
        <v/>
      </c>
      <c r="AJ165" s="153">
        <f>$C165*INDEX(Curves!$F$8:$F$68,AJ$4-$B165+1)</f>
        <v/>
      </c>
      <c r="AK165" s="153">
        <f>$C165*INDEX(Curves!$F$8:$F$68,AK$4-$B165+1)</f>
        <v/>
      </c>
      <c r="AL165" s="153">
        <f>$C165*INDEX(Curves!$F$8:$F$68,AL$4-$B165+1)</f>
        <v/>
      </c>
      <c r="AM165" s="153">
        <f>$C165*INDEX(Curves!$F$8:$F$68,AM$4-$B165+1)</f>
        <v/>
      </c>
      <c r="AN165" s="153">
        <f>$C165*INDEX(Curves!$F$8:$F$68,AN$4-$B165+1)</f>
        <v/>
      </c>
      <c r="AO165" s="153">
        <f>$C165*INDEX(Curves!$F$8:$F$68,AO$4-$B165+1)</f>
        <v/>
      </c>
      <c r="AP165" s="153">
        <f>$C165*INDEX(Curves!$F$8:$F$68,AP$4-$B165+1)</f>
        <v/>
      </c>
      <c r="AQ165" s="153">
        <f>$C165*INDEX(Curves!$F$8:$F$68,AQ$4-$B165+1)</f>
        <v/>
      </c>
      <c r="AR165" s="153">
        <f>$C165*INDEX(Curves!$F$8:$F$68,AR$4-$B165+1)</f>
        <v/>
      </c>
      <c r="AS165" s="153">
        <f>$C165*INDEX(Curves!$F$8:$F$68,AS$4-$B165+1)</f>
        <v/>
      </c>
      <c r="AT165" s="153">
        <f>$C165*INDEX(Curves!$F$8:$F$68,AT$4-$B165+1)</f>
        <v/>
      </c>
      <c r="AU165" s="153">
        <f>$C165*INDEX(Curves!$F$8:$F$68,AU$4-$B165+1)</f>
        <v/>
      </c>
      <c r="AV165" s="153">
        <f>$C165*INDEX(Curves!$F$8:$F$68,AV$4-$B165+1)</f>
        <v/>
      </c>
      <c r="AW165" s="153">
        <f>$C165*INDEX(Curves!$F$8:$F$68,AW$4-$B165+1)</f>
        <v/>
      </c>
      <c r="AX165" s="153">
        <f>$C165*INDEX(Curves!$F$8:$F$68,AX$4-$B165+1)</f>
        <v/>
      </c>
      <c r="AY165" s="153">
        <f>$C165*INDEX(Curves!$F$8:$F$68,AY$4-$B165+1)</f>
        <v/>
      </c>
      <c r="AZ165" s="153">
        <f>$C165*INDEX(Curves!$F$8:$F$68,AZ$4-$B165+1)</f>
        <v/>
      </c>
      <c r="BA165" s="153">
        <f>$C165*INDEX(Curves!$F$8:$F$68,BA$4-$B165+1)</f>
        <v/>
      </c>
      <c r="BB165" s="153">
        <f>$C165*INDEX(Curves!$F$8:$F$68,BB$4-$B165+1)</f>
        <v/>
      </c>
      <c r="BC165" s="153">
        <f>$C165*INDEX(Curves!$F$8:$F$68,BC$4-$B165+1)</f>
        <v/>
      </c>
      <c r="BD165" s="153">
        <f>$C165*INDEX(Curves!$F$8:$F$68,BD$4-$B165+1)</f>
        <v/>
      </c>
      <c r="BE165" s="153">
        <f>$C165*INDEX(Curves!$F$8:$F$68,BE$4-$B165+1)</f>
        <v/>
      </c>
      <c r="BF165" s="153">
        <f>$C165*INDEX(Curves!$F$8:$F$68,BF$4-$B165+1)</f>
        <v/>
      </c>
      <c r="BG165" s="153">
        <f>$C165*INDEX(Curves!$F$8:$F$68,BG$4-$B165+1)</f>
        <v/>
      </c>
      <c r="BH165" s="153">
        <f>$C165*INDEX(Curves!$F$8:$F$68,BH$4-$B165+1)</f>
        <v/>
      </c>
      <c r="BI165" s="153">
        <f>$C165*INDEX(Curves!$F$8:$F$68,BI$4-$B165+1)</f>
        <v/>
      </c>
      <c r="BJ165" s="153">
        <f>$C165*INDEX(Curves!$F$8:$F$68,BJ$4-$B165+1)</f>
        <v/>
      </c>
      <c r="BK165" s="153">
        <f>$C165*INDEX(Curves!$F$8:$F$68,BK$4-$B165+1)</f>
        <v/>
      </c>
      <c r="BL165" s="153">
        <f>$C165*INDEX(Curves!$F$8:$F$68,BL$4-$B165+1)</f>
        <v/>
      </c>
    </row>
    <row r="166">
      <c r="A166" s="147" t="inlineStr">
        <is>
          <t>Cohort month 31</t>
        </is>
      </c>
      <c r="B166" s="147" t="n">
        <v>31</v>
      </c>
      <c r="C166" s="41">
        <f>INDEX(Ops!$E$10:$BL$10,1,$B166)</f>
        <v/>
      </c>
      <c r="AJ166" s="153">
        <f>$C166*INDEX(Curves!$F$8:$F$68,AJ$4-$B166+1)</f>
        <v/>
      </c>
      <c r="AK166" s="153">
        <f>$C166*INDEX(Curves!$F$8:$F$68,AK$4-$B166+1)</f>
        <v/>
      </c>
      <c r="AL166" s="153">
        <f>$C166*INDEX(Curves!$F$8:$F$68,AL$4-$B166+1)</f>
        <v/>
      </c>
      <c r="AM166" s="153">
        <f>$C166*INDEX(Curves!$F$8:$F$68,AM$4-$B166+1)</f>
        <v/>
      </c>
      <c r="AN166" s="153">
        <f>$C166*INDEX(Curves!$F$8:$F$68,AN$4-$B166+1)</f>
        <v/>
      </c>
      <c r="AO166" s="153">
        <f>$C166*INDEX(Curves!$F$8:$F$68,AO$4-$B166+1)</f>
        <v/>
      </c>
      <c r="AP166" s="153">
        <f>$C166*INDEX(Curves!$F$8:$F$68,AP$4-$B166+1)</f>
        <v/>
      </c>
      <c r="AQ166" s="153">
        <f>$C166*INDEX(Curves!$F$8:$F$68,AQ$4-$B166+1)</f>
        <v/>
      </c>
      <c r="AR166" s="153">
        <f>$C166*INDEX(Curves!$F$8:$F$68,AR$4-$B166+1)</f>
        <v/>
      </c>
      <c r="AS166" s="153">
        <f>$C166*INDEX(Curves!$F$8:$F$68,AS$4-$B166+1)</f>
        <v/>
      </c>
      <c r="AT166" s="153">
        <f>$C166*INDEX(Curves!$F$8:$F$68,AT$4-$B166+1)</f>
        <v/>
      </c>
      <c r="AU166" s="153">
        <f>$C166*INDEX(Curves!$F$8:$F$68,AU$4-$B166+1)</f>
        <v/>
      </c>
      <c r="AV166" s="153">
        <f>$C166*INDEX(Curves!$F$8:$F$68,AV$4-$B166+1)</f>
        <v/>
      </c>
      <c r="AW166" s="153">
        <f>$C166*INDEX(Curves!$F$8:$F$68,AW$4-$B166+1)</f>
        <v/>
      </c>
      <c r="AX166" s="153">
        <f>$C166*INDEX(Curves!$F$8:$F$68,AX$4-$B166+1)</f>
        <v/>
      </c>
      <c r="AY166" s="153">
        <f>$C166*INDEX(Curves!$F$8:$F$68,AY$4-$B166+1)</f>
        <v/>
      </c>
      <c r="AZ166" s="153">
        <f>$C166*INDEX(Curves!$F$8:$F$68,AZ$4-$B166+1)</f>
        <v/>
      </c>
      <c r="BA166" s="153">
        <f>$C166*INDEX(Curves!$F$8:$F$68,BA$4-$B166+1)</f>
        <v/>
      </c>
      <c r="BB166" s="153">
        <f>$C166*INDEX(Curves!$F$8:$F$68,BB$4-$B166+1)</f>
        <v/>
      </c>
      <c r="BC166" s="153">
        <f>$C166*INDEX(Curves!$F$8:$F$68,BC$4-$B166+1)</f>
        <v/>
      </c>
      <c r="BD166" s="153">
        <f>$C166*INDEX(Curves!$F$8:$F$68,BD$4-$B166+1)</f>
        <v/>
      </c>
      <c r="BE166" s="153">
        <f>$C166*INDEX(Curves!$F$8:$F$68,BE$4-$B166+1)</f>
        <v/>
      </c>
      <c r="BF166" s="153">
        <f>$C166*INDEX(Curves!$F$8:$F$68,BF$4-$B166+1)</f>
        <v/>
      </c>
      <c r="BG166" s="153">
        <f>$C166*INDEX(Curves!$F$8:$F$68,BG$4-$B166+1)</f>
        <v/>
      </c>
      <c r="BH166" s="153">
        <f>$C166*INDEX(Curves!$F$8:$F$68,BH$4-$B166+1)</f>
        <v/>
      </c>
      <c r="BI166" s="153">
        <f>$C166*INDEX(Curves!$F$8:$F$68,BI$4-$B166+1)</f>
        <v/>
      </c>
      <c r="BJ166" s="153">
        <f>$C166*INDEX(Curves!$F$8:$F$68,BJ$4-$B166+1)</f>
        <v/>
      </c>
      <c r="BK166" s="153">
        <f>$C166*INDEX(Curves!$F$8:$F$68,BK$4-$B166+1)</f>
        <v/>
      </c>
      <c r="BL166" s="153">
        <f>$C166*INDEX(Curves!$F$8:$F$68,BL$4-$B166+1)</f>
        <v/>
      </c>
    </row>
    <row r="167">
      <c r="A167" s="147" t="inlineStr">
        <is>
          <t>Cohort month 32</t>
        </is>
      </c>
      <c r="B167" s="147" t="n">
        <v>32</v>
      </c>
      <c r="C167" s="41">
        <f>INDEX(Ops!$E$10:$BL$10,1,$B167)</f>
        <v/>
      </c>
      <c r="AK167" s="153">
        <f>$C167*INDEX(Curves!$F$8:$F$68,AK$4-$B167+1)</f>
        <v/>
      </c>
      <c r="AL167" s="153">
        <f>$C167*INDEX(Curves!$F$8:$F$68,AL$4-$B167+1)</f>
        <v/>
      </c>
      <c r="AM167" s="153">
        <f>$C167*INDEX(Curves!$F$8:$F$68,AM$4-$B167+1)</f>
        <v/>
      </c>
      <c r="AN167" s="153">
        <f>$C167*INDEX(Curves!$F$8:$F$68,AN$4-$B167+1)</f>
        <v/>
      </c>
      <c r="AO167" s="153">
        <f>$C167*INDEX(Curves!$F$8:$F$68,AO$4-$B167+1)</f>
        <v/>
      </c>
      <c r="AP167" s="153">
        <f>$C167*INDEX(Curves!$F$8:$F$68,AP$4-$B167+1)</f>
        <v/>
      </c>
      <c r="AQ167" s="153">
        <f>$C167*INDEX(Curves!$F$8:$F$68,AQ$4-$B167+1)</f>
        <v/>
      </c>
      <c r="AR167" s="153">
        <f>$C167*INDEX(Curves!$F$8:$F$68,AR$4-$B167+1)</f>
        <v/>
      </c>
      <c r="AS167" s="153">
        <f>$C167*INDEX(Curves!$F$8:$F$68,AS$4-$B167+1)</f>
        <v/>
      </c>
      <c r="AT167" s="153">
        <f>$C167*INDEX(Curves!$F$8:$F$68,AT$4-$B167+1)</f>
        <v/>
      </c>
      <c r="AU167" s="153">
        <f>$C167*INDEX(Curves!$F$8:$F$68,AU$4-$B167+1)</f>
        <v/>
      </c>
      <c r="AV167" s="153">
        <f>$C167*INDEX(Curves!$F$8:$F$68,AV$4-$B167+1)</f>
        <v/>
      </c>
      <c r="AW167" s="153">
        <f>$C167*INDEX(Curves!$F$8:$F$68,AW$4-$B167+1)</f>
        <v/>
      </c>
      <c r="AX167" s="153">
        <f>$C167*INDEX(Curves!$F$8:$F$68,AX$4-$B167+1)</f>
        <v/>
      </c>
      <c r="AY167" s="153">
        <f>$C167*INDEX(Curves!$F$8:$F$68,AY$4-$B167+1)</f>
        <v/>
      </c>
      <c r="AZ167" s="153">
        <f>$C167*INDEX(Curves!$F$8:$F$68,AZ$4-$B167+1)</f>
        <v/>
      </c>
      <c r="BA167" s="153">
        <f>$C167*INDEX(Curves!$F$8:$F$68,BA$4-$B167+1)</f>
        <v/>
      </c>
      <c r="BB167" s="153">
        <f>$C167*INDEX(Curves!$F$8:$F$68,BB$4-$B167+1)</f>
        <v/>
      </c>
      <c r="BC167" s="153">
        <f>$C167*INDEX(Curves!$F$8:$F$68,BC$4-$B167+1)</f>
        <v/>
      </c>
      <c r="BD167" s="153">
        <f>$C167*INDEX(Curves!$F$8:$F$68,BD$4-$B167+1)</f>
        <v/>
      </c>
      <c r="BE167" s="153">
        <f>$C167*INDEX(Curves!$F$8:$F$68,BE$4-$B167+1)</f>
        <v/>
      </c>
      <c r="BF167" s="153">
        <f>$C167*INDEX(Curves!$F$8:$F$68,BF$4-$B167+1)</f>
        <v/>
      </c>
      <c r="BG167" s="153">
        <f>$C167*INDEX(Curves!$F$8:$F$68,BG$4-$B167+1)</f>
        <v/>
      </c>
      <c r="BH167" s="153">
        <f>$C167*INDEX(Curves!$F$8:$F$68,BH$4-$B167+1)</f>
        <v/>
      </c>
      <c r="BI167" s="153">
        <f>$C167*INDEX(Curves!$F$8:$F$68,BI$4-$B167+1)</f>
        <v/>
      </c>
      <c r="BJ167" s="153">
        <f>$C167*INDEX(Curves!$F$8:$F$68,BJ$4-$B167+1)</f>
        <v/>
      </c>
      <c r="BK167" s="153">
        <f>$C167*INDEX(Curves!$F$8:$F$68,BK$4-$B167+1)</f>
        <v/>
      </c>
      <c r="BL167" s="153">
        <f>$C167*INDEX(Curves!$F$8:$F$68,BL$4-$B167+1)</f>
        <v/>
      </c>
    </row>
    <row r="168">
      <c r="A168" s="147" t="inlineStr">
        <is>
          <t>Cohort month 33</t>
        </is>
      </c>
      <c r="B168" s="147" t="n">
        <v>33</v>
      </c>
      <c r="C168" s="41">
        <f>INDEX(Ops!$E$10:$BL$10,1,$B168)</f>
        <v/>
      </c>
      <c r="AL168" s="153">
        <f>$C168*INDEX(Curves!$F$8:$F$68,AL$4-$B168+1)</f>
        <v/>
      </c>
      <c r="AM168" s="153">
        <f>$C168*INDEX(Curves!$F$8:$F$68,AM$4-$B168+1)</f>
        <v/>
      </c>
      <c r="AN168" s="153">
        <f>$C168*INDEX(Curves!$F$8:$F$68,AN$4-$B168+1)</f>
        <v/>
      </c>
      <c r="AO168" s="153">
        <f>$C168*INDEX(Curves!$F$8:$F$68,AO$4-$B168+1)</f>
        <v/>
      </c>
      <c r="AP168" s="153">
        <f>$C168*INDEX(Curves!$F$8:$F$68,AP$4-$B168+1)</f>
        <v/>
      </c>
      <c r="AQ168" s="153">
        <f>$C168*INDEX(Curves!$F$8:$F$68,AQ$4-$B168+1)</f>
        <v/>
      </c>
      <c r="AR168" s="153">
        <f>$C168*INDEX(Curves!$F$8:$F$68,AR$4-$B168+1)</f>
        <v/>
      </c>
      <c r="AS168" s="153">
        <f>$C168*INDEX(Curves!$F$8:$F$68,AS$4-$B168+1)</f>
        <v/>
      </c>
      <c r="AT168" s="153">
        <f>$C168*INDEX(Curves!$F$8:$F$68,AT$4-$B168+1)</f>
        <v/>
      </c>
      <c r="AU168" s="153">
        <f>$C168*INDEX(Curves!$F$8:$F$68,AU$4-$B168+1)</f>
        <v/>
      </c>
      <c r="AV168" s="153">
        <f>$C168*INDEX(Curves!$F$8:$F$68,AV$4-$B168+1)</f>
        <v/>
      </c>
      <c r="AW168" s="153">
        <f>$C168*INDEX(Curves!$F$8:$F$68,AW$4-$B168+1)</f>
        <v/>
      </c>
      <c r="AX168" s="153">
        <f>$C168*INDEX(Curves!$F$8:$F$68,AX$4-$B168+1)</f>
        <v/>
      </c>
      <c r="AY168" s="153">
        <f>$C168*INDEX(Curves!$F$8:$F$68,AY$4-$B168+1)</f>
        <v/>
      </c>
      <c r="AZ168" s="153">
        <f>$C168*INDEX(Curves!$F$8:$F$68,AZ$4-$B168+1)</f>
        <v/>
      </c>
      <c r="BA168" s="153">
        <f>$C168*INDEX(Curves!$F$8:$F$68,BA$4-$B168+1)</f>
        <v/>
      </c>
      <c r="BB168" s="153">
        <f>$C168*INDEX(Curves!$F$8:$F$68,BB$4-$B168+1)</f>
        <v/>
      </c>
      <c r="BC168" s="153">
        <f>$C168*INDEX(Curves!$F$8:$F$68,BC$4-$B168+1)</f>
        <v/>
      </c>
      <c r="BD168" s="153">
        <f>$C168*INDEX(Curves!$F$8:$F$68,BD$4-$B168+1)</f>
        <v/>
      </c>
      <c r="BE168" s="153">
        <f>$C168*INDEX(Curves!$F$8:$F$68,BE$4-$B168+1)</f>
        <v/>
      </c>
      <c r="BF168" s="153">
        <f>$C168*INDEX(Curves!$F$8:$F$68,BF$4-$B168+1)</f>
        <v/>
      </c>
      <c r="BG168" s="153">
        <f>$C168*INDEX(Curves!$F$8:$F$68,BG$4-$B168+1)</f>
        <v/>
      </c>
      <c r="BH168" s="153">
        <f>$C168*INDEX(Curves!$F$8:$F$68,BH$4-$B168+1)</f>
        <v/>
      </c>
      <c r="BI168" s="153">
        <f>$C168*INDEX(Curves!$F$8:$F$68,BI$4-$B168+1)</f>
        <v/>
      </c>
      <c r="BJ168" s="153">
        <f>$C168*INDEX(Curves!$F$8:$F$68,BJ$4-$B168+1)</f>
        <v/>
      </c>
      <c r="BK168" s="153">
        <f>$C168*INDEX(Curves!$F$8:$F$68,BK$4-$B168+1)</f>
        <v/>
      </c>
      <c r="BL168" s="153">
        <f>$C168*INDEX(Curves!$F$8:$F$68,BL$4-$B168+1)</f>
        <v/>
      </c>
    </row>
    <row r="169">
      <c r="A169" s="147" t="inlineStr">
        <is>
          <t>Cohort month 34</t>
        </is>
      </c>
      <c r="B169" s="147" t="n">
        <v>34</v>
      </c>
      <c r="C169" s="41">
        <f>INDEX(Ops!$E$10:$BL$10,1,$B169)</f>
        <v/>
      </c>
      <c r="AM169" s="153">
        <f>$C169*INDEX(Curves!$F$8:$F$68,AM$4-$B169+1)</f>
        <v/>
      </c>
      <c r="AN169" s="153">
        <f>$C169*INDEX(Curves!$F$8:$F$68,AN$4-$B169+1)</f>
        <v/>
      </c>
      <c r="AO169" s="153">
        <f>$C169*INDEX(Curves!$F$8:$F$68,AO$4-$B169+1)</f>
        <v/>
      </c>
      <c r="AP169" s="153">
        <f>$C169*INDEX(Curves!$F$8:$F$68,AP$4-$B169+1)</f>
        <v/>
      </c>
      <c r="AQ169" s="153">
        <f>$C169*INDEX(Curves!$F$8:$F$68,AQ$4-$B169+1)</f>
        <v/>
      </c>
      <c r="AR169" s="153">
        <f>$C169*INDEX(Curves!$F$8:$F$68,AR$4-$B169+1)</f>
        <v/>
      </c>
      <c r="AS169" s="153">
        <f>$C169*INDEX(Curves!$F$8:$F$68,AS$4-$B169+1)</f>
        <v/>
      </c>
      <c r="AT169" s="153">
        <f>$C169*INDEX(Curves!$F$8:$F$68,AT$4-$B169+1)</f>
        <v/>
      </c>
      <c r="AU169" s="153">
        <f>$C169*INDEX(Curves!$F$8:$F$68,AU$4-$B169+1)</f>
        <v/>
      </c>
      <c r="AV169" s="153">
        <f>$C169*INDEX(Curves!$F$8:$F$68,AV$4-$B169+1)</f>
        <v/>
      </c>
      <c r="AW169" s="153">
        <f>$C169*INDEX(Curves!$F$8:$F$68,AW$4-$B169+1)</f>
        <v/>
      </c>
      <c r="AX169" s="153">
        <f>$C169*INDEX(Curves!$F$8:$F$68,AX$4-$B169+1)</f>
        <v/>
      </c>
      <c r="AY169" s="153">
        <f>$C169*INDEX(Curves!$F$8:$F$68,AY$4-$B169+1)</f>
        <v/>
      </c>
      <c r="AZ169" s="153">
        <f>$C169*INDEX(Curves!$F$8:$F$68,AZ$4-$B169+1)</f>
        <v/>
      </c>
      <c r="BA169" s="153">
        <f>$C169*INDEX(Curves!$F$8:$F$68,BA$4-$B169+1)</f>
        <v/>
      </c>
      <c r="BB169" s="153">
        <f>$C169*INDEX(Curves!$F$8:$F$68,BB$4-$B169+1)</f>
        <v/>
      </c>
      <c r="BC169" s="153">
        <f>$C169*INDEX(Curves!$F$8:$F$68,BC$4-$B169+1)</f>
        <v/>
      </c>
      <c r="BD169" s="153">
        <f>$C169*INDEX(Curves!$F$8:$F$68,BD$4-$B169+1)</f>
        <v/>
      </c>
      <c r="BE169" s="153">
        <f>$C169*INDEX(Curves!$F$8:$F$68,BE$4-$B169+1)</f>
        <v/>
      </c>
      <c r="BF169" s="153">
        <f>$C169*INDEX(Curves!$F$8:$F$68,BF$4-$B169+1)</f>
        <v/>
      </c>
      <c r="BG169" s="153">
        <f>$C169*INDEX(Curves!$F$8:$F$68,BG$4-$B169+1)</f>
        <v/>
      </c>
      <c r="BH169" s="153">
        <f>$C169*INDEX(Curves!$F$8:$F$68,BH$4-$B169+1)</f>
        <v/>
      </c>
      <c r="BI169" s="153">
        <f>$C169*INDEX(Curves!$F$8:$F$68,BI$4-$B169+1)</f>
        <v/>
      </c>
      <c r="BJ169" s="153">
        <f>$C169*INDEX(Curves!$F$8:$F$68,BJ$4-$B169+1)</f>
        <v/>
      </c>
      <c r="BK169" s="153">
        <f>$C169*INDEX(Curves!$F$8:$F$68,BK$4-$B169+1)</f>
        <v/>
      </c>
      <c r="BL169" s="153">
        <f>$C169*INDEX(Curves!$F$8:$F$68,BL$4-$B169+1)</f>
        <v/>
      </c>
    </row>
    <row r="170">
      <c r="A170" s="147" t="inlineStr">
        <is>
          <t>Cohort month 35</t>
        </is>
      </c>
      <c r="B170" s="147" t="n">
        <v>35</v>
      </c>
      <c r="C170" s="41">
        <f>INDEX(Ops!$E$10:$BL$10,1,$B170)</f>
        <v/>
      </c>
      <c r="AN170" s="153">
        <f>$C170*INDEX(Curves!$F$8:$F$68,AN$4-$B170+1)</f>
        <v/>
      </c>
      <c r="AO170" s="153">
        <f>$C170*INDEX(Curves!$F$8:$F$68,AO$4-$B170+1)</f>
        <v/>
      </c>
      <c r="AP170" s="153">
        <f>$C170*INDEX(Curves!$F$8:$F$68,AP$4-$B170+1)</f>
        <v/>
      </c>
      <c r="AQ170" s="153">
        <f>$C170*INDEX(Curves!$F$8:$F$68,AQ$4-$B170+1)</f>
        <v/>
      </c>
      <c r="AR170" s="153">
        <f>$C170*INDEX(Curves!$F$8:$F$68,AR$4-$B170+1)</f>
        <v/>
      </c>
      <c r="AS170" s="153">
        <f>$C170*INDEX(Curves!$F$8:$F$68,AS$4-$B170+1)</f>
        <v/>
      </c>
      <c r="AT170" s="153">
        <f>$C170*INDEX(Curves!$F$8:$F$68,AT$4-$B170+1)</f>
        <v/>
      </c>
      <c r="AU170" s="153">
        <f>$C170*INDEX(Curves!$F$8:$F$68,AU$4-$B170+1)</f>
        <v/>
      </c>
      <c r="AV170" s="153">
        <f>$C170*INDEX(Curves!$F$8:$F$68,AV$4-$B170+1)</f>
        <v/>
      </c>
      <c r="AW170" s="153">
        <f>$C170*INDEX(Curves!$F$8:$F$68,AW$4-$B170+1)</f>
        <v/>
      </c>
      <c r="AX170" s="153">
        <f>$C170*INDEX(Curves!$F$8:$F$68,AX$4-$B170+1)</f>
        <v/>
      </c>
      <c r="AY170" s="153">
        <f>$C170*INDEX(Curves!$F$8:$F$68,AY$4-$B170+1)</f>
        <v/>
      </c>
      <c r="AZ170" s="153">
        <f>$C170*INDEX(Curves!$F$8:$F$68,AZ$4-$B170+1)</f>
        <v/>
      </c>
      <c r="BA170" s="153">
        <f>$C170*INDEX(Curves!$F$8:$F$68,BA$4-$B170+1)</f>
        <v/>
      </c>
      <c r="BB170" s="153">
        <f>$C170*INDEX(Curves!$F$8:$F$68,BB$4-$B170+1)</f>
        <v/>
      </c>
      <c r="BC170" s="153">
        <f>$C170*INDEX(Curves!$F$8:$F$68,BC$4-$B170+1)</f>
        <v/>
      </c>
      <c r="BD170" s="153">
        <f>$C170*INDEX(Curves!$F$8:$F$68,BD$4-$B170+1)</f>
        <v/>
      </c>
      <c r="BE170" s="153">
        <f>$C170*INDEX(Curves!$F$8:$F$68,BE$4-$B170+1)</f>
        <v/>
      </c>
      <c r="BF170" s="153">
        <f>$C170*INDEX(Curves!$F$8:$F$68,BF$4-$B170+1)</f>
        <v/>
      </c>
      <c r="BG170" s="153">
        <f>$C170*INDEX(Curves!$F$8:$F$68,BG$4-$B170+1)</f>
        <v/>
      </c>
      <c r="BH170" s="153">
        <f>$C170*INDEX(Curves!$F$8:$F$68,BH$4-$B170+1)</f>
        <v/>
      </c>
      <c r="BI170" s="153">
        <f>$C170*INDEX(Curves!$F$8:$F$68,BI$4-$B170+1)</f>
        <v/>
      </c>
      <c r="BJ170" s="153">
        <f>$C170*INDEX(Curves!$F$8:$F$68,BJ$4-$B170+1)</f>
        <v/>
      </c>
      <c r="BK170" s="153">
        <f>$C170*INDEX(Curves!$F$8:$F$68,BK$4-$B170+1)</f>
        <v/>
      </c>
      <c r="BL170" s="153">
        <f>$C170*INDEX(Curves!$F$8:$F$68,BL$4-$B170+1)</f>
        <v/>
      </c>
    </row>
    <row r="171">
      <c r="A171" s="147" t="inlineStr">
        <is>
          <t>Cohort month 36</t>
        </is>
      </c>
      <c r="B171" s="147" t="n">
        <v>36</v>
      </c>
      <c r="C171" s="41">
        <f>INDEX(Ops!$E$10:$BL$10,1,$B171)</f>
        <v/>
      </c>
      <c r="AO171" s="153">
        <f>$C171*INDEX(Curves!$F$8:$F$68,AO$4-$B171+1)</f>
        <v/>
      </c>
      <c r="AP171" s="153">
        <f>$C171*INDEX(Curves!$F$8:$F$68,AP$4-$B171+1)</f>
        <v/>
      </c>
      <c r="AQ171" s="153">
        <f>$C171*INDEX(Curves!$F$8:$F$68,AQ$4-$B171+1)</f>
        <v/>
      </c>
      <c r="AR171" s="153">
        <f>$C171*INDEX(Curves!$F$8:$F$68,AR$4-$B171+1)</f>
        <v/>
      </c>
      <c r="AS171" s="153">
        <f>$C171*INDEX(Curves!$F$8:$F$68,AS$4-$B171+1)</f>
        <v/>
      </c>
      <c r="AT171" s="153">
        <f>$C171*INDEX(Curves!$F$8:$F$68,AT$4-$B171+1)</f>
        <v/>
      </c>
      <c r="AU171" s="153">
        <f>$C171*INDEX(Curves!$F$8:$F$68,AU$4-$B171+1)</f>
        <v/>
      </c>
      <c r="AV171" s="153">
        <f>$C171*INDEX(Curves!$F$8:$F$68,AV$4-$B171+1)</f>
        <v/>
      </c>
      <c r="AW171" s="153">
        <f>$C171*INDEX(Curves!$F$8:$F$68,AW$4-$B171+1)</f>
        <v/>
      </c>
      <c r="AX171" s="153">
        <f>$C171*INDEX(Curves!$F$8:$F$68,AX$4-$B171+1)</f>
        <v/>
      </c>
      <c r="AY171" s="153">
        <f>$C171*INDEX(Curves!$F$8:$F$68,AY$4-$B171+1)</f>
        <v/>
      </c>
      <c r="AZ171" s="153">
        <f>$C171*INDEX(Curves!$F$8:$F$68,AZ$4-$B171+1)</f>
        <v/>
      </c>
      <c r="BA171" s="153">
        <f>$C171*INDEX(Curves!$F$8:$F$68,BA$4-$B171+1)</f>
        <v/>
      </c>
      <c r="BB171" s="153">
        <f>$C171*INDEX(Curves!$F$8:$F$68,BB$4-$B171+1)</f>
        <v/>
      </c>
      <c r="BC171" s="153">
        <f>$C171*INDEX(Curves!$F$8:$F$68,BC$4-$B171+1)</f>
        <v/>
      </c>
      <c r="BD171" s="153">
        <f>$C171*INDEX(Curves!$F$8:$F$68,BD$4-$B171+1)</f>
        <v/>
      </c>
      <c r="BE171" s="153">
        <f>$C171*INDEX(Curves!$F$8:$F$68,BE$4-$B171+1)</f>
        <v/>
      </c>
      <c r="BF171" s="153">
        <f>$C171*INDEX(Curves!$F$8:$F$68,BF$4-$B171+1)</f>
        <v/>
      </c>
      <c r="BG171" s="153">
        <f>$C171*INDEX(Curves!$F$8:$F$68,BG$4-$B171+1)</f>
        <v/>
      </c>
      <c r="BH171" s="153">
        <f>$C171*INDEX(Curves!$F$8:$F$68,BH$4-$B171+1)</f>
        <v/>
      </c>
      <c r="BI171" s="153">
        <f>$C171*INDEX(Curves!$F$8:$F$68,BI$4-$B171+1)</f>
        <v/>
      </c>
      <c r="BJ171" s="153">
        <f>$C171*INDEX(Curves!$F$8:$F$68,BJ$4-$B171+1)</f>
        <v/>
      </c>
      <c r="BK171" s="153">
        <f>$C171*INDEX(Curves!$F$8:$F$68,BK$4-$B171+1)</f>
        <v/>
      </c>
      <c r="BL171" s="153">
        <f>$C171*INDEX(Curves!$F$8:$F$68,BL$4-$B171+1)</f>
        <v/>
      </c>
    </row>
    <row r="172">
      <c r="A172" s="147" t="inlineStr">
        <is>
          <t>Cohort month 37</t>
        </is>
      </c>
      <c r="B172" s="147" t="n">
        <v>37</v>
      </c>
      <c r="C172" s="41">
        <f>INDEX(Ops!$E$10:$BL$10,1,$B172)</f>
        <v/>
      </c>
      <c r="AP172" s="153">
        <f>$C172*INDEX(Curves!$F$8:$F$68,AP$4-$B172+1)</f>
        <v/>
      </c>
      <c r="AQ172" s="153">
        <f>$C172*INDEX(Curves!$F$8:$F$68,AQ$4-$B172+1)</f>
        <v/>
      </c>
      <c r="AR172" s="153">
        <f>$C172*INDEX(Curves!$F$8:$F$68,AR$4-$B172+1)</f>
        <v/>
      </c>
      <c r="AS172" s="153">
        <f>$C172*INDEX(Curves!$F$8:$F$68,AS$4-$B172+1)</f>
        <v/>
      </c>
      <c r="AT172" s="153">
        <f>$C172*INDEX(Curves!$F$8:$F$68,AT$4-$B172+1)</f>
        <v/>
      </c>
      <c r="AU172" s="153">
        <f>$C172*INDEX(Curves!$F$8:$F$68,AU$4-$B172+1)</f>
        <v/>
      </c>
      <c r="AV172" s="153">
        <f>$C172*INDEX(Curves!$F$8:$F$68,AV$4-$B172+1)</f>
        <v/>
      </c>
      <c r="AW172" s="153">
        <f>$C172*INDEX(Curves!$F$8:$F$68,AW$4-$B172+1)</f>
        <v/>
      </c>
      <c r="AX172" s="153">
        <f>$C172*INDEX(Curves!$F$8:$F$68,AX$4-$B172+1)</f>
        <v/>
      </c>
      <c r="AY172" s="153">
        <f>$C172*INDEX(Curves!$F$8:$F$68,AY$4-$B172+1)</f>
        <v/>
      </c>
      <c r="AZ172" s="153">
        <f>$C172*INDEX(Curves!$F$8:$F$68,AZ$4-$B172+1)</f>
        <v/>
      </c>
      <c r="BA172" s="153">
        <f>$C172*INDEX(Curves!$F$8:$F$68,BA$4-$B172+1)</f>
        <v/>
      </c>
      <c r="BB172" s="153">
        <f>$C172*INDEX(Curves!$F$8:$F$68,BB$4-$B172+1)</f>
        <v/>
      </c>
      <c r="BC172" s="153">
        <f>$C172*INDEX(Curves!$F$8:$F$68,BC$4-$B172+1)</f>
        <v/>
      </c>
      <c r="BD172" s="153">
        <f>$C172*INDEX(Curves!$F$8:$F$68,BD$4-$B172+1)</f>
        <v/>
      </c>
      <c r="BE172" s="153">
        <f>$C172*INDEX(Curves!$F$8:$F$68,BE$4-$B172+1)</f>
        <v/>
      </c>
      <c r="BF172" s="153">
        <f>$C172*INDEX(Curves!$F$8:$F$68,BF$4-$B172+1)</f>
        <v/>
      </c>
      <c r="BG172" s="153">
        <f>$C172*INDEX(Curves!$F$8:$F$68,BG$4-$B172+1)</f>
        <v/>
      </c>
      <c r="BH172" s="153">
        <f>$C172*INDEX(Curves!$F$8:$F$68,BH$4-$B172+1)</f>
        <v/>
      </c>
      <c r="BI172" s="153">
        <f>$C172*INDEX(Curves!$F$8:$F$68,BI$4-$B172+1)</f>
        <v/>
      </c>
      <c r="BJ172" s="153">
        <f>$C172*INDEX(Curves!$F$8:$F$68,BJ$4-$B172+1)</f>
        <v/>
      </c>
      <c r="BK172" s="153">
        <f>$C172*INDEX(Curves!$F$8:$F$68,BK$4-$B172+1)</f>
        <v/>
      </c>
      <c r="BL172" s="153">
        <f>$C172*INDEX(Curves!$F$8:$F$68,BL$4-$B172+1)</f>
        <v/>
      </c>
    </row>
    <row r="173">
      <c r="A173" s="147" t="inlineStr">
        <is>
          <t>Cohort month 38</t>
        </is>
      </c>
      <c r="B173" s="147" t="n">
        <v>38</v>
      </c>
      <c r="C173" s="41">
        <f>INDEX(Ops!$E$10:$BL$10,1,$B173)</f>
        <v/>
      </c>
      <c r="AQ173" s="153">
        <f>$C173*INDEX(Curves!$F$8:$F$68,AQ$4-$B173+1)</f>
        <v/>
      </c>
      <c r="AR173" s="153">
        <f>$C173*INDEX(Curves!$F$8:$F$68,AR$4-$B173+1)</f>
        <v/>
      </c>
      <c r="AS173" s="153">
        <f>$C173*INDEX(Curves!$F$8:$F$68,AS$4-$B173+1)</f>
        <v/>
      </c>
      <c r="AT173" s="153">
        <f>$C173*INDEX(Curves!$F$8:$F$68,AT$4-$B173+1)</f>
        <v/>
      </c>
      <c r="AU173" s="153">
        <f>$C173*INDEX(Curves!$F$8:$F$68,AU$4-$B173+1)</f>
        <v/>
      </c>
      <c r="AV173" s="153">
        <f>$C173*INDEX(Curves!$F$8:$F$68,AV$4-$B173+1)</f>
        <v/>
      </c>
      <c r="AW173" s="153">
        <f>$C173*INDEX(Curves!$F$8:$F$68,AW$4-$B173+1)</f>
        <v/>
      </c>
      <c r="AX173" s="153">
        <f>$C173*INDEX(Curves!$F$8:$F$68,AX$4-$B173+1)</f>
        <v/>
      </c>
      <c r="AY173" s="153">
        <f>$C173*INDEX(Curves!$F$8:$F$68,AY$4-$B173+1)</f>
        <v/>
      </c>
      <c r="AZ173" s="153">
        <f>$C173*INDEX(Curves!$F$8:$F$68,AZ$4-$B173+1)</f>
        <v/>
      </c>
      <c r="BA173" s="153">
        <f>$C173*INDEX(Curves!$F$8:$F$68,BA$4-$B173+1)</f>
        <v/>
      </c>
      <c r="BB173" s="153">
        <f>$C173*INDEX(Curves!$F$8:$F$68,BB$4-$B173+1)</f>
        <v/>
      </c>
      <c r="BC173" s="153">
        <f>$C173*INDEX(Curves!$F$8:$F$68,BC$4-$B173+1)</f>
        <v/>
      </c>
      <c r="BD173" s="153">
        <f>$C173*INDEX(Curves!$F$8:$F$68,BD$4-$B173+1)</f>
        <v/>
      </c>
      <c r="BE173" s="153">
        <f>$C173*INDEX(Curves!$F$8:$F$68,BE$4-$B173+1)</f>
        <v/>
      </c>
      <c r="BF173" s="153">
        <f>$C173*INDEX(Curves!$F$8:$F$68,BF$4-$B173+1)</f>
        <v/>
      </c>
      <c r="BG173" s="153">
        <f>$C173*INDEX(Curves!$F$8:$F$68,BG$4-$B173+1)</f>
        <v/>
      </c>
      <c r="BH173" s="153">
        <f>$C173*INDEX(Curves!$F$8:$F$68,BH$4-$B173+1)</f>
        <v/>
      </c>
      <c r="BI173" s="153">
        <f>$C173*INDEX(Curves!$F$8:$F$68,BI$4-$B173+1)</f>
        <v/>
      </c>
      <c r="BJ173" s="153">
        <f>$C173*INDEX(Curves!$F$8:$F$68,BJ$4-$B173+1)</f>
        <v/>
      </c>
      <c r="BK173" s="153">
        <f>$C173*INDEX(Curves!$F$8:$F$68,BK$4-$B173+1)</f>
        <v/>
      </c>
      <c r="BL173" s="153">
        <f>$C173*INDEX(Curves!$F$8:$F$68,BL$4-$B173+1)</f>
        <v/>
      </c>
    </row>
    <row r="174">
      <c r="A174" s="147" t="inlineStr">
        <is>
          <t>Cohort month 39</t>
        </is>
      </c>
      <c r="B174" s="147" t="n">
        <v>39</v>
      </c>
      <c r="C174" s="41">
        <f>INDEX(Ops!$E$10:$BL$10,1,$B174)</f>
        <v/>
      </c>
      <c r="AR174" s="153">
        <f>$C174*INDEX(Curves!$F$8:$F$68,AR$4-$B174+1)</f>
        <v/>
      </c>
      <c r="AS174" s="153">
        <f>$C174*INDEX(Curves!$F$8:$F$68,AS$4-$B174+1)</f>
        <v/>
      </c>
      <c r="AT174" s="153">
        <f>$C174*INDEX(Curves!$F$8:$F$68,AT$4-$B174+1)</f>
        <v/>
      </c>
      <c r="AU174" s="153">
        <f>$C174*INDEX(Curves!$F$8:$F$68,AU$4-$B174+1)</f>
        <v/>
      </c>
      <c r="AV174" s="153">
        <f>$C174*INDEX(Curves!$F$8:$F$68,AV$4-$B174+1)</f>
        <v/>
      </c>
      <c r="AW174" s="153">
        <f>$C174*INDEX(Curves!$F$8:$F$68,AW$4-$B174+1)</f>
        <v/>
      </c>
      <c r="AX174" s="153">
        <f>$C174*INDEX(Curves!$F$8:$F$68,AX$4-$B174+1)</f>
        <v/>
      </c>
      <c r="AY174" s="153">
        <f>$C174*INDEX(Curves!$F$8:$F$68,AY$4-$B174+1)</f>
        <v/>
      </c>
      <c r="AZ174" s="153">
        <f>$C174*INDEX(Curves!$F$8:$F$68,AZ$4-$B174+1)</f>
        <v/>
      </c>
      <c r="BA174" s="153">
        <f>$C174*INDEX(Curves!$F$8:$F$68,BA$4-$B174+1)</f>
        <v/>
      </c>
      <c r="BB174" s="153">
        <f>$C174*INDEX(Curves!$F$8:$F$68,BB$4-$B174+1)</f>
        <v/>
      </c>
      <c r="BC174" s="153">
        <f>$C174*INDEX(Curves!$F$8:$F$68,BC$4-$B174+1)</f>
        <v/>
      </c>
      <c r="BD174" s="153">
        <f>$C174*INDEX(Curves!$F$8:$F$68,BD$4-$B174+1)</f>
        <v/>
      </c>
      <c r="BE174" s="153">
        <f>$C174*INDEX(Curves!$F$8:$F$68,BE$4-$B174+1)</f>
        <v/>
      </c>
      <c r="BF174" s="153">
        <f>$C174*INDEX(Curves!$F$8:$F$68,BF$4-$B174+1)</f>
        <v/>
      </c>
      <c r="BG174" s="153">
        <f>$C174*INDEX(Curves!$F$8:$F$68,BG$4-$B174+1)</f>
        <v/>
      </c>
      <c r="BH174" s="153">
        <f>$C174*INDEX(Curves!$F$8:$F$68,BH$4-$B174+1)</f>
        <v/>
      </c>
      <c r="BI174" s="153">
        <f>$C174*INDEX(Curves!$F$8:$F$68,BI$4-$B174+1)</f>
        <v/>
      </c>
      <c r="BJ174" s="153">
        <f>$C174*INDEX(Curves!$F$8:$F$68,BJ$4-$B174+1)</f>
        <v/>
      </c>
      <c r="BK174" s="153">
        <f>$C174*INDEX(Curves!$F$8:$F$68,BK$4-$B174+1)</f>
        <v/>
      </c>
      <c r="BL174" s="153">
        <f>$C174*INDEX(Curves!$F$8:$F$68,BL$4-$B174+1)</f>
        <v/>
      </c>
    </row>
    <row r="175">
      <c r="A175" s="147" t="inlineStr">
        <is>
          <t>Cohort month 40</t>
        </is>
      </c>
      <c r="B175" s="147" t="n">
        <v>40</v>
      </c>
      <c r="C175" s="41">
        <f>INDEX(Ops!$E$10:$BL$10,1,$B175)</f>
        <v/>
      </c>
      <c r="AS175" s="153">
        <f>$C175*INDEX(Curves!$F$8:$F$68,AS$4-$B175+1)</f>
        <v/>
      </c>
      <c r="AT175" s="153">
        <f>$C175*INDEX(Curves!$F$8:$F$68,AT$4-$B175+1)</f>
        <v/>
      </c>
      <c r="AU175" s="153">
        <f>$C175*INDEX(Curves!$F$8:$F$68,AU$4-$B175+1)</f>
        <v/>
      </c>
      <c r="AV175" s="153">
        <f>$C175*INDEX(Curves!$F$8:$F$68,AV$4-$B175+1)</f>
        <v/>
      </c>
      <c r="AW175" s="153">
        <f>$C175*INDEX(Curves!$F$8:$F$68,AW$4-$B175+1)</f>
        <v/>
      </c>
      <c r="AX175" s="153">
        <f>$C175*INDEX(Curves!$F$8:$F$68,AX$4-$B175+1)</f>
        <v/>
      </c>
      <c r="AY175" s="153">
        <f>$C175*INDEX(Curves!$F$8:$F$68,AY$4-$B175+1)</f>
        <v/>
      </c>
      <c r="AZ175" s="153">
        <f>$C175*INDEX(Curves!$F$8:$F$68,AZ$4-$B175+1)</f>
        <v/>
      </c>
      <c r="BA175" s="153">
        <f>$C175*INDEX(Curves!$F$8:$F$68,BA$4-$B175+1)</f>
        <v/>
      </c>
      <c r="BB175" s="153">
        <f>$C175*INDEX(Curves!$F$8:$F$68,BB$4-$B175+1)</f>
        <v/>
      </c>
      <c r="BC175" s="153">
        <f>$C175*INDEX(Curves!$F$8:$F$68,BC$4-$B175+1)</f>
        <v/>
      </c>
      <c r="BD175" s="153">
        <f>$C175*INDEX(Curves!$F$8:$F$68,BD$4-$B175+1)</f>
        <v/>
      </c>
      <c r="BE175" s="153">
        <f>$C175*INDEX(Curves!$F$8:$F$68,BE$4-$B175+1)</f>
        <v/>
      </c>
      <c r="BF175" s="153">
        <f>$C175*INDEX(Curves!$F$8:$F$68,BF$4-$B175+1)</f>
        <v/>
      </c>
      <c r="BG175" s="153">
        <f>$C175*INDEX(Curves!$F$8:$F$68,BG$4-$B175+1)</f>
        <v/>
      </c>
      <c r="BH175" s="153">
        <f>$C175*INDEX(Curves!$F$8:$F$68,BH$4-$B175+1)</f>
        <v/>
      </c>
      <c r="BI175" s="153">
        <f>$C175*INDEX(Curves!$F$8:$F$68,BI$4-$B175+1)</f>
        <v/>
      </c>
      <c r="BJ175" s="153">
        <f>$C175*INDEX(Curves!$F$8:$F$68,BJ$4-$B175+1)</f>
        <v/>
      </c>
      <c r="BK175" s="153">
        <f>$C175*INDEX(Curves!$F$8:$F$68,BK$4-$B175+1)</f>
        <v/>
      </c>
      <c r="BL175" s="153">
        <f>$C175*INDEX(Curves!$F$8:$F$68,BL$4-$B175+1)</f>
        <v/>
      </c>
    </row>
    <row r="176">
      <c r="A176" s="147" t="inlineStr">
        <is>
          <t>Cohort month 41</t>
        </is>
      </c>
      <c r="B176" s="147" t="n">
        <v>41</v>
      </c>
      <c r="C176" s="41">
        <f>INDEX(Ops!$E$10:$BL$10,1,$B176)</f>
        <v/>
      </c>
      <c r="AT176" s="153">
        <f>$C176*INDEX(Curves!$F$8:$F$68,AT$4-$B176+1)</f>
        <v/>
      </c>
      <c r="AU176" s="153">
        <f>$C176*INDEX(Curves!$F$8:$F$68,AU$4-$B176+1)</f>
        <v/>
      </c>
      <c r="AV176" s="153">
        <f>$C176*INDEX(Curves!$F$8:$F$68,AV$4-$B176+1)</f>
        <v/>
      </c>
      <c r="AW176" s="153">
        <f>$C176*INDEX(Curves!$F$8:$F$68,AW$4-$B176+1)</f>
        <v/>
      </c>
      <c r="AX176" s="153">
        <f>$C176*INDEX(Curves!$F$8:$F$68,AX$4-$B176+1)</f>
        <v/>
      </c>
      <c r="AY176" s="153">
        <f>$C176*INDEX(Curves!$F$8:$F$68,AY$4-$B176+1)</f>
        <v/>
      </c>
      <c r="AZ176" s="153">
        <f>$C176*INDEX(Curves!$F$8:$F$68,AZ$4-$B176+1)</f>
        <v/>
      </c>
      <c r="BA176" s="153">
        <f>$C176*INDEX(Curves!$F$8:$F$68,BA$4-$B176+1)</f>
        <v/>
      </c>
      <c r="BB176" s="153">
        <f>$C176*INDEX(Curves!$F$8:$F$68,BB$4-$B176+1)</f>
        <v/>
      </c>
      <c r="BC176" s="153">
        <f>$C176*INDEX(Curves!$F$8:$F$68,BC$4-$B176+1)</f>
        <v/>
      </c>
      <c r="BD176" s="153">
        <f>$C176*INDEX(Curves!$F$8:$F$68,BD$4-$B176+1)</f>
        <v/>
      </c>
      <c r="BE176" s="153">
        <f>$C176*INDEX(Curves!$F$8:$F$68,BE$4-$B176+1)</f>
        <v/>
      </c>
      <c r="BF176" s="153">
        <f>$C176*INDEX(Curves!$F$8:$F$68,BF$4-$B176+1)</f>
        <v/>
      </c>
      <c r="BG176" s="153">
        <f>$C176*INDEX(Curves!$F$8:$F$68,BG$4-$B176+1)</f>
        <v/>
      </c>
      <c r="BH176" s="153">
        <f>$C176*INDEX(Curves!$F$8:$F$68,BH$4-$B176+1)</f>
        <v/>
      </c>
      <c r="BI176" s="153">
        <f>$C176*INDEX(Curves!$F$8:$F$68,BI$4-$B176+1)</f>
        <v/>
      </c>
      <c r="BJ176" s="153">
        <f>$C176*INDEX(Curves!$F$8:$F$68,BJ$4-$B176+1)</f>
        <v/>
      </c>
      <c r="BK176" s="153">
        <f>$C176*INDEX(Curves!$F$8:$F$68,BK$4-$B176+1)</f>
        <v/>
      </c>
      <c r="BL176" s="153">
        <f>$C176*INDEX(Curves!$F$8:$F$68,BL$4-$B176+1)</f>
        <v/>
      </c>
    </row>
    <row r="177">
      <c r="A177" s="147" t="inlineStr">
        <is>
          <t>Cohort month 42</t>
        </is>
      </c>
      <c r="B177" s="147" t="n">
        <v>42</v>
      </c>
      <c r="C177" s="41">
        <f>INDEX(Ops!$E$10:$BL$10,1,$B177)</f>
        <v/>
      </c>
      <c r="AU177" s="153">
        <f>$C177*INDEX(Curves!$F$8:$F$68,AU$4-$B177+1)</f>
        <v/>
      </c>
      <c r="AV177" s="153">
        <f>$C177*INDEX(Curves!$F$8:$F$68,AV$4-$B177+1)</f>
        <v/>
      </c>
      <c r="AW177" s="153">
        <f>$C177*INDEX(Curves!$F$8:$F$68,AW$4-$B177+1)</f>
        <v/>
      </c>
      <c r="AX177" s="153">
        <f>$C177*INDEX(Curves!$F$8:$F$68,AX$4-$B177+1)</f>
        <v/>
      </c>
      <c r="AY177" s="153">
        <f>$C177*INDEX(Curves!$F$8:$F$68,AY$4-$B177+1)</f>
        <v/>
      </c>
      <c r="AZ177" s="153">
        <f>$C177*INDEX(Curves!$F$8:$F$68,AZ$4-$B177+1)</f>
        <v/>
      </c>
      <c r="BA177" s="153">
        <f>$C177*INDEX(Curves!$F$8:$F$68,BA$4-$B177+1)</f>
        <v/>
      </c>
      <c r="BB177" s="153">
        <f>$C177*INDEX(Curves!$F$8:$F$68,BB$4-$B177+1)</f>
        <v/>
      </c>
      <c r="BC177" s="153">
        <f>$C177*INDEX(Curves!$F$8:$F$68,BC$4-$B177+1)</f>
        <v/>
      </c>
      <c r="BD177" s="153">
        <f>$C177*INDEX(Curves!$F$8:$F$68,BD$4-$B177+1)</f>
        <v/>
      </c>
      <c r="BE177" s="153">
        <f>$C177*INDEX(Curves!$F$8:$F$68,BE$4-$B177+1)</f>
        <v/>
      </c>
      <c r="BF177" s="153">
        <f>$C177*INDEX(Curves!$F$8:$F$68,BF$4-$B177+1)</f>
        <v/>
      </c>
      <c r="BG177" s="153">
        <f>$C177*INDEX(Curves!$F$8:$F$68,BG$4-$B177+1)</f>
        <v/>
      </c>
      <c r="BH177" s="153">
        <f>$C177*INDEX(Curves!$F$8:$F$68,BH$4-$B177+1)</f>
        <v/>
      </c>
      <c r="BI177" s="153">
        <f>$C177*INDEX(Curves!$F$8:$F$68,BI$4-$B177+1)</f>
        <v/>
      </c>
      <c r="BJ177" s="153">
        <f>$C177*INDEX(Curves!$F$8:$F$68,BJ$4-$B177+1)</f>
        <v/>
      </c>
      <c r="BK177" s="153">
        <f>$C177*INDEX(Curves!$F$8:$F$68,BK$4-$B177+1)</f>
        <v/>
      </c>
      <c r="BL177" s="153">
        <f>$C177*INDEX(Curves!$F$8:$F$68,BL$4-$B177+1)</f>
        <v/>
      </c>
    </row>
    <row r="178">
      <c r="A178" s="147" t="inlineStr">
        <is>
          <t>Cohort month 43</t>
        </is>
      </c>
      <c r="B178" s="147" t="n">
        <v>43</v>
      </c>
      <c r="C178" s="41">
        <f>INDEX(Ops!$E$10:$BL$10,1,$B178)</f>
        <v/>
      </c>
      <c r="AV178" s="153">
        <f>$C178*INDEX(Curves!$F$8:$F$68,AV$4-$B178+1)</f>
        <v/>
      </c>
      <c r="AW178" s="153">
        <f>$C178*INDEX(Curves!$F$8:$F$68,AW$4-$B178+1)</f>
        <v/>
      </c>
      <c r="AX178" s="153">
        <f>$C178*INDEX(Curves!$F$8:$F$68,AX$4-$B178+1)</f>
        <v/>
      </c>
      <c r="AY178" s="153">
        <f>$C178*INDEX(Curves!$F$8:$F$68,AY$4-$B178+1)</f>
        <v/>
      </c>
      <c r="AZ178" s="153">
        <f>$C178*INDEX(Curves!$F$8:$F$68,AZ$4-$B178+1)</f>
        <v/>
      </c>
      <c r="BA178" s="153">
        <f>$C178*INDEX(Curves!$F$8:$F$68,BA$4-$B178+1)</f>
        <v/>
      </c>
      <c r="BB178" s="153">
        <f>$C178*INDEX(Curves!$F$8:$F$68,BB$4-$B178+1)</f>
        <v/>
      </c>
      <c r="BC178" s="153">
        <f>$C178*INDEX(Curves!$F$8:$F$68,BC$4-$B178+1)</f>
        <v/>
      </c>
      <c r="BD178" s="153">
        <f>$C178*INDEX(Curves!$F$8:$F$68,BD$4-$B178+1)</f>
        <v/>
      </c>
      <c r="BE178" s="153">
        <f>$C178*INDEX(Curves!$F$8:$F$68,BE$4-$B178+1)</f>
        <v/>
      </c>
      <c r="BF178" s="153">
        <f>$C178*INDEX(Curves!$F$8:$F$68,BF$4-$B178+1)</f>
        <v/>
      </c>
      <c r="BG178" s="153">
        <f>$C178*INDEX(Curves!$F$8:$F$68,BG$4-$B178+1)</f>
        <v/>
      </c>
      <c r="BH178" s="153">
        <f>$C178*INDEX(Curves!$F$8:$F$68,BH$4-$B178+1)</f>
        <v/>
      </c>
      <c r="BI178" s="153">
        <f>$C178*INDEX(Curves!$F$8:$F$68,BI$4-$B178+1)</f>
        <v/>
      </c>
      <c r="BJ178" s="153">
        <f>$C178*INDEX(Curves!$F$8:$F$68,BJ$4-$B178+1)</f>
        <v/>
      </c>
      <c r="BK178" s="153">
        <f>$C178*INDEX(Curves!$F$8:$F$68,BK$4-$B178+1)</f>
        <v/>
      </c>
      <c r="BL178" s="153">
        <f>$C178*INDEX(Curves!$F$8:$F$68,BL$4-$B178+1)</f>
        <v/>
      </c>
    </row>
    <row r="179">
      <c r="A179" s="147" t="inlineStr">
        <is>
          <t>Cohort month 44</t>
        </is>
      </c>
      <c r="B179" s="147" t="n">
        <v>44</v>
      </c>
      <c r="C179" s="41">
        <f>INDEX(Ops!$E$10:$BL$10,1,$B179)</f>
        <v/>
      </c>
      <c r="AW179" s="153">
        <f>$C179*INDEX(Curves!$F$8:$F$68,AW$4-$B179+1)</f>
        <v/>
      </c>
      <c r="AX179" s="153">
        <f>$C179*INDEX(Curves!$F$8:$F$68,AX$4-$B179+1)</f>
        <v/>
      </c>
      <c r="AY179" s="153">
        <f>$C179*INDEX(Curves!$F$8:$F$68,AY$4-$B179+1)</f>
        <v/>
      </c>
      <c r="AZ179" s="153">
        <f>$C179*INDEX(Curves!$F$8:$F$68,AZ$4-$B179+1)</f>
        <v/>
      </c>
      <c r="BA179" s="153">
        <f>$C179*INDEX(Curves!$F$8:$F$68,BA$4-$B179+1)</f>
        <v/>
      </c>
      <c r="BB179" s="153">
        <f>$C179*INDEX(Curves!$F$8:$F$68,BB$4-$B179+1)</f>
        <v/>
      </c>
      <c r="BC179" s="153">
        <f>$C179*INDEX(Curves!$F$8:$F$68,BC$4-$B179+1)</f>
        <v/>
      </c>
      <c r="BD179" s="153">
        <f>$C179*INDEX(Curves!$F$8:$F$68,BD$4-$B179+1)</f>
        <v/>
      </c>
      <c r="BE179" s="153">
        <f>$C179*INDEX(Curves!$F$8:$F$68,BE$4-$B179+1)</f>
        <v/>
      </c>
      <c r="BF179" s="153">
        <f>$C179*INDEX(Curves!$F$8:$F$68,BF$4-$B179+1)</f>
        <v/>
      </c>
      <c r="BG179" s="153">
        <f>$C179*INDEX(Curves!$F$8:$F$68,BG$4-$B179+1)</f>
        <v/>
      </c>
      <c r="BH179" s="153">
        <f>$C179*INDEX(Curves!$F$8:$F$68,BH$4-$B179+1)</f>
        <v/>
      </c>
      <c r="BI179" s="153">
        <f>$C179*INDEX(Curves!$F$8:$F$68,BI$4-$B179+1)</f>
        <v/>
      </c>
      <c r="BJ179" s="153">
        <f>$C179*INDEX(Curves!$F$8:$F$68,BJ$4-$B179+1)</f>
        <v/>
      </c>
      <c r="BK179" s="153">
        <f>$C179*INDEX(Curves!$F$8:$F$68,BK$4-$B179+1)</f>
        <v/>
      </c>
      <c r="BL179" s="153">
        <f>$C179*INDEX(Curves!$F$8:$F$68,BL$4-$B179+1)</f>
        <v/>
      </c>
    </row>
    <row r="180">
      <c r="A180" s="147" t="inlineStr">
        <is>
          <t>Cohort month 45</t>
        </is>
      </c>
      <c r="B180" s="147" t="n">
        <v>45</v>
      </c>
      <c r="C180" s="41">
        <f>INDEX(Ops!$E$10:$BL$10,1,$B180)</f>
        <v/>
      </c>
      <c r="AX180" s="153">
        <f>$C180*INDEX(Curves!$F$8:$F$68,AX$4-$B180+1)</f>
        <v/>
      </c>
      <c r="AY180" s="153">
        <f>$C180*INDEX(Curves!$F$8:$F$68,AY$4-$B180+1)</f>
        <v/>
      </c>
      <c r="AZ180" s="153">
        <f>$C180*INDEX(Curves!$F$8:$F$68,AZ$4-$B180+1)</f>
        <v/>
      </c>
      <c r="BA180" s="153">
        <f>$C180*INDEX(Curves!$F$8:$F$68,BA$4-$B180+1)</f>
        <v/>
      </c>
      <c r="BB180" s="153">
        <f>$C180*INDEX(Curves!$F$8:$F$68,BB$4-$B180+1)</f>
        <v/>
      </c>
      <c r="BC180" s="153">
        <f>$C180*INDEX(Curves!$F$8:$F$68,BC$4-$B180+1)</f>
        <v/>
      </c>
      <c r="BD180" s="153">
        <f>$C180*INDEX(Curves!$F$8:$F$68,BD$4-$B180+1)</f>
        <v/>
      </c>
      <c r="BE180" s="153">
        <f>$C180*INDEX(Curves!$F$8:$F$68,BE$4-$B180+1)</f>
        <v/>
      </c>
      <c r="BF180" s="153">
        <f>$C180*INDEX(Curves!$F$8:$F$68,BF$4-$B180+1)</f>
        <v/>
      </c>
      <c r="BG180" s="153">
        <f>$C180*INDEX(Curves!$F$8:$F$68,BG$4-$B180+1)</f>
        <v/>
      </c>
      <c r="BH180" s="153">
        <f>$C180*INDEX(Curves!$F$8:$F$68,BH$4-$B180+1)</f>
        <v/>
      </c>
      <c r="BI180" s="153">
        <f>$C180*INDEX(Curves!$F$8:$F$68,BI$4-$B180+1)</f>
        <v/>
      </c>
      <c r="BJ180" s="153">
        <f>$C180*INDEX(Curves!$F$8:$F$68,BJ$4-$B180+1)</f>
        <v/>
      </c>
      <c r="BK180" s="153">
        <f>$C180*INDEX(Curves!$F$8:$F$68,BK$4-$B180+1)</f>
        <v/>
      </c>
      <c r="BL180" s="153">
        <f>$C180*INDEX(Curves!$F$8:$F$68,BL$4-$B180+1)</f>
        <v/>
      </c>
    </row>
    <row r="181">
      <c r="A181" s="147" t="inlineStr">
        <is>
          <t>Cohort month 46</t>
        </is>
      </c>
      <c r="B181" s="147" t="n">
        <v>46</v>
      </c>
      <c r="C181" s="41">
        <f>INDEX(Ops!$E$10:$BL$10,1,$B181)</f>
        <v/>
      </c>
      <c r="AY181" s="153">
        <f>$C181*INDEX(Curves!$F$8:$F$68,AY$4-$B181+1)</f>
        <v/>
      </c>
      <c r="AZ181" s="153">
        <f>$C181*INDEX(Curves!$F$8:$F$68,AZ$4-$B181+1)</f>
        <v/>
      </c>
      <c r="BA181" s="153">
        <f>$C181*INDEX(Curves!$F$8:$F$68,BA$4-$B181+1)</f>
        <v/>
      </c>
      <c r="BB181" s="153">
        <f>$C181*INDEX(Curves!$F$8:$F$68,BB$4-$B181+1)</f>
        <v/>
      </c>
      <c r="BC181" s="153">
        <f>$C181*INDEX(Curves!$F$8:$F$68,BC$4-$B181+1)</f>
        <v/>
      </c>
      <c r="BD181" s="153">
        <f>$C181*INDEX(Curves!$F$8:$F$68,BD$4-$B181+1)</f>
        <v/>
      </c>
      <c r="BE181" s="153">
        <f>$C181*INDEX(Curves!$F$8:$F$68,BE$4-$B181+1)</f>
        <v/>
      </c>
      <c r="BF181" s="153">
        <f>$C181*INDEX(Curves!$F$8:$F$68,BF$4-$B181+1)</f>
        <v/>
      </c>
      <c r="BG181" s="153">
        <f>$C181*INDEX(Curves!$F$8:$F$68,BG$4-$B181+1)</f>
        <v/>
      </c>
      <c r="BH181" s="153">
        <f>$C181*INDEX(Curves!$F$8:$F$68,BH$4-$B181+1)</f>
        <v/>
      </c>
      <c r="BI181" s="153">
        <f>$C181*INDEX(Curves!$F$8:$F$68,BI$4-$B181+1)</f>
        <v/>
      </c>
      <c r="BJ181" s="153">
        <f>$C181*INDEX(Curves!$F$8:$F$68,BJ$4-$B181+1)</f>
        <v/>
      </c>
      <c r="BK181" s="153">
        <f>$C181*INDEX(Curves!$F$8:$F$68,BK$4-$B181+1)</f>
        <v/>
      </c>
      <c r="BL181" s="153">
        <f>$C181*INDEX(Curves!$F$8:$F$68,BL$4-$B181+1)</f>
        <v/>
      </c>
    </row>
    <row r="182">
      <c r="A182" s="147" t="inlineStr">
        <is>
          <t>Cohort month 47</t>
        </is>
      </c>
      <c r="B182" s="147" t="n">
        <v>47</v>
      </c>
      <c r="C182" s="41">
        <f>INDEX(Ops!$E$10:$BL$10,1,$B182)</f>
        <v/>
      </c>
      <c r="AZ182" s="153">
        <f>$C182*INDEX(Curves!$F$8:$F$68,AZ$4-$B182+1)</f>
        <v/>
      </c>
      <c r="BA182" s="153">
        <f>$C182*INDEX(Curves!$F$8:$F$68,BA$4-$B182+1)</f>
        <v/>
      </c>
      <c r="BB182" s="153">
        <f>$C182*INDEX(Curves!$F$8:$F$68,BB$4-$B182+1)</f>
        <v/>
      </c>
      <c r="BC182" s="153">
        <f>$C182*INDEX(Curves!$F$8:$F$68,BC$4-$B182+1)</f>
        <v/>
      </c>
      <c r="BD182" s="153">
        <f>$C182*INDEX(Curves!$F$8:$F$68,BD$4-$B182+1)</f>
        <v/>
      </c>
      <c r="BE182" s="153">
        <f>$C182*INDEX(Curves!$F$8:$F$68,BE$4-$B182+1)</f>
        <v/>
      </c>
      <c r="BF182" s="153">
        <f>$C182*INDEX(Curves!$F$8:$F$68,BF$4-$B182+1)</f>
        <v/>
      </c>
      <c r="BG182" s="153">
        <f>$C182*INDEX(Curves!$F$8:$F$68,BG$4-$B182+1)</f>
        <v/>
      </c>
      <c r="BH182" s="153">
        <f>$C182*INDEX(Curves!$F$8:$F$68,BH$4-$B182+1)</f>
        <v/>
      </c>
      <c r="BI182" s="153">
        <f>$C182*INDEX(Curves!$F$8:$F$68,BI$4-$B182+1)</f>
        <v/>
      </c>
      <c r="BJ182" s="153">
        <f>$C182*INDEX(Curves!$F$8:$F$68,BJ$4-$B182+1)</f>
        <v/>
      </c>
      <c r="BK182" s="153">
        <f>$C182*INDEX(Curves!$F$8:$F$68,BK$4-$B182+1)</f>
        <v/>
      </c>
      <c r="BL182" s="153">
        <f>$C182*INDEX(Curves!$F$8:$F$68,BL$4-$B182+1)</f>
        <v/>
      </c>
    </row>
    <row r="183">
      <c r="A183" s="147" t="inlineStr">
        <is>
          <t>Cohort month 48</t>
        </is>
      </c>
      <c r="B183" s="147" t="n">
        <v>48</v>
      </c>
      <c r="C183" s="41">
        <f>INDEX(Ops!$E$10:$BL$10,1,$B183)</f>
        <v/>
      </c>
      <c r="BA183" s="153">
        <f>$C183*INDEX(Curves!$F$8:$F$68,BA$4-$B183+1)</f>
        <v/>
      </c>
      <c r="BB183" s="153">
        <f>$C183*INDEX(Curves!$F$8:$F$68,BB$4-$B183+1)</f>
        <v/>
      </c>
      <c r="BC183" s="153">
        <f>$C183*INDEX(Curves!$F$8:$F$68,BC$4-$B183+1)</f>
        <v/>
      </c>
      <c r="BD183" s="153">
        <f>$C183*INDEX(Curves!$F$8:$F$68,BD$4-$B183+1)</f>
        <v/>
      </c>
      <c r="BE183" s="153">
        <f>$C183*INDEX(Curves!$F$8:$F$68,BE$4-$B183+1)</f>
        <v/>
      </c>
      <c r="BF183" s="153">
        <f>$C183*INDEX(Curves!$F$8:$F$68,BF$4-$B183+1)</f>
        <v/>
      </c>
      <c r="BG183" s="153">
        <f>$C183*INDEX(Curves!$F$8:$F$68,BG$4-$B183+1)</f>
        <v/>
      </c>
      <c r="BH183" s="153">
        <f>$C183*INDEX(Curves!$F$8:$F$68,BH$4-$B183+1)</f>
        <v/>
      </c>
      <c r="BI183" s="153">
        <f>$C183*INDEX(Curves!$F$8:$F$68,BI$4-$B183+1)</f>
        <v/>
      </c>
      <c r="BJ183" s="153">
        <f>$C183*INDEX(Curves!$F$8:$F$68,BJ$4-$B183+1)</f>
        <v/>
      </c>
      <c r="BK183" s="153">
        <f>$C183*INDEX(Curves!$F$8:$F$68,BK$4-$B183+1)</f>
        <v/>
      </c>
      <c r="BL183" s="153">
        <f>$C183*INDEX(Curves!$F$8:$F$68,BL$4-$B183+1)</f>
        <v/>
      </c>
    </row>
    <row r="184">
      <c r="A184" s="147" t="inlineStr">
        <is>
          <t>Cohort month 49</t>
        </is>
      </c>
      <c r="B184" s="147" t="n">
        <v>49</v>
      </c>
      <c r="C184" s="41">
        <f>INDEX(Ops!$E$10:$BL$10,1,$B184)</f>
        <v/>
      </c>
      <c r="BB184" s="153">
        <f>$C184*INDEX(Curves!$F$8:$F$68,BB$4-$B184+1)</f>
        <v/>
      </c>
      <c r="BC184" s="153">
        <f>$C184*INDEX(Curves!$F$8:$F$68,BC$4-$B184+1)</f>
        <v/>
      </c>
      <c r="BD184" s="153">
        <f>$C184*INDEX(Curves!$F$8:$F$68,BD$4-$B184+1)</f>
        <v/>
      </c>
      <c r="BE184" s="153">
        <f>$C184*INDEX(Curves!$F$8:$F$68,BE$4-$B184+1)</f>
        <v/>
      </c>
      <c r="BF184" s="153">
        <f>$C184*INDEX(Curves!$F$8:$F$68,BF$4-$B184+1)</f>
        <v/>
      </c>
      <c r="BG184" s="153">
        <f>$C184*INDEX(Curves!$F$8:$F$68,BG$4-$B184+1)</f>
        <v/>
      </c>
      <c r="BH184" s="153">
        <f>$C184*INDEX(Curves!$F$8:$F$68,BH$4-$B184+1)</f>
        <v/>
      </c>
      <c r="BI184" s="153">
        <f>$C184*INDEX(Curves!$F$8:$F$68,BI$4-$B184+1)</f>
        <v/>
      </c>
      <c r="BJ184" s="153">
        <f>$C184*INDEX(Curves!$F$8:$F$68,BJ$4-$B184+1)</f>
        <v/>
      </c>
      <c r="BK184" s="153">
        <f>$C184*INDEX(Curves!$F$8:$F$68,BK$4-$B184+1)</f>
        <v/>
      </c>
      <c r="BL184" s="153">
        <f>$C184*INDEX(Curves!$F$8:$F$68,BL$4-$B184+1)</f>
        <v/>
      </c>
    </row>
    <row r="185">
      <c r="A185" s="147" t="inlineStr">
        <is>
          <t>Cohort month 50</t>
        </is>
      </c>
      <c r="B185" s="147" t="n">
        <v>50</v>
      </c>
      <c r="C185" s="41">
        <f>INDEX(Ops!$E$10:$BL$10,1,$B185)</f>
        <v/>
      </c>
      <c r="BC185" s="153">
        <f>$C185*INDEX(Curves!$F$8:$F$68,BC$4-$B185+1)</f>
        <v/>
      </c>
      <c r="BD185" s="153">
        <f>$C185*INDEX(Curves!$F$8:$F$68,BD$4-$B185+1)</f>
        <v/>
      </c>
      <c r="BE185" s="153">
        <f>$C185*INDEX(Curves!$F$8:$F$68,BE$4-$B185+1)</f>
        <v/>
      </c>
      <c r="BF185" s="153">
        <f>$C185*INDEX(Curves!$F$8:$F$68,BF$4-$B185+1)</f>
        <v/>
      </c>
      <c r="BG185" s="153">
        <f>$C185*INDEX(Curves!$F$8:$F$68,BG$4-$B185+1)</f>
        <v/>
      </c>
      <c r="BH185" s="153">
        <f>$C185*INDEX(Curves!$F$8:$F$68,BH$4-$B185+1)</f>
        <v/>
      </c>
      <c r="BI185" s="153">
        <f>$C185*INDEX(Curves!$F$8:$F$68,BI$4-$B185+1)</f>
        <v/>
      </c>
      <c r="BJ185" s="153">
        <f>$C185*INDEX(Curves!$F$8:$F$68,BJ$4-$B185+1)</f>
        <v/>
      </c>
      <c r="BK185" s="153">
        <f>$C185*INDEX(Curves!$F$8:$F$68,BK$4-$B185+1)</f>
        <v/>
      </c>
      <c r="BL185" s="153">
        <f>$C185*INDEX(Curves!$F$8:$F$68,BL$4-$B185+1)</f>
        <v/>
      </c>
    </row>
    <row r="186">
      <c r="A186" s="147" t="inlineStr">
        <is>
          <t>Cohort month 51</t>
        </is>
      </c>
      <c r="B186" s="147" t="n">
        <v>51</v>
      </c>
      <c r="C186" s="41">
        <f>INDEX(Ops!$E$10:$BL$10,1,$B186)</f>
        <v/>
      </c>
      <c r="BD186" s="153">
        <f>$C186*INDEX(Curves!$F$8:$F$68,BD$4-$B186+1)</f>
        <v/>
      </c>
      <c r="BE186" s="153">
        <f>$C186*INDEX(Curves!$F$8:$F$68,BE$4-$B186+1)</f>
        <v/>
      </c>
      <c r="BF186" s="153">
        <f>$C186*INDEX(Curves!$F$8:$F$68,BF$4-$B186+1)</f>
        <v/>
      </c>
      <c r="BG186" s="153">
        <f>$C186*INDEX(Curves!$F$8:$F$68,BG$4-$B186+1)</f>
        <v/>
      </c>
      <c r="BH186" s="153">
        <f>$C186*INDEX(Curves!$F$8:$F$68,BH$4-$B186+1)</f>
        <v/>
      </c>
      <c r="BI186" s="153">
        <f>$C186*INDEX(Curves!$F$8:$F$68,BI$4-$B186+1)</f>
        <v/>
      </c>
      <c r="BJ186" s="153">
        <f>$C186*INDEX(Curves!$F$8:$F$68,BJ$4-$B186+1)</f>
        <v/>
      </c>
      <c r="BK186" s="153">
        <f>$C186*INDEX(Curves!$F$8:$F$68,BK$4-$B186+1)</f>
        <v/>
      </c>
      <c r="BL186" s="153">
        <f>$C186*INDEX(Curves!$F$8:$F$68,BL$4-$B186+1)</f>
        <v/>
      </c>
    </row>
    <row r="187">
      <c r="A187" s="147" t="inlineStr">
        <is>
          <t>Cohort month 52</t>
        </is>
      </c>
      <c r="B187" s="147" t="n">
        <v>52</v>
      </c>
      <c r="C187" s="41">
        <f>INDEX(Ops!$E$10:$BL$10,1,$B187)</f>
        <v/>
      </c>
      <c r="BE187" s="153">
        <f>$C187*INDEX(Curves!$F$8:$F$68,BE$4-$B187+1)</f>
        <v/>
      </c>
      <c r="BF187" s="153">
        <f>$C187*INDEX(Curves!$F$8:$F$68,BF$4-$B187+1)</f>
        <v/>
      </c>
      <c r="BG187" s="153">
        <f>$C187*INDEX(Curves!$F$8:$F$68,BG$4-$B187+1)</f>
        <v/>
      </c>
      <c r="BH187" s="153">
        <f>$C187*INDEX(Curves!$F$8:$F$68,BH$4-$B187+1)</f>
        <v/>
      </c>
      <c r="BI187" s="153">
        <f>$C187*INDEX(Curves!$F$8:$F$68,BI$4-$B187+1)</f>
        <v/>
      </c>
      <c r="BJ187" s="153">
        <f>$C187*INDEX(Curves!$F$8:$F$68,BJ$4-$B187+1)</f>
        <v/>
      </c>
      <c r="BK187" s="153">
        <f>$C187*INDEX(Curves!$F$8:$F$68,BK$4-$B187+1)</f>
        <v/>
      </c>
      <c r="BL187" s="153">
        <f>$C187*INDEX(Curves!$F$8:$F$68,BL$4-$B187+1)</f>
        <v/>
      </c>
    </row>
    <row r="188">
      <c r="A188" s="147" t="inlineStr">
        <is>
          <t>Cohort month 53</t>
        </is>
      </c>
      <c r="B188" s="147" t="n">
        <v>53</v>
      </c>
      <c r="C188" s="41">
        <f>INDEX(Ops!$E$10:$BL$10,1,$B188)</f>
        <v/>
      </c>
      <c r="BF188" s="153">
        <f>$C188*INDEX(Curves!$F$8:$F$68,BF$4-$B188+1)</f>
        <v/>
      </c>
      <c r="BG188" s="153">
        <f>$C188*INDEX(Curves!$F$8:$F$68,BG$4-$B188+1)</f>
        <v/>
      </c>
      <c r="BH188" s="153">
        <f>$C188*INDEX(Curves!$F$8:$F$68,BH$4-$B188+1)</f>
        <v/>
      </c>
      <c r="BI188" s="153">
        <f>$C188*INDEX(Curves!$F$8:$F$68,BI$4-$B188+1)</f>
        <v/>
      </c>
      <c r="BJ188" s="153">
        <f>$C188*INDEX(Curves!$F$8:$F$68,BJ$4-$B188+1)</f>
        <v/>
      </c>
      <c r="BK188" s="153">
        <f>$C188*INDEX(Curves!$F$8:$F$68,BK$4-$B188+1)</f>
        <v/>
      </c>
      <c r="BL188" s="153">
        <f>$C188*INDEX(Curves!$F$8:$F$68,BL$4-$B188+1)</f>
        <v/>
      </c>
    </row>
    <row r="189">
      <c r="A189" s="147" t="inlineStr">
        <is>
          <t>Cohort month 54</t>
        </is>
      </c>
      <c r="B189" s="147" t="n">
        <v>54</v>
      </c>
      <c r="C189" s="41">
        <f>INDEX(Ops!$E$10:$BL$10,1,$B189)</f>
        <v/>
      </c>
      <c r="BG189" s="153">
        <f>$C189*INDEX(Curves!$F$8:$F$68,BG$4-$B189+1)</f>
        <v/>
      </c>
      <c r="BH189" s="153">
        <f>$C189*INDEX(Curves!$F$8:$F$68,BH$4-$B189+1)</f>
        <v/>
      </c>
      <c r="BI189" s="153">
        <f>$C189*INDEX(Curves!$F$8:$F$68,BI$4-$B189+1)</f>
        <v/>
      </c>
      <c r="BJ189" s="153">
        <f>$C189*INDEX(Curves!$F$8:$F$68,BJ$4-$B189+1)</f>
        <v/>
      </c>
      <c r="BK189" s="153">
        <f>$C189*INDEX(Curves!$F$8:$F$68,BK$4-$B189+1)</f>
        <v/>
      </c>
      <c r="BL189" s="153">
        <f>$C189*INDEX(Curves!$F$8:$F$68,BL$4-$B189+1)</f>
        <v/>
      </c>
    </row>
    <row r="190">
      <c r="A190" s="147" t="inlineStr">
        <is>
          <t>Cohort month 55</t>
        </is>
      </c>
      <c r="B190" s="147" t="n">
        <v>55</v>
      </c>
      <c r="C190" s="41">
        <f>INDEX(Ops!$E$10:$BL$10,1,$B190)</f>
        <v/>
      </c>
      <c r="BH190" s="153">
        <f>$C190*INDEX(Curves!$F$8:$F$68,BH$4-$B190+1)</f>
        <v/>
      </c>
      <c r="BI190" s="153">
        <f>$C190*INDEX(Curves!$F$8:$F$68,BI$4-$B190+1)</f>
        <v/>
      </c>
      <c r="BJ190" s="153">
        <f>$C190*INDEX(Curves!$F$8:$F$68,BJ$4-$B190+1)</f>
        <v/>
      </c>
      <c r="BK190" s="153">
        <f>$C190*INDEX(Curves!$F$8:$F$68,BK$4-$B190+1)</f>
        <v/>
      </c>
      <c r="BL190" s="153">
        <f>$C190*INDEX(Curves!$F$8:$F$68,BL$4-$B190+1)</f>
        <v/>
      </c>
    </row>
    <row r="191">
      <c r="A191" s="147" t="inlineStr">
        <is>
          <t>Cohort month 56</t>
        </is>
      </c>
      <c r="B191" s="147" t="n">
        <v>56</v>
      </c>
      <c r="C191" s="41">
        <f>INDEX(Ops!$E$10:$BL$10,1,$B191)</f>
        <v/>
      </c>
      <c r="BI191" s="153">
        <f>$C191*INDEX(Curves!$F$8:$F$68,BI$4-$B191+1)</f>
        <v/>
      </c>
      <c r="BJ191" s="153">
        <f>$C191*INDEX(Curves!$F$8:$F$68,BJ$4-$B191+1)</f>
        <v/>
      </c>
      <c r="BK191" s="153">
        <f>$C191*INDEX(Curves!$F$8:$F$68,BK$4-$B191+1)</f>
        <v/>
      </c>
      <c r="BL191" s="153">
        <f>$C191*INDEX(Curves!$F$8:$F$68,BL$4-$B191+1)</f>
        <v/>
      </c>
    </row>
    <row r="192">
      <c r="A192" s="147" t="inlineStr">
        <is>
          <t>Cohort month 57</t>
        </is>
      </c>
      <c r="B192" s="147" t="n">
        <v>57</v>
      </c>
      <c r="C192" s="41">
        <f>INDEX(Ops!$E$10:$BL$10,1,$B192)</f>
        <v/>
      </c>
      <c r="BJ192" s="153">
        <f>$C192*INDEX(Curves!$F$8:$F$68,BJ$4-$B192+1)</f>
        <v/>
      </c>
      <c r="BK192" s="153">
        <f>$C192*INDEX(Curves!$F$8:$F$68,BK$4-$B192+1)</f>
        <v/>
      </c>
      <c r="BL192" s="153">
        <f>$C192*INDEX(Curves!$F$8:$F$68,BL$4-$B192+1)</f>
        <v/>
      </c>
    </row>
    <row r="193">
      <c r="A193" s="147" t="inlineStr">
        <is>
          <t>Cohort month 58</t>
        </is>
      </c>
      <c r="B193" s="147" t="n">
        <v>58</v>
      </c>
      <c r="C193" s="41">
        <f>INDEX(Ops!$E$10:$BL$10,1,$B193)</f>
        <v/>
      </c>
      <c r="BK193" s="153">
        <f>$C193*INDEX(Curves!$F$8:$F$68,BK$4-$B193+1)</f>
        <v/>
      </c>
      <c r="BL193" s="153">
        <f>$C193*INDEX(Curves!$F$8:$F$68,BL$4-$B193+1)</f>
        <v/>
      </c>
    </row>
    <row r="194">
      <c r="A194" s="147" t="inlineStr">
        <is>
          <t>Cohort month 59</t>
        </is>
      </c>
      <c r="B194" s="147" t="n">
        <v>59</v>
      </c>
      <c r="C194" s="41">
        <f>INDEX(Ops!$E$10:$BL$10,1,$B194)</f>
        <v/>
      </c>
      <c r="BL194" s="153">
        <f>$C194*INDEX(Curves!$F$8:$F$68,BL$4-$B194+1)</f>
        <v/>
      </c>
    </row>
    <row r="195">
      <c r="A195" s="147" t="inlineStr">
        <is>
          <t>Cohort month 60</t>
        </is>
      </c>
      <c r="B195" s="147" t="n">
        <v>60</v>
      </c>
      <c r="C195" s="41">
        <f>INDEX(Ops!$E$10:$BL$10,1,$B195)</f>
        <v/>
      </c>
    </row>
    <row r="196"/>
    <row r="197">
      <c r="A197" s="21" t="inlineStr">
        <is>
          <t>Recoveries by cohort (LCY)</t>
        </is>
      </c>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c r="AA197" s="22" t="n"/>
      <c r="AB197" s="22" t="n"/>
      <c r="AC197" s="22" t="n"/>
      <c r="AD197" s="22" t="n"/>
      <c r="AE197" s="22" t="n"/>
      <c r="AF197" s="22" t="n"/>
      <c r="AG197" s="22" t="n"/>
      <c r="AH197" s="22" t="n"/>
      <c r="AI197" s="22" t="n"/>
      <c r="AJ197" s="22" t="n"/>
      <c r="AK197" s="22" t="n"/>
      <c r="AL197" s="22" t="n"/>
      <c r="AM197" s="22" t="n"/>
      <c r="AN197" s="22" t="n"/>
      <c r="AO197" s="22" t="n"/>
      <c r="AP197" s="22" t="n"/>
      <c r="AQ197" s="22" t="n"/>
      <c r="AR197" s="22" t="n"/>
      <c r="AS197" s="22" t="n"/>
      <c r="AT197" s="22" t="n"/>
      <c r="AU197" s="22" t="n"/>
      <c r="AV197" s="22" t="n"/>
      <c r="AW197" s="22" t="n"/>
      <c r="AX197" s="22" t="n"/>
      <c r="AY197" s="22" t="n"/>
      <c r="AZ197" s="22" t="n"/>
      <c r="BA197" s="22" t="n"/>
      <c r="BB197" s="22" t="n"/>
      <c r="BC197" s="22" t="n"/>
      <c r="BD197" s="22" t="n"/>
      <c r="BE197" s="22" t="n"/>
      <c r="BF197" s="22" t="n"/>
      <c r="BG197" s="22" t="n"/>
      <c r="BH197" s="22" t="n"/>
      <c r="BI197" s="22" t="n"/>
      <c r="BJ197" s="22" t="n"/>
      <c r="BK197" s="22" t="n"/>
      <c r="BL197" s="22" t="n"/>
    </row>
    <row r="198">
      <c r="A198" s="100" t="inlineStr">
        <is>
          <t>Total</t>
        </is>
      </c>
      <c r="B198" s="101" t="inlineStr"/>
      <c r="C198" s="103" t="n"/>
      <c r="D198" s="103" t="n"/>
      <c r="E198" s="104">
        <f>SUM(E199:E258)</f>
        <v/>
      </c>
      <c r="F198" s="104">
        <f>SUM(F199:F258)</f>
        <v/>
      </c>
      <c r="G198" s="104">
        <f>SUM(G199:G258)</f>
        <v/>
      </c>
      <c r="H198" s="104">
        <f>SUM(H199:H258)</f>
        <v/>
      </c>
      <c r="I198" s="104">
        <f>SUM(I199:I258)</f>
        <v/>
      </c>
      <c r="J198" s="104">
        <f>SUM(J199:J258)</f>
        <v/>
      </c>
      <c r="K198" s="104">
        <f>SUM(K199:K258)</f>
        <v/>
      </c>
      <c r="L198" s="104">
        <f>SUM(L199:L258)</f>
        <v/>
      </c>
      <c r="M198" s="104">
        <f>SUM(M199:M258)</f>
        <v/>
      </c>
      <c r="N198" s="104">
        <f>SUM(N199:N258)</f>
        <v/>
      </c>
      <c r="O198" s="104">
        <f>SUM(O199:O258)</f>
        <v/>
      </c>
      <c r="P198" s="104">
        <f>SUM(P199:P258)</f>
        <v/>
      </c>
      <c r="Q198" s="104">
        <f>SUM(Q199:Q258)</f>
        <v/>
      </c>
      <c r="R198" s="104">
        <f>SUM(R199:R258)</f>
        <v/>
      </c>
      <c r="S198" s="104">
        <f>SUM(S199:S258)</f>
        <v/>
      </c>
      <c r="T198" s="104">
        <f>SUM(T199:T258)</f>
        <v/>
      </c>
      <c r="U198" s="104">
        <f>SUM(U199:U258)</f>
        <v/>
      </c>
      <c r="V198" s="104">
        <f>SUM(V199:V258)</f>
        <v/>
      </c>
      <c r="W198" s="104">
        <f>SUM(W199:W258)</f>
        <v/>
      </c>
      <c r="X198" s="104">
        <f>SUM(X199:X258)</f>
        <v/>
      </c>
      <c r="Y198" s="104">
        <f>SUM(Y199:Y258)</f>
        <v/>
      </c>
      <c r="Z198" s="104">
        <f>SUM(Z199:Z258)</f>
        <v/>
      </c>
      <c r="AA198" s="104">
        <f>SUM(AA199:AA258)</f>
        <v/>
      </c>
      <c r="AB198" s="104">
        <f>SUM(AB199:AB258)</f>
        <v/>
      </c>
      <c r="AC198" s="104">
        <f>SUM(AC199:AC258)</f>
        <v/>
      </c>
      <c r="AD198" s="104">
        <f>SUM(AD199:AD258)</f>
        <v/>
      </c>
      <c r="AE198" s="104">
        <f>SUM(AE199:AE258)</f>
        <v/>
      </c>
      <c r="AF198" s="104">
        <f>SUM(AF199:AF258)</f>
        <v/>
      </c>
      <c r="AG198" s="104">
        <f>SUM(AG199:AG258)</f>
        <v/>
      </c>
      <c r="AH198" s="104">
        <f>SUM(AH199:AH258)</f>
        <v/>
      </c>
      <c r="AI198" s="104">
        <f>SUM(AI199:AI258)</f>
        <v/>
      </c>
      <c r="AJ198" s="104">
        <f>SUM(AJ199:AJ258)</f>
        <v/>
      </c>
      <c r="AK198" s="104">
        <f>SUM(AK199:AK258)</f>
        <v/>
      </c>
      <c r="AL198" s="104">
        <f>SUM(AL199:AL258)</f>
        <v/>
      </c>
      <c r="AM198" s="104">
        <f>SUM(AM199:AM258)</f>
        <v/>
      </c>
      <c r="AN198" s="104">
        <f>SUM(AN199:AN258)</f>
        <v/>
      </c>
      <c r="AO198" s="104">
        <f>SUM(AO199:AO258)</f>
        <v/>
      </c>
      <c r="AP198" s="104">
        <f>SUM(AP199:AP258)</f>
        <v/>
      </c>
      <c r="AQ198" s="104">
        <f>SUM(AQ199:AQ258)</f>
        <v/>
      </c>
      <c r="AR198" s="104">
        <f>SUM(AR199:AR258)</f>
        <v/>
      </c>
      <c r="AS198" s="104">
        <f>SUM(AS199:AS258)</f>
        <v/>
      </c>
      <c r="AT198" s="104">
        <f>SUM(AT199:AT258)</f>
        <v/>
      </c>
      <c r="AU198" s="104">
        <f>SUM(AU199:AU258)</f>
        <v/>
      </c>
      <c r="AV198" s="104">
        <f>SUM(AV199:AV258)</f>
        <v/>
      </c>
      <c r="AW198" s="104">
        <f>SUM(AW199:AW258)</f>
        <v/>
      </c>
      <c r="AX198" s="104">
        <f>SUM(AX199:AX258)</f>
        <v/>
      </c>
      <c r="AY198" s="104">
        <f>SUM(AY199:AY258)</f>
        <v/>
      </c>
      <c r="AZ198" s="104">
        <f>SUM(AZ199:AZ258)</f>
        <v/>
      </c>
      <c r="BA198" s="104">
        <f>SUM(BA199:BA258)</f>
        <v/>
      </c>
      <c r="BB198" s="104">
        <f>SUM(BB199:BB258)</f>
        <v/>
      </c>
      <c r="BC198" s="104">
        <f>SUM(BC199:BC258)</f>
        <v/>
      </c>
      <c r="BD198" s="104">
        <f>SUM(BD199:BD258)</f>
        <v/>
      </c>
      <c r="BE198" s="104">
        <f>SUM(BE199:BE258)</f>
        <v/>
      </c>
      <c r="BF198" s="104">
        <f>SUM(BF199:BF258)</f>
        <v/>
      </c>
      <c r="BG198" s="104">
        <f>SUM(BG199:BG258)</f>
        <v/>
      </c>
      <c r="BH198" s="104">
        <f>SUM(BH199:BH258)</f>
        <v/>
      </c>
      <c r="BI198" s="104">
        <f>SUM(BI199:BI258)</f>
        <v/>
      </c>
      <c r="BJ198" s="104">
        <f>SUM(BJ199:BJ258)</f>
        <v/>
      </c>
      <c r="BK198" s="104">
        <f>SUM(BK199:BK258)</f>
        <v/>
      </c>
      <c r="BL198" s="104">
        <f>SUM(BL199:BL258)</f>
        <v/>
      </c>
    </row>
    <row r="199">
      <c r="A199" s="147" t="inlineStr">
        <is>
          <t>Cohort month 1</t>
        </is>
      </c>
      <c r="B199" s="147" t="n">
        <v>1</v>
      </c>
      <c r="C199" s="41">
        <f>INDEX(Ops!$E$10:$BL$10,1,$B199)</f>
        <v/>
      </c>
      <c r="F199" s="153">
        <f>$C199*INDEX(Curves!$I$8:$I$68,F$4-$B199+1)</f>
        <v/>
      </c>
      <c r="G199" s="153">
        <f>$C199*INDEX(Curves!$I$8:$I$68,G$4-$B199+1)</f>
        <v/>
      </c>
      <c r="H199" s="153">
        <f>$C199*INDEX(Curves!$I$8:$I$68,H$4-$B199+1)</f>
        <v/>
      </c>
      <c r="I199" s="153">
        <f>$C199*INDEX(Curves!$I$8:$I$68,I$4-$B199+1)</f>
        <v/>
      </c>
      <c r="J199" s="153">
        <f>$C199*INDEX(Curves!$I$8:$I$68,J$4-$B199+1)</f>
        <v/>
      </c>
      <c r="K199" s="153">
        <f>$C199*INDEX(Curves!$I$8:$I$68,K$4-$B199+1)</f>
        <v/>
      </c>
      <c r="L199" s="153">
        <f>$C199*INDEX(Curves!$I$8:$I$68,L$4-$B199+1)</f>
        <v/>
      </c>
      <c r="M199" s="153">
        <f>$C199*INDEX(Curves!$I$8:$I$68,M$4-$B199+1)</f>
        <v/>
      </c>
      <c r="N199" s="153">
        <f>$C199*INDEX(Curves!$I$8:$I$68,N$4-$B199+1)</f>
        <v/>
      </c>
      <c r="O199" s="153">
        <f>$C199*INDEX(Curves!$I$8:$I$68,O$4-$B199+1)</f>
        <v/>
      </c>
      <c r="P199" s="153">
        <f>$C199*INDEX(Curves!$I$8:$I$68,P$4-$B199+1)</f>
        <v/>
      </c>
      <c r="Q199" s="153">
        <f>$C199*INDEX(Curves!$I$8:$I$68,Q$4-$B199+1)</f>
        <v/>
      </c>
      <c r="R199" s="153">
        <f>$C199*INDEX(Curves!$I$8:$I$68,R$4-$B199+1)</f>
        <v/>
      </c>
      <c r="S199" s="153">
        <f>$C199*INDEX(Curves!$I$8:$I$68,S$4-$B199+1)</f>
        <v/>
      </c>
      <c r="T199" s="153">
        <f>$C199*INDEX(Curves!$I$8:$I$68,T$4-$B199+1)</f>
        <v/>
      </c>
      <c r="U199" s="153">
        <f>$C199*INDEX(Curves!$I$8:$I$68,U$4-$B199+1)</f>
        <v/>
      </c>
      <c r="V199" s="153">
        <f>$C199*INDEX(Curves!$I$8:$I$68,V$4-$B199+1)</f>
        <v/>
      </c>
      <c r="W199" s="153">
        <f>$C199*INDEX(Curves!$I$8:$I$68,W$4-$B199+1)</f>
        <v/>
      </c>
      <c r="X199" s="153">
        <f>$C199*INDEX(Curves!$I$8:$I$68,X$4-$B199+1)</f>
        <v/>
      </c>
      <c r="Y199" s="153">
        <f>$C199*INDEX(Curves!$I$8:$I$68,Y$4-$B199+1)</f>
        <v/>
      </c>
      <c r="Z199" s="153">
        <f>$C199*INDEX(Curves!$I$8:$I$68,Z$4-$B199+1)</f>
        <v/>
      </c>
      <c r="AA199" s="153">
        <f>$C199*INDEX(Curves!$I$8:$I$68,AA$4-$B199+1)</f>
        <v/>
      </c>
      <c r="AB199" s="153">
        <f>$C199*INDEX(Curves!$I$8:$I$68,AB$4-$B199+1)</f>
        <v/>
      </c>
      <c r="AC199" s="153">
        <f>$C199*INDEX(Curves!$I$8:$I$68,AC$4-$B199+1)</f>
        <v/>
      </c>
      <c r="AD199" s="153">
        <f>$C199*INDEX(Curves!$I$8:$I$68,AD$4-$B199+1)</f>
        <v/>
      </c>
      <c r="AE199" s="153">
        <f>$C199*INDEX(Curves!$I$8:$I$68,AE$4-$B199+1)</f>
        <v/>
      </c>
      <c r="AF199" s="153">
        <f>$C199*INDEX(Curves!$I$8:$I$68,AF$4-$B199+1)</f>
        <v/>
      </c>
      <c r="AG199" s="153">
        <f>$C199*INDEX(Curves!$I$8:$I$68,AG$4-$B199+1)</f>
        <v/>
      </c>
      <c r="AH199" s="153">
        <f>$C199*INDEX(Curves!$I$8:$I$68,AH$4-$B199+1)</f>
        <v/>
      </c>
      <c r="AI199" s="153">
        <f>$C199*INDEX(Curves!$I$8:$I$68,AI$4-$B199+1)</f>
        <v/>
      </c>
      <c r="AJ199" s="153">
        <f>$C199*INDEX(Curves!$I$8:$I$68,AJ$4-$B199+1)</f>
        <v/>
      </c>
      <c r="AK199" s="153">
        <f>$C199*INDEX(Curves!$I$8:$I$68,AK$4-$B199+1)</f>
        <v/>
      </c>
      <c r="AL199" s="153">
        <f>$C199*INDEX(Curves!$I$8:$I$68,AL$4-$B199+1)</f>
        <v/>
      </c>
      <c r="AM199" s="153">
        <f>$C199*INDEX(Curves!$I$8:$I$68,AM$4-$B199+1)</f>
        <v/>
      </c>
      <c r="AN199" s="153">
        <f>$C199*INDEX(Curves!$I$8:$I$68,AN$4-$B199+1)</f>
        <v/>
      </c>
      <c r="AO199" s="153">
        <f>$C199*INDEX(Curves!$I$8:$I$68,AO$4-$B199+1)</f>
        <v/>
      </c>
      <c r="AP199" s="153">
        <f>$C199*INDEX(Curves!$I$8:$I$68,AP$4-$B199+1)</f>
        <v/>
      </c>
      <c r="AQ199" s="153">
        <f>$C199*INDEX(Curves!$I$8:$I$68,AQ$4-$B199+1)</f>
        <v/>
      </c>
      <c r="AR199" s="153">
        <f>$C199*INDEX(Curves!$I$8:$I$68,AR$4-$B199+1)</f>
        <v/>
      </c>
      <c r="AS199" s="153">
        <f>$C199*INDEX(Curves!$I$8:$I$68,AS$4-$B199+1)</f>
        <v/>
      </c>
      <c r="AT199" s="153">
        <f>$C199*INDEX(Curves!$I$8:$I$68,AT$4-$B199+1)</f>
        <v/>
      </c>
      <c r="AU199" s="153">
        <f>$C199*INDEX(Curves!$I$8:$I$68,AU$4-$B199+1)</f>
        <v/>
      </c>
      <c r="AV199" s="153">
        <f>$C199*INDEX(Curves!$I$8:$I$68,AV$4-$B199+1)</f>
        <v/>
      </c>
      <c r="AW199" s="153">
        <f>$C199*INDEX(Curves!$I$8:$I$68,AW$4-$B199+1)</f>
        <v/>
      </c>
      <c r="AX199" s="153">
        <f>$C199*INDEX(Curves!$I$8:$I$68,AX$4-$B199+1)</f>
        <v/>
      </c>
      <c r="AY199" s="153">
        <f>$C199*INDEX(Curves!$I$8:$I$68,AY$4-$B199+1)</f>
        <v/>
      </c>
      <c r="AZ199" s="153">
        <f>$C199*INDEX(Curves!$I$8:$I$68,AZ$4-$B199+1)</f>
        <v/>
      </c>
      <c r="BA199" s="153">
        <f>$C199*INDEX(Curves!$I$8:$I$68,BA$4-$B199+1)</f>
        <v/>
      </c>
      <c r="BB199" s="153">
        <f>$C199*INDEX(Curves!$I$8:$I$68,BB$4-$B199+1)</f>
        <v/>
      </c>
      <c r="BC199" s="153">
        <f>$C199*INDEX(Curves!$I$8:$I$68,BC$4-$B199+1)</f>
        <v/>
      </c>
      <c r="BD199" s="153">
        <f>$C199*INDEX(Curves!$I$8:$I$68,BD$4-$B199+1)</f>
        <v/>
      </c>
      <c r="BE199" s="153">
        <f>$C199*INDEX(Curves!$I$8:$I$68,BE$4-$B199+1)</f>
        <v/>
      </c>
      <c r="BF199" s="153">
        <f>$C199*INDEX(Curves!$I$8:$I$68,BF$4-$B199+1)</f>
        <v/>
      </c>
      <c r="BG199" s="153">
        <f>$C199*INDEX(Curves!$I$8:$I$68,BG$4-$B199+1)</f>
        <v/>
      </c>
      <c r="BH199" s="153">
        <f>$C199*INDEX(Curves!$I$8:$I$68,BH$4-$B199+1)</f>
        <v/>
      </c>
      <c r="BI199" s="153">
        <f>$C199*INDEX(Curves!$I$8:$I$68,BI$4-$B199+1)</f>
        <v/>
      </c>
      <c r="BJ199" s="153">
        <f>$C199*INDEX(Curves!$I$8:$I$68,BJ$4-$B199+1)</f>
        <v/>
      </c>
      <c r="BK199" s="153">
        <f>$C199*INDEX(Curves!$I$8:$I$68,BK$4-$B199+1)</f>
        <v/>
      </c>
      <c r="BL199" s="153">
        <f>$C199*INDEX(Curves!$I$8:$I$68,BL$4-$B199+1)</f>
        <v/>
      </c>
    </row>
    <row r="200">
      <c r="A200" s="147" t="inlineStr">
        <is>
          <t>Cohort month 2</t>
        </is>
      </c>
      <c r="B200" s="147" t="n">
        <v>2</v>
      </c>
      <c r="C200" s="41">
        <f>INDEX(Ops!$E$10:$BL$10,1,$B200)</f>
        <v/>
      </c>
      <c r="G200" s="153">
        <f>$C200*INDEX(Curves!$I$8:$I$68,G$4-$B200+1)</f>
        <v/>
      </c>
      <c r="H200" s="153">
        <f>$C200*INDEX(Curves!$I$8:$I$68,H$4-$B200+1)</f>
        <v/>
      </c>
      <c r="I200" s="153">
        <f>$C200*INDEX(Curves!$I$8:$I$68,I$4-$B200+1)</f>
        <v/>
      </c>
      <c r="J200" s="153">
        <f>$C200*INDEX(Curves!$I$8:$I$68,J$4-$B200+1)</f>
        <v/>
      </c>
      <c r="K200" s="153">
        <f>$C200*INDEX(Curves!$I$8:$I$68,K$4-$B200+1)</f>
        <v/>
      </c>
      <c r="L200" s="153">
        <f>$C200*INDEX(Curves!$I$8:$I$68,L$4-$B200+1)</f>
        <v/>
      </c>
      <c r="M200" s="153">
        <f>$C200*INDEX(Curves!$I$8:$I$68,M$4-$B200+1)</f>
        <v/>
      </c>
      <c r="N200" s="153">
        <f>$C200*INDEX(Curves!$I$8:$I$68,N$4-$B200+1)</f>
        <v/>
      </c>
      <c r="O200" s="153">
        <f>$C200*INDEX(Curves!$I$8:$I$68,O$4-$B200+1)</f>
        <v/>
      </c>
      <c r="P200" s="153">
        <f>$C200*INDEX(Curves!$I$8:$I$68,P$4-$B200+1)</f>
        <v/>
      </c>
      <c r="Q200" s="153">
        <f>$C200*INDEX(Curves!$I$8:$I$68,Q$4-$B200+1)</f>
        <v/>
      </c>
      <c r="R200" s="153">
        <f>$C200*INDEX(Curves!$I$8:$I$68,R$4-$B200+1)</f>
        <v/>
      </c>
      <c r="S200" s="153">
        <f>$C200*INDEX(Curves!$I$8:$I$68,S$4-$B200+1)</f>
        <v/>
      </c>
      <c r="T200" s="153">
        <f>$C200*INDEX(Curves!$I$8:$I$68,T$4-$B200+1)</f>
        <v/>
      </c>
      <c r="U200" s="153">
        <f>$C200*INDEX(Curves!$I$8:$I$68,U$4-$B200+1)</f>
        <v/>
      </c>
      <c r="V200" s="153">
        <f>$C200*INDEX(Curves!$I$8:$I$68,V$4-$B200+1)</f>
        <v/>
      </c>
      <c r="W200" s="153">
        <f>$C200*INDEX(Curves!$I$8:$I$68,W$4-$B200+1)</f>
        <v/>
      </c>
      <c r="X200" s="153">
        <f>$C200*INDEX(Curves!$I$8:$I$68,X$4-$B200+1)</f>
        <v/>
      </c>
      <c r="Y200" s="153">
        <f>$C200*INDEX(Curves!$I$8:$I$68,Y$4-$B200+1)</f>
        <v/>
      </c>
      <c r="Z200" s="153">
        <f>$C200*INDEX(Curves!$I$8:$I$68,Z$4-$B200+1)</f>
        <v/>
      </c>
      <c r="AA200" s="153">
        <f>$C200*INDEX(Curves!$I$8:$I$68,AA$4-$B200+1)</f>
        <v/>
      </c>
      <c r="AB200" s="153">
        <f>$C200*INDEX(Curves!$I$8:$I$68,AB$4-$B200+1)</f>
        <v/>
      </c>
      <c r="AC200" s="153">
        <f>$C200*INDEX(Curves!$I$8:$I$68,AC$4-$B200+1)</f>
        <v/>
      </c>
      <c r="AD200" s="153">
        <f>$C200*INDEX(Curves!$I$8:$I$68,AD$4-$B200+1)</f>
        <v/>
      </c>
      <c r="AE200" s="153">
        <f>$C200*INDEX(Curves!$I$8:$I$68,AE$4-$B200+1)</f>
        <v/>
      </c>
      <c r="AF200" s="153">
        <f>$C200*INDEX(Curves!$I$8:$I$68,AF$4-$B200+1)</f>
        <v/>
      </c>
      <c r="AG200" s="153">
        <f>$C200*INDEX(Curves!$I$8:$I$68,AG$4-$B200+1)</f>
        <v/>
      </c>
      <c r="AH200" s="153">
        <f>$C200*INDEX(Curves!$I$8:$I$68,AH$4-$B200+1)</f>
        <v/>
      </c>
      <c r="AI200" s="153">
        <f>$C200*INDEX(Curves!$I$8:$I$68,AI$4-$B200+1)</f>
        <v/>
      </c>
      <c r="AJ200" s="153">
        <f>$C200*INDEX(Curves!$I$8:$I$68,AJ$4-$B200+1)</f>
        <v/>
      </c>
      <c r="AK200" s="153">
        <f>$C200*INDEX(Curves!$I$8:$I$68,AK$4-$B200+1)</f>
        <v/>
      </c>
      <c r="AL200" s="153">
        <f>$C200*INDEX(Curves!$I$8:$I$68,AL$4-$B200+1)</f>
        <v/>
      </c>
      <c r="AM200" s="153">
        <f>$C200*INDEX(Curves!$I$8:$I$68,AM$4-$B200+1)</f>
        <v/>
      </c>
      <c r="AN200" s="153">
        <f>$C200*INDEX(Curves!$I$8:$I$68,AN$4-$B200+1)</f>
        <v/>
      </c>
      <c r="AO200" s="153">
        <f>$C200*INDEX(Curves!$I$8:$I$68,AO$4-$B200+1)</f>
        <v/>
      </c>
      <c r="AP200" s="153">
        <f>$C200*INDEX(Curves!$I$8:$I$68,AP$4-$B200+1)</f>
        <v/>
      </c>
      <c r="AQ200" s="153">
        <f>$C200*INDEX(Curves!$I$8:$I$68,AQ$4-$B200+1)</f>
        <v/>
      </c>
      <c r="AR200" s="153">
        <f>$C200*INDEX(Curves!$I$8:$I$68,AR$4-$B200+1)</f>
        <v/>
      </c>
      <c r="AS200" s="153">
        <f>$C200*INDEX(Curves!$I$8:$I$68,AS$4-$B200+1)</f>
        <v/>
      </c>
      <c r="AT200" s="153">
        <f>$C200*INDEX(Curves!$I$8:$I$68,AT$4-$B200+1)</f>
        <v/>
      </c>
      <c r="AU200" s="153">
        <f>$C200*INDEX(Curves!$I$8:$I$68,AU$4-$B200+1)</f>
        <v/>
      </c>
      <c r="AV200" s="153">
        <f>$C200*INDEX(Curves!$I$8:$I$68,AV$4-$B200+1)</f>
        <v/>
      </c>
      <c r="AW200" s="153">
        <f>$C200*INDEX(Curves!$I$8:$I$68,AW$4-$B200+1)</f>
        <v/>
      </c>
      <c r="AX200" s="153">
        <f>$C200*INDEX(Curves!$I$8:$I$68,AX$4-$B200+1)</f>
        <v/>
      </c>
      <c r="AY200" s="153">
        <f>$C200*INDEX(Curves!$I$8:$I$68,AY$4-$B200+1)</f>
        <v/>
      </c>
      <c r="AZ200" s="153">
        <f>$C200*INDEX(Curves!$I$8:$I$68,AZ$4-$B200+1)</f>
        <v/>
      </c>
      <c r="BA200" s="153">
        <f>$C200*INDEX(Curves!$I$8:$I$68,BA$4-$B200+1)</f>
        <v/>
      </c>
      <c r="BB200" s="153">
        <f>$C200*INDEX(Curves!$I$8:$I$68,BB$4-$B200+1)</f>
        <v/>
      </c>
      <c r="BC200" s="153">
        <f>$C200*INDEX(Curves!$I$8:$I$68,BC$4-$B200+1)</f>
        <v/>
      </c>
      <c r="BD200" s="153">
        <f>$C200*INDEX(Curves!$I$8:$I$68,BD$4-$B200+1)</f>
        <v/>
      </c>
      <c r="BE200" s="153">
        <f>$C200*INDEX(Curves!$I$8:$I$68,BE$4-$B200+1)</f>
        <v/>
      </c>
      <c r="BF200" s="153">
        <f>$C200*INDEX(Curves!$I$8:$I$68,BF$4-$B200+1)</f>
        <v/>
      </c>
      <c r="BG200" s="153">
        <f>$C200*INDEX(Curves!$I$8:$I$68,BG$4-$B200+1)</f>
        <v/>
      </c>
      <c r="BH200" s="153">
        <f>$C200*INDEX(Curves!$I$8:$I$68,BH$4-$B200+1)</f>
        <v/>
      </c>
      <c r="BI200" s="153">
        <f>$C200*INDEX(Curves!$I$8:$I$68,BI$4-$B200+1)</f>
        <v/>
      </c>
      <c r="BJ200" s="153">
        <f>$C200*INDEX(Curves!$I$8:$I$68,BJ$4-$B200+1)</f>
        <v/>
      </c>
      <c r="BK200" s="153">
        <f>$C200*INDEX(Curves!$I$8:$I$68,BK$4-$B200+1)</f>
        <v/>
      </c>
      <c r="BL200" s="153">
        <f>$C200*INDEX(Curves!$I$8:$I$68,BL$4-$B200+1)</f>
        <v/>
      </c>
    </row>
    <row r="201">
      <c r="A201" s="147" t="inlineStr">
        <is>
          <t>Cohort month 3</t>
        </is>
      </c>
      <c r="B201" s="147" t="n">
        <v>3</v>
      </c>
      <c r="C201" s="41">
        <f>INDEX(Ops!$E$10:$BL$10,1,$B201)</f>
        <v/>
      </c>
      <c r="H201" s="153">
        <f>$C201*INDEX(Curves!$I$8:$I$68,H$4-$B201+1)</f>
        <v/>
      </c>
      <c r="I201" s="153">
        <f>$C201*INDEX(Curves!$I$8:$I$68,I$4-$B201+1)</f>
        <v/>
      </c>
      <c r="J201" s="153">
        <f>$C201*INDEX(Curves!$I$8:$I$68,J$4-$B201+1)</f>
        <v/>
      </c>
      <c r="K201" s="153">
        <f>$C201*INDEX(Curves!$I$8:$I$68,K$4-$B201+1)</f>
        <v/>
      </c>
      <c r="L201" s="153">
        <f>$C201*INDEX(Curves!$I$8:$I$68,L$4-$B201+1)</f>
        <v/>
      </c>
      <c r="M201" s="153">
        <f>$C201*INDEX(Curves!$I$8:$I$68,M$4-$B201+1)</f>
        <v/>
      </c>
      <c r="N201" s="153">
        <f>$C201*INDEX(Curves!$I$8:$I$68,N$4-$B201+1)</f>
        <v/>
      </c>
      <c r="O201" s="153">
        <f>$C201*INDEX(Curves!$I$8:$I$68,O$4-$B201+1)</f>
        <v/>
      </c>
      <c r="P201" s="153">
        <f>$C201*INDEX(Curves!$I$8:$I$68,P$4-$B201+1)</f>
        <v/>
      </c>
      <c r="Q201" s="153">
        <f>$C201*INDEX(Curves!$I$8:$I$68,Q$4-$B201+1)</f>
        <v/>
      </c>
      <c r="R201" s="153">
        <f>$C201*INDEX(Curves!$I$8:$I$68,R$4-$B201+1)</f>
        <v/>
      </c>
      <c r="S201" s="153">
        <f>$C201*INDEX(Curves!$I$8:$I$68,S$4-$B201+1)</f>
        <v/>
      </c>
      <c r="T201" s="153">
        <f>$C201*INDEX(Curves!$I$8:$I$68,T$4-$B201+1)</f>
        <v/>
      </c>
      <c r="U201" s="153">
        <f>$C201*INDEX(Curves!$I$8:$I$68,U$4-$B201+1)</f>
        <v/>
      </c>
      <c r="V201" s="153">
        <f>$C201*INDEX(Curves!$I$8:$I$68,V$4-$B201+1)</f>
        <v/>
      </c>
      <c r="W201" s="153">
        <f>$C201*INDEX(Curves!$I$8:$I$68,W$4-$B201+1)</f>
        <v/>
      </c>
      <c r="X201" s="153">
        <f>$C201*INDEX(Curves!$I$8:$I$68,X$4-$B201+1)</f>
        <v/>
      </c>
      <c r="Y201" s="153">
        <f>$C201*INDEX(Curves!$I$8:$I$68,Y$4-$B201+1)</f>
        <v/>
      </c>
      <c r="Z201" s="153">
        <f>$C201*INDEX(Curves!$I$8:$I$68,Z$4-$B201+1)</f>
        <v/>
      </c>
      <c r="AA201" s="153">
        <f>$C201*INDEX(Curves!$I$8:$I$68,AA$4-$B201+1)</f>
        <v/>
      </c>
      <c r="AB201" s="153">
        <f>$C201*INDEX(Curves!$I$8:$I$68,AB$4-$B201+1)</f>
        <v/>
      </c>
      <c r="AC201" s="153">
        <f>$C201*INDEX(Curves!$I$8:$I$68,AC$4-$B201+1)</f>
        <v/>
      </c>
      <c r="AD201" s="153">
        <f>$C201*INDEX(Curves!$I$8:$I$68,AD$4-$B201+1)</f>
        <v/>
      </c>
      <c r="AE201" s="153">
        <f>$C201*INDEX(Curves!$I$8:$I$68,AE$4-$B201+1)</f>
        <v/>
      </c>
      <c r="AF201" s="153">
        <f>$C201*INDEX(Curves!$I$8:$I$68,AF$4-$B201+1)</f>
        <v/>
      </c>
      <c r="AG201" s="153">
        <f>$C201*INDEX(Curves!$I$8:$I$68,AG$4-$B201+1)</f>
        <v/>
      </c>
      <c r="AH201" s="153">
        <f>$C201*INDEX(Curves!$I$8:$I$68,AH$4-$B201+1)</f>
        <v/>
      </c>
      <c r="AI201" s="153">
        <f>$C201*INDEX(Curves!$I$8:$I$68,AI$4-$B201+1)</f>
        <v/>
      </c>
      <c r="AJ201" s="153">
        <f>$C201*INDEX(Curves!$I$8:$I$68,AJ$4-$B201+1)</f>
        <v/>
      </c>
      <c r="AK201" s="153">
        <f>$C201*INDEX(Curves!$I$8:$I$68,AK$4-$B201+1)</f>
        <v/>
      </c>
      <c r="AL201" s="153">
        <f>$C201*INDEX(Curves!$I$8:$I$68,AL$4-$B201+1)</f>
        <v/>
      </c>
      <c r="AM201" s="153">
        <f>$C201*INDEX(Curves!$I$8:$I$68,AM$4-$B201+1)</f>
        <v/>
      </c>
      <c r="AN201" s="153">
        <f>$C201*INDEX(Curves!$I$8:$I$68,AN$4-$B201+1)</f>
        <v/>
      </c>
      <c r="AO201" s="153">
        <f>$C201*INDEX(Curves!$I$8:$I$68,AO$4-$B201+1)</f>
        <v/>
      </c>
      <c r="AP201" s="153">
        <f>$C201*INDEX(Curves!$I$8:$I$68,AP$4-$B201+1)</f>
        <v/>
      </c>
      <c r="AQ201" s="153">
        <f>$C201*INDEX(Curves!$I$8:$I$68,AQ$4-$B201+1)</f>
        <v/>
      </c>
      <c r="AR201" s="153">
        <f>$C201*INDEX(Curves!$I$8:$I$68,AR$4-$B201+1)</f>
        <v/>
      </c>
      <c r="AS201" s="153">
        <f>$C201*INDEX(Curves!$I$8:$I$68,AS$4-$B201+1)</f>
        <v/>
      </c>
      <c r="AT201" s="153">
        <f>$C201*INDEX(Curves!$I$8:$I$68,AT$4-$B201+1)</f>
        <v/>
      </c>
      <c r="AU201" s="153">
        <f>$C201*INDEX(Curves!$I$8:$I$68,AU$4-$B201+1)</f>
        <v/>
      </c>
      <c r="AV201" s="153">
        <f>$C201*INDEX(Curves!$I$8:$I$68,AV$4-$B201+1)</f>
        <v/>
      </c>
      <c r="AW201" s="153">
        <f>$C201*INDEX(Curves!$I$8:$I$68,AW$4-$B201+1)</f>
        <v/>
      </c>
      <c r="AX201" s="153">
        <f>$C201*INDEX(Curves!$I$8:$I$68,AX$4-$B201+1)</f>
        <v/>
      </c>
      <c r="AY201" s="153">
        <f>$C201*INDEX(Curves!$I$8:$I$68,AY$4-$B201+1)</f>
        <v/>
      </c>
      <c r="AZ201" s="153">
        <f>$C201*INDEX(Curves!$I$8:$I$68,AZ$4-$B201+1)</f>
        <v/>
      </c>
      <c r="BA201" s="153">
        <f>$C201*INDEX(Curves!$I$8:$I$68,BA$4-$B201+1)</f>
        <v/>
      </c>
      <c r="BB201" s="153">
        <f>$C201*INDEX(Curves!$I$8:$I$68,BB$4-$B201+1)</f>
        <v/>
      </c>
      <c r="BC201" s="153">
        <f>$C201*INDEX(Curves!$I$8:$I$68,BC$4-$B201+1)</f>
        <v/>
      </c>
      <c r="BD201" s="153">
        <f>$C201*INDEX(Curves!$I$8:$I$68,BD$4-$B201+1)</f>
        <v/>
      </c>
      <c r="BE201" s="153">
        <f>$C201*INDEX(Curves!$I$8:$I$68,BE$4-$B201+1)</f>
        <v/>
      </c>
      <c r="BF201" s="153">
        <f>$C201*INDEX(Curves!$I$8:$I$68,BF$4-$B201+1)</f>
        <v/>
      </c>
      <c r="BG201" s="153">
        <f>$C201*INDEX(Curves!$I$8:$I$68,BG$4-$B201+1)</f>
        <v/>
      </c>
      <c r="BH201" s="153">
        <f>$C201*INDEX(Curves!$I$8:$I$68,BH$4-$B201+1)</f>
        <v/>
      </c>
      <c r="BI201" s="153">
        <f>$C201*INDEX(Curves!$I$8:$I$68,BI$4-$B201+1)</f>
        <v/>
      </c>
      <c r="BJ201" s="153">
        <f>$C201*INDEX(Curves!$I$8:$I$68,BJ$4-$B201+1)</f>
        <v/>
      </c>
      <c r="BK201" s="153">
        <f>$C201*INDEX(Curves!$I$8:$I$68,BK$4-$B201+1)</f>
        <v/>
      </c>
      <c r="BL201" s="153">
        <f>$C201*INDEX(Curves!$I$8:$I$68,BL$4-$B201+1)</f>
        <v/>
      </c>
    </row>
    <row r="202">
      <c r="A202" s="147" t="inlineStr">
        <is>
          <t>Cohort month 4</t>
        </is>
      </c>
      <c r="B202" s="147" t="n">
        <v>4</v>
      </c>
      <c r="C202" s="41">
        <f>INDEX(Ops!$E$10:$BL$10,1,$B202)</f>
        <v/>
      </c>
      <c r="I202" s="153">
        <f>$C202*INDEX(Curves!$I$8:$I$68,I$4-$B202+1)</f>
        <v/>
      </c>
      <c r="J202" s="153">
        <f>$C202*INDEX(Curves!$I$8:$I$68,J$4-$B202+1)</f>
        <v/>
      </c>
      <c r="K202" s="153">
        <f>$C202*INDEX(Curves!$I$8:$I$68,K$4-$B202+1)</f>
        <v/>
      </c>
      <c r="L202" s="153">
        <f>$C202*INDEX(Curves!$I$8:$I$68,L$4-$B202+1)</f>
        <v/>
      </c>
      <c r="M202" s="153">
        <f>$C202*INDEX(Curves!$I$8:$I$68,M$4-$B202+1)</f>
        <v/>
      </c>
      <c r="N202" s="153">
        <f>$C202*INDEX(Curves!$I$8:$I$68,N$4-$B202+1)</f>
        <v/>
      </c>
      <c r="O202" s="153">
        <f>$C202*INDEX(Curves!$I$8:$I$68,O$4-$B202+1)</f>
        <v/>
      </c>
      <c r="P202" s="153">
        <f>$C202*INDEX(Curves!$I$8:$I$68,P$4-$B202+1)</f>
        <v/>
      </c>
      <c r="Q202" s="153">
        <f>$C202*INDEX(Curves!$I$8:$I$68,Q$4-$B202+1)</f>
        <v/>
      </c>
      <c r="R202" s="153">
        <f>$C202*INDEX(Curves!$I$8:$I$68,R$4-$B202+1)</f>
        <v/>
      </c>
      <c r="S202" s="153">
        <f>$C202*INDEX(Curves!$I$8:$I$68,S$4-$B202+1)</f>
        <v/>
      </c>
      <c r="T202" s="153">
        <f>$C202*INDEX(Curves!$I$8:$I$68,T$4-$B202+1)</f>
        <v/>
      </c>
      <c r="U202" s="153">
        <f>$C202*INDEX(Curves!$I$8:$I$68,U$4-$B202+1)</f>
        <v/>
      </c>
      <c r="V202" s="153">
        <f>$C202*INDEX(Curves!$I$8:$I$68,V$4-$B202+1)</f>
        <v/>
      </c>
      <c r="W202" s="153">
        <f>$C202*INDEX(Curves!$I$8:$I$68,W$4-$B202+1)</f>
        <v/>
      </c>
      <c r="X202" s="153">
        <f>$C202*INDEX(Curves!$I$8:$I$68,X$4-$B202+1)</f>
        <v/>
      </c>
      <c r="Y202" s="153">
        <f>$C202*INDEX(Curves!$I$8:$I$68,Y$4-$B202+1)</f>
        <v/>
      </c>
      <c r="Z202" s="153">
        <f>$C202*INDEX(Curves!$I$8:$I$68,Z$4-$B202+1)</f>
        <v/>
      </c>
      <c r="AA202" s="153">
        <f>$C202*INDEX(Curves!$I$8:$I$68,AA$4-$B202+1)</f>
        <v/>
      </c>
      <c r="AB202" s="153">
        <f>$C202*INDEX(Curves!$I$8:$I$68,AB$4-$B202+1)</f>
        <v/>
      </c>
      <c r="AC202" s="153">
        <f>$C202*INDEX(Curves!$I$8:$I$68,AC$4-$B202+1)</f>
        <v/>
      </c>
      <c r="AD202" s="153">
        <f>$C202*INDEX(Curves!$I$8:$I$68,AD$4-$B202+1)</f>
        <v/>
      </c>
      <c r="AE202" s="153">
        <f>$C202*INDEX(Curves!$I$8:$I$68,AE$4-$B202+1)</f>
        <v/>
      </c>
      <c r="AF202" s="153">
        <f>$C202*INDEX(Curves!$I$8:$I$68,AF$4-$B202+1)</f>
        <v/>
      </c>
      <c r="AG202" s="153">
        <f>$C202*INDEX(Curves!$I$8:$I$68,AG$4-$B202+1)</f>
        <v/>
      </c>
      <c r="AH202" s="153">
        <f>$C202*INDEX(Curves!$I$8:$I$68,AH$4-$B202+1)</f>
        <v/>
      </c>
      <c r="AI202" s="153">
        <f>$C202*INDEX(Curves!$I$8:$I$68,AI$4-$B202+1)</f>
        <v/>
      </c>
      <c r="AJ202" s="153">
        <f>$C202*INDEX(Curves!$I$8:$I$68,AJ$4-$B202+1)</f>
        <v/>
      </c>
      <c r="AK202" s="153">
        <f>$C202*INDEX(Curves!$I$8:$I$68,AK$4-$B202+1)</f>
        <v/>
      </c>
      <c r="AL202" s="153">
        <f>$C202*INDEX(Curves!$I$8:$I$68,AL$4-$B202+1)</f>
        <v/>
      </c>
      <c r="AM202" s="153">
        <f>$C202*INDEX(Curves!$I$8:$I$68,AM$4-$B202+1)</f>
        <v/>
      </c>
      <c r="AN202" s="153">
        <f>$C202*INDEX(Curves!$I$8:$I$68,AN$4-$B202+1)</f>
        <v/>
      </c>
      <c r="AO202" s="153">
        <f>$C202*INDEX(Curves!$I$8:$I$68,AO$4-$B202+1)</f>
        <v/>
      </c>
      <c r="AP202" s="153">
        <f>$C202*INDEX(Curves!$I$8:$I$68,AP$4-$B202+1)</f>
        <v/>
      </c>
      <c r="AQ202" s="153">
        <f>$C202*INDEX(Curves!$I$8:$I$68,AQ$4-$B202+1)</f>
        <v/>
      </c>
      <c r="AR202" s="153">
        <f>$C202*INDEX(Curves!$I$8:$I$68,AR$4-$B202+1)</f>
        <v/>
      </c>
      <c r="AS202" s="153">
        <f>$C202*INDEX(Curves!$I$8:$I$68,AS$4-$B202+1)</f>
        <v/>
      </c>
      <c r="AT202" s="153">
        <f>$C202*INDEX(Curves!$I$8:$I$68,AT$4-$B202+1)</f>
        <v/>
      </c>
      <c r="AU202" s="153">
        <f>$C202*INDEX(Curves!$I$8:$I$68,AU$4-$B202+1)</f>
        <v/>
      </c>
      <c r="AV202" s="153">
        <f>$C202*INDEX(Curves!$I$8:$I$68,AV$4-$B202+1)</f>
        <v/>
      </c>
      <c r="AW202" s="153">
        <f>$C202*INDEX(Curves!$I$8:$I$68,AW$4-$B202+1)</f>
        <v/>
      </c>
      <c r="AX202" s="153">
        <f>$C202*INDEX(Curves!$I$8:$I$68,AX$4-$B202+1)</f>
        <v/>
      </c>
      <c r="AY202" s="153">
        <f>$C202*INDEX(Curves!$I$8:$I$68,AY$4-$B202+1)</f>
        <v/>
      </c>
      <c r="AZ202" s="153">
        <f>$C202*INDEX(Curves!$I$8:$I$68,AZ$4-$B202+1)</f>
        <v/>
      </c>
      <c r="BA202" s="153">
        <f>$C202*INDEX(Curves!$I$8:$I$68,BA$4-$B202+1)</f>
        <v/>
      </c>
      <c r="BB202" s="153">
        <f>$C202*INDEX(Curves!$I$8:$I$68,BB$4-$B202+1)</f>
        <v/>
      </c>
      <c r="BC202" s="153">
        <f>$C202*INDEX(Curves!$I$8:$I$68,BC$4-$B202+1)</f>
        <v/>
      </c>
      <c r="BD202" s="153">
        <f>$C202*INDEX(Curves!$I$8:$I$68,BD$4-$B202+1)</f>
        <v/>
      </c>
      <c r="BE202" s="153">
        <f>$C202*INDEX(Curves!$I$8:$I$68,BE$4-$B202+1)</f>
        <v/>
      </c>
      <c r="BF202" s="153">
        <f>$C202*INDEX(Curves!$I$8:$I$68,BF$4-$B202+1)</f>
        <v/>
      </c>
      <c r="BG202" s="153">
        <f>$C202*INDEX(Curves!$I$8:$I$68,BG$4-$B202+1)</f>
        <v/>
      </c>
      <c r="BH202" s="153">
        <f>$C202*INDEX(Curves!$I$8:$I$68,BH$4-$B202+1)</f>
        <v/>
      </c>
      <c r="BI202" s="153">
        <f>$C202*INDEX(Curves!$I$8:$I$68,BI$4-$B202+1)</f>
        <v/>
      </c>
      <c r="BJ202" s="153">
        <f>$C202*INDEX(Curves!$I$8:$I$68,BJ$4-$B202+1)</f>
        <v/>
      </c>
      <c r="BK202" s="153">
        <f>$C202*INDEX(Curves!$I$8:$I$68,BK$4-$B202+1)</f>
        <v/>
      </c>
      <c r="BL202" s="153">
        <f>$C202*INDEX(Curves!$I$8:$I$68,BL$4-$B202+1)</f>
        <v/>
      </c>
    </row>
    <row r="203">
      <c r="A203" s="147" t="inlineStr">
        <is>
          <t>Cohort month 5</t>
        </is>
      </c>
      <c r="B203" s="147" t="n">
        <v>5</v>
      </c>
      <c r="C203" s="41">
        <f>INDEX(Ops!$E$10:$BL$10,1,$B203)</f>
        <v/>
      </c>
      <c r="J203" s="153">
        <f>$C203*INDEX(Curves!$I$8:$I$68,J$4-$B203+1)</f>
        <v/>
      </c>
      <c r="K203" s="153">
        <f>$C203*INDEX(Curves!$I$8:$I$68,K$4-$B203+1)</f>
        <v/>
      </c>
      <c r="L203" s="153">
        <f>$C203*INDEX(Curves!$I$8:$I$68,L$4-$B203+1)</f>
        <v/>
      </c>
      <c r="M203" s="153">
        <f>$C203*INDEX(Curves!$I$8:$I$68,M$4-$B203+1)</f>
        <v/>
      </c>
      <c r="N203" s="153">
        <f>$C203*INDEX(Curves!$I$8:$I$68,N$4-$B203+1)</f>
        <v/>
      </c>
      <c r="O203" s="153">
        <f>$C203*INDEX(Curves!$I$8:$I$68,O$4-$B203+1)</f>
        <v/>
      </c>
      <c r="P203" s="153">
        <f>$C203*INDEX(Curves!$I$8:$I$68,P$4-$B203+1)</f>
        <v/>
      </c>
      <c r="Q203" s="153">
        <f>$C203*INDEX(Curves!$I$8:$I$68,Q$4-$B203+1)</f>
        <v/>
      </c>
      <c r="R203" s="153">
        <f>$C203*INDEX(Curves!$I$8:$I$68,R$4-$B203+1)</f>
        <v/>
      </c>
      <c r="S203" s="153">
        <f>$C203*INDEX(Curves!$I$8:$I$68,S$4-$B203+1)</f>
        <v/>
      </c>
      <c r="T203" s="153">
        <f>$C203*INDEX(Curves!$I$8:$I$68,T$4-$B203+1)</f>
        <v/>
      </c>
      <c r="U203" s="153">
        <f>$C203*INDEX(Curves!$I$8:$I$68,U$4-$B203+1)</f>
        <v/>
      </c>
      <c r="V203" s="153">
        <f>$C203*INDEX(Curves!$I$8:$I$68,V$4-$B203+1)</f>
        <v/>
      </c>
      <c r="W203" s="153">
        <f>$C203*INDEX(Curves!$I$8:$I$68,W$4-$B203+1)</f>
        <v/>
      </c>
      <c r="X203" s="153">
        <f>$C203*INDEX(Curves!$I$8:$I$68,X$4-$B203+1)</f>
        <v/>
      </c>
      <c r="Y203" s="153">
        <f>$C203*INDEX(Curves!$I$8:$I$68,Y$4-$B203+1)</f>
        <v/>
      </c>
      <c r="Z203" s="153">
        <f>$C203*INDEX(Curves!$I$8:$I$68,Z$4-$B203+1)</f>
        <v/>
      </c>
      <c r="AA203" s="153">
        <f>$C203*INDEX(Curves!$I$8:$I$68,AA$4-$B203+1)</f>
        <v/>
      </c>
      <c r="AB203" s="153">
        <f>$C203*INDEX(Curves!$I$8:$I$68,AB$4-$B203+1)</f>
        <v/>
      </c>
      <c r="AC203" s="153">
        <f>$C203*INDEX(Curves!$I$8:$I$68,AC$4-$B203+1)</f>
        <v/>
      </c>
      <c r="AD203" s="153">
        <f>$C203*INDEX(Curves!$I$8:$I$68,AD$4-$B203+1)</f>
        <v/>
      </c>
      <c r="AE203" s="153">
        <f>$C203*INDEX(Curves!$I$8:$I$68,AE$4-$B203+1)</f>
        <v/>
      </c>
      <c r="AF203" s="153">
        <f>$C203*INDEX(Curves!$I$8:$I$68,AF$4-$B203+1)</f>
        <v/>
      </c>
      <c r="AG203" s="153">
        <f>$C203*INDEX(Curves!$I$8:$I$68,AG$4-$B203+1)</f>
        <v/>
      </c>
      <c r="AH203" s="153">
        <f>$C203*INDEX(Curves!$I$8:$I$68,AH$4-$B203+1)</f>
        <v/>
      </c>
      <c r="AI203" s="153">
        <f>$C203*INDEX(Curves!$I$8:$I$68,AI$4-$B203+1)</f>
        <v/>
      </c>
      <c r="AJ203" s="153">
        <f>$C203*INDEX(Curves!$I$8:$I$68,AJ$4-$B203+1)</f>
        <v/>
      </c>
      <c r="AK203" s="153">
        <f>$C203*INDEX(Curves!$I$8:$I$68,AK$4-$B203+1)</f>
        <v/>
      </c>
      <c r="AL203" s="153">
        <f>$C203*INDEX(Curves!$I$8:$I$68,AL$4-$B203+1)</f>
        <v/>
      </c>
      <c r="AM203" s="153">
        <f>$C203*INDEX(Curves!$I$8:$I$68,AM$4-$B203+1)</f>
        <v/>
      </c>
      <c r="AN203" s="153">
        <f>$C203*INDEX(Curves!$I$8:$I$68,AN$4-$B203+1)</f>
        <v/>
      </c>
      <c r="AO203" s="153">
        <f>$C203*INDEX(Curves!$I$8:$I$68,AO$4-$B203+1)</f>
        <v/>
      </c>
      <c r="AP203" s="153">
        <f>$C203*INDEX(Curves!$I$8:$I$68,AP$4-$B203+1)</f>
        <v/>
      </c>
      <c r="AQ203" s="153">
        <f>$C203*INDEX(Curves!$I$8:$I$68,AQ$4-$B203+1)</f>
        <v/>
      </c>
      <c r="AR203" s="153">
        <f>$C203*INDEX(Curves!$I$8:$I$68,AR$4-$B203+1)</f>
        <v/>
      </c>
      <c r="AS203" s="153">
        <f>$C203*INDEX(Curves!$I$8:$I$68,AS$4-$B203+1)</f>
        <v/>
      </c>
      <c r="AT203" s="153">
        <f>$C203*INDEX(Curves!$I$8:$I$68,AT$4-$B203+1)</f>
        <v/>
      </c>
      <c r="AU203" s="153">
        <f>$C203*INDEX(Curves!$I$8:$I$68,AU$4-$B203+1)</f>
        <v/>
      </c>
      <c r="AV203" s="153">
        <f>$C203*INDEX(Curves!$I$8:$I$68,AV$4-$B203+1)</f>
        <v/>
      </c>
      <c r="AW203" s="153">
        <f>$C203*INDEX(Curves!$I$8:$I$68,AW$4-$B203+1)</f>
        <v/>
      </c>
      <c r="AX203" s="153">
        <f>$C203*INDEX(Curves!$I$8:$I$68,AX$4-$B203+1)</f>
        <v/>
      </c>
      <c r="AY203" s="153">
        <f>$C203*INDEX(Curves!$I$8:$I$68,AY$4-$B203+1)</f>
        <v/>
      </c>
      <c r="AZ203" s="153">
        <f>$C203*INDEX(Curves!$I$8:$I$68,AZ$4-$B203+1)</f>
        <v/>
      </c>
      <c r="BA203" s="153">
        <f>$C203*INDEX(Curves!$I$8:$I$68,BA$4-$B203+1)</f>
        <v/>
      </c>
      <c r="BB203" s="153">
        <f>$C203*INDEX(Curves!$I$8:$I$68,BB$4-$B203+1)</f>
        <v/>
      </c>
      <c r="BC203" s="153">
        <f>$C203*INDEX(Curves!$I$8:$I$68,BC$4-$B203+1)</f>
        <v/>
      </c>
      <c r="BD203" s="153">
        <f>$C203*INDEX(Curves!$I$8:$I$68,BD$4-$B203+1)</f>
        <v/>
      </c>
      <c r="BE203" s="153">
        <f>$C203*INDEX(Curves!$I$8:$I$68,BE$4-$B203+1)</f>
        <v/>
      </c>
      <c r="BF203" s="153">
        <f>$C203*INDEX(Curves!$I$8:$I$68,BF$4-$B203+1)</f>
        <v/>
      </c>
      <c r="BG203" s="153">
        <f>$C203*INDEX(Curves!$I$8:$I$68,BG$4-$B203+1)</f>
        <v/>
      </c>
      <c r="BH203" s="153">
        <f>$C203*INDEX(Curves!$I$8:$I$68,BH$4-$B203+1)</f>
        <v/>
      </c>
      <c r="BI203" s="153">
        <f>$C203*INDEX(Curves!$I$8:$I$68,BI$4-$B203+1)</f>
        <v/>
      </c>
      <c r="BJ203" s="153">
        <f>$C203*INDEX(Curves!$I$8:$I$68,BJ$4-$B203+1)</f>
        <v/>
      </c>
      <c r="BK203" s="153">
        <f>$C203*INDEX(Curves!$I$8:$I$68,BK$4-$B203+1)</f>
        <v/>
      </c>
      <c r="BL203" s="153">
        <f>$C203*INDEX(Curves!$I$8:$I$68,BL$4-$B203+1)</f>
        <v/>
      </c>
    </row>
    <row r="204">
      <c r="A204" s="147" t="inlineStr">
        <is>
          <t>Cohort month 6</t>
        </is>
      </c>
      <c r="B204" s="147" t="n">
        <v>6</v>
      </c>
      <c r="C204" s="41">
        <f>INDEX(Ops!$E$10:$BL$10,1,$B204)</f>
        <v/>
      </c>
      <c r="K204" s="153">
        <f>$C204*INDEX(Curves!$I$8:$I$68,K$4-$B204+1)</f>
        <v/>
      </c>
      <c r="L204" s="153">
        <f>$C204*INDEX(Curves!$I$8:$I$68,L$4-$B204+1)</f>
        <v/>
      </c>
      <c r="M204" s="153">
        <f>$C204*INDEX(Curves!$I$8:$I$68,M$4-$B204+1)</f>
        <v/>
      </c>
      <c r="N204" s="153">
        <f>$C204*INDEX(Curves!$I$8:$I$68,N$4-$B204+1)</f>
        <v/>
      </c>
      <c r="O204" s="153">
        <f>$C204*INDEX(Curves!$I$8:$I$68,O$4-$B204+1)</f>
        <v/>
      </c>
      <c r="P204" s="153">
        <f>$C204*INDEX(Curves!$I$8:$I$68,P$4-$B204+1)</f>
        <v/>
      </c>
      <c r="Q204" s="153">
        <f>$C204*INDEX(Curves!$I$8:$I$68,Q$4-$B204+1)</f>
        <v/>
      </c>
      <c r="R204" s="153">
        <f>$C204*INDEX(Curves!$I$8:$I$68,R$4-$B204+1)</f>
        <v/>
      </c>
      <c r="S204" s="153">
        <f>$C204*INDEX(Curves!$I$8:$I$68,S$4-$B204+1)</f>
        <v/>
      </c>
      <c r="T204" s="153">
        <f>$C204*INDEX(Curves!$I$8:$I$68,T$4-$B204+1)</f>
        <v/>
      </c>
      <c r="U204" s="153">
        <f>$C204*INDEX(Curves!$I$8:$I$68,U$4-$B204+1)</f>
        <v/>
      </c>
      <c r="V204" s="153">
        <f>$C204*INDEX(Curves!$I$8:$I$68,V$4-$B204+1)</f>
        <v/>
      </c>
      <c r="W204" s="153">
        <f>$C204*INDEX(Curves!$I$8:$I$68,W$4-$B204+1)</f>
        <v/>
      </c>
      <c r="X204" s="153">
        <f>$C204*INDEX(Curves!$I$8:$I$68,X$4-$B204+1)</f>
        <v/>
      </c>
      <c r="Y204" s="153">
        <f>$C204*INDEX(Curves!$I$8:$I$68,Y$4-$B204+1)</f>
        <v/>
      </c>
      <c r="Z204" s="153">
        <f>$C204*INDEX(Curves!$I$8:$I$68,Z$4-$B204+1)</f>
        <v/>
      </c>
      <c r="AA204" s="153">
        <f>$C204*INDEX(Curves!$I$8:$I$68,AA$4-$B204+1)</f>
        <v/>
      </c>
      <c r="AB204" s="153">
        <f>$C204*INDEX(Curves!$I$8:$I$68,AB$4-$B204+1)</f>
        <v/>
      </c>
      <c r="AC204" s="153">
        <f>$C204*INDEX(Curves!$I$8:$I$68,AC$4-$B204+1)</f>
        <v/>
      </c>
      <c r="AD204" s="153">
        <f>$C204*INDEX(Curves!$I$8:$I$68,AD$4-$B204+1)</f>
        <v/>
      </c>
      <c r="AE204" s="153">
        <f>$C204*INDEX(Curves!$I$8:$I$68,AE$4-$B204+1)</f>
        <v/>
      </c>
      <c r="AF204" s="153">
        <f>$C204*INDEX(Curves!$I$8:$I$68,AF$4-$B204+1)</f>
        <v/>
      </c>
      <c r="AG204" s="153">
        <f>$C204*INDEX(Curves!$I$8:$I$68,AG$4-$B204+1)</f>
        <v/>
      </c>
      <c r="AH204" s="153">
        <f>$C204*INDEX(Curves!$I$8:$I$68,AH$4-$B204+1)</f>
        <v/>
      </c>
      <c r="AI204" s="153">
        <f>$C204*INDEX(Curves!$I$8:$I$68,AI$4-$B204+1)</f>
        <v/>
      </c>
      <c r="AJ204" s="153">
        <f>$C204*INDEX(Curves!$I$8:$I$68,AJ$4-$B204+1)</f>
        <v/>
      </c>
      <c r="AK204" s="153">
        <f>$C204*INDEX(Curves!$I$8:$I$68,AK$4-$B204+1)</f>
        <v/>
      </c>
      <c r="AL204" s="153">
        <f>$C204*INDEX(Curves!$I$8:$I$68,AL$4-$B204+1)</f>
        <v/>
      </c>
      <c r="AM204" s="153">
        <f>$C204*INDEX(Curves!$I$8:$I$68,AM$4-$B204+1)</f>
        <v/>
      </c>
      <c r="AN204" s="153">
        <f>$C204*INDEX(Curves!$I$8:$I$68,AN$4-$B204+1)</f>
        <v/>
      </c>
      <c r="AO204" s="153">
        <f>$C204*INDEX(Curves!$I$8:$I$68,AO$4-$B204+1)</f>
        <v/>
      </c>
      <c r="AP204" s="153">
        <f>$C204*INDEX(Curves!$I$8:$I$68,AP$4-$B204+1)</f>
        <v/>
      </c>
      <c r="AQ204" s="153">
        <f>$C204*INDEX(Curves!$I$8:$I$68,AQ$4-$B204+1)</f>
        <v/>
      </c>
      <c r="AR204" s="153">
        <f>$C204*INDEX(Curves!$I$8:$I$68,AR$4-$B204+1)</f>
        <v/>
      </c>
      <c r="AS204" s="153">
        <f>$C204*INDEX(Curves!$I$8:$I$68,AS$4-$B204+1)</f>
        <v/>
      </c>
      <c r="AT204" s="153">
        <f>$C204*INDEX(Curves!$I$8:$I$68,AT$4-$B204+1)</f>
        <v/>
      </c>
      <c r="AU204" s="153">
        <f>$C204*INDEX(Curves!$I$8:$I$68,AU$4-$B204+1)</f>
        <v/>
      </c>
      <c r="AV204" s="153">
        <f>$C204*INDEX(Curves!$I$8:$I$68,AV$4-$B204+1)</f>
        <v/>
      </c>
      <c r="AW204" s="153">
        <f>$C204*INDEX(Curves!$I$8:$I$68,AW$4-$B204+1)</f>
        <v/>
      </c>
      <c r="AX204" s="153">
        <f>$C204*INDEX(Curves!$I$8:$I$68,AX$4-$B204+1)</f>
        <v/>
      </c>
      <c r="AY204" s="153">
        <f>$C204*INDEX(Curves!$I$8:$I$68,AY$4-$B204+1)</f>
        <v/>
      </c>
      <c r="AZ204" s="153">
        <f>$C204*INDEX(Curves!$I$8:$I$68,AZ$4-$B204+1)</f>
        <v/>
      </c>
      <c r="BA204" s="153">
        <f>$C204*INDEX(Curves!$I$8:$I$68,BA$4-$B204+1)</f>
        <v/>
      </c>
      <c r="BB204" s="153">
        <f>$C204*INDEX(Curves!$I$8:$I$68,BB$4-$B204+1)</f>
        <v/>
      </c>
      <c r="BC204" s="153">
        <f>$C204*INDEX(Curves!$I$8:$I$68,BC$4-$B204+1)</f>
        <v/>
      </c>
      <c r="BD204" s="153">
        <f>$C204*INDEX(Curves!$I$8:$I$68,BD$4-$B204+1)</f>
        <v/>
      </c>
      <c r="BE204" s="153">
        <f>$C204*INDEX(Curves!$I$8:$I$68,BE$4-$B204+1)</f>
        <v/>
      </c>
      <c r="BF204" s="153">
        <f>$C204*INDEX(Curves!$I$8:$I$68,BF$4-$B204+1)</f>
        <v/>
      </c>
      <c r="BG204" s="153">
        <f>$C204*INDEX(Curves!$I$8:$I$68,BG$4-$B204+1)</f>
        <v/>
      </c>
      <c r="BH204" s="153">
        <f>$C204*INDEX(Curves!$I$8:$I$68,BH$4-$B204+1)</f>
        <v/>
      </c>
      <c r="BI204" s="153">
        <f>$C204*INDEX(Curves!$I$8:$I$68,BI$4-$B204+1)</f>
        <v/>
      </c>
      <c r="BJ204" s="153">
        <f>$C204*INDEX(Curves!$I$8:$I$68,BJ$4-$B204+1)</f>
        <v/>
      </c>
      <c r="BK204" s="153">
        <f>$C204*INDEX(Curves!$I$8:$I$68,BK$4-$B204+1)</f>
        <v/>
      </c>
      <c r="BL204" s="153">
        <f>$C204*INDEX(Curves!$I$8:$I$68,BL$4-$B204+1)</f>
        <v/>
      </c>
    </row>
    <row r="205">
      <c r="A205" s="147" t="inlineStr">
        <is>
          <t>Cohort month 7</t>
        </is>
      </c>
      <c r="B205" s="147" t="n">
        <v>7</v>
      </c>
      <c r="C205" s="41">
        <f>INDEX(Ops!$E$10:$BL$10,1,$B205)</f>
        <v/>
      </c>
      <c r="L205" s="153">
        <f>$C205*INDEX(Curves!$I$8:$I$68,L$4-$B205+1)</f>
        <v/>
      </c>
      <c r="M205" s="153">
        <f>$C205*INDEX(Curves!$I$8:$I$68,M$4-$B205+1)</f>
        <v/>
      </c>
      <c r="N205" s="153">
        <f>$C205*INDEX(Curves!$I$8:$I$68,N$4-$B205+1)</f>
        <v/>
      </c>
      <c r="O205" s="153">
        <f>$C205*INDEX(Curves!$I$8:$I$68,O$4-$B205+1)</f>
        <v/>
      </c>
      <c r="P205" s="153">
        <f>$C205*INDEX(Curves!$I$8:$I$68,P$4-$B205+1)</f>
        <v/>
      </c>
      <c r="Q205" s="153">
        <f>$C205*INDEX(Curves!$I$8:$I$68,Q$4-$B205+1)</f>
        <v/>
      </c>
      <c r="R205" s="153">
        <f>$C205*INDEX(Curves!$I$8:$I$68,R$4-$B205+1)</f>
        <v/>
      </c>
      <c r="S205" s="153">
        <f>$C205*INDEX(Curves!$I$8:$I$68,S$4-$B205+1)</f>
        <v/>
      </c>
      <c r="T205" s="153">
        <f>$C205*INDEX(Curves!$I$8:$I$68,T$4-$B205+1)</f>
        <v/>
      </c>
      <c r="U205" s="153">
        <f>$C205*INDEX(Curves!$I$8:$I$68,U$4-$B205+1)</f>
        <v/>
      </c>
      <c r="V205" s="153">
        <f>$C205*INDEX(Curves!$I$8:$I$68,V$4-$B205+1)</f>
        <v/>
      </c>
      <c r="W205" s="153">
        <f>$C205*INDEX(Curves!$I$8:$I$68,W$4-$B205+1)</f>
        <v/>
      </c>
      <c r="X205" s="153">
        <f>$C205*INDEX(Curves!$I$8:$I$68,X$4-$B205+1)</f>
        <v/>
      </c>
      <c r="Y205" s="153">
        <f>$C205*INDEX(Curves!$I$8:$I$68,Y$4-$B205+1)</f>
        <v/>
      </c>
      <c r="Z205" s="153">
        <f>$C205*INDEX(Curves!$I$8:$I$68,Z$4-$B205+1)</f>
        <v/>
      </c>
      <c r="AA205" s="153">
        <f>$C205*INDEX(Curves!$I$8:$I$68,AA$4-$B205+1)</f>
        <v/>
      </c>
      <c r="AB205" s="153">
        <f>$C205*INDEX(Curves!$I$8:$I$68,AB$4-$B205+1)</f>
        <v/>
      </c>
      <c r="AC205" s="153">
        <f>$C205*INDEX(Curves!$I$8:$I$68,AC$4-$B205+1)</f>
        <v/>
      </c>
      <c r="AD205" s="153">
        <f>$C205*INDEX(Curves!$I$8:$I$68,AD$4-$B205+1)</f>
        <v/>
      </c>
      <c r="AE205" s="153">
        <f>$C205*INDEX(Curves!$I$8:$I$68,AE$4-$B205+1)</f>
        <v/>
      </c>
      <c r="AF205" s="153">
        <f>$C205*INDEX(Curves!$I$8:$I$68,AF$4-$B205+1)</f>
        <v/>
      </c>
      <c r="AG205" s="153">
        <f>$C205*INDEX(Curves!$I$8:$I$68,AG$4-$B205+1)</f>
        <v/>
      </c>
      <c r="AH205" s="153">
        <f>$C205*INDEX(Curves!$I$8:$I$68,AH$4-$B205+1)</f>
        <v/>
      </c>
      <c r="AI205" s="153">
        <f>$C205*INDEX(Curves!$I$8:$I$68,AI$4-$B205+1)</f>
        <v/>
      </c>
      <c r="AJ205" s="153">
        <f>$C205*INDEX(Curves!$I$8:$I$68,AJ$4-$B205+1)</f>
        <v/>
      </c>
      <c r="AK205" s="153">
        <f>$C205*INDEX(Curves!$I$8:$I$68,AK$4-$B205+1)</f>
        <v/>
      </c>
      <c r="AL205" s="153">
        <f>$C205*INDEX(Curves!$I$8:$I$68,AL$4-$B205+1)</f>
        <v/>
      </c>
      <c r="AM205" s="153">
        <f>$C205*INDEX(Curves!$I$8:$I$68,AM$4-$B205+1)</f>
        <v/>
      </c>
      <c r="AN205" s="153">
        <f>$C205*INDEX(Curves!$I$8:$I$68,AN$4-$B205+1)</f>
        <v/>
      </c>
      <c r="AO205" s="153">
        <f>$C205*INDEX(Curves!$I$8:$I$68,AO$4-$B205+1)</f>
        <v/>
      </c>
      <c r="AP205" s="153">
        <f>$C205*INDEX(Curves!$I$8:$I$68,AP$4-$B205+1)</f>
        <v/>
      </c>
      <c r="AQ205" s="153">
        <f>$C205*INDEX(Curves!$I$8:$I$68,AQ$4-$B205+1)</f>
        <v/>
      </c>
      <c r="AR205" s="153">
        <f>$C205*INDEX(Curves!$I$8:$I$68,AR$4-$B205+1)</f>
        <v/>
      </c>
      <c r="AS205" s="153">
        <f>$C205*INDEX(Curves!$I$8:$I$68,AS$4-$B205+1)</f>
        <v/>
      </c>
      <c r="AT205" s="153">
        <f>$C205*INDEX(Curves!$I$8:$I$68,AT$4-$B205+1)</f>
        <v/>
      </c>
      <c r="AU205" s="153">
        <f>$C205*INDEX(Curves!$I$8:$I$68,AU$4-$B205+1)</f>
        <v/>
      </c>
      <c r="AV205" s="153">
        <f>$C205*INDEX(Curves!$I$8:$I$68,AV$4-$B205+1)</f>
        <v/>
      </c>
      <c r="AW205" s="153">
        <f>$C205*INDEX(Curves!$I$8:$I$68,AW$4-$B205+1)</f>
        <v/>
      </c>
      <c r="AX205" s="153">
        <f>$C205*INDEX(Curves!$I$8:$I$68,AX$4-$B205+1)</f>
        <v/>
      </c>
      <c r="AY205" s="153">
        <f>$C205*INDEX(Curves!$I$8:$I$68,AY$4-$B205+1)</f>
        <v/>
      </c>
      <c r="AZ205" s="153">
        <f>$C205*INDEX(Curves!$I$8:$I$68,AZ$4-$B205+1)</f>
        <v/>
      </c>
      <c r="BA205" s="153">
        <f>$C205*INDEX(Curves!$I$8:$I$68,BA$4-$B205+1)</f>
        <v/>
      </c>
      <c r="BB205" s="153">
        <f>$C205*INDEX(Curves!$I$8:$I$68,BB$4-$B205+1)</f>
        <v/>
      </c>
      <c r="BC205" s="153">
        <f>$C205*INDEX(Curves!$I$8:$I$68,BC$4-$B205+1)</f>
        <v/>
      </c>
      <c r="BD205" s="153">
        <f>$C205*INDEX(Curves!$I$8:$I$68,BD$4-$B205+1)</f>
        <v/>
      </c>
      <c r="BE205" s="153">
        <f>$C205*INDEX(Curves!$I$8:$I$68,BE$4-$B205+1)</f>
        <v/>
      </c>
      <c r="BF205" s="153">
        <f>$C205*INDEX(Curves!$I$8:$I$68,BF$4-$B205+1)</f>
        <v/>
      </c>
      <c r="BG205" s="153">
        <f>$C205*INDEX(Curves!$I$8:$I$68,BG$4-$B205+1)</f>
        <v/>
      </c>
      <c r="BH205" s="153">
        <f>$C205*INDEX(Curves!$I$8:$I$68,BH$4-$B205+1)</f>
        <v/>
      </c>
      <c r="BI205" s="153">
        <f>$C205*INDEX(Curves!$I$8:$I$68,BI$4-$B205+1)</f>
        <v/>
      </c>
      <c r="BJ205" s="153">
        <f>$C205*INDEX(Curves!$I$8:$I$68,BJ$4-$B205+1)</f>
        <v/>
      </c>
      <c r="BK205" s="153">
        <f>$C205*INDEX(Curves!$I$8:$I$68,BK$4-$B205+1)</f>
        <v/>
      </c>
      <c r="BL205" s="153">
        <f>$C205*INDEX(Curves!$I$8:$I$68,BL$4-$B205+1)</f>
        <v/>
      </c>
    </row>
    <row r="206">
      <c r="A206" s="147" t="inlineStr">
        <is>
          <t>Cohort month 8</t>
        </is>
      </c>
      <c r="B206" s="147" t="n">
        <v>8</v>
      </c>
      <c r="C206" s="41">
        <f>INDEX(Ops!$E$10:$BL$10,1,$B206)</f>
        <v/>
      </c>
      <c r="M206" s="153">
        <f>$C206*INDEX(Curves!$I$8:$I$68,M$4-$B206+1)</f>
        <v/>
      </c>
      <c r="N206" s="153">
        <f>$C206*INDEX(Curves!$I$8:$I$68,N$4-$B206+1)</f>
        <v/>
      </c>
      <c r="O206" s="153">
        <f>$C206*INDEX(Curves!$I$8:$I$68,O$4-$B206+1)</f>
        <v/>
      </c>
      <c r="P206" s="153">
        <f>$C206*INDEX(Curves!$I$8:$I$68,P$4-$B206+1)</f>
        <v/>
      </c>
      <c r="Q206" s="153">
        <f>$C206*INDEX(Curves!$I$8:$I$68,Q$4-$B206+1)</f>
        <v/>
      </c>
      <c r="R206" s="153">
        <f>$C206*INDEX(Curves!$I$8:$I$68,R$4-$B206+1)</f>
        <v/>
      </c>
      <c r="S206" s="153">
        <f>$C206*INDEX(Curves!$I$8:$I$68,S$4-$B206+1)</f>
        <v/>
      </c>
      <c r="T206" s="153">
        <f>$C206*INDEX(Curves!$I$8:$I$68,T$4-$B206+1)</f>
        <v/>
      </c>
      <c r="U206" s="153">
        <f>$C206*INDEX(Curves!$I$8:$I$68,U$4-$B206+1)</f>
        <v/>
      </c>
      <c r="V206" s="153">
        <f>$C206*INDEX(Curves!$I$8:$I$68,V$4-$B206+1)</f>
        <v/>
      </c>
      <c r="W206" s="153">
        <f>$C206*INDEX(Curves!$I$8:$I$68,W$4-$B206+1)</f>
        <v/>
      </c>
      <c r="X206" s="153">
        <f>$C206*INDEX(Curves!$I$8:$I$68,X$4-$B206+1)</f>
        <v/>
      </c>
      <c r="Y206" s="153">
        <f>$C206*INDEX(Curves!$I$8:$I$68,Y$4-$B206+1)</f>
        <v/>
      </c>
      <c r="Z206" s="153">
        <f>$C206*INDEX(Curves!$I$8:$I$68,Z$4-$B206+1)</f>
        <v/>
      </c>
      <c r="AA206" s="153">
        <f>$C206*INDEX(Curves!$I$8:$I$68,AA$4-$B206+1)</f>
        <v/>
      </c>
      <c r="AB206" s="153">
        <f>$C206*INDEX(Curves!$I$8:$I$68,AB$4-$B206+1)</f>
        <v/>
      </c>
      <c r="AC206" s="153">
        <f>$C206*INDEX(Curves!$I$8:$I$68,AC$4-$B206+1)</f>
        <v/>
      </c>
      <c r="AD206" s="153">
        <f>$C206*INDEX(Curves!$I$8:$I$68,AD$4-$B206+1)</f>
        <v/>
      </c>
      <c r="AE206" s="153">
        <f>$C206*INDEX(Curves!$I$8:$I$68,AE$4-$B206+1)</f>
        <v/>
      </c>
      <c r="AF206" s="153">
        <f>$C206*INDEX(Curves!$I$8:$I$68,AF$4-$B206+1)</f>
        <v/>
      </c>
      <c r="AG206" s="153">
        <f>$C206*INDEX(Curves!$I$8:$I$68,AG$4-$B206+1)</f>
        <v/>
      </c>
      <c r="AH206" s="153">
        <f>$C206*INDEX(Curves!$I$8:$I$68,AH$4-$B206+1)</f>
        <v/>
      </c>
      <c r="AI206" s="153">
        <f>$C206*INDEX(Curves!$I$8:$I$68,AI$4-$B206+1)</f>
        <v/>
      </c>
      <c r="AJ206" s="153">
        <f>$C206*INDEX(Curves!$I$8:$I$68,AJ$4-$B206+1)</f>
        <v/>
      </c>
      <c r="AK206" s="153">
        <f>$C206*INDEX(Curves!$I$8:$I$68,AK$4-$B206+1)</f>
        <v/>
      </c>
      <c r="AL206" s="153">
        <f>$C206*INDEX(Curves!$I$8:$I$68,AL$4-$B206+1)</f>
        <v/>
      </c>
      <c r="AM206" s="153">
        <f>$C206*INDEX(Curves!$I$8:$I$68,AM$4-$B206+1)</f>
        <v/>
      </c>
      <c r="AN206" s="153">
        <f>$C206*INDEX(Curves!$I$8:$I$68,AN$4-$B206+1)</f>
        <v/>
      </c>
      <c r="AO206" s="153">
        <f>$C206*INDEX(Curves!$I$8:$I$68,AO$4-$B206+1)</f>
        <v/>
      </c>
      <c r="AP206" s="153">
        <f>$C206*INDEX(Curves!$I$8:$I$68,AP$4-$B206+1)</f>
        <v/>
      </c>
      <c r="AQ206" s="153">
        <f>$C206*INDEX(Curves!$I$8:$I$68,AQ$4-$B206+1)</f>
        <v/>
      </c>
      <c r="AR206" s="153">
        <f>$C206*INDEX(Curves!$I$8:$I$68,AR$4-$B206+1)</f>
        <v/>
      </c>
      <c r="AS206" s="153">
        <f>$C206*INDEX(Curves!$I$8:$I$68,AS$4-$B206+1)</f>
        <v/>
      </c>
      <c r="AT206" s="153">
        <f>$C206*INDEX(Curves!$I$8:$I$68,AT$4-$B206+1)</f>
        <v/>
      </c>
      <c r="AU206" s="153">
        <f>$C206*INDEX(Curves!$I$8:$I$68,AU$4-$B206+1)</f>
        <v/>
      </c>
      <c r="AV206" s="153">
        <f>$C206*INDEX(Curves!$I$8:$I$68,AV$4-$B206+1)</f>
        <v/>
      </c>
      <c r="AW206" s="153">
        <f>$C206*INDEX(Curves!$I$8:$I$68,AW$4-$B206+1)</f>
        <v/>
      </c>
      <c r="AX206" s="153">
        <f>$C206*INDEX(Curves!$I$8:$I$68,AX$4-$B206+1)</f>
        <v/>
      </c>
      <c r="AY206" s="153">
        <f>$C206*INDEX(Curves!$I$8:$I$68,AY$4-$B206+1)</f>
        <v/>
      </c>
      <c r="AZ206" s="153">
        <f>$C206*INDEX(Curves!$I$8:$I$68,AZ$4-$B206+1)</f>
        <v/>
      </c>
      <c r="BA206" s="153">
        <f>$C206*INDEX(Curves!$I$8:$I$68,BA$4-$B206+1)</f>
        <v/>
      </c>
      <c r="BB206" s="153">
        <f>$C206*INDEX(Curves!$I$8:$I$68,BB$4-$B206+1)</f>
        <v/>
      </c>
      <c r="BC206" s="153">
        <f>$C206*INDEX(Curves!$I$8:$I$68,BC$4-$B206+1)</f>
        <v/>
      </c>
      <c r="BD206" s="153">
        <f>$C206*INDEX(Curves!$I$8:$I$68,BD$4-$B206+1)</f>
        <v/>
      </c>
      <c r="BE206" s="153">
        <f>$C206*INDEX(Curves!$I$8:$I$68,BE$4-$B206+1)</f>
        <v/>
      </c>
      <c r="BF206" s="153">
        <f>$C206*INDEX(Curves!$I$8:$I$68,BF$4-$B206+1)</f>
        <v/>
      </c>
      <c r="BG206" s="153">
        <f>$C206*INDEX(Curves!$I$8:$I$68,BG$4-$B206+1)</f>
        <v/>
      </c>
      <c r="BH206" s="153">
        <f>$C206*INDEX(Curves!$I$8:$I$68,BH$4-$B206+1)</f>
        <v/>
      </c>
      <c r="BI206" s="153">
        <f>$C206*INDEX(Curves!$I$8:$I$68,BI$4-$B206+1)</f>
        <v/>
      </c>
      <c r="BJ206" s="153">
        <f>$C206*INDEX(Curves!$I$8:$I$68,BJ$4-$B206+1)</f>
        <v/>
      </c>
      <c r="BK206" s="153">
        <f>$C206*INDEX(Curves!$I$8:$I$68,BK$4-$B206+1)</f>
        <v/>
      </c>
      <c r="BL206" s="153">
        <f>$C206*INDEX(Curves!$I$8:$I$68,BL$4-$B206+1)</f>
        <v/>
      </c>
    </row>
    <row r="207">
      <c r="A207" s="147" t="inlineStr">
        <is>
          <t>Cohort month 9</t>
        </is>
      </c>
      <c r="B207" s="147" t="n">
        <v>9</v>
      </c>
      <c r="C207" s="41">
        <f>INDEX(Ops!$E$10:$BL$10,1,$B207)</f>
        <v/>
      </c>
      <c r="N207" s="153">
        <f>$C207*INDEX(Curves!$I$8:$I$68,N$4-$B207+1)</f>
        <v/>
      </c>
      <c r="O207" s="153">
        <f>$C207*INDEX(Curves!$I$8:$I$68,O$4-$B207+1)</f>
        <v/>
      </c>
      <c r="P207" s="153">
        <f>$C207*INDEX(Curves!$I$8:$I$68,P$4-$B207+1)</f>
        <v/>
      </c>
      <c r="Q207" s="153">
        <f>$C207*INDEX(Curves!$I$8:$I$68,Q$4-$B207+1)</f>
        <v/>
      </c>
      <c r="R207" s="153">
        <f>$C207*INDEX(Curves!$I$8:$I$68,R$4-$B207+1)</f>
        <v/>
      </c>
      <c r="S207" s="153">
        <f>$C207*INDEX(Curves!$I$8:$I$68,S$4-$B207+1)</f>
        <v/>
      </c>
      <c r="T207" s="153">
        <f>$C207*INDEX(Curves!$I$8:$I$68,T$4-$B207+1)</f>
        <v/>
      </c>
      <c r="U207" s="153">
        <f>$C207*INDEX(Curves!$I$8:$I$68,U$4-$B207+1)</f>
        <v/>
      </c>
      <c r="V207" s="153">
        <f>$C207*INDEX(Curves!$I$8:$I$68,V$4-$B207+1)</f>
        <v/>
      </c>
      <c r="W207" s="153">
        <f>$C207*INDEX(Curves!$I$8:$I$68,W$4-$B207+1)</f>
        <v/>
      </c>
      <c r="X207" s="153">
        <f>$C207*INDEX(Curves!$I$8:$I$68,X$4-$B207+1)</f>
        <v/>
      </c>
      <c r="Y207" s="153">
        <f>$C207*INDEX(Curves!$I$8:$I$68,Y$4-$B207+1)</f>
        <v/>
      </c>
      <c r="Z207" s="153">
        <f>$C207*INDEX(Curves!$I$8:$I$68,Z$4-$B207+1)</f>
        <v/>
      </c>
      <c r="AA207" s="153">
        <f>$C207*INDEX(Curves!$I$8:$I$68,AA$4-$B207+1)</f>
        <v/>
      </c>
      <c r="AB207" s="153">
        <f>$C207*INDEX(Curves!$I$8:$I$68,AB$4-$B207+1)</f>
        <v/>
      </c>
      <c r="AC207" s="153">
        <f>$C207*INDEX(Curves!$I$8:$I$68,AC$4-$B207+1)</f>
        <v/>
      </c>
      <c r="AD207" s="153">
        <f>$C207*INDEX(Curves!$I$8:$I$68,AD$4-$B207+1)</f>
        <v/>
      </c>
      <c r="AE207" s="153">
        <f>$C207*INDEX(Curves!$I$8:$I$68,AE$4-$B207+1)</f>
        <v/>
      </c>
      <c r="AF207" s="153">
        <f>$C207*INDEX(Curves!$I$8:$I$68,AF$4-$B207+1)</f>
        <v/>
      </c>
      <c r="AG207" s="153">
        <f>$C207*INDEX(Curves!$I$8:$I$68,AG$4-$B207+1)</f>
        <v/>
      </c>
      <c r="AH207" s="153">
        <f>$C207*INDEX(Curves!$I$8:$I$68,AH$4-$B207+1)</f>
        <v/>
      </c>
      <c r="AI207" s="153">
        <f>$C207*INDEX(Curves!$I$8:$I$68,AI$4-$B207+1)</f>
        <v/>
      </c>
      <c r="AJ207" s="153">
        <f>$C207*INDEX(Curves!$I$8:$I$68,AJ$4-$B207+1)</f>
        <v/>
      </c>
      <c r="AK207" s="153">
        <f>$C207*INDEX(Curves!$I$8:$I$68,AK$4-$B207+1)</f>
        <v/>
      </c>
      <c r="AL207" s="153">
        <f>$C207*INDEX(Curves!$I$8:$I$68,AL$4-$B207+1)</f>
        <v/>
      </c>
      <c r="AM207" s="153">
        <f>$C207*INDEX(Curves!$I$8:$I$68,AM$4-$B207+1)</f>
        <v/>
      </c>
      <c r="AN207" s="153">
        <f>$C207*INDEX(Curves!$I$8:$I$68,AN$4-$B207+1)</f>
        <v/>
      </c>
      <c r="AO207" s="153">
        <f>$C207*INDEX(Curves!$I$8:$I$68,AO$4-$B207+1)</f>
        <v/>
      </c>
      <c r="AP207" s="153">
        <f>$C207*INDEX(Curves!$I$8:$I$68,AP$4-$B207+1)</f>
        <v/>
      </c>
      <c r="AQ207" s="153">
        <f>$C207*INDEX(Curves!$I$8:$I$68,AQ$4-$B207+1)</f>
        <v/>
      </c>
      <c r="AR207" s="153">
        <f>$C207*INDEX(Curves!$I$8:$I$68,AR$4-$B207+1)</f>
        <v/>
      </c>
      <c r="AS207" s="153">
        <f>$C207*INDEX(Curves!$I$8:$I$68,AS$4-$B207+1)</f>
        <v/>
      </c>
      <c r="AT207" s="153">
        <f>$C207*INDEX(Curves!$I$8:$I$68,AT$4-$B207+1)</f>
        <v/>
      </c>
      <c r="AU207" s="153">
        <f>$C207*INDEX(Curves!$I$8:$I$68,AU$4-$B207+1)</f>
        <v/>
      </c>
      <c r="AV207" s="153">
        <f>$C207*INDEX(Curves!$I$8:$I$68,AV$4-$B207+1)</f>
        <v/>
      </c>
      <c r="AW207" s="153">
        <f>$C207*INDEX(Curves!$I$8:$I$68,AW$4-$B207+1)</f>
        <v/>
      </c>
      <c r="AX207" s="153">
        <f>$C207*INDEX(Curves!$I$8:$I$68,AX$4-$B207+1)</f>
        <v/>
      </c>
      <c r="AY207" s="153">
        <f>$C207*INDEX(Curves!$I$8:$I$68,AY$4-$B207+1)</f>
        <v/>
      </c>
      <c r="AZ207" s="153">
        <f>$C207*INDEX(Curves!$I$8:$I$68,AZ$4-$B207+1)</f>
        <v/>
      </c>
      <c r="BA207" s="153">
        <f>$C207*INDEX(Curves!$I$8:$I$68,BA$4-$B207+1)</f>
        <v/>
      </c>
      <c r="BB207" s="153">
        <f>$C207*INDEX(Curves!$I$8:$I$68,BB$4-$B207+1)</f>
        <v/>
      </c>
      <c r="BC207" s="153">
        <f>$C207*INDEX(Curves!$I$8:$I$68,BC$4-$B207+1)</f>
        <v/>
      </c>
      <c r="BD207" s="153">
        <f>$C207*INDEX(Curves!$I$8:$I$68,BD$4-$B207+1)</f>
        <v/>
      </c>
      <c r="BE207" s="153">
        <f>$C207*INDEX(Curves!$I$8:$I$68,BE$4-$B207+1)</f>
        <v/>
      </c>
      <c r="BF207" s="153">
        <f>$C207*INDEX(Curves!$I$8:$I$68,BF$4-$B207+1)</f>
        <v/>
      </c>
      <c r="BG207" s="153">
        <f>$C207*INDEX(Curves!$I$8:$I$68,BG$4-$B207+1)</f>
        <v/>
      </c>
      <c r="BH207" s="153">
        <f>$C207*INDEX(Curves!$I$8:$I$68,BH$4-$B207+1)</f>
        <v/>
      </c>
      <c r="BI207" s="153">
        <f>$C207*INDEX(Curves!$I$8:$I$68,BI$4-$B207+1)</f>
        <v/>
      </c>
      <c r="BJ207" s="153">
        <f>$C207*INDEX(Curves!$I$8:$I$68,BJ$4-$B207+1)</f>
        <v/>
      </c>
      <c r="BK207" s="153">
        <f>$C207*INDEX(Curves!$I$8:$I$68,BK$4-$B207+1)</f>
        <v/>
      </c>
      <c r="BL207" s="153">
        <f>$C207*INDEX(Curves!$I$8:$I$68,BL$4-$B207+1)</f>
        <v/>
      </c>
    </row>
    <row r="208">
      <c r="A208" s="147" t="inlineStr">
        <is>
          <t>Cohort month 10</t>
        </is>
      </c>
      <c r="B208" s="147" t="n">
        <v>10</v>
      </c>
      <c r="C208" s="41">
        <f>INDEX(Ops!$E$10:$BL$10,1,$B208)</f>
        <v/>
      </c>
      <c r="O208" s="153">
        <f>$C208*INDEX(Curves!$I$8:$I$68,O$4-$B208+1)</f>
        <v/>
      </c>
      <c r="P208" s="153">
        <f>$C208*INDEX(Curves!$I$8:$I$68,P$4-$B208+1)</f>
        <v/>
      </c>
      <c r="Q208" s="153">
        <f>$C208*INDEX(Curves!$I$8:$I$68,Q$4-$B208+1)</f>
        <v/>
      </c>
      <c r="R208" s="153">
        <f>$C208*INDEX(Curves!$I$8:$I$68,R$4-$B208+1)</f>
        <v/>
      </c>
      <c r="S208" s="153">
        <f>$C208*INDEX(Curves!$I$8:$I$68,S$4-$B208+1)</f>
        <v/>
      </c>
      <c r="T208" s="153">
        <f>$C208*INDEX(Curves!$I$8:$I$68,T$4-$B208+1)</f>
        <v/>
      </c>
      <c r="U208" s="153">
        <f>$C208*INDEX(Curves!$I$8:$I$68,U$4-$B208+1)</f>
        <v/>
      </c>
      <c r="V208" s="153">
        <f>$C208*INDEX(Curves!$I$8:$I$68,V$4-$B208+1)</f>
        <v/>
      </c>
      <c r="W208" s="153">
        <f>$C208*INDEX(Curves!$I$8:$I$68,W$4-$B208+1)</f>
        <v/>
      </c>
      <c r="X208" s="153">
        <f>$C208*INDEX(Curves!$I$8:$I$68,X$4-$B208+1)</f>
        <v/>
      </c>
      <c r="Y208" s="153">
        <f>$C208*INDEX(Curves!$I$8:$I$68,Y$4-$B208+1)</f>
        <v/>
      </c>
      <c r="Z208" s="153">
        <f>$C208*INDEX(Curves!$I$8:$I$68,Z$4-$B208+1)</f>
        <v/>
      </c>
      <c r="AA208" s="153">
        <f>$C208*INDEX(Curves!$I$8:$I$68,AA$4-$B208+1)</f>
        <v/>
      </c>
      <c r="AB208" s="153">
        <f>$C208*INDEX(Curves!$I$8:$I$68,AB$4-$B208+1)</f>
        <v/>
      </c>
      <c r="AC208" s="153">
        <f>$C208*INDEX(Curves!$I$8:$I$68,AC$4-$B208+1)</f>
        <v/>
      </c>
      <c r="AD208" s="153">
        <f>$C208*INDEX(Curves!$I$8:$I$68,AD$4-$B208+1)</f>
        <v/>
      </c>
      <c r="AE208" s="153">
        <f>$C208*INDEX(Curves!$I$8:$I$68,AE$4-$B208+1)</f>
        <v/>
      </c>
      <c r="AF208" s="153">
        <f>$C208*INDEX(Curves!$I$8:$I$68,AF$4-$B208+1)</f>
        <v/>
      </c>
      <c r="AG208" s="153">
        <f>$C208*INDEX(Curves!$I$8:$I$68,AG$4-$B208+1)</f>
        <v/>
      </c>
      <c r="AH208" s="153">
        <f>$C208*INDEX(Curves!$I$8:$I$68,AH$4-$B208+1)</f>
        <v/>
      </c>
      <c r="AI208" s="153">
        <f>$C208*INDEX(Curves!$I$8:$I$68,AI$4-$B208+1)</f>
        <v/>
      </c>
      <c r="AJ208" s="153">
        <f>$C208*INDEX(Curves!$I$8:$I$68,AJ$4-$B208+1)</f>
        <v/>
      </c>
      <c r="AK208" s="153">
        <f>$C208*INDEX(Curves!$I$8:$I$68,AK$4-$B208+1)</f>
        <v/>
      </c>
      <c r="AL208" s="153">
        <f>$C208*INDEX(Curves!$I$8:$I$68,AL$4-$B208+1)</f>
        <v/>
      </c>
      <c r="AM208" s="153">
        <f>$C208*INDEX(Curves!$I$8:$I$68,AM$4-$B208+1)</f>
        <v/>
      </c>
      <c r="AN208" s="153">
        <f>$C208*INDEX(Curves!$I$8:$I$68,AN$4-$B208+1)</f>
        <v/>
      </c>
      <c r="AO208" s="153">
        <f>$C208*INDEX(Curves!$I$8:$I$68,AO$4-$B208+1)</f>
        <v/>
      </c>
      <c r="AP208" s="153">
        <f>$C208*INDEX(Curves!$I$8:$I$68,AP$4-$B208+1)</f>
        <v/>
      </c>
      <c r="AQ208" s="153">
        <f>$C208*INDEX(Curves!$I$8:$I$68,AQ$4-$B208+1)</f>
        <v/>
      </c>
      <c r="AR208" s="153">
        <f>$C208*INDEX(Curves!$I$8:$I$68,AR$4-$B208+1)</f>
        <v/>
      </c>
      <c r="AS208" s="153">
        <f>$C208*INDEX(Curves!$I$8:$I$68,AS$4-$B208+1)</f>
        <v/>
      </c>
      <c r="AT208" s="153">
        <f>$C208*INDEX(Curves!$I$8:$I$68,AT$4-$B208+1)</f>
        <v/>
      </c>
      <c r="AU208" s="153">
        <f>$C208*INDEX(Curves!$I$8:$I$68,AU$4-$B208+1)</f>
        <v/>
      </c>
      <c r="AV208" s="153">
        <f>$C208*INDEX(Curves!$I$8:$I$68,AV$4-$B208+1)</f>
        <v/>
      </c>
      <c r="AW208" s="153">
        <f>$C208*INDEX(Curves!$I$8:$I$68,AW$4-$B208+1)</f>
        <v/>
      </c>
      <c r="AX208" s="153">
        <f>$C208*INDEX(Curves!$I$8:$I$68,AX$4-$B208+1)</f>
        <v/>
      </c>
      <c r="AY208" s="153">
        <f>$C208*INDEX(Curves!$I$8:$I$68,AY$4-$B208+1)</f>
        <v/>
      </c>
      <c r="AZ208" s="153">
        <f>$C208*INDEX(Curves!$I$8:$I$68,AZ$4-$B208+1)</f>
        <v/>
      </c>
      <c r="BA208" s="153">
        <f>$C208*INDEX(Curves!$I$8:$I$68,BA$4-$B208+1)</f>
        <v/>
      </c>
      <c r="BB208" s="153">
        <f>$C208*INDEX(Curves!$I$8:$I$68,BB$4-$B208+1)</f>
        <v/>
      </c>
      <c r="BC208" s="153">
        <f>$C208*INDEX(Curves!$I$8:$I$68,BC$4-$B208+1)</f>
        <v/>
      </c>
      <c r="BD208" s="153">
        <f>$C208*INDEX(Curves!$I$8:$I$68,BD$4-$B208+1)</f>
        <v/>
      </c>
      <c r="BE208" s="153">
        <f>$C208*INDEX(Curves!$I$8:$I$68,BE$4-$B208+1)</f>
        <v/>
      </c>
      <c r="BF208" s="153">
        <f>$C208*INDEX(Curves!$I$8:$I$68,BF$4-$B208+1)</f>
        <v/>
      </c>
      <c r="BG208" s="153">
        <f>$C208*INDEX(Curves!$I$8:$I$68,BG$4-$B208+1)</f>
        <v/>
      </c>
      <c r="BH208" s="153">
        <f>$C208*INDEX(Curves!$I$8:$I$68,BH$4-$B208+1)</f>
        <v/>
      </c>
      <c r="BI208" s="153">
        <f>$C208*INDEX(Curves!$I$8:$I$68,BI$4-$B208+1)</f>
        <v/>
      </c>
      <c r="BJ208" s="153">
        <f>$C208*INDEX(Curves!$I$8:$I$68,BJ$4-$B208+1)</f>
        <v/>
      </c>
      <c r="BK208" s="153">
        <f>$C208*INDEX(Curves!$I$8:$I$68,BK$4-$B208+1)</f>
        <v/>
      </c>
      <c r="BL208" s="153">
        <f>$C208*INDEX(Curves!$I$8:$I$68,BL$4-$B208+1)</f>
        <v/>
      </c>
    </row>
    <row r="209">
      <c r="A209" s="147" t="inlineStr">
        <is>
          <t>Cohort month 11</t>
        </is>
      </c>
      <c r="B209" s="147" t="n">
        <v>11</v>
      </c>
      <c r="C209" s="41">
        <f>INDEX(Ops!$E$10:$BL$10,1,$B209)</f>
        <v/>
      </c>
      <c r="P209" s="153">
        <f>$C209*INDEX(Curves!$I$8:$I$68,P$4-$B209+1)</f>
        <v/>
      </c>
      <c r="Q209" s="153">
        <f>$C209*INDEX(Curves!$I$8:$I$68,Q$4-$B209+1)</f>
        <v/>
      </c>
      <c r="R209" s="153">
        <f>$C209*INDEX(Curves!$I$8:$I$68,R$4-$B209+1)</f>
        <v/>
      </c>
      <c r="S209" s="153">
        <f>$C209*INDEX(Curves!$I$8:$I$68,S$4-$B209+1)</f>
        <v/>
      </c>
      <c r="T209" s="153">
        <f>$C209*INDEX(Curves!$I$8:$I$68,T$4-$B209+1)</f>
        <v/>
      </c>
      <c r="U209" s="153">
        <f>$C209*INDEX(Curves!$I$8:$I$68,U$4-$B209+1)</f>
        <v/>
      </c>
      <c r="V209" s="153">
        <f>$C209*INDEX(Curves!$I$8:$I$68,V$4-$B209+1)</f>
        <v/>
      </c>
      <c r="W209" s="153">
        <f>$C209*INDEX(Curves!$I$8:$I$68,W$4-$B209+1)</f>
        <v/>
      </c>
      <c r="X209" s="153">
        <f>$C209*INDEX(Curves!$I$8:$I$68,X$4-$B209+1)</f>
        <v/>
      </c>
      <c r="Y209" s="153">
        <f>$C209*INDEX(Curves!$I$8:$I$68,Y$4-$B209+1)</f>
        <v/>
      </c>
      <c r="Z209" s="153">
        <f>$C209*INDEX(Curves!$I$8:$I$68,Z$4-$B209+1)</f>
        <v/>
      </c>
      <c r="AA209" s="153">
        <f>$C209*INDEX(Curves!$I$8:$I$68,AA$4-$B209+1)</f>
        <v/>
      </c>
      <c r="AB209" s="153">
        <f>$C209*INDEX(Curves!$I$8:$I$68,AB$4-$B209+1)</f>
        <v/>
      </c>
      <c r="AC209" s="153">
        <f>$C209*INDEX(Curves!$I$8:$I$68,AC$4-$B209+1)</f>
        <v/>
      </c>
      <c r="AD209" s="153">
        <f>$C209*INDEX(Curves!$I$8:$I$68,AD$4-$B209+1)</f>
        <v/>
      </c>
      <c r="AE209" s="153">
        <f>$C209*INDEX(Curves!$I$8:$I$68,AE$4-$B209+1)</f>
        <v/>
      </c>
      <c r="AF209" s="153">
        <f>$C209*INDEX(Curves!$I$8:$I$68,AF$4-$B209+1)</f>
        <v/>
      </c>
      <c r="AG209" s="153">
        <f>$C209*INDEX(Curves!$I$8:$I$68,AG$4-$B209+1)</f>
        <v/>
      </c>
      <c r="AH209" s="153">
        <f>$C209*INDEX(Curves!$I$8:$I$68,AH$4-$B209+1)</f>
        <v/>
      </c>
      <c r="AI209" s="153">
        <f>$C209*INDEX(Curves!$I$8:$I$68,AI$4-$B209+1)</f>
        <v/>
      </c>
      <c r="AJ209" s="153">
        <f>$C209*INDEX(Curves!$I$8:$I$68,AJ$4-$B209+1)</f>
        <v/>
      </c>
      <c r="AK209" s="153">
        <f>$C209*INDEX(Curves!$I$8:$I$68,AK$4-$B209+1)</f>
        <v/>
      </c>
      <c r="AL209" s="153">
        <f>$C209*INDEX(Curves!$I$8:$I$68,AL$4-$B209+1)</f>
        <v/>
      </c>
      <c r="AM209" s="153">
        <f>$C209*INDEX(Curves!$I$8:$I$68,AM$4-$B209+1)</f>
        <v/>
      </c>
      <c r="AN209" s="153">
        <f>$C209*INDEX(Curves!$I$8:$I$68,AN$4-$B209+1)</f>
        <v/>
      </c>
      <c r="AO209" s="153">
        <f>$C209*INDEX(Curves!$I$8:$I$68,AO$4-$B209+1)</f>
        <v/>
      </c>
      <c r="AP209" s="153">
        <f>$C209*INDEX(Curves!$I$8:$I$68,AP$4-$B209+1)</f>
        <v/>
      </c>
      <c r="AQ209" s="153">
        <f>$C209*INDEX(Curves!$I$8:$I$68,AQ$4-$B209+1)</f>
        <v/>
      </c>
      <c r="AR209" s="153">
        <f>$C209*INDEX(Curves!$I$8:$I$68,AR$4-$B209+1)</f>
        <v/>
      </c>
      <c r="AS209" s="153">
        <f>$C209*INDEX(Curves!$I$8:$I$68,AS$4-$B209+1)</f>
        <v/>
      </c>
      <c r="AT209" s="153">
        <f>$C209*INDEX(Curves!$I$8:$I$68,AT$4-$B209+1)</f>
        <v/>
      </c>
      <c r="AU209" s="153">
        <f>$C209*INDEX(Curves!$I$8:$I$68,AU$4-$B209+1)</f>
        <v/>
      </c>
      <c r="AV209" s="153">
        <f>$C209*INDEX(Curves!$I$8:$I$68,AV$4-$B209+1)</f>
        <v/>
      </c>
      <c r="AW209" s="153">
        <f>$C209*INDEX(Curves!$I$8:$I$68,AW$4-$B209+1)</f>
        <v/>
      </c>
      <c r="AX209" s="153">
        <f>$C209*INDEX(Curves!$I$8:$I$68,AX$4-$B209+1)</f>
        <v/>
      </c>
      <c r="AY209" s="153">
        <f>$C209*INDEX(Curves!$I$8:$I$68,AY$4-$B209+1)</f>
        <v/>
      </c>
      <c r="AZ209" s="153">
        <f>$C209*INDEX(Curves!$I$8:$I$68,AZ$4-$B209+1)</f>
        <v/>
      </c>
      <c r="BA209" s="153">
        <f>$C209*INDEX(Curves!$I$8:$I$68,BA$4-$B209+1)</f>
        <v/>
      </c>
      <c r="BB209" s="153">
        <f>$C209*INDEX(Curves!$I$8:$I$68,BB$4-$B209+1)</f>
        <v/>
      </c>
      <c r="BC209" s="153">
        <f>$C209*INDEX(Curves!$I$8:$I$68,BC$4-$B209+1)</f>
        <v/>
      </c>
      <c r="BD209" s="153">
        <f>$C209*INDEX(Curves!$I$8:$I$68,BD$4-$B209+1)</f>
        <v/>
      </c>
      <c r="BE209" s="153">
        <f>$C209*INDEX(Curves!$I$8:$I$68,BE$4-$B209+1)</f>
        <v/>
      </c>
      <c r="BF209" s="153">
        <f>$C209*INDEX(Curves!$I$8:$I$68,BF$4-$B209+1)</f>
        <v/>
      </c>
      <c r="BG209" s="153">
        <f>$C209*INDEX(Curves!$I$8:$I$68,BG$4-$B209+1)</f>
        <v/>
      </c>
      <c r="BH209" s="153">
        <f>$C209*INDEX(Curves!$I$8:$I$68,BH$4-$B209+1)</f>
        <v/>
      </c>
      <c r="BI209" s="153">
        <f>$C209*INDEX(Curves!$I$8:$I$68,BI$4-$B209+1)</f>
        <v/>
      </c>
      <c r="BJ209" s="153">
        <f>$C209*INDEX(Curves!$I$8:$I$68,BJ$4-$B209+1)</f>
        <v/>
      </c>
      <c r="BK209" s="153">
        <f>$C209*INDEX(Curves!$I$8:$I$68,BK$4-$B209+1)</f>
        <v/>
      </c>
      <c r="BL209" s="153">
        <f>$C209*INDEX(Curves!$I$8:$I$68,BL$4-$B209+1)</f>
        <v/>
      </c>
    </row>
    <row r="210">
      <c r="A210" s="147" t="inlineStr">
        <is>
          <t>Cohort month 12</t>
        </is>
      </c>
      <c r="B210" s="147" t="n">
        <v>12</v>
      </c>
      <c r="C210" s="41">
        <f>INDEX(Ops!$E$10:$BL$10,1,$B210)</f>
        <v/>
      </c>
      <c r="Q210" s="153">
        <f>$C210*INDEX(Curves!$I$8:$I$68,Q$4-$B210+1)</f>
        <v/>
      </c>
      <c r="R210" s="153">
        <f>$C210*INDEX(Curves!$I$8:$I$68,R$4-$B210+1)</f>
        <v/>
      </c>
      <c r="S210" s="153">
        <f>$C210*INDEX(Curves!$I$8:$I$68,S$4-$B210+1)</f>
        <v/>
      </c>
      <c r="T210" s="153">
        <f>$C210*INDEX(Curves!$I$8:$I$68,T$4-$B210+1)</f>
        <v/>
      </c>
      <c r="U210" s="153">
        <f>$C210*INDEX(Curves!$I$8:$I$68,U$4-$B210+1)</f>
        <v/>
      </c>
      <c r="V210" s="153">
        <f>$C210*INDEX(Curves!$I$8:$I$68,V$4-$B210+1)</f>
        <v/>
      </c>
      <c r="W210" s="153">
        <f>$C210*INDEX(Curves!$I$8:$I$68,W$4-$B210+1)</f>
        <v/>
      </c>
      <c r="X210" s="153">
        <f>$C210*INDEX(Curves!$I$8:$I$68,X$4-$B210+1)</f>
        <v/>
      </c>
      <c r="Y210" s="153">
        <f>$C210*INDEX(Curves!$I$8:$I$68,Y$4-$B210+1)</f>
        <v/>
      </c>
      <c r="Z210" s="153">
        <f>$C210*INDEX(Curves!$I$8:$I$68,Z$4-$B210+1)</f>
        <v/>
      </c>
      <c r="AA210" s="153">
        <f>$C210*INDEX(Curves!$I$8:$I$68,AA$4-$B210+1)</f>
        <v/>
      </c>
      <c r="AB210" s="153">
        <f>$C210*INDEX(Curves!$I$8:$I$68,AB$4-$B210+1)</f>
        <v/>
      </c>
      <c r="AC210" s="153">
        <f>$C210*INDEX(Curves!$I$8:$I$68,AC$4-$B210+1)</f>
        <v/>
      </c>
      <c r="AD210" s="153">
        <f>$C210*INDEX(Curves!$I$8:$I$68,AD$4-$B210+1)</f>
        <v/>
      </c>
      <c r="AE210" s="153">
        <f>$C210*INDEX(Curves!$I$8:$I$68,AE$4-$B210+1)</f>
        <v/>
      </c>
      <c r="AF210" s="153">
        <f>$C210*INDEX(Curves!$I$8:$I$68,AF$4-$B210+1)</f>
        <v/>
      </c>
      <c r="AG210" s="153">
        <f>$C210*INDEX(Curves!$I$8:$I$68,AG$4-$B210+1)</f>
        <v/>
      </c>
      <c r="AH210" s="153">
        <f>$C210*INDEX(Curves!$I$8:$I$68,AH$4-$B210+1)</f>
        <v/>
      </c>
      <c r="AI210" s="153">
        <f>$C210*INDEX(Curves!$I$8:$I$68,AI$4-$B210+1)</f>
        <v/>
      </c>
      <c r="AJ210" s="153">
        <f>$C210*INDEX(Curves!$I$8:$I$68,AJ$4-$B210+1)</f>
        <v/>
      </c>
      <c r="AK210" s="153">
        <f>$C210*INDEX(Curves!$I$8:$I$68,AK$4-$B210+1)</f>
        <v/>
      </c>
      <c r="AL210" s="153">
        <f>$C210*INDEX(Curves!$I$8:$I$68,AL$4-$B210+1)</f>
        <v/>
      </c>
      <c r="AM210" s="153">
        <f>$C210*INDEX(Curves!$I$8:$I$68,AM$4-$B210+1)</f>
        <v/>
      </c>
      <c r="AN210" s="153">
        <f>$C210*INDEX(Curves!$I$8:$I$68,AN$4-$B210+1)</f>
        <v/>
      </c>
      <c r="AO210" s="153">
        <f>$C210*INDEX(Curves!$I$8:$I$68,AO$4-$B210+1)</f>
        <v/>
      </c>
      <c r="AP210" s="153">
        <f>$C210*INDEX(Curves!$I$8:$I$68,AP$4-$B210+1)</f>
        <v/>
      </c>
      <c r="AQ210" s="153">
        <f>$C210*INDEX(Curves!$I$8:$I$68,AQ$4-$B210+1)</f>
        <v/>
      </c>
      <c r="AR210" s="153">
        <f>$C210*INDEX(Curves!$I$8:$I$68,AR$4-$B210+1)</f>
        <v/>
      </c>
      <c r="AS210" s="153">
        <f>$C210*INDEX(Curves!$I$8:$I$68,AS$4-$B210+1)</f>
        <v/>
      </c>
      <c r="AT210" s="153">
        <f>$C210*INDEX(Curves!$I$8:$I$68,AT$4-$B210+1)</f>
        <v/>
      </c>
      <c r="AU210" s="153">
        <f>$C210*INDEX(Curves!$I$8:$I$68,AU$4-$B210+1)</f>
        <v/>
      </c>
      <c r="AV210" s="153">
        <f>$C210*INDEX(Curves!$I$8:$I$68,AV$4-$B210+1)</f>
        <v/>
      </c>
      <c r="AW210" s="153">
        <f>$C210*INDEX(Curves!$I$8:$I$68,AW$4-$B210+1)</f>
        <v/>
      </c>
      <c r="AX210" s="153">
        <f>$C210*INDEX(Curves!$I$8:$I$68,AX$4-$B210+1)</f>
        <v/>
      </c>
      <c r="AY210" s="153">
        <f>$C210*INDEX(Curves!$I$8:$I$68,AY$4-$B210+1)</f>
        <v/>
      </c>
      <c r="AZ210" s="153">
        <f>$C210*INDEX(Curves!$I$8:$I$68,AZ$4-$B210+1)</f>
        <v/>
      </c>
      <c r="BA210" s="153">
        <f>$C210*INDEX(Curves!$I$8:$I$68,BA$4-$B210+1)</f>
        <v/>
      </c>
      <c r="BB210" s="153">
        <f>$C210*INDEX(Curves!$I$8:$I$68,BB$4-$B210+1)</f>
        <v/>
      </c>
      <c r="BC210" s="153">
        <f>$C210*INDEX(Curves!$I$8:$I$68,BC$4-$B210+1)</f>
        <v/>
      </c>
      <c r="BD210" s="153">
        <f>$C210*INDEX(Curves!$I$8:$I$68,BD$4-$B210+1)</f>
        <v/>
      </c>
      <c r="BE210" s="153">
        <f>$C210*INDEX(Curves!$I$8:$I$68,BE$4-$B210+1)</f>
        <v/>
      </c>
      <c r="BF210" s="153">
        <f>$C210*INDEX(Curves!$I$8:$I$68,BF$4-$B210+1)</f>
        <v/>
      </c>
      <c r="BG210" s="153">
        <f>$C210*INDEX(Curves!$I$8:$I$68,BG$4-$B210+1)</f>
        <v/>
      </c>
      <c r="BH210" s="153">
        <f>$C210*INDEX(Curves!$I$8:$I$68,BH$4-$B210+1)</f>
        <v/>
      </c>
      <c r="BI210" s="153">
        <f>$C210*INDEX(Curves!$I$8:$I$68,BI$4-$B210+1)</f>
        <v/>
      </c>
      <c r="BJ210" s="153">
        <f>$C210*INDEX(Curves!$I$8:$I$68,BJ$4-$B210+1)</f>
        <v/>
      </c>
      <c r="BK210" s="153">
        <f>$C210*INDEX(Curves!$I$8:$I$68,BK$4-$B210+1)</f>
        <v/>
      </c>
      <c r="BL210" s="153">
        <f>$C210*INDEX(Curves!$I$8:$I$68,BL$4-$B210+1)</f>
        <v/>
      </c>
    </row>
    <row r="211">
      <c r="A211" s="147" t="inlineStr">
        <is>
          <t>Cohort month 13</t>
        </is>
      </c>
      <c r="B211" s="147" t="n">
        <v>13</v>
      </c>
      <c r="C211" s="41">
        <f>INDEX(Ops!$E$10:$BL$10,1,$B211)</f>
        <v/>
      </c>
      <c r="R211" s="153">
        <f>$C211*INDEX(Curves!$I$8:$I$68,R$4-$B211+1)</f>
        <v/>
      </c>
      <c r="S211" s="153">
        <f>$C211*INDEX(Curves!$I$8:$I$68,S$4-$B211+1)</f>
        <v/>
      </c>
      <c r="T211" s="153">
        <f>$C211*INDEX(Curves!$I$8:$I$68,T$4-$B211+1)</f>
        <v/>
      </c>
      <c r="U211" s="153">
        <f>$C211*INDEX(Curves!$I$8:$I$68,U$4-$B211+1)</f>
        <v/>
      </c>
      <c r="V211" s="153">
        <f>$C211*INDEX(Curves!$I$8:$I$68,V$4-$B211+1)</f>
        <v/>
      </c>
      <c r="W211" s="153">
        <f>$C211*INDEX(Curves!$I$8:$I$68,W$4-$B211+1)</f>
        <v/>
      </c>
      <c r="X211" s="153">
        <f>$C211*INDEX(Curves!$I$8:$I$68,X$4-$B211+1)</f>
        <v/>
      </c>
      <c r="Y211" s="153">
        <f>$C211*INDEX(Curves!$I$8:$I$68,Y$4-$B211+1)</f>
        <v/>
      </c>
      <c r="Z211" s="153">
        <f>$C211*INDEX(Curves!$I$8:$I$68,Z$4-$B211+1)</f>
        <v/>
      </c>
      <c r="AA211" s="153">
        <f>$C211*INDEX(Curves!$I$8:$I$68,AA$4-$B211+1)</f>
        <v/>
      </c>
      <c r="AB211" s="153">
        <f>$C211*INDEX(Curves!$I$8:$I$68,AB$4-$B211+1)</f>
        <v/>
      </c>
      <c r="AC211" s="153">
        <f>$C211*INDEX(Curves!$I$8:$I$68,AC$4-$B211+1)</f>
        <v/>
      </c>
      <c r="AD211" s="153">
        <f>$C211*INDEX(Curves!$I$8:$I$68,AD$4-$B211+1)</f>
        <v/>
      </c>
      <c r="AE211" s="153">
        <f>$C211*INDEX(Curves!$I$8:$I$68,AE$4-$B211+1)</f>
        <v/>
      </c>
      <c r="AF211" s="153">
        <f>$C211*INDEX(Curves!$I$8:$I$68,AF$4-$B211+1)</f>
        <v/>
      </c>
      <c r="AG211" s="153">
        <f>$C211*INDEX(Curves!$I$8:$I$68,AG$4-$B211+1)</f>
        <v/>
      </c>
      <c r="AH211" s="153">
        <f>$C211*INDEX(Curves!$I$8:$I$68,AH$4-$B211+1)</f>
        <v/>
      </c>
      <c r="AI211" s="153">
        <f>$C211*INDEX(Curves!$I$8:$I$68,AI$4-$B211+1)</f>
        <v/>
      </c>
      <c r="AJ211" s="153">
        <f>$C211*INDEX(Curves!$I$8:$I$68,AJ$4-$B211+1)</f>
        <v/>
      </c>
      <c r="AK211" s="153">
        <f>$C211*INDEX(Curves!$I$8:$I$68,AK$4-$B211+1)</f>
        <v/>
      </c>
      <c r="AL211" s="153">
        <f>$C211*INDEX(Curves!$I$8:$I$68,AL$4-$B211+1)</f>
        <v/>
      </c>
      <c r="AM211" s="153">
        <f>$C211*INDEX(Curves!$I$8:$I$68,AM$4-$B211+1)</f>
        <v/>
      </c>
      <c r="AN211" s="153">
        <f>$C211*INDEX(Curves!$I$8:$I$68,AN$4-$B211+1)</f>
        <v/>
      </c>
      <c r="AO211" s="153">
        <f>$C211*INDEX(Curves!$I$8:$I$68,AO$4-$B211+1)</f>
        <v/>
      </c>
      <c r="AP211" s="153">
        <f>$C211*INDEX(Curves!$I$8:$I$68,AP$4-$B211+1)</f>
        <v/>
      </c>
      <c r="AQ211" s="153">
        <f>$C211*INDEX(Curves!$I$8:$I$68,AQ$4-$B211+1)</f>
        <v/>
      </c>
      <c r="AR211" s="153">
        <f>$C211*INDEX(Curves!$I$8:$I$68,AR$4-$B211+1)</f>
        <v/>
      </c>
      <c r="AS211" s="153">
        <f>$C211*INDEX(Curves!$I$8:$I$68,AS$4-$B211+1)</f>
        <v/>
      </c>
      <c r="AT211" s="153">
        <f>$C211*INDEX(Curves!$I$8:$I$68,AT$4-$B211+1)</f>
        <v/>
      </c>
      <c r="AU211" s="153">
        <f>$C211*INDEX(Curves!$I$8:$I$68,AU$4-$B211+1)</f>
        <v/>
      </c>
      <c r="AV211" s="153">
        <f>$C211*INDEX(Curves!$I$8:$I$68,AV$4-$B211+1)</f>
        <v/>
      </c>
      <c r="AW211" s="153">
        <f>$C211*INDEX(Curves!$I$8:$I$68,AW$4-$B211+1)</f>
        <v/>
      </c>
      <c r="AX211" s="153">
        <f>$C211*INDEX(Curves!$I$8:$I$68,AX$4-$B211+1)</f>
        <v/>
      </c>
      <c r="AY211" s="153">
        <f>$C211*INDEX(Curves!$I$8:$I$68,AY$4-$B211+1)</f>
        <v/>
      </c>
      <c r="AZ211" s="153">
        <f>$C211*INDEX(Curves!$I$8:$I$68,AZ$4-$B211+1)</f>
        <v/>
      </c>
      <c r="BA211" s="153">
        <f>$C211*INDEX(Curves!$I$8:$I$68,BA$4-$B211+1)</f>
        <v/>
      </c>
      <c r="BB211" s="153">
        <f>$C211*INDEX(Curves!$I$8:$I$68,BB$4-$B211+1)</f>
        <v/>
      </c>
      <c r="BC211" s="153">
        <f>$C211*INDEX(Curves!$I$8:$I$68,BC$4-$B211+1)</f>
        <v/>
      </c>
      <c r="BD211" s="153">
        <f>$C211*INDEX(Curves!$I$8:$I$68,BD$4-$B211+1)</f>
        <v/>
      </c>
      <c r="BE211" s="153">
        <f>$C211*INDEX(Curves!$I$8:$I$68,BE$4-$B211+1)</f>
        <v/>
      </c>
      <c r="BF211" s="153">
        <f>$C211*INDEX(Curves!$I$8:$I$68,BF$4-$B211+1)</f>
        <v/>
      </c>
      <c r="BG211" s="153">
        <f>$C211*INDEX(Curves!$I$8:$I$68,BG$4-$B211+1)</f>
        <v/>
      </c>
      <c r="BH211" s="153">
        <f>$C211*INDEX(Curves!$I$8:$I$68,BH$4-$B211+1)</f>
        <v/>
      </c>
      <c r="BI211" s="153">
        <f>$C211*INDEX(Curves!$I$8:$I$68,BI$4-$B211+1)</f>
        <v/>
      </c>
      <c r="BJ211" s="153">
        <f>$C211*INDEX(Curves!$I$8:$I$68,BJ$4-$B211+1)</f>
        <v/>
      </c>
      <c r="BK211" s="153">
        <f>$C211*INDEX(Curves!$I$8:$I$68,BK$4-$B211+1)</f>
        <v/>
      </c>
      <c r="BL211" s="153">
        <f>$C211*INDEX(Curves!$I$8:$I$68,BL$4-$B211+1)</f>
        <v/>
      </c>
    </row>
    <row r="212">
      <c r="A212" s="147" t="inlineStr">
        <is>
          <t>Cohort month 14</t>
        </is>
      </c>
      <c r="B212" s="147" t="n">
        <v>14</v>
      </c>
      <c r="C212" s="41">
        <f>INDEX(Ops!$E$10:$BL$10,1,$B212)</f>
        <v/>
      </c>
      <c r="S212" s="153">
        <f>$C212*INDEX(Curves!$I$8:$I$68,S$4-$B212+1)</f>
        <v/>
      </c>
      <c r="T212" s="153">
        <f>$C212*INDEX(Curves!$I$8:$I$68,T$4-$B212+1)</f>
        <v/>
      </c>
      <c r="U212" s="153">
        <f>$C212*INDEX(Curves!$I$8:$I$68,U$4-$B212+1)</f>
        <v/>
      </c>
      <c r="V212" s="153">
        <f>$C212*INDEX(Curves!$I$8:$I$68,V$4-$B212+1)</f>
        <v/>
      </c>
      <c r="W212" s="153">
        <f>$C212*INDEX(Curves!$I$8:$I$68,W$4-$B212+1)</f>
        <v/>
      </c>
      <c r="X212" s="153">
        <f>$C212*INDEX(Curves!$I$8:$I$68,X$4-$B212+1)</f>
        <v/>
      </c>
      <c r="Y212" s="153">
        <f>$C212*INDEX(Curves!$I$8:$I$68,Y$4-$B212+1)</f>
        <v/>
      </c>
      <c r="Z212" s="153">
        <f>$C212*INDEX(Curves!$I$8:$I$68,Z$4-$B212+1)</f>
        <v/>
      </c>
      <c r="AA212" s="153">
        <f>$C212*INDEX(Curves!$I$8:$I$68,AA$4-$B212+1)</f>
        <v/>
      </c>
      <c r="AB212" s="153">
        <f>$C212*INDEX(Curves!$I$8:$I$68,AB$4-$B212+1)</f>
        <v/>
      </c>
      <c r="AC212" s="153">
        <f>$C212*INDEX(Curves!$I$8:$I$68,AC$4-$B212+1)</f>
        <v/>
      </c>
      <c r="AD212" s="153">
        <f>$C212*INDEX(Curves!$I$8:$I$68,AD$4-$B212+1)</f>
        <v/>
      </c>
      <c r="AE212" s="153">
        <f>$C212*INDEX(Curves!$I$8:$I$68,AE$4-$B212+1)</f>
        <v/>
      </c>
      <c r="AF212" s="153">
        <f>$C212*INDEX(Curves!$I$8:$I$68,AF$4-$B212+1)</f>
        <v/>
      </c>
      <c r="AG212" s="153">
        <f>$C212*INDEX(Curves!$I$8:$I$68,AG$4-$B212+1)</f>
        <v/>
      </c>
      <c r="AH212" s="153">
        <f>$C212*INDEX(Curves!$I$8:$I$68,AH$4-$B212+1)</f>
        <v/>
      </c>
      <c r="AI212" s="153">
        <f>$C212*INDEX(Curves!$I$8:$I$68,AI$4-$B212+1)</f>
        <v/>
      </c>
      <c r="AJ212" s="153">
        <f>$C212*INDEX(Curves!$I$8:$I$68,AJ$4-$B212+1)</f>
        <v/>
      </c>
      <c r="AK212" s="153">
        <f>$C212*INDEX(Curves!$I$8:$I$68,AK$4-$B212+1)</f>
        <v/>
      </c>
      <c r="AL212" s="153">
        <f>$C212*INDEX(Curves!$I$8:$I$68,AL$4-$B212+1)</f>
        <v/>
      </c>
      <c r="AM212" s="153">
        <f>$C212*INDEX(Curves!$I$8:$I$68,AM$4-$B212+1)</f>
        <v/>
      </c>
      <c r="AN212" s="153">
        <f>$C212*INDEX(Curves!$I$8:$I$68,AN$4-$B212+1)</f>
        <v/>
      </c>
      <c r="AO212" s="153">
        <f>$C212*INDEX(Curves!$I$8:$I$68,AO$4-$B212+1)</f>
        <v/>
      </c>
      <c r="AP212" s="153">
        <f>$C212*INDEX(Curves!$I$8:$I$68,AP$4-$B212+1)</f>
        <v/>
      </c>
      <c r="AQ212" s="153">
        <f>$C212*INDEX(Curves!$I$8:$I$68,AQ$4-$B212+1)</f>
        <v/>
      </c>
      <c r="AR212" s="153">
        <f>$C212*INDEX(Curves!$I$8:$I$68,AR$4-$B212+1)</f>
        <v/>
      </c>
      <c r="AS212" s="153">
        <f>$C212*INDEX(Curves!$I$8:$I$68,AS$4-$B212+1)</f>
        <v/>
      </c>
      <c r="AT212" s="153">
        <f>$C212*INDEX(Curves!$I$8:$I$68,AT$4-$B212+1)</f>
        <v/>
      </c>
      <c r="AU212" s="153">
        <f>$C212*INDEX(Curves!$I$8:$I$68,AU$4-$B212+1)</f>
        <v/>
      </c>
      <c r="AV212" s="153">
        <f>$C212*INDEX(Curves!$I$8:$I$68,AV$4-$B212+1)</f>
        <v/>
      </c>
      <c r="AW212" s="153">
        <f>$C212*INDEX(Curves!$I$8:$I$68,AW$4-$B212+1)</f>
        <v/>
      </c>
      <c r="AX212" s="153">
        <f>$C212*INDEX(Curves!$I$8:$I$68,AX$4-$B212+1)</f>
        <v/>
      </c>
      <c r="AY212" s="153">
        <f>$C212*INDEX(Curves!$I$8:$I$68,AY$4-$B212+1)</f>
        <v/>
      </c>
      <c r="AZ212" s="153">
        <f>$C212*INDEX(Curves!$I$8:$I$68,AZ$4-$B212+1)</f>
        <v/>
      </c>
      <c r="BA212" s="153">
        <f>$C212*INDEX(Curves!$I$8:$I$68,BA$4-$B212+1)</f>
        <v/>
      </c>
      <c r="BB212" s="153">
        <f>$C212*INDEX(Curves!$I$8:$I$68,BB$4-$B212+1)</f>
        <v/>
      </c>
      <c r="BC212" s="153">
        <f>$C212*INDEX(Curves!$I$8:$I$68,BC$4-$B212+1)</f>
        <v/>
      </c>
      <c r="BD212" s="153">
        <f>$C212*INDEX(Curves!$I$8:$I$68,BD$4-$B212+1)</f>
        <v/>
      </c>
      <c r="BE212" s="153">
        <f>$C212*INDEX(Curves!$I$8:$I$68,BE$4-$B212+1)</f>
        <v/>
      </c>
      <c r="BF212" s="153">
        <f>$C212*INDEX(Curves!$I$8:$I$68,BF$4-$B212+1)</f>
        <v/>
      </c>
      <c r="BG212" s="153">
        <f>$C212*INDEX(Curves!$I$8:$I$68,BG$4-$B212+1)</f>
        <v/>
      </c>
      <c r="BH212" s="153">
        <f>$C212*INDEX(Curves!$I$8:$I$68,BH$4-$B212+1)</f>
        <v/>
      </c>
      <c r="BI212" s="153">
        <f>$C212*INDEX(Curves!$I$8:$I$68,BI$4-$B212+1)</f>
        <v/>
      </c>
      <c r="BJ212" s="153">
        <f>$C212*INDEX(Curves!$I$8:$I$68,BJ$4-$B212+1)</f>
        <v/>
      </c>
      <c r="BK212" s="153">
        <f>$C212*INDEX(Curves!$I$8:$I$68,BK$4-$B212+1)</f>
        <v/>
      </c>
      <c r="BL212" s="153">
        <f>$C212*INDEX(Curves!$I$8:$I$68,BL$4-$B212+1)</f>
        <v/>
      </c>
    </row>
    <row r="213">
      <c r="A213" s="147" t="inlineStr">
        <is>
          <t>Cohort month 15</t>
        </is>
      </c>
      <c r="B213" s="147" t="n">
        <v>15</v>
      </c>
      <c r="C213" s="41">
        <f>INDEX(Ops!$E$10:$BL$10,1,$B213)</f>
        <v/>
      </c>
      <c r="T213" s="153">
        <f>$C213*INDEX(Curves!$I$8:$I$68,T$4-$B213+1)</f>
        <v/>
      </c>
      <c r="U213" s="153">
        <f>$C213*INDEX(Curves!$I$8:$I$68,U$4-$B213+1)</f>
        <v/>
      </c>
      <c r="V213" s="153">
        <f>$C213*INDEX(Curves!$I$8:$I$68,V$4-$B213+1)</f>
        <v/>
      </c>
      <c r="W213" s="153">
        <f>$C213*INDEX(Curves!$I$8:$I$68,W$4-$B213+1)</f>
        <v/>
      </c>
      <c r="X213" s="153">
        <f>$C213*INDEX(Curves!$I$8:$I$68,X$4-$B213+1)</f>
        <v/>
      </c>
      <c r="Y213" s="153">
        <f>$C213*INDEX(Curves!$I$8:$I$68,Y$4-$B213+1)</f>
        <v/>
      </c>
      <c r="Z213" s="153">
        <f>$C213*INDEX(Curves!$I$8:$I$68,Z$4-$B213+1)</f>
        <v/>
      </c>
      <c r="AA213" s="153">
        <f>$C213*INDEX(Curves!$I$8:$I$68,AA$4-$B213+1)</f>
        <v/>
      </c>
      <c r="AB213" s="153">
        <f>$C213*INDEX(Curves!$I$8:$I$68,AB$4-$B213+1)</f>
        <v/>
      </c>
      <c r="AC213" s="153">
        <f>$C213*INDEX(Curves!$I$8:$I$68,AC$4-$B213+1)</f>
        <v/>
      </c>
      <c r="AD213" s="153">
        <f>$C213*INDEX(Curves!$I$8:$I$68,AD$4-$B213+1)</f>
        <v/>
      </c>
      <c r="AE213" s="153">
        <f>$C213*INDEX(Curves!$I$8:$I$68,AE$4-$B213+1)</f>
        <v/>
      </c>
      <c r="AF213" s="153">
        <f>$C213*INDEX(Curves!$I$8:$I$68,AF$4-$B213+1)</f>
        <v/>
      </c>
      <c r="AG213" s="153">
        <f>$C213*INDEX(Curves!$I$8:$I$68,AG$4-$B213+1)</f>
        <v/>
      </c>
      <c r="AH213" s="153">
        <f>$C213*INDEX(Curves!$I$8:$I$68,AH$4-$B213+1)</f>
        <v/>
      </c>
      <c r="AI213" s="153">
        <f>$C213*INDEX(Curves!$I$8:$I$68,AI$4-$B213+1)</f>
        <v/>
      </c>
      <c r="AJ213" s="153">
        <f>$C213*INDEX(Curves!$I$8:$I$68,AJ$4-$B213+1)</f>
        <v/>
      </c>
      <c r="AK213" s="153">
        <f>$C213*INDEX(Curves!$I$8:$I$68,AK$4-$B213+1)</f>
        <v/>
      </c>
      <c r="AL213" s="153">
        <f>$C213*INDEX(Curves!$I$8:$I$68,AL$4-$B213+1)</f>
        <v/>
      </c>
      <c r="AM213" s="153">
        <f>$C213*INDEX(Curves!$I$8:$I$68,AM$4-$B213+1)</f>
        <v/>
      </c>
      <c r="AN213" s="153">
        <f>$C213*INDEX(Curves!$I$8:$I$68,AN$4-$B213+1)</f>
        <v/>
      </c>
      <c r="AO213" s="153">
        <f>$C213*INDEX(Curves!$I$8:$I$68,AO$4-$B213+1)</f>
        <v/>
      </c>
      <c r="AP213" s="153">
        <f>$C213*INDEX(Curves!$I$8:$I$68,AP$4-$B213+1)</f>
        <v/>
      </c>
      <c r="AQ213" s="153">
        <f>$C213*INDEX(Curves!$I$8:$I$68,AQ$4-$B213+1)</f>
        <v/>
      </c>
      <c r="AR213" s="153">
        <f>$C213*INDEX(Curves!$I$8:$I$68,AR$4-$B213+1)</f>
        <v/>
      </c>
      <c r="AS213" s="153">
        <f>$C213*INDEX(Curves!$I$8:$I$68,AS$4-$B213+1)</f>
        <v/>
      </c>
      <c r="AT213" s="153">
        <f>$C213*INDEX(Curves!$I$8:$I$68,AT$4-$B213+1)</f>
        <v/>
      </c>
      <c r="AU213" s="153">
        <f>$C213*INDEX(Curves!$I$8:$I$68,AU$4-$B213+1)</f>
        <v/>
      </c>
      <c r="AV213" s="153">
        <f>$C213*INDEX(Curves!$I$8:$I$68,AV$4-$B213+1)</f>
        <v/>
      </c>
      <c r="AW213" s="153">
        <f>$C213*INDEX(Curves!$I$8:$I$68,AW$4-$B213+1)</f>
        <v/>
      </c>
      <c r="AX213" s="153">
        <f>$C213*INDEX(Curves!$I$8:$I$68,AX$4-$B213+1)</f>
        <v/>
      </c>
      <c r="AY213" s="153">
        <f>$C213*INDEX(Curves!$I$8:$I$68,AY$4-$B213+1)</f>
        <v/>
      </c>
      <c r="AZ213" s="153">
        <f>$C213*INDEX(Curves!$I$8:$I$68,AZ$4-$B213+1)</f>
        <v/>
      </c>
      <c r="BA213" s="153">
        <f>$C213*INDEX(Curves!$I$8:$I$68,BA$4-$B213+1)</f>
        <v/>
      </c>
      <c r="BB213" s="153">
        <f>$C213*INDEX(Curves!$I$8:$I$68,BB$4-$B213+1)</f>
        <v/>
      </c>
      <c r="BC213" s="153">
        <f>$C213*INDEX(Curves!$I$8:$I$68,BC$4-$B213+1)</f>
        <v/>
      </c>
      <c r="BD213" s="153">
        <f>$C213*INDEX(Curves!$I$8:$I$68,BD$4-$B213+1)</f>
        <v/>
      </c>
      <c r="BE213" s="153">
        <f>$C213*INDEX(Curves!$I$8:$I$68,BE$4-$B213+1)</f>
        <v/>
      </c>
      <c r="BF213" s="153">
        <f>$C213*INDEX(Curves!$I$8:$I$68,BF$4-$B213+1)</f>
        <v/>
      </c>
      <c r="BG213" s="153">
        <f>$C213*INDEX(Curves!$I$8:$I$68,BG$4-$B213+1)</f>
        <v/>
      </c>
      <c r="BH213" s="153">
        <f>$C213*INDEX(Curves!$I$8:$I$68,BH$4-$B213+1)</f>
        <v/>
      </c>
      <c r="BI213" s="153">
        <f>$C213*INDEX(Curves!$I$8:$I$68,BI$4-$B213+1)</f>
        <v/>
      </c>
      <c r="BJ213" s="153">
        <f>$C213*INDEX(Curves!$I$8:$I$68,BJ$4-$B213+1)</f>
        <v/>
      </c>
      <c r="BK213" s="153">
        <f>$C213*INDEX(Curves!$I$8:$I$68,BK$4-$B213+1)</f>
        <v/>
      </c>
      <c r="BL213" s="153">
        <f>$C213*INDEX(Curves!$I$8:$I$68,BL$4-$B213+1)</f>
        <v/>
      </c>
    </row>
    <row r="214">
      <c r="A214" s="147" t="inlineStr">
        <is>
          <t>Cohort month 16</t>
        </is>
      </c>
      <c r="B214" s="147" t="n">
        <v>16</v>
      </c>
      <c r="C214" s="41">
        <f>INDEX(Ops!$E$10:$BL$10,1,$B214)</f>
        <v/>
      </c>
      <c r="U214" s="153">
        <f>$C214*INDEX(Curves!$I$8:$I$68,U$4-$B214+1)</f>
        <v/>
      </c>
      <c r="V214" s="153">
        <f>$C214*INDEX(Curves!$I$8:$I$68,V$4-$B214+1)</f>
        <v/>
      </c>
      <c r="W214" s="153">
        <f>$C214*INDEX(Curves!$I$8:$I$68,W$4-$B214+1)</f>
        <v/>
      </c>
      <c r="X214" s="153">
        <f>$C214*INDEX(Curves!$I$8:$I$68,X$4-$B214+1)</f>
        <v/>
      </c>
      <c r="Y214" s="153">
        <f>$C214*INDEX(Curves!$I$8:$I$68,Y$4-$B214+1)</f>
        <v/>
      </c>
      <c r="Z214" s="153">
        <f>$C214*INDEX(Curves!$I$8:$I$68,Z$4-$B214+1)</f>
        <v/>
      </c>
      <c r="AA214" s="153">
        <f>$C214*INDEX(Curves!$I$8:$I$68,AA$4-$B214+1)</f>
        <v/>
      </c>
      <c r="AB214" s="153">
        <f>$C214*INDEX(Curves!$I$8:$I$68,AB$4-$B214+1)</f>
        <v/>
      </c>
      <c r="AC214" s="153">
        <f>$C214*INDEX(Curves!$I$8:$I$68,AC$4-$B214+1)</f>
        <v/>
      </c>
      <c r="AD214" s="153">
        <f>$C214*INDEX(Curves!$I$8:$I$68,AD$4-$B214+1)</f>
        <v/>
      </c>
      <c r="AE214" s="153">
        <f>$C214*INDEX(Curves!$I$8:$I$68,AE$4-$B214+1)</f>
        <v/>
      </c>
      <c r="AF214" s="153">
        <f>$C214*INDEX(Curves!$I$8:$I$68,AF$4-$B214+1)</f>
        <v/>
      </c>
      <c r="AG214" s="153">
        <f>$C214*INDEX(Curves!$I$8:$I$68,AG$4-$B214+1)</f>
        <v/>
      </c>
      <c r="AH214" s="153">
        <f>$C214*INDEX(Curves!$I$8:$I$68,AH$4-$B214+1)</f>
        <v/>
      </c>
      <c r="AI214" s="153">
        <f>$C214*INDEX(Curves!$I$8:$I$68,AI$4-$B214+1)</f>
        <v/>
      </c>
      <c r="AJ214" s="153">
        <f>$C214*INDEX(Curves!$I$8:$I$68,AJ$4-$B214+1)</f>
        <v/>
      </c>
      <c r="AK214" s="153">
        <f>$C214*INDEX(Curves!$I$8:$I$68,AK$4-$B214+1)</f>
        <v/>
      </c>
      <c r="AL214" s="153">
        <f>$C214*INDEX(Curves!$I$8:$I$68,AL$4-$B214+1)</f>
        <v/>
      </c>
      <c r="AM214" s="153">
        <f>$C214*INDEX(Curves!$I$8:$I$68,AM$4-$B214+1)</f>
        <v/>
      </c>
      <c r="AN214" s="153">
        <f>$C214*INDEX(Curves!$I$8:$I$68,AN$4-$B214+1)</f>
        <v/>
      </c>
      <c r="AO214" s="153">
        <f>$C214*INDEX(Curves!$I$8:$I$68,AO$4-$B214+1)</f>
        <v/>
      </c>
      <c r="AP214" s="153">
        <f>$C214*INDEX(Curves!$I$8:$I$68,AP$4-$B214+1)</f>
        <v/>
      </c>
      <c r="AQ214" s="153">
        <f>$C214*INDEX(Curves!$I$8:$I$68,AQ$4-$B214+1)</f>
        <v/>
      </c>
      <c r="AR214" s="153">
        <f>$C214*INDEX(Curves!$I$8:$I$68,AR$4-$B214+1)</f>
        <v/>
      </c>
      <c r="AS214" s="153">
        <f>$C214*INDEX(Curves!$I$8:$I$68,AS$4-$B214+1)</f>
        <v/>
      </c>
      <c r="AT214" s="153">
        <f>$C214*INDEX(Curves!$I$8:$I$68,AT$4-$B214+1)</f>
        <v/>
      </c>
      <c r="AU214" s="153">
        <f>$C214*INDEX(Curves!$I$8:$I$68,AU$4-$B214+1)</f>
        <v/>
      </c>
      <c r="AV214" s="153">
        <f>$C214*INDEX(Curves!$I$8:$I$68,AV$4-$B214+1)</f>
        <v/>
      </c>
      <c r="AW214" s="153">
        <f>$C214*INDEX(Curves!$I$8:$I$68,AW$4-$B214+1)</f>
        <v/>
      </c>
      <c r="AX214" s="153">
        <f>$C214*INDEX(Curves!$I$8:$I$68,AX$4-$B214+1)</f>
        <v/>
      </c>
      <c r="AY214" s="153">
        <f>$C214*INDEX(Curves!$I$8:$I$68,AY$4-$B214+1)</f>
        <v/>
      </c>
      <c r="AZ214" s="153">
        <f>$C214*INDEX(Curves!$I$8:$I$68,AZ$4-$B214+1)</f>
        <v/>
      </c>
      <c r="BA214" s="153">
        <f>$C214*INDEX(Curves!$I$8:$I$68,BA$4-$B214+1)</f>
        <v/>
      </c>
      <c r="BB214" s="153">
        <f>$C214*INDEX(Curves!$I$8:$I$68,BB$4-$B214+1)</f>
        <v/>
      </c>
      <c r="BC214" s="153">
        <f>$C214*INDEX(Curves!$I$8:$I$68,BC$4-$B214+1)</f>
        <v/>
      </c>
      <c r="BD214" s="153">
        <f>$C214*INDEX(Curves!$I$8:$I$68,BD$4-$B214+1)</f>
        <v/>
      </c>
      <c r="BE214" s="153">
        <f>$C214*INDEX(Curves!$I$8:$I$68,BE$4-$B214+1)</f>
        <v/>
      </c>
      <c r="BF214" s="153">
        <f>$C214*INDEX(Curves!$I$8:$I$68,BF$4-$B214+1)</f>
        <v/>
      </c>
      <c r="BG214" s="153">
        <f>$C214*INDEX(Curves!$I$8:$I$68,BG$4-$B214+1)</f>
        <v/>
      </c>
      <c r="BH214" s="153">
        <f>$C214*INDEX(Curves!$I$8:$I$68,BH$4-$B214+1)</f>
        <v/>
      </c>
      <c r="BI214" s="153">
        <f>$C214*INDEX(Curves!$I$8:$I$68,BI$4-$B214+1)</f>
        <v/>
      </c>
      <c r="BJ214" s="153">
        <f>$C214*INDEX(Curves!$I$8:$I$68,BJ$4-$B214+1)</f>
        <v/>
      </c>
      <c r="BK214" s="153">
        <f>$C214*INDEX(Curves!$I$8:$I$68,BK$4-$B214+1)</f>
        <v/>
      </c>
      <c r="BL214" s="153">
        <f>$C214*INDEX(Curves!$I$8:$I$68,BL$4-$B214+1)</f>
        <v/>
      </c>
    </row>
    <row r="215">
      <c r="A215" s="147" t="inlineStr">
        <is>
          <t>Cohort month 17</t>
        </is>
      </c>
      <c r="B215" s="147" t="n">
        <v>17</v>
      </c>
      <c r="C215" s="41">
        <f>INDEX(Ops!$E$10:$BL$10,1,$B215)</f>
        <v/>
      </c>
      <c r="V215" s="153">
        <f>$C215*INDEX(Curves!$I$8:$I$68,V$4-$B215+1)</f>
        <v/>
      </c>
      <c r="W215" s="153">
        <f>$C215*INDEX(Curves!$I$8:$I$68,W$4-$B215+1)</f>
        <v/>
      </c>
      <c r="X215" s="153">
        <f>$C215*INDEX(Curves!$I$8:$I$68,X$4-$B215+1)</f>
        <v/>
      </c>
      <c r="Y215" s="153">
        <f>$C215*INDEX(Curves!$I$8:$I$68,Y$4-$B215+1)</f>
        <v/>
      </c>
      <c r="Z215" s="153">
        <f>$C215*INDEX(Curves!$I$8:$I$68,Z$4-$B215+1)</f>
        <v/>
      </c>
      <c r="AA215" s="153">
        <f>$C215*INDEX(Curves!$I$8:$I$68,AA$4-$B215+1)</f>
        <v/>
      </c>
      <c r="AB215" s="153">
        <f>$C215*INDEX(Curves!$I$8:$I$68,AB$4-$B215+1)</f>
        <v/>
      </c>
      <c r="AC215" s="153">
        <f>$C215*INDEX(Curves!$I$8:$I$68,AC$4-$B215+1)</f>
        <v/>
      </c>
      <c r="AD215" s="153">
        <f>$C215*INDEX(Curves!$I$8:$I$68,AD$4-$B215+1)</f>
        <v/>
      </c>
      <c r="AE215" s="153">
        <f>$C215*INDEX(Curves!$I$8:$I$68,AE$4-$B215+1)</f>
        <v/>
      </c>
      <c r="AF215" s="153">
        <f>$C215*INDEX(Curves!$I$8:$I$68,AF$4-$B215+1)</f>
        <v/>
      </c>
      <c r="AG215" s="153">
        <f>$C215*INDEX(Curves!$I$8:$I$68,AG$4-$B215+1)</f>
        <v/>
      </c>
      <c r="AH215" s="153">
        <f>$C215*INDEX(Curves!$I$8:$I$68,AH$4-$B215+1)</f>
        <v/>
      </c>
      <c r="AI215" s="153">
        <f>$C215*INDEX(Curves!$I$8:$I$68,AI$4-$B215+1)</f>
        <v/>
      </c>
      <c r="AJ215" s="153">
        <f>$C215*INDEX(Curves!$I$8:$I$68,AJ$4-$B215+1)</f>
        <v/>
      </c>
      <c r="AK215" s="153">
        <f>$C215*INDEX(Curves!$I$8:$I$68,AK$4-$B215+1)</f>
        <v/>
      </c>
      <c r="AL215" s="153">
        <f>$C215*INDEX(Curves!$I$8:$I$68,AL$4-$B215+1)</f>
        <v/>
      </c>
      <c r="AM215" s="153">
        <f>$C215*INDEX(Curves!$I$8:$I$68,AM$4-$B215+1)</f>
        <v/>
      </c>
      <c r="AN215" s="153">
        <f>$C215*INDEX(Curves!$I$8:$I$68,AN$4-$B215+1)</f>
        <v/>
      </c>
      <c r="AO215" s="153">
        <f>$C215*INDEX(Curves!$I$8:$I$68,AO$4-$B215+1)</f>
        <v/>
      </c>
      <c r="AP215" s="153">
        <f>$C215*INDEX(Curves!$I$8:$I$68,AP$4-$B215+1)</f>
        <v/>
      </c>
      <c r="AQ215" s="153">
        <f>$C215*INDEX(Curves!$I$8:$I$68,AQ$4-$B215+1)</f>
        <v/>
      </c>
      <c r="AR215" s="153">
        <f>$C215*INDEX(Curves!$I$8:$I$68,AR$4-$B215+1)</f>
        <v/>
      </c>
      <c r="AS215" s="153">
        <f>$C215*INDEX(Curves!$I$8:$I$68,AS$4-$B215+1)</f>
        <v/>
      </c>
      <c r="AT215" s="153">
        <f>$C215*INDEX(Curves!$I$8:$I$68,AT$4-$B215+1)</f>
        <v/>
      </c>
      <c r="AU215" s="153">
        <f>$C215*INDEX(Curves!$I$8:$I$68,AU$4-$B215+1)</f>
        <v/>
      </c>
      <c r="AV215" s="153">
        <f>$C215*INDEX(Curves!$I$8:$I$68,AV$4-$B215+1)</f>
        <v/>
      </c>
      <c r="AW215" s="153">
        <f>$C215*INDEX(Curves!$I$8:$I$68,AW$4-$B215+1)</f>
        <v/>
      </c>
      <c r="AX215" s="153">
        <f>$C215*INDEX(Curves!$I$8:$I$68,AX$4-$B215+1)</f>
        <v/>
      </c>
      <c r="AY215" s="153">
        <f>$C215*INDEX(Curves!$I$8:$I$68,AY$4-$B215+1)</f>
        <v/>
      </c>
      <c r="AZ215" s="153">
        <f>$C215*INDEX(Curves!$I$8:$I$68,AZ$4-$B215+1)</f>
        <v/>
      </c>
      <c r="BA215" s="153">
        <f>$C215*INDEX(Curves!$I$8:$I$68,BA$4-$B215+1)</f>
        <v/>
      </c>
      <c r="BB215" s="153">
        <f>$C215*INDEX(Curves!$I$8:$I$68,BB$4-$B215+1)</f>
        <v/>
      </c>
      <c r="BC215" s="153">
        <f>$C215*INDEX(Curves!$I$8:$I$68,BC$4-$B215+1)</f>
        <v/>
      </c>
      <c r="BD215" s="153">
        <f>$C215*INDEX(Curves!$I$8:$I$68,BD$4-$B215+1)</f>
        <v/>
      </c>
      <c r="BE215" s="153">
        <f>$C215*INDEX(Curves!$I$8:$I$68,BE$4-$B215+1)</f>
        <v/>
      </c>
      <c r="BF215" s="153">
        <f>$C215*INDEX(Curves!$I$8:$I$68,BF$4-$B215+1)</f>
        <v/>
      </c>
      <c r="BG215" s="153">
        <f>$C215*INDEX(Curves!$I$8:$I$68,BG$4-$B215+1)</f>
        <v/>
      </c>
      <c r="BH215" s="153">
        <f>$C215*INDEX(Curves!$I$8:$I$68,BH$4-$B215+1)</f>
        <v/>
      </c>
      <c r="BI215" s="153">
        <f>$C215*INDEX(Curves!$I$8:$I$68,BI$4-$B215+1)</f>
        <v/>
      </c>
      <c r="BJ215" s="153">
        <f>$C215*INDEX(Curves!$I$8:$I$68,BJ$4-$B215+1)</f>
        <v/>
      </c>
      <c r="BK215" s="153">
        <f>$C215*INDEX(Curves!$I$8:$I$68,BK$4-$B215+1)</f>
        <v/>
      </c>
      <c r="BL215" s="153">
        <f>$C215*INDEX(Curves!$I$8:$I$68,BL$4-$B215+1)</f>
        <v/>
      </c>
    </row>
    <row r="216">
      <c r="A216" s="147" t="inlineStr">
        <is>
          <t>Cohort month 18</t>
        </is>
      </c>
      <c r="B216" s="147" t="n">
        <v>18</v>
      </c>
      <c r="C216" s="41">
        <f>INDEX(Ops!$E$10:$BL$10,1,$B216)</f>
        <v/>
      </c>
      <c r="W216" s="153">
        <f>$C216*INDEX(Curves!$I$8:$I$68,W$4-$B216+1)</f>
        <v/>
      </c>
      <c r="X216" s="153">
        <f>$C216*INDEX(Curves!$I$8:$I$68,X$4-$B216+1)</f>
        <v/>
      </c>
      <c r="Y216" s="153">
        <f>$C216*INDEX(Curves!$I$8:$I$68,Y$4-$B216+1)</f>
        <v/>
      </c>
      <c r="Z216" s="153">
        <f>$C216*INDEX(Curves!$I$8:$I$68,Z$4-$B216+1)</f>
        <v/>
      </c>
      <c r="AA216" s="153">
        <f>$C216*INDEX(Curves!$I$8:$I$68,AA$4-$B216+1)</f>
        <v/>
      </c>
      <c r="AB216" s="153">
        <f>$C216*INDEX(Curves!$I$8:$I$68,AB$4-$B216+1)</f>
        <v/>
      </c>
      <c r="AC216" s="153">
        <f>$C216*INDEX(Curves!$I$8:$I$68,AC$4-$B216+1)</f>
        <v/>
      </c>
      <c r="AD216" s="153">
        <f>$C216*INDEX(Curves!$I$8:$I$68,AD$4-$B216+1)</f>
        <v/>
      </c>
      <c r="AE216" s="153">
        <f>$C216*INDEX(Curves!$I$8:$I$68,AE$4-$B216+1)</f>
        <v/>
      </c>
      <c r="AF216" s="153">
        <f>$C216*INDEX(Curves!$I$8:$I$68,AF$4-$B216+1)</f>
        <v/>
      </c>
      <c r="AG216" s="153">
        <f>$C216*INDEX(Curves!$I$8:$I$68,AG$4-$B216+1)</f>
        <v/>
      </c>
      <c r="AH216" s="153">
        <f>$C216*INDEX(Curves!$I$8:$I$68,AH$4-$B216+1)</f>
        <v/>
      </c>
      <c r="AI216" s="153">
        <f>$C216*INDEX(Curves!$I$8:$I$68,AI$4-$B216+1)</f>
        <v/>
      </c>
      <c r="AJ216" s="153">
        <f>$C216*INDEX(Curves!$I$8:$I$68,AJ$4-$B216+1)</f>
        <v/>
      </c>
      <c r="AK216" s="153">
        <f>$C216*INDEX(Curves!$I$8:$I$68,AK$4-$B216+1)</f>
        <v/>
      </c>
      <c r="AL216" s="153">
        <f>$C216*INDEX(Curves!$I$8:$I$68,AL$4-$B216+1)</f>
        <v/>
      </c>
      <c r="AM216" s="153">
        <f>$C216*INDEX(Curves!$I$8:$I$68,AM$4-$B216+1)</f>
        <v/>
      </c>
      <c r="AN216" s="153">
        <f>$C216*INDEX(Curves!$I$8:$I$68,AN$4-$B216+1)</f>
        <v/>
      </c>
      <c r="AO216" s="153">
        <f>$C216*INDEX(Curves!$I$8:$I$68,AO$4-$B216+1)</f>
        <v/>
      </c>
      <c r="AP216" s="153">
        <f>$C216*INDEX(Curves!$I$8:$I$68,AP$4-$B216+1)</f>
        <v/>
      </c>
      <c r="AQ216" s="153">
        <f>$C216*INDEX(Curves!$I$8:$I$68,AQ$4-$B216+1)</f>
        <v/>
      </c>
      <c r="AR216" s="153">
        <f>$C216*INDEX(Curves!$I$8:$I$68,AR$4-$B216+1)</f>
        <v/>
      </c>
      <c r="AS216" s="153">
        <f>$C216*INDEX(Curves!$I$8:$I$68,AS$4-$B216+1)</f>
        <v/>
      </c>
      <c r="AT216" s="153">
        <f>$C216*INDEX(Curves!$I$8:$I$68,AT$4-$B216+1)</f>
        <v/>
      </c>
      <c r="AU216" s="153">
        <f>$C216*INDEX(Curves!$I$8:$I$68,AU$4-$B216+1)</f>
        <v/>
      </c>
      <c r="AV216" s="153">
        <f>$C216*INDEX(Curves!$I$8:$I$68,AV$4-$B216+1)</f>
        <v/>
      </c>
      <c r="AW216" s="153">
        <f>$C216*INDEX(Curves!$I$8:$I$68,AW$4-$B216+1)</f>
        <v/>
      </c>
      <c r="AX216" s="153">
        <f>$C216*INDEX(Curves!$I$8:$I$68,AX$4-$B216+1)</f>
        <v/>
      </c>
      <c r="AY216" s="153">
        <f>$C216*INDEX(Curves!$I$8:$I$68,AY$4-$B216+1)</f>
        <v/>
      </c>
      <c r="AZ216" s="153">
        <f>$C216*INDEX(Curves!$I$8:$I$68,AZ$4-$B216+1)</f>
        <v/>
      </c>
      <c r="BA216" s="153">
        <f>$C216*INDEX(Curves!$I$8:$I$68,BA$4-$B216+1)</f>
        <v/>
      </c>
      <c r="BB216" s="153">
        <f>$C216*INDEX(Curves!$I$8:$I$68,BB$4-$B216+1)</f>
        <v/>
      </c>
      <c r="BC216" s="153">
        <f>$C216*INDEX(Curves!$I$8:$I$68,BC$4-$B216+1)</f>
        <v/>
      </c>
      <c r="BD216" s="153">
        <f>$C216*INDEX(Curves!$I$8:$I$68,BD$4-$B216+1)</f>
        <v/>
      </c>
      <c r="BE216" s="153">
        <f>$C216*INDEX(Curves!$I$8:$I$68,BE$4-$B216+1)</f>
        <v/>
      </c>
      <c r="BF216" s="153">
        <f>$C216*INDEX(Curves!$I$8:$I$68,BF$4-$B216+1)</f>
        <v/>
      </c>
      <c r="BG216" s="153">
        <f>$C216*INDEX(Curves!$I$8:$I$68,BG$4-$B216+1)</f>
        <v/>
      </c>
      <c r="BH216" s="153">
        <f>$C216*INDEX(Curves!$I$8:$I$68,BH$4-$B216+1)</f>
        <v/>
      </c>
      <c r="BI216" s="153">
        <f>$C216*INDEX(Curves!$I$8:$I$68,BI$4-$B216+1)</f>
        <v/>
      </c>
      <c r="BJ216" s="153">
        <f>$C216*INDEX(Curves!$I$8:$I$68,BJ$4-$B216+1)</f>
        <v/>
      </c>
      <c r="BK216" s="153">
        <f>$C216*INDEX(Curves!$I$8:$I$68,BK$4-$B216+1)</f>
        <v/>
      </c>
      <c r="BL216" s="153">
        <f>$C216*INDEX(Curves!$I$8:$I$68,BL$4-$B216+1)</f>
        <v/>
      </c>
    </row>
    <row r="217">
      <c r="A217" s="147" t="inlineStr">
        <is>
          <t>Cohort month 19</t>
        </is>
      </c>
      <c r="B217" s="147" t="n">
        <v>19</v>
      </c>
      <c r="C217" s="41">
        <f>INDEX(Ops!$E$10:$BL$10,1,$B217)</f>
        <v/>
      </c>
      <c r="X217" s="153">
        <f>$C217*INDEX(Curves!$I$8:$I$68,X$4-$B217+1)</f>
        <v/>
      </c>
      <c r="Y217" s="153">
        <f>$C217*INDEX(Curves!$I$8:$I$68,Y$4-$B217+1)</f>
        <v/>
      </c>
      <c r="Z217" s="153">
        <f>$C217*INDEX(Curves!$I$8:$I$68,Z$4-$B217+1)</f>
        <v/>
      </c>
      <c r="AA217" s="153">
        <f>$C217*INDEX(Curves!$I$8:$I$68,AA$4-$B217+1)</f>
        <v/>
      </c>
      <c r="AB217" s="153">
        <f>$C217*INDEX(Curves!$I$8:$I$68,AB$4-$B217+1)</f>
        <v/>
      </c>
      <c r="AC217" s="153">
        <f>$C217*INDEX(Curves!$I$8:$I$68,AC$4-$B217+1)</f>
        <v/>
      </c>
      <c r="AD217" s="153">
        <f>$C217*INDEX(Curves!$I$8:$I$68,AD$4-$B217+1)</f>
        <v/>
      </c>
      <c r="AE217" s="153">
        <f>$C217*INDEX(Curves!$I$8:$I$68,AE$4-$B217+1)</f>
        <v/>
      </c>
      <c r="AF217" s="153">
        <f>$C217*INDEX(Curves!$I$8:$I$68,AF$4-$B217+1)</f>
        <v/>
      </c>
      <c r="AG217" s="153">
        <f>$C217*INDEX(Curves!$I$8:$I$68,AG$4-$B217+1)</f>
        <v/>
      </c>
      <c r="AH217" s="153">
        <f>$C217*INDEX(Curves!$I$8:$I$68,AH$4-$B217+1)</f>
        <v/>
      </c>
      <c r="AI217" s="153">
        <f>$C217*INDEX(Curves!$I$8:$I$68,AI$4-$B217+1)</f>
        <v/>
      </c>
      <c r="AJ217" s="153">
        <f>$C217*INDEX(Curves!$I$8:$I$68,AJ$4-$B217+1)</f>
        <v/>
      </c>
      <c r="AK217" s="153">
        <f>$C217*INDEX(Curves!$I$8:$I$68,AK$4-$B217+1)</f>
        <v/>
      </c>
      <c r="AL217" s="153">
        <f>$C217*INDEX(Curves!$I$8:$I$68,AL$4-$B217+1)</f>
        <v/>
      </c>
      <c r="AM217" s="153">
        <f>$C217*INDEX(Curves!$I$8:$I$68,AM$4-$B217+1)</f>
        <v/>
      </c>
      <c r="AN217" s="153">
        <f>$C217*INDEX(Curves!$I$8:$I$68,AN$4-$B217+1)</f>
        <v/>
      </c>
      <c r="AO217" s="153">
        <f>$C217*INDEX(Curves!$I$8:$I$68,AO$4-$B217+1)</f>
        <v/>
      </c>
      <c r="AP217" s="153">
        <f>$C217*INDEX(Curves!$I$8:$I$68,AP$4-$B217+1)</f>
        <v/>
      </c>
      <c r="AQ217" s="153">
        <f>$C217*INDEX(Curves!$I$8:$I$68,AQ$4-$B217+1)</f>
        <v/>
      </c>
      <c r="AR217" s="153">
        <f>$C217*INDEX(Curves!$I$8:$I$68,AR$4-$B217+1)</f>
        <v/>
      </c>
      <c r="AS217" s="153">
        <f>$C217*INDEX(Curves!$I$8:$I$68,AS$4-$B217+1)</f>
        <v/>
      </c>
      <c r="AT217" s="153">
        <f>$C217*INDEX(Curves!$I$8:$I$68,AT$4-$B217+1)</f>
        <v/>
      </c>
      <c r="AU217" s="153">
        <f>$C217*INDEX(Curves!$I$8:$I$68,AU$4-$B217+1)</f>
        <v/>
      </c>
      <c r="AV217" s="153">
        <f>$C217*INDEX(Curves!$I$8:$I$68,AV$4-$B217+1)</f>
        <v/>
      </c>
      <c r="AW217" s="153">
        <f>$C217*INDEX(Curves!$I$8:$I$68,AW$4-$B217+1)</f>
        <v/>
      </c>
      <c r="AX217" s="153">
        <f>$C217*INDEX(Curves!$I$8:$I$68,AX$4-$B217+1)</f>
        <v/>
      </c>
      <c r="AY217" s="153">
        <f>$C217*INDEX(Curves!$I$8:$I$68,AY$4-$B217+1)</f>
        <v/>
      </c>
      <c r="AZ217" s="153">
        <f>$C217*INDEX(Curves!$I$8:$I$68,AZ$4-$B217+1)</f>
        <v/>
      </c>
      <c r="BA217" s="153">
        <f>$C217*INDEX(Curves!$I$8:$I$68,BA$4-$B217+1)</f>
        <v/>
      </c>
      <c r="BB217" s="153">
        <f>$C217*INDEX(Curves!$I$8:$I$68,BB$4-$B217+1)</f>
        <v/>
      </c>
      <c r="BC217" s="153">
        <f>$C217*INDEX(Curves!$I$8:$I$68,BC$4-$B217+1)</f>
        <v/>
      </c>
      <c r="BD217" s="153">
        <f>$C217*INDEX(Curves!$I$8:$I$68,BD$4-$B217+1)</f>
        <v/>
      </c>
      <c r="BE217" s="153">
        <f>$C217*INDEX(Curves!$I$8:$I$68,BE$4-$B217+1)</f>
        <v/>
      </c>
      <c r="BF217" s="153">
        <f>$C217*INDEX(Curves!$I$8:$I$68,BF$4-$B217+1)</f>
        <v/>
      </c>
      <c r="BG217" s="153">
        <f>$C217*INDEX(Curves!$I$8:$I$68,BG$4-$B217+1)</f>
        <v/>
      </c>
      <c r="BH217" s="153">
        <f>$C217*INDEX(Curves!$I$8:$I$68,BH$4-$B217+1)</f>
        <v/>
      </c>
      <c r="BI217" s="153">
        <f>$C217*INDEX(Curves!$I$8:$I$68,BI$4-$B217+1)</f>
        <v/>
      </c>
      <c r="BJ217" s="153">
        <f>$C217*INDEX(Curves!$I$8:$I$68,BJ$4-$B217+1)</f>
        <v/>
      </c>
      <c r="BK217" s="153">
        <f>$C217*INDEX(Curves!$I$8:$I$68,BK$4-$B217+1)</f>
        <v/>
      </c>
      <c r="BL217" s="153">
        <f>$C217*INDEX(Curves!$I$8:$I$68,BL$4-$B217+1)</f>
        <v/>
      </c>
    </row>
    <row r="218">
      <c r="A218" s="147" t="inlineStr">
        <is>
          <t>Cohort month 20</t>
        </is>
      </c>
      <c r="B218" s="147" t="n">
        <v>20</v>
      </c>
      <c r="C218" s="41">
        <f>INDEX(Ops!$E$10:$BL$10,1,$B218)</f>
        <v/>
      </c>
      <c r="Y218" s="153">
        <f>$C218*INDEX(Curves!$I$8:$I$68,Y$4-$B218+1)</f>
        <v/>
      </c>
      <c r="Z218" s="153">
        <f>$C218*INDEX(Curves!$I$8:$I$68,Z$4-$B218+1)</f>
        <v/>
      </c>
      <c r="AA218" s="153">
        <f>$C218*INDEX(Curves!$I$8:$I$68,AA$4-$B218+1)</f>
        <v/>
      </c>
      <c r="AB218" s="153">
        <f>$C218*INDEX(Curves!$I$8:$I$68,AB$4-$B218+1)</f>
        <v/>
      </c>
      <c r="AC218" s="153">
        <f>$C218*INDEX(Curves!$I$8:$I$68,AC$4-$B218+1)</f>
        <v/>
      </c>
      <c r="AD218" s="153">
        <f>$C218*INDEX(Curves!$I$8:$I$68,AD$4-$B218+1)</f>
        <v/>
      </c>
      <c r="AE218" s="153">
        <f>$C218*INDEX(Curves!$I$8:$I$68,AE$4-$B218+1)</f>
        <v/>
      </c>
      <c r="AF218" s="153">
        <f>$C218*INDEX(Curves!$I$8:$I$68,AF$4-$B218+1)</f>
        <v/>
      </c>
      <c r="AG218" s="153">
        <f>$C218*INDEX(Curves!$I$8:$I$68,AG$4-$B218+1)</f>
        <v/>
      </c>
      <c r="AH218" s="153">
        <f>$C218*INDEX(Curves!$I$8:$I$68,AH$4-$B218+1)</f>
        <v/>
      </c>
      <c r="AI218" s="153">
        <f>$C218*INDEX(Curves!$I$8:$I$68,AI$4-$B218+1)</f>
        <v/>
      </c>
      <c r="AJ218" s="153">
        <f>$C218*INDEX(Curves!$I$8:$I$68,AJ$4-$B218+1)</f>
        <v/>
      </c>
      <c r="AK218" s="153">
        <f>$C218*INDEX(Curves!$I$8:$I$68,AK$4-$B218+1)</f>
        <v/>
      </c>
      <c r="AL218" s="153">
        <f>$C218*INDEX(Curves!$I$8:$I$68,AL$4-$B218+1)</f>
        <v/>
      </c>
      <c r="AM218" s="153">
        <f>$C218*INDEX(Curves!$I$8:$I$68,AM$4-$B218+1)</f>
        <v/>
      </c>
      <c r="AN218" s="153">
        <f>$C218*INDEX(Curves!$I$8:$I$68,AN$4-$B218+1)</f>
        <v/>
      </c>
      <c r="AO218" s="153">
        <f>$C218*INDEX(Curves!$I$8:$I$68,AO$4-$B218+1)</f>
        <v/>
      </c>
      <c r="AP218" s="153">
        <f>$C218*INDEX(Curves!$I$8:$I$68,AP$4-$B218+1)</f>
        <v/>
      </c>
      <c r="AQ218" s="153">
        <f>$C218*INDEX(Curves!$I$8:$I$68,AQ$4-$B218+1)</f>
        <v/>
      </c>
      <c r="AR218" s="153">
        <f>$C218*INDEX(Curves!$I$8:$I$68,AR$4-$B218+1)</f>
        <v/>
      </c>
      <c r="AS218" s="153">
        <f>$C218*INDEX(Curves!$I$8:$I$68,AS$4-$B218+1)</f>
        <v/>
      </c>
      <c r="AT218" s="153">
        <f>$C218*INDEX(Curves!$I$8:$I$68,AT$4-$B218+1)</f>
        <v/>
      </c>
      <c r="AU218" s="153">
        <f>$C218*INDEX(Curves!$I$8:$I$68,AU$4-$B218+1)</f>
        <v/>
      </c>
      <c r="AV218" s="153">
        <f>$C218*INDEX(Curves!$I$8:$I$68,AV$4-$B218+1)</f>
        <v/>
      </c>
      <c r="AW218" s="153">
        <f>$C218*INDEX(Curves!$I$8:$I$68,AW$4-$B218+1)</f>
        <v/>
      </c>
      <c r="AX218" s="153">
        <f>$C218*INDEX(Curves!$I$8:$I$68,AX$4-$B218+1)</f>
        <v/>
      </c>
      <c r="AY218" s="153">
        <f>$C218*INDEX(Curves!$I$8:$I$68,AY$4-$B218+1)</f>
        <v/>
      </c>
      <c r="AZ218" s="153">
        <f>$C218*INDEX(Curves!$I$8:$I$68,AZ$4-$B218+1)</f>
        <v/>
      </c>
      <c r="BA218" s="153">
        <f>$C218*INDEX(Curves!$I$8:$I$68,BA$4-$B218+1)</f>
        <v/>
      </c>
      <c r="BB218" s="153">
        <f>$C218*INDEX(Curves!$I$8:$I$68,BB$4-$B218+1)</f>
        <v/>
      </c>
      <c r="BC218" s="153">
        <f>$C218*INDEX(Curves!$I$8:$I$68,BC$4-$B218+1)</f>
        <v/>
      </c>
      <c r="BD218" s="153">
        <f>$C218*INDEX(Curves!$I$8:$I$68,BD$4-$B218+1)</f>
        <v/>
      </c>
      <c r="BE218" s="153">
        <f>$C218*INDEX(Curves!$I$8:$I$68,BE$4-$B218+1)</f>
        <v/>
      </c>
      <c r="BF218" s="153">
        <f>$C218*INDEX(Curves!$I$8:$I$68,BF$4-$B218+1)</f>
        <v/>
      </c>
      <c r="BG218" s="153">
        <f>$C218*INDEX(Curves!$I$8:$I$68,BG$4-$B218+1)</f>
        <v/>
      </c>
      <c r="BH218" s="153">
        <f>$C218*INDEX(Curves!$I$8:$I$68,BH$4-$B218+1)</f>
        <v/>
      </c>
      <c r="BI218" s="153">
        <f>$C218*INDEX(Curves!$I$8:$I$68,BI$4-$B218+1)</f>
        <v/>
      </c>
      <c r="BJ218" s="153">
        <f>$C218*INDEX(Curves!$I$8:$I$68,BJ$4-$B218+1)</f>
        <v/>
      </c>
      <c r="BK218" s="153">
        <f>$C218*INDEX(Curves!$I$8:$I$68,BK$4-$B218+1)</f>
        <v/>
      </c>
      <c r="BL218" s="153">
        <f>$C218*INDEX(Curves!$I$8:$I$68,BL$4-$B218+1)</f>
        <v/>
      </c>
    </row>
    <row r="219">
      <c r="A219" s="147" t="inlineStr">
        <is>
          <t>Cohort month 21</t>
        </is>
      </c>
      <c r="B219" s="147" t="n">
        <v>21</v>
      </c>
      <c r="C219" s="41">
        <f>INDEX(Ops!$E$10:$BL$10,1,$B219)</f>
        <v/>
      </c>
      <c r="Z219" s="153">
        <f>$C219*INDEX(Curves!$I$8:$I$68,Z$4-$B219+1)</f>
        <v/>
      </c>
      <c r="AA219" s="153">
        <f>$C219*INDEX(Curves!$I$8:$I$68,AA$4-$B219+1)</f>
        <v/>
      </c>
      <c r="AB219" s="153">
        <f>$C219*INDEX(Curves!$I$8:$I$68,AB$4-$B219+1)</f>
        <v/>
      </c>
      <c r="AC219" s="153">
        <f>$C219*INDEX(Curves!$I$8:$I$68,AC$4-$B219+1)</f>
        <v/>
      </c>
      <c r="AD219" s="153">
        <f>$C219*INDEX(Curves!$I$8:$I$68,AD$4-$B219+1)</f>
        <v/>
      </c>
      <c r="AE219" s="153">
        <f>$C219*INDEX(Curves!$I$8:$I$68,AE$4-$B219+1)</f>
        <v/>
      </c>
      <c r="AF219" s="153">
        <f>$C219*INDEX(Curves!$I$8:$I$68,AF$4-$B219+1)</f>
        <v/>
      </c>
      <c r="AG219" s="153">
        <f>$C219*INDEX(Curves!$I$8:$I$68,AG$4-$B219+1)</f>
        <v/>
      </c>
      <c r="AH219" s="153">
        <f>$C219*INDEX(Curves!$I$8:$I$68,AH$4-$B219+1)</f>
        <v/>
      </c>
      <c r="AI219" s="153">
        <f>$C219*INDEX(Curves!$I$8:$I$68,AI$4-$B219+1)</f>
        <v/>
      </c>
      <c r="AJ219" s="153">
        <f>$C219*INDEX(Curves!$I$8:$I$68,AJ$4-$B219+1)</f>
        <v/>
      </c>
      <c r="AK219" s="153">
        <f>$C219*INDEX(Curves!$I$8:$I$68,AK$4-$B219+1)</f>
        <v/>
      </c>
      <c r="AL219" s="153">
        <f>$C219*INDEX(Curves!$I$8:$I$68,AL$4-$B219+1)</f>
        <v/>
      </c>
      <c r="AM219" s="153">
        <f>$C219*INDEX(Curves!$I$8:$I$68,AM$4-$B219+1)</f>
        <v/>
      </c>
      <c r="AN219" s="153">
        <f>$C219*INDEX(Curves!$I$8:$I$68,AN$4-$B219+1)</f>
        <v/>
      </c>
      <c r="AO219" s="153">
        <f>$C219*INDEX(Curves!$I$8:$I$68,AO$4-$B219+1)</f>
        <v/>
      </c>
      <c r="AP219" s="153">
        <f>$C219*INDEX(Curves!$I$8:$I$68,AP$4-$B219+1)</f>
        <v/>
      </c>
      <c r="AQ219" s="153">
        <f>$C219*INDEX(Curves!$I$8:$I$68,AQ$4-$B219+1)</f>
        <v/>
      </c>
      <c r="AR219" s="153">
        <f>$C219*INDEX(Curves!$I$8:$I$68,AR$4-$B219+1)</f>
        <v/>
      </c>
      <c r="AS219" s="153">
        <f>$C219*INDEX(Curves!$I$8:$I$68,AS$4-$B219+1)</f>
        <v/>
      </c>
      <c r="AT219" s="153">
        <f>$C219*INDEX(Curves!$I$8:$I$68,AT$4-$B219+1)</f>
        <v/>
      </c>
      <c r="AU219" s="153">
        <f>$C219*INDEX(Curves!$I$8:$I$68,AU$4-$B219+1)</f>
        <v/>
      </c>
      <c r="AV219" s="153">
        <f>$C219*INDEX(Curves!$I$8:$I$68,AV$4-$B219+1)</f>
        <v/>
      </c>
      <c r="AW219" s="153">
        <f>$C219*INDEX(Curves!$I$8:$I$68,AW$4-$B219+1)</f>
        <v/>
      </c>
      <c r="AX219" s="153">
        <f>$C219*INDEX(Curves!$I$8:$I$68,AX$4-$B219+1)</f>
        <v/>
      </c>
      <c r="AY219" s="153">
        <f>$C219*INDEX(Curves!$I$8:$I$68,AY$4-$B219+1)</f>
        <v/>
      </c>
      <c r="AZ219" s="153">
        <f>$C219*INDEX(Curves!$I$8:$I$68,AZ$4-$B219+1)</f>
        <v/>
      </c>
      <c r="BA219" s="153">
        <f>$C219*INDEX(Curves!$I$8:$I$68,BA$4-$B219+1)</f>
        <v/>
      </c>
      <c r="BB219" s="153">
        <f>$C219*INDEX(Curves!$I$8:$I$68,BB$4-$B219+1)</f>
        <v/>
      </c>
      <c r="BC219" s="153">
        <f>$C219*INDEX(Curves!$I$8:$I$68,BC$4-$B219+1)</f>
        <v/>
      </c>
      <c r="BD219" s="153">
        <f>$C219*INDEX(Curves!$I$8:$I$68,BD$4-$B219+1)</f>
        <v/>
      </c>
      <c r="BE219" s="153">
        <f>$C219*INDEX(Curves!$I$8:$I$68,BE$4-$B219+1)</f>
        <v/>
      </c>
      <c r="BF219" s="153">
        <f>$C219*INDEX(Curves!$I$8:$I$68,BF$4-$B219+1)</f>
        <v/>
      </c>
      <c r="BG219" s="153">
        <f>$C219*INDEX(Curves!$I$8:$I$68,BG$4-$B219+1)</f>
        <v/>
      </c>
      <c r="BH219" s="153">
        <f>$C219*INDEX(Curves!$I$8:$I$68,BH$4-$B219+1)</f>
        <v/>
      </c>
      <c r="BI219" s="153">
        <f>$C219*INDEX(Curves!$I$8:$I$68,BI$4-$B219+1)</f>
        <v/>
      </c>
      <c r="BJ219" s="153">
        <f>$C219*INDEX(Curves!$I$8:$I$68,BJ$4-$B219+1)</f>
        <v/>
      </c>
      <c r="BK219" s="153">
        <f>$C219*INDEX(Curves!$I$8:$I$68,BK$4-$B219+1)</f>
        <v/>
      </c>
      <c r="BL219" s="153">
        <f>$C219*INDEX(Curves!$I$8:$I$68,BL$4-$B219+1)</f>
        <v/>
      </c>
    </row>
    <row r="220">
      <c r="A220" s="147" t="inlineStr">
        <is>
          <t>Cohort month 22</t>
        </is>
      </c>
      <c r="B220" s="147" t="n">
        <v>22</v>
      </c>
      <c r="C220" s="41">
        <f>INDEX(Ops!$E$10:$BL$10,1,$B220)</f>
        <v/>
      </c>
      <c r="AA220" s="153">
        <f>$C220*INDEX(Curves!$I$8:$I$68,AA$4-$B220+1)</f>
        <v/>
      </c>
      <c r="AB220" s="153">
        <f>$C220*INDEX(Curves!$I$8:$I$68,AB$4-$B220+1)</f>
        <v/>
      </c>
      <c r="AC220" s="153">
        <f>$C220*INDEX(Curves!$I$8:$I$68,AC$4-$B220+1)</f>
        <v/>
      </c>
      <c r="AD220" s="153">
        <f>$C220*INDEX(Curves!$I$8:$I$68,AD$4-$B220+1)</f>
        <v/>
      </c>
      <c r="AE220" s="153">
        <f>$C220*INDEX(Curves!$I$8:$I$68,AE$4-$B220+1)</f>
        <v/>
      </c>
      <c r="AF220" s="153">
        <f>$C220*INDEX(Curves!$I$8:$I$68,AF$4-$B220+1)</f>
        <v/>
      </c>
      <c r="AG220" s="153">
        <f>$C220*INDEX(Curves!$I$8:$I$68,AG$4-$B220+1)</f>
        <v/>
      </c>
      <c r="AH220" s="153">
        <f>$C220*INDEX(Curves!$I$8:$I$68,AH$4-$B220+1)</f>
        <v/>
      </c>
      <c r="AI220" s="153">
        <f>$C220*INDEX(Curves!$I$8:$I$68,AI$4-$B220+1)</f>
        <v/>
      </c>
      <c r="AJ220" s="153">
        <f>$C220*INDEX(Curves!$I$8:$I$68,AJ$4-$B220+1)</f>
        <v/>
      </c>
      <c r="AK220" s="153">
        <f>$C220*INDEX(Curves!$I$8:$I$68,AK$4-$B220+1)</f>
        <v/>
      </c>
      <c r="AL220" s="153">
        <f>$C220*INDEX(Curves!$I$8:$I$68,AL$4-$B220+1)</f>
        <v/>
      </c>
      <c r="AM220" s="153">
        <f>$C220*INDEX(Curves!$I$8:$I$68,AM$4-$B220+1)</f>
        <v/>
      </c>
      <c r="AN220" s="153">
        <f>$C220*INDEX(Curves!$I$8:$I$68,AN$4-$B220+1)</f>
        <v/>
      </c>
      <c r="AO220" s="153">
        <f>$C220*INDEX(Curves!$I$8:$I$68,AO$4-$B220+1)</f>
        <v/>
      </c>
      <c r="AP220" s="153">
        <f>$C220*INDEX(Curves!$I$8:$I$68,AP$4-$B220+1)</f>
        <v/>
      </c>
      <c r="AQ220" s="153">
        <f>$C220*INDEX(Curves!$I$8:$I$68,AQ$4-$B220+1)</f>
        <v/>
      </c>
      <c r="AR220" s="153">
        <f>$C220*INDEX(Curves!$I$8:$I$68,AR$4-$B220+1)</f>
        <v/>
      </c>
      <c r="AS220" s="153">
        <f>$C220*INDEX(Curves!$I$8:$I$68,AS$4-$B220+1)</f>
        <v/>
      </c>
      <c r="AT220" s="153">
        <f>$C220*INDEX(Curves!$I$8:$I$68,AT$4-$B220+1)</f>
        <v/>
      </c>
      <c r="AU220" s="153">
        <f>$C220*INDEX(Curves!$I$8:$I$68,AU$4-$B220+1)</f>
        <v/>
      </c>
      <c r="AV220" s="153">
        <f>$C220*INDEX(Curves!$I$8:$I$68,AV$4-$B220+1)</f>
        <v/>
      </c>
      <c r="AW220" s="153">
        <f>$C220*INDEX(Curves!$I$8:$I$68,AW$4-$B220+1)</f>
        <v/>
      </c>
      <c r="AX220" s="153">
        <f>$C220*INDEX(Curves!$I$8:$I$68,AX$4-$B220+1)</f>
        <v/>
      </c>
      <c r="AY220" s="153">
        <f>$C220*INDEX(Curves!$I$8:$I$68,AY$4-$B220+1)</f>
        <v/>
      </c>
      <c r="AZ220" s="153">
        <f>$C220*INDEX(Curves!$I$8:$I$68,AZ$4-$B220+1)</f>
        <v/>
      </c>
      <c r="BA220" s="153">
        <f>$C220*INDEX(Curves!$I$8:$I$68,BA$4-$B220+1)</f>
        <v/>
      </c>
      <c r="BB220" s="153">
        <f>$C220*INDEX(Curves!$I$8:$I$68,BB$4-$B220+1)</f>
        <v/>
      </c>
      <c r="BC220" s="153">
        <f>$C220*INDEX(Curves!$I$8:$I$68,BC$4-$B220+1)</f>
        <v/>
      </c>
      <c r="BD220" s="153">
        <f>$C220*INDEX(Curves!$I$8:$I$68,BD$4-$B220+1)</f>
        <v/>
      </c>
      <c r="BE220" s="153">
        <f>$C220*INDEX(Curves!$I$8:$I$68,BE$4-$B220+1)</f>
        <v/>
      </c>
      <c r="BF220" s="153">
        <f>$C220*INDEX(Curves!$I$8:$I$68,BF$4-$B220+1)</f>
        <v/>
      </c>
      <c r="BG220" s="153">
        <f>$C220*INDEX(Curves!$I$8:$I$68,BG$4-$B220+1)</f>
        <v/>
      </c>
      <c r="BH220" s="153">
        <f>$C220*INDEX(Curves!$I$8:$I$68,BH$4-$B220+1)</f>
        <v/>
      </c>
      <c r="BI220" s="153">
        <f>$C220*INDEX(Curves!$I$8:$I$68,BI$4-$B220+1)</f>
        <v/>
      </c>
      <c r="BJ220" s="153">
        <f>$C220*INDEX(Curves!$I$8:$I$68,BJ$4-$B220+1)</f>
        <v/>
      </c>
      <c r="BK220" s="153">
        <f>$C220*INDEX(Curves!$I$8:$I$68,BK$4-$B220+1)</f>
        <v/>
      </c>
      <c r="BL220" s="153">
        <f>$C220*INDEX(Curves!$I$8:$I$68,BL$4-$B220+1)</f>
        <v/>
      </c>
    </row>
    <row r="221">
      <c r="A221" s="147" t="inlineStr">
        <is>
          <t>Cohort month 23</t>
        </is>
      </c>
      <c r="B221" s="147" t="n">
        <v>23</v>
      </c>
      <c r="C221" s="41">
        <f>INDEX(Ops!$E$10:$BL$10,1,$B221)</f>
        <v/>
      </c>
      <c r="AB221" s="153">
        <f>$C221*INDEX(Curves!$I$8:$I$68,AB$4-$B221+1)</f>
        <v/>
      </c>
      <c r="AC221" s="153">
        <f>$C221*INDEX(Curves!$I$8:$I$68,AC$4-$B221+1)</f>
        <v/>
      </c>
      <c r="AD221" s="153">
        <f>$C221*INDEX(Curves!$I$8:$I$68,AD$4-$B221+1)</f>
        <v/>
      </c>
      <c r="AE221" s="153">
        <f>$C221*INDEX(Curves!$I$8:$I$68,AE$4-$B221+1)</f>
        <v/>
      </c>
      <c r="AF221" s="153">
        <f>$C221*INDEX(Curves!$I$8:$I$68,AF$4-$B221+1)</f>
        <v/>
      </c>
      <c r="AG221" s="153">
        <f>$C221*INDEX(Curves!$I$8:$I$68,AG$4-$B221+1)</f>
        <v/>
      </c>
      <c r="AH221" s="153">
        <f>$C221*INDEX(Curves!$I$8:$I$68,AH$4-$B221+1)</f>
        <v/>
      </c>
      <c r="AI221" s="153">
        <f>$C221*INDEX(Curves!$I$8:$I$68,AI$4-$B221+1)</f>
        <v/>
      </c>
      <c r="AJ221" s="153">
        <f>$C221*INDEX(Curves!$I$8:$I$68,AJ$4-$B221+1)</f>
        <v/>
      </c>
      <c r="AK221" s="153">
        <f>$C221*INDEX(Curves!$I$8:$I$68,AK$4-$B221+1)</f>
        <v/>
      </c>
      <c r="AL221" s="153">
        <f>$C221*INDEX(Curves!$I$8:$I$68,AL$4-$B221+1)</f>
        <v/>
      </c>
      <c r="AM221" s="153">
        <f>$C221*INDEX(Curves!$I$8:$I$68,AM$4-$B221+1)</f>
        <v/>
      </c>
      <c r="AN221" s="153">
        <f>$C221*INDEX(Curves!$I$8:$I$68,AN$4-$B221+1)</f>
        <v/>
      </c>
      <c r="AO221" s="153">
        <f>$C221*INDEX(Curves!$I$8:$I$68,AO$4-$B221+1)</f>
        <v/>
      </c>
      <c r="AP221" s="153">
        <f>$C221*INDEX(Curves!$I$8:$I$68,AP$4-$B221+1)</f>
        <v/>
      </c>
      <c r="AQ221" s="153">
        <f>$C221*INDEX(Curves!$I$8:$I$68,AQ$4-$B221+1)</f>
        <v/>
      </c>
      <c r="AR221" s="153">
        <f>$C221*INDEX(Curves!$I$8:$I$68,AR$4-$B221+1)</f>
        <v/>
      </c>
      <c r="AS221" s="153">
        <f>$C221*INDEX(Curves!$I$8:$I$68,AS$4-$B221+1)</f>
        <v/>
      </c>
      <c r="AT221" s="153">
        <f>$C221*INDEX(Curves!$I$8:$I$68,AT$4-$B221+1)</f>
        <v/>
      </c>
      <c r="AU221" s="153">
        <f>$C221*INDEX(Curves!$I$8:$I$68,AU$4-$B221+1)</f>
        <v/>
      </c>
      <c r="AV221" s="153">
        <f>$C221*INDEX(Curves!$I$8:$I$68,AV$4-$B221+1)</f>
        <v/>
      </c>
      <c r="AW221" s="153">
        <f>$C221*INDEX(Curves!$I$8:$I$68,AW$4-$B221+1)</f>
        <v/>
      </c>
      <c r="AX221" s="153">
        <f>$C221*INDEX(Curves!$I$8:$I$68,AX$4-$B221+1)</f>
        <v/>
      </c>
      <c r="AY221" s="153">
        <f>$C221*INDEX(Curves!$I$8:$I$68,AY$4-$B221+1)</f>
        <v/>
      </c>
      <c r="AZ221" s="153">
        <f>$C221*INDEX(Curves!$I$8:$I$68,AZ$4-$B221+1)</f>
        <v/>
      </c>
      <c r="BA221" s="153">
        <f>$C221*INDEX(Curves!$I$8:$I$68,BA$4-$B221+1)</f>
        <v/>
      </c>
      <c r="BB221" s="153">
        <f>$C221*INDEX(Curves!$I$8:$I$68,BB$4-$B221+1)</f>
        <v/>
      </c>
      <c r="BC221" s="153">
        <f>$C221*INDEX(Curves!$I$8:$I$68,BC$4-$B221+1)</f>
        <v/>
      </c>
      <c r="BD221" s="153">
        <f>$C221*INDEX(Curves!$I$8:$I$68,BD$4-$B221+1)</f>
        <v/>
      </c>
      <c r="BE221" s="153">
        <f>$C221*INDEX(Curves!$I$8:$I$68,BE$4-$B221+1)</f>
        <v/>
      </c>
      <c r="BF221" s="153">
        <f>$C221*INDEX(Curves!$I$8:$I$68,BF$4-$B221+1)</f>
        <v/>
      </c>
      <c r="BG221" s="153">
        <f>$C221*INDEX(Curves!$I$8:$I$68,BG$4-$B221+1)</f>
        <v/>
      </c>
      <c r="BH221" s="153">
        <f>$C221*INDEX(Curves!$I$8:$I$68,BH$4-$B221+1)</f>
        <v/>
      </c>
      <c r="BI221" s="153">
        <f>$C221*INDEX(Curves!$I$8:$I$68,BI$4-$B221+1)</f>
        <v/>
      </c>
      <c r="BJ221" s="153">
        <f>$C221*INDEX(Curves!$I$8:$I$68,BJ$4-$B221+1)</f>
        <v/>
      </c>
      <c r="BK221" s="153">
        <f>$C221*INDEX(Curves!$I$8:$I$68,BK$4-$B221+1)</f>
        <v/>
      </c>
      <c r="BL221" s="153">
        <f>$C221*INDEX(Curves!$I$8:$I$68,BL$4-$B221+1)</f>
        <v/>
      </c>
    </row>
    <row r="222">
      <c r="A222" s="147" t="inlineStr">
        <is>
          <t>Cohort month 24</t>
        </is>
      </c>
      <c r="B222" s="147" t="n">
        <v>24</v>
      </c>
      <c r="C222" s="41">
        <f>INDEX(Ops!$E$10:$BL$10,1,$B222)</f>
        <v/>
      </c>
      <c r="AC222" s="153">
        <f>$C222*INDEX(Curves!$I$8:$I$68,AC$4-$B222+1)</f>
        <v/>
      </c>
      <c r="AD222" s="153">
        <f>$C222*INDEX(Curves!$I$8:$I$68,AD$4-$B222+1)</f>
        <v/>
      </c>
      <c r="AE222" s="153">
        <f>$C222*INDEX(Curves!$I$8:$I$68,AE$4-$B222+1)</f>
        <v/>
      </c>
      <c r="AF222" s="153">
        <f>$C222*INDEX(Curves!$I$8:$I$68,AF$4-$B222+1)</f>
        <v/>
      </c>
      <c r="AG222" s="153">
        <f>$C222*INDEX(Curves!$I$8:$I$68,AG$4-$B222+1)</f>
        <v/>
      </c>
      <c r="AH222" s="153">
        <f>$C222*INDEX(Curves!$I$8:$I$68,AH$4-$B222+1)</f>
        <v/>
      </c>
      <c r="AI222" s="153">
        <f>$C222*INDEX(Curves!$I$8:$I$68,AI$4-$B222+1)</f>
        <v/>
      </c>
      <c r="AJ222" s="153">
        <f>$C222*INDEX(Curves!$I$8:$I$68,AJ$4-$B222+1)</f>
        <v/>
      </c>
      <c r="AK222" s="153">
        <f>$C222*INDEX(Curves!$I$8:$I$68,AK$4-$B222+1)</f>
        <v/>
      </c>
      <c r="AL222" s="153">
        <f>$C222*INDEX(Curves!$I$8:$I$68,AL$4-$B222+1)</f>
        <v/>
      </c>
      <c r="AM222" s="153">
        <f>$C222*INDEX(Curves!$I$8:$I$68,AM$4-$B222+1)</f>
        <v/>
      </c>
      <c r="AN222" s="153">
        <f>$C222*INDEX(Curves!$I$8:$I$68,AN$4-$B222+1)</f>
        <v/>
      </c>
      <c r="AO222" s="153">
        <f>$C222*INDEX(Curves!$I$8:$I$68,AO$4-$B222+1)</f>
        <v/>
      </c>
      <c r="AP222" s="153">
        <f>$C222*INDEX(Curves!$I$8:$I$68,AP$4-$B222+1)</f>
        <v/>
      </c>
      <c r="AQ222" s="153">
        <f>$C222*INDEX(Curves!$I$8:$I$68,AQ$4-$B222+1)</f>
        <v/>
      </c>
      <c r="AR222" s="153">
        <f>$C222*INDEX(Curves!$I$8:$I$68,AR$4-$B222+1)</f>
        <v/>
      </c>
      <c r="AS222" s="153">
        <f>$C222*INDEX(Curves!$I$8:$I$68,AS$4-$B222+1)</f>
        <v/>
      </c>
      <c r="AT222" s="153">
        <f>$C222*INDEX(Curves!$I$8:$I$68,AT$4-$B222+1)</f>
        <v/>
      </c>
      <c r="AU222" s="153">
        <f>$C222*INDEX(Curves!$I$8:$I$68,AU$4-$B222+1)</f>
        <v/>
      </c>
      <c r="AV222" s="153">
        <f>$C222*INDEX(Curves!$I$8:$I$68,AV$4-$B222+1)</f>
        <v/>
      </c>
      <c r="AW222" s="153">
        <f>$C222*INDEX(Curves!$I$8:$I$68,AW$4-$B222+1)</f>
        <v/>
      </c>
      <c r="AX222" s="153">
        <f>$C222*INDEX(Curves!$I$8:$I$68,AX$4-$B222+1)</f>
        <v/>
      </c>
      <c r="AY222" s="153">
        <f>$C222*INDEX(Curves!$I$8:$I$68,AY$4-$B222+1)</f>
        <v/>
      </c>
      <c r="AZ222" s="153">
        <f>$C222*INDEX(Curves!$I$8:$I$68,AZ$4-$B222+1)</f>
        <v/>
      </c>
      <c r="BA222" s="153">
        <f>$C222*INDEX(Curves!$I$8:$I$68,BA$4-$B222+1)</f>
        <v/>
      </c>
      <c r="BB222" s="153">
        <f>$C222*INDEX(Curves!$I$8:$I$68,BB$4-$B222+1)</f>
        <v/>
      </c>
      <c r="BC222" s="153">
        <f>$C222*INDEX(Curves!$I$8:$I$68,BC$4-$B222+1)</f>
        <v/>
      </c>
      <c r="BD222" s="153">
        <f>$C222*INDEX(Curves!$I$8:$I$68,BD$4-$B222+1)</f>
        <v/>
      </c>
      <c r="BE222" s="153">
        <f>$C222*INDEX(Curves!$I$8:$I$68,BE$4-$B222+1)</f>
        <v/>
      </c>
      <c r="BF222" s="153">
        <f>$C222*INDEX(Curves!$I$8:$I$68,BF$4-$B222+1)</f>
        <v/>
      </c>
      <c r="BG222" s="153">
        <f>$C222*INDEX(Curves!$I$8:$I$68,BG$4-$B222+1)</f>
        <v/>
      </c>
      <c r="BH222" s="153">
        <f>$C222*INDEX(Curves!$I$8:$I$68,BH$4-$B222+1)</f>
        <v/>
      </c>
      <c r="BI222" s="153">
        <f>$C222*INDEX(Curves!$I$8:$I$68,BI$4-$B222+1)</f>
        <v/>
      </c>
      <c r="BJ222" s="153">
        <f>$C222*INDEX(Curves!$I$8:$I$68,BJ$4-$B222+1)</f>
        <v/>
      </c>
      <c r="BK222" s="153">
        <f>$C222*INDEX(Curves!$I$8:$I$68,BK$4-$B222+1)</f>
        <v/>
      </c>
      <c r="BL222" s="153">
        <f>$C222*INDEX(Curves!$I$8:$I$68,BL$4-$B222+1)</f>
        <v/>
      </c>
    </row>
    <row r="223">
      <c r="A223" s="147" t="inlineStr">
        <is>
          <t>Cohort month 25</t>
        </is>
      </c>
      <c r="B223" s="147" t="n">
        <v>25</v>
      </c>
      <c r="C223" s="41">
        <f>INDEX(Ops!$E$10:$BL$10,1,$B223)</f>
        <v/>
      </c>
      <c r="AD223" s="153">
        <f>$C223*INDEX(Curves!$I$8:$I$68,AD$4-$B223+1)</f>
        <v/>
      </c>
      <c r="AE223" s="153">
        <f>$C223*INDEX(Curves!$I$8:$I$68,AE$4-$B223+1)</f>
        <v/>
      </c>
      <c r="AF223" s="153">
        <f>$C223*INDEX(Curves!$I$8:$I$68,AF$4-$B223+1)</f>
        <v/>
      </c>
      <c r="AG223" s="153">
        <f>$C223*INDEX(Curves!$I$8:$I$68,AG$4-$B223+1)</f>
        <v/>
      </c>
      <c r="AH223" s="153">
        <f>$C223*INDEX(Curves!$I$8:$I$68,AH$4-$B223+1)</f>
        <v/>
      </c>
      <c r="AI223" s="153">
        <f>$C223*INDEX(Curves!$I$8:$I$68,AI$4-$B223+1)</f>
        <v/>
      </c>
      <c r="AJ223" s="153">
        <f>$C223*INDEX(Curves!$I$8:$I$68,AJ$4-$B223+1)</f>
        <v/>
      </c>
      <c r="AK223" s="153">
        <f>$C223*INDEX(Curves!$I$8:$I$68,AK$4-$B223+1)</f>
        <v/>
      </c>
      <c r="AL223" s="153">
        <f>$C223*INDEX(Curves!$I$8:$I$68,AL$4-$B223+1)</f>
        <v/>
      </c>
      <c r="AM223" s="153">
        <f>$C223*INDEX(Curves!$I$8:$I$68,AM$4-$B223+1)</f>
        <v/>
      </c>
      <c r="AN223" s="153">
        <f>$C223*INDEX(Curves!$I$8:$I$68,AN$4-$B223+1)</f>
        <v/>
      </c>
      <c r="AO223" s="153">
        <f>$C223*INDEX(Curves!$I$8:$I$68,AO$4-$B223+1)</f>
        <v/>
      </c>
      <c r="AP223" s="153">
        <f>$C223*INDEX(Curves!$I$8:$I$68,AP$4-$B223+1)</f>
        <v/>
      </c>
      <c r="AQ223" s="153">
        <f>$C223*INDEX(Curves!$I$8:$I$68,AQ$4-$B223+1)</f>
        <v/>
      </c>
      <c r="AR223" s="153">
        <f>$C223*INDEX(Curves!$I$8:$I$68,AR$4-$B223+1)</f>
        <v/>
      </c>
      <c r="AS223" s="153">
        <f>$C223*INDEX(Curves!$I$8:$I$68,AS$4-$B223+1)</f>
        <v/>
      </c>
      <c r="AT223" s="153">
        <f>$C223*INDEX(Curves!$I$8:$I$68,AT$4-$B223+1)</f>
        <v/>
      </c>
      <c r="AU223" s="153">
        <f>$C223*INDEX(Curves!$I$8:$I$68,AU$4-$B223+1)</f>
        <v/>
      </c>
      <c r="AV223" s="153">
        <f>$C223*INDEX(Curves!$I$8:$I$68,AV$4-$B223+1)</f>
        <v/>
      </c>
      <c r="AW223" s="153">
        <f>$C223*INDEX(Curves!$I$8:$I$68,AW$4-$B223+1)</f>
        <v/>
      </c>
      <c r="AX223" s="153">
        <f>$C223*INDEX(Curves!$I$8:$I$68,AX$4-$B223+1)</f>
        <v/>
      </c>
      <c r="AY223" s="153">
        <f>$C223*INDEX(Curves!$I$8:$I$68,AY$4-$B223+1)</f>
        <v/>
      </c>
      <c r="AZ223" s="153">
        <f>$C223*INDEX(Curves!$I$8:$I$68,AZ$4-$B223+1)</f>
        <v/>
      </c>
      <c r="BA223" s="153">
        <f>$C223*INDEX(Curves!$I$8:$I$68,BA$4-$B223+1)</f>
        <v/>
      </c>
      <c r="BB223" s="153">
        <f>$C223*INDEX(Curves!$I$8:$I$68,BB$4-$B223+1)</f>
        <v/>
      </c>
      <c r="BC223" s="153">
        <f>$C223*INDEX(Curves!$I$8:$I$68,BC$4-$B223+1)</f>
        <v/>
      </c>
      <c r="BD223" s="153">
        <f>$C223*INDEX(Curves!$I$8:$I$68,BD$4-$B223+1)</f>
        <v/>
      </c>
      <c r="BE223" s="153">
        <f>$C223*INDEX(Curves!$I$8:$I$68,BE$4-$B223+1)</f>
        <v/>
      </c>
      <c r="BF223" s="153">
        <f>$C223*INDEX(Curves!$I$8:$I$68,BF$4-$B223+1)</f>
        <v/>
      </c>
      <c r="BG223" s="153">
        <f>$C223*INDEX(Curves!$I$8:$I$68,BG$4-$B223+1)</f>
        <v/>
      </c>
      <c r="BH223" s="153">
        <f>$C223*INDEX(Curves!$I$8:$I$68,BH$4-$B223+1)</f>
        <v/>
      </c>
      <c r="BI223" s="153">
        <f>$C223*INDEX(Curves!$I$8:$I$68,BI$4-$B223+1)</f>
        <v/>
      </c>
      <c r="BJ223" s="153">
        <f>$C223*INDEX(Curves!$I$8:$I$68,BJ$4-$B223+1)</f>
        <v/>
      </c>
      <c r="BK223" s="153">
        <f>$C223*INDEX(Curves!$I$8:$I$68,BK$4-$B223+1)</f>
        <v/>
      </c>
      <c r="BL223" s="153">
        <f>$C223*INDEX(Curves!$I$8:$I$68,BL$4-$B223+1)</f>
        <v/>
      </c>
    </row>
    <row r="224">
      <c r="A224" s="147" t="inlineStr">
        <is>
          <t>Cohort month 26</t>
        </is>
      </c>
      <c r="B224" s="147" t="n">
        <v>26</v>
      </c>
      <c r="C224" s="41">
        <f>INDEX(Ops!$E$10:$BL$10,1,$B224)</f>
        <v/>
      </c>
      <c r="AE224" s="153">
        <f>$C224*INDEX(Curves!$I$8:$I$68,AE$4-$B224+1)</f>
        <v/>
      </c>
      <c r="AF224" s="153">
        <f>$C224*INDEX(Curves!$I$8:$I$68,AF$4-$B224+1)</f>
        <v/>
      </c>
      <c r="AG224" s="153">
        <f>$C224*INDEX(Curves!$I$8:$I$68,AG$4-$B224+1)</f>
        <v/>
      </c>
      <c r="AH224" s="153">
        <f>$C224*INDEX(Curves!$I$8:$I$68,AH$4-$B224+1)</f>
        <v/>
      </c>
      <c r="AI224" s="153">
        <f>$C224*INDEX(Curves!$I$8:$I$68,AI$4-$B224+1)</f>
        <v/>
      </c>
      <c r="AJ224" s="153">
        <f>$C224*INDEX(Curves!$I$8:$I$68,AJ$4-$B224+1)</f>
        <v/>
      </c>
      <c r="AK224" s="153">
        <f>$C224*INDEX(Curves!$I$8:$I$68,AK$4-$B224+1)</f>
        <v/>
      </c>
      <c r="AL224" s="153">
        <f>$C224*INDEX(Curves!$I$8:$I$68,AL$4-$B224+1)</f>
        <v/>
      </c>
      <c r="AM224" s="153">
        <f>$C224*INDEX(Curves!$I$8:$I$68,AM$4-$B224+1)</f>
        <v/>
      </c>
      <c r="AN224" s="153">
        <f>$C224*INDEX(Curves!$I$8:$I$68,AN$4-$B224+1)</f>
        <v/>
      </c>
      <c r="AO224" s="153">
        <f>$C224*INDEX(Curves!$I$8:$I$68,AO$4-$B224+1)</f>
        <v/>
      </c>
      <c r="AP224" s="153">
        <f>$C224*INDEX(Curves!$I$8:$I$68,AP$4-$B224+1)</f>
        <v/>
      </c>
      <c r="AQ224" s="153">
        <f>$C224*INDEX(Curves!$I$8:$I$68,AQ$4-$B224+1)</f>
        <v/>
      </c>
      <c r="AR224" s="153">
        <f>$C224*INDEX(Curves!$I$8:$I$68,AR$4-$B224+1)</f>
        <v/>
      </c>
      <c r="AS224" s="153">
        <f>$C224*INDEX(Curves!$I$8:$I$68,AS$4-$B224+1)</f>
        <v/>
      </c>
      <c r="AT224" s="153">
        <f>$C224*INDEX(Curves!$I$8:$I$68,AT$4-$B224+1)</f>
        <v/>
      </c>
      <c r="AU224" s="153">
        <f>$C224*INDEX(Curves!$I$8:$I$68,AU$4-$B224+1)</f>
        <v/>
      </c>
      <c r="AV224" s="153">
        <f>$C224*INDEX(Curves!$I$8:$I$68,AV$4-$B224+1)</f>
        <v/>
      </c>
      <c r="AW224" s="153">
        <f>$C224*INDEX(Curves!$I$8:$I$68,AW$4-$B224+1)</f>
        <v/>
      </c>
      <c r="AX224" s="153">
        <f>$C224*INDEX(Curves!$I$8:$I$68,AX$4-$B224+1)</f>
        <v/>
      </c>
      <c r="AY224" s="153">
        <f>$C224*INDEX(Curves!$I$8:$I$68,AY$4-$B224+1)</f>
        <v/>
      </c>
      <c r="AZ224" s="153">
        <f>$C224*INDEX(Curves!$I$8:$I$68,AZ$4-$B224+1)</f>
        <v/>
      </c>
      <c r="BA224" s="153">
        <f>$C224*INDEX(Curves!$I$8:$I$68,BA$4-$B224+1)</f>
        <v/>
      </c>
      <c r="BB224" s="153">
        <f>$C224*INDEX(Curves!$I$8:$I$68,BB$4-$B224+1)</f>
        <v/>
      </c>
      <c r="BC224" s="153">
        <f>$C224*INDEX(Curves!$I$8:$I$68,BC$4-$B224+1)</f>
        <v/>
      </c>
      <c r="BD224" s="153">
        <f>$C224*INDEX(Curves!$I$8:$I$68,BD$4-$B224+1)</f>
        <v/>
      </c>
      <c r="BE224" s="153">
        <f>$C224*INDEX(Curves!$I$8:$I$68,BE$4-$B224+1)</f>
        <v/>
      </c>
      <c r="BF224" s="153">
        <f>$C224*INDEX(Curves!$I$8:$I$68,BF$4-$B224+1)</f>
        <v/>
      </c>
      <c r="BG224" s="153">
        <f>$C224*INDEX(Curves!$I$8:$I$68,BG$4-$B224+1)</f>
        <v/>
      </c>
      <c r="BH224" s="153">
        <f>$C224*INDEX(Curves!$I$8:$I$68,BH$4-$B224+1)</f>
        <v/>
      </c>
      <c r="BI224" s="153">
        <f>$C224*INDEX(Curves!$I$8:$I$68,BI$4-$B224+1)</f>
        <v/>
      </c>
      <c r="BJ224" s="153">
        <f>$C224*INDEX(Curves!$I$8:$I$68,BJ$4-$B224+1)</f>
        <v/>
      </c>
      <c r="BK224" s="153">
        <f>$C224*INDEX(Curves!$I$8:$I$68,BK$4-$B224+1)</f>
        <v/>
      </c>
      <c r="BL224" s="153">
        <f>$C224*INDEX(Curves!$I$8:$I$68,BL$4-$B224+1)</f>
        <v/>
      </c>
    </row>
    <row r="225">
      <c r="A225" s="147" t="inlineStr">
        <is>
          <t>Cohort month 27</t>
        </is>
      </c>
      <c r="B225" s="147" t="n">
        <v>27</v>
      </c>
      <c r="C225" s="41">
        <f>INDEX(Ops!$E$10:$BL$10,1,$B225)</f>
        <v/>
      </c>
      <c r="AF225" s="153">
        <f>$C225*INDEX(Curves!$I$8:$I$68,AF$4-$B225+1)</f>
        <v/>
      </c>
      <c r="AG225" s="153">
        <f>$C225*INDEX(Curves!$I$8:$I$68,AG$4-$B225+1)</f>
        <v/>
      </c>
      <c r="AH225" s="153">
        <f>$C225*INDEX(Curves!$I$8:$I$68,AH$4-$B225+1)</f>
        <v/>
      </c>
      <c r="AI225" s="153">
        <f>$C225*INDEX(Curves!$I$8:$I$68,AI$4-$B225+1)</f>
        <v/>
      </c>
      <c r="AJ225" s="153">
        <f>$C225*INDEX(Curves!$I$8:$I$68,AJ$4-$B225+1)</f>
        <v/>
      </c>
      <c r="AK225" s="153">
        <f>$C225*INDEX(Curves!$I$8:$I$68,AK$4-$B225+1)</f>
        <v/>
      </c>
      <c r="AL225" s="153">
        <f>$C225*INDEX(Curves!$I$8:$I$68,AL$4-$B225+1)</f>
        <v/>
      </c>
      <c r="AM225" s="153">
        <f>$C225*INDEX(Curves!$I$8:$I$68,AM$4-$B225+1)</f>
        <v/>
      </c>
      <c r="AN225" s="153">
        <f>$C225*INDEX(Curves!$I$8:$I$68,AN$4-$B225+1)</f>
        <v/>
      </c>
      <c r="AO225" s="153">
        <f>$C225*INDEX(Curves!$I$8:$I$68,AO$4-$B225+1)</f>
        <v/>
      </c>
      <c r="AP225" s="153">
        <f>$C225*INDEX(Curves!$I$8:$I$68,AP$4-$B225+1)</f>
        <v/>
      </c>
      <c r="AQ225" s="153">
        <f>$C225*INDEX(Curves!$I$8:$I$68,AQ$4-$B225+1)</f>
        <v/>
      </c>
      <c r="AR225" s="153">
        <f>$C225*INDEX(Curves!$I$8:$I$68,AR$4-$B225+1)</f>
        <v/>
      </c>
      <c r="AS225" s="153">
        <f>$C225*INDEX(Curves!$I$8:$I$68,AS$4-$B225+1)</f>
        <v/>
      </c>
      <c r="AT225" s="153">
        <f>$C225*INDEX(Curves!$I$8:$I$68,AT$4-$B225+1)</f>
        <v/>
      </c>
      <c r="AU225" s="153">
        <f>$C225*INDEX(Curves!$I$8:$I$68,AU$4-$B225+1)</f>
        <v/>
      </c>
      <c r="AV225" s="153">
        <f>$C225*INDEX(Curves!$I$8:$I$68,AV$4-$B225+1)</f>
        <v/>
      </c>
      <c r="AW225" s="153">
        <f>$C225*INDEX(Curves!$I$8:$I$68,AW$4-$B225+1)</f>
        <v/>
      </c>
      <c r="AX225" s="153">
        <f>$C225*INDEX(Curves!$I$8:$I$68,AX$4-$B225+1)</f>
        <v/>
      </c>
      <c r="AY225" s="153">
        <f>$C225*INDEX(Curves!$I$8:$I$68,AY$4-$B225+1)</f>
        <v/>
      </c>
      <c r="AZ225" s="153">
        <f>$C225*INDEX(Curves!$I$8:$I$68,AZ$4-$B225+1)</f>
        <v/>
      </c>
      <c r="BA225" s="153">
        <f>$C225*INDEX(Curves!$I$8:$I$68,BA$4-$B225+1)</f>
        <v/>
      </c>
      <c r="BB225" s="153">
        <f>$C225*INDEX(Curves!$I$8:$I$68,BB$4-$B225+1)</f>
        <v/>
      </c>
      <c r="BC225" s="153">
        <f>$C225*INDEX(Curves!$I$8:$I$68,BC$4-$B225+1)</f>
        <v/>
      </c>
      <c r="BD225" s="153">
        <f>$C225*INDEX(Curves!$I$8:$I$68,BD$4-$B225+1)</f>
        <v/>
      </c>
      <c r="BE225" s="153">
        <f>$C225*INDEX(Curves!$I$8:$I$68,BE$4-$B225+1)</f>
        <v/>
      </c>
      <c r="BF225" s="153">
        <f>$C225*INDEX(Curves!$I$8:$I$68,BF$4-$B225+1)</f>
        <v/>
      </c>
      <c r="BG225" s="153">
        <f>$C225*INDEX(Curves!$I$8:$I$68,BG$4-$B225+1)</f>
        <v/>
      </c>
      <c r="BH225" s="153">
        <f>$C225*INDEX(Curves!$I$8:$I$68,BH$4-$B225+1)</f>
        <v/>
      </c>
      <c r="BI225" s="153">
        <f>$C225*INDEX(Curves!$I$8:$I$68,BI$4-$B225+1)</f>
        <v/>
      </c>
      <c r="BJ225" s="153">
        <f>$C225*INDEX(Curves!$I$8:$I$68,BJ$4-$B225+1)</f>
        <v/>
      </c>
      <c r="BK225" s="153">
        <f>$C225*INDEX(Curves!$I$8:$I$68,BK$4-$B225+1)</f>
        <v/>
      </c>
      <c r="BL225" s="153">
        <f>$C225*INDEX(Curves!$I$8:$I$68,BL$4-$B225+1)</f>
        <v/>
      </c>
    </row>
    <row r="226">
      <c r="A226" s="147" t="inlineStr">
        <is>
          <t>Cohort month 28</t>
        </is>
      </c>
      <c r="B226" s="147" t="n">
        <v>28</v>
      </c>
      <c r="C226" s="41">
        <f>INDEX(Ops!$E$10:$BL$10,1,$B226)</f>
        <v/>
      </c>
      <c r="AG226" s="153">
        <f>$C226*INDEX(Curves!$I$8:$I$68,AG$4-$B226+1)</f>
        <v/>
      </c>
      <c r="AH226" s="153">
        <f>$C226*INDEX(Curves!$I$8:$I$68,AH$4-$B226+1)</f>
        <v/>
      </c>
      <c r="AI226" s="153">
        <f>$C226*INDEX(Curves!$I$8:$I$68,AI$4-$B226+1)</f>
        <v/>
      </c>
      <c r="AJ226" s="153">
        <f>$C226*INDEX(Curves!$I$8:$I$68,AJ$4-$B226+1)</f>
        <v/>
      </c>
      <c r="AK226" s="153">
        <f>$C226*INDEX(Curves!$I$8:$I$68,AK$4-$B226+1)</f>
        <v/>
      </c>
      <c r="AL226" s="153">
        <f>$C226*INDEX(Curves!$I$8:$I$68,AL$4-$B226+1)</f>
        <v/>
      </c>
      <c r="AM226" s="153">
        <f>$C226*INDEX(Curves!$I$8:$I$68,AM$4-$B226+1)</f>
        <v/>
      </c>
      <c r="AN226" s="153">
        <f>$C226*INDEX(Curves!$I$8:$I$68,AN$4-$B226+1)</f>
        <v/>
      </c>
      <c r="AO226" s="153">
        <f>$C226*INDEX(Curves!$I$8:$I$68,AO$4-$B226+1)</f>
        <v/>
      </c>
      <c r="AP226" s="153">
        <f>$C226*INDEX(Curves!$I$8:$I$68,AP$4-$B226+1)</f>
        <v/>
      </c>
      <c r="AQ226" s="153">
        <f>$C226*INDEX(Curves!$I$8:$I$68,AQ$4-$B226+1)</f>
        <v/>
      </c>
      <c r="AR226" s="153">
        <f>$C226*INDEX(Curves!$I$8:$I$68,AR$4-$B226+1)</f>
        <v/>
      </c>
      <c r="AS226" s="153">
        <f>$C226*INDEX(Curves!$I$8:$I$68,AS$4-$B226+1)</f>
        <v/>
      </c>
      <c r="AT226" s="153">
        <f>$C226*INDEX(Curves!$I$8:$I$68,AT$4-$B226+1)</f>
        <v/>
      </c>
      <c r="AU226" s="153">
        <f>$C226*INDEX(Curves!$I$8:$I$68,AU$4-$B226+1)</f>
        <v/>
      </c>
      <c r="AV226" s="153">
        <f>$C226*INDEX(Curves!$I$8:$I$68,AV$4-$B226+1)</f>
        <v/>
      </c>
      <c r="AW226" s="153">
        <f>$C226*INDEX(Curves!$I$8:$I$68,AW$4-$B226+1)</f>
        <v/>
      </c>
      <c r="AX226" s="153">
        <f>$C226*INDEX(Curves!$I$8:$I$68,AX$4-$B226+1)</f>
        <v/>
      </c>
      <c r="AY226" s="153">
        <f>$C226*INDEX(Curves!$I$8:$I$68,AY$4-$B226+1)</f>
        <v/>
      </c>
      <c r="AZ226" s="153">
        <f>$C226*INDEX(Curves!$I$8:$I$68,AZ$4-$B226+1)</f>
        <v/>
      </c>
      <c r="BA226" s="153">
        <f>$C226*INDEX(Curves!$I$8:$I$68,BA$4-$B226+1)</f>
        <v/>
      </c>
      <c r="BB226" s="153">
        <f>$C226*INDEX(Curves!$I$8:$I$68,BB$4-$B226+1)</f>
        <v/>
      </c>
      <c r="BC226" s="153">
        <f>$C226*INDEX(Curves!$I$8:$I$68,BC$4-$B226+1)</f>
        <v/>
      </c>
      <c r="BD226" s="153">
        <f>$C226*INDEX(Curves!$I$8:$I$68,BD$4-$B226+1)</f>
        <v/>
      </c>
      <c r="BE226" s="153">
        <f>$C226*INDEX(Curves!$I$8:$I$68,BE$4-$B226+1)</f>
        <v/>
      </c>
      <c r="BF226" s="153">
        <f>$C226*INDEX(Curves!$I$8:$I$68,BF$4-$B226+1)</f>
        <v/>
      </c>
      <c r="BG226" s="153">
        <f>$C226*INDEX(Curves!$I$8:$I$68,BG$4-$B226+1)</f>
        <v/>
      </c>
      <c r="BH226" s="153">
        <f>$C226*INDEX(Curves!$I$8:$I$68,BH$4-$B226+1)</f>
        <v/>
      </c>
      <c r="BI226" s="153">
        <f>$C226*INDEX(Curves!$I$8:$I$68,BI$4-$B226+1)</f>
        <v/>
      </c>
      <c r="BJ226" s="153">
        <f>$C226*INDEX(Curves!$I$8:$I$68,BJ$4-$B226+1)</f>
        <v/>
      </c>
      <c r="BK226" s="153">
        <f>$C226*INDEX(Curves!$I$8:$I$68,BK$4-$B226+1)</f>
        <v/>
      </c>
      <c r="BL226" s="153">
        <f>$C226*INDEX(Curves!$I$8:$I$68,BL$4-$B226+1)</f>
        <v/>
      </c>
    </row>
    <row r="227">
      <c r="A227" s="147" t="inlineStr">
        <is>
          <t>Cohort month 29</t>
        </is>
      </c>
      <c r="B227" s="147" t="n">
        <v>29</v>
      </c>
      <c r="C227" s="41">
        <f>INDEX(Ops!$E$10:$BL$10,1,$B227)</f>
        <v/>
      </c>
      <c r="AH227" s="153">
        <f>$C227*INDEX(Curves!$I$8:$I$68,AH$4-$B227+1)</f>
        <v/>
      </c>
      <c r="AI227" s="153">
        <f>$C227*INDEX(Curves!$I$8:$I$68,AI$4-$B227+1)</f>
        <v/>
      </c>
      <c r="AJ227" s="153">
        <f>$C227*INDEX(Curves!$I$8:$I$68,AJ$4-$B227+1)</f>
        <v/>
      </c>
      <c r="AK227" s="153">
        <f>$C227*INDEX(Curves!$I$8:$I$68,AK$4-$B227+1)</f>
        <v/>
      </c>
      <c r="AL227" s="153">
        <f>$C227*INDEX(Curves!$I$8:$I$68,AL$4-$B227+1)</f>
        <v/>
      </c>
      <c r="AM227" s="153">
        <f>$C227*INDEX(Curves!$I$8:$I$68,AM$4-$B227+1)</f>
        <v/>
      </c>
      <c r="AN227" s="153">
        <f>$C227*INDEX(Curves!$I$8:$I$68,AN$4-$B227+1)</f>
        <v/>
      </c>
      <c r="AO227" s="153">
        <f>$C227*INDEX(Curves!$I$8:$I$68,AO$4-$B227+1)</f>
        <v/>
      </c>
      <c r="AP227" s="153">
        <f>$C227*INDEX(Curves!$I$8:$I$68,AP$4-$B227+1)</f>
        <v/>
      </c>
      <c r="AQ227" s="153">
        <f>$C227*INDEX(Curves!$I$8:$I$68,AQ$4-$B227+1)</f>
        <v/>
      </c>
      <c r="AR227" s="153">
        <f>$C227*INDEX(Curves!$I$8:$I$68,AR$4-$B227+1)</f>
        <v/>
      </c>
      <c r="AS227" s="153">
        <f>$C227*INDEX(Curves!$I$8:$I$68,AS$4-$B227+1)</f>
        <v/>
      </c>
      <c r="AT227" s="153">
        <f>$C227*INDEX(Curves!$I$8:$I$68,AT$4-$B227+1)</f>
        <v/>
      </c>
      <c r="AU227" s="153">
        <f>$C227*INDEX(Curves!$I$8:$I$68,AU$4-$B227+1)</f>
        <v/>
      </c>
      <c r="AV227" s="153">
        <f>$C227*INDEX(Curves!$I$8:$I$68,AV$4-$B227+1)</f>
        <v/>
      </c>
      <c r="AW227" s="153">
        <f>$C227*INDEX(Curves!$I$8:$I$68,AW$4-$B227+1)</f>
        <v/>
      </c>
      <c r="AX227" s="153">
        <f>$C227*INDEX(Curves!$I$8:$I$68,AX$4-$B227+1)</f>
        <v/>
      </c>
      <c r="AY227" s="153">
        <f>$C227*INDEX(Curves!$I$8:$I$68,AY$4-$B227+1)</f>
        <v/>
      </c>
      <c r="AZ227" s="153">
        <f>$C227*INDEX(Curves!$I$8:$I$68,AZ$4-$B227+1)</f>
        <v/>
      </c>
      <c r="BA227" s="153">
        <f>$C227*INDEX(Curves!$I$8:$I$68,BA$4-$B227+1)</f>
        <v/>
      </c>
      <c r="BB227" s="153">
        <f>$C227*INDEX(Curves!$I$8:$I$68,BB$4-$B227+1)</f>
        <v/>
      </c>
      <c r="BC227" s="153">
        <f>$C227*INDEX(Curves!$I$8:$I$68,BC$4-$B227+1)</f>
        <v/>
      </c>
      <c r="BD227" s="153">
        <f>$C227*INDEX(Curves!$I$8:$I$68,BD$4-$B227+1)</f>
        <v/>
      </c>
      <c r="BE227" s="153">
        <f>$C227*INDEX(Curves!$I$8:$I$68,BE$4-$B227+1)</f>
        <v/>
      </c>
      <c r="BF227" s="153">
        <f>$C227*INDEX(Curves!$I$8:$I$68,BF$4-$B227+1)</f>
        <v/>
      </c>
      <c r="BG227" s="153">
        <f>$C227*INDEX(Curves!$I$8:$I$68,BG$4-$B227+1)</f>
        <v/>
      </c>
      <c r="BH227" s="153">
        <f>$C227*INDEX(Curves!$I$8:$I$68,BH$4-$B227+1)</f>
        <v/>
      </c>
      <c r="BI227" s="153">
        <f>$C227*INDEX(Curves!$I$8:$I$68,BI$4-$B227+1)</f>
        <v/>
      </c>
      <c r="BJ227" s="153">
        <f>$C227*INDEX(Curves!$I$8:$I$68,BJ$4-$B227+1)</f>
        <v/>
      </c>
      <c r="BK227" s="153">
        <f>$C227*INDEX(Curves!$I$8:$I$68,BK$4-$B227+1)</f>
        <v/>
      </c>
      <c r="BL227" s="153">
        <f>$C227*INDEX(Curves!$I$8:$I$68,BL$4-$B227+1)</f>
        <v/>
      </c>
    </row>
    <row r="228">
      <c r="A228" s="147" t="inlineStr">
        <is>
          <t>Cohort month 30</t>
        </is>
      </c>
      <c r="B228" s="147" t="n">
        <v>30</v>
      </c>
      <c r="C228" s="41">
        <f>INDEX(Ops!$E$10:$BL$10,1,$B228)</f>
        <v/>
      </c>
      <c r="AI228" s="153">
        <f>$C228*INDEX(Curves!$I$8:$I$68,AI$4-$B228+1)</f>
        <v/>
      </c>
      <c r="AJ228" s="153">
        <f>$C228*INDEX(Curves!$I$8:$I$68,AJ$4-$B228+1)</f>
        <v/>
      </c>
      <c r="AK228" s="153">
        <f>$C228*INDEX(Curves!$I$8:$I$68,AK$4-$B228+1)</f>
        <v/>
      </c>
      <c r="AL228" s="153">
        <f>$C228*INDEX(Curves!$I$8:$I$68,AL$4-$B228+1)</f>
        <v/>
      </c>
      <c r="AM228" s="153">
        <f>$C228*INDEX(Curves!$I$8:$I$68,AM$4-$B228+1)</f>
        <v/>
      </c>
      <c r="AN228" s="153">
        <f>$C228*INDEX(Curves!$I$8:$I$68,AN$4-$B228+1)</f>
        <v/>
      </c>
      <c r="AO228" s="153">
        <f>$C228*INDEX(Curves!$I$8:$I$68,AO$4-$B228+1)</f>
        <v/>
      </c>
      <c r="AP228" s="153">
        <f>$C228*INDEX(Curves!$I$8:$I$68,AP$4-$B228+1)</f>
        <v/>
      </c>
      <c r="AQ228" s="153">
        <f>$C228*INDEX(Curves!$I$8:$I$68,AQ$4-$B228+1)</f>
        <v/>
      </c>
      <c r="AR228" s="153">
        <f>$C228*INDEX(Curves!$I$8:$I$68,AR$4-$B228+1)</f>
        <v/>
      </c>
      <c r="AS228" s="153">
        <f>$C228*INDEX(Curves!$I$8:$I$68,AS$4-$B228+1)</f>
        <v/>
      </c>
      <c r="AT228" s="153">
        <f>$C228*INDEX(Curves!$I$8:$I$68,AT$4-$B228+1)</f>
        <v/>
      </c>
      <c r="AU228" s="153">
        <f>$C228*INDEX(Curves!$I$8:$I$68,AU$4-$B228+1)</f>
        <v/>
      </c>
      <c r="AV228" s="153">
        <f>$C228*INDEX(Curves!$I$8:$I$68,AV$4-$B228+1)</f>
        <v/>
      </c>
      <c r="AW228" s="153">
        <f>$C228*INDEX(Curves!$I$8:$I$68,AW$4-$B228+1)</f>
        <v/>
      </c>
      <c r="AX228" s="153">
        <f>$C228*INDEX(Curves!$I$8:$I$68,AX$4-$B228+1)</f>
        <v/>
      </c>
      <c r="AY228" s="153">
        <f>$C228*INDEX(Curves!$I$8:$I$68,AY$4-$B228+1)</f>
        <v/>
      </c>
      <c r="AZ228" s="153">
        <f>$C228*INDEX(Curves!$I$8:$I$68,AZ$4-$B228+1)</f>
        <v/>
      </c>
      <c r="BA228" s="153">
        <f>$C228*INDEX(Curves!$I$8:$I$68,BA$4-$B228+1)</f>
        <v/>
      </c>
      <c r="BB228" s="153">
        <f>$C228*INDEX(Curves!$I$8:$I$68,BB$4-$B228+1)</f>
        <v/>
      </c>
      <c r="BC228" s="153">
        <f>$C228*INDEX(Curves!$I$8:$I$68,BC$4-$B228+1)</f>
        <v/>
      </c>
      <c r="BD228" s="153">
        <f>$C228*INDEX(Curves!$I$8:$I$68,BD$4-$B228+1)</f>
        <v/>
      </c>
      <c r="BE228" s="153">
        <f>$C228*INDEX(Curves!$I$8:$I$68,BE$4-$B228+1)</f>
        <v/>
      </c>
      <c r="BF228" s="153">
        <f>$C228*INDEX(Curves!$I$8:$I$68,BF$4-$B228+1)</f>
        <v/>
      </c>
      <c r="BG228" s="153">
        <f>$C228*INDEX(Curves!$I$8:$I$68,BG$4-$B228+1)</f>
        <v/>
      </c>
      <c r="BH228" s="153">
        <f>$C228*INDEX(Curves!$I$8:$I$68,BH$4-$B228+1)</f>
        <v/>
      </c>
      <c r="BI228" s="153">
        <f>$C228*INDEX(Curves!$I$8:$I$68,BI$4-$B228+1)</f>
        <v/>
      </c>
      <c r="BJ228" s="153">
        <f>$C228*INDEX(Curves!$I$8:$I$68,BJ$4-$B228+1)</f>
        <v/>
      </c>
      <c r="BK228" s="153">
        <f>$C228*INDEX(Curves!$I$8:$I$68,BK$4-$B228+1)</f>
        <v/>
      </c>
      <c r="BL228" s="153">
        <f>$C228*INDEX(Curves!$I$8:$I$68,BL$4-$B228+1)</f>
        <v/>
      </c>
    </row>
    <row r="229">
      <c r="A229" s="147" t="inlineStr">
        <is>
          <t>Cohort month 31</t>
        </is>
      </c>
      <c r="B229" s="147" t="n">
        <v>31</v>
      </c>
      <c r="C229" s="41">
        <f>INDEX(Ops!$E$10:$BL$10,1,$B229)</f>
        <v/>
      </c>
      <c r="AJ229" s="153">
        <f>$C229*INDEX(Curves!$I$8:$I$68,AJ$4-$B229+1)</f>
        <v/>
      </c>
      <c r="AK229" s="153">
        <f>$C229*INDEX(Curves!$I$8:$I$68,AK$4-$B229+1)</f>
        <v/>
      </c>
      <c r="AL229" s="153">
        <f>$C229*INDEX(Curves!$I$8:$I$68,AL$4-$B229+1)</f>
        <v/>
      </c>
      <c r="AM229" s="153">
        <f>$C229*INDEX(Curves!$I$8:$I$68,AM$4-$B229+1)</f>
        <v/>
      </c>
      <c r="AN229" s="153">
        <f>$C229*INDEX(Curves!$I$8:$I$68,AN$4-$B229+1)</f>
        <v/>
      </c>
      <c r="AO229" s="153">
        <f>$C229*INDEX(Curves!$I$8:$I$68,AO$4-$B229+1)</f>
        <v/>
      </c>
      <c r="AP229" s="153">
        <f>$C229*INDEX(Curves!$I$8:$I$68,AP$4-$B229+1)</f>
        <v/>
      </c>
      <c r="AQ229" s="153">
        <f>$C229*INDEX(Curves!$I$8:$I$68,AQ$4-$B229+1)</f>
        <v/>
      </c>
      <c r="AR229" s="153">
        <f>$C229*INDEX(Curves!$I$8:$I$68,AR$4-$B229+1)</f>
        <v/>
      </c>
      <c r="AS229" s="153">
        <f>$C229*INDEX(Curves!$I$8:$I$68,AS$4-$B229+1)</f>
        <v/>
      </c>
      <c r="AT229" s="153">
        <f>$C229*INDEX(Curves!$I$8:$I$68,AT$4-$B229+1)</f>
        <v/>
      </c>
      <c r="AU229" s="153">
        <f>$C229*INDEX(Curves!$I$8:$I$68,AU$4-$B229+1)</f>
        <v/>
      </c>
      <c r="AV229" s="153">
        <f>$C229*INDEX(Curves!$I$8:$I$68,AV$4-$B229+1)</f>
        <v/>
      </c>
      <c r="AW229" s="153">
        <f>$C229*INDEX(Curves!$I$8:$I$68,AW$4-$B229+1)</f>
        <v/>
      </c>
      <c r="AX229" s="153">
        <f>$C229*INDEX(Curves!$I$8:$I$68,AX$4-$B229+1)</f>
        <v/>
      </c>
      <c r="AY229" s="153">
        <f>$C229*INDEX(Curves!$I$8:$I$68,AY$4-$B229+1)</f>
        <v/>
      </c>
      <c r="AZ229" s="153">
        <f>$C229*INDEX(Curves!$I$8:$I$68,AZ$4-$B229+1)</f>
        <v/>
      </c>
      <c r="BA229" s="153">
        <f>$C229*INDEX(Curves!$I$8:$I$68,BA$4-$B229+1)</f>
        <v/>
      </c>
      <c r="BB229" s="153">
        <f>$C229*INDEX(Curves!$I$8:$I$68,BB$4-$B229+1)</f>
        <v/>
      </c>
      <c r="BC229" s="153">
        <f>$C229*INDEX(Curves!$I$8:$I$68,BC$4-$B229+1)</f>
        <v/>
      </c>
      <c r="BD229" s="153">
        <f>$C229*INDEX(Curves!$I$8:$I$68,BD$4-$B229+1)</f>
        <v/>
      </c>
      <c r="BE229" s="153">
        <f>$C229*INDEX(Curves!$I$8:$I$68,BE$4-$B229+1)</f>
        <v/>
      </c>
      <c r="BF229" s="153">
        <f>$C229*INDEX(Curves!$I$8:$I$68,BF$4-$B229+1)</f>
        <v/>
      </c>
      <c r="BG229" s="153">
        <f>$C229*INDEX(Curves!$I$8:$I$68,BG$4-$B229+1)</f>
        <v/>
      </c>
      <c r="BH229" s="153">
        <f>$C229*INDEX(Curves!$I$8:$I$68,BH$4-$B229+1)</f>
        <v/>
      </c>
      <c r="BI229" s="153">
        <f>$C229*INDEX(Curves!$I$8:$I$68,BI$4-$B229+1)</f>
        <v/>
      </c>
      <c r="BJ229" s="153">
        <f>$C229*INDEX(Curves!$I$8:$I$68,BJ$4-$B229+1)</f>
        <v/>
      </c>
      <c r="BK229" s="153">
        <f>$C229*INDEX(Curves!$I$8:$I$68,BK$4-$B229+1)</f>
        <v/>
      </c>
      <c r="BL229" s="153">
        <f>$C229*INDEX(Curves!$I$8:$I$68,BL$4-$B229+1)</f>
        <v/>
      </c>
    </row>
    <row r="230">
      <c r="A230" s="147" t="inlineStr">
        <is>
          <t>Cohort month 32</t>
        </is>
      </c>
      <c r="B230" s="147" t="n">
        <v>32</v>
      </c>
      <c r="C230" s="41">
        <f>INDEX(Ops!$E$10:$BL$10,1,$B230)</f>
        <v/>
      </c>
      <c r="AK230" s="153">
        <f>$C230*INDEX(Curves!$I$8:$I$68,AK$4-$B230+1)</f>
        <v/>
      </c>
      <c r="AL230" s="153">
        <f>$C230*INDEX(Curves!$I$8:$I$68,AL$4-$B230+1)</f>
        <v/>
      </c>
      <c r="AM230" s="153">
        <f>$C230*INDEX(Curves!$I$8:$I$68,AM$4-$B230+1)</f>
        <v/>
      </c>
      <c r="AN230" s="153">
        <f>$C230*INDEX(Curves!$I$8:$I$68,AN$4-$B230+1)</f>
        <v/>
      </c>
      <c r="AO230" s="153">
        <f>$C230*INDEX(Curves!$I$8:$I$68,AO$4-$B230+1)</f>
        <v/>
      </c>
      <c r="AP230" s="153">
        <f>$C230*INDEX(Curves!$I$8:$I$68,AP$4-$B230+1)</f>
        <v/>
      </c>
      <c r="AQ230" s="153">
        <f>$C230*INDEX(Curves!$I$8:$I$68,AQ$4-$B230+1)</f>
        <v/>
      </c>
      <c r="AR230" s="153">
        <f>$C230*INDEX(Curves!$I$8:$I$68,AR$4-$B230+1)</f>
        <v/>
      </c>
      <c r="AS230" s="153">
        <f>$C230*INDEX(Curves!$I$8:$I$68,AS$4-$B230+1)</f>
        <v/>
      </c>
      <c r="AT230" s="153">
        <f>$C230*INDEX(Curves!$I$8:$I$68,AT$4-$B230+1)</f>
        <v/>
      </c>
      <c r="AU230" s="153">
        <f>$C230*INDEX(Curves!$I$8:$I$68,AU$4-$B230+1)</f>
        <v/>
      </c>
      <c r="AV230" s="153">
        <f>$C230*INDEX(Curves!$I$8:$I$68,AV$4-$B230+1)</f>
        <v/>
      </c>
      <c r="AW230" s="153">
        <f>$C230*INDEX(Curves!$I$8:$I$68,AW$4-$B230+1)</f>
        <v/>
      </c>
      <c r="AX230" s="153">
        <f>$C230*INDEX(Curves!$I$8:$I$68,AX$4-$B230+1)</f>
        <v/>
      </c>
      <c r="AY230" s="153">
        <f>$C230*INDEX(Curves!$I$8:$I$68,AY$4-$B230+1)</f>
        <v/>
      </c>
      <c r="AZ230" s="153">
        <f>$C230*INDEX(Curves!$I$8:$I$68,AZ$4-$B230+1)</f>
        <v/>
      </c>
      <c r="BA230" s="153">
        <f>$C230*INDEX(Curves!$I$8:$I$68,BA$4-$B230+1)</f>
        <v/>
      </c>
      <c r="BB230" s="153">
        <f>$C230*INDEX(Curves!$I$8:$I$68,BB$4-$B230+1)</f>
        <v/>
      </c>
      <c r="BC230" s="153">
        <f>$C230*INDEX(Curves!$I$8:$I$68,BC$4-$B230+1)</f>
        <v/>
      </c>
      <c r="BD230" s="153">
        <f>$C230*INDEX(Curves!$I$8:$I$68,BD$4-$B230+1)</f>
        <v/>
      </c>
      <c r="BE230" s="153">
        <f>$C230*INDEX(Curves!$I$8:$I$68,BE$4-$B230+1)</f>
        <v/>
      </c>
      <c r="BF230" s="153">
        <f>$C230*INDEX(Curves!$I$8:$I$68,BF$4-$B230+1)</f>
        <v/>
      </c>
      <c r="BG230" s="153">
        <f>$C230*INDEX(Curves!$I$8:$I$68,BG$4-$B230+1)</f>
        <v/>
      </c>
      <c r="BH230" s="153">
        <f>$C230*INDEX(Curves!$I$8:$I$68,BH$4-$B230+1)</f>
        <v/>
      </c>
      <c r="BI230" s="153">
        <f>$C230*INDEX(Curves!$I$8:$I$68,BI$4-$B230+1)</f>
        <v/>
      </c>
      <c r="BJ230" s="153">
        <f>$C230*INDEX(Curves!$I$8:$I$68,BJ$4-$B230+1)</f>
        <v/>
      </c>
      <c r="BK230" s="153">
        <f>$C230*INDEX(Curves!$I$8:$I$68,BK$4-$B230+1)</f>
        <v/>
      </c>
      <c r="BL230" s="153">
        <f>$C230*INDEX(Curves!$I$8:$I$68,BL$4-$B230+1)</f>
        <v/>
      </c>
    </row>
    <row r="231">
      <c r="A231" s="147" t="inlineStr">
        <is>
          <t>Cohort month 33</t>
        </is>
      </c>
      <c r="B231" s="147" t="n">
        <v>33</v>
      </c>
      <c r="C231" s="41">
        <f>INDEX(Ops!$E$10:$BL$10,1,$B231)</f>
        <v/>
      </c>
      <c r="AL231" s="153">
        <f>$C231*INDEX(Curves!$I$8:$I$68,AL$4-$B231+1)</f>
        <v/>
      </c>
      <c r="AM231" s="153">
        <f>$C231*INDEX(Curves!$I$8:$I$68,AM$4-$B231+1)</f>
        <v/>
      </c>
      <c r="AN231" s="153">
        <f>$C231*INDEX(Curves!$I$8:$I$68,AN$4-$B231+1)</f>
        <v/>
      </c>
      <c r="AO231" s="153">
        <f>$C231*INDEX(Curves!$I$8:$I$68,AO$4-$B231+1)</f>
        <v/>
      </c>
      <c r="AP231" s="153">
        <f>$C231*INDEX(Curves!$I$8:$I$68,AP$4-$B231+1)</f>
        <v/>
      </c>
      <c r="AQ231" s="153">
        <f>$C231*INDEX(Curves!$I$8:$I$68,AQ$4-$B231+1)</f>
        <v/>
      </c>
      <c r="AR231" s="153">
        <f>$C231*INDEX(Curves!$I$8:$I$68,AR$4-$B231+1)</f>
        <v/>
      </c>
      <c r="AS231" s="153">
        <f>$C231*INDEX(Curves!$I$8:$I$68,AS$4-$B231+1)</f>
        <v/>
      </c>
      <c r="AT231" s="153">
        <f>$C231*INDEX(Curves!$I$8:$I$68,AT$4-$B231+1)</f>
        <v/>
      </c>
      <c r="AU231" s="153">
        <f>$C231*INDEX(Curves!$I$8:$I$68,AU$4-$B231+1)</f>
        <v/>
      </c>
      <c r="AV231" s="153">
        <f>$C231*INDEX(Curves!$I$8:$I$68,AV$4-$B231+1)</f>
        <v/>
      </c>
      <c r="AW231" s="153">
        <f>$C231*INDEX(Curves!$I$8:$I$68,AW$4-$B231+1)</f>
        <v/>
      </c>
      <c r="AX231" s="153">
        <f>$C231*INDEX(Curves!$I$8:$I$68,AX$4-$B231+1)</f>
        <v/>
      </c>
      <c r="AY231" s="153">
        <f>$C231*INDEX(Curves!$I$8:$I$68,AY$4-$B231+1)</f>
        <v/>
      </c>
      <c r="AZ231" s="153">
        <f>$C231*INDEX(Curves!$I$8:$I$68,AZ$4-$B231+1)</f>
        <v/>
      </c>
      <c r="BA231" s="153">
        <f>$C231*INDEX(Curves!$I$8:$I$68,BA$4-$B231+1)</f>
        <v/>
      </c>
      <c r="BB231" s="153">
        <f>$C231*INDEX(Curves!$I$8:$I$68,BB$4-$B231+1)</f>
        <v/>
      </c>
      <c r="BC231" s="153">
        <f>$C231*INDEX(Curves!$I$8:$I$68,BC$4-$B231+1)</f>
        <v/>
      </c>
      <c r="BD231" s="153">
        <f>$C231*INDEX(Curves!$I$8:$I$68,BD$4-$B231+1)</f>
        <v/>
      </c>
      <c r="BE231" s="153">
        <f>$C231*INDEX(Curves!$I$8:$I$68,BE$4-$B231+1)</f>
        <v/>
      </c>
      <c r="BF231" s="153">
        <f>$C231*INDEX(Curves!$I$8:$I$68,BF$4-$B231+1)</f>
        <v/>
      </c>
      <c r="BG231" s="153">
        <f>$C231*INDEX(Curves!$I$8:$I$68,BG$4-$B231+1)</f>
        <v/>
      </c>
      <c r="BH231" s="153">
        <f>$C231*INDEX(Curves!$I$8:$I$68,BH$4-$B231+1)</f>
        <v/>
      </c>
      <c r="BI231" s="153">
        <f>$C231*INDEX(Curves!$I$8:$I$68,BI$4-$B231+1)</f>
        <v/>
      </c>
      <c r="BJ231" s="153">
        <f>$C231*INDEX(Curves!$I$8:$I$68,BJ$4-$B231+1)</f>
        <v/>
      </c>
      <c r="BK231" s="153">
        <f>$C231*INDEX(Curves!$I$8:$I$68,BK$4-$B231+1)</f>
        <v/>
      </c>
      <c r="BL231" s="153">
        <f>$C231*INDEX(Curves!$I$8:$I$68,BL$4-$B231+1)</f>
        <v/>
      </c>
    </row>
    <row r="232">
      <c r="A232" s="147" t="inlineStr">
        <is>
          <t>Cohort month 34</t>
        </is>
      </c>
      <c r="B232" s="147" t="n">
        <v>34</v>
      </c>
      <c r="C232" s="41">
        <f>INDEX(Ops!$E$10:$BL$10,1,$B232)</f>
        <v/>
      </c>
      <c r="AM232" s="153">
        <f>$C232*INDEX(Curves!$I$8:$I$68,AM$4-$B232+1)</f>
        <v/>
      </c>
      <c r="AN232" s="153">
        <f>$C232*INDEX(Curves!$I$8:$I$68,AN$4-$B232+1)</f>
        <v/>
      </c>
      <c r="AO232" s="153">
        <f>$C232*INDEX(Curves!$I$8:$I$68,AO$4-$B232+1)</f>
        <v/>
      </c>
      <c r="AP232" s="153">
        <f>$C232*INDEX(Curves!$I$8:$I$68,AP$4-$B232+1)</f>
        <v/>
      </c>
      <c r="AQ232" s="153">
        <f>$C232*INDEX(Curves!$I$8:$I$68,AQ$4-$B232+1)</f>
        <v/>
      </c>
      <c r="AR232" s="153">
        <f>$C232*INDEX(Curves!$I$8:$I$68,AR$4-$B232+1)</f>
        <v/>
      </c>
      <c r="AS232" s="153">
        <f>$C232*INDEX(Curves!$I$8:$I$68,AS$4-$B232+1)</f>
        <v/>
      </c>
      <c r="AT232" s="153">
        <f>$C232*INDEX(Curves!$I$8:$I$68,AT$4-$B232+1)</f>
        <v/>
      </c>
      <c r="AU232" s="153">
        <f>$C232*INDEX(Curves!$I$8:$I$68,AU$4-$B232+1)</f>
        <v/>
      </c>
      <c r="AV232" s="153">
        <f>$C232*INDEX(Curves!$I$8:$I$68,AV$4-$B232+1)</f>
        <v/>
      </c>
      <c r="AW232" s="153">
        <f>$C232*INDEX(Curves!$I$8:$I$68,AW$4-$B232+1)</f>
        <v/>
      </c>
      <c r="AX232" s="153">
        <f>$C232*INDEX(Curves!$I$8:$I$68,AX$4-$B232+1)</f>
        <v/>
      </c>
      <c r="AY232" s="153">
        <f>$C232*INDEX(Curves!$I$8:$I$68,AY$4-$B232+1)</f>
        <v/>
      </c>
      <c r="AZ232" s="153">
        <f>$C232*INDEX(Curves!$I$8:$I$68,AZ$4-$B232+1)</f>
        <v/>
      </c>
      <c r="BA232" s="153">
        <f>$C232*INDEX(Curves!$I$8:$I$68,BA$4-$B232+1)</f>
        <v/>
      </c>
      <c r="BB232" s="153">
        <f>$C232*INDEX(Curves!$I$8:$I$68,BB$4-$B232+1)</f>
        <v/>
      </c>
      <c r="BC232" s="153">
        <f>$C232*INDEX(Curves!$I$8:$I$68,BC$4-$B232+1)</f>
        <v/>
      </c>
      <c r="BD232" s="153">
        <f>$C232*INDEX(Curves!$I$8:$I$68,BD$4-$B232+1)</f>
        <v/>
      </c>
      <c r="BE232" s="153">
        <f>$C232*INDEX(Curves!$I$8:$I$68,BE$4-$B232+1)</f>
        <v/>
      </c>
      <c r="BF232" s="153">
        <f>$C232*INDEX(Curves!$I$8:$I$68,BF$4-$B232+1)</f>
        <v/>
      </c>
      <c r="BG232" s="153">
        <f>$C232*INDEX(Curves!$I$8:$I$68,BG$4-$B232+1)</f>
        <v/>
      </c>
      <c r="BH232" s="153">
        <f>$C232*INDEX(Curves!$I$8:$I$68,BH$4-$B232+1)</f>
        <v/>
      </c>
      <c r="BI232" s="153">
        <f>$C232*INDEX(Curves!$I$8:$I$68,BI$4-$B232+1)</f>
        <v/>
      </c>
      <c r="BJ232" s="153">
        <f>$C232*INDEX(Curves!$I$8:$I$68,BJ$4-$B232+1)</f>
        <v/>
      </c>
      <c r="BK232" s="153">
        <f>$C232*INDEX(Curves!$I$8:$I$68,BK$4-$B232+1)</f>
        <v/>
      </c>
      <c r="BL232" s="153">
        <f>$C232*INDEX(Curves!$I$8:$I$68,BL$4-$B232+1)</f>
        <v/>
      </c>
    </row>
    <row r="233">
      <c r="A233" s="147" t="inlineStr">
        <is>
          <t>Cohort month 35</t>
        </is>
      </c>
      <c r="B233" s="147" t="n">
        <v>35</v>
      </c>
      <c r="C233" s="41">
        <f>INDEX(Ops!$E$10:$BL$10,1,$B233)</f>
        <v/>
      </c>
      <c r="AN233" s="153">
        <f>$C233*INDEX(Curves!$I$8:$I$68,AN$4-$B233+1)</f>
        <v/>
      </c>
      <c r="AO233" s="153">
        <f>$C233*INDEX(Curves!$I$8:$I$68,AO$4-$B233+1)</f>
        <v/>
      </c>
      <c r="AP233" s="153">
        <f>$C233*INDEX(Curves!$I$8:$I$68,AP$4-$B233+1)</f>
        <v/>
      </c>
      <c r="AQ233" s="153">
        <f>$C233*INDEX(Curves!$I$8:$I$68,AQ$4-$B233+1)</f>
        <v/>
      </c>
      <c r="AR233" s="153">
        <f>$C233*INDEX(Curves!$I$8:$I$68,AR$4-$B233+1)</f>
        <v/>
      </c>
      <c r="AS233" s="153">
        <f>$C233*INDEX(Curves!$I$8:$I$68,AS$4-$B233+1)</f>
        <v/>
      </c>
      <c r="AT233" s="153">
        <f>$C233*INDEX(Curves!$I$8:$I$68,AT$4-$B233+1)</f>
        <v/>
      </c>
      <c r="AU233" s="153">
        <f>$C233*INDEX(Curves!$I$8:$I$68,AU$4-$B233+1)</f>
        <v/>
      </c>
      <c r="AV233" s="153">
        <f>$C233*INDEX(Curves!$I$8:$I$68,AV$4-$B233+1)</f>
        <v/>
      </c>
      <c r="AW233" s="153">
        <f>$C233*INDEX(Curves!$I$8:$I$68,AW$4-$B233+1)</f>
        <v/>
      </c>
      <c r="AX233" s="153">
        <f>$C233*INDEX(Curves!$I$8:$I$68,AX$4-$B233+1)</f>
        <v/>
      </c>
      <c r="AY233" s="153">
        <f>$C233*INDEX(Curves!$I$8:$I$68,AY$4-$B233+1)</f>
        <v/>
      </c>
      <c r="AZ233" s="153">
        <f>$C233*INDEX(Curves!$I$8:$I$68,AZ$4-$B233+1)</f>
        <v/>
      </c>
      <c r="BA233" s="153">
        <f>$C233*INDEX(Curves!$I$8:$I$68,BA$4-$B233+1)</f>
        <v/>
      </c>
      <c r="BB233" s="153">
        <f>$C233*INDEX(Curves!$I$8:$I$68,BB$4-$B233+1)</f>
        <v/>
      </c>
      <c r="BC233" s="153">
        <f>$C233*INDEX(Curves!$I$8:$I$68,BC$4-$B233+1)</f>
        <v/>
      </c>
      <c r="BD233" s="153">
        <f>$C233*INDEX(Curves!$I$8:$I$68,BD$4-$B233+1)</f>
        <v/>
      </c>
      <c r="BE233" s="153">
        <f>$C233*INDEX(Curves!$I$8:$I$68,BE$4-$B233+1)</f>
        <v/>
      </c>
      <c r="BF233" s="153">
        <f>$C233*INDEX(Curves!$I$8:$I$68,BF$4-$B233+1)</f>
        <v/>
      </c>
      <c r="BG233" s="153">
        <f>$C233*INDEX(Curves!$I$8:$I$68,BG$4-$B233+1)</f>
        <v/>
      </c>
      <c r="BH233" s="153">
        <f>$C233*INDEX(Curves!$I$8:$I$68,BH$4-$B233+1)</f>
        <v/>
      </c>
      <c r="BI233" s="153">
        <f>$C233*INDEX(Curves!$I$8:$I$68,BI$4-$B233+1)</f>
        <v/>
      </c>
      <c r="BJ233" s="153">
        <f>$C233*INDEX(Curves!$I$8:$I$68,BJ$4-$B233+1)</f>
        <v/>
      </c>
      <c r="BK233" s="153">
        <f>$C233*INDEX(Curves!$I$8:$I$68,BK$4-$B233+1)</f>
        <v/>
      </c>
      <c r="BL233" s="153">
        <f>$C233*INDEX(Curves!$I$8:$I$68,BL$4-$B233+1)</f>
        <v/>
      </c>
    </row>
    <row r="234">
      <c r="A234" s="147" t="inlineStr">
        <is>
          <t>Cohort month 36</t>
        </is>
      </c>
      <c r="B234" s="147" t="n">
        <v>36</v>
      </c>
      <c r="C234" s="41">
        <f>INDEX(Ops!$E$10:$BL$10,1,$B234)</f>
        <v/>
      </c>
      <c r="AO234" s="153">
        <f>$C234*INDEX(Curves!$I$8:$I$68,AO$4-$B234+1)</f>
        <v/>
      </c>
      <c r="AP234" s="153">
        <f>$C234*INDEX(Curves!$I$8:$I$68,AP$4-$B234+1)</f>
        <v/>
      </c>
      <c r="AQ234" s="153">
        <f>$C234*INDEX(Curves!$I$8:$I$68,AQ$4-$B234+1)</f>
        <v/>
      </c>
      <c r="AR234" s="153">
        <f>$C234*INDEX(Curves!$I$8:$I$68,AR$4-$B234+1)</f>
        <v/>
      </c>
      <c r="AS234" s="153">
        <f>$C234*INDEX(Curves!$I$8:$I$68,AS$4-$B234+1)</f>
        <v/>
      </c>
      <c r="AT234" s="153">
        <f>$C234*INDEX(Curves!$I$8:$I$68,AT$4-$B234+1)</f>
        <v/>
      </c>
      <c r="AU234" s="153">
        <f>$C234*INDEX(Curves!$I$8:$I$68,AU$4-$B234+1)</f>
        <v/>
      </c>
      <c r="AV234" s="153">
        <f>$C234*INDEX(Curves!$I$8:$I$68,AV$4-$B234+1)</f>
        <v/>
      </c>
      <c r="AW234" s="153">
        <f>$C234*INDEX(Curves!$I$8:$I$68,AW$4-$B234+1)</f>
        <v/>
      </c>
      <c r="AX234" s="153">
        <f>$C234*INDEX(Curves!$I$8:$I$68,AX$4-$B234+1)</f>
        <v/>
      </c>
      <c r="AY234" s="153">
        <f>$C234*INDEX(Curves!$I$8:$I$68,AY$4-$B234+1)</f>
        <v/>
      </c>
      <c r="AZ234" s="153">
        <f>$C234*INDEX(Curves!$I$8:$I$68,AZ$4-$B234+1)</f>
        <v/>
      </c>
      <c r="BA234" s="153">
        <f>$C234*INDEX(Curves!$I$8:$I$68,BA$4-$B234+1)</f>
        <v/>
      </c>
      <c r="BB234" s="153">
        <f>$C234*INDEX(Curves!$I$8:$I$68,BB$4-$B234+1)</f>
        <v/>
      </c>
      <c r="BC234" s="153">
        <f>$C234*INDEX(Curves!$I$8:$I$68,BC$4-$B234+1)</f>
        <v/>
      </c>
      <c r="BD234" s="153">
        <f>$C234*INDEX(Curves!$I$8:$I$68,BD$4-$B234+1)</f>
        <v/>
      </c>
      <c r="BE234" s="153">
        <f>$C234*INDEX(Curves!$I$8:$I$68,BE$4-$B234+1)</f>
        <v/>
      </c>
      <c r="BF234" s="153">
        <f>$C234*INDEX(Curves!$I$8:$I$68,BF$4-$B234+1)</f>
        <v/>
      </c>
      <c r="BG234" s="153">
        <f>$C234*INDEX(Curves!$I$8:$I$68,BG$4-$B234+1)</f>
        <v/>
      </c>
      <c r="BH234" s="153">
        <f>$C234*INDEX(Curves!$I$8:$I$68,BH$4-$B234+1)</f>
        <v/>
      </c>
      <c r="BI234" s="153">
        <f>$C234*INDEX(Curves!$I$8:$I$68,BI$4-$B234+1)</f>
        <v/>
      </c>
      <c r="BJ234" s="153">
        <f>$C234*INDEX(Curves!$I$8:$I$68,BJ$4-$B234+1)</f>
        <v/>
      </c>
      <c r="BK234" s="153">
        <f>$C234*INDEX(Curves!$I$8:$I$68,BK$4-$B234+1)</f>
        <v/>
      </c>
      <c r="BL234" s="153">
        <f>$C234*INDEX(Curves!$I$8:$I$68,BL$4-$B234+1)</f>
        <v/>
      </c>
    </row>
    <row r="235">
      <c r="A235" s="147" t="inlineStr">
        <is>
          <t>Cohort month 37</t>
        </is>
      </c>
      <c r="B235" s="147" t="n">
        <v>37</v>
      </c>
      <c r="C235" s="41">
        <f>INDEX(Ops!$E$10:$BL$10,1,$B235)</f>
        <v/>
      </c>
      <c r="AP235" s="153">
        <f>$C235*INDEX(Curves!$I$8:$I$68,AP$4-$B235+1)</f>
        <v/>
      </c>
      <c r="AQ235" s="153">
        <f>$C235*INDEX(Curves!$I$8:$I$68,AQ$4-$B235+1)</f>
        <v/>
      </c>
      <c r="AR235" s="153">
        <f>$C235*INDEX(Curves!$I$8:$I$68,AR$4-$B235+1)</f>
        <v/>
      </c>
      <c r="AS235" s="153">
        <f>$C235*INDEX(Curves!$I$8:$I$68,AS$4-$B235+1)</f>
        <v/>
      </c>
      <c r="AT235" s="153">
        <f>$C235*INDEX(Curves!$I$8:$I$68,AT$4-$B235+1)</f>
        <v/>
      </c>
      <c r="AU235" s="153">
        <f>$C235*INDEX(Curves!$I$8:$I$68,AU$4-$B235+1)</f>
        <v/>
      </c>
      <c r="AV235" s="153">
        <f>$C235*INDEX(Curves!$I$8:$I$68,AV$4-$B235+1)</f>
        <v/>
      </c>
      <c r="AW235" s="153">
        <f>$C235*INDEX(Curves!$I$8:$I$68,AW$4-$B235+1)</f>
        <v/>
      </c>
      <c r="AX235" s="153">
        <f>$C235*INDEX(Curves!$I$8:$I$68,AX$4-$B235+1)</f>
        <v/>
      </c>
      <c r="AY235" s="153">
        <f>$C235*INDEX(Curves!$I$8:$I$68,AY$4-$B235+1)</f>
        <v/>
      </c>
      <c r="AZ235" s="153">
        <f>$C235*INDEX(Curves!$I$8:$I$68,AZ$4-$B235+1)</f>
        <v/>
      </c>
      <c r="BA235" s="153">
        <f>$C235*INDEX(Curves!$I$8:$I$68,BA$4-$B235+1)</f>
        <v/>
      </c>
      <c r="BB235" s="153">
        <f>$C235*INDEX(Curves!$I$8:$I$68,BB$4-$B235+1)</f>
        <v/>
      </c>
      <c r="BC235" s="153">
        <f>$C235*INDEX(Curves!$I$8:$I$68,BC$4-$B235+1)</f>
        <v/>
      </c>
      <c r="BD235" s="153">
        <f>$C235*INDEX(Curves!$I$8:$I$68,BD$4-$B235+1)</f>
        <v/>
      </c>
      <c r="BE235" s="153">
        <f>$C235*INDEX(Curves!$I$8:$I$68,BE$4-$B235+1)</f>
        <v/>
      </c>
      <c r="BF235" s="153">
        <f>$C235*INDEX(Curves!$I$8:$I$68,BF$4-$B235+1)</f>
        <v/>
      </c>
      <c r="BG235" s="153">
        <f>$C235*INDEX(Curves!$I$8:$I$68,BG$4-$B235+1)</f>
        <v/>
      </c>
      <c r="BH235" s="153">
        <f>$C235*INDEX(Curves!$I$8:$I$68,BH$4-$B235+1)</f>
        <v/>
      </c>
      <c r="BI235" s="153">
        <f>$C235*INDEX(Curves!$I$8:$I$68,BI$4-$B235+1)</f>
        <v/>
      </c>
      <c r="BJ235" s="153">
        <f>$C235*INDEX(Curves!$I$8:$I$68,BJ$4-$B235+1)</f>
        <v/>
      </c>
      <c r="BK235" s="153">
        <f>$C235*INDEX(Curves!$I$8:$I$68,BK$4-$B235+1)</f>
        <v/>
      </c>
      <c r="BL235" s="153">
        <f>$C235*INDEX(Curves!$I$8:$I$68,BL$4-$B235+1)</f>
        <v/>
      </c>
    </row>
    <row r="236">
      <c r="A236" s="147" t="inlineStr">
        <is>
          <t>Cohort month 38</t>
        </is>
      </c>
      <c r="B236" s="147" t="n">
        <v>38</v>
      </c>
      <c r="C236" s="41">
        <f>INDEX(Ops!$E$10:$BL$10,1,$B236)</f>
        <v/>
      </c>
      <c r="AQ236" s="153">
        <f>$C236*INDEX(Curves!$I$8:$I$68,AQ$4-$B236+1)</f>
        <v/>
      </c>
      <c r="AR236" s="153">
        <f>$C236*INDEX(Curves!$I$8:$I$68,AR$4-$B236+1)</f>
        <v/>
      </c>
      <c r="AS236" s="153">
        <f>$C236*INDEX(Curves!$I$8:$I$68,AS$4-$B236+1)</f>
        <v/>
      </c>
      <c r="AT236" s="153">
        <f>$C236*INDEX(Curves!$I$8:$I$68,AT$4-$B236+1)</f>
        <v/>
      </c>
      <c r="AU236" s="153">
        <f>$C236*INDEX(Curves!$I$8:$I$68,AU$4-$B236+1)</f>
        <v/>
      </c>
      <c r="AV236" s="153">
        <f>$C236*INDEX(Curves!$I$8:$I$68,AV$4-$B236+1)</f>
        <v/>
      </c>
      <c r="AW236" s="153">
        <f>$C236*INDEX(Curves!$I$8:$I$68,AW$4-$B236+1)</f>
        <v/>
      </c>
      <c r="AX236" s="153">
        <f>$C236*INDEX(Curves!$I$8:$I$68,AX$4-$B236+1)</f>
        <v/>
      </c>
      <c r="AY236" s="153">
        <f>$C236*INDEX(Curves!$I$8:$I$68,AY$4-$B236+1)</f>
        <v/>
      </c>
      <c r="AZ236" s="153">
        <f>$C236*INDEX(Curves!$I$8:$I$68,AZ$4-$B236+1)</f>
        <v/>
      </c>
      <c r="BA236" s="153">
        <f>$C236*INDEX(Curves!$I$8:$I$68,BA$4-$B236+1)</f>
        <v/>
      </c>
      <c r="BB236" s="153">
        <f>$C236*INDEX(Curves!$I$8:$I$68,BB$4-$B236+1)</f>
        <v/>
      </c>
      <c r="BC236" s="153">
        <f>$C236*INDEX(Curves!$I$8:$I$68,BC$4-$B236+1)</f>
        <v/>
      </c>
      <c r="BD236" s="153">
        <f>$C236*INDEX(Curves!$I$8:$I$68,BD$4-$B236+1)</f>
        <v/>
      </c>
      <c r="BE236" s="153">
        <f>$C236*INDEX(Curves!$I$8:$I$68,BE$4-$B236+1)</f>
        <v/>
      </c>
      <c r="BF236" s="153">
        <f>$C236*INDEX(Curves!$I$8:$I$68,BF$4-$B236+1)</f>
        <v/>
      </c>
      <c r="BG236" s="153">
        <f>$C236*INDEX(Curves!$I$8:$I$68,BG$4-$B236+1)</f>
        <v/>
      </c>
      <c r="BH236" s="153">
        <f>$C236*INDEX(Curves!$I$8:$I$68,BH$4-$B236+1)</f>
        <v/>
      </c>
      <c r="BI236" s="153">
        <f>$C236*INDEX(Curves!$I$8:$I$68,BI$4-$B236+1)</f>
        <v/>
      </c>
      <c r="BJ236" s="153">
        <f>$C236*INDEX(Curves!$I$8:$I$68,BJ$4-$B236+1)</f>
        <v/>
      </c>
      <c r="BK236" s="153">
        <f>$C236*INDEX(Curves!$I$8:$I$68,BK$4-$B236+1)</f>
        <v/>
      </c>
      <c r="BL236" s="153">
        <f>$C236*INDEX(Curves!$I$8:$I$68,BL$4-$B236+1)</f>
        <v/>
      </c>
    </row>
    <row r="237">
      <c r="A237" s="147" t="inlineStr">
        <is>
          <t>Cohort month 39</t>
        </is>
      </c>
      <c r="B237" s="147" t="n">
        <v>39</v>
      </c>
      <c r="C237" s="41">
        <f>INDEX(Ops!$E$10:$BL$10,1,$B237)</f>
        <v/>
      </c>
      <c r="AR237" s="153">
        <f>$C237*INDEX(Curves!$I$8:$I$68,AR$4-$B237+1)</f>
        <v/>
      </c>
      <c r="AS237" s="153">
        <f>$C237*INDEX(Curves!$I$8:$I$68,AS$4-$B237+1)</f>
        <v/>
      </c>
      <c r="AT237" s="153">
        <f>$C237*INDEX(Curves!$I$8:$I$68,AT$4-$B237+1)</f>
        <v/>
      </c>
      <c r="AU237" s="153">
        <f>$C237*INDEX(Curves!$I$8:$I$68,AU$4-$B237+1)</f>
        <v/>
      </c>
      <c r="AV237" s="153">
        <f>$C237*INDEX(Curves!$I$8:$I$68,AV$4-$B237+1)</f>
        <v/>
      </c>
      <c r="AW237" s="153">
        <f>$C237*INDEX(Curves!$I$8:$I$68,AW$4-$B237+1)</f>
        <v/>
      </c>
      <c r="AX237" s="153">
        <f>$C237*INDEX(Curves!$I$8:$I$68,AX$4-$B237+1)</f>
        <v/>
      </c>
      <c r="AY237" s="153">
        <f>$C237*INDEX(Curves!$I$8:$I$68,AY$4-$B237+1)</f>
        <v/>
      </c>
      <c r="AZ237" s="153">
        <f>$C237*INDEX(Curves!$I$8:$I$68,AZ$4-$B237+1)</f>
        <v/>
      </c>
      <c r="BA237" s="153">
        <f>$C237*INDEX(Curves!$I$8:$I$68,BA$4-$B237+1)</f>
        <v/>
      </c>
      <c r="BB237" s="153">
        <f>$C237*INDEX(Curves!$I$8:$I$68,BB$4-$B237+1)</f>
        <v/>
      </c>
      <c r="BC237" s="153">
        <f>$C237*INDEX(Curves!$I$8:$I$68,BC$4-$B237+1)</f>
        <v/>
      </c>
      <c r="BD237" s="153">
        <f>$C237*INDEX(Curves!$I$8:$I$68,BD$4-$B237+1)</f>
        <v/>
      </c>
      <c r="BE237" s="153">
        <f>$C237*INDEX(Curves!$I$8:$I$68,BE$4-$B237+1)</f>
        <v/>
      </c>
      <c r="BF237" s="153">
        <f>$C237*INDEX(Curves!$I$8:$I$68,BF$4-$B237+1)</f>
        <v/>
      </c>
      <c r="BG237" s="153">
        <f>$C237*INDEX(Curves!$I$8:$I$68,BG$4-$B237+1)</f>
        <v/>
      </c>
      <c r="BH237" s="153">
        <f>$C237*INDEX(Curves!$I$8:$I$68,BH$4-$B237+1)</f>
        <v/>
      </c>
      <c r="BI237" s="153">
        <f>$C237*INDEX(Curves!$I$8:$I$68,BI$4-$B237+1)</f>
        <v/>
      </c>
      <c r="BJ237" s="153">
        <f>$C237*INDEX(Curves!$I$8:$I$68,BJ$4-$B237+1)</f>
        <v/>
      </c>
      <c r="BK237" s="153">
        <f>$C237*INDEX(Curves!$I$8:$I$68,BK$4-$B237+1)</f>
        <v/>
      </c>
      <c r="BL237" s="153">
        <f>$C237*INDEX(Curves!$I$8:$I$68,BL$4-$B237+1)</f>
        <v/>
      </c>
    </row>
    <row r="238">
      <c r="A238" s="147" t="inlineStr">
        <is>
          <t>Cohort month 40</t>
        </is>
      </c>
      <c r="B238" s="147" t="n">
        <v>40</v>
      </c>
      <c r="C238" s="41">
        <f>INDEX(Ops!$E$10:$BL$10,1,$B238)</f>
        <v/>
      </c>
      <c r="AS238" s="153">
        <f>$C238*INDEX(Curves!$I$8:$I$68,AS$4-$B238+1)</f>
        <v/>
      </c>
      <c r="AT238" s="153">
        <f>$C238*INDEX(Curves!$I$8:$I$68,AT$4-$B238+1)</f>
        <v/>
      </c>
      <c r="AU238" s="153">
        <f>$C238*INDEX(Curves!$I$8:$I$68,AU$4-$B238+1)</f>
        <v/>
      </c>
      <c r="AV238" s="153">
        <f>$C238*INDEX(Curves!$I$8:$I$68,AV$4-$B238+1)</f>
        <v/>
      </c>
      <c r="AW238" s="153">
        <f>$C238*INDEX(Curves!$I$8:$I$68,AW$4-$B238+1)</f>
        <v/>
      </c>
      <c r="AX238" s="153">
        <f>$C238*INDEX(Curves!$I$8:$I$68,AX$4-$B238+1)</f>
        <v/>
      </c>
      <c r="AY238" s="153">
        <f>$C238*INDEX(Curves!$I$8:$I$68,AY$4-$B238+1)</f>
        <v/>
      </c>
      <c r="AZ238" s="153">
        <f>$C238*INDEX(Curves!$I$8:$I$68,AZ$4-$B238+1)</f>
        <v/>
      </c>
      <c r="BA238" s="153">
        <f>$C238*INDEX(Curves!$I$8:$I$68,BA$4-$B238+1)</f>
        <v/>
      </c>
      <c r="BB238" s="153">
        <f>$C238*INDEX(Curves!$I$8:$I$68,BB$4-$B238+1)</f>
        <v/>
      </c>
      <c r="BC238" s="153">
        <f>$C238*INDEX(Curves!$I$8:$I$68,BC$4-$B238+1)</f>
        <v/>
      </c>
      <c r="BD238" s="153">
        <f>$C238*INDEX(Curves!$I$8:$I$68,BD$4-$B238+1)</f>
        <v/>
      </c>
      <c r="BE238" s="153">
        <f>$C238*INDEX(Curves!$I$8:$I$68,BE$4-$B238+1)</f>
        <v/>
      </c>
      <c r="BF238" s="153">
        <f>$C238*INDEX(Curves!$I$8:$I$68,BF$4-$B238+1)</f>
        <v/>
      </c>
      <c r="BG238" s="153">
        <f>$C238*INDEX(Curves!$I$8:$I$68,BG$4-$B238+1)</f>
        <v/>
      </c>
      <c r="BH238" s="153">
        <f>$C238*INDEX(Curves!$I$8:$I$68,BH$4-$B238+1)</f>
        <v/>
      </c>
      <c r="BI238" s="153">
        <f>$C238*INDEX(Curves!$I$8:$I$68,BI$4-$B238+1)</f>
        <v/>
      </c>
      <c r="BJ238" s="153">
        <f>$C238*INDEX(Curves!$I$8:$I$68,BJ$4-$B238+1)</f>
        <v/>
      </c>
      <c r="BK238" s="153">
        <f>$C238*INDEX(Curves!$I$8:$I$68,BK$4-$B238+1)</f>
        <v/>
      </c>
      <c r="BL238" s="153">
        <f>$C238*INDEX(Curves!$I$8:$I$68,BL$4-$B238+1)</f>
        <v/>
      </c>
    </row>
    <row r="239">
      <c r="A239" s="147" t="inlineStr">
        <is>
          <t>Cohort month 41</t>
        </is>
      </c>
      <c r="B239" s="147" t="n">
        <v>41</v>
      </c>
      <c r="C239" s="41">
        <f>INDEX(Ops!$E$10:$BL$10,1,$B239)</f>
        <v/>
      </c>
      <c r="AT239" s="153">
        <f>$C239*INDEX(Curves!$I$8:$I$68,AT$4-$B239+1)</f>
        <v/>
      </c>
      <c r="AU239" s="153">
        <f>$C239*INDEX(Curves!$I$8:$I$68,AU$4-$B239+1)</f>
        <v/>
      </c>
      <c r="AV239" s="153">
        <f>$C239*INDEX(Curves!$I$8:$I$68,AV$4-$B239+1)</f>
        <v/>
      </c>
      <c r="AW239" s="153">
        <f>$C239*INDEX(Curves!$I$8:$I$68,AW$4-$B239+1)</f>
        <v/>
      </c>
      <c r="AX239" s="153">
        <f>$C239*INDEX(Curves!$I$8:$I$68,AX$4-$B239+1)</f>
        <v/>
      </c>
      <c r="AY239" s="153">
        <f>$C239*INDEX(Curves!$I$8:$I$68,AY$4-$B239+1)</f>
        <v/>
      </c>
      <c r="AZ239" s="153">
        <f>$C239*INDEX(Curves!$I$8:$I$68,AZ$4-$B239+1)</f>
        <v/>
      </c>
      <c r="BA239" s="153">
        <f>$C239*INDEX(Curves!$I$8:$I$68,BA$4-$B239+1)</f>
        <v/>
      </c>
      <c r="BB239" s="153">
        <f>$C239*INDEX(Curves!$I$8:$I$68,BB$4-$B239+1)</f>
        <v/>
      </c>
      <c r="BC239" s="153">
        <f>$C239*INDEX(Curves!$I$8:$I$68,BC$4-$B239+1)</f>
        <v/>
      </c>
      <c r="BD239" s="153">
        <f>$C239*INDEX(Curves!$I$8:$I$68,BD$4-$B239+1)</f>
        <v/>
      </c>
      <c r="BE239" s="153">
        <f>$C239*INDEX(Curves!$I$8:$I$68,BE$4-$B239+1)</f>
        <v/>
      </c>
      <c r="BF239" s="153">
        <f>$C239*INDEX(Curves!$I$8:$I$68,BF$4-$B239+1)</f>
        <v/>
      </c>
      <c r="BG239" s="153">
        <f>$C239*INDEX(Curves!$I$8:$I$68,BG$4-$B239+1)</f>
        <v/>
      </c>
      <c r="BH239" s="153">
        <f>$C239*INDEX(Curves!$I$8:$I$68,BH$4-$B239+1)</f>
        <v/>
      </c>
      <c r="BI239" s="153">
        <f>$C239*INDEX(Curves!$I$8:$I$68,BI$4-$B239+1)</f>
        <v/>
      </c>
      <c r="BJ239" s="153">
        <f>$C239*INDEX(Curves!$I$8:$I$68,BJ$4-$B239+1)</f>
        <v/>
      </c>
      <c r="BK239" s="153">
        <f>$C239*INDEX(Curves!$I$8:$I$68,BK$4-$B239+1)</f>
        <v/>
      </c>
      <c r="BL239" s="153">
        <f>$C239*INDEX(Curves!$I$8:$I$68,BL$4-$B239+1)</f>
        <v/>
      </c>
    </row>
    <row r="240">
      <c r="A240" s="147" t="inlineStr">
        <is>
          <t>Cohort month 42</t>
        </is>
      </c>
      <c r="B240" s="147" t="n">
        <v>42</v>
      </c>
      <c r="C240" s="41">
        <f>INDEX(Ops!$E$10:$BL$10,1,$B240)</f>
        <v/>
      </c>
      <c r="AU240" s="153">
        <f>$C240*INDEX(Curves!$I$8:$I$68,AU$4-$B240+1)</f>
        <v/>
      </c>
      <c r="AV240" s="153">
        <f>$C240*INDEX(Curves!$I$8:$I$68,AV$4-$B240+1)</f>
        <v/>
      </c>
      <c r="AW240" s="153">
        <f>$C240*INDEX(Curves!$I$8:$I$68,AW$4-$B240+1)</f>
        <v/>
      </c>
      <c r="AX240" s="153">
        <f>$C240*INDEX(Curves!$I$8:$I$68,AX$4-$B240+1)</f>
        <v/>
      </c>
      <c r="AY240" s="153">
        <f>$C240*INDEX(Curves!$I$8:$I$68,AY$4-$B240+1)</f>
        <v/>
      </c>
      <c r="AZ240" s="153">
        <f>$C240*INDEX(Curves!$I$8:$I$68,AZ$4-$B240+1)</f>
        <v/>
      </c>
      <c r="BA240" s="153">
        <f>$C240*INDEX(Curves!$I$8:$I$68,BA$4-$B240+1)</f>
        <v/>
      </c>
      <c r="BB240" s="153">
        <f>$C240*INDEX(Curves!$I$8:$I$68,BB$4-$B240+1)</f>
        <v/>
      </c>
      <c r="BC240" s="153">
        <f>$C240*INDEX(Curves!$I$8:$I$68,BC$4-$B240+1)</f>
        <v/>
      </c>
      <c r="BD240" s="153">
        <f>$C240*INDEX(Curves!$I$8:$I$68,BD$4-$B240+1)</f>
        <v/>
      </c>
      <c r="BE240" s="153">
        <f>$C240*INDEX(Curves!$I$8:$I$68,BE$4-$B240+1)</f>
        <v/>
      </c>
      <c r="BF240" s="153">
        <f>$C240*INDEX(Curves!$I$8:$I$68,BF$4-$B240+1)</f>
        <v/>
      </c>
      <c r="BG240" s="153">
        <f>$C240*INDEX(Curves!$I$8:$I$68,BG$4-$B240+1)</f>
        <v/>
      </c>
      <c r="BH240" s="153">
        <f>$C240*INDEX(Curves!$I$8:$I$68,BH$4-$B240+1)</f>
        <v/>
      </c>
      <c r="BI240" s="153">
        <f>$C240*INDEX(Curves!$I$8:$I$68,BI$4-$B240+1)</f>
        <v/>
      </c>
      <c r="BJ240" s="153">
        <f>$C240*INDEX(Curves!$I$8:$I$68,BJ$4-$B240+1)</f>
        <v/>
      </c>
      <c r="BK240" s="153">
        <f>$C240*INDEX(Curves!$I$8:$I$68,BK$4-$B240+1)</f>
        <v/>
      </c>
      <c r="BL240" s="153">
        <f>$C240*INDEX(Curves!$I$8:$I$68,BL$4-$B240+1)</f>
        <v/>
      </c>
    </row>
    <row r="241">
      <c r="A241" s="147" t="inlineStr">
        <is>
          <t>Cohort month 43</t>
        </is>
      </c>
      <c r="B241" s="147" t="n">
        <v>43</v>
      </c>
      <c r="C241" s="41">
        <f>INDEX(Ops!$E$10:$BL$10,1,$B241)</f>
        <v/>
      </c>
      <c r="AV241" s="153">
        <f>$C241*INDEX(Curves!$I$8:$I$68,AV$4-$B241+1)</f>
        <v/>
      </c>
      <c r="AW241" s="153">
        <f>$C241*INDEX(Curves!$I$8:$I$68,AW$4-$B241+1)</f>
        <v/>
      </c>
      <c r="AX241" s="153">
        <f>$C241*INDEX(Curves!$I$8:$I$68,AX$4-$B241+1)</f>
        <v/>
      </c>
      <c r="AY241" s="153">
        <f>$C241*INDEX(Curves!$I$8:$I$68,AY$4-$B241+1)</f>
        <v/>
      </c>
      <c r="AZ241" s="153">
        <f>$C241*INDEX(Curves!$I$8:$I$68,AZ$4-$B241+1)</f>
        <v/>
      </c>
      <c r="BA241" s="153">
        <f>$C241*INDEX(Curves!$I$8:$I$68,BA$4-$B241+1)</f>
        <v/>
      </c>
      <c r="BB241" s="153">
        <f>$C241*INDEX(Curves!$I$8:$I$68,BB$4-$B241+1)</f>
        <v/>
      </c>
      <c r="BC241" s="153">
        <f>$C241*INDEX(Curves!$I$8:$I$68,BC$4-$B241+1)</f>
        <v/>
      </c>
      <c r="BD241" s="153">
        <f>$C241*INDEX(Curves!$I$8:$I$68,BD$4-$B241+1)</f>
        <v/>
      </c>
      <c r="BE241" s="153">
        <f>$C241*INDEX(Curves!$I$8:$I$68,BE$4-$B241+1)</f>
        <v/>
      </c>
      <c r="BF241" s="153">
        <f>$C241*INDEX(Curves!$I$8:$I$68,BF$4-$B241+1)</f>
        <v/>
      </c>
      <c r="BG241" s="153">
        <f>$C241*INDEX(Curves!$I$8:$I$68,BG$4-$B241+1)</f>
        <v/>
      </c>
      <c r="BH241" s="153">
        <f>$C241*INDEX(Curves!$I$8:$I$68,BH$4-$B241+1)</f>
        <v/>
      </c>
      <c r="BI241" s="153">
        <f>$C241*INDEX(Curves!$I$8:$I$68,BI$4-$B241+1)</f>
        <v/>
      </c>
      <c r="BJ241" s="153">
        <f>$C241*INDEX(Curves!$I$8:$I$68,BJ$4-$B241+1)</f>
        <v/>
      </c>
      <c r="BK241" s="153">
        <f>$C241*INDEX(Curves!$I$8:$I$68,BK$4-$B241+1)</f>
        <v/>
      </c>
      <c r="BL241" s="153">
        <f>$C241*INDEX(Curves!$I$8:$I$68,BL$4-$B241+1)</f>
        <v/>
      </c>
    </row>
    <row r="242">
      <c r="A242" s="147" t="inlineStr">
        <is>
          <t>Cohort month 44</t>
        </is>
      </c>
      <c r="B242" s="147" t="n">
        <v>44</v>
      </c>
      <c r="C242" s="41">
        <f>INDEX(Ops!$E$10:$BL$10,1,$B242)</f>
        <v/>
      </c>
      <c r="AW242" s="153">
        <f>$C242*INDEX(Curves!$I$8:$I$68,AW$4-$B242+1)</f>
        <v/>
      </c>
      <c r="AX242" s="153">
        <f>$C242*INDEX(Curves!$I$8:$I$68,AX$4-$B242+1)</f>
        <v/>
      </c>
      <c r="AY242" s="153">
        <f>$C242*INDEX(Curves!$I$8:$I$68,AY$4-$B242+1)</f>
        <v/>
      </c>
      <c r="AZ242" s="153">
        <f>$C242*INDEX(Curves!$I$8:$I$68,AZ$4-$B242+1)</f>
        <v/>
      </c>
      <c r="BA242" s="153">
        <f>$C242*INDEX(Curves!$I$8:$I$68,BA$4-$B242+1)</f>
        <v/>
      </c>
      <c r="BB242" s="153">
        <f>$C242*INDEX(Curves!$I$8:$I$68,BB$4-$B242+1)</f>
        <v/>
      </c>
      <c r="BC242" s="153">
        <f>$C242*INDEX(Curves!$I$8:$I$68,BC$4-$B242+1)</f>
        <v/>
      </c>
      <c r="BD242" s="153">
        <f>$C242*INDEX(Curves!$I$8:$I$68,BD$4-$B242+1)</f>
        <v/>
      </c>
      <c r="BE242" s="153">
        <f>$C242*INDEX(Curves!$I$8:$I$68,BE$4-$B242+1)</f>
        <v/>
      </c>
      <c r="BF242" s="153">
        <f>$C242*INDEX(Curves!$I$8:$I$68,BF$4-$B242+1)</f>
        <v/>
      </c>
      <c r="BG242" s="153">
        <f>$C242*INDEX(Curves!$I$8:$I$68,BG$4-$B242+1)</f>
        <v/>
      </c>
      <c r="BH242" s="153">
        <f>$C242*INDEX(Curves!$I$8:$I$68,BH$4-$B242+1)</f>
        <v/>
      </c>
      <c r="BI242" s="153">
        <f>$C242*INDEX(Curves!$I$8:$I$68,BI$4-$B242+1)</f>
        <v/>
      </c>
      <c r="BJ242" s="153">
        <f>$C242*INDEX(Curves!$I$8:$I$68,BJ$4-$B242+1)</f>
        <v/>
      </c>
      <c r="BK242" s="153">
        <f>$C242*INDEX(Curves!$I$8:$I$68,BK$4-$B242+1)</f>
        <v/>
      </c>
      <c r="BL242" s="153">
        <f>$C242*INDEX(Curves!$I$8:$I$68,BL$4-$B242+1)</f>
        <v/>
      </c>
    </row>
    <row r="243">
      <c r="A243" s="147" t="inlineStr">
        <is>
          <t>Cohort month 45</t>
        </is>
      </c>
      <c r="B243" s="147" t="n">
        <v>45</v>
      </c>
      <c r="C243" s="41">
        <f>INDEX(Ops!$E$10:$BL$10,1,$B243)</f>
        <v/>
      </c>
      <c r="AX243" s="153">
        <f>$C243*INDEX(Curves!$I$8:$I$68,AX$4-$B243+1)</f>
        <v/>
      </c>
      <c r="AY243" s="153">
        <f>$C243*INDEX(Curves!$I$8:$I$68,AY$4-$B243+1)</f>
        <v/>
      </c>
      <c r="AZ243" s="153">
        <f>$C243*INDEX(Curves!$I$8:$I$68,AZ$4-$B243+1)</f>
        <v/>
      </c>
      <c r="BA243" s="153">
        <f>$C243*INDEX(Curves!$I$8:$I$68,BA$4-$B243+1)</f>
        <v/>
      </c>
      <c r="BB243" s="153">
        <f>$C243*INDEX(Curves!$I$8:$I$68,BB$4-$B243+1)</f>
        <v/>
      </c>
      <c r="BC243" s="153">
        <f>$C243*INDEX(Curves!$I$8:$I$68,BC$4-$B243+1)</f>
        <v/>
      </c>
      <c r="BD243" s="153">
        <f>$C243*INDEX(Curves!$I$8:$I$68,BD$4-$B243+1)</f>
        <v/>
      </c>
      <c r="BE243" s="153">
        <f>$C243*INDEX(Curves!$I$8:$I$68,BE$4-$B243+1)</f>
        <v/>
      </c>
      <c r="BF243" s="153">
        <f>$C243*INDEX(Curves!$I$8:$I$68,BF$4-$B243+1)</f>
        <v/>
      </c>
      <c r="BG243" s="153">
        <f>$C243*INDEX(Curves!$I$8:$I$68,BG$4-$B243+1)</f>
        <v/>
      </c>
      <c r="BH243" s="153">
        <f>$C243*INDEX(Curves!$I$8:$I$68,BH$4-$B243+1)</f>
        <v/>
      </c>
      <c r="BI243" s="153">
        <f>$C243*INDEX(Curves!$I$8:$I$68,BI$4-$B243+1)</f>
        <v/>
      </c>
      <c r="BJ243" s="153">
        <f>$C243*INDEX(Curves!$I$8:$I$68,BJ$4-$B243+1)</f>
        <v/>
      </c>
      <c r="BK243" s="153">
        <f>$C243*INDEX(Curves!$I$8:$I$68,BK$4-$B243+1)</f>
        <v/>
      </c>
      <c r="BL243" s="153">
        <f>$C243*INDEX(Curves!$I$8:$I$68,BL$4-$B243+1)</f>
        <v/>
      </c>
    </row>
    <row r="244">
      <c r="A244" s="147" t="inlineStr">
        <is>
          <t>Cohort month 46</t>
        </is>
      </c>
      <c r="B244" s="147" t="n">
        <v>46</v>
      </c>
      <c r="C244" s="41">
        <f>INDEX(Ops!$E$10:$BL$10,1,$B244)</f>
        <v/>
      </c>
      <c r="AY244" s="153">
        <f>$C244*INDEX(Curves!$I$8:$I$68,AY$4-$B244+1)</f>
        <v/>
      </c>
      <c r="AZ244" s="153">
        <f>$C244*INDEX(Curves!$I$8:$I$68,AZ$4-$B244+1)</f>
        <v/>
      </c>
      <c r="BA244" s="153">
        <f>$C244*INDEX(Curves!$I$8:$I$68,BA$4-$B244+1)</f>
        <v/>
      </c>
      <c r="BB244" s="153">
        <f>$C244*INDEX(Curves!$I$8:$I$68,BB$4-$B244+1)</f>
        <v/>
      </c>
      <c r="BC244" s="153">
        <f>$C244*INDEX(Curves!$I$8:$I$68,BC$4-$B244+1)</f>
        <v/>
      </c>
      <c r="BD244" s="153">
        <f>$C244*INDEX(Curves!$I$8:$I$68,BD$4-$B244+1)</f>
        <v/>
      </c>
      <c r="BE244" s="153">
        <f>$C244*INDEX(Curves!$I$8:$I$68,BE$4-$B244+1)</f>
        <v/>
      </c>
      <c r="BF244" s="153">
        <f>$C244*INDEX(Curves!$I$8:$I$68,BF$4-$B244+1)</f>
        <v/>
      </c>
      <c r="BG244" s="153">
        <f>$C244*INDEX(Curves!$I$8:$I$68,BG$4-$B244+1)</f>
        <v/>
      </c>
      <c r="BH244" s="153">
        <f>$C244*INDEX(Curves!$I$8:$I$68,BH$4-$B244+1)</f>
        <v/>
      </c>
      <c r="BI244" s="153">
        <f>$C244*INDEX(Curves!$I$8:$I$68,BI$4-$B244+1)</f>
        <v/>
      </c>
      <c r="BJ244" s="153">
        <f>$C244*INDEX(Curves!$I$8:$I$68,BJ$4-$B244+1)</f>
        <v/>
      </c>
      <c r="BK244" s="153">
        <f>$C244*INDEX(Curves!$I$8:$I$68,BK$4-$B244+1)</f>
        <v/>
      </c>
      <c r="BL244" s="153">
        <f>$C244*INDEX(Curves!$I$8:$I$68,BL$4-$B244+1)</f>
        <v/>
      </c>
    </row>
    <row r="245">
      <c r="A245" s="147" t="inlineStr">
        <is>
          <t>Cohort month 47</t>
        </is>
      </c>
      <c r="B245" s="147" t="n">
        <v>47</v>
      </c>
      <c r="C245" s="41">
        <f>INDEX(Ops!$E$10:$BL$10,1,$B245)</f>
        <v/>
      </c>
      <c r="AZ245" s="153">
        <f>$C245*INDEX(Curves!$I$8:$I$68,AZ$4-$B245+1)</f>
        <v/>
      </c>
      <c r="BA245" s="153">
        <f>$C245*INDEX(Curves!$I$8:$I$68,BA$4-$B245+1)</f>
        <v/>
      </c>
      <c r="BB245" s="153">
        <f>$C245*INDEX(Curves!$I$8:$I$68,BB$4-$B245+1)</f>
        <v/>
      </c>
      <c r="BC245" s="153">
        <f>$C245*INDEX(Curves!$I$8:$I$68,BC$4-$B245+1)</f>
        <v/>
      </c>
      <c r="BD245" s="153">
        <f>$C245*INDEX(Curves!$I$8:$I$68,BD$4-$B245+1)</f>
        <v/>
      </c>
      <c r="BE245" s="153">
        <f>$C245*INDEX(Curves!$I$8:$I$68,BE$4-$B245+1)</f>
        <v/>
      </c>
      <c r="BF245" s="153">
        <f>$C245*INDEX(Curves!$I$8:$I$68,BF$4-$B245+1)</f>
        <v/>
      </c>
      <c r="BG245" s="153">
        <f>$C245*INDEX(Curves!$I$8:$I$68,BG$4-$B245+1)</f>
        <v/>
      </c>
      <c r="BH245" s="153">
        <f>$C245*INDEX(Curves!$I$8:$I$68,BH$4-$B245+1)</f>
        <v/>
      </c>
      <c r="BI245" s="153">
        <f>$C245*INDEX(Curves!$I$8:$I$68,BI$4-$B245+1)</f>
        <v/>
      </c>
      <c r="BJ245" s="153">
        <f>$C245*INDEX(Curves!$I$8:$I$68,BJ$4-$B245+1)</f>
        <v/>
      </c>
      <c r="BK245" s="153">
        <f>$C245*INDEX(Curves!$I$8:$I$68,BK$4-$B245+1)</f>
        <v/>
      </c>
      <c r="BL245" s="153">
        <f>$C245*INDEX(Curves!$I$8:$I$68,BL$4-$B245+1)</f>
        <v/>
      </c>
    </row>
    <row r="246">
      <c r="A246" s="147" t="inlineStr">
        <is>
          <t>Cohort month 48</t>
        </is>
      </c>
      <c r="B246" s="147" t="n">
        <v>48</v>
      </c>
      <c r="C246" s="41">
        <f>INDEX(Ops!$E$10:$BL$10,1,$B246)</f>
        <v/>
      </c>
      <c r="BA246" s="153">
        <f>$C246*INDEX(Curves!$I$8:$I$68,BA$4-$B246+1)</f>
        <v/>
      </c>
      <c r="BB246" s="153">
        <f>$C246*INDEX(Curves!$I$8:$I$68,BB$4-$B246+1)</f>
        <v/>
      </c>
      <c r="BC246" s="153">
        <f>$C246*INDEX(Curves!$I$8:$I$68,BC$4-$B246+1)</f>
        <v/>
      </c>
      <c r="BD246" s="153">
        <f>$C246*INDEX(Curves!$I$8:$I$68,BD$4-$B246+1)</f>
        <v/>
      </c>
      <c r="BE246" s="153">
        <f>$C246*INDEX(Curves!$I$8:$I$68,BE$4-$B246+1)</f>
        <v/>
      </c>
      <c r="BF246" s="153">
        <f>$C246*INDEX(Curves!$I$8:$I$68,BF$4-$B246+1)</f>
        <v/>
      </c>
      <c r="BG246" s="153">
        <f>$C246*INDEX(Curves!$I$8:$I$68,BG$4-$B246+1)</f>
        <v/>
      </c>
      <c r="BH246" s="153">
        <f>$C246*INDEX(Curves!$I$8:$I$68,BH$4-$B246+1)</f>
        <v/>
      </c>
      <c r="BI246" s="153">
        <f>$C246*INDEX(Curves!$I$8:$I$68,BI$4-$B246+1)</f>
        <v/>
      </c>
      <c r="BJ246" s="153">
        <f>$C246*INDEX(Curves!$I$8:$I$68,BJ$4-$B246+1)</f>
        <v/>
      </c>
      <c r="BK246" s="153">
        <f>$C246*INDEX(Curves!$I$8:$I$68,BK$4-$B246+1)</f>
        <v/>
      </c>
      <c r="BL246" s="153">
        <f>$C246*INDEX(Curves!$I$8:$I$68,BL$4-$B246+1)</f>
        <v/>
      </c>
    </row>
    <row r="247">
      <c r="A247" s="147" t="inlineStr">
        <is>
          <t>Cohort month 49</t>
        </is>
      </c>
      <c r="B247" s="147" t="n">
        <v>49</v>
      </c>
      <c r="C247" s="41">
        <f>INDEX(Ops!$E$10:$BL$10,1,$B247)</f>
        <v/>
      </c>
      <c r="BB247" s="153">
        <f>$C247*INDEX(Curves!$I$8:$I$68,BB$4-$B247+1)</f>
        <v/>
      </c>
      <c r="BC247" s="153">
        <f>$C247*INDEX(Curves!$I$8:$I$68,BC$4-$B247+1)</f>
        <v/>
      </c>
      <c r="BD247" s="153">
        <f>$C247*INDEX(Curves!$I$8:$I$68,BD$4-$B247+1)</f>
        <v/>
      </c>
      <c r="BE247" s="153">
        <f>$C247*INDEX(Curves!$I$8:$I$68,BE$4-$B247+1)</f>
        <v/>
      </c>
      <c r="BF247" s="153">
        <f>$C247*INDEX(Curves!$I$8:$I$68,BF$4-$B247+1)</f>
        <v/>
      </c>
      <c r="BG247" s="153">
        <f>$C247*INDEX(Curves!$I$8:$I$68,BG$4-$B247+1)</f>
        <v/>
      </c>
      <c r="BH247" s="153">
        <f>$C247*INDEX(Curves!$I$8:$I$68,BH$4-$B247+1)</f>
        <v/>
      </c>
      <c r="BI247" s="153">
        <f>$C247*INDEX(Curves!$I$8:$I$68,BI$4-$B247+1)</f>
        <v/>
      </c>
      <c r="BJ247" s="153">
        <f>$C247*INDEX(Curves!$I$8:$I$68,BJ$4-$B247+1)</f>
        <v/>
      </c>
      <c r="BK247" s="153">
        <f>$C247*INDEX(Curves!$I$8:$I$68,BK$4-$B247+1)</f>
        <v/>
      </c>
      <c r="BL247" s="153">
        <f>$C247*INDEX(Curves!$I$8:$I$68,BL$4-$B247+1)</f>
        <v/>
      </c>
    </row>
    <row r="248">
      <c r="A248" s="147" t="inlineStr">
        <is>
          <t>Cohort month 50</t>
        </is>
      </c>
      <c r="B248" s="147" t="n">
        <v>50</v>
      </c>
      <c r="C248" s="41">
        <f>INDEX(Ops!$E$10:$BL$10,1,$B248)</f>
        <v/>
      </c>
      <c r="BC248" s="153">
        <f>$C248*INDEX(Curves!$I$8:$I$68,BC$4-$B248+1)</f>
        <v/>
      </c>
      <c r="BD248" s="153">
        <f>$C248*INDEX(Curves!$I$8:$I$68,BD$4-$B248+1)</f>
        <v/>
      </c>
      <c r="BE248" s="153">
        <f>$C248*INDEX(Curves!$I$8:$I$68,BE$4-$B248+1)</f>
        <v/>
      </c>
      <c r="BF248" s="153">
        <f>$C248*INDEX(Curves!$I$8:$I$68,BF$4-$B248+1)</f>
        <v/>
      </c>
      <c r="BG248" s="153">
        <f>$C248*INDEX(Curves!$I$8:$I$68,BG$4-$B248+1)</f>
        <v/>
      </c>
      <c r="BH248" s="153">
        <f>$C248*INDEX(Curves!$I$8:$I$68,BH$4-$B248+1)</f>
        <v/>
      </c>
      <c r="BI248" s="153">
        <f>$C248*INDEX(Curves!$I$8:$I$68,BI$4-$B248+1)</f>
        <v/>
      </c>
      <c r="BJ248" s="153">
        <f>$C248*INDEX(Curves!$I$8:$I$68,BJ$4-$B248+1)</f>
        <v/>
      </c>
      <c r="BK248" s="153">
        <f>$C248*INDEX(Curves!$I$8:$I$68,BK$4-$B248+1)</f>
        <v/>
      </c>
      <c r="BL248" s="153">
        <f>$C248*INDEX(Curves!$I$8:$I$68,BL$4-$B248+1)</f>
        <v/>
      </c>
    </row>
    <row r="249">
      <c r="A249" s="147" t="inlineStr">
        <is>
          <t>Cohort month 51</t>
        </is>
      </c>
      <c r="B249" s="147" t="n">
        <v>51</v>
      </c>
      <c r="C249" s="41">
        <f>INDEX(Ops!$E$10:$BL$10,1,$B249)</f>
        <v/>
      </c>
      <c r="BD249" s="153">
        <f>$C249*INDEX(Curves!$I$8:$I$68,BD$4-$B249+1)</f>
        <v/>
      </c>
      <c r="BE249" s="153">
        <f>$C249*INDEX(Curves!$I$8:$I$68,BE$4-$B249+1)</f>
        <v/>
      </c>
      <c r="BF249" s="153">
        <f>$C249*INDEX(Curves!$I$8:$I$68,BF$4-$B249+1)</f>
        <v/>
      </c>
      <c r="BG249" s="153">
        <f>$C249*INDEX(Curves!$I$8:$I$68,BG$4-$B249+1)</f>
        <v/>
      </c>
      <c r="BH249" s="153">
        <f>$C249*INDEX(Curves!$I$8:$I$68,BH$4-$B249+1)</f>
        <v/>
      </c>
      <c r="BI249" s="153">
        <f>$C249*INDEX(Curves!$I$8:$I$68,BI$4-$B249+1)</f>
        <v/>
      </c>
      <c r="BJ249" s="153">
        <f>$C249*INDEX(Curves!$I$8:$I$68,BJ$4-$B249+1)</f>
        <v/>
      </c>
      <c r="BK249" s="153">
        <f>$C249*INDEX(Curves!$I$8:$I$68,BK$4-$B249+1)</f>
        <v/>
      </c>
      <c r="BL249" s="153">
        <f>$C249*INDEX(Curves!$I$8:$I$68,BL$4-$B249+1)</f>
        <v/>
      </c>
    </row>
    <row r="250">
      <c r="A250" s="147" t="inlineStr">
        <is>
          <t>Cohort month 52</t>
        </is>
      </c>
      <c r="B250" s="147" t="n">
        <v>52</v>
      </c>
      <c r="C250" s="41">
        <f>INDEX(Ops!$E$10:$BL$10,1,$B250)</f>
        <v/>
      </c>
      <c r="BE250" s="153">
        <f>$C250*INDEX(Curves!$I$8:$I$68,BE$4-$B250+1)</f>
        <v/>
      </c>
      <c r="BF250" s="153">
        <f>$C250*INDEX(Curves!$I$8:$I$68,BF$4-$B250+1)</f>
        <v/>
      </c>
      <c r="BG250" s="153">
        <f>$C250*INDEX(Curves!$I$8:$I$68,BG$4-$B250+1)</f>
        <v/>
      </c>
      <c r="BH250" s="153">
        <f>$C250*INDEX(Curves!$I$8:$I$68,BH$4-$B250+1)</f>
        <v/>
      </c>
      <c r="BI250" s="153">
        <f>$C250*INDEX(Curves!$I$8:$I$68,BI$4-$B250+1)</f>
        <v/>
      </c>
      <c r="BJ250" s="153">
        <f>$C250*INDEX(Curves!$I$8:$I$68,BJ$4-$B250+1)</f>
        <v/>
      </c>
      <c r="BK250" s="153">
        <f>$C250*INDEX(Curves!$I$8:$I$68,BK$4-$B250+1)</f>
        <v/>
      </c>
      <c r="BL250" s="153">
        <f>$C250*INDEX(Curves!$I$8:$I$68,BL$4-$B250+1)</f>
        <v/>
      </c>
    </row>
    <row r="251">
      <c r="A251" s="147" t="inlineStr">
        <is>
          <t>Cohort month 53</t>
        </is>
      </c>
      <c r="B251" s="147" t="n">
        <v>53</v>
      </c>
      <c r="C251" s="41">
        <f>INDEX(Ops!$E$10:$BL$10,1,$B251)</f>
        <v/>
      </c>
      <c r="BF251" s="153">
        <f>$C251*INDEX(Curves!$I$8:$I$68,BF$4-$B251+1)</f>
        <v/>
      </c>
      <c r="BG251" s="153">
        <f>$C251*INDEX(Curves!$I$8:$I$68,BG$4-$B251+1)</f>
        <v/>
      </c>
      <c r="BH251" s="153">
        <f>$C251*INDEX(Curves!$I$8:$I$68,BH$4-$B251+1)</f>
        <v/>
      </c>
      <c r="BI251" s="153">
        <f>$C251*INDEX(Curves!$I$8:$I$68,BI$4-$B251+1)</f>
        <v/>
      </c>
      <c r="BJ251" s="153">
        <f>$C251*INDEX(Curves!$I$8:$I$68,BJ$4-$B251+1)</f>
        <v/>
      </c>
      <c r="BK251" s="153">
        <f>$C251*INDEX(Curves!$I$8:$I$68,BK$4-$B251+1)</f>
        <v/>
      </c>
      <c r="BL251" s="153">
        <f>$C251*INDEX(Curves!$I$8:$I$68,BL$4-$B251+1)</f>
        <v/>
      </c>
    </row>
    <row r="252">
      <c r="A252" s="147" t="inlineStr">
        <is>
          <t>Cohort month 54</t>
        </is>
      </c>
      <c r="B252" s="147" t="n">
        <v>54</v>
      </c>
      <c r="C252" s="41">
        <f>INDEX(Ops!$E$10:$BL$10,1,$B252)</f>
        <v/>
      </c>
      <c r="BG252" s="153">
        <f>$C252*INDEX(Curves!$I$8:$I$68,BG$4-$B252+1)</f>
        <v/>
      </c>
      <c r="BH252" s="153">
        <f>$C252*INDEX(Curves!$I$8:$I$68,BH$4-$B252+1)</f>
        <v/>
      </c>
      <c r="BI252" s="153">
        <f>$C252*INDEX(Curves!$I$8:$I$68,BI$4-$B252+1)</f>
        <v/>
      </c>
      <c r="BJ252" s="153">
        <f>$C252*INDEX(Curves!$I$8:$I$68,BJ$4-$B252+1)</f>
        <v/>
      </c>
      <c r="BK252" s="153">
        <f>$C252*INDEX(Curves!$I$8:$I$68,BK$4-$B252+1)</f>
        <v/>
      </c>
      <c r="BL252" s="153">
        <f>$C252*INDEX(Curves!$I$8:$I$68,BL$4-$B252+1)</f>
        <v/>
      </c>
    </row>
    <row r="253">
      <c r="A253" s="147" t="inlineStr">
        <is>
          <t>Cohort month 55</t>
        </is>
      </c>
      <c r="B253" s="147" t="n">
        <v>55</v>
      </c>
      <c r="C253" s="41">
        <f>INDEX(Ops!$E$10:$BL$10,1,$B253)</f>
        <v/>
      </c>
      <c r="BH253" s="153">
        <f>$C253*INDEX(Curves!$I$8:$I$68,BH$4-$B253+1)</f>
        <v/>
      </c>
      <c r="BI253" s="153">
        <f>$C253*INDEX(Curves!$I$8:$I$68,BI$4-$B253+1)</f>
        <v/>
      </c>
      <c r="BJ253" s="153">
        <f>$C253*INDEX(Curves!$I$8:$I$68,BJ$4-$B253+1)</f>
        <v/>
      </c>
      <c r="BK253" s="153">
        <f>$C253*INDEX(Curves!$I$8:$I$68,BK$4-$B253+1)</f>
        <v/>
      </c>
      <c r="BL253" s="153">
        <f>$C253*INDEX(Curves!$I$8:$I$68,BL$4-$B253+1)</f>
        <v/>
      </c>
    </row>
    <row r="254">
      <c r="A254" s="147" t="inlineStr">
        <is>
          <t>Cohort month 56</t>
        </is>
      </c>
      <c r="B254" s="147" t="n">
        <v>56</v>
      </c>
      <c r="C254" s="41">
        <f>INDEX(Ops!$E$10:$BL$10,1,$B254)</f>
        <v/>
      </c>
      <c r="BI254" s="153">
        <f>$C254*INDEX(Curves!$I$8:$I$68,BI$4-$B254+1)</f>
        <v/>
      </c>
      <c r="BJ254" s="153">
        <f>$C254*INDEX(Curves!$I$8:$I$68,BJ$4-$B254+1)</f>
        <v/>
      </c>
      <c r="BK254" s="153">
        <f>$C254*INDEX(Curves!$I$8:$I$68,BK$4-$B254+1)</f>
        <v/>
      </c>
      <c r="BL254" s="153">
        <f>$C254*INDEX(Curves!$I$8:$I$68,BL$4-$B254+1)</f>
        <v/>
      </c>
    </row>
    <row r="255">
      <c r="A255" s="147" t="inlineStr">
        <is>
          <t>Cohort month 57</t>
        </is>
      </c>
      <c r="B255" s="147" t="n">
        <v>57</v>
      </c>
      <c r="C255" s="41">
        <f>INDEX(Ops!$E$10:$BL$10,1,$B255)</f>
        <v/>
      </c>
      <c r="BJ255" s="153">
        <f>$C255*INDEX(Curves!$I$8:$I$68,BJ$4-$B255+1)</f>
        <v/>
      </c>
      <c r="BK255" s="153">
        <f>$C255*INDEX(Curves!$I$8:$I$68,BK$4-$B255+1)</f>
        <v/>
      </c>
      <c r="BL255" s="153">
        <f>$C255*INDEX(Curves!$I$8:$I$68,BL$4-$B255+1)</f>
        <v/>
      </c>
    </row>
    <row r="256">
      <c r="A256" s="147" t="inlineStr">
        <is>
          <t>Cohort month 58</t>
        </is>
      </c>
      <c r="B256" s="147" t="n">
        <v>58</v>
      </c>
      <c r="C256" s="41">
        <f>INDEX(Ops!$E$10:$BL$10,1,$B256)</f>
        <v/>
      </c>
      <c r="BK256" s="153">
        <f>$C256*INDEX(Curves!$I$8:$I$68,BK$4-$B256+1)</f>
        <v/>
      </c>
      <c r="BL256" s="153">
        <f>$C256*INDEX(Curves!$I$8:$I$68,BL$4-$B256+1)</f>
        <v/>
      </c>
    </row>
    <row r="257">
      <c r="A257" s="147" t="inlineStr">
        <is>
          <t>Cohort month 59</t>
        </is>
      </c>
      <c r="B257" s="147" t="n">
        <v>59</v>
      </c>
      <c r="C257" s="41">
        <f>INDEX(Ops!$E$10:$BL$10,1,$B257)</f>
        <v/>
      </c>
      <c r="BL257" s="153">
        <f>$C257*INDEX(Curves!$I$8:$I$68,BL$4-$B257+1)</f>
        <v/>
      </c>
    </row>
    <row r="258">
      <c r="A258" s="147" t="inlineStr">
        <is>
          <t>Cohort month 60</t>
        </is>
      </c>
      <c r="B258" s="147" t="n">
        <v>60</v>
      </c>
      <c r="C258" s="41">
        <f>INDEX(Ops!$E$10:$BL$10,1,$B258)</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39.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Cohort (vintage) analysis: Tier 2: SHS with TV</t>
        </is>
      </c>
    </row>
    <row r="2">
      <c r="A2" s="18" t="inlineStr">
        <is>
          <t>[FORECAST]  Rows = sales cohort (month of sale); columns = calendar month. Cohort size in column C.</t>
        </is>
      </c>
    </row>
    <row r="3"/>
    <row r="4">
      <c r="A4" s="94" t="inlineStr">
        <is>
          <t>Month #</t>
        </is>
      </c>
      <c r="B4" s="95" t="n"/>
      <c r="C4" s="95" t="n"/>
      <c r="D4" s="94" t="inlineStr">
        <is>
          <t>Opening</t>
        </is>
      </c>
      <c r="E4" s="96">
        <f>Timeline!E4</f>
        <v/>
      </c>
      <c r="F4" s="96">
        <f>Timeline!F4</f>
        <v/>
      </c>
      <c r="G4" s="96">
        <f>Timeline!G4</f>
        <v/>
      </c>
      <c r="H4" s="96">
        <f>Timeline!H4</f>
        <v/>
      </c>
      <c r="I4" s="96">
        <f>Timeline!I4</f>
        <v/>
      </c>
      <c r="J4" s="96">
        <f>Timeline!J4</f>
        <v/>
      </c>
      <c r="K4" s="96">
        <f>Timeline!K4</f>
        <v/>
      </c>
      <c r="L4" s="96">
        <f>Timeline!L4</f>
        <v/>
      </c>
      <c r="M4" s="96">
        <f>Timeline!M4</f>
        <v/>
      </c>
      <c r="N4" s="96">
        <f>Timeline!N4</f>
        <v/>
      </c>
      <c r="O4" s="96">
        <f>Timeline!O4</f>
        <v/>
      </c>
      <c r="P4" s="96">
        <f>Timeline!P4</f>
        <v/>
      </c>
      <c r="Q4" s="96">
        <f>Timeline!Q4</f>
        <v/>
      </c>
      <c r="R4" s="96">
        <f>Timeline!R4</f>
        <v/>
      </c>
      <c r="S4" s="96">
        <f>Timeline!S4</f>
        <v/>
      </c>
      <c r="T4" s="96">
        <f>Timeline!T4</f>
        <v/>
      </c>
      <c r="U4" s="96">
        <f>Timeline!U4</f>
        <v/>
      </c>
      <c r="V4" s="96">
        <f>Timeline!V4</f>
        <v/>
      </c>
      <c r="W4" s="96">
        <f>Timeline!W4</f>
        <v/>
      </c>
      <c r="X4" s="96">
        <f>Timeline!X4</f>
        <v/>
      </c>
      <c r="Y4" s="96">
        <f>Timeline!Y4</f>
        <v/>
      </c>
      <c r="Z4" s="96">
        <f>Timeline!Z4</f>
        <v/>
      </c>
      <c r="AA4" s="96">
        <f>Timeline!AA4</f>
        <v/>
      </c>
      <c r="AB4" s="96">
        <f>Timeline!AB4</f>
        <v/>
      </c>
      <c r="AC4" s="96">
        <f>Timeline!AC4</f>
        <v/>
      </c>
      <c r="AD4" s="96">
        <f>Timeline!AD4</f>
        <v/>
      </c>
      <c r="AE4" s="96">
        <f>Timeline!AE4</f>
        <v/>
      </c>
      <c r="AF4" s="96">
        <f>Timeline!AF4</f>
        <v/>
      </c>
      <c r="AG4" s="96">
        <f>Timeline!AG4</f>
        <v/>
      </c>
      <c r="AH4" s="96">
        <f>Timeline!AH4</f>
        <v/>
      </c>
      <c r="AI4" s="96">
        <f>Timeline!AI4</f>
        <v/>
      </c>
      <c r="AJ4" s="96">
        <f>Timeline!AJ4</f>
        <v/>
      </c>
      <c r="AK4" s="96">
        <f>Timeline!AK4</f>
        <v/>
      </c>
      <c r="AL4" s="96">
        <f>Timeline!AL4</f>
        <v/>
      </c>
      <c r="AM4" s="96">
        <f>Timeline!AM4</f>
        <v/>
      </c>
      <c r="AN4" s="96">
        <f>Timeline!AN4</f>
        <v/>
      </c>
      <c r="AO4" s="96">
        <f>Timeline!AO4</f>
        <v/>
      </c>
      <c r="AP4" s="96">
        <f>Timeline!AP4</f>
        <v/>
      </c>
      <c r="AQ4" s="96">
        <f>Timeline!AQ4</f>
        <v/>
      </c>
      <c r="AR4" s="96">
        <f>Timeline!AR4</f>
        <v/>
      </c>
      <c r="AS4" s="96">
        <f>Timeline!AS4</f>
        <v/>
      </c>
      <c r="AT4" s="96">
        <f>Timeline!AT4</f>
        <v/>
      </c>
      <c r="AU4" s="96">
        <f>Timeline!AU4</f>
        <v/>
      </c>
      <c r="AV4" s="96">
        <f>Timeline!AV4</f>
        <v/>
      </c>
      <c r="AW4" s="96">
        <f>Timeline!AW4</f>
        <v/>
      </c>
      <c r="AX4" s="96">
        <f>Timeline!AX4</f>
        <v/>
      </c>
      <c r="AY4" s="96">
        <f>Timeline!AY4</f>
        <v/>
      </c>
      <c r="AZ4" s="96">
        <f>Timeline!AZ4</f>
        <v/>
      </c>
      <c r="BA4" s="96">
        <f>Timeline!BA4</f>
        <v/>
      </c>
      <c r="BB4" s="96">
        <f>Timeline!BB4</f>
        <v/>
      </c>
      <c r="BC4" s="96">
        <f>Timeline!BC4</f>
        <v/>
      </c>
      <c r="BD4" s="96">
        <f>Timeline!BD4</f>
        <v/>
      </c>
      <c r="BE4" s="96">
        <f>Timeline!BE4</f>
        <v/>
      </c>
      <c r="BF4" s="96">
        <f>Timeline!BF4</f>
        <v/>
      </c>
      <c r="BG4" s="96">
        <f>Timeline!BG4</f>
        <v/>
      </c>
      <c r="BH4" s="96">
        <f>Timeline!BH4</f>
        <v/>
      </c>
      <c r="BI4" s="96">
        <f>Timeline!BI4</f>
        <v/>
      </c>
      <c r="BJ4" s="96">
        <f>Timeline!BJ4</f>
        <v/>
      </c>
      <c r="BK4" s="96">
        <f>Timeline!BK4</f>
        <v/>
      </c>
      <c r="BL4" s="96">
        <f>Timeline!BL4</f>
        <v/>
      </c>
    </row>
    <row r="5">
      <c r="A5" s="94" t="inlineStr">
        <is>
          <t>Period end</t>
        </is>
      </c>
      <c r="B5" s="95" t="n"/>
      <c r="C5" s="95" t="n"/>
      <c r="D5" s="94" t="n"/>
      <c r="E5" s="97">
        <f>Timeline!E5</f>
        <v/>
      </c>
      <c r="F5" s="97">
        <f>Timeline!F5</f>
        <v/>
      </c>
      <c r="G5" s="97">
        <f>Timeline!G5</f>
        <v/>
      </c>
      <c r="H5" s="97">
        <f>Timeline!H5</f>
        <v/>
      </c>
      <c r="I5" s="97">
        <f>Timeline!I5</f>
        <v/>
      </c>
      <c r="J5" s="97">
        <f>Timeline!J5</f>
        <v/>
      </c>
      <c r="K5" s="97">
        <f>Timeline!K5</f>
        <v/>
      </c>
      <c r="L5" s="97">
        <f>Timeline!L5</f>
        <v/>
      </c>
      <c r="M5" s="97">
        <f>Timeline!M5</f>
        <v/>
      </c>
      <c r="N5" s="97">
        <f>Timeline!N5</f>
        <v/>
      </c>
      <c r="O5" s="97">
        <f>Timeline!O5</f>
        <v/>
      </c>
      <c r="P5" s="97">
        <f>Timeline!P5</f>
        <v/>
      </c>
      <c r="Q5" s="97">
        <f>Timeline!Q5</f>
        <v/>
      </c>
      <c r="R5" s="97">
        <f>Timeline!R5</f>
        <v/>
      </c>
      <c r="S5" s="97">
        <f>Timeline!S5</f>
        <v/>
      </c>
      <c r="T5" s="97">
        <f>Timeline!T5</f>
        <v/>
      </c>
      <c r="U5" s="97">
        <f>Timeline!U5</f>
        <v/>
      </c>
      <c r="V5" s="97">
        <f>Timeline!V5</f>
        <v/>
      </c>
      <c r="W5" s="97">
        <f>Timeline!W5</f>
        <v/>
      </c>
      <c r="X5" s="97">
        <f>Timeline!X5</f>
        <v/>
      </c>
      <c r="Y5" s="97">
        <f>Timeline!Y5</f>
        <v/>
      </c>
      <c r="Z5" s="97">
        <f>Timeline!Z5</f>
        <v/>
      </c>
      <c r="AA5" s="97">
        <f>Timeline!AA5</f>
        <v/>
      </c>
      <c r="AB5" s="97">
        <f>Timeline!AB5</f>
        <v/>
      </c>
      <c r="AC5" s="97">
        <f>Timeline!AC5</f>
        <v/>
      </c>
      <c r="AD5" s="97">
        <f>Timeline!AD5</f>
        <v/>
      </c>
      <c r="AE5" s="97">
        <f>Timeline!AE5</f>
        <v/>
      </c>
      <c r="AF5" s="97">
        <f>Timeline!AF5</f>
        <v/>
      </c>
      <c r="AG5" s="97">
        <f>Timeline!AG5</f>
        <v/>
      </c>
      <c r="AH5" s="97">
        <f>Timeline!AH5</f>
        <v/>
      </c>
      <c r="AI5" s="97">
        <f>Timeline!AI5</f>
        <v/>
      </c>
      <c r="AJ5" s="97">
        <f>Timeline!AJ5</f>
        <v/>
      </c>
      <c r="AK5" s="97">
        <f>Timeline!AK5</f>
        <v/>
      </c>
      <c r="AL5" s="97">
        <f>Timeline!AL5</f>
        <v/>
      </c>
      <c r="AM5" s="97">
        <f>Timeline!AM5</f>
        <v/>
      </c>
      <c r="AN5" s="97">
        <f>Timeline!AN5</f>
        <v/>
      </c>
      <c r="AO5" s="97">
        <f>Timeline!AO5</f>
        <v/>
      </c>
      <c r="AP5" s="97">
        <f>Timeline!AP5</f>
        <v/>
      </c>
      <c r="AQ5" s="97">
        <f>Timeline!AQ5</f>
        <v/>
      </c>
      <c r="AR5" s="97">
        <f>Timeline!AR5</f>
        <v/>
      </c>
      <c r="AS5" s="97">
        <f>Timeline!AS5</f>
        <v/>
      </c>
      <c r="AT5" s="97">
        <f>Timeline!AT5</f>
        <v/>
      </c>
      <c r="AU5" s="97">
        <f>Timeline!AU5</f>
        <v/>
      </c>
      <c r="AV5" s="97">
        <f>Timeline!AV5</f>
        <v/>
      </c>
      <c r="AW5" s="97">
        <f>Timeline!AW5</f>
        <v/>
      </c>
      <c r="AX5" s="97">
        <f>Timeline!AX5</f>
        <v/>
      </c>
      <c r="AY5" s="97">
        <f>Timeline!AY5</f>
        <v/>
      </c>
      <c r="AZ5" s="97">
        <f>Timeline!AZ5</f>
        <v/>
      </c>
      <c r="BA5" s="97">
        <f>Timeline!BA5</f>
        <v/>
      </c>
      <c r="BB5" s="97">
        <f>Timeline!BB5</f>
        <v/>
      </c>
      <c r="BC5" s="97">
        <f>Timeline!BC5</f>
        <v/>
      </c>
      <c r="BD5" s="97">
        <f>Timeline!BD5</f>
        <v/>
      </c>
      <c r="BE5" s="97">
        <f>Timeline!BE5</f>
        <v/>
      </c>
      <c r="BF5" s="97">
        <f>Timeline!BF5</f>
        <v/>
      </c>
      <c r="BG5" s="97">
        <f>Timeline!BG5</f>
        <v/>
      </c>
      <c r="BH5" s="97">
        <f>Timeline!BH5</f>
        <v/>
      </c>
      <c r="BI5" s="97">
        <f>Timeline!BI5</f>
        <v/>
      </c>
      <c r="BJ5" s="97">
        <f>Timeline!BJ5</f>
        <v/>
      </c>
      <c r="BK5" s="97">
        <f>Timeline!BK5</f>
        <v/>
      </c>
      <c r="BL5" s="97">
        <f>Timeline!BL5</f>
        <v/>
      </c>
    </row>
    <row r="6">
      <c r="A6" s="94" t="inlineStr">
        <is>
          <t>Year #</t>
        </is>
      </c>
      <c r="B6" s="95" t="n"/>
      <c r="C6" s="95" t="n"/>
      <c r="D6" s="94" t="n"/>
      <c r="E6" s="96">
        <f>Timeline!E6</f>
        <v/>
      </c>
      <c r="F6" s="96">
        <f>Timeline!F6</f>
        <v/>
      </c>
      <c r="G6" s="96">
        <f>Timeline!G6</f>
        <v/>
      </c>
      <c r="H6" s="96">
        <f>Timeline!H6</f>
        <v/>
      </c>
      <c r="I6" s="96">
        <f>Timeline!I6</f>
        <v/>
      </c>
      <c r="J6" s="96">
        <f>Timeline!J6</f>
        <v/>
      </c>
      <c r="K6" s="96">
        <f>Timeline!K6</f>
        <v/>
      </c>
      <c r="L6" s="96">
        <f>Timeline!L6</f>
        <v/>
      </c>
      <c r="M6" s="96">
        <f>Timeline!M6</f>
        <v/>
      </c>
      <c r="N6" s="96">
        <f>Timeline!N6</f>
        <v/>
      </c>
      <c r="O6" s="96">
        <f>Timeline!O6</f>
        <v/>
      </c>
      <c r="P6" s="96">
        <f>Timeline!P6</f>
        <v/>
      </c>
      <c r="Q6" s="96">
        <f>Timeline!Q6</f>
        <v/>
      </c>
      <c r="R6" s="96">
        <f>Timeline!R6</f>
        <v/>
      </c>
      <c r="S6" s="96">
        <f>Timeline!S6</f>
        <v/>
      </c>
      <c r="T6" s="96">
        <f>Timeline!T6</f>
        <v/>
      </c>
      <c r="U6" s="96">
        <f>Timeline!U6</f>
        <v/>
      </c>
      <c r="V6" s="96">
        <f>Timeline!V6</f>
        <v/>
      </c>
      <c r="W6" s="96">
        <f>Timeline!W6</f>
        <v/>
      </c>
      <c r="X6" s="96">
        <f>Timeline!X6</f>
        <v/>
      </c>
      <c r="Y6" s="96">
        <f>Timeline!Y6</f>
        <v/>
      </c>
      <c r="Z6" s="96">
        <f>Timeline!Z6</f>
        <v/>
      </c>
      <c r="AA6" s="96">
        <f>Timeline!AA6</f>
        <v/>
      </c>
      <c r="AB6" s="96">
        <f>Timeline!AB6</f>
        <v/>
      </c>
      <c r="AC6" s="96">
        <f>Timeline!AC6</f>
        <v/>
      </c>
      <c r="AD6" s="96">
        <f>Timeline!AD6</f>
        <v/>
      </c>
      <c r="AE6" s="96">
        <f>Timeline!AE6</f>
        <v/>
      </c>
      <c r="AF6" s="96">
        <f>Timeline!AF6</f>
        <v/>
      </c>
      <c r="AG6" s="96">
        <f>Timeline!AG6</f>
        <v/>
      </c>
      <c r="AH6" s="96">
        <f>Timeline!AH6</f>
        <v/>
      </c>
      <c r="AI6" s="96">
        <f>Timeline!AI6</f>
        <v/>
      </c>
      <c r="AJ6" s="96">
        <f>Timeline!AJ6</f>
        <v/>
      </c>
      <c r="AK6" s="96">
        <f>Timeline!AK6</f>
        <v/>
      </c>
      <c r="AL6" s="96">
        <f>Timeline!AL6</f>
        <v/>
      </c>
      <c r="AM6" s="96">
        <f>Timeline!AM6</f>
        <v/>
      </c>
      <c r="AN6" s="96">
        <f>Timeline!AN6</f>
        <v/>
      </c>
      <c r="AO6" s="96">
        <f>Timeline!AO6</f>
        <v/>
      </c>
      <c r="AP6" s="96">
        <f>Timeline!AP6</f>
        <v/>
      </c>
      <c r="AQ6" s="96">
        <f>Timeline!AQ6</f>
        <v/>
      </c>
      <c r="AR6" s="96">
        <f>Timeline!AR6</f>
        <v/>
      </c>
      <c r="AS6" s="96">
        <f>Timeline!AS6</f>
        <v/>
      </c>
      <c r="AT6" s="96">
        <f>Timeline!AT6</f>
        <v/>
      </c>
      <c r="AU6" s="96">
        <f>Timeline!AU6</f>
        <v/>
      </c>
      <c r="AV6" s="96">
        <f>Timeline!AV6</f>
        <v/>
      </c>
      <c r="AW6" s="96">
        <f>Timeline!AW6</f>
        <v/>
      </c>
      <c r="AX6" s="96">
        <f>Timeline!AX6</f>
        <v/>
      </c>
      <c r="AY6" s="96">
        <f>Timeline!AY6</f>
        <v/>
      </c>
      <c r="AZ6" s="96">
        <f>Timeline!AZ6</f>
        <v/>
      </c>
      <c r="BA6" s="96">
        <f>Timeline!BA6</f>
        <v/>
      </c>
      <c r="BB6" s="96">
        <f>Timeline!BB6</f>
        <v/>
      </c>
      <c r="BC6" s="96">
        <f>Timeline!BC6</f>
        <v/>
      </c>
      <c r="BD6" s="96">
        <f>Timeline!BD6</f>
        <v/>
      </c>
      <c r="BE6" s="96">
        <f>Timeline!BE6</f>
        <v/>
      </c>
      <c r="BF6" s="96">
        <f>Timeline!BF6</f>
        <v/>
      </c>
      <c r="BG6" s="96">
        <f>Timeline!BG6</f>
        <v/>
      </c>
      <c r="BH6" s="96">
        <f>Timeline!BH6</f>
        <v/>
      </c>
      <c r="BI6" s="96">
        <f>Timeline!BI6</f>
        <v/>
      </c>
      <c r="BJ6" s="96">
        <f>Timeline!BJ6</f>
        <v/>
      </c>
      <c r="BK6" s="96">
        <f>Timeline!BK6</f>
        <v/>
      </c>
      <c r="BL6" s="96">
        <f>Timeline!BL6</f>
        <v/>
      </c>
    </row>
    <row r="7"/>
    <row r="8">
      <c r="A8" s="21" t="inlineStr">
        <is>
          <t>Instalments collected by cohort (LCY)</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100" t="inlineStr">
        <is>
          <t>Total</t>
        </is>
      </c>
      <c r="B9" s="101" t="inlineStr"/>
      <c r="C9" s="103" t="n"/>
      <c r="D9" s="103" t="n"/>
      <c r="E9" s="104">
        <f>SUM(E10:E69)</f>
        <v/>
      </c>
      <c r="F9" s="104">
        <f>SUM(F10:F69)</f>
        <v/>
      </c>
      <c r="G9" s="104">
        <f>SUM(G10:G69)</f>
        <v/>
      </c>
      <c r="H9" s="104">
        <f>SUM(H10:H69)</f>
        <v/>
      </c>
      <c r="I9" s="104">
        <f>SUM(I10:I69)</f>
        <v/>
      </c>
      <c r="J9" s="104">
        <f>SUM(J10:J69)</f>
        <v/>
      </c>
      <c r="K9" s="104">
        <f>SUM(K10:K69)</f>
        <v/>
      </c>
      <c r="L9" s="104">
        <f>SUM(L10:L69)</f>
        <v/>
      </c>
      <c r="M9" s="104">
        <f>SUM(M10:M69)</f>
        <v/>
      </c>
      <c r="N9" s="104">
        <f>SUM(N10:N69)</f>
        <v/>
      </c>
      <c r="O9" s="104">
        <f>SUM(O10:O69)</f>
        <v/>
      </c>
      <c r="P9" s="104">
        <f>SUM(P10:P69)</f>
        <v/>
      </c>
      <c r="Q9" s="104">
        <f>SUM(Q10:Q69)</f>
        <v/>
      </c>
      <c r="R9" s="104">
        <f>SUM(R10:R69)</f>
        <v/>
      </c>
      <c r="S9" s="104">
        <f>SUM(S10:S69)</f>
        <v/>
      </c>
      <c r="T9" s="104">
        <f>SUM(T10:T69)</f>
        <v/>
      </c>
      <c r="U9" s="104">
        <f>SUM(U10:U69)</f>
        <v/>
      </c>
      <c r="V9" s="104">
        <f>SUM(V10:V69)</f>
        <v/>
      </c>
      <c r="W9" s="104">
        <f>SUM(W10:W69)</f>
        <v/>
      </c>
      <c r="X9" s="104">
        <f>SUM(X10:X69)</f>
        <v/>
      </c>
      <c r="Y9" s="104">
        <f>SUM(Y10:Y69)</f>
        <v/>
      </c>
      <c r="Z9" s="104">
        <f>SUM(Z10:Z69)</f>
        <v/>
      </c>
      <c r="AA9" s="104">
        <f>SUM(AA10:AA69)</f>
        <v/>
      </c>
      <c r="AB9" s="104">
        <f>SUM(AB10:AB69)</f>
        <v/>
      </c>
      <c r="AC9" s="104">
        <f>SUM(AC10:AC69)</f>
        <v/>
      </c>
      <c r="AD9" s="104">
        <f>SUM(AD10:AD69)</f>
        <v/>
      </c>
      <c r="AE9" s="104">
        <f>SUM(AE10:AE69)</f>
        <v/>
      </c>
      <c r="AF9" s="104">
        <f>SUM(AF10:AF69)</f>
        <v/>
      </c>
      <c r="AG9" s="104">
        <f>SUM(AG10:AG69)</f>
        <v/>
      </c>
      <c r="AH9" s="104">
        <f>SUM(AH10:AH69)</f>
        <v/>
      </c>
      <c r="AI9" s="104">
        <f>SUM(AI10:AI69)</f>
        <v/>
      </c>
      <c r="AJ9" s="104">
        <f>SUM(AJ10:AJ69)</f>
        <v/>
      </c>
      <c r="AK9" s="104">
        <f>SUM(AK10:AK69)</f>
        <v/>
      </c>
      <c r="AL9" s="104">
        <f>SUM(AL10:AL69)</f>
        <v/>
      </c>
      <c r="AM9" s="104">
        <f>SUM(AM10:AM69)</f>
        <v/>
      </c>
      <c r="AN9" s="104">
        <f>SUM(AN10:AN69)</f>
        <v/>
      </c>
      <c r="AO9" s="104">
        <f>SUM(AO10:AO69)</f>
        <v/>
      </c>
      <c r="AP9" s="104">
        <f>SUM(AP10:AP69)</f>
        <v/>
      </c>
      <c r="AQ9" s="104">
        <f>SUM(AQ10:AQ69)</f>
        <v/>
      </c>
      <c r="AR9" s="104">
        <f>SUM(AR10:AR69)</f>
        <v/>
      </c>
      <c r="AS9" s="104">
        <f>SUM(AS10:AS69)</f>
        <v/>
      </c>
      <c r="AT9" s="104">
        <f>SUM(AT10:AT69)</f>
        <v/>
      </c>
      <c r="AU9" s="104">
        <f>SUM(AU10:AU69)</f>
        <v/>
      </c>
      <c r="AV9" s="104">
        <f>SUM(AV10:AV69)</f>
        <v/>
      </c>
      <c r="AW9" s="104">
        <f>SUM(AW10:AW69)</f>
        <v/>
      </c>
      <c r="AX9" s="104">
        <f>SUM(AX10:AX69)</f>
        <v/>
      </c>
      <c r="AY9" s="104">
        <f>SUM(AY10:AY69)</f>
        <v/>
      </c>
      <c r="AZ9" s="104">
        <f>SUM(AZ10:AZ69)</f>
        <v/>
      </c>
      <c r="BA9" s="104">
        <f>SUM(BA10:BA69)</f>
        <v/>
      </c>
      <c r="BB9" s="104">
        <f>SUM(BB10:BB69)</f>
        <v/>
      </c>
      <c r="BC9" s="104">
        <f>SUM(BC10:BC69)</f>
        <v/>
      </c>
      <c r="BD9" s="104">
        <f>SUM(BD10:BD69)</f>
        <v/>
      </c>
      <c r="BE9" s="104">
        <f>SUM(BE10:BE69)</f>
        <v/>
      </c>
      <c r="BF9" s="104">
        <f>SUM(BF10:BF69)</f>
        <v/>
      </c>
      <c r="BG9" s="104">
        <f>SUM(BG10:BG69)</f>
        <v/>
      </c>
      <c r="BH9" s="104">
        <f>SUM(BH10:BH69)</f>
        <v/>
      </c>
      <c r="BI9" s="104">
        <f>SUM(BI10:BI69)</f>
        <v/>
      </c>
      <c r="BJ9" s="104">
        <f>SUM(BJ10:BJ69)</f>
        <v/>
      </c>
      <c r="BK9" s="104">
        <f>SUM(BK10:BK69)</f>
        <v/>
      </c>
      <c r="BL9" s="104">
        <f>SUM(BL10:BL69)</f>
        <v/>
      </c>
    </row>
    <row r="10">
      <c r="A10" s="147" t="inlineStr">
        <is>
          <t>Cohort month 1</t>
        </is>
      </c>
      <c r="B10" s="147" t="n">
        <v>1</v>
      </c>
      <c r="C10" s="41">
        <f>INDEX(Ops!$E$35:$BL$35,1,$B10)</f>
        <v/>
      </c>
      <c r="F10" s="153">
        <f>$C10*INDEX(Curves!$Q$8:$Q$68,F$4-$B10+1)</f>
        <v/>
      </c>
      <c r="G10" s="153">
        <f>$C10*INDEX(Curves!$Q$8:$Q$68,G$4-$B10+1)</f>
        <v/>
      </c>
      <c r="H10" s="153">
        <f>$C10*INDEX(Curves!$Q$8:$Q$68,H$4-$B10+1)</f>
        <v/>
      </c>
      <c r="I10" s="153">
        <f>$C10*INDEX(Curves!$Q$8:$Q$68,I$4-$B10+1)</f>
        <v/>
      </c>
      <c r="J10" s="153">
        <f>$C10*INDEX(Curves!$Q$8:$Q$68,J$4-$B10+1)</f>
        <v/>
      </c>
      <c r="K10" s="153">
        <f>$C10*INDEX(Curves!$Q$8:$Q$68,K$4-$B10+1)</f>
        <v/>
      </c>
      <c r="L10" s="153">
        <f>$C10*INDEX(Curves!$Q$8:$Q$68,L$4-$B10+1)</f>
        <v/>
      </c>
      <c r="M10" s="153">
        <f>$C10*INDEX(Curves!$Q$8:$Q$68,M$4-$B10+1)</f>
        <v/>
      </c>
      <c r="N10" s="153">
        <f>$C10*INDEX(Curves!$Q$8:$Q$68,N$4-$B10+1)</f>
        <v/>
      </c>
      <c r="O10" s="153">
        <f>$C10*INDEX(Curves!$Q$8:$Q$68,O$4-$B10+1)</f>
        <v/>
      </c>
      <c r="P10" s="153">
        <f>$C10*INDEX(Curves!$Q$8:$Q$68,P$4-$B10+1)</f>
        <v/>
      </c>
      <c r="Q10" s="153">
        <f>$C10*INDEX(Curves!$Q$8:$Q$68,Q$4-$B10+1)</f>
        <v/>
      </c>
      <c r="R10" s="153">
        <f>$C10*INDEX(Curves!$Q$8:$Q$68,R$4-$B10+1)</f>
        <v/>
      </c>
      <c r="S10" s="153">
        <f>$C10*INDEX(Curves!$Q$8:$Q$68,S$4-$B10+1)</f>
        <v/>
      </c>
      <c r="T10" s="153">
        <f>$C10*INDEX(Curves!$Q$8:$Q$68,T$4-$B10+1)</f>
        <v/>
      </c>
      <c r="U10" s="153">
        <f>$C10*INDEX(Curves!$Q$8:$Q$68,U$4-$B10+1)</f>
        <v/>
      </c>
      <c r="V10" s="153">
        <f>$C10*INDEX(Curves!$Q$8:$Q$68,V$4-$B10+1)</f>
        <v/>
      </c>
      <c r="W10" s="153">
        <f>$C10*INDEX(Curves!$Q$8:$Q$68,W$4-$B10+1)</f>
        <v/>
      </c>
      <c r="X10" s="153">
        <f>$C10*INDEX(Curves!$Q$8:$Q$68,X$4-$B10+1)</f>
        <v/>
      </c>
      <c r="Y10" s="153">
        <f>$C10*INDEX(Curves!$Q$8:$Q$68,Y$4-$B10+1)</f>
        <v/>
      </c>
      <c r="Z10" s="153">
        <f>$C10*INDEX(Curves!$Q$8:$Q$68,Z$4-$B10+1)</f>
        <v/>
      </c>
      <c r="AA10" s="153">
        <f>$C10*INDEX(Curves!$Q$8:$Q$68,AA$4-$B10+1)</f>
        <v/>
      </c>
      <c r="AB10" s="153">
        <f>$C10*INDEX(Curves!$Q$8:$Q$68,AB$4-$B10+1)</f>
        <v/>
      </c>
      <c r="AC10" s="153">
        <f>$C10*INDEX(Curves!$Q$8:$Q$68,AC$4-$B10+1)</f>
        <v/>
      </c>
      <c r="AD10" s="153">
        <f>$C10*INDEX(Curves!$Q$8:$Q$68,AD$4-$B10+1)</f>
        <v/>
      </c>
      <c r="AE10" s="153">
        <f>$C10*INDEX(Curves!$Q$8:$Q$68,AE$4-$B10+1)</f>
        <v/>
      </c>
      <c r="AF10" s="153">
        <f>$C10*INDEX(Curves!$Q$8:$Q$68,AF$4-$B10+1)</f>
        <v/>
      </c>
      <c r="AG10" s="153">
        <f>$C10*INDEX(Curves!$Q$8:$Q$68,AG$4-$B10+1)</f>
        <v/>
      </c>
      <c r="AH10" s="153">
        <f>$C10*INDEX(Curves!$Q$8:$Q$68,AH$4-$B10+1)</f>
        <v/>
      </c>
      <c r="AI10" s="153">
        <f>$C10*INDEX(Curves!$Q$8:$Q$68,AI$4-$B10+1)</f>
        <v/>
      </c>
      <c r="AJ10" s="153">
        <f>$C10*INDEX(Curves!$Q$8:$Q$68,AJ$4-$B10+1)</f>
        <v/>
      </c>
      <c r="AK10" s="153">
        <f>$C10*INDEX(Curves!$Q$8:$Q$68,AK$4-$B10+1)</f>
        <v/>
      </c>
      <c r="AL10" s="153">
        <f>$C10*INDEX(Curves!$Q$8:$Q$68,AL$4-$B10+1)</f>
        <v/>
      </c>
      <c r="AM10" s="153">
        <f>$C10*INDEX(Curves!$Q$8:$Q$68,AM$4-$B10+1)</f>
        <v/>
      </c>
      <c r="AN10" s="153">
        <f>$C10*INDEX(Curves!$Q$8:$Q$68,AN$4-$B10+1)</f>
        <v/>
      </c>
      <c r="AO10" s="153">
        <f>$C10*INDEX(Curves!$Q$8:$Q$68,AO$4-$B10+1)</f>
        <v/>
      </c>
      <c r="AP10" s="153">
        <f>$C10*INDEX(Curves!$Q$8:$Q$68,AP$4-$B10+1)</f>
        <v/>
      </c>
      <c r="AQ10" s="153">
        <f>$C10*INDEX(Curves!$Q$8:$Q$68,AQ$4-$B10+1)</f>
        <v/>
      </c>
      <c r="AR10" s="153">
        <f>$C10*INDEX(Curves!$Q$8:$Q$68,AR$4-$B10+1)</f>
        <v/>
      </c>
      <c r="AS10" s="153">
        <f>$C10*INDEX(Curves!$Q$8:$Q$68,AS$4-$B10+1)</f>
        <v/>
      </c>
      <c r="AT10" s="153">
        <f>$C10*INDEX(Curves!$Q$8:$Q$68,AT$4-$B10+1)</f>
        <v/>
      </c>
      <c r="AU10" s="153">
        <f>$C10*INDEX(Curves!$Q$8:$Q$68,AU$4-$B10+1)</f>
        <v/>
      </c>
      <c r="AV10" s="153">
        <f>$C10*INDEX(Curves!$Q$8:$Q$68,AV$4-$B10+1)</f>
        <v/>
      </c>
      <c r="AW10" s="153">
        <f>$C10*INDEX(Curves!$Q$8:$Q$68,AW$4-$B10+1)</f>
        <v/>
      </c>
      <c r="AX10" s="153">
        <f>$C10*INDEX(Curves!$Q$8:$Q$68,AX$4-$B10+1)</f>
        <v/>
      </c>
      <c r="AY10" s="153">
        <f>$C10*INDEX(Curves!$Q$8:$Q$68,AY$4-$B10+1)</f>
        <v/>
      </c>
      <c r="AZ10" s="153">
        <f>$C10*INDEX(Curves!$Q$8:$Q$68,AZ$4-$B10+1)</f>
        <v/>
      </c>
      <c r="BA10" s="153">
        <f>$C10*INDEX(Curves!$Q$8:$Q$68,BA$4-$B10+1)</f>
        <v/>
      </c>
      <c r="BB10" s="153">
        <f>$C10*INDEX(Curves!$Q$8:$Q$68,BB$4-$B10+1)</f>
        <v/>
      </c>
      <c r="BC10" s="153">
        <f>$C10*INDEX(Curves!$Q$8:$Q$68,BC$4-$B10+1)</f>
        <v/>
      </c>
      <c r="BD10" s="153">
        <f>$C10*INDEX(Curves!$Q$8:$Q$68,BD$4-$B10+1)</f>
        <v/>
      </c>
      <c r="BE10" s="153">
        <f>$C10*INDEX(Curves!$Q$8:$Q$68,BE$4-$B10+1)</f>
        <v/>
      </c>
      <c r="BF10" s="153">
        <f>$C10*INDEX(Curves!$Q$8:$Q$68,BF$4-$B10+1)</f>
        <v/>
      </c>
      <c r="BG10" s="153">
        <f>$C10*INDEX(Curves!$Q$8:$Q$68,BG$4-$B10+1)</f>
        <v/>
      </c>
      <c r="BH10" s="153">
        <f>$C10*INDEX(Curves!$Q$8:$Q$68,BH$4-$B10+1)</f>
        <v/>
      </c>
      <c r="BI10" s="153">
        <f>$C10*INDEX(Curves!$Q$8:$Q$68,BI$4-$B10+1)</f>
        <v/>
      </c>
      <c r="BJ10" s="153">
        <f>$C10*INDEX(Curves!$Q$8:$Q$68,BJ$4-$B10+1)</f>
        <v/>
      </c>
      <c r="BK10" s="153">
        <f>$C10*INDEX(Curves!$Q$8:$Q$68,BK$4-$B10+1)</f>
        <v/>
      </c>
      <c r="BL10" s="153">
        <f>$C10*INDEX(Curves!$Q$8:$Q$68,BL$4-$B10+1)</f>
        <v/>
      </c>
    </row>
    <row r="11">
      <c r="A11" s="147" t="inlineStr">
        <is>
          <t>Cohort month 2</t>
        </is>
      </c>
      <c r="B11" s="147" t="n">
        <v>2</v>
      </c>
      <c r="C11" s="41">
        <f>INDEX(Ops!$E$35:$BL$35,1,$B11)</f>
        <v/>
      </c>
      <c r="G11" s="153">
        <f>$C11*INDEX(Curves!$Q$8:$Q$68,G$4-$B11+1)</f>
        <v/>
      </c>
      <c r="H11" s="153">
        <f>$C11*INDEX(Curves!$Q$8:$Q$68,H$4-$B11+1)</f>
        <v/>
      </c>
      <c r="I11" s="153">
        <f>$C11*INDEX(Curves!$Q$8:$Q$68,I$4-$B11+1)</f>
        <v/>
      </c>
      <c r="J11" s="153">
        <f>$C11*INDEX(Curves!$Q$8:$Q$68,J$4-$B11+1)</f>
        <v/>
      </c>
      <c r="K11" s="153">
        <f>$C11*INDEX(Curves!$Q$8:$Q$68,K$4-$B11+1)</f>
        <v/>
      </c>
      <c r="L11" s="153">
        <f>$C11*INDEX(Curves!$Q$8:$Q$68,L$4-$B11+1)</f>
        <v/>
      </c>
      <c r="M11" s="153">
        <f>$C11*INDEX(Curves!$Q$8:$Q$68,M$4-$B11+1)</f>
        <v/>
      </c>
      <c r="N11" s="153">
        <f>$C11*INDEX(Curves!$Q$8:$Q$68,N$4-$B11+1)</f>
        <v/>
      </c>
      <c r="O11" s="153">
        <f>$C11*INDEX(Curves!$Q$8:$Q$68,O$4-$B11+1)</f>
        <v/>
      </c>
      <c r="P11" s="153">
        <f>$C11*INDEX(Curves!$Q$8:$Q$68,P$4-$B11+1)</f>
        <v/>
      </c>
      <c r="Q11" s="153">
        <f>$C11*INDEX(Curves!$Q$8:$Q$68,Q$4-$B11+1)</f>
        <v/>
      </c>
      <c r="R11" s="153">
        <f>$C11*INDEX(Curves!$Q$8:$Q$68,R$4-$B11+1)</f>
        <v/>
      </c>
      <c r="S11" s="153">
        <f>$C11*INDEX(Curves!$Q$8:$Q$68,S$4-$B11+1)</f>
        <v/>
      </c>
      <c r="T11" s="153">
        <f>$C11*INDEX(Curves!$Q$8:$Q$68,T$4-$B11+1)</f>
        <v/>
      </c>
      <c r="U11" s="153">
        <f>$C11*INDEX(Curves!$Q$8:$Q$68,U$4-$B11+1)</f>
        <v/>
      </c>
      <c r="V11" s="153">
        <f>$C11*INDEX(Curves!$Q$8:$Q$68,V$4-$B11+1)</f>
        <v/>
      </c>
      <c r="W11" s="153">
        <f>$C11*INDEX(Curves!$Q$8:$Q$68,W$4-$B11+1)</f>
        <v/>
      </c>
      <c r="X11" s="153">
        <f>$C11*INDEX(Curves!$Q$8:$Q$68,X$4-$B11+1)</f>
        <v/>
      </c>
      <c r="Y11" s="153">
        <f>$C11*INDEX(Curves!$Q$8:$Q$68,Y$4-$B11+1)</f>
        <v/>
      </c>
      <c r="Z11" s="153">
        <f>$C11*INDEX(Curves!$Q$8:$Q$68,Z$4-$B11+1)</f>
        <v/>
      </c>
      <c r="AA11" s="153">
        <f>$C11*INDEX(Curves!$Q$8:$Q$68,AA$4-$B11+1)</f>
        <v/>
      </c>
      <c r="AB11" s="153">
        <f>$C11*INDEX(Curves!$Q$8:$Q$68,AB$4-$B11+1)</f>
        <v/>
      </c>
      <c r="AC11" s="153">
        <f>$C11*INDEX(Curves!$Q$8:$Q$68,AC$4-$B11+1)</f>
        <v/>
      </c>
      <c r="AD11" s="153">
        <f>$C11*INDEX(Curves!$Q$8:$Q$68,AD$4-$B11+1)</f>
        <v/>
      </c>
      <c r="AE11" s="153">
        <f>$C11*INDEX(Curves!$Q$8:$Q$68,AE$4-$B11+1)</f>
        <v/>
      </c>
      <c r="AF11" s="153">
        <f>$C11*INDEX(Curves!$Q$8:$Q$68,AF$4-$B11+1)</f>
        <v/>
      </c>
      <c r="AG11" s="153">
        <f>$C11*INDEX(Curves!$Q$8:$Q$68,AG$4-$B11+1)</f>
        <v/>
      </c>
      <c r="AH11" s="153">
        <f>$C11*INDEX(Curves!$Q$8:$Q$68,AH$4-$B11+1)</f>
        <v/>
      </c>
      <c r="AI11" s="153">
        <f>$C11*INDEX(Curves!$Q$8:$Q$68,AI$4-$B11+1)</f>
        <v/>
      </c>
      <c r="AJ11" s="153">
        <f>$C11*INDEX(Curves!$Q$8:$Q$68,AJ$4-$B11+1)</f>
        <v/>
      </c>
      <c r="AK11" s="153">
        <f>$C11*INDEX(Curves!$Q$8:$Q$68,AK$4-$B11+1)</f>
        <v/>
      </c>
      <c r="AL11" s="153">
        <f>$C11*INDEX(Curves!$Q$8:$Q$68,AL$4-$B11+1)</f>
        <v/>
      </c>
      <c r="AM11" s="153">
        <f>$C11*INDEX(Curves!$Q$8:$Q$68,AM$4-$B11+1)</f>
        <v/>
      </c>
      <c r="AN11" s="153">
        <f>$C11*INDEX(Curves!$Q$8:$Q$68,AN$4-$B11+1)</f>
        <v/>
      </c>
      <c r="AO11" s="153">
        <f>$C11*INDEX(Curves!$Q$8:$Q$68,AO$4-$B11+1)</f>
        <v/>
      </c>
      <c r="AP11" s="153">
        <f>$C11*INDEX(Curves!$Q$8:$Q$68,AP$4-$B11+1)</f>
        <v/>
      </c>
      <c r="AQ11" s="153">
        <f>$C11*INDEX(Curves!$Q$8:$Q$68,AQ$4-$B11+1)</f>
        <v/>
      </c>
      <c r="AR11" s="153">
        <f>$C11*INDEX(Curves!$Q$8:$Q$68,AR$4-$B11+1)</f>
        <v/>
      </c>
      <c r="AS11" s="153">
        <f>$C11*INDEX(Curves!$Q$8:$Q$68,AS$4-$B11+1)</f>
        <v/>
      </c>
      <c r="AT11" s="153">
        <f>$C11*INDEX(Curves!$Q$8:$Q$68,AT$4-$B11+1)</f>
        <v/>
      </c>
      <c r="AU11" s="153">
        <f>$C11*INDEX(Curves!$Q$8:$Q$68,AU$4-$B11+1)</f>
        <v/>
      </c>
      <c r="AV11" s="153">
        <f>$C11*INDEX(Curves!$Q$8:$Q$68,AV$4-$B11+1)</f>
        <v/>
      </c>
      <c r="AW11" s="153">
        <f>$C11*INDEX(Curves!$Q$8:$Q$68,AW$4-$B11+1)</f>
        <v/>
      </c>
      <c r="AX11" s="153">
        <f>$C11*INDEX(Curves!$Q$8:$Q$68,AX$4-$B11+1)</f>
        <v/>
      </c>
      <c r="AY11" s="153">
        <f>$C11*INDEX(Curves!$Q$8:$Q$68,AY$4-$B11+1)</f>
        <v/>
      </c>
      <c r="AZ11" s="153">
        <f>$C11*INDEX(Curves!$Q$8:$Q$68,AZ$4-$B11+1)</f>
        <v/>
      </c>
      <c r="BA11" s="153">
        <f>$C11*INDEX(Curves!$Q$8:$Q$68,BA$4-$B11+1)</f>
        <v/>
      </c>
      <c r="BB11" s="153">
        <f>$C11*INDEX(Curves!$Q$8:$Q$68,BB$4-$B11+1)</f>
        <v/>
      </c>
      <c r="BC11" s="153">
        <f>$C11*INDEX(Curves!$Q$8:$Q$68,BC$4-$B11+1)</f>
        <v/>
      </c>
      <c r="BD11" s="153">
        <f>$C11*INDEX(Curves!$Q$8:$Q$68,BD$4-$B11+1)</f>
        <v/>
      </c>
      <c r="BE11" s="153">
        <f>$C11*INDEX(Curves!$Q$8:$Q$68,BE$4-$B11+1)</f>
        <v/>
      </c>
      <c r="BF11" s="153">
        <f>$C11*INDEX(Curves!$Q$8:$Q$68,BF$4-$B11+1)</f>
        <v/>
      </c>
      <c r="BG11" s="153">
        <f>$C11*INDEX(Curves!$Q$8:$Q$68,BG$4-$B11+1)</f>
        <v/>
      </c>
      <c r="BH11" s="153">
        <f>$C11*INDEX(Curves!$Q$8:$Q$68,BH$4-$B11+1)</f>
        <v/>
      </c>
      <c r="BI11" s="153">
        <f>$C11*INDEX(Curves!$Q$8:$Q$68,BI$4-$B11+1)</f>
        <v/>
      </c>
      <c r="BJ11" s="153">
        <f>$C11*INDEX(Curves!$Q$8:$Q$68,BJ$4-$B11+1)</f>
        <v/>
      </c>
      <c r="BK11" s="153">
        <f>$C11*INDEX(Curves!$Q$8:$Q$68,BK$4-$B11+1)</f>
        <v/>
      </c>
      <c r="BL11" s="153">
        <f>$C11*INDEX(Curves!$Q$8:$Q$68,BL$4-$B11+1)</f>
        <v/>
      </c>
    </row>
    <row r="12">
      <c r="A12" s="147" t="inlineStr">
        <is>
          <t>Cohort month 3</t>
        </is>
      </c>
      <c r="B12" s="147" t="n">
        <v>3</v>
      </c>
      <c r="C12" s="41">
        <f>INDEX(Ops!$E$35:$BL$35,1,$B12)</f>
        <v/>
      </c>
      <c r="H12" s="153">
        <f>$C12*INDEX(Curves!$Q$8:$Q$68,H$4-$B12+1)</f>
        <v/>
      </c>
      <c r="I12" s="153">
        <f>$C12*INDEX(Curves!$Q$8:$Q$68,I$4-$B12+1)</f>
        <v/>
      </c>
      <c r="J12" s="153">
        <f>$C12*INDEX(Curves!$Q$8:$Q$68,J$4-$B12+1)</f>
        <v/>
      </c>
      <c r="K12" s="153">
        <f>$C12*INDEX(Curves!$Q$8:$Q$68,K$4-$B12+1)</f>
        <v/>
      </c>
      <c r="L12" s="153">
        <f>$C12*INDEX(Curves!$Q$8:$Q$68,L$4-$B12+1)</f>
        <v/>
      </c>
      <c r="M12" s="153">
        <f>$C12*INDEX(Curves!$Q$8:$Q$68,M$4-$B12+1)</f>
        <v/>
      </c>
      <c r="N12" s="153">
        <f>$C12*INDEX(Curves!$Q$8:$Q$68,N$4-$B12+1)</f>
        <v/>
      </c>
      <c r="O12" s="153">
        <f>$C12*INDEX(Curves!$Q$8:$Q$68,O$4-$B12+1)</f>
        <v/>
      </c>
      <c r="P12" s="153">
        <f>$C12*INDEX(Curves!$Q$8:$Q$68,P$4-$B12+1)</f>
        <v/>
      </c>
      <c r="Q12" s="153">
        <f>$C12*INDEX(Curves!$Q$8:$Q$68,Q$4-$B12+1)</f>
        <v/>
      </c>
      <c r="R12" s="153">
        <f>$C12*INDEX(Curves!$Q$8:$Q$68,R$4-$B12+1)</f>
        <v/>
      </c>
      <c r="S12" s="153">
        <f>$C12*INDEX(Curves!$Q$8:$Q$68,S$4-$B12+1)</f>
        <v/>
      </c>
      <c r="T12" s="153">
        <f>$C12*INDEX(Curves!$Q$8:$Q$68,T$4-$B12+1)</f>
        <v/>
      </c>
      <c r="U12" s="153">
        <f>$C12*INDEX(Curves!$Q$8:$Q$68,U$4-$B12+1)</f>
        <v/>
      </c>
      <c r="V12" s="153">
        <f>$C12*INDEX(Curves!$Q$8:$Q$68,V$4-$B12+1)</f>
        <v/>
      </c>
      <c r="W12" s="153">
        <f>$C12*INDEX(Curves!$Q$8:$Q$68,W$4-$B12+1)</f>
        <v/>
      </c>
      <c r="X12" s="153">
        <f>$C12*INDEX(Curves!$Q$8:$Q$68,X$4-$B12+1)</f>
        <v/>
      </c>
      <c r="Y12" s="153">
        <f>$C12*INDEX(Curves!$Q$8:$Q$68,Y$4-$B12+1)</f>
        <v/>
      </c>
      <c r="Z12" s="153">
        <f>$C12*INDEX(Curves!$Q$8:$Q$68,Z$4-$B12+1)</f>
        <v/>
      </c>
      <c r="AA12" s="153">
        <f>$C12*INDEX(Curves!$Q$8:$Q$68,AA$4-$B12+1)</f>
        <v/>
      </c>
      <c r="AB12" s="153">
        <f>$C12*INDEX(Curves!$Q$8:$Q$68,AB$4-$B12+1)</f>
        <v/>
      </c>
      <c r="AC12" s="153">
        <f>$C12*INDEX(Curves!$Q$8:$Q$68,AC$4-$B12+1)</f>
        <v/>
      </c>
      <c r="AD12" s="153">
        <f>$C12*INDEX(Curves!$Q$8:$Q$68,AD$4-$B12+1)</f>
        <v/>
      </c>
      <c r="AE12" s="153">
        <f>$C12*INDEX(Curves!$Q$8:$Q$68,AE$4-$B12+1)</f>
        <v/>
      </c>
      <c r="AF12" s="153">
        <f>$C12*INDEX(Curves!$Q$8:$Q$68,AF$4-$B12+1)</f>
        <v/>
      </c>
      <c r="AG12" s="153">
        <f>$C12*INDEX(Curves!$Q$8:$Q$68,AG$4-$B12+1)</f>
        <v/>
      </c>
      <c r="AH12" s="153">
        <f>$C12*INDEX(Curves!$Q$8:$Q$68,AH$4-$B12+1)</f>
        <v/>
      </c>
      <c r="AI12" s="153">
        <f>$C12*INDEX(Curves!$Q$8:$Q$68,AI$4-$B12+1)</f>
        <v/>
      </c>
      <c r="AJ12" s="153">
        <f>$C12*INDEX(Curves!$Q$8:$Q$68,AJ$4-$B12+1)</f>
        <v/>
      </c>
      <c r="AK12" s="153">
        <f>$C12*INDEX(Curves!$Q$8:$Q$68,AK$4-$B12+1)</f>
        <v/>
      </c>
      <c r="AL12" s="153">
        <f>$C12*INDEX(Curves!$Q$8:$Q$68,AL$4-$B12+1)</f>
        <v/>
      </c>
      <c r="AM12" s="153">
        <f>$C12*INDEX(Curves!$Q$8:$Q$68,AM$4-$B12+1)</f>
        <v/>
      </c>
      <c r="AN12" s="153">
        <f>$C12*INDEX(Curves!$Q$8:$Q$68,AN$4-$B12+1)</f>
        <v/>
      </c>
      <c r="AO12" s="153">
        <f>$C12*INDEX(Curves!$Q$8:$Q$68,AO$4-$B12+1)</f>
        <v/>
      </c>
      <c r="AP12" s="153">
        <f>$C12*INDEX(Curves!$Q$8:$Q$68,AP$4-$B12+1)</f>
        <v/>
      </c>
      <c r="AQ12" s="153">
        <f>$C12*INDEX(Curves!$Q$8:$Q$68,AQ$4-$B12+1)</f>
        <v/>
      </c>
      <c r="AR12" s="153">
        <f>$C12*INDEX(Curves!$Q$8:$Q$68,AR$4-$B12+1)</f>
        <v/>
      </c>
      <c r="AS12" s="153">
        <f>$C12*INDEX(Curves!$Q$8:$Q$68,AS$4-$B12+1)</f>
        <v/>
      </c>
      <c r="AT12" s="153">
        <f>$C12*INDEX(Curves!$Q$8:$Q$68,AT$4-$B12+1)</f>
        <v/>
      </c>
      <c r="AU12" s="153">
        <f>$C12*INDEX(Curves!$Q$8:$Q$68,AU$4-$B12+1)</f>
        <v/>
      </c>
      <c r="AV12" s="153">
        <f>$C12*INDEX(Curves!$Q$8:$Q$68,AV$4-$B12+1)</f>
        <v/>
      </c>
      <c r="AW12" s="153">
        <f>$C12*INDEX(Curves!$Q$8:$Q$68,AW$4-$B12+1)</f>
        <v/>
      </c>
      <c r="AX12" s="153">
        <f>$C12*INDEX(Curves!$Q$8:$Q$68,AX$4-$B12+1)</f>
        <v/>
      </c>
      <c r="AY12" s="153">
        <f>$C12*INDEX(Curves!$Q$8:$Q$68,AY$4-$B12+1)</f>
        <v/>
      </c>
      <c r="AZ12" s="153">
        <f>$C12*INDEX(Curves!$Q$8:$Q$68,AZ$4-$B12+1)</f>
        <v/>
      </c>
      <c r="BA12" s="153">
        <f>$C12*INDEX(Curves!$Q$8:$Q$68,BA$4-$B12+1)</f>
        <v/>
      </c>
      <c r="BB12" s="153">
        <f>$C12*INDEX(Curves!$Q$8:$Q$68,BB$4-$B12+1)</f>
        <v/>
      </c>
      <c r="BC12" s="153">
        <f>$C12*INDEX(Curves!$Q$8:$Q$68,BC$4-$B12+1)</f>
        <v/>
      </c>
      <c r="BD12" s="153">
        <f>$C12*INDEX(Curves!$Q$8:$Q$68,BD$4-$B12+1)</f>
        <v/>
      </c>
      <c r="BE12" s="153">
        <f>$C12*INDEX(Curves!$Q$8:$Q$68,BE$4-$B12+1)</f>
        <v/>
      </c>
      <c r="BF12" s="153">
        <f>$C12*INDEX(Curves!$Q$8:$Q$68,BF$4-$B12+1)</f>
        <v/>
      </c>
      <c r="BG12" s="153">
        <f>$C12*INDEX(Curves!$Q$8:$Q$68,BG$4-$B12+1)</f>
        <v/>
      </c>
      <c r="BH12" s="153">
        <f>$C12*INDEX(Curves!$Q$8:$Q$68,BH$4-$B12+1)</f>
        <v/>
      </c>
      <c r="BI12" s="153">
        <f>$C12*INDEX(Curves!$Q$8:$Q$68,BI$4-$B12+1)</f>
        <v/>
      </c>
      <c r="BJ12" s="153">
        <f>$C12*INDEX(Curves!$Q$8:$Q$68,BJ$4-$B12+1)</f>
        <v/>
      </c>
      <c r="BK12" s="153">
        <f>$C12*INDEX(Curves!$Q$8:$Q$68,BK$4-$B12+1)</f>
        <v/>
      </c>
      <c r="BL12" s="153">
        <f>$C12*INDEX(Curves!$Q$8:$Q$68,BL$4-$B12+1)</f>
        <v/>
      </c>
    </row>
    <row r="13">
      <c r="A13" s="147" t="inlineStr">
        <is>
          <t>Cohort month 4</t>
        </is>
      </c>
      <c r="B13" s="147" t="n">
        <v>4</v>
      </c>
      <c r="C13" s="41">
        <f>INDEX(Ops!$E$35:$BL$35,1,$B13)</f>
        <v/>
      </c>
      <c r="I13" s="153">
        <f>$C13*INDEX(Curves!$Q$8:$Q$68,I$4-$B13+1)</f>
        <v/>
      </c>
      <c r="J13" s="153">
        <f>$C13*INDEX(Curves!$Q$8:$Q$68,J$4-$B13+1)</f>
        <v/>
      </c>
      <c r="K13" s="153">
        <f>$C13*INDEX(Curves!$Q$8:$Q$68,K$4-$B13+1)</f>
        <v/>
      </c>
      <c r="L13" s="153">
        <f>$C13*INDEX(Curves!$Q$8:$Q$68,L$4-$B13+1)</f>
        <v/>
      </c>
      <c r="M13" s="153">
        <f>$C13*INDEX(Curves!$Q$8:$Q$68,M$4-$B13+1)</f>
        <v/>
      </c>
      <c r="N13" s="153">
        <f>$C13*INDEX(Curves!$Q$8:$Q$68,N$4-$B13+1)</f>
        <v/>
      </c>
      <c r="O13" s="153">
        <f>$C13*INDEX(Curves!$Q$8:$Q$68,O$4-$B13+1)</f>
        <v/>
      </c>
      <c r="P13" s="153">
        <f>$C13*INDEX(Curves!$Q$8:$Q$68,P$4-$B13+1)</f>
        <v/>
      </c>
      <c r="Q13" s="153">
        <f>$C13*INDEX(Curves!$Q$8:$Q$68,Q$4-$B13+1)</f>
        <v/>
      </c>
      <c r="R13" s="153">
        <f>$C13*INDEX(Curves!$Q$8:$Q$68,R$4-$B13+1)</f>
        <v/>
      </c>
      <c r="S13" s="153">
        <f>$C13*INDEX(Curves!$Q$8:$Q$68,S$4-$B13+1)</f>
        <v/>
      </c>
      <c r="T13" s="153">
        <f>$C13*INDEX(Curves!$Q$8:$Q$68,T$4-$B13+1)</f>
        <v/>
      </c>
      <c r="U13" s="153">
        <f>$C13*INDEX(Curves!$Q$8:$Q$68,U$4-$B13+1)</f>
        <v/>
      </c>
      <c r="V13" s="153">
        <f>$C13*INDEX(Curves!$Q$8:$Q$68,V$4-$B13+1)</f>
        <v/>
      </c>
      <c r="W13" s="153">
        <f>$C13*INDEX(Curves!$Q$8:$Q$68,W$4-$B13+1)</f>
        <v/>
      </c>
      <c r="X13" s="153">
        <f>$C13*INDEX(Curves!$Q$8:$Q$68,X$4-$B13+1)</f>
        <v/>
      </c>
      <c r="Y13" s="153">
        <f>$C13*INDEX(Curves!$Q$8:$Q$68,Y$4-$B13+1)</f>
        <v/>
      </c>
      <c r="Z13" s="153">
        <f>$C13*INDEX(Curves!$Q$8:$Q$68,Z$4-$B13+1)</f>
        <v/>
      </c>
      <c r="AA13" s="153">
        <f>$C13*INDEX(Curves!$Q$8:$Q$68,AA$4-$B13+1)</f>
        <v/>
      </c>
      <c r="AB13" s="153">
        <f>$C13*INDEX(Curves!$Q$8:$Q$68,AB$4-$B13+1)</f>
        <v/>
      </c>
      <c r="AC13" s="153">
        <f>$C13*INDEX(Curves!$Q$8:$Q$68,AC$4-$B13+1)</f>
        <v/>
      </c>
      <c r="AD13" s="153">
        <f>$C13*INDEX(Curves!$Q$8:$Q$68,AD$4-$B13+1)</f>
        <v/>
      </c>
      <c r="AE13" s="153">
        <f>$C13*INDEX(Curves!$Q$8:$Q$68,AE$4-$B13+1)</f>
        <v/>
      </c>
      <c r="AF13" s="153">
        <f>$C13*INDEX(Curves!$Q$8:$Q$68,AF$4-$B13+1)</f>
        <v/>
      </c>
      <c r="AG13" s="153">
        <f>$C13*INDEX(Curves!$Q$8:$Q$68,AG$4-$B13+1)</f>
        <v/>
      </c>
      <c r="AH13" s="153">
        <f>$C13*INDEX(Curves!$Q$8:$Q$68,AH$4-$B13+1)</f>
        <v/>
      </c>
      <c r="AI13" s="153">
        <f>$C13*INDEX(Curves!$Q$8:$Q$68,AI$4-$B13+1)</f>
        <v/>
      </c>
      <c r="AJ13" s="153">
        <f>$C13*INDEX(Curves!$Q$8:$Q$68,AJ$4-$B13+1)</f>
        <v/>
      </c>
      <c r="AK13" s="153">
        <f>$C13*INDEX(Curves!$Q$8:$Q$68,AK$4-$B13+1)</f>
        <v/>
      </c>
      <c r="AL13" s="153">
        <f>$C13*INDEX(Curves!$Q$8:$Q$68,AL$4-$B13+1)</f>
        <v/>
      </c>
      <c r="AM13" s="153">
        <f>$C13*INDEX(Curves!$Q$8:$Q$68,AM$4-$B13+1)</f>
        <v/>
      </c>
      <c r="AN13" s="153">
        <f>$C13*INDEX(Curves!$Q$8:$Q$68,AN$4-$B13+1)</f>
        <v/>
      </c>
      <c r="AO13" s="153">
        <f>$C13*INDEX(Curves!$Q$8:$Q$68,AO$4-$B13+1)</f>
        <v/>
      </c>
      <c r="AP13" s="153">
        <f>$C13*INDEX(Curves!$Q$8:$Q$68,AP$4-$B13+1)</f>
        <v/>
      </c>
      <c r="AQ13" s="153">
        <f>$C13*INDEX(Curves!$Q$8:$Q$68,AQ$4-$B13+1)</f>
        <v/>
      </c>
      <c r="AR13" s="153">
        <f>$C13*INDEX(Curves!$Q$8:$Q$68,AR$4-$B13+1)</f>
        <v/>
      </c>
      <c r="AS13" s="153">
        <f>$C13*INDEX(Curves!$Q$8:$Q$68,AS$4-$B13+1)</f>
        <v/>
      </c>
      <c r="AT13" s="153">
        <f>$C13*INDEX(Curves!$Q$8:$Q$68,AT$4-$B13+1)</f>
        <v/>
      </c>
      <c r="AU13" s="153">
        <f>$C13*INDEX(Curves!$Q$8:$Q$68,AU$4-$B13+1)</f>
        <v/>
      </c>
      <c r="AV13" s="153">
        <f>$C13*INDEX(Curves!$Q$8:$Q$68,AV$4-$B13+1)</f>
        <v/>
      </c>
      <c r="AW13" s="153">
        <f>$C13*INDEX(Curves!$Q$8:$Q$68,AW$4-$B13+1)</f>
        <v/>
      </c>
      <c r="AX13" s="153">
        <f>$C13*INDEX(Curves!$Q$8:$Q$68,AX$4-$B13+1)</f>
        <v/>
      </c>
      <c r="AY13" s="153">
        <f>$C13*INDEX(Curves!$Q$8:$Q$68,AY$4-$B13+1)</f>
        <v/>
      </c>
      <c r="AZ13" s="153">
        <f>$C13*INDEX(Curves!$Q$8:$Q$68,AZ$4-$B13+1)</f>
        <v/>
      </c>
      <c r="BA13" s="153">
        <f>$C13*INDEX(Curves!$Q$8:$Q$68,BA$4-$B13+1)</f>
        <v/>
      </c>
      <c r="BB13" s="153">
        <f>$C13*INDEX(Curves!$Q$8:$Q$68,BB$4-$B13+1)</f>
        <v/>
      </c>
      <c r="BC13" s="153">
        <f>$C13*INDEX(Curves!$Q$8:$Q$68,BC$4-$B13+1)</f>
        <v/>
      </c>
      <c r="BD13" s="153">
        <f>$C13*INDEX(Curves!$Q$8:$Q$68,BD$4-$B13+1)</f>
        <v/>
      </c>
      <c r="BE13" s="153">
        <f>$C13*INDEX(Curves!$Q$8:$Q$68,BE$4-$B13+1)</f>
        <v/>
      </c>
      <c r="BF13" s="153">
        <f>$C13*INDEX(Curves!$Q$8:$Q$68,BF$4-$B13+1)</f>
        <v/>
      </c>
      <c r="BG13" s="153">
        <f>$C13*INDEX(Curves!$Q$8:$Q$68,BG$4-$B13+1)</f>
        <v/>
      </c>
      <c r="BH13" s="153">
        <f>$C13*INDEX(Curves!$Q$8:$Q$68,BH$4-$B13+1)</f>
        <v/>
      </c>
      <c r="BI13" s="153">
        <f>$C13*INDEX(Curves!$Q$8:$Q$68,BI$4-$B13+1)</f>
        <v/>
      </c>
      <c r="BJ13" s="153">
        <f>$C13*INDEX(Curves!$Q$8:$Q$68,BJ$4-$B13+1)</f>
        <v/>
      </c>
      <c r="BK13" s="153">
        <f>$C13*INDEX(Curves!$Q$8:$Q$68,BK$4-$B13+1)</f>
        <v/>
      </c>
      <c r="BL13" s="153">
        <f>$C13*INDEX(Curves!$Q$8:$Q$68,BL$4-$B13+1)</f>
        <v/>
      </c>
    </row>
    <row r="14">
      <c r="A14" s="147" t="inlineStr">
        <is>
          <t>Cohort month 5</t>
        </is>
      </c>
      <c r="B14" s="147" t="n">
        <v>5</v>
      </c>
      <c r="C14" s="41">
        <f>INDEX(Ops!$E$35:$BL$35,1,$B14)</f>
        <v/>
      </c>
      <c r="J14" s="153">
        <f>$C14*INDEX(Curves!$Q$8:$Q$68,J$4-$B14+1)</f>
        <v/>
      </c>
      <c r="K14" s="153">
        <f>$C14*INDEX(Curves!$Q$8:$Q$68,K$4-$B14+1)</f>
        <v/>
      </c>
      <c r="L14" s="153">
        <f>$C14*INDEX(Curves!$Q$8:$Q$68,L$4-$B14+1)</f>
        <v/>
      </c>
      <c r="M14" s="153">
        <f>$C14*INDEX(Curves!$Q$8:$Q$68,M$4-$B14+1)</f>
        <v/>
      </c>
      <c r="N14" s="153">
        <f>$C14*INDEX(Curves!$Q$8:$Q$68,N$4-$B14+1)</f>
        <v/>
      </c>
      <c r="O14" s="153">
        <f>$C14*INDEX(Curves!$Q$8:$Q$68,O$4-$B14+1)</f>
        <v/>
      </c>
      <c r="P14" s="153">
        <f>$C14*INDEX(Curves!$Q$8:$Q$68,P$4-$B14+1)</f>
        <v/>
      </c>
      <c r="Q14" s="153">
        <f>$C14*INDEX(Curves!$Q$8:$Q$68,Q$4-$B14+1)</f>
        <v/>
      </c>
      <c r="R14" s="153">
        <f>$C14*INDEX(Curves!$Q$8:$Q$68,R$4-$B14+1)</f>
        <v/>
      </c>
      <c r="S14" s="153">
        <f>$C14*INDEX(Curves!$Q$8:$Q$68,S$4-$B14+1)</f>
        <v/>
      </c>
      <c r="T14" s="153">
        <f>$C14*INDEX(Curves!$Q$8:$Q$68,T$4-$B14+1)</f>
        <v/>
      </c>
      <c r="U14" s="153">
        <f>$C14*INDEX(Curves!$Q$8:$Q$68,U$4-$B14+1)</f>
        <v/>
      </c>
      <c r="V14" s="153">
        <f>$C14*INDEX(Curves!$Q$8:$Q$68,V$4-$B14+1)</f>
        <v/>
      </c>
      <c r="W14" s="153">
        <f>$C14*INDEX(Curves!$Q$8:$Q$68,W$4-$B14+1)</f>
        <v/>
      </c>
      <c r="X14" s="153">
        <f>$C14*INDEX(Curves!$Q$8:$Q$68,X$4-$B14+1)</f>
        <v/>
      </c>
      <c r="Y14" s="153">
        <f>$C14*INDEX(Curves!$Q$8:$Q$68,Y$4-$B14+1)</f>
        <v/>
      </c>
      <c r="Z14" s="153">
        <f>$C14*INDEX(Curves!$Q$8:$Q$68,Z$4-$B14+1)</f>
        <v/>
      </c>
      <c r="AA14" s="153">
        <f>$C14*INDEX(Curves!$Q$8:$Q$68,AA$4-$B14+1)</f>
        <v/>
      </c>
      <c r="AB14" s="153">
        <f>$C14*INDEX(Curves!$Q$8:$Q$68,AB$4-$B14+1)</f>
        <v/>
      </c>
      <c r="AC14" s="153">
        <f>$C14*INDEX(Curves!$Q$8:$Q$68,AC$4-$B14+1)</f>
        <v/>
      </c>
      <c r="AD14" s="153">
        <f>$C14*INDEX(Curves!$Q$8:$Q$68,AD$4-$B14+1)</f>
        <v/>
      </c>
      <c r="AE14" s="153">
        <f>$C14*INDEX(Curves!$Q$8:$Q$68,AE$4-$B14+1)</f>
        <v/>
      </c>
      <c r="AF14" s="153">
        <f>$C14*INDEX(Curves!$Q$8:$Q$68,AF$4-$B14+1)</f>
        <v/>
      </c>
      <c r="AG14" s="153">
        <f>$C14*INDEX(Curves!$Q$8:$Q$68,AG$4-$B14+1)</f>
        <v/>
      </c>
      <c r="AH14" s="153">
        <f>$C14*INDEX(Curves!$Q$8:$Q$68,AH$4-$B14+1)</f>
        <v/>
      </c>
      <c r="AI14" s="153">
        <f>$C14*INDEX(Curves!$Q$8:$Q$68,AI$4-$B14+1)</f>
        <v/>
      </c>
      <c r="AJ14" s="153">
        <f>$C14*INDEX(Curves!$Q$8:$Q$68,AJ$4-$B14+1)</f>
        <v/>
      </c>
      <c r="AK14" s="153">
        <f>$C14*INDEX(Curves!$Q$8:$Q$68,AK$4-$B14+1)</f>
        <v/>
      </c>
      <c r="AL14" s="153">
        <f>$C14*INDEX(Curves!$Q$8:$Q$68,AL$4-$B14+1)</f>
        <v/>
      </c>
      <c r="AM14" s="153">
        <f>$C14*INDEX(Curves!$Q$8:$Q$68,AM$4-$B14+1)</f>
        <v/>
      </c>
      <c r="AN14" s="153">
        <f>$C14*INDEX(Curves!$Q$8:$Q$68,AN$4-$B14+1)</f>
        <v/>
      </c>
      <c r="AO14" s="153">
        <f>$C14*INDEX(Curves!$Q$8:$Q$68,AO$4-$B14+1)</f>
        <v/>
      </c>
      <c r="AP14" s="153">
        <f>$C14*INDEX(Curves!$Q$8:$Q$68,AP$4-$B14+1)</f>
        <v/>
      </c>
      <c r="AQ14" s="153">
        <f>$C14*INDEX(Curves!$Q$8:$Q$68,AQ$4-$B14+1)</f>
        <v/>
      </c>
      <c r="AR14" s="153">
        <f>$C14*INDEX(Curves!$Q$8:$Q$68,AR$4-$B14+1)</f>
        <v/>
      </c>
      <c r="AS14" s="153">
        <f>$C14*INDEX(Curves!$Q$8:$Q$68,AS$4-$B14+1)</f>
        <v/>
      </c>
      <c r="AT14" s="153">
        <f>$C14*INDEX(Curves!$Q$8:$Q$68,AT$4-$B14+1)</f>
        <v/>
      </c>
      <c r="AU14" s="153">
        <f>$C14*INDEX(Curves!$Q$8:$Q$68,AU$4-$B14+1)</f>
        <v/>
      </c>
      <c r="AV14" s="153">
        <f>$C14*INDEX(Curves!$Q$8:$Q$68,AV$4-$B14+1)</f>
        <v/>
      </c>
      <c r="AW14" s="153">
        <f>$C14*INDEX(Curves!$Q$8:$Q$68,AW$4-$B14+1)</f>
        <v/>
      </c>
      <c r="AX14" s="153">
        <f>$C14*INDEX(Curves!$Q$8:$Q$68,AX$4-$B14+1)</f>
        <v/>
      </c>
      <c r="AY14" s="153">
        <f>$C14*INDEX(Curves!$Q$8:$Q$68,AY$4-$B14+1)</f>
        <v/>
      </c>
      <c r="AZ14" s="153">
        <f>$C14*INDEX(Curves!$Q$8:$Q$68,AZ$4-$B14+1)</f>
        <v/>
      </c>
      <c r="BA14" s="153">
        <f>$C14*INDEX(Curves!$Q$8:$Q$68,BA$4-$B14+1)</f>
        <v/>
      </c>
      <c r="BB14" s="153">
        <f>$C14*INDEX(Curves!$Q$8:$Q$68,BB$4-$B14+1)</f>
        <v/>
      </c>
      <c r="BC14" s="153">
        <f>$C14*INDEX(Curves!$Q$8:$Q$68,BC$4-$B14+1)</f>
        <v/>
      </c>
      <c r="BD14" s="153">
        <f>$C14*INDEX(Curves!$Q$8:$Q$68,BD$4-$B14+1)</f>
        <v/>
      </c>
      <c r="BE14" s="153">
        <f>$C14*INDEX(Curves!$Q$8:$Q$68,BE$4-$B14+1)</f>
        <v/>
      </c>
      <c r="BF14" s="153">
        <f>$C14*INDEX(Curves!$Q$8:$Q$68,BF$4-$B14+1)</f>
        <v/>
      </c>
      <c r="BG14" s="153">
        <f>$C14*INDEX(Curves!$Q$8:$Q$68,BG$4-$B14+1)</f>
        <v/>
      </c>
      <c r="BH14" s="153">
        <f>$C14*INDEX(Curves!$Q$8:$Q$68,BH$4-$B14+1)</f>
        <v/>
      </c>
      <c r="BI14" s="153">
        <f>$C14*INDEX(Curves!$Q$8:$Q$68,BI$4-$B14+1)</f>
        <v/>
      </c>
      <c r="BJ14" s="153">
        <f>$C14*INDEX(Curves!$Q$8:$Q$68,BJ$4-$B14+1)</f>
        <v/>
      </c>
      <c r="BK14" s="153">
        <f>$C14*INDEX(Curves!$Q$8:$Q$68,BK$4-$B14+1)</f>
        <v/>
      </c>
      <c r="BL14" s="153">
        <f>$C14*INDEX(Curves!$Q$8:$Q$68,BL$4-$B14+1)</f>
        <v/>
      </c>
    </row>
    <row r="15">
      <c r="A15" s="147" t="inlineStr">
        <is>
          <t>Cohort month 6</t>
        </is>
      </c>
      <c r="B15" s="147" t="n">
        <v>6</v>
      </c>
      <c r="C15" s="41">
        <f>INDEX(Ops!$E$35:$BL$35,1,$B15)</f>
        <v/>
      </c>
      <c r="K15" s="153">
        <f>$C15*INDEX(Curves!$Q$8:$Q$68,K$4-$B15+1)</f>
        <v/>
      </c>
      <c r="L15" s="153">
        <f>$C15*INDEX(Curves!$Q$8:$Q$68,L$4-$B15+1)</f>
        <v/>
      </c>
      <c r="M15" s="153">
        <f>$C15*INDEX(Curves!$Q$8:$Q$68,M$4-$B15+1)</f>
        <v/>
      </c>
      <c r="N15" s="153">
        <f>$C15*INDEX(Curves!$Q$8:$Q$68,N$4-$B15+1)</f>
        <v/>
      </c>
      <c r="O15" s="153">
        <f>$C15*INDEX(Curves!$Q$8:$Q$68,O$4-$B15+1)</f>
        <v/>
      </c>
      <c r="P15" s="153">
        <f>$C15*INDEX(Curves!$Q$8:$Q$68,P$4-$B15+1)</f>
        <v/>
      </c>
      <c r="Q15" s="153">
        <f>$C15*INDEX(Curves!$Q$8:$Q$68,Q$4-$B15+1)</f>
        <v/>
      </c>
      <c r="R15" s="153">
        <f>$C15*INDEX(Curves!$Q$8:$Q$68,R$4-$B15+1)</f>
        <v/>
      </c>
      <c r="S15" s="153">
        <f>$C15*INDEX(Curves!$Q$8:$Q$68,S$4-$B15+1)</f>
        <v/>
      </c>
      <c r="T15" s="153">
        <f>$C15*INDEX(Curves!$Q$8:$Q$68,T$4-$B15+1)</f>
        <v/>
      </c>
      <c r="U15" s="153">
        <f>$C15*INDEX(Curves!$Q$8:$Q$68,U$4-$B15+1)</f>
        <v/>
      </c>
      <c r="V15" s="153">
        <f>$C15*INDEX(Curves!$Q$8:$Q$68,V$4-$B15+1)</f>
        <v/>
      </c>
      <c r="W15" s="153">
        <f>$C15*INDEX(Curves!$Q$8:$Q$68,W$4-$B15+1)</f>
        <v/>
      </c>
      <c r="X15" s="153">
        <f>$C15*INDEX(Curves!$Q$8:$Q$68,X$4-$B15+1)</f>
        <v/>
      </c>
      <c r="Y15" s="153">
        <f>$C15*INDEX(Curves!$Q$8:$Q$68,Y$4-$B15+1)</f>
        <v/>
      </c>
      <c r="Z15" s="153">
        <f>$C15*INDEX(Curves!$Q$8:$Q$68,Z$4-$B15+1)</f>
        <v/>
      </c>
      <c r="AA15" s="153">
        <f>$C15*INDEX(Curves!$Q$8:$Q$68,AA$4-$B15+1)</f>
        <v/>
      </c>
      <c r="AB15" s="153">
        <f>$C15*INDEX(Curves!$Q$8:$Q$68,AB$4-$B15+1)</f>
        <v/>
      </c>
      <c r="AC15" s="153">
        <f>$C15*INDEX(Curves!$Q$8:$Q$68,AC$4-$B15+1)</f>
        <v/>
      </c>
      <c r="AD15" s="153">
        <f>$C15*INDEX(Curves!$Q$8:$Q$68,AD$4-$B15+1)</f>
        <v/>
      </c>
      <c r="AE15" s="153">
        <f>$C15*INDEX(Curves!$Q$8:$Q$68,AE$4-$B15+1)</f>
        <v/>
      </c>
      <c r="AF15" s="153">
        <f>$C15*INDEX(Curves!$Q$8:$Q$68,AF$4-$B15+1)</f>
        <v/>
      </c>
      <c r="AG15" s="153">
        <f>$C15*INDEX(Curves!$Q$8:$Q$68,AG$4-$B15+1)</f>
        <v/>
      </c>
      <c r="AH15" s="153">
        <f>$C15*INDEX(Curves!$Q$8:$Q$68,AH$4-$B15+1)</f>
        <v/>
      </c>
      <c r="AI15" s="153">
        <f>$C15*INDEX(Curves!$Q$8:$Q$68,AI$4-$B15+1)</f>
        <v/>
      </c>
      <c r="AJ15" s="153">
        <f>$C15*INDEX(Curves!$Q$8:$Q$68,AJ$4-$B15+1)</f>
        <v/>
      </c>
      <c r="AK15" s="153">
        <f>$C15*INDEX(Curves!$Q$8:$Q$68,AK$4-$B15+1)</f>
        <v/>
      </c>
      <c r="AL15" s="153">
        <f>$C15*INDEX(Curves!$Q$8:$Q$68,AL$4-$B15+1)</f>
        <v/>
      </c>
      <c r="AM15" s="153">
        <f>$C15*INDEX(Curves!$Q$8:$Q$68,AM$4-$B15+1)</f>
        <v/>
      </c>
      <c r="AN15" s="153">
        <f>$C15*INDEX(Curves!$Q$8:$Q$68,AN$4-$B15+1)</f>
        <v/>
      </c>
      <c r="AO15" s="153">
        <f>$C15*INDEX(Curves!$Q$8:$Q$68,AO$4-$B15+1)</f>
        <v/>
      </c>
      <c r="AP15" s="153">
        <f>$C15*INDEX(Curves!$Q$8:$Q$68,AP$4-$B15+1)</f>
        <v/>
      </c>
      <c r="AQ15" s="153">
        <f>$C15*INDEX(Curves!$Q$8:$Q$68,AQ$4-$B15+1)</f>
        <v/>
      </c>
      <c r="AR15" s="153">
        <f>$C15*INDEX(Curves!$Q$8:$Q$68,AR$4-$B15+1)</f>
        <v/>
      </c>
      <c r="AS15" s="153">
        <f>$C15*INDEX(Curves!$Q$8:$Q$68,AS$4-$B15+1)</f>
        <v/>
      </c>
      <c r="AT15" s="153">
        <f>$C15*INDEX(Curves!$Q$8:$Q$68,AT$4-$B15+1)</f>
        <v/>
      </c>
      <c r="AU15" s="153">
        <f>$C15*INDEX(Curves!$Q$8:$Q$68,AU$4-$B15+1)</f>
        <v/>
      </c>
      <c r="AV15" s="153">
        <f>$C15*INDEX(Curves!$Q$8:$Q$68,AV$4-$B15+1)</f>
        <v/>
      </c>
      <c r="AW15" s="153">
        <f>$C15*INDEX(Curves!$Q$8:$Q$68,AW$4-$B15+1)</f>
        <v/>
      </c>
      <c r="AX15" s="153">
        <f>$C15*INDEX(Curves!$Q$8:$Q$68,AX$4-$B15+1)</f>
        <v/>
      </c>
      <c r="AY15" s="153">
        <f>$C15*INDEX(Curves!$Q$8:$Q$68,AY$4-$B15+1)</f>
        <v/>
      </c>
      <c r="AZ15" s="153">
        <f>$C15*INDEX(Curves!$Q$8:$Q$68,AZ$4-$B15+1)</f>
        <v/>
      </c>
      <c r="BA15" s="153">
        <f>$C15*INDEX(Curves!$Q$8:$Q$68,BA$4-$B15+1)</f>
        <v/>
      </c>
      <c r="BB15" s="153">
        <f>$C15*INDEX(Curves!$Q$8:$Q$68,BB$4-$B15+1)</f>
        <v/>
      </c>
      <c r="BC15" s="153">
        <f>$C15*INDEX(Curves!$Q$8:$Q$68,BC$4-$B15+1)</f>
        <v/>
      </c>
      <c r="BD15" s="153">
        <f>$C15*INDEX(Curves!$Q$8:$Q$68,BD$4-$B15+1)</f>
        <v/>
      </c>
      <c r="BE15" s="153">
        <f>$C15*INDEX(Curves!$Q$8:$Q$68,BE$4-$B15+1)</f>
        <v/>
      </c>
      <c r="BF15" s="153">
        <f>$C15*INDEX(Curves!$Q$8:$Q$68,BF$4-$B15+1)</f>
        <v/>
      </c>
      <c r="BG15" s="153">
        <f>$C15*INDEX(Curves!$Q$8:$Q$68,BG$4-$B15+1)</f>
        <v/>
      </c>
      <c r="BH15" s="153">
        <f>$C15*INDEX(Curves!$Q$8:$Q$68,BH$4-$B15+1)</f>
        <v/>
      </c>
      <c r="BI15" s="153">
        <f>$C15*INDEX(Curves!$Q$8:$Q$68,BI$4-$B15+1)</f>
        <v/>
      </c>
      <c r="BJ15" s="153">
        <f>$C15*INDEX(Curves!$Q$8:$Q$68,BJ$4-$B15+1)</f>
        <v/>
      </c>
      <c r="BK15" s="153">
        <f>$C15*INDEX(Curves!$Q$8:$Q$68,BK$4-$B15+1)</f>
        <v/>
      </c>
      <c r="BL15" s="153">
        <f>$C15*INDEX(Curves!$Q$8:$Q$68,BL$4-$B15+1)</f>
        <v/>
      </c>
    </row>
    <row r="16">
      <c r="A16" s="147" t="inlineStr">
        <is>
          <t>Cohort month 7</t>
        </is>
      </c>
      <c r="B16" s="147" t="n">
        <v>7</v>
      </c>
      <c r="C16" s="41">
        <f>INDEX(Ops!$E$35:$BL$35,1,$B16)</f>
        <v/>
      </c>
      <c r="L16" s="153">
        <f>$C16*INDEX(Curves!$Q$8:$Q$68,L$4-$B16+1)</f>
        <v/>
      </c>
      <c r="M16" s="153">
        <f>$C16*INDEX(Curves!$Q$8:$Q$68,M$4-$B16+1)</f>
        <v/>
      </c>
      <c r="N16" s="153">
        <f>$C16*INDEX(Curves!$Q$8:$Q$68,N$4-$B16+1)</f>
        <v/>
      </c>
      <c r="O16" s="153">
        <f>$C16*INDEX(Curves!$Q$8:$Q$68,O$4-$B16+1)</f>
        <v/>
      </c>
      <c r="P16" s="153">
        <f>$C16*INDEX(Curves!$Q$8:$Q$68,P$4-$B16+1)</f>
        <v/>
      </c>
      <c r="Q16" s="153">
        <f>$C16*INDEX(Curves!$Q$8:$Q$68,Q$4-$B16+1)</f>
        <v/>
      </c>
      <c r="R16" s="153">
        <f>$C16*INDEX(Curves!$Q$8:$Q$68,R$4-$B16+1)</f>
        <v/>
      </c>
      <c r="S16" s="153">
        <f>$C16*INDEX(Curves!$Q$8:$Q$68,S$4-$B16+1)</f>
        <v/>
      </c>
      <c r="T16" s="153">
        <f>$C16*INDEX(Curves!$Q$8:$Q$68,T$4-$B16+1)</f>
        <v/>
      </c>
      <c r="U16" s="153">
        <f>$C16*INDEX(Curves!$Q$8:$Q$68,U$4-$B16+1)</f>
        <v/>
      </c>
      <c r="V16" s="153">
        <f>$C16*INDEX(Curves!$Q$8:$Q$68,V$4-$B16+1)</f>
        <v/>
      </c>
      <c r="W16" s="153">
        <f>$C16*INDEX(Curves!$Q$8:$Q$68,W$4-$B16+1)</f>
        <v/>
      </c>
      <c r="X16" s="153">
        <f>$C16*INDEX(Curves!$Q$8:$Q$68,X$4-$B16+1)</f>
        <v/>
      </c>
      <c r="Y16" s="153">
        <f>$C16*INDEX(Curves!$Q$8:$Q$68,Y$4-$B16+1)</f>
        <v/>
      </c>
      <c r="Z16" s="153">
        <f>$C16*INDEX(Curves!$Q$8:$Q$68,Z$4-$B16+1)</f>
        <v/>
      </c>
      <c r="AA16" s="153">
        <f>$C16*INDEX(Curves!$Q$8:$Q$68,AA$4-$B16+1)</f>
        <v/>
      </c>
      <c r="AB16" s="153">
        <f>$C16*INDEX(Curves!$Q$8:$Q$68,AB$4-$B16+1)</f>
        <v/>
      </c>
      <c r="AC16" s="153">
        <f>$C16*INDEX(Curves!$Q$8:$Q$68,AC$4-$B16+1)</f>
        <v/>
      </c>
      <c r="AD16" s="153">
        <f>$C16*INDEX(Curves!$Q$8:$Q$68,AD$4-$B16+1)</f>
        <v/>
      </c>
      <c r="AE16" s="153">
        <f>$C16*INDEX(Curves!$Q$8:$Q$68,AE$4-$B16+1)</f>
        <v/>
      </c>
      <c r="AF16" s="153">
        <f>$C16*INDEX(Curves!$Q$8:$Q$68,AF$4-$B16+1)</f>
        <v/>
      </c>
      <c r="AG16" s="153">
        <f>$C16*INDEX(Curves!$Q$8:$Q$68,AG$4-$B16+1)</f>
        <v/>
      </c>
      <c r="AH16" s="153">
        <f>$C16*INDEX(Curves!$Q$8:$Q$68,AH$4-$B16+1)</f>
        <v/>
      </c>
      <c r="AI16" s="153">
        <f>$C16*INDEX(Curves!$Q$8:$Q$68,AI$4-$B16+1)</f>
        <v/>
      </c>
      <c r="AJ16" s="153">
        <f>$C16*INDEX(Curves!$Q$8:$Q$68,AJ$4-$B16+1)</f>
        <v/>
      </c>
      <c r="AK16" s="153">
        <f>$C16*INDEX(Curves!$Q$8:$Q$68,AK$4-$B16+1)</f>
        <v/>
      </c>
      <c r="AL16" s="153">
        <f>$C16*INDEX(Curves!$Q$8:$Q$68,AL$4-$B16+1)</f>
        <v/>
      </c>
      <c r="AM16" s="153">
        <f>$C16*INDEX(Curves!$Q$8:$Q$68,AM$4-$B16+1)</f>
        <v/>
      </c>
      <c r="AN16" s="153">
        <f>$C16*INDEX(Curves!$Q$8:$Q$68,AN$4-$B16+1)</f>
        <v/>
      </c>
      <c r="AO16" s="153">
        <f>$C16*INDEX(Curves!$Q$8:$Q$68,AO$4-$B16+1)</f>
        <v/>
      </c>
      <c r="AP16" s="153">
        <f>$C16*INDEX(Curves!$Q$8:$Q$68,AP$4-$B16+1)</f>
        <v/>
      </c>
      <c r="AQ16" s="153">
        <f>$C16*INDEX(Curves!$Q$8:$Q$68,AQ$4-$B16+1)</f>
        <v/>
      </c>
      <c r="AR16" s="153">
        <f>$C16*INDEX(Curves!$Q$8:$Q$68,AR$4-$B16+1)</f>
        <v/>
      </c>
      <c r="AS16" s="153">
        <f>$C16*INDEX(Curves!$Q$8:$Q$68,AS$4-$B16+1)</f>
        <v/>
      </c>
      <c r="AT16" s="153">
        <f>$C16*INDEX(Curves!$Q$8:$Q$68,AT$4-$B16+1)</f>
        <v/>
      </c>
      <c r="AU16" s="153">
        <f>$C16*INDEX(Curves!$Q$8:$Q$68,AU$4-$B16+1)</f>
        <v/>
      </c>
      <c r="AV16" s="153">
        <f>$C16*INDEX(Curves!$Q$8:$Q$68,AV$4-$B16+1)</f>
        <v/>
      </c>
      <c r="AW16" s="153">
        <f>$C16*INDEX(Curves!$Q$8:$Q$68,AW$4-$B16+1)</f>
        <v/>
      </c>
      <c r="AX16" s="153">
        <f>$C16*INDEX(Curves!$Q$8:$Q$68,AX$4-$B16+1)</f>
        <v/>
      </c>
      <c r="AY16" s="153">
        <f>$C16*INDEX(Curves!$Q$8:$Q$68,AY$4-$B16+1)</f>
        <v/>
      </c>
      <c r="AZ16" s="153">
        <f>$C16*INDEX(Curves!$Q$8:$Q$68,AZ$4-$B16+1)</f>
        <v/>
      </c>
      <c r="BA16" s="153">
        <f>$C16*INDEX(Curves!$Q$8:$Q$68,BA$4-$B16+1)</f>
        <v/>
      </c>
      <c r="BB16" s="153">
        <f>$C16*INDEX(Curves!$Q$8:$Q$68,BB$4-$B16+1)</f>
        <v/>
      </c>
      <c r="BC16" s="153">
        <f>$C16*INDEX(Curves!$Q$8:$Q$68,BC$4-$B16+1)</f>
        <v/>
      </c>
      <c r="BD16" s="153">
        <f>$C16*INDEX(Curves!$Q$8:$Q$68,BD$4-$B16+1)</f>
        <v/>
      </c>
      <c r="BE16" s="153">
        <f>$C16*INDEX(Curves!$Q$8:$Q$68,BE$4-$B16+1)</f>
        <v/>
      </c>
      <c r="BF16" s="153">
        <f>$C16*INDEX(Curves!$Q$8:$Q$68,BF$4-$B16+1)</f>
        <v/>
      </c>
      <c r="BG16" s="153">
        <f>$C16*INDEX(Curves!$Q$8:$Q$68,BG$4-$B16+1)</f>
        <v/>
      </c>
      <c r="BH16" s="153">
        <f>$C16*INDEX(Curves!$Q$8:$Q$68,BH$4-$B16+1)</f>
        <v/>
      </c>
      <c r="BI16" s="153">
        <f>$C16*INDEX(Curves!$Q$8:$Q$68,BI$4-$B16+1)</f>
        <v/>
      </c>
      <c r="BJ16" s="153">
        <f>$C16*INDEX(Curves!$Q$8:$Q$68,BJ$4-$B16+1)</f>
        <v/>
      </c>
      <c r="BK16" s="153">
        <f>$C16*INDEX(Curves!$Q$8:$Q$68,BK$4-$B16+1)</f>
        <v/>
      </c>
      <c r="BL16" s="153">
        <f>$C16*INDEX(Curves!$Q$8:$Q$68,BL$4-$B16+1)</f>
        <v/>
      </c>
    </row>
    <row r="17">
      <c r="A17" s="147" t="inlineStr">
        <is>
          <t>Cohort month 8</t>
        </is>
      </c>
      <c r="B17" s="147" t="n">
        <v>8</v>
      </c>
      <c r="C17" s="41">
        <f>INDEX(Ops!$E$35:$BL$35,1,$B17)</f>
        <v/>
      </c>
      <c r="M17" s="153">
        <f>$C17*INDEX(Curves!$Q$8:$Q$68,M$4-$B17+1)</f>
        <v/>
      </c>
      <c r="N17" s="153">
        <f>$C17*INDEX(Curves!$Q$8:$Q$68,N$4-$B17+1)</f>
        <v/>
      </c>
      <c r="O17" s="153">
        <f>$C17*INDEX(Curves!$Q$8:$Q$68,O$4-$B17+1)</f>
        <v/>
      </c>
      <c r="P17" s="153">
        <f>$C17*INDEX(Curves!$Q$8:$Q$68,P$4-$B17+1)</f>
        <v/>
      </c>
      <c r="Q17" s="153">
        <f>$C17*INDEX(Curves!$Q$8:$Q$68,Q$4-$B17+1)</f>
        <v/>
      </c>
      <c r="R17" s="153">
        <f>$C17*INDEX(Curves!$Q$8:$Q$68,R$4-$B17+1)</f>
        <v/>
      </c>
      <c r="S17" s="153">
        <f>$C17*INDEX(Curves!$Q$8:$Q$68,S$4-$B17+1)</f>
        <v/>
      </c>
      <c r="T17" s="153">
        <f>$C17*INDEX(Curves!$Q$8:$Q$68,T$4-$B17+1)</f>
        <v/>
      </c>
      <c r="U17" s="153">
        <f>$C17*INDEX(Curves!$Q$8:$Q$68,U$4-$B17+1)</f>
        <v/>
      </c>
      <c r="V17" s="153">
        <f>$C17*INDEX(Curves!$Q$8:$Q$68,V$4-$B17+1)</f>
        <v/>
      </c>
      <c r="W17" s="153">
        <f>$C17*INDEX(Curves!$Q$8:$Q$68,W$4-$B17+1)</f>
        <v/>
      </c>
      <c r="X17" s="153">
        <f>$C17*INDEX(Curves!$Q$8:$Q$68,X$4-$B17+1)</f>
        <v/>
      </c>
      <c r="Y17" s="153">
        <f>$C17*INDEX(Curves!$Q$8:$Q$68,Y$4-$B17+1)</f>
        <v/>
      </c>
      <c r="Z17" s="153">
        <f>$C17*INDEX(Curves!$Q$8:$Q$68,Z$4-$B17+1)</f>
        <v/>
      </c>
      <c r="AA17" s="153">
        <f>$C17*INDEX(Curves!$Q$8:$Q$68,AA$4-$B17+1)</f>
        <v/>
      </c>
      <c r="AB17" s="153">
        <f>$C17*INDEX(Curves!$Q$8:$Q$68,AB$4-$B17+1)</f>
        <v/>
      </c>
      <c r="AC17" s="153">
        <f>$C17*INDEX(Curves!$Q$8:$Q$68,AC$4-$B17+1)</f>
        <v/>
      </c>
      <c r="AD17" s="153">
        <f>$C17*INDEX(Curves!$Q$8:$Q$68,AD$4-$B17+1)</f>
        <v/>
      </c>
      <c r="AE17" s="153">
        <f>$C17*INDEX(Curves!$Q$8:$Q$68,AE$4-$B17+1)</f>
        <v/>
      </c>
      <c r="AF17" s="153">
        <f>$C17*INDEX(Curves!$Q$8:$Q$68,AF$4-$B17+1)</f>
        <v/>
      </c>
      <c r="AG17" s="153">
        <f>$C17*INDEX(Curves!$Q$8:$Q$68,AG$4-$B17+1)</f>
        <v/>
      </c>
      <c r="AH17" s="153">
        <f>$C17*INDEX(Curves!$Q$8:$Q$68,AH$4-$B17+1)</f>
        <v/>
      </c>
      <c r="AI17" s="153">
        <f>$C17*INDEX(Curves!$Q$8:$Q$68,AI$4-$B17+1)</f>
        <v/>
      </c>
      <c r="AJ17" s="153">
        <f>$C17*INDEX(Curves!$Q$8:$Q$68,AJ$4-$B17+1)</f>
        <v/>
      </c>
      <c r="AK17" s="153">
        <f>$C17*INDEX(Curves!$Q$8:$Q$68,AK$4-$B17+1)</f>
        <v/>
      </c>
      <c r="AL17" s="153">
        <f>$C17*INDEX(Curves!$Q$8:$Q$68,AL$4-$B17+1)</f>
        <v/>
      </c>
      <c r="AM17" s="153">
        <f>$C17*INDEX(Curves!$Q$8:$Q$68,AM$4-$B17+1)</f>
        <v/>
      </c>
      <c r="AN17" s="153">
        <f>$C17*INDEX(Curves!$Q$8:$Q$68,AN$4-$B17+1)</f>
        <v/>
      </c>
      <c r="AO17" s="153">
        <f>$C17*INDEX(Curves!$Q$8:$Q$68,AO$4-$B17+1)</f>
        <v/>
      </c>
      <c r="AP17" s="153">
        <f>$C17*INDEX(Curves!$Q$8:$Q$68,AP$4-$B17+1)</f>
        <v/>
      </c>
      <c r="AQ17" s="153">
        <f>$C17*INDEX(Curves!$Q$8:$Q$68,AQ$4-$B17+1)</f>
        <v/>
      </c>
      <c r="AR17" s="153">
        <f>$C17*INDEX(Curves!$Q$8:$Q$68,AR$4-$B17+1)</f>
        <v/>
      </c>
      <c r="AS17" s="153">
        <f>$C17*INDEX(Curves!$Q$8:$Q$68,AS$4-$B17+1)</f>
        <v/>
      </c>
      <c r="AT17" s="153">
        <f>$C17*INDEX(Curves!$Q$8:$Q$68,AT$4-$B17+1)</f>
        <v/>
      </c>
      <c r="AU17" s="153">
        <f>$C17*INDEX(Curves!$Q$8:$Q$68,AU$4-$B17+1)</f>
        <v/>
      </c>
      <c r="AV17" s="153">
        <f>$C17*INDEX(Curves!$Q$8:$Q$68,AV$4-$B17+1)</f>
        <v/>
      </c>
      <c r="AW17" s="153">
        <f>$C17*INDEX(Curves!$Q$8:$Q$68,AW$4-$B17+1)</f>
        <v/>
      </c>
      <c r="AX17" s="153">
        <f>$C17*INDEX(Curves!$Q$8:$Q$68,AX$4-$B17+1)</f>
        <v/>
      </c>
      <c r="AY17" s="153">
        <f>$C17*INDEX(Curves!$Q$8:$Q$68,AY$4-$B17+1)</f>
        <v/>
      </c>
      <c r="AZ17" s="153">
        <f>$C17*INDEX(Curves!$Q$8:$Q$68,AZ$4-$B17+1)</f>
        <v/>
      </c>
      <c r="BA17" s="153">
        <f>$C17*INDEX(Curves!$Q$8:$Q$68,BA$4-$B17+1)</f>
        <v/>
      </c>
      <c r="BB17" s="153">
        <f>$C17*INDEX(Curves!$Q$8:$Q$68,BB$4-$B17+1)</f>
        <v/>
      </c>
      <c r="BC17" s="153">
        <f>$C17*INDEX(Curves!$Q$8:$Q$68,BC$4-$B17+1)</f>
        <v/>
      </c>
      <c r="BD17" s="153">
        <f>$C17*INDEX(Curves!$Q$8:$Q$68,BD$4-$B17+1)</f>
        <v/>
      </c>
      <c r="BE17" s="153">
        <f>$C17*INDEX(Curves!$Q$8:$Q$68,BE$4-$B17+1)</f>
        <v/>
      </c>
      <c r="BF17" s="153">
        <f>$C17*INDEX(Curves!$Q$8:$Q$68,BF$4-$B17+1)</f>
        <v/>
      </c>
      <c r="BG17" s="153">
        <f>$C17*INDEX(Curves!$Q$8:$Q$68,BG$4-$B17+1)</f>
        <v/>
      </c>
      <c r="BH17" s="153">
        <f>$C17*INDEX(Curves!$Q$8:$Q$68,BH$4-$B17+1)</f>
        <v/>
      </c>
      <c r="BI17" s="153">
        <f>$C17*INDEX(Curves!$Q$8:$Q$68,BI$4-$B17+1)</f>
        <v/>
      </c>
      <c r="BJ17" s="153">
        <f>$C17*INDEX(Curves!$Q$8:$Q$68,BJ$4-$B17+1)</f>
        <v/>
      </c>
      <c r="BK17" s="153">
        <f>$C17*INDEX(Curves!$Q$8:$Q$68,BK$4-$B17+1)</f>
        <v/>
      </c>
      <c r="BL17" s="153">
        <f>$C17*INDEX(Curves!$Q$8:$Q$68,BL$4-$B17+1)</f>
        <v/>
      </c>
    </row>
    <row r="18">
      <c r="A18" s="147" t="inlineStr">
        <is>
          <t>Cohort month 9</t>
        </is>
      </c>
      <c r="B18" s="147" t="n">
        <v>9</v>
      </c>
      <c r="C18" s="41">
        <f>INDEX(Ops!$E$35:$BL$35,1,$B18)</f>
        <v/>
      </c>
      <c r="N18" s="153">
        <f>$C18*INDEX(Curves!$Q$8:$Q$68,N$4-$B18+1)</f>
        <v/>
      </c>
      <c r="O18" s="153">
        <f>$C18*INDEX(Curves!$Q$8:$Q$68,O$4-$B18+1)</f>
        <v/>
      </c>
      <c r="P18" s="153">
        <f>$C18*INDEX(Curves!$Q$8:$Q$68,P$4-$B18+1)</f>
        <v/>
      </c>
      <c r="Q18" s="153">
        <f>$C18*INDEX(Curves!$Q$8:$Q$68,Q$4-$B18+1)</f>
        <v/>
      </c>
      <c r="R18" s="153">
        <f>$C18*INDEX(Curves!$Q$8:$Q$68,R$4-$B18+1)</f>
        <v/>
      </c>
      <c r="S18" s="153">
        <f>$C18*INDEX(Curves!$Q$8:$Q$68,S$4-$B18+1)</f>
        <v/>
      </c>
      <c r="T18" s="153">
        <f>$C18*INDEX(Curves!$Q$8:$Q$68,T$4-$B18+1)</f>
        <v/>
      </c>
      <c r="U18" s="153">
        <f>$C18*INDEX(Curves!$Q$8:$Q$68,U$4-$B18+1)</f>
        <v/>
      </c>
      <c r="V18" s="153">
        <f>$C18*INDEX(Curves!$Q$8:$Q$68,V$4-$B18+1)</f>
        <v/>
      </c>
      <c r="W18" s="153">
        <f>$C18*INDEX(Curves!$Q$8:$Q$68,W$4-$B18+1)</f>
        <v/>
      </c>
      <c r="X18" s="153">
        <f>$C18*INDEX(Curves!$Q$8:$Q$68,X$4-$B18+1)</f>
        <v/>
      </c>
      <c r="Y18" s="153">
        <f>$C18*INDEX(Curves!$Q$8:$Q$68,Y$4-$B18+1)</f>
        <v/>
      </c>
      <c r="Z18" s="153">
        <f>$C18*INDEX(Curves!$Q$8:$Q$68,Z$4-$B18+1)</f>
        <v/>
      </c>
      <c r="AA18" s="153">
        <f>$C18*INDEX(Curves!$Q$8:$Q$68,AA$4-$B18+1)</f>
        <v/>
      </c>
      <c r="AB18" s="153">
        <f>$C18*INDEX(Curves!$Q$8:$Q$68,AB$4-$B18+1)</f>
        <v/>
      </c>
      <c r="AC18" s="153">
        <f>$C18*INDEX(Curves!$Q$8:$Q$68,AC$4-$B18+1)</f>
        <v/>
      </c>
      <c r="AD18" s="153">
        <f>$C18*INDEX(Curves!$Q$8:$Q$68,AD$4-$B18+1)</f>
        <v/>
      </c>
      <c r="AE18" s="153">
        <f>$C18*INDEX(Curves!$Q$8:$Q$68,AE$4-$B18+1)</f>
        <v/>
      </c>
      <c r="AF18" s="153">
        <f>$C18*INDEX(Curves!$Q$8:$Q$68,AF$4-$B18+1)</f>
        <v/>
      </c>
      <c r="AG18" s="153">
        <f>$C18*INDEX(Curves!$Q$8:$Q$68,AG$4-$B18+1)</f>
        <v/>
      </c>
      <c r="AH18" s="153">
        <f>$C18*INDEX(Curves!$Q$8:$Q$68,AH$4-$B18+1)</f>
        <v/>
      </c>
      <c r="AI18" s="153">
        <f>$C18*INDEX(Curves!$Q$8:$Q$68,AI$4-$B18+1)</f>
        <v/>
      </c>
      <c r="AJ18" s="153">
        <f>$C18*INDEX(Curves!$Q$8:$Q$68,AJ$4-$B18+1)</f>
        <v/>
      </c>
      <c r="AK18" s="153">
        <f>$C18*INDEX(Curves!$Q$8:$Q$68,AK$4-$B18+1)</f>
        <v/>
      </c>
      <c r="AL18" s="153">
        <f>$C18*INDEX(Curves!$Q$8:$Q$68,AL$4-$B18+1)</f>
        <v/>
      </c>
      <c r="AM18" s="153">
        <f>$C18*INDEX(Curves!$Q$8:$Q$68,AM$4-$B18+1)</f>
        <v/>
      </c>
      <c r="AN18" s="153">
        <f>$C18*INDEX(Curves!$Q$8:$Q$68,AN$4-$B18+1)</f>
        <v/>
      </c>
      <c r="AO18" s="153">
        <f>$C18*INDEX(Curves!$Q$8:$Q$68,AO$4-$B18+1)</f>
        <v/>
      </c>
      <c r="AP18" s="153">
        <f>$C18*INDEX(Curves!$Q$8:$Q$68,AP$4-$B18+1)</f>
        <v/>
      </c>
      <c r="AQ18" s="153">
        <f>$C18*INDEX(Curves!$Q$8:$Q$68,AQ$4-$B18+1)</f>
        <v/>
      </c>
      <c r="AR18" s="153">
        <f>$C18*INDEX(Curves!$Q$8:$Q$68,AR$4-$B18+1)</f>
        <v/>
      </c>
      <c r="AS18" s="153">
        <f>$C18*INDEX(Curves!$Q$8:$Q$68,AS$4-$B18+1)</f>
        <v/>
      </c>
      <c r="AT18" s="153">
        <f>$C18*INDEX(Curves!$Q$8:$Q$68,AT$4-$B18+1)</f>
        <v/>
      </c>
      <c r="AU18" s="153">
        <f>$C18*INDEX(Curves!$Q$8:$Q$68,AU$4-$B18+1)</f>
        <v/>
      </c>
      <c r="AV18" s="153">
        <f>$C18*INDEX(Curves!$Q$8:$Q$68,AV$4-$B18+1)</f>
        <v/>
      </c>
      <c r="AW18" s="153">
        <f>$C18*INDEX(Curves!$Q$8:$Q$68,AW$4-$B18+1)</f>
        <v/>
      </c>
      <c r="AX18" s="153">
        <f>$C18*INDEX(Curves!$Q$8:$Q$68,AX$4-$B18+1)</f>
        <v/>
      </c>
      <c r="AY18" s="153">
        <f>$C18*INDEX(Curves!$Q$8:$Q$68,AY$4-$B18+1)</f>
        <v/>
      </c>
      <c r="AZ18" s="153">
        <f>$C18*INDEX(Curves!$Q$8:$Q$68,AZ$4-$B18+1)</f>
        <v/>
      </c>
      <c r="BA18" s="153">
        <f>$C18*INDEX(Curves!$Q$8:$Q$68,BA$4-$B18+1)</f>
        <v/>
      </c>
      <c r="BB18" s="153">
        <f>$C18*INDEX(Curves!$Q$8:$Q$68,BB$4-$B18+1)</f>
        <v/>
      </c>
      <c r="BC18" s="153">
        <f>$C18*INDEX(Curves!$Q$8:$Q$68,BC$4-$B18+1)</f>
        <v/>
      </c>
      <c r="BD18" s="153">
        <f>$C18*INDEX(Curves!$Q$8:$Q$68,BD$4-$B18+1)</f>
        <v/>
      </c>
      <c r="BE18" s="153">
        <f>$C18*INDEX(Curves!$Q$8:$Q$68,BE$4-$B18+1)</f>
        <v/>
      </c>
      <c r="BF18" s="153">
        <f>$C18*INDEX(Curves!$Q$8:$Q$68,BF$4-$B18+1)</f>
        <v/>
      </c>
      <c r="BG18" s="153">
        <f>$C18*INDEX(Curves!$Q$8:$Q$68,BG$4-$B18+1)</f>
        <v/>
      </c>
      <c r="BH18" s="153">
        <f>$C18*INDEX(Curves!$Q$8:$Q$68,BH$4-$B18+1)</f>
        <v/>
      </c>
      <c r="BI18" s="153">
        <f>$C18*INDEX(Curves!$Q$8:$Q$68,BI$4-$B18+1)</f>
        <v/>
      </c>
      <c r="BJ18" s="153">
        <f>$C18*INDEX(Curves!$Q$8:$Q$68,BJ$4-$B18+1)</f>
        <v/>
      </c>
      <c r="BK18" s="153">
        <f>$C18*INDEX(Curves!$Q$8:$Q$68,BK$4-$B18+1)</f>
        <v/>
      </c>
      <c r="BL18" s="153">
        <f>$C18*INDEX(Curves!$Q$8:$Q$68,BL$4-$B18+1)</f>
        <v/>
      </c>
    </row>
    <row r="19">
      <c r="A19" s="147" t="inlineStr">
        <is>
          <t>Cohort month 10</t>
        </is>
      </c>
      <c r="B19" s="147" t="n">
        <v>10</v>
      </c>
      <c r="C19" s="41">
        <f>INDEX(Ops!$E$35:$BL$35,1,$B19)</f>
        <v/>
      </c>
      <c r="O19" s="153">
        <f>$C19*INDEX(Curves!$Q$8:$Q$68,O$4-$B19+1)</f>
        <v/>
      </c>
      <c r="P19" s="153">
        <f>$C19*INDEX(Curves!$Q$8:$Q$68,P$4-$B19+1)</f>
        <v/>
      </c>
      <c r="Q19" s="153">
        <f>$C19*INDEX(Curves!$Q$8:$Q$68,Q$4-$B19+1)</f>
        <v/>
      </c>
      <c r="R19" s="153">
        <f>$C19*INDEX(Curves!$Q$8:$Q$68,R$4-$B19+1)</f>
        <v/>
      </c>
      <c r="S19" s="153">
        <f>$C19*INDEX(Curves!$Q$8:$Q$68,S$4-$B19+1)</f>
        <v/>
      </c>
      <c r="T19" s="153">
        <f>$C19*INDEX(Curves!$Q$8:$Q$68,T$4-$B19+1)</f>
        <v/>
      </c>
      <c r="U19" s="153">
        <f>$C19*INDEX(Curves!$Q$8:$Q$68,U$4-$B19+1)</f>
        <v/>
      </c>
      <c r="V19" s="153">
        <f>$C19*INDEX(Curves!$Q$8:$Q$68,V$4-$B19+1)</f>
        <v/>
      </c>
      <c r="W19" s="153">
        <f>$C19*INDEX(Curves!$Q$8:$Q$68,W$4-$B19+1)</f>
        <v/>
      </c>
      <c r="X19" s="153">
        <f>$C19*INDEX(Curves!$Q$8:$Q$68,X$4-$B19+1)</f>
        <v/>
      </c>
      <c r="Y19" s="153">
        <f>$C19*INDEX(Curves!$Q$8:$Q$68,Y$4-$B19+1)</f>
        <v/>
      </c>
      <c r="Z19" s="153">
        <f>$C19*INDEX(Curves!$Q$8:$Q$68,Z$4-$B19+1)</f>
        <v/>
      </c>
      <c r="AA19" s="153">
        <f>$C19*INDEX(Curves!$Q$8:$Q$68,AA$4-$B19+1)</f>
        <v/>
      </c>
      <c r="AB19" s="153">
        <f>$C19*INDEX(Curves!$Q$8:$Q$68,AB$4-$B19+1)</f>
        <v/>
      </c>
      <c r="AC19" s="153">
        <f>$C19*INDEX(Curves!$Q$8:$Q$68,AC$4-$B19+1)</f>
        <v/>
      </c>
      <c r="AD19" s="153">
        <f>$C19*INDEX(Curves!$Q$8:$Q$68,AD$4-$B19+1)</f>
        <v/>
      </c>
      <c r="AE19" s="153">
        <f>$C19*INDEX(Curves!$Q$8:$Q$68,AE$4-$B19+1)</f>
        <v/>
      </c>
      <c r="AF19" s="153">
        <f>$C19*INDEX(Curves!$Q$8:$Q$68,AF$4-$B19+1)</f>
        <v/>
      </c>
      <c r="AG19" s="153">
        <f>$C19*INDEX(Curves!$Q$8:$Q$68,AG$4-$B19+1)</f>
        <v/>
      </c>
      <c r="AH19" s="153">
        <f>$C19*INDEX(Curves!$Q$8:$Q$68,AH$4-$B19+1)</f>
        <v/>
      </c>
      <c r="AI19" s="153">
        <f>$C19*INDEX(Curves!$Q$8:$Q$68,AI$4-$B19+1)</f>
        <v/>
      </c>
      <c r="AJ19" s="153">
        <f>$C19*INDEX(Curves!$Q$8:$Q$68,AJ$4-$B19+1)</f>
        <v/>
      </c>
      <c r="AK19" s="153">
        <f>$C19*INDEX(Curves!$Q$8:$Q$68,AK$4-$B19+1)</f>
        <v/>
      </c>
      <c r="AL19" s="153">
        <f>$C19*INDEX(Curves!$Q$8:$Q$68,AL$4-$B19+1)</f>
        <v/>
      </c>
      <c r="AM19" s="153">
        <f>$C19*INDEX(Curves!$Q$8:$Q$68,AM$4-$B19+1)</f>
        <v/>
      </c>
      <c r="AN19" s="153">
        <f>$C19*INDEX(Curves!$Q$8:$Q$68,AN$4-$B19+1)</f>
        <v/>
      </c>
      <c r="AO19" s="153">
        <f>$C19*INDEX(Curves!$Q$8:$Q$68,AO$4-$B19+1)</f>
        <v/>
      </c>
      <c r="AP19" s="153">
        <f>$C19*INDEX(Curves!$Q$8:$Q$68,AP$4-$B19+1)</f>
        <v/>
      </c>
      <c r="AQ19" s="153">
        <f>$C19*INDEX(Curves!$Q$8:$Q$68,AQ$4-$B19+1)</f>
        <v/>
      </c>
      <c r="AR19" s="153">
        <f>$C19*INDEX(Curves!$Q$8:$Q$68,AR$4-$B19+1)</f>
        <v/>
      </c>
      <c r="AS19" s="153">
        <f>$C19*INDEX(Curves!$Q$8:$Q$68,AS$4-$B19+1)</f>
        <v/>
      </c>
      <c r="AT19" s="153">
        <f>$C19*INDEX(Curves!$Q$8:$Q$68,AT$4-$B19+1)</f>
        <v/>
      </c>
      <c r="AU19" s="153">
        <f>$C19*INDEX(Curves!$Q$8:$Q$68,AU$4-$B19+1)</f>
        <v/>
      </c>
      <c r="AV19" s="153">
        <f>$C19*INDEX(Curves!$Q$8:$Q$68,AV$4-$B19+1)</f>
        <v/>
      </c>
      <c r="AW19" s="153">
        <f>$C19*INDEX(Curves!$Q$8:$Q$68,AW$4-$B19+1)</f>
        <v/>
      </c>
      <c r="AX19" s="153">
        <f>$C19*INDEX(Curves!$Q$8:$Q$68,AX$4-$B19+1)</f>
        <v/>
      </c>
      <c r="AY19" s="153">
        <f>$C19*INDEX(Curves!$Q$8:$Q$68,AY$4-$B19+1)</f>
        <v/>
      </c>
      <c r="AZ19" s="153">
        <f>$C19*INDEX(Curves!$Q$8:$Q$68,AZ$4-$B19+1)</f>
        <v/>
      </c>
      <c r="BA19" s="153">
        <f>$C19*INDEX(Curves!$Q$8:$Q$68,BA$4-$B19+1)</f>
        <v/>
      </c>
      <c r="BB19" s="153">
        <f>$C19*INDEX(Curves!$Q$8:$Q$68,BB$4-$B19+1)</f>
        <v/>
      </c>
      <c r="BC19" s="153">
        <f>$C19*INDEX(Curves!$Q$8:$Q$68,BC$4-$B19+1)</f>
        <v/>
      </c>
      <c r="BD19" s="153">
        <f>$C19*INDEX(Curves!$Q$8:$Q$68,BD$4-$B19+1)</f>
        <v/>
      </c>
      <c r="BE19" s="153">
        <f>$C19*INDEX(Curves!$Q$8:$Q$68,BE$4-$B19+1)</f>
        <v/>
      </c>
      <c r="BF19" s="153">
        <f>$C19*INDEX(Curves!$Q$8:$Q$68,BF$4-$B19+1)</f>
        <v/>
      </c>
      <c r="BG19" s="153">
        <f>$C19*INDEX(Curves!$Q$8:$Q$68,BG$4-$B19+1)</f>
        <v/>
      </c>
      <c r="BH19" s="153">
        <f>$C19*INDEX(Curves!$Q$8:$Q$68,BH$4-$B19+1)</f>
        <v/>
      </c>
      <c r="BI19" s="153">
        <f>$C19*INDEX(Curves!$Q$8:$Q$68,BI$4-$B19+1)</f>
        <v/>
      </c>
      <c r="BJ19" s="153">
        <f>$C19*INDEX(Curves!$Q$8:$Q$68,BJ$4-$B19+1)</f>
        <v/>
      </c>
      <c r="BK19" s="153">
        <f>$C19*INDEX(Curves!$Q$8:$Q$68,BK$4-$B19+1)</f>
        <v/>
      </c>
      <c r="BL19" s="153">
        <f>$C19*INDEX(Curves!$Q$8:$Q$68,BL$4-$B19+1)</f>
        <v/>
      </c>
    </row>
    <row r="20">
      <c r="A20" s="147" t="inlineStr">
        <is>
          <t>Cohort month 11</t>
        </is>
      </c>
      <c r="B20" s="147" t="n">
        <v>11</v>
      </c>
      <c r="C20" s="41">
        <f>INDEX(Ops!$E$35:$BL$35,1,$B20)</f>
        <v/>
      </c>
      <c r="P20" s="153">
        <f>$C20*INDEX(Curves!$Q$8:$Q$68,P$4-$B20+1)</f>
        <v/>
      </c>
      <c r="Q20" s="153">
        <f>$C20*INDEX(Curves!$Q$8:$Q$68,Q$4-$B20+1)</f>
        <v/>
      </c>
      <c r="R20" s="153">
        <f>$C20*INDEX(Curves!$Q$8:$Q$68,R$4-$B20+1)</f>
        <v/>
      </c>
      <c r="S20" s="153">
        <f>$C20*INDEX(Curves!$Q$8:$Q$68,S$4-$B20+1)</f>
        <v/>
      </c>
      <c r="T20" s="153">
        <f>$C20*INDEX(Curves!$Q$8:$Q$68,T$4-$B20+1)</f>
        <v/>
      </c>
      <c r="U20" s="153">
        <f>$C20*INDEX(Curves!$Q$8:$Q$68,U$4-$B20+1)</f>
        <v/>
      </c>
      <c r="V20" s="153">
        <f>$C20*INDEX(Curves!$Q$8:$Q$68,V$4-$B20+1)</f>
        <v/>
      </c>
      <c r="W20" s="153">
        <f>$C20*INDEX(Curves!$Q$8:$Q$68,W$4-$B20+1)</f>
        <v/>
      </c>
      <c r="X20" s="153">
        <f>$C20*INDEX(Curves!$Q$8:$Q$68,X$4-$B20+1)</f>
        <v/>
      </c>
      <c r="Y20" s="153">
        <f>$C20*INDEX(Curves!$Q$8:$Q$68,Y$4-$B20+1)</f>
        <v/>
      </c>
      <c r="Z20" s="153">
        <f>$C20*INDEX(Curves!$Q$8:$Q$68,Z$4-$B20+1)</f>
        <v/>
      </c>
      <c r="AA20" s="153">
        <f>$C20*INDEX(Curves!$Q$8:$Q$68,AA$4-$B20+1)</f>
        <v/>
      </c>
      <c r="AB20" s="153">
        <f>$C20*INDEX(Curves!$Q$8:$Q$68,AB$4-$B20+1)</f>
        <v/>
      </c>
      <c r="AC20" s="153">
        <f>$C20*INDEX(Curves!$Q$8:$Q$68,AC$4-$B20+1)</f>
        <v/>
      </c>
      <c r="AD20" s="153">
        <f>$C20*INDEX(Curves!$Q$8:$Q$68,AD$4-$B20+1)</f>
        <v/>
      </c>
      <c r="AE20" s="153">
        <f>$C20*INDEX(Curves!$Q$8:$Q$68,AE$4-$B20+1)</f>
        <v/>
      </c>
      <c r="AF20" s="153">
        <f>$C20*INDEX(Curves!$Q$8:$Q$68,AF$4-$B20+1)</f>
        <v/>
      </c>
      <c r="AG20" s="153">
        <f>$C20*INDEX(Curves!$Q$8:$Q$68,AG$4-$B20+1)</f>
        <v/>
      </c>
      <c r="AH20" s="153">
        <f>$C20*INDEX(Curves!$Q$8:$Q$68,AH$4-$B20+1)</f>
        <v/>
      </c>
      <c r="AI20" s="153">
        <f>$C20*INDEX(Curves!$Q$8:$Q$68,AI$4-$B20+1)</f>
        <v/>
      </c>
      <c r="AJ20" s="153">
        <f>$C20*INDEX(Curves!$Q$8:$Q$68,AJ$4-$B20+1)</f>
        <v/>
      </c>
      <c r="AK20" s="153">
        <f>$C20*INDEX(Curves!$Q$8:$Q$68,AK$4-$B20+1)</f>
        <v/>
      </c>
      <c r="AL20" s="153">
        <f>$C20*INDEX(Curves!$Q$8:$Q$68,AL$4-$B20+1)</f>
        <v/>
      </c>
      <c r="AM20" s="153">
        <f>$C20*INDEX(Curves!$Q$8:$Q$68,AM$4-$B20+1)</f>
        <v/>
      </c>
      <c r="AN20" s="153">
        <f>$C20*INDEX(Curves!$Q$8:$Q$68,AN$4-$B20+1)</f>
        <v/>
      </c>
      <c r="AO20" s="153">
        <f>$C20*INDEX(Curves!$Q$8:$Q$68,AO$4-$B20+1)</f>
        <v/>
      </c>
      <c r="AP20" s="153">
        <f>$C20*INDEX(Curves!$Q$8:$Q$68,AP$4-$B20+1)</f>
        <v/>
      </c>
      <c r="AQ20" s="153">
        <f>$C20*INDEX(Curves!$Q$8:$Q$68,AQ$4-$B20+1)</f>
        <v/>
      </c>
      <c r="AR20" s="153">
        <f>$C20*INDEX(Curves!$Q$8:$Q$68,AR$4-$B20+1)</f>
        <v/>
      </c>
      <c r="AS20" s="153">
        <f>$C20*INDEX(Curves!$Q$8:$Q$68,AS$4-$B20+1)</f>
        <v/>
      </c>
      <c r="AT20" s="153">
        <f>$C20*INDEX(Curves!$Q$8:$Q$68,AT$4-$B20+1)</f>
        <v/>
      </c>
      <c r="AU20" s="153">
        <f>$C20*INDEX(Curves!$Q$8:$Q$68,AU$4-$B20+1)</f>
        <v/>
      </c>
      <c r="AV20" s="153">
        <f>$C20*INDEX(Curves!$Q$8:$Q$68,AV$4-$B20+1)</f>
        <v/>
      </c>
      <c r="AW20" s="153">
        <f>$C20*INDEX(Curves!$Q$8:$Q$68,AW$4-$B20+1)</f>
        <v/>
      </c>
      <c r="AX20" s="153">
        <f>$C20*INDEX(Curves!$Q$8:$Q$68,AX$4-$B20+1)</f>
        <v/>
      </c>
      <c r="AY20" s="153">
        <f>$C20*INDEX(Curves!$Q$8:$Q$68,AY$4-$B20+1)</f>
        <v/>
      </c>
      <c r="AZ20" s="153">
        <f>$C20*INDEX(Curves!$Q$8:$Q$68,AZ$4-$B20+1)</f>
        <v/>
      </c>
      <c r="BA20" s="153">
        <f>$C20*INDEX(Curves!$Q$8:$Q$68,BA$4-$B20+1)</f>
        <v/>
      </c>
      <c r="BB20" s="153">
        <f>$C20*INDEX(Curves!$Q$8:$Q$68,BB$4-$B20+1)</f>
        <v/>
      </c>
      <c r="BC20" s="153">
        <f>$C20*INDEX(Curves!$Q$8:$Q$68,BC$4-$B20+1)</f>
        <v/>
      </c>
      <c r="BD20" s="153">
        <f>$C20*INDEX(Curves!$Q$8:$Q$68,BD$4-$B20+1)</f>
        <v/>
      </c>
      <c r="BE20" s="153">
        <f>$C20*INDEX(Curves!$Q$8:$Q$68,BE$4-$B20+1)</f>
        <v/>
      </c>
      <c r="BF20" s="153">
        <f>$C20*INDEX(Curves!$Q$8:$Q$68,BF$4-$B20+1)</f>
        <v/>
      </c>
      <c r="BG20" s="153">
        <f>$C20*INDEX(Curves!$Q$8:$Q$68,BG$4-$B20+1)</f>
        <v/>
      </c>
      <c r="BH20" s="153">
        <f>$C20*INDEX(Curves!$Q$8:$Q$68,BH$4-$B20+1)</f>
        <v/>
      </c>
      <c r="BI20" s="153">
        <f>$C20*INDEX(Curves!$Q$8:$Q$68,BI$4-$B20+1)</f>
        <v/>
      </c>
      <c r="BJ20" s="153">
        <f>$C20*INDEX(Curves!$Q$8:$Q$68,BJ$4-$B20+1)</f>
        <v/>
      </c>
      <c r="BK20" s="153">
        <f>$C20*INDEX(Curves!$Q$8:$Q$68,BK$4-$B20+1)</f>
        <v/>
      </c>
      <c r="BL20" s="153">
        <f>$C20*INDEX(Curves!$Q$8:$Q$68,BL$4-$B20+1)</f>
        <v/>
      </c>
    </row>
    <row r="21">
      <c r="A21" s="147" t="inlineStr">
        <is>
          <t>Cohort month 12</t>
        </is>
      </c>
      <c r="B21" s="147" t="n">
        <v>12</v>
      </c>
      <c r="C21" s="41">
        <f>INDEX(Ops!$E$35:$BL$35,1,$B21)</f>
        <v/>
      </c>
      <c r="Q21" s="153">
        <f>$C21*INDEX(Curves!$Q$8:$Q$68,Q$4-$B21+1)</f>
        <v/>
      </c>
      <c r="R21" s="153">
        <f>$C21*INDEX(Curves!$Q$8:$Q$68,R$4-$B21+1)</f>
        <v/>
      </c>
      <c r="S21" s="153">
        <f>$C21*INDEX(Curves!$Q$8:$Q$68,S$4-$B21+1)</f>
        <v/>
      </c>
      <c r="T21" s="153">
        <f>$C21*INDEX(Curves!$Q$8:$Q$68,T$4-$B21+1)</f>
        <v/>
      </c>
      <c r="U21" s="153">
        <f>$C21*INDEX(Curves!$Q$8:$Q$68,U$4-$B21+1)</f>
        <v/>
      </c>
      <c r="V21" s="153">
        <f>$C21*INDEX(Curves!$Q$8:$Q$68,V$4-$B21+1)</f>
        <v/>
      </c>
      <c r="W21" s="153">
        <f>$C21*INDEX(Curves!$Q$8:$Q$68,W$4-$B21+1)</f>
        <v/>
      </c>
      <c r="X21" s="153">
        <f>$C21*INDEX(Curves!$Q$8:$Q$68,X$4-$B21+1)</f>
        <v/>
      </c>
      <c r="Y21" s="153">
        <f>$C21*INDEX(Curves!$Q$8:$Q$68,Y$4-$B21+1)</f>
        <v/>
      </c>
      <c r="Z21" s="153">
        <f>$C21*INDEX(Curves!$Q$8:$Q$68,Z$4-$B21+1)</f>
        <v/>
      </c>
      <c r="AA21" s="153">
        <f>$C21*INDEX(Curves!$Q$8:$Q$68,AA$4-$B21+1)</f>
        <v/>
      </c>
      <c r="AB21" s="153">
        <f>$C21*INDEX(Curves!$Q$8:$Q$68,AB$4-$B21+1)</f>
        <v/>
      </c>
      <c r="AC21" s="153">
        <f>$C21*INDEX(Curves!$Q$8:$Q$68,AC$4-$B21+1)</f>
        <v/>
      </c>
      <c r="AD21" s="153">
        <f>$C21*INDEX(Curves!$Q$8:$Q$68,AD$4-$B21+1)</f>
        <v/>
      </c>
      <c r="AE21" s="153">
        <f>$C21*INDEX(Curves!$Q$8:$Q$68,AE$4-$B21+1)</f>
        <v/>
      </c>
      <c r="AF21" s="153">
        <f>$C21*INDEX(Curves!$Q$8:$Q$68,AF$4-$B21+1)</f>
        <v/>
      </c>
      <c r="AG21" s="153">
        <f>$C21*INDEX(Curves!$Q$8:$Q$68,AG$4-$B21+1)</f>
        <v/>
      </c>
      <c r="AH21" s="153">
        <f>$C21*INDEX(Curves!$Q$8:$Q$68,AH$4-$B21+1)</f>
        <v/>
      </c>
      <c r="AI21" s="153">
        <f>$C21*INDEX(Curves!$Q$8:$Q$68,AI$4-$B21+1)</f>
        <v/>
      </c>
      <c r="AJ21" s="153">
        <f>$C21*INDEX(Curves!$Q$8:$Q$68,AJ$4-$B21+1)</f>
        <v/>
      </c>
      <c r="AK21" s="153">
        <f>$C21*INDEX(Curves!$Q$8:$Q$68,AK$4-$B21+1)</f>
        <v/>
      </c>
      <c r="AL21" s="153">
        <f>$C21*INDEX(Curves!$Q$8:$Q$68,AL$4-$B21+1)</f>
        <v/>
      </c>
      <c r="AM21" s="153">
        <f>$C21*INDEX(Curves!$Q$8:$Q$68,AM$4-$B21+1)</f>
        <v/>
      </c>
      <c r="AN21" s="153">
        <f>$C21*INDEX(Curves!$Q$8:$Q$68,AN$4-$B21+1)</f>
        <v/>
      </c>
      <c r="AO21" s="153">
        <f>$C21*INDEX(Curves!$Q$8:$Q$68,AO$4-$B21+1)</f>
        <v/>
      </c>
      <c r="AP21" s="153">
        <f>$C21*INDEX(Curves!$Q$8:$Q$68,AP$4-$B21+1)</f>
        <v/>
      </c>
      <c r="AQ21" s="153">
        <f>$C21*INDEX(Curves!$Q$8:$Q$68,AQ$4-$B21+1)</f>
        <v/>
      </c>
      <c r="AR21" s="153">
        <f>$C21*INDEX(Curves!$Q$8:$Q$68,AR$4-$B21+1)</f>
        <v/>
      </c>
      <c r="AS21" s="153">
        <f>$C21*INDEX(Curves!$Q$8:$Q$68,AS$4-$B21+1)</f>
        <v/>
      </c>
      <c r="AT21" s="153">
        <f>$C21*INDEX(Curves!$Q$8:$Q$68,AT$4-$B21+1)</f>
        <v/>
      </c>
      <c r="AU21" s="153">
        <f>$C21*INDEX(Curves!$Q$8:$Q$68,AU$4-$B21+1)</f>
        <v/>
      </c>
      <c r="AV21" s="153">
        <f>$C21*INDEX(Curves!$Q$8:$Q$68,AV$4-$B21+1)</f>
        <v/>
      </c>
      <c r="AW21" s="153">
        <f>$C21*INDEX(Curves!$Q$8:$Q$68,AW$4-$B21+1)</f>
        <v/>
      </c>
      <c r="AX21" s="153">
        <f>$C21*INDEX(Curves!$Q$8:$Q$68,AX$4-$B21+1)</f>
        <v/>
      </c>
      <c r="AY21" s="153">
        <f>$C21*INDEX(Curves!$Q$8:$Q$68,AY$4-$B21+1)</f>
        <v/>
      </c>
      <c r="AZ21" s="153">
        <f>$C21*INDEX(Curves!$Q$8:$Q$68,AZ$4-$B21+1)</f>
        <v/>
      </c>
      <c r="BA21" s="153">
        <f>$C21*INDEX(Curves!$Q$8:$Q$68,BA$4-$B21+1)</f>
        <v/>
      </c>
      <c r="BB21" s="153">
        <f>$C21*INDEX(Curves!$Q$8:$Q$68,BB$4-$B21+1)</f>
        <v/>
      </c>
      <c r="BC21" s="153">
        <f>$C21*INDEX(Curves!$Q$8:$Q$68,BC$4-$B21+1)</f>
        <v/>
      </c>
      <c r="BD21" s="153">
        <f>$C21*INDEX(Curves!$Q$8:$Q$68,BD$4-$B21+1)</f>
        <v/>
      </c>
      <c r="BE21" s="153">
        <f>$C21*INDEX(Curves!$Q$8:$Q$68,BE$4-$B21+1)</f>
        <v/>
      </c>
      <c r="BF21" s="153">
        <f>$C21*INDEX(Curves!$Q$8:$Q$68,BF$4-$B21+1)</f>
        <v/>
      </c>
      <c r="BG21" s="153">
        <f>$C21*INDEX(Curves!$Q$8:$Q$68,BG$4-$B21+1)</f>
        <v/>
      </c>
      <c r="BH21" s="153">
        <f>$C21*INDEX(Curves!$Q$8:$Q$68,BH$4-$B21+1)</f>
        <v/>
      </c>
      <c r="BI21" s="153">
        <f>$C21*INDEX(Curves!$Q$8:$Q$68,BI$4-$B21+1)</f>
        <v/>
      </c>
      <c r="BJ21" s="153">
        <f>$C21*INDEX(Curves!$Q$8:$Q$68,BJ$4-$B21+1)</f>
        <v/>
      </c>
      <c r="BK21" s="153">
        <f>$C21*INDEX(Curves!$Q$8:$Q$68,BK$4-$B21+1)</f>
        <v/>
      </c>
      <c r="BL21" s="153">
        <f>$C21*INDEX(Curves!$Q$8:$Q$68,BL$4-$B21+1)</f>
        <v/>
      </c>
    </row>
    <row r="22">
      <c r="A22" s="147" t="inlineStr">
        <is>
          <t>Cohort month 13</t>
        </is>
      </c>
      <c r="B22" s="147" t="n">
        <v>13</v>
      </c>
      <c r="C22" s="41">
        <f>INDEX(Ops!$E$35:$BL$35,1,$B22)</f>
        <v/>
      </c>
      <c r="R22" s="153">
        <f>$C22*INDEX(Curves!$Q$8:$Q$68,R$4-$B22+1)</f>
        <v/>
      </c>
      <c r="S22" s="153">
        <f>$C22*INDEX(Curves!$Q$8:$Q$68,S$4-$B22+1)</f>
        <v/>
      </c>
      <c r="T22" s="153">
        <f>$C22*INDEX(Curves!$Q$8:$Q$68,T$4-$B22+1)</f>
        <v/>
      </c>
      <c r="U22" s="153">
        <f>$C22*INDEX(Curves!$Q$8:$Q$68,U$4-$B22+1)</f>
        <v/>
      </c>
      <c r="V22" s="153">
        <f>$C22*INDEX(Curves!$Q$8:$Q$68,V$4-$B22+1)</f>
        <v/>
      </c>
      <c r="W22" s="153">
        <f>$C22*INDEX(Curves!$Q$8:$Q$68,W$4-$B22+1)</f>
        <v/>
      </c>
      <c r="X22" s="153">
        <f>$C22*INDEX(Curves!$Q$8:$Q$68,X$4-$B22+1)</f>
        <v/>
      </c>
      <c r="Y22" s="153">
        <f>$C22*INDEX(Curves!$Q$8:$Q$68,Y$4-$B22+1)</f>
        <v/>
      </c>
      <c r="Z22" s="153">
        <f>$C22*INDEX(Curves!$Q$8:$Q$68,Z$4-$B22+1)</f>
        <v/>
      </c>
      <c r="AA22" s="153">
        <f>$C22*INDEX(Curves!$Q$8:$Q$68,AA$4-$B22+1)</f>
        <v/>
      </c>
      <c r="AB22" s="153">
        <f>$C22*INDEX(Curves!$Q$8:$Q$68,AB$4-$B22+1)</f>
        <v/>
      </c>
      <c r="AC22" s="153">
        <f>$C22*INDEX(Curves!$Q$8:$Q$68,AC$4-$B22+1)</f>
        <v/>
      </c>
      <c r="AD22" s="153">
        <f>$C22*INDEX(Curves!$Q$8:$Q$68,AD$4-$B22+1)</f>
        <v/>
      </c>
      <c r="AE22" s="153">
        <f>$C22*INDEX(Curves!$Q$8:$Q$68,AE$4-$B22+1)</f>
        <v/>
      </c>
      <c r="AF22" s="153">
        <f>$C22*INDEX(Curves!$Q$8:$Q$68,AF$4-$B22+1)</f>
        <v/>
      </c>
      <c r="AG22" s="153">
        <f>$C22*INDEX(Curves!$Q$8:$Q$68,AG$4-$B22+1)</f>
        <v/>
      </c>
      <c r="AH22" s="153">
        <f>$C22*INDEX(Curves!$Q$8:$Q$68,AH$4-$B22+1)</f>
        <v/>
      </c>
      <c r="AI22" s="153">
        <f>$C22*INDEX(Curves!$Q$8:$Q$68,AI$4-$B22+1)</f>
        <v/>
      </c>
      <c r="AJ22" s="153">
        <f>$C22*INDEX(Curves!$Q$8:$Q$68,AJ$4-$B22+1)</f>
        <v/>
      </c>
      <c r="AK22" s="153">
        <f>$C22*INDEX(Curves!$Q$8:$Q$68,AK$4-$B22+1)</f>
        <v/>
      </c>
      <c r="AL22" s="153">
        <f>$C22*INDEX(Curves!$Q$8:$Q$68,AL$4-$B22+1)</f>
        <v/>
      </c>
      <c r="AM22" s="153">
        <f>$C22*INDEX(Curves!$Q$8:$Q$68,AM$4-$B22+1)</f>
        <v/>
      </c>
      <c r="AN22" s="153">
        <f>$C22*INDEX(Curves!$Q$8:$Q$68,AN$4-$B22+1)</f>
        <v/>
      </c>
      <c r="AO22" s="153">
        <f>$C22*INDEX(Curves!$Q$8:$Q$68,AO$4-$B22+1)</f>
        <v/>
      </c>
      <c r="AP22" s="153">
        <f>$C22*INDEX(Curves!$Q$8:$Q$68,AP$4-$B22+1)</f>
        <v/>
      </c>
      <c r="AQ22" s="153">
        <f>$C22*INDEX(Curves!$Q$8:$Q$68,AQ$4-$B22+1)</f>
        <v/>
      </c>
      <c r="AR22" s="153">
        <f>$C22*INDEX(Curves!$Q$8:$Q$68,AR$4-$B22+1)</f>
        <v/>
      </c>
      <c r="AS22" s="153">
        <f>$C22*INDEX(Curves!$Q$8:$Q$68,AS$4-$B22+1)</f>
        <v/>
      </c>
      <c r="AT22" s="153">
        <f>$C22*INDEX(Curves!$Q$8:$Q$68,AT$4-$B22+1)</f>
        <v/>
      </c>
      <c r="AU22" s="153">
        <f>$C22*INDEX(Curves!$Q$8:$Q$68,AU$4-$B22+1)</f>
        <v/>
      </c>
      <c r="AV22" s="153">
        <f>$C22*INDEX(Curves!$Q$8:$Q$68,AV$4-$B22+1)</f>
        <v/>
      </c>
      <c r="AW22" s="153">
        <f>$C22*INDEX(Curves!$Q$8:$Q$68,AW$4-$B22+1)</f>
        <v/>
      </c>
      <c r="AX22" s="153">
        <f>$C22*INDEX(Curves!$Q$8:$Q$68,AX$4-$B22+1)</f>
        <v/>
      </c>
      <c r="AY22" s="153">
        <f>$C22*INDEX(Curves!$Q$8:$Q$68,AY$4-$B22+1)</f>
        <v/>
      </c>
      <c r="AZ22" s="153">
        <f>$C22*INDEX(Curves!$Q$8:$Q$68,AZ$4-$B22+1)</f>
        <v/>
      </c>
      <c r="BA22" s="153">
        <f>$C22*INDEX(Curves!$Q$8:$Q$68,BA$4-$B22+1)</f>
        <v/>
      </c>
      <c r="BB22" s="153">
        <f>$C22*INDEX(Curves!$Q$8:$Q$68,BB$4-$B22+1)</f>
        <v/>
      </c>
      <c r="BC22" s="153">
        <f>$C22*INDEX(Curves!$Q$8:$Q$68,BC$4-$B22+1)</f>
        <v/>
      </c>
      <c r="BD22" s="153">
        <f>$C22*INDEX(Curves!$Q$8:$Q$68,BD$4-$B22+1)</f>
        <v/>
      </c>
      <c r="BE22" s="153">
        <f>$C22*INDEX(Curves!$Q$8:$Q$68,BE$4-$B22+1)</f>
        <v/>
      </c>
      <c r="BF22" s="153">
        <f>$C22*INDEX(Curves!$Q$8:$Q$68,BF$4-$B22+1)</f>
        <v/>
      </c>
      <c r="BG22" s="153">
        <f>$C22*INDEX(Curves!$Q$8:$Q$68,BG$4-$B22+1)</f>
        <v/>
      </c>
      <c r="BH22" s="153">
        <f>$C22*INDEX(Curves!$Q$8:$Q$68,BH$4-$B22+1)</f>
        <v/>
      </c>
      <c r="BI22" s="153">
        <f>$C22*INDEX(Curves!$Q$8:$Q$68,BI$4-$B22+1)</f>
        <v/>
      </c>
      <c r="BJ22" s="153">
        <f>$C22*INDEX(Curves!$Q$8:$Q$68,BJ$4-$B22+1)</f>
        <v/>
      </c>
      <c r="BK22" s="153">
        <f>$C22*INDEX(Curves!$Q$8:$Q$68,BK$4-$B22+1)</f>
        <v/>
      </c>
      <c r="BL22" s="153">
        <f>$C22*INDEX(Curves!$Q$8:$Q$68,BL$4-$B22+1)</f>
        <v/>
      </c>
    </row>
    <row r="23">
      <c r="A23" s="147" t="inlineStr">
        <is>
          <t>Cohort month 14</t>
        </is>
      </c>
      <c r="B23" s="147" t="n">
        <v>14</v>
      </c>
      <c r="C23" s="41">
        <f>INDEX(Ops!$E$35:$BL$35,1,$B23)</f>
        <v/>
      </c>
      <c r="S23" s="153">
        <f>$C23*INDEX(Curves!$Q$8:$Q$68,S$4-$B23+1)</f>
        <v/>
      </c>
      <c r="T23" s="153">
        <f>$C23*INDEX(Curves!$Q$8:$Q$68,T$4-$B23+1)</f>
        <v/>
      </c>
      <c r="U23" s="153">
        <f>$C23*INDEX(Curves!$Q$8:$Q$68,U$4-$B23+1)</f>
        <v/>
      </c>
      <c r="V23" s="153">
        <f>$C23*INDEX(Curves!$Q$8:$Q$68,V$4-$B23+1)</f>
        <v/>
      </c>
      <c r="W23" s="153">
        <f>$C23*INDEX(Curves!$Q$8:$Q$68,W$4-$B23+1)</f>
        <v/>
      </c>
      <c r="X23" s="153">
        <f>$C23*INDEX(Curves!$Q$8:$Q$68,X$4-$B23+1)</f>
        <v/>
      </c>
      <c r="Y23" s="153">
        <f>$C23*INDEX(Curves!$Q$8:$Q$68,Y$4-$B23+1)</f>
        <v/>
      </c>
      <c r="Z23" s="153">
        <f>$C23*INDEX(Curves!$Q$8:$Q$68,Z$4-$B23+1)</f>
        <v/>
      </c>
      <c r="AA23" s="153">
        <f>$C23*INDEX(Curves!$Q$8:$Q$68,AA$4-$B23+1)</f>
        <v/>
      </c>
      <c r="AB23" s="153">
        <f>$C23*INDEX(Curves!$Q$8:$Q$68,AB$4-$B23+1)</f>
        <v/>
      </c>
      <c r="AC23" s="153">
        <f>$C23*INDEX(Curves!$Q$8:$Q$68,AC$4-$B23+1)</f>
        <v/>
      </c>
      <c r="AD23" s="153">
        <f>$C23*INDEX(Curves!$Q$8:$Q$68,AD$4-$B23+1)</f>
        <v/>
      </c>
      <c r="AE23" s="153">
        <f>$C23*INDEX(Curves!$Q$8:$Q$68,AE$4-$B23+1)</f>
        <v/>
      </c>
      <c r="AF23" s="153">
        <f>$C23*INDEX(Curves!$Q$8:$Q$68,AF$4-$B23+1)</f>
        <v/>
      </c>
      <c r="AG23" s="153">
        <f>$C23*INDEX(Curves!$Q$8:$Q$68,AG$4-$B23+1)</f>
        <v/>
      </c>
      <c r="AH23" s="153">
        <f>$C23*INDEX(Curves!$Q$8:$Q$68,AH$4-$B23+1)</f>
        <v/>
      </c>
      <c r="AI23" s="153">
        <f>$C23*INDEX(Curves!$Q$8:$Q$68,AI$4-$B23+1)</f>
        <v/>
      </c>
      <c r="AJ23" s="153">
        <f>$C23*INDEX(Curves!$Q$8:$Q$68,AJ$4-$B23+1)</f>
        <v/>
      </c>
      <c r="AK23" s="153">
        <f>$C23*INDEX(Curves!$Q$8:$Q$68,AK$4-$B23+1)</f>
        <v/>
      </c>
      <c r="AL23" s="153">
        <f>$C23*INDEX(Curves!$Q$8:$Q$68,AL$4-$B23+1)</f>
        <v/>
      </c>
      <c r="AM23" s="153">
        <f>$C23*INDEX(Curves!$Q$8:$Q$68,AM$4-$B23+1)</f>
        <v/>
      </c>
      <c r="AN23" s="153">
        <f>$C23*INDEX(Curves!$Q$8:$Q$68,AN$4-$B23+1)</f>
        <v/>
      </c>
      <c r="AO23" s="153">
        <f>$C23*INDEX(Curves!$Q$8:$Q$68,AO$4-$B23+1)</f>
        <v/>
      </c>
      <c r="AP23" s="153">
        <f>$C23*INDEX(Curves!$Q$8:$Q$68,AP$4-$B23+1)</f>
        <v/>
      </c>
      <c r="AQ23" s="153">
        <f>$C23*INDEX(Curves!$Q$8:$Q$68,AQ$4-$B23+1)</f>
        <v/>
      </c>
      <c r="AR23" s="153">
        <f>$C23*INDEX(Curves!$Q$8:$Q$68,AR$4-$B23+1)</f>
        <v/>
      </c>
      <c r="AS23" s="153">
        <f>$C23*INDEX(Curves!$Q$8:$Q$68,AS$4-$B23+1)</f>
        <v/>
      </c>
      <c r="AT23" s="153">
        <f>$C23*INDEX(Curves!$Q$8:$Q$68,AT$4-$B23+1)</f>
        <v/>
      </c>
      <c r="AU23" s="153">
        <f>$C23*INDEX(Curves!$Q$8:$Q$68,AU$4-$B23+1)</f>
        <v/>
      </c>
      <c r="AV23" s="153">
        <f>$C23*INDEX(Curves!$Q$8:$Q$68,AV$4-$B23+1)</f>
        <v/>
      </c>
      <c r="AW23" s="153">
        <f>$C23*INDEX(Curves!$Q$8:$Q$68,AW$4-$B23+1)</f>
        <v/>
      </c>
      <c r="AX23" s="153">
        <f>$C23*INDEX(Curves!$Q$8:$Q$68,AX$4-$B23+1)</f>
        <v/>
      </c>
      <c r="AY23" s="153">
        <f>$C23*INDEX(Curves!$Q$8:$Q$68,AY$4-$B23+1)</f>
        <v/>
      </c>
      <c r="AZ23" s="153">
        <f>$C23*INDEX(Curves!$Q$8:$Q$68,AZ$4-$B23+1)</f>
        <v/>
      </c>
      <c r="BA23" s="153">
        <f>$C23*INDEX(Curves!$Q$8:$Q$68,BA$4-$B23+1)</f>
        <v/>
      </c>
      <c r="BB23" s="153">
        <f>$C23*INDEX(Curves!$Q$8:$Q$68,BB$4-$B23+1)</f>
        <v/>
      </c>
      <c r="BC23" s="153">
        <f>$C23*INDEX(Curves!$Q$8:$Q$68,BC$4-$B23+1)</f>
        <v/>
      </c>
      <c r="BD23" s="153">
        <f>$C23*INDEX(Curves!$Q$8:$Q$68,BD$4-$B23+1)</f>
        <v/>
      </c>
      <c r="BE23" s="153">
        <f>$C23*INDEX(Curves!$Q$8:$Q$68,BE$4-$B23+1)</f>
        <v/>
      </c>
      <c r="BF23" s="153">
        <f>$C23*INDEX(Curves!$Q$8:$Q$68,BF$4-$B23+1)</f>
        <v/>
      </c>
      <c r="BG23" s="153">
        <f>$C23*INDEX(Curves!$Q$8:$Q$68,BG$4-$B23+1)</f>
        <v/>
      </c>
      <c r="BH23" s="153">
        <f>$C23*INDEX(Curves!$Q$8:$Q$68,BH$4-$B23+1)</f>
        <v/>
      </c>
      <c r="BI23" s="153">
        <f>$C23*INDEX(Curves!$Q$8:$Q$68,BI$4-$B23+1)</f>
        <v/>
      </c>
      <c r="BJ23" s="153">
        <f>$C23*INDEX(Curves!$Q$8:$Q$68,BJ$4-$B23+1)</f>
        <v/>
      </c>
      <c r="BK23" s="153">
        <f>$C23*INDEX(Curves!$Q$8:$Q$68,BK$4-$B23+1)</f>
        <v/>
      </c>
      <c r="BL23" s="153">
        <f>$C23*INDEX(Curves!$Q$8:$Q$68,BL$4-$B23+1)</f>
        <v/>
      </c>
    </row>
    <row r="24">
      <c r="A24" s="147" t="inlineStr">
        <is>
          <t>Cohort month 15</t>
        </is>
      </c>
      <c r="B24" s="147" t="n">
        <v>15</v>
      </c>
      <c r="C24" s="41">
        <f>INDEX(Ops!$E$35:$BL$35,1,$B24)</f>
        <v/>
      </c>
      <c r="T24" s="153">
        <f>$C24*INDEX(Curves!$Q$8:$Q$68,T$4-$B24+1)</f>
        <v/>
      </c>
      <c r="U24" s="153">
        <f>$C24*INDEX(Curves!$Q$8:$Q$68,U$4-$B24+1)</f>
        <v/>
      </c>
      <c r="V24" s="153">
        <f>$C24*INDEX(Curves!$Q$8:$Q$68,V$4-$B24+1)</f>
        <v/>
      </c>
      <c r="W24" s="153">
        <f>$C24*INDEX(Curves!$Q$8:$Q$68,W$4-$B24+1)</f>
        <v/>
      </c>
      <c r="X24" s="153">
        <f>$C24*INDEX(Curves!$Q$8:$Q$68,X$4-$B24+1)</f>
        <v/>
      </c>
      <c r="Y24" s="153">
        <f>$C24*INDEX(Curves!$Q$8:$Q$68,Y$4-$B24+1)</f>
        <v/>
      </c>
      <c r="Z24" s="153">
        <f>$C24*INDEX(Curves!$Q$8:$Q$68,Z$4-$B24+1)</f>
        <v/>
      </c>
      <c r="AA24" s="153">
        <f>$C24*INDEX(Curves!$Q$8:$Q$68,AA$4-$B24+1)</f>
        <v/>
      </c>
      <c r="AB24" s="153">
        <f>$C24*INDEX(Curves!$Q$8:$Q$68,AB$4-$B24+1)</f>
        <v/>
      </c>
      <c r="AC24" s="153">
        <f>$C24*INDEX(Curves!$Q$8:$Q$68,AC$4-$B24+1)</f>
        <v/>
      </c>
      <c r="AD24" s="153">
        <f>$C24*INDEX(Curves!$Q$8:$Q$68,AD$4-$B24+1)</f>
        <v/>
      </c>
      <c r="AE24" s="153">
        <f>$C24*INDEX(Curves!$Q$8:$Q$68,AE$4-$B24+1)</f>
        <v/>
      </c>
      <c r="AF24" s="153">
        <f>$C24*INDEX(Curves!$Q$8:$Q$68,AF$4-$B24+1)</f>
        <v/>
      </c>
      <c r="AG24" s="153">
        <f>$C24*INDEX(Curves!$Q$8:$Q$68,AG$4-$B24+1)</f>
        <v/>
      </c>
      <c r="AH24" s="153">
        <f>$C24*INDEX(Curves!$Q$8:$Q$68,AH$4-$B24+1)</f>
        <v/>
      </c>
      <c r="AI24" s="153">
        <f>$C24*INDEX(Curves!$Q$8:$Q$68,AI$4-$B24+1)</f>
        <v/>
      </c>
      <c r="AJ24" s="153">
        <f>$C24*INDEX(Curves!$Q$8:$Q$68,AJ$4-$B24+1)</f>
        <v/>
      </c>
      <c r="AK24" s="153">
        <f>$C24*INDEX(Curves!$Q$8:$Q$68,AK$4-$B24+1)</f>
        <v/>
      </c>
      <c r="AL24" s="153">
        <f>$C24*INDEX(Curves!$Q$8:$Q$68,AL$4-$B24+1)</f>
        <v/>
      </c>
      <c r="AM24" s="153">
        <f>$C24*INDEX(Curves!$Q$8:$Q$68,AM$4-$B24+1)</f>
        <v/>
      </c>
      <c r="AN24" s="153">
        <f>$C24*INDEX(Curves!$Q$8:$Q$68,AN$4-$B24+1)</f>
        <v/>
      </c>
      <c r="AO24" s="153">
        <f>$C24*INDEX(Curves!$Q$8:$Q$68,AO$4-$B24+1)</f>
        <v/>
      </c>
      <c r="AP24" s="153">
        <f>$C24*INDEX(Curves!$Q$8:$Q$68,AP$4-$B24+1)</f>
        <v/>
      </c>
      <c r="AQ24" s="153">
        <f>$C24*INDEX(Curves!$Q$8:$Q$68,AQ$4-$B24+1)</f>
        <v/>
      </c>
      <c r="AR24" s="153">
        <f>$C24*INDEX(Curves!$Q$8:$Q$68,AR$4-$B24+1)</f>
        <v/>
      </c>
      <c r="AS24" s="153">
        <f>$C24*INDEX(Curves!$Q$8:$Q$68,AS$4-$B24+1)</f>
        <v/>
      </c>
      <c r="AT24" s="153">
        <f>$C24*INDEX(Curves!$Q$8:$Q$68,AT$4-$B24+1)</f>
        <v/>
      </c>
      <c r="AU24" s="153">
        <f>$C24*INDEX(Curves!$Q$8:$Q$68,AU$4-$B24+1)</f>
        <v/>
      </c>
      <c r="AV24" s="153">
        <f>$C24*INDEX(Curves!$Q$8:$Q$68,AV$4-$B24+1)</f>
        <v/>
      </c>
      <c r="AW24" s="153">
        <f>$C24*INDEX(Curves!$Q$8:$Q$68,AW$4-$B24+1)</f>
        <v/>
      </c>
      <c r="AX24" s="153">
        <f>$C24*INDEX(Curves!$Q$8:$Q$68,AX$4-$B24+1)</f>
        <v/>
      </c>
      <c r="AY24" s="153">
        <f>$C24*INDEX(Curves!$Q$8:$Q$68,AY$4-$B24+1)</f>
        <v/>
      </c>
      <c r="AZ24" s="153">
        <f>$C24*INDEX(Curves!$Q$8:$Q$68,AZ$4-$B24+1)</f>
        <v/>
      </c>
      <c r="BA24" s="153">
        <f>$C24*INDEX(Curves!$Q$8:$Q$68,BA$4-$B24+1)</f>
        <v/>
      </c>
      <c r="BB24" s="153">
        <f>$C24*INDEX(Curves!$Q$8:$Q$68,BB$4-$B24+1)</f>
        <v/>
      </c>
      <c r="BC24" s="153">
        <f>$C24*INDEX(Curves!$Q$8:$Q$68,BC$4-$B24+1)</f>
        <v/>
      </c>
      <c r="BD24" s="153">
        <f>$C24*INDEX(Curves!$Q$8:$Q$68,BD$4-$B24+1)</f>
        <v/>
      </c>
      <c r="BE24" s="153">
        <f>$C24*INDEX(Curves!$Q$8:$Q$68,BE$4-$B24+1)</f>
        <v/>
      </c>
      <c r="BF24" s="153">
        <f>$C24*INDEX(Curves!$Q$8:$Q$68,BF$4-$B24+1)</f>
        <v/>
      </c>
      <c r="BG24" s="153">
        <f>$C24*INDEX(Curves!$Q$8:$Q$68,BG$4-$B24+1)</f>
        <v/>
      </c>
      <c r="BH24" s="153">
        <f>$C24*INDEX(Curves!$Q$8:$Q$68,BH$4-$B24+1)</f>
        <v/>
      </c>
      <c r="BI24" s="153">
        <f>$C24*INDEX(Curves!$Q$8:$Q$68,BI$4-$B24+1)</f>
        <v/>
      </c>
      <c r="BJ24" s="153">
        <f>$C24*INDEX(Curves!$Q$8:$Q$68,BJ$4-$B24+1)</f>
        <v/>
      </c>
      <c r="BK24" s="153">
        <f>$C24*INDEX(Curves!$Q$8:$Q$68,BK$4-$B24+1)</f>
        <v/>
      </c>
      <c r="BL24" s="153">
        <f>$C24*INDEX(Curves!$Q$8:$Q$68,BL$4-$B24+1)</f>
        <v/>
      </c>
    </row>
    <row r="25">
      <c r="A25" s="147" t="inlineStr">
        <is>
          <t>Cohort month 16</t>
        </is>
      </c>
      <c r="B25" s="147" t="n">
        <v>16</v>
      </c>
      <c r="C25" s="41">
        <f>INDEX(Ops!$E$35:$BL$35,1,$B25)</f>
        <v/>
      </c>
      <c r="U25" s="153">
        <f>$C25*INDEX(Curves!$Q$8:$Q$68,U$4-$B25+1)</f>
        <v/>
      </c>
      <c r="V25" s="153">
        <f>$C25*INDEX(Curves!$Q$8:$Q$68,V$4-$B25+1)</f>
        <v/>
      </c>
      <c r="W25" s="153">
        <f>$C25*INDEX(Curves!$Q$8:$Q$68,W$4-$B25+1)</f>
        <v/>
      </c>
      <c r="X25" s="153">
        <f>$C25*INDEX(Curves!$Q$8:$Q$68,X$4-$B25+1)</f>
        <v/>
      </c>
      <c r="Y25" s="153">
        <f>$C25*INDEX(Curves!$Q$8:$Q$68,Y$4-$B25+1)</f>
        <v/>
      </c>
      <c r="Z25" s="153">
        <f>$C25*INDEX(Curves!$Q$8:$Q$68,Z$4-$B25+1)</f>
        <v/>
      </c>
      <c r="AA25" s="153">
        <f>$C25*INDEX(Curves!$Q$8:$Q$68,AA$4-$B25+1)</f>
        <v/>
      </c>
      <c r="AB25" s="153">
        <f>$C25*INDEX(Curves!$Q$8:$Q$68,AB$4-$B25+1)</f>
        <v/>
      </c>
      <c r="AC25" s="153">
        <f>$C25*INDEX(Curves!$Q$8:$Q$68,AC$4-$B25+1)</f>
        <v/>
      </c>
      <c r="AD25" s="153">
        <f>$C25*INDEX(Curves!$Q$8:$Q$68,AD$4-$B25+1)</f>
        <v/>
      </c>
      <c r="AE25" s="153">
        <f>$C25*INDEX(Curves!$Q$8:$Q$68,AE$4-$B25+1)</f>
        <v/>
      </c>
      <c r="AF25" s="153">
        <f>$C25*INDEX(Curves!$Q$8:$Q$68,AF$4-$B25+1)</f>
        <v/>
      </c>
      <c r="AG25" s="153">
        <f>$C25*INDEX(Curves!$Q$8:$Q$68,AG$4-$B25+1)</f>
        <v/>
      </c>
      <c r="AH25" s="153">
        <f>$C25*INDEX(Curves!$Q$8:$Q$68,AH$4-$B25+1)</f>
        <v/>
      </c>
      <c r="AI25" s="153">
        <f>$C25*INDEX(Curves!$Q$8:$Q$68,AI$4-$B25+1)</f>
        <v/>
      </c>
      <c r="AJ25" s="153">
        <f>$C25*INDEX(Curves!$Q$8:$Q$68,AJ$4-$B25+1)</f>
        <v/>
      </c>
      <c r="AK25" s="153">
        <f>$C25*INDEX(Curves!$Q$8:$Q$68,AK$4-$B25+1)</f>
        <v/>
      </c>
      <c r="AL25" s="153">
        <f>$C25*INDEX(Curves!$Q$8:$Q$68,AL$4-$B25+1)</f>
        <v/>
      </c>
      <c r="AM25" s="153">
        <f>$C25*INDEX(Curves!$Q$8:$Q$68,AM$4-$B25+1)</f>
        <v/>
      </c>
      <c r="AN25" s="153">
        <f>$C25*INDEX(Curves!$Q$8:$Q$68,AN$4-$B25+1)</f>
        <v/>
      </c>
      <c r="AO25" s="153">
        <f>$C25*INDEX(Curves!$Q$8:$Q$68,AO$4-$B25+1)</f>
        <v/>
      </c>
      <c r="AP25" s="153">
        <f>$C25*INDEX(Curves!$Q$8:$Q$68,AP$4-$B25+1)</f>
        <v/>
      </c>
      <c r="AQ25" s="153">
        <f>$C25*INDEX(Curves!$Q$8:$Q$68,AQ$4-$B25+1)</f>
        <v/>
      </c>
      <c r="AR25" s="153">
        <f>$C25*INDEX(Curves!$Q$8:$Q$68,AR$4-$B25+1)</f>
        <v/>
      </c>
      <c r="AS25" s="153">
        <f>$C25*INDEX(Curves!$Q$8:$Q$68,AS$4-$B25+1)</f>
        <v/>
      </c>
      <c r="AT25" s="153">
        <f>$C25*INDEX(Curves!$Q$8:$Q$68,AT$4-$B25+1)</f>
        <v/>
      </c>
      <c r="AU25" s="153">
        <f>$C25*INDEX(Curves!$Q$8:$Q$68,AU$4-$B25+1)</f>
        <v/>
      </c>
      <c r="AV25" s="153">
        <f>$C25*INDEX(Curves!$Q$8:$Q$68,AV$4-$B25+1)</f>
        <v/>
      </c>
      <c r="AW25" s="153">
        <f>$C25*INDEX(Curves!$Q$8:$Q$68,AW$4-$B25+1)</f>
        <v/>
      </c>
      <c r="AX25" s="153">
        <f>$C25*INDEX(Curves!$Q$8:$Q$68,AX$4-$B25+1)</f>
        <v/>
      </c>
      <c r="AY25" s="153">
        <f>$C25*INDEX(Curves!$Q$8:$Q$68,AY$4-$B25+1)</f>
        <v/>
      </c>
      <c r="AZ25" s="153">
        <f>$C25*INDEX(Curves!$Q$8:$Q$68,AZ$4-$B25+1)</f>
        <v/>
      </c>
      <c r="BA25" s="153">
        <f>$C25*INDEX(Curves!$Q$8:$Q$68,BA$4-$B25+1)</f>
        <v/>
      </c>
      <c r="BB25" s="153">
        <f>$C25*INDEX(Curves!$Q$8:$Q$68,BB$4-$B25+1)</f>
        <v/>
      </c>
      <c r="BC25" s="153">
        <f>$C25*INDEX(Curves!$Q$8:$Q$68,BC$4-$B25+1)</f>
        <v/>
      </c>
      <c r="BD25" s="153">
        <f>$C25*INDEX(Curves!$Q$8:$Q$68,BD$4-$B25+1)</f>
        <v/>
      </c>
      <c r="BE25" s="153">
        <f>$C25*INDEX(Curves!$Q$8:$Q$68,BE$4-$B25+1)</f>
        <v/>
      </c>
      <c r="BF25" s="153">
        <f>$C25*INDEX(Curves!$Q$8:$Q$68,BF$4-$B25+1)</f>
        <v/>
      </c>
      <c r="BG25" s="153">
        <f>$C25*INDEX(Curves!$Q$8:$Q$68,BG$4-$B25+1)</f>
        <v/>
      </c>
      <c r="BH25" s="153">
        <f>$C25*INDEX(Curves!$Q$8:$Q$68,BH$4-$B25+1)</f>
        <v/>
      </c>
      <c r="BI25" s="153">
        <f>$C25*INDEX(Curves!$Q$8:$Q$68,BI$4-$B25+1)</f>
        <v/>
      </c>
      <c r="BJ25" s="153">
        <f>$C25*INDEX(Curves!$Q$8:$Q$68,BJ$4-$B25+1)</f>
        <v/>
      </c>
      <c r="BK25" s="153">
        <f>$C25*INDEX(Curves!$Q$8:$Q$68,BK$4-$B25+1)</f>
        <v/>
      </c>
      <c r="BL25" s="153">
        <f>$C25*INDEX(Curves!$Q$8:$Q$68,BL$4-$B25+1)</f>
        <v/>
      </c>
    </row>
    <row r="26">
      <c r="A26" s="147" t="inlineStr">
        <is>
          <t>Cohort month 17</t>
        </is>
      </c>
      <c r="B26" s="147" t="n">
        <v>17</v>
      </c>
      <c r="C26" s="41">
        <f>INDEX(Ops!$E$35:$BL$35,1,$B26)</f>
        <v/>
      </c>
      <c r="V26" s="153">
        <f>$C26*INDEX(Curves!$Q$8:$Q$68,V$4-$B26+1)</f>
        <v/>
      </c>
      <c r="W26" s="153">
        <f>$C26*INDEX(Curves!$Q$8:$Q$68,W$4-$B26+1)</f>
        <v/>
      </c>
      <c r="X26" s="153">
        <f>$C26*INDEX(Curves!$Q$8:$Q$68,X$4-$B26+1)</f>
        <v/>
      </c>
      <c r="Y26" s="153">
        <f>$C26*INDEX(Curves!$Q$8:$Q$68,Y$4-$B26+1)</f>
        <v/>
      </c>
      <c r="Z26" s="153">
        <f>$C26*INDEX(Curves!$Q$8:$Q$68,Z$4-$B26+1)</f>
        <v/>
      </c>
      <c r="AA26" s="153">
        <f>$C26*INDEX(Curves!$Q$8:$Q$68,AA$4-$B26+1)</f>
        <v/>
      </c>
      <c r="AB26" s="153">
        <f>$C26*INDEX(Curves!$Q$8:$Q$68,AB$4-$B26+1)</f>
        <v/>
      </c>
      <c r="AC26" s="153">
        <f>$C26*INDEX(Curves!$Q$8:$Q$68,AC$4-$B26+1)</f>
        <v/>
      </c>
      <c r="AD26" s="153">
        <f>$C26*INDEX(Curves!$Q$8:$Q$68,AD$4-$B26+1)</f>
        <v/>
      </c>
      <c r="AE26" s="153">
        <f>$C26*INDEX(Curves!$Q$8:$Q$68,AE$4-$B26+1)</f>
        <v/>
      </c>
      <c r="AF26" s="153">
        <f>$C26*INDEX(Curves!$Q$8:$Q$68,AF$4-$B26+1)</f>
        <v/>
      </c>
      <c r="AG26" s="153">
        <f>$C26*INDEX(Curves!$Q$8:$Q$68,AG$4-$B26+1)</f>
        <v/>
      </c>
      <c r="AH26" s="153">
        <f>$C26*INDEX(Curves!$Q$8:$Q$68,AH$4-$B26+1)</f>
        <v/>
      </c>
      <c r="AI26" s="153">
        <f>$C26*INDEX(Curves!$Q$8:$Q$68,AI$4-$B26+1)</f>
        <v/>
      </c>
      <c r="AJ26" s="153">
        <f>$C26*INDEX(Curves!$Q$8:$Q$68,AJ$4-$B26+1)</f>
        <v/>
      </c>
      <c r="AK26" s="153">
        <f>$C26*INDEX(Curves!$Q$8:$Q$68,AK$4-$B26+1)</f>
        <v/>
      </c>
      <c r="AL26" s="153">
        <f>$C26*INDEX(Curves!$Q$8:$Q$68,AL$4-$B26+1)</f>
        <v/>
      </c>
      <c r="AM26" s="153">
        <f>$C26*INDEX(Curves!$Q$8:$Q$68,AM$4-$B26+1)</f>
        <v/>
      </c>
      <c r="AN26" s="153">
        <f>$C26*INDEX(Curves!$Q$8:$Q$68,AN$4-$B26+1)</f>
        <v/>
      </c>
      <c r="AO26" s="153">
        <f>$C26*INDEX(Curves!$Q$8:$Q$68,AO$4-$B26+1)</f>
        <v/>
      </c>
      <c r="AP26" s="153">
        <f>$C26*INDEX(Curves!$Q$8:$Q$68,AP$4-$B26+1)</f>
        <v/>
      </c>
      <c r="AQ26" s="153">
        <f>$C26*INDEX(Curves!$Q$8:$Q$68,AQ$4-$B26+1)</f>
        <v/>
      </c>
      <c r="AR26" s="153">
        <f>$C26*INDEX(Curves!$Q$8:$Q$68,AR$4-$B26+1)</f>
        <v/>
      </c>
      <c r="AS26" s="153">
        <f>$C26*INDEX(Curves!$Q$8:$Q$68,AS$4-$B26+1)</f>
        <v/>
      </c>
      <c r="AT26" s="153">
        <f>$C26*INDEX(Curves!$Q$8:$Q$68,AT$4-$B26+1)</f>
        <v/>
      </c>
      <c r="AU26" s="153">
        <f>$C26*INDEX(Curves!$Q$8:$Q$68,AU$4-$B26+1)</f>
        <v/>
      </c>
      <c r="AV26" s="153">
        <f>$C26*INDEX(Curves!$Q$8:$Q$68,AV$4-$B26+1)</f>
        <v/>
      </c>
      <c r="AW26" s="153">
        <f>$C26*INDEX(Curves!$Q$8:$Q$68,AW$4-$B26+1)</f>
        <v/>
      </c>
      <c r="AX26" s="153">
        <f>$C26*INDEX(Curves!$Q$8:$Q$68,AX$4-$B26+1)</f>
        <v/>
      </c>
      <c r="AY26" s="153">
        <f>$C26*INDEX(Curves!$Q$8:$Q$68,AY$4-$B26+1)</f>
        <v/>
      </c>
      <c r="AZ26" s="153">
        <f>$C26*INDEX(Curves!$Q$8:$Q$68,AZ$4-$B26+1)</f>
        <v/>
      </c>
      <c r="BA26" s="153">
        <f>$C26*INDEX(Curves!$Q$8:$Q$68,BA$4-$B26+1)</f>
        <v/>
      </c>
      <c r="BB26" s="153">
        <f>$C26*INDEX(Curves!$Q$8:$Q$68,BB$4-$B26+1)</f>
        <v/>
      </c>
      <c r="BC26" s="153">
        <f>$C26*INDEX(Curves!$Q$8:$Q$68,BC$4-$B26+1)</f>
        <v/>
      </c>
      <c r="BD26" s="153">
        <f>$C26*INDEX(Curves!$Q$8:$Q$68,BD$4-$B26+1)</f>
        <v/>
      </c>
      <c r="BE26" s="153">
        <f>$C26*INDEX(Curves!$Q$8:$Q$68,BE$4-$B26+1)</f>
        <v/>
      </c>
      <c r="BF26" s="153">
        <f>$C26*INDEX(Curves!$Q$8:$Q$68,BF$4-$B26+1)</f>
        <v/>
      </c>
      <c r="BG26" s="153">
        <f>$C26*INDEX(Curves!$Q$8:$Q$68,BG$4-$B26+1)</f>
        <v/>
      </c>
      <c r="BH26" s="153">
        <f>$C26*INDEX(Curves!$Q$8:$Q$68,BH$4-$B26+1)</f>
        <v/>
      </c>
      <c r="BI26" s="153">
        <f>$C26*INDEX(Curves!$Q$8:$Q$68,BI$4-$B26+1)</f>
        <v/>
      </c>
      <c r="BJ26" s="153">
        <f>$C26*INDEX(Curves!$Q$8:$Q$68,BJ$4-$B26+1)</f>
        <v/>
      </c>
      <c r="BK26" s="153">
        <f>$C26*INDEX(Curves!$Q$8:$Q$68,BK$4-$B26+1)</f>
        <v/>
      </c>
      <c r="BL26" s="153">
        <f>$C26*INDEX(Curves!$Q$8:$Q$68,BL$4-$B26+1)</f>
        <v/>
      </c>
    </row>
    <row r="27">
      <c r="A27" s="147" t="inlineStr">
        <is>
          <t>Cohort month 18</t>
        </is>
      </c>
      <c r="B27" s="147" t="n">
        <v>18</v>
      </c>
      <c r="C27" s="41">
        <f>INDEX(Ops!$E$35:$BL$35,1,$B27)</f>
        <v/>
      </c>
      <c r="W27" s="153">
        <f>$C27*INDEX(Curves!$Q$8:$Q$68,W$4-$B27+1)</f>
        <v/>
      </c>
      <c r="X27" s="153">
        <f>$C27*INDEX(Curves!$Q$8:$Q$68,X$4-$B27+1)</f>
        <v/>
      </c>
      <c r="Y27" s="153">
        <f>$C27*INDEX(Curves!$Q$8:$Q$68,Y$4-$B27+1)</f>
        <v/>
      </c>
      <c r="Z27" s="153">
        <f>$C27*INDEX(Curves!$Q$8:$Q$68,Z$4-$B27+1)</f>
        <v/>
      </c>
      <c r="AA27" s="153">
        <f>$C27*INDEX(Curves!$Q$8:$Q$68,AA$4-$B27+1)</f>
        <v/>
      </c>
      <c r="AB27" s="153">
        <f>$C27*INDEX(Curves!$Q$8:$Q$68,AB$4-$B27+1)</f>
        <v/>
      </c>
      <c r="AC27" s="153">
        <f>$C27*INDEX(Curves!$Q$8:$Q$68,AC$4-$B27+1)</f>
        <v/>
      </c>
      <c r="AD27" s="153">
        <f>$C27*INDEX(Curves!$Q$8:$Q$68,AD$4-$B27+1)</f>
        <v/>
      </c>
      <c r="AE27" s="153">
        <f>$C27*INDEX(Curves!$Q$8:$Q$68,AE$4-$B27+1)</f>
        <v/>
      </c>
      <c r="AF27" s="153">
        <f>$C27*INDEX(Curves!$Q$8:$Q$68,AF$4-$B27+1)</f>
        <v/>
      </c>
      <c r="AG27" s="153">
        <f>$C27*INDEX(Curves!$Q$8:$Q$68,AG$4-$B27+1)</f>
        <v/>
      </c>
      <c r="AH27" s="153">
        <f>$C27*INDEX(Curves!$Q$8:$Q$68,AH$4-$B27+1)</f>
        <v/>
      </c>
      <c r="AI27" s="153">
        <f>$C27*INDEX(Curves!$Q$8:$Q$68,AI$4-$B27+1)</f>
        <v/>
      </c>
      <c r="AJ27" s="153">
        <f>$C27*INDEX(Curves!$Q$8:$Q$68,AJ$4-$B27+1)</f>
        <v/>
      </c>
      <c r="AK27" s="153">
        <f>$C27*INDEX(Curves!$Q$8:$Q$68,AK$4-$B27+1)</f>
        <v/>
      </c>
      <c r="AL27" s="153">
        <f>$C27*INDEX(Curves!$Q$8:$Q$68,AL$4-$B27+1)</f>
        <v/>
      </c>
      <c r="AM27" s="153">
        <f>$C27*INDEX(Curves!$Q$8:$Q$68,AM$4-$B27+1)</f>
        <v/>
      </c>
      <c r="AN27" s="153">
        <f>$C27*INDEX(Curves!$Q$8:$Q$68,AN$4-$B27+1)</f>
        <v/>
      </c>
      <c r="AO27" s="153">
        <f>$C27*INDEX(Curves!$Q$8:$Q$68,AO$4-$B27+1)</f>
        <v/>
      </c>
      <c r="AP27" s="153">
        <f>$C27*INDEX(Curves!$Q$8:$Q$68,AP$4-$B27+1)</f>
        <v/>
      </c>
      <c r="AQ27" s="153">
        <f>$C27*INDEX(Curves!$Q$8:$Q$68,AQ$4-$B27+1)</f>
        <v/>
      </c>
      <c r="AR27" s="153">
        <f>$C27*INDEX(Curves!$Q$8:$Q$68,AR$4-$B27+1)</f>
        <v/>
      </c>
      <c r="AS27" s="153">
        <f>$C27*INDEX(Curves!$Q$8:$Q$68,AS$4-$B27+1)</f>
        <v/>
      </c>
      <c r="AT27" s="153">
        <f>$C27*INDEX(Curves!$Q$8:$Q$68,AT$4-$B27+1)</f>
        <v/>
      </c>
      <c r="AU27" s="153">
        <f>$C27*INDEX(Curves!$Q$8:$Q$68,AU$4-$B27+1)</f>
        <v/>
      </c>
      <c r="AV27" s="153">
        <f>$C27*INDEX(Curves!$Q$8:$Q$68,AV$4-$B27+1)</f>
        <v/>
      </c>
      <c r="AW27" s="153">
        <f>$C27*INDEX(Curves!$Q$8:$Q$68,AW$4-$B27+1)</f>
        <v/>
      </c>
      <c r="AX27" s="153">
        <f>$C27*INDEX(Curves!$Q$8:$Q$68,AX$4-$B27+1)</f>
        <v/>
      </c>
      <c r="AY27" s="153">
        <f>$C27*INDEX(Curves!$Q$8:$Q$68,AY$4-$B27+1)</f>
        <v/>
      </c>
      <c r="AZ27" s="153">
        <f>$C27*INDEX(Curves!$Q$8:$Q$68,AZ$4-$B27+1)</f>
        <v/>
      </c>
      <c r="BA27" s="153">
        <f>$C27*INDEX(Curves!$Q$8:$Q$68,BA$4-$B27+1)</f>
        <v/>
      </c>
      <c r="BB27" s="153">
        <f>$C27*INDEX(Curves!$Q$8:$Q$68,BB$4-$B27+1)</f>
        <v/>
      </c>
      <c r="BC27" s="153">
        <f>$C27*INDEX(Curves!$Q$8:$Q$68,BC$4-$B27+1)</f>
        <v/>
      </c>
      <c r="BD27" s="153">
        <f>$C27*INDEX(Curves!$Q$8:$Q$68,BD$4-$B27+1)</f>
        <v/>
      </c>
      <c r="BE27" s="153">
        <f>$C27*INDEX(Curves!$Q$8:$Q$68,BE$4-$B27+1)</f>
        <v/>
      </c>
      <c r="BF27" s="153">
        <f>$C27*INDEX(Curves!$Q$8:$Q$68,BF$4-$B27+1)</f>
        <v/>
      </c>
      <c r="BG27" s="153">
        <f>$C27*INDEX(Curves!$Q$8:$Q$68,BG$4-$B27+1)</f>
        <v/>
      </c>
      <c r="BH27" s="153">
        <f>$C27*INDEX(Curves!$Q$8:$Q$68,BH$4-$B27+1)</f>
        <v/>
      </c>
      <c r="BI27" s="153">
        <f>$C27*INDEX(Curves!$Q$8:$Q$68,BI$4-$B27+1)</f>
        <v/>
      </c>
      <c r="BJ27" s="153">
        <f>$C27*INDEX(Curves!$Q$8:$Q$68,BJ$4-$B27+1)</f>
        <v/>
      </c>
      <c r="BK27" s="153">
        <f>$C27*INDEX(Curves!$Q$8:$Q$68,BK$4-$B27+1)</f>
        <v/>
      </c>
      <c r="BL27" s="153">
        <f>$C27*INDEX(Curves!$Q$8:$Q$68,BL$4-$B27+1)</f>
        <v/>
      </c>
    </row>
    <row r="28">
      <c r="A28" s="147" t="inlineStr">
        <is>
          <t>Cohort month 19</t>
        </is>
      </c>
      <c r="B28" s="147" t="n">
        <v>19</v>
      </c>
      <c r="C28" s="41">
        <f>INDEX(Ops!$E$35:$BL$35,1,$B28)</f>
        <v/>
      </c>
      <c r="X28" s="153">
        <f>$C28*INDEX(Curves!$Q$8:$Q$68,X$4-$B28+1)</f>
        <v/>
      </c>
      <c r="Y28" s="153">
        <f>$C28*INDEX(Curves!$Q$8:$Q$68,Y$4-$B28+1)</f>
        <v/>
      </c>
      <c r="Z28" s="153">
        <f>$C28*INDEX(Curves!$Q$8:$Q$68,Z$4-$B28+1)</f>
        <v/>
      </c>
      <c r="AA28" s="153">
        <f>$C28*INDEX(Curves!$Q$8:$Q$68,AA$4-$B28+1)</f>
        <v/>
      </c>
      <c r="AB28" s="153">
        <f>$C28*INDEX(Curves!$Q$8:$Q$68,AB$4-$B28+1)</f>
        <v/>
      </c>
      <c r="AC28" s="153">
        <f>$C28*INDEX(Curves!$Q$8:$Q$68,AC$4-$B28+1)</f>
        <v/>
      </c>
      <c r="AD28" s="153">
        <f>$C28*INDEX(Curves!$Q$8:$Q$68,AD$4-$B28+1)</f>
        <v/>
      </c>
      <c r="AE28" s="153">
        <f>$C28*INDEX(Curves!$Q$8:$Q$68,AE$4-$B28+1)</f>
        <v/>
      </c>
      <c r="AF28" s="153">
        <f>$C28*INDEX(Curves!$Q$8:$Q$68,AF$4-$B28+1)</f>
        <v/>
      </c>
      <c r="AG28" s="153">
        <f>$C28*INDEX(Curves!$Q$8:$Q$68,AG$4-$B28+1)</f>
        <v/>
      </c>
      <c r="AH28" s="153">
        <f>$C28*INDEX(Curves!$Q$8:$Q$68,AH$4-$B28+1)</f>
        <v/>
      </c>
      <c r="AI28" s="153">
        <f>$C28*INDEX(Curves!$Q$8:$Q$68,AI$4-$B28+1)</f>
        <v/>
      </c>
      <c r="AJ28" s="153">
        <f>$C28*INDEX(Curves!$Q$8:$Q$68,AJ$4-$B28+1)</f>
        <v/>
      </c>
      <c r="AK28" s="153">
        <f>$C28*INDEX(Curves!$Q$8:$Q$68,AK$4-$B28+1)</f>
        <v/>
      </c>
      <c r="AL28" s="153">
        <f>$C28*INDEX(Curves!$Q$8:$Q$68,AL$4-$B28+1)</f>
        <v/>
      </c>
      <c r="AM28" s="153">
        <f>$C28*INDEX(Curves!$Q$8:$Q$68,AM$4-$B28+1)</f>
        <v/>
      </c>
      <c r="AN28" s="153">
        <f>$C28*INDEX(Curves!$Q$8:$Q$68,AN$4-$B28+1)</f>
        <v/>
      </c>
      <c r="AO28" s="153">
        <f>$C28*INDEX(Curves!$Q$8:$Q$68,AO$4-$B28+1)</f>
        <v/>
      </c>
      <c r="AP28" s="153">
        <f>$C28*INDEX(Curves!$Q$8:$Q$68,AP$4-$B28+1)</f>
        <v/>
      </c>
      <c r="AQ28" s="153">
        <f>$C28*INDEX(Curves!$Q$8:$Q$68,AQ$4-$B28+1)</f>
        <v/>
      </c>
      <c r="AR28" s="153">
        <f>$C28*INDEX(Curves!$Q$8:$Q$68,AR$4-$B28+1)</f>
        <v/>
      </c>
      <c r="AS28" s="153">
        <f>$C28*INDEX(Curves!$Q$8:$Q$68,AS$4-$B28+1)</f>
        <v/>
      </c>
      <c r="AT28" s="153">
        <f>$C28*INDEX(Curves!$Q$8:$Q$68,AT$4-$B28+1)</f>
        <v/>
      </c>
      <c r="AU28" s="153">
        <f>$C28*INDEX(Curves!$Q$8:$Q$68,AU$4-$B28+1)</f>
        <v/>
      </c>
      <c r="AV28" s="153">
        <f>$C28*INDEX(Curves!$Q$8:$Q$68,AV$4-$B28+1)</f>
        <v/>
      </c>
      <c r="AW28" s="153">
        <f>$C28*INDEX(Curves!$Q$8:$Q$68,AW$4-$B28+1)</f>
        <v/>
      </c>
      <c r="AX28" s="153">
        <f>$C28*INDEX(Curves!$Q$8:$Q$68,AX$4-$B28+1)</f>
        <v/>
      </c>
      <c r="AY28" s="153">
        <f>$C28*INDEX(Curves!$Q$8:$Q$68,AY$4-$B28+1)</f>
        <v/>
      </c>
      <c r="AZ28" s="153">
        <f>$C28*INDEX(Curves!$Q$8:$Q$68,AZ$4-$B28+1)</f>
        <v/>
      </c>
      <c r="BA28" s="153">
        <f>$C28*INDEX(Curves!$Q$8:$Q$68,BA$4-$B28+1)</f>
        <v/>
      </c>
      <c r="BB28" s="153">
        <f>$C28*INDEX(Curves!$Q$8:$Q$68,BB$4-$B28+1)</f>
        <v/>
      </c>
      <c r="BC28" s="153">
        <f>$C28*INDEX(Curves!$Q$8:$Q$68,BC$4-$B28+1)</f>
        <v/>
      </c>
      <c r="BD28" s="153">
        <f>$C28*INDEX(Curves!$Q$8:$Q$68,BD$4-$B28+1)</f>
        <v/>
      </c>
      <c r="BE28" s="153">
        <f>$C28*INDEX(Curves!$Q$8:$Q$68,BE$4-$B28+1)</f>
        <v/>
      </c>
      <c r="BF28" s="153">
        <f>$C28*INDEX(Curves!$Q$8:$Q$68,BF$4-$B28+1)</f>
        <v/>
      </c>
      <c r="BG28" s="153">
        <f>$C28*INDEX(Curves!$Q$8:$Q$68,BG$4-$B28+1)</f>
        <v/>
      </c>
      <c r="BH28" s="153">
        <f>$C28*INDEX(Curves!$Q$8:$Q$68,BH$4-$B28+1)</f>
        <v/>
      </c>
      <c r="BI28" s="153">
        <f>$C28*INDEX(Curves!$Q$8:$Q$68,BI$4-$B28+1)</f>
        <v/>
      </c>
      <c r="BJ28" s="153">
        <f>$C28*INDEX(Curves!$Q$8:$Q$68,BJ$4-$B28+1)</f>
        <v/>
      </c>
      <c r="BK28" s="153">
        <f>$C28*INDEX(Curves!$Q$8:$Q$68,BK$4-$B28+1)</f>
        <v/>
      </c>
      <c r="BL28" s="153">
        <f>$C28*INDEX(Curves!$Q$8:$Q$68,BL$4-$B28+1)</f>
        <v/>
      </c>
    </row>
    <row r="29">
      <c r="A29" s="147" t="inlineStr">
        <is>
          <t>Cohort month 20</t>
        </is>
      </c>
      <c r="B29" s="147" t="n">
        <v>20</v>
      </c>
      <c r="C29" s="41">
        <f>INDEX(Ops!$E$35:$BL$35,1,$B29)</f>
        <v/>
      </c>
      <c r="Y29" s="153">
        <f>$C29*INDEX(Curves!$Q$8:$Q$68,Y$4-$B29+1)</f>
        <v/>
      </c>
      <c r="Z29" s="153">
        <f>$C29*INDEX(Curves!$Q$8:$Q$68,Z$4-$B29+1)</f>
        <v/>
      </c>
      <c r="AA29" s="153">
        <f>$C29*INDEX(Curves!$Q$8:$Q$68,AA$4-$B29+1)</f>
        <v/>
      </c>
      <c r="AB29" s="153">
        <f>$C29*INDEX(Curves!$Q$8:$Q$68,AB$4-$B29+1)</f>
        <v/>
      </c>
      <c r="AC29" s="153">
        <f>$C29*INDEX(Curves!$Q$8:$Q$68,AC$4-$B29+1)</f>
        <v/>
      </c>
      <c r="AD29" s="153">
        <f>$C29*INDEX(Curves!$Q$8:$Q$68,AD$4-$B29+1)</f>
        <v/>
      </c>
      <c r="AE29" s="153">
        <f>$C29*INDEX(Curves!$Q$8:$Q$68,AE$4-$B29+1)</f>
        <v/>
      </c>
      <c r="AF29" s="153">
        <f>$C29*INDEX(Curves!$Q$8:$Q$68,AF$4-$B29+1)</f>
        <v/>
      </c>
      <c r="AG29" s="153">
        <f>$C29*INDEX(Curves!$Q$8:$Q$68,AG$4-$B29+1)</f>
        <v/>
      </c>
      <c r="AH29" s="153">
        <f>$C29*INDEX(Curves!$Q$8:$Q$68,AH$4-$B29+1)</f>
        <v/>
      </c>
      <c r="AI29" s="153">
        <f>$C29*INDEX(Curves!$Q$8:$Q$68,AI$4-$B29+1)</f>
        <v/>
      </c>
      <c r="AJ29" s="153">
        <f>$C29*INDEX(Curves!$Q$8:$Q$68,AJ$4-$B29+1)</f>
        <v/>
      </c>
      <c r="AK29" s="153">
        <f>$C29*INDEX(Curves!$Q$8:$Q$68,AK$4-$B29+1)</f>
        <v/>
      </c>
      <c r="AL29" s="153">
        <f>$C29*INDEX(Curves!$Q$8:$Q$68,AL$4-$B29+1)</f>
        <v/>
      </c>
      <c r="AM29" s="153">
        <f>$C29*INDEX(Curves!$Q$8:$Q$68,AM$4-$B29+1)</f>
        <v/>
      </c>
      <c r="AN29" s="153">
        <f>$C29*INDEX(Curves!$Q$8:$Q$68,AN$4-$B29+1)</f>
        <v/>
      </c>
      <c r="AO29" s="153">
        <f>$C29*INDEX(Curves!$Q$8:$Q$68,AO$4-$B29+1)</f>
        <v/>
      </c>
      <c r="AP29" s="153">
        <f>$C29*INDEX(Curves!$Q$8:$Q$68,AP$4-$B29+1)</f>
        <v/>
      </c>
      <c r="AQ29" s="153">
        <f>$C29*INDEX(Curves!$Q$8:$Q$68,AQ$4-$B29+1)</f>
        <v/>
      </c>
      <c r="AR29" s="153">
        <f>$C29*INDEX(Curves!$Q$8:$Q$68,AR$4-$B29+1)</f>
        <v/>
      </c>
      <c r="AS29" s="153">
        <f>$C29*INDEX(Curves!$Q$8:$Q$68,AS$4-$B29+1)</f>
        <v/>
      </c>
      <c r="AT29" s="153">
        <f>$C29*INDEX(Curves!$Q$8:$Q$68,AT$4-$B29+1)</f>
        <v/>
      </c>
      <c r="AU29" s="153">
        <f>$C29*INDEX(Curves!$Q$8:$Q$68,AU$4-$B29+1)</f>
        <v/>
      </c>
      <c r="AV29" s="153">
        <f>$C29*INDEX(Curves!$Q$8:$Q$68,AV$4-$B29+1)</f>
        <v/>
      </c>
      <c r="AW29" s="153">
        <f>$C29*INDEX(Curves!$Q$8:$Q$68,AW$4-$B29+1)</f>
        <v/>
      </c>
      <c r="AX29" s="153">
        <f>$C29*INDEX(Curves!$Q$8:$Q$68,AX$4-$B29+1)</f>
        <v/>
      </c>
      <c r="AY29" s="153">
        <f>$C29*INDEX(Curves!$Q$8:$Q$68,AY$4-$B29+1)</f>
        <v/>
      </c>
      <c r="AZ29" s="153">
        <f>$C29*INDEX(Curves!$Q$8:$Q$68,AZ$4-$B29+1)</f>
        <v/>
      </c>
      <c r="BA29" s="153">
        <f>$C29*INDEX(Curves!$Q$8:$Q$68,BA$4-$B29+1)</f>
        <v/>
      </c>
      <c r="BB29" s="153">
        <f>$C29*INDEX(Curves!$Q$8:$Q$68,BB$4-$B29+1)</f>
        <v/>
      </c>
      <c r="BC29" s="153">
        <f>$C29*INDEX(Curves!$Q$8:$Q$68,BC$4-$B29+1)</f>
        <v/>
      </c>
      <c r="BD29" s="153">
        <f>$C29*INDEX(Curves!$Q$8:$Q$68,BD$4-$B29+1)</f>
        <v/>
      </c>
      <c r="BE29" s="153">
        <f>$C29*INDEX(Curves!$Q$8:$Q$68,BE$4-$B29+1)</f>
        <v/>
      </c>
      <c r="BF29" s="153">
        <f>$C29*INDEX(Curves!$Q$8:$Q$68,BF$4-$B29+1)</f>
        <v/>
      </c>
      <c r="BG29" s="153">
        <f>$C29*INDEX(Curves!$Q$8:$Q$68,BG$4-$B29+1)</f>
        <v/>
      </c>
      <c r="BH29" s="153">
        <f>$C29*INDEX(Curves!$Q$8:$Q$68,BH$4-$B29+1)</f>
        <v/>
      </c>
      <c r="BI29" s="153">
        <f>$C29*INDEX(Curves!$Q$8:$Q$68,BI$4-$B29+1)</f>
        <v/>
      </c>
      <c r="BJ29" s="153">
        <f>$C29*INDEX(Curves!$Q$8:$Q$68,BJ$4-$B29+1)</f>
        <v/>
      </c>
      <c r="BK29" s="153">
        <f>$C29*INDEX(Curves!$Q$8:$Q$68,BK$4-$B29+1)</f>
        <v/>
      </c>
      <c r="BL29" s="153">
        <f>$C29*INDEX(Curves!$Q$8:$Q$68,BL$4-$B29+1)</f>
        <v/>
      </c>
    </row>
    <row r="30">
      <c r="A30" s="147" t="inlineStr">
        <is>
          <t>Cohort month 21</t>
        </is>
      </c>
      <c r="B30" s="147" t="n">
        <v>21</v>
      </c>
      <c r="C30" s="41">
        <f>INDEX(Ops!$E$35:$BL$35,1,$B30)</f>
        <v/>
      </c>
      <c r="Z30" s="153">
        <f>$C30*INDEX(Curves!$Q$8:$Q$68,Z$4-$B30+1)</f>
        <v/>
      </c>
      <c r="AA30" s="153">
        <f>$C30*INDEX(Curves!$Q$8:$Q$68,AA$4-$B30+1)</f>
        <v/>
      </c>
      <c r="AB30" s="153">
        <f>$C30*INDEX(Curves!$Q$8:$Q$68,AB$4-$B30+1)</f>
        <v/>
      </c>
      <c r="AC30" s="153">
        <f>$C30*INDEX(Curves!$Q$8:$Q$68,AC$4-$B30+1)</f>
        <v/>
      </c>
      <c r="AD30" s="153">
        <f>$C30*INDEX(Curves!$Q$8:$Q$68,AD$4-$B30+1)</f>
        <v/>
      </c>
      <c r="AE30" s="153">
        <f>$C30*INDEX(Curves!$Q$8:$Q$68,AE$4-$B30+1)</f>
        <v/>
      </c>
      <c r="AF30" s="153">
        <f>$C30*INDEX(Curves!$Q$8:$Q$68,AF$4-$B30+1)</f>
        <v/>
      </c>
      <c r="AG30" s="153">
        <f>$C30*INDEX(Curves!$Q$8:$Q$68,AG$4-$B30+1)</f>
        <v/>
      </c>
      <c r="AH30" s="153">
        <f>$C30*INDEX(Curves!$Q$8:$Q$68,AH$4-$B30+1)</f>
        <v/>
      </c>
      <c r="AI30" s="153">
        <f>$C30*INDEX(Curves!$Q$8:$Q$68,AI$4-$B30+1)</f>
        <v/>
      </c>
      <c r="AJ30" s="153">
        <f>$C30*INDEX(Curves!$Q$8:$Q$68,AJ$4-$B30+1)</f>
        <v/>
      </c>
      <c r="AK30" s="153">
        <f>$C30*INDEX(Curves!$Q$8:$Q$68,AK$4-$B30+1)</f>
        <v/>
      </c>
      <c r="AL30" s="153">
        <f>$C30*INDEX(Curves!$Q$8:$Q$68,AL$4-$B30+1)</f>
        <v/>
      </c>
      <c r="AM30" s="153">
        <f>$C30*INDEX(Curves!$Q$8:$Q$68,AM$4-$B30+1)</f>
        <v/>
      </c>
      <c r="AN30" s="153">
        <f>$C30*INDEX(Curves!$Q$8:$Q$68,AN$4-$B30+1)</f>
        <v/>
      </c>
      <c r="AO30" s="153">
        <f>$C30*INDEX(Curves!$Q$8:$Q$68,AO$4-$B30+1)</f>
        <v/>
      </c>
      <c r="AP30" s="153">
        <f>$C30*INDEX(Curves!$Q$8:$Q$68,AP$4-$B30+1)</f>
        <v/>
      </c>
      <c r="AQ30" s="153">
        <f>$C30*INDEX(Curves!$Q$8:$Q$68,AQ$4-$B30+1)</f>
        <v/>
      </c>
      <c r="AR30" s="153">
        <f>$C30*INDEX(Curves!$Q$8:$Q$68,AR$4-$B30+1)</f>
        <v/>
      </c>
      <c r="AS30" s="153">
        <f>$C30*INDEX(Curves!$Q$8:$Q$68,AS$4-$B30+1)</f>
        <v/>
      </c>
      <c r="AT30" s="153">
        <f>$C30*INDEX(Curves!$Q$8:$Q$68,AT$4-$B30+1)</f>
        <v/>
      </c>
      <c r="AU30" s="153">
        <f>$C30*INDEX(Curves!$Q$8:$Q$68,AU$4-$B30+1)</f>
        <v/>
      </c>
      <c r="AV30" s="153">
        <f>$C30*INDEX(Curves!$Q$8:$Q$68,AV$4-$B30+1)</f>
        <v/>
      </c>
      <c r="AW30" s="153">
        <f>$C30*INDEX(Curves!$Q$8:$Q$68,AW$4-$B30+1)</f>
        <v/>
      </c>
      <c r="AX30" s="153">
        <f>$C30*INDEX(Curves!$Q$8:$Q$68,AX$4-$B30+1)</f>
        <v/>
      </c>
      <c r="AY30" s="153">
        <f>$C30*INDEX(Curves!$Q$8:$Q$68,AY$4-$B30+1)</f>
        <v/>
      </c>
      <c r="AZ30" s="153">
        <f>$C30*INDEX(Curves!$Q$8:$Q$68,AZ$4-$B30+1)</f>
        <v/>
      </c>
      <c r="BA30" s="153">
        <f>$C30*INDEX(Curves!$Q$8:$Q$68,BA$4-$B30+1)</f>
        <v/>
      </c>
      <c r="BB30" s="153">
        <f>$C30*INDEX(Curves!$Q$8:$Q$68,BB$4-$B30+1)</f>
        <v/>
      </c>
      <c r="BC30" s="153">
        <f>$C30*INDEX(Curves!$Q$8:$Q$68,BC$4-$B30+1)</f>
        <v/>
      </c>
      <c r="BD30" s="153">
        <f>$C30*INDEX(Curves!$Q$8:$Q$68,BD$4-$B30+1)</f>
        <v/>
      </c>
      <c r="BE30" s="153">
        <f>$C30*INDEX(Curves!$Q$8:$Q$68,BE$4-$B30+1)</f>
        <v/>
      </c>
      <c r="BF30" s="153">
        <f>$C30*INDEX(Curves!$Q$8:$Q$68,BF$4-$B30+1)</f>
        <v/>
      </c>
      <c r="BG30" s="153">
        <f>$C30*INDEX(Curves!$Q$8:$Q$68,BG$4-$B30+1)</f>
        <v/>
      </c>
      <c r="BH30" s="153">
        <f>$C30*INDEX(Curves!$Q$8:$Q$68,BH$4-$B30+1)</f>
        <v/>
      </c>
      <c r="BI30" s="153">
        <f>$C30*INDEX(Curves!$Q$8:$Q$68,BI$4-$B30+1)</f>
        <v/>
      </c>
      <c r="BJ30" s="153">
        <f>$C30*INDEX(Curves!$Q$8:$Q$68,BJ$4-$B30+1)</f>
        <v/>
      </c>
      <c r="BK30" s="153">
        <f>$C30*INDEX(Curves!$Q$8:$Q$68,BK$4-$B30+1)</f>
        <v/>
      </c>
      <c r="BL30" s="153">
        <f>$C30*INDEX(Curves!$Q$8:$Q$68,BL$4-$B30+1)</f>
        <v/>
      </c>
    </row>
    <row r="31">
      <c r="A31" s="147" t="inlineStr">
        <is>
          <t>Cohort month 22</t>
        </is>
      </c>
      <c r="B31" s="147" t="n">
        <v>22</v>
      </c>
      <c r="C31" s="41">
        <f>INDEX(Ops!$E$35:$BL$35,1,$B31)</f>
        <v/>
      </c>
      <c r="AA31" s="153">
        <f>$C31*INDEX(Curves!$Q$8:$Q$68,AA$4-$B31+1)</f>
        <v/>
      </c>
      <c r="AB31" s="153">
        <f>$C31*INDEX(Curves!$Q$8:$Q$68,AB$4-$B31+1)</f>
        <v/>
      </c>
      <c r="AC31" s="153">
        <f>$C31*INDEX(Curves!$Q$8:$Q$68,AC$4-$B31+1)</f>
        <v/>
      </c>
      <c r="AD31" s="153">
        <f>$C31*INDEX(Curves!$Q$8:$Q$68,AD$4-$B31+1)</f>
        <v/>
      </c>
      <c r="AE31" s="153">
        <f>$C31*INDEX(Curves!$Q$8:$Q$68,AE$4-$B31+1)</f>
        <v/>
      </c>
      <c r="AF31" s="153">
        <f>$C31*INDEX(Curves!$Q$8:$Q$68,AF$4-$B31+1)</f>
        <v/>
      </c>
      <c r="AG31" s="153">
        <f>$C31*INDEX(Curves!$Q$8:$Q$68,AG$4-$B31+1)</f>
        <v/>
      </c>
      <c r="AH31" s="153">
        <f>$C31*INDEX(Curves!$Q$8:$Q$68,AH$4-$B31+1)</f>
        <v/>
      </c>
      <c r="AI31" s="153">
        <f>$C31*INDEX(Curves!$Q$8:$Q$68,AI$4-$B31+1)</f>
        <v/>
      </c>
      <c r="AJ31" s="153">
        <f>$C31*INDEX(Curves!$Q$8:$Q$68,AJ$4-$B31+1)</f>
        <v/>
      </c>
      <c r="AK31" s="153">
        <f>$C31*INDEX(Curves!$Q$8:$Q$68,AK$4-$B31+1)</f>
        <v/>
      </c>
      <c r="AL31" s="153">
        <f>$C31*INDEX(Curves!$Q$8:$Q$68,AL$4-$B31+1)</f>
        <v/>
      </c>
      <c r="AM31" s="153">
        <f>$C31*INDEX(Curves!$Q$8:$Q$68,AM$4-$B31+1)</f>
        <v/>
      </c>
      <c r="AN31" s="153">
        <f>$C31*INDEX(Curves!$Q$8:$Q$68,AN$4-$B31+1)</f>
        <v/>
      </c>
      <c r="AO31" s="153">
        <f>$C31*INDEX(Curves!$Q$8:$Q$68,AO$4-$B31+1)</f>
        <v/>
      </c>
      <c r="AP31" s="153">
        <f>$C31*INDEX(Curves!$Q$8:$Q$68,AP$4-$B31+1)</f>
        <v/>
      </c>
      <c r="AQ31" s="153">
        <f>$C31*INDEX(Curves!$Q$8:$Q$68,AQ$4-$B31+1)</f>
        <v/>
      </c>
      <c r="AR31" s="153">
        <f>$C31*INDEX(Curves!$Q$8:$Q$68,AR$4-$B31+1)</f>
        <v/>
      </c>
      <c r="AS31" s="153">
        <f>$C31*INDEX(Curves!$Q$8:$Q$68,AS$4-$B31+1)</f>
        <v/>
      </c>
      <c r="AT31" s="153">
        <f>$C31*INDEX(Curves!$Q$8:$Q$68,AT$4-$B31+1)</f>
        <v/>
      </c>
      <c r="AU31" s="153">
        <f>$C31*INDEX(Curves!$Q$8:$Q$68,AU$4-$B31+1)</f>
        <v/>
      </c>
      <c r="AV31" s="153">
        <f>$C31*INDEX(Curves!$Q$8:$Q$68,AV$4-$B31+1)</f>
        <v/>
      </c>
      <c r="AW31" s="153">
        <f>$C31*INDEX(Curves!$Q$8:$Q$68,AW$4-$B31+1)</f>
        <v/>
      </c>
      <c r="AX31" s="153">
        <f>$C31*INDEX(Curves!$Q$8:$Q$68,AX$4-$B31+1)</f>
        <v/>
      </c>
      <c r="AY31" s="153">
        <f>$C31*INDEX(Curves!$Q$8:$Q$68,AY$4-$B31+1)</f>
        <v/>
      </c>
      <c r="AZ31" s="153">
        <f>$C31*INDEX(Curves!$Q$8:$Q$68,AZ$4-$B31+1)</f>
        <v/>
      </c>
      <c r="BA31" s="153">
        <f>$C31*INDEX(Curves!$Q$8:$Q$68,BA$4-$B31+1)</f>
        <v/>
      </c>
      <c r="BB31" s="153">
        <f>$C31*INDEX(Curves!$Q$8:$Q$68,BB$4-$B31+1)</f>
        <v/>
      </c>
      <c r="BC31" s="153">
        <f>$C31*INDEX(Curves!$Q$8:$Q$68,BC$4-$B31+1)</f>
        <v/>
      </c>
      <c r="BD31" s="153">
        <f>$C31*INDEX(Curves!$Q$8:$Q$68,BD$4-$B31+1)</f>
        <v/>
      </c>
      <c r="BE31" s="153">
        <f>$C31*INDEX(Curves!$Q$8:$Q$68,BE$4-$B31+1)</f>
        <v/>
      </c>
      <c r="BF31" s="153">
        <f>$C31*INDEX(Curves!$Q$8:$Q$68,BF$4-$B31+1)</f>
        <v/>
      </c>
      <c r="BG31" s="153">
        <f>$C31*INDEX(Curves!$Q$8:$Q$68,BG$4-$B31+1)</f>
        <v/>
      </c>
      <c r="BH31" s="153">
        <f>$C31*INDEX(Curves!$Q$8:$Q$68,BH$4-$B31+1)</f>
        <v/>
      </c>
      <c r="BI31" s="153">
        <f>$C31*INDEX(Curves!$Q$8:$Q$68,BI$4-$B31+1)</f>
        <v/>
      </c>
      <c r="BJ31" s="153">
        <f>$C31*INDEX(Curves!$Q$8:$Q$68,BJ$4-$B31+1)</f>
        <v/>
      </c>
      <c r="BK31" s="153">
        <f>$C31*INDEX(Curves!$Q$8:$Q$68,BK$4-$B31+1)</f>
        <v/>
      </c>
      <c r="BL31" s="153">
        <f>$C31*INDEX(Curves!$Q$8:$Q$68,BL$4-$B31+1)</f>
        <v/>
      </c>
    </row>
    <row r="32">
      <c r="A32" s="147" t="inlineStr">
        <is>
          <t>Cohort month 23</t>
        </is>
      </c>
      <c r="B32" s="147" t="n">
        <v>23</v>
      </c>
      <c r="C32" s="41">
        <f>INDEX(Ops!$E$35:$BL$35,1,$B32)</f>
        <v/>
      </c>
      <c r="AB32" s="153">
        <f>$C32*INDEX(Curves!$Q$8:$Q$68,AB$4-$B32+1)</f>
        <v/>
      </c>
      <c r="AC32" s="153">
        <f>$C32*INDEX(Curves!$Q$8:$Q$68,AC$4-$B32+1)</f>
        <v/>
      </c>
      <c r="AD32" s="153">
        <f>$C32*INDEX(Curves!$Q$8:$Q$68,AD$4-$B32+1)</f>
        <v/>
      </c>
      <c r="AE32" s="153">
        <f>$C32*INDEX(Curves!$Q$8:$Q$68,AE$4-$B32+1)</f>
        <v/>
      </c>
      <c r="AF32" s="153">
        <f>$C32*INDEX(Curves!$Q$8:$Q$68,AF$4-$B32+1)</f>
        <v/>
      </c>
      <c r="AG32" s="153">
        <f>$C32*INDEX(Curves!$Q$8:$Q$68,AG$4-$B32+1)</f>
        <v/>
      </c>
      <c r="AH32" s="153">
        <f>$C32*INDEX(Curves!$Q$8:$Q$68,AH$4-$B32+1)</f>
        <v/>
      </c>
      <c r="AI32" s="153">
        <f>$C32*INDEX(Curves!$Q$8:$Q$68,AI$4-$B32+1)</f>
        <v/>
      </c>
      <c r="AJ32" s="153">
        <f>$C32*INDEX(Curves!$Q$8:$Q$68,AJ$4-$B32+1)</f>
        <v/>
      </c>
      <c r="AK32" s="153">
        <f>$C32*INDEX(Curves!$Q$8:$Q$68,AK$4-$B32+1)</f>
        <v/>
      </c>
      <c r="AL32" s="153">
        <f>$C32*INDEX(Curves!$Q$8:$Q$68,AL$4-$B32+1)</f>
        <v/>
      </c>
      <c r="AM32" s="153">
        <f>$C32*INDEX(Curves!$Q$8:$Q$68,AM$4-$B32+1)</f>
        <v/>
      </c>
      <c r="AN32" s="153">
        <f>$C32*INDEX(Curves!$Q$8:$Q$68,AN$4-$B32+1)</f>
        <v/>
      </c>
      <c r="AO32" s="153">
        <f>$C32*INDEX(Curves!$Q$8:$Q$68,AO$4-$B32+1)</f>
        <v/>
      </c>
      <c r="AP32" s="153">
        <f>$C32*INDEX(Curves!$Q$8:$Q$68,AP$4-$B32+1)</f>
        <v/>
      </c>
      <c r="AQ32" s="153">
        <f>$C32*INDEX(Curves!$Q$8:$Q$68,AQ$4-$B32+1)</f>
        <v/>
      </c>
      <c r="AR32" s="153">
        <f>$C32*INDEX(Curves!$Q$8:$Q$68,AR$4-$B32+1)</f>
        <v/>
      </c>
      <c r="AS32" s="153">
        <f>$C32*INDEX(Curves!$Q$8:$Q$68,AS$4-$B32+1)</f>
        <v/>
      </c>
      <c r="AT32" s="153">
        <f>$C32*INDEX(Curves!$Q$8:$Q$68,AT$4-$B32+1)</f>
        <v/>
      </c>
      <c r="AU32" s="153">
        <f>$C32*INDEX(Curves!$Q$8:$Q$68,AU$4-$B32+1)</f>
        <v/>
      </c>
      <c r="AV32" s="153">
        <f>$C32*INDEX(Curves!$Q$8:$Q$68,AV$4-$B32+1)</f>
        <v/>
      </c>
      <c r="AW32" s="153">
        <f>$C32*INDEX(Curves!$Q$8:$Q$68,AW$4-$B32+1)</f>
        <v/>
      </c>
      <c r="AX32" s="153">
        <f>$C32*INDEX(Curves!$Q$8:$Q$68,AX$4-$B32+1)</f>
        <v/>
      </c>
      <c r="AY32" s="153">
        <f>$C32*INDEX(Curves!$Q$8:$Q$68,AY$4-$B32+1)</f>
        <v/>
      </c>
      <c r="AZ32" s="153">
        <f>$C32*INDEX(Curves!$Q$8:$Q$68,AZ$4-$B32+1)</f>
        <v/>
      </c>
      <c r="BA32" s="153">
        <f>$C32*INDEX(Curves!$Q$8:$Q$68,BA$4-$B32+1)</f>
        <v/>
      </c>
      <c r="BB32" s="153">
        <f>$C32*INDEX(Curves!$Q$8:$Q$68,BB$4-$B32+1)</f>
        <v/>
      </c>
      <c r="BC32" s="153">
        <f>$C32*INDEX(Curves!$Q$8:$Q$68,BC$4-$B32+1)</f>
        <v/>
      </c>
      <c r="BD32" s="153">
        <f>$C32*INDEX(Curves!$Q$8:$Q$68,BD$4-$B32+1)</f>
        <v/>
      </c>
      <c r="BE32" s="153">
        <f>$C32*INDEX(Curves!$Q$8:$Q$68,BE$4-$B32+1)</f>
        <v/>
      </c>
      <c r="BF32" s="153">
        <f>$C32*INDEX(Curves!$Q$8:$Q$68,BF$4-$B32+1)</f>
        <v/>
      </c>
      <c r="BG32" s="153">
        <f>$C32*INDEX(Curves!$Q$8:$Q$68,BG$4-$B32+1)</f>
        <v/>
      </c>
      <c r="BH32" s="153">
        <f>$C32*INDEX(Curves!$Q$8:$Q$68,BH$4-$B32+1)</f>
        <v/>
      </c>
      <c r="BI32" s="153">
        <f>$C32*INDEX(Curves!$Q$8:$Q$68,BI$4-$B32+1)</f>
        <v/>
      </c>
      <c r="BJ32" s="153">
        <f>$C32*INDEX(Curves!$Q$8:$Q$68,BJ$4-$B32+1)</f>
        <v/>
      </c>
      <c r="BK32" s="153">
        <f>$C32*INDEX(Curves!$Q$8:$Q$68,BK$4-$B32+1)</f>
        <v/>
      </c>
      <c r="BL32" s="153">
        <f>$C32*INDEX(Curves!$Q$8:$Q$68,BL$4-$B32+1)</f>
        <v/>
      </c>
    </row>
    <row r="33">
      <c r="A33" s="147" t="inlineStr">
        <is>
          <t>Cohort month 24</t>
        </is>
      </c>
      <c r="B33" s="147" t="n">
        <v>24</v>
      </c>
      <c r="C33" s="41">
        <f>INDEX(Ops!$E$35:$BL$35,1,$B33)</f>
        <v/>
      </c>
      <c r="AC33" s="153">
        <f>$C33*INDEX(Curves!$Q$8:$Q$68,AC$4-$B33+1)</f>
        <v/>
      </c>
      <c r="AD33" s="153">
        <f>$C33*INDEX(Curves!$Q$8:$Q$68,AD$4-$B33+1)</f>
        <v/>
      </c>
      <c r="AE33" s="153">
        <f>$C33*INDEX(Curves!$Q$8:$Q$68,AE$4-$B33+1)</f>
        <v/>
      </c>
      <c r="AF33" s="153">
        <f>$C33*INDEX(Curves!$Q$8:$Q$68,AF$4-$B33+1)</f>
        <v/>
      </c>
      <c r="AG33" s="153">
        <f>$C33*INDEX(Curves!$Q$8:$Q$68,AG$4-$B33+1)</f>
        <v/>
      </c>
      <c r="AH33" s="153">
        <f>$C33*INDEX(Curves!$Q$8:$Q$68,AH$4-$B33+1)</f>
        <v/>
      </c>
      <c r="AI33" s="153">
        <f>$C33*INDEX(Curves!$Q$8:$Q$68,AI$4-$B33+1)</f>
        <v/>
      </c>
      <c r="AJ33" s="153">
        <f>$C33*INDEX(Curves!$Q$8:$Q$68,AJ$4-$B33+1)</f>
        <v/>
      </c>
      <c r="AK33" s="153">
        <f>$C33*INDEX(Curves!$Q$8:$Q$68,AK$4-$B33+1)</f>
        <v/>
      </c>
      <c r="AL33" s="153">
        <f>$C33*INDEX(Curves!$Q$8:$Q$68,AL$4-$B33+1)</f>
        <v/>
      </c>
      <c r="AM33" s="153">
        <f>$C33*INDEX(Curves!$Q$8:$Q$68,AM$4-$B33+1)</f>
        <v/>
      </c>
      <c r="AN33" s="153">
        <f>$C33*INDEX(Curves!$Q$8:$Q$68,AN$4-$B33+1)</f>
        <v/>
      </c>
      <c r="AO33" s="153">
        <f>$C33*INDEX(Curves!$Q$8:$Q$68,AO$4-$B33+1)</f>
        <v/>
      </c>
      <c r="AP33" s="153">
        <f>$C33*INDEX(Curves!$Q$8:$Q$68,AP$4-$B33+1)</f>
        <v/>
      </c>
      <c r="AQ33" s="153">
        <f>$C33*INDEX(Curves!$Q$8:$Q$68,AQ$4-$B33+1)</f>
        <v/>
      </c>
      <c r="AR33" s="153">
        <f>$C33*INDEX(Curves!$Q$8:$Q$68,AR$4-$B33+1)</f>
        <v/>
      </c>
      <c r="AS33" s="153">
        <f>$C33*INDEX(Curves!$Q$8:$Q$68,AS$4-$B33+1)</f>
        <v/>
      </c>
      <c r="AT33" s="153">
        <f>$C33*INDEX(Curves!$Q$8:$Q$68,AT$4-$B33+1)</f>
        <v/>
      </c>
      <c r="AU33" s="153">
        <f>$C33*INDEX(Curves!$Q$8:$Q$68,AU$4-$B33+1)</f>
        <v/>
      </c>
      <c r="AV33" s="153">
        <f>$C33*INDEX(Curves!$Q$8:$Q$68,AV$4-$B33+1)</f>
        <v/>
      </c>
      <c r="AW33" s="153">
        <f>$C33*INDEX(Curves!$Q$8:$Q$68,AW$4-$B33+1)</f>
        <v/>
      </c>
      <c r="AX33" s="153">
        <f>$C33*INDEX(Curves!$Q$8:$Q$68,AX$4-$B33+1)</f>
        <v/>
      </c>
      <c r="AY33" s="153">
        <f>$C33*INDEX(Curves!$Q$8:$Q$68,AY$4-$B33+1)</f>
        <v/>
      </c>
      <c r="AZ33" s="153">
        <f>$C33*INDEX(Curves!$Q$8:$Q$68,AZ$4-$B33+1)</f>
        <v/>
      </c>
      <c r="BA33" s="153">
        <f>$C33*INDEX(Curves!$Q$8:$Q$68,BA$4-$B33+1)</f>
        <v/>
      </c>
      <c r="BB33" s="153">
        <f>$C33*INDEX(Curves!$Q$8:$Q$68,BB$4-$B33+1)</f>
        <v/>
      </c>
      <c r="BC33" s="153">
        <f>$C33*INDEX(Curves!$Q$8:$Q$68,BC$4-$B33+1)</f>
        <v/>
      </c>
      <c r="BD33" s="153">
        <f>$C33*INDEX(Curves!$Q$8:$Q$68,BD$4-$B33+1)</f>
        <v/>
      </c>
      <c r="BE33" s="153">
        <f>$C33*INDEX(Curves!$Q$8:$Q$68,BE$4-$B33+1)</f>
        <v/>
      </c>
      <c r="BF33" s="153">
        <f>$C33*INDEX(Curves!$Q$8:$Q$68,BF$4-$B33+1)</f>
        <v/>
      </c>
      <c r="BG33" s="153">
        <f>$C33*INDEX(Curves!$Q$8:$Q$68,BG$4-$B33+1)</f>
        <v/>
      </c>
      <c r="BH33" s="153">
        <f>$C33*INDEX(Curves!$Q$8:$Q$68,BH$4-$B33+1)</f>
        <v/>
      </c>
      <c r="BI33" s="153">
        <f>$C33*INDEX(Curves!$Q$8:$Q$68,BI$4-$B33+1)</f>
        <v/>
      </c>
      <c r="BJ33" s="153">
        <f>$C33*INDEX(Curves!$Q$8:$Q$68,BJ$4-$B33+1)</f>
        <v/>
      </c>
      <c r="BK33" s="153">
        <f>$C33*INDEX(Curves!$Q$8:$Q$68,BK$4-$B33+1)</f>
        <v/>
      </c>
      <c r="BL33" s="153">
        <f>$C33*INDEX(Curves!$Q$8:$Q$68,BL$4-$B33+1)</f>
        <v/>
      </c>
    </row>
    <row r="34">
      <c r="A34" s="147" t="inlineStr">
        <is>
          <t>Cohort month 25</t>
        </is>
      </c>
      <c r="B34" s="147" t="n">
        <v>25</v>
      </c>
      <c r="C34" s="41">
        <f>INDEX(Ops!$E$35:$BL$35,1,$B34)</f>
        <v/>
      </c>
      <c r="AD34" s="153">
        <f>$C34*INDEX(Curves!$Q$8:$Q$68,AD$4-$B34+1)</f>
        <v/>
      </c>
      <c r="AE34" s="153">
        <f>$C34*INDEX(Curves!$Q$8:$Q$68,AE$4-$B34+1)</f>
        <v/>
      </c>
      <c r="AF34" s="153">
        <f>$C34*INDEX(Curves!$Q$8:$Q$68,AF$4-$B34+1)</f>
        <v/>
      </c>
      <c r="AG34" s="153">
        <f>$C34*INDEX(Curves!$Q$8:$Q$68,AG$4-$B34+1)</f>
        <v/>
      </c>
      <c r="AH34" s="153">
        <f>$C34*INDEX(Curves!$Q$8:$Q$68,AH$4-$B34+1)</f>
        <v/>
      </c>
      <c r="AI34" s="153">
        <f>$C34*INDEX(Curves!$Q$8:$Q$68,AI$4-$B34+1)</f>
        <v/>
      </c>
      <c r="AJ34" s="153">
        <f>$C34*INDEX(Curves!$Q$8:$Q$68,AJ$4-$B34+1)</f>
        <v/>
      </c>
      <c r="AK34" s="153">
        <f>$C34*INDEX(Curves!$Q$8:$Q$68,AK$4-$B34+1)</f>
        <v/>
      </c>
      <c r="AL34" s="153">
        <f>$C34*INDEX(Curves!$Q$8:$Q$68,AL$4-$B34+1)</f>
        <v/>
      </c>
      <c r="AM34" s="153">
        <f>$C34*INDEX(Curves!$Q$8:$Q$68,AM$4-$B34+1)</f>
        <v/>
      </c>
      <c r="AN34" s="153">
        <f>$C34*INDEX(Curves!$Q$8:$Q$68,AN$4-$B34+1)</f>
        <v/>
      </c>
      <c r="AO34" s="153">
        <f>$C34*INDEX(Curves!$Q$8:$Q$68,AO$4-$B34+1)</f>
        <v/>
      </c>
      <c r="AP34" s="153">
        <f>$C34*INDEX(Curves!$Q$8:$Q$68,AP$4-$B34+1)</f>
        <v/>
      </c>
      <c r="AQ34" s="153">
        <f>$C34*INDEX(Curves!$Q$8:$Q$68,AQ$4-$B34+1)</f>
        <v/>
      </c>
      <c r="AR34" s="153">
        <f>$C34*INDEX(Curves!$Q$8:$Q$68,AR$4-$B34+1)</f>
        <v/>
      </c>
      <c r="AS34" s="153">
        <f>$C34*INDEX(Curves!$Q$8:$Q$68,AS$4-$B34+1)</f>
        <v/>
      </c>
      <c r="AT34" s="153">
        <f>$C34*INDEX(Curves!$Q$8:$Q$68,AT$4-$B34+1)</f>
        <v/>
      </c>
      <c r="AU34" s="153">
        <f>$C34*INDEX(Curves!$Q$8:$Q$68,AU$4-$B34+1)</f>
        <v/>
      </c>
      <c r="AV34" s="153">
        <f>$C34*INDEX(Curves!$Q$8:$Q$68,AV$4-$B34+1)</f>
        <v/>
      </c>
      <c r="AW34" s="153">
        <f>$C34*INDEX(Curves!$Q$8:$Q$68,AW$4-$B34+1)</f>
        <v/>
      </c>
      <c r="AX34" s="153">
        <f>$C34*INDEX(Curves!$Q$8:$Q$68,AX$4-$B34+1)</f>
        <v/>
      </c>
      <c r="AY34" s="153">
        <f>$C34*INDEX(Curves!$Q$8:$Q$68,AY$4-$B34+1)</f>
        <v/>
      </c>
      <c r="AZ34" s="153">
        <f>$C34*INDEX(Curves!$Q$8:$Q$68,AZ$4-$B34+1)</f>
        <v/>
      </c>
      <c r="BA34" s="153">
        <f>$C34*INDEX(Curves!$Q$8:$Q$68,BA$4-$B34+1)</f>
        <v/>
      </c>
      <c r="BB34" s="153">
        <f>$C34*INDEX(Curves!$Q$8:$Q$68,BB$4-$B34+1)</f>
        <v/>
      </c>
      <c r="BC34" s="153">
        <f>$C34*INDEX(Curves!$Q$8:$Q$68,BC$4-$B34+1)</f>
        <v/>
      </c>
      <c r="BD34" s="153">
        <f>$C34*INDEX(Curves!$Q$8:$Q$68,BD$4-$B34+1)</f>
        <v/>
      </c>
      <c r="BE34" s="153">
        <f>$C34*INDEX(Curves!$Q$8:$Q$68,BE$4-$B34+1)</f>
        <v/>
      </c>
      <c r="BF34" s="153">
        <f>$C34*INDEX(Curves!$Q$8:$Q$68,BF$4-$B34+1)</f>
        <v/>
      </c>
      <c r="BG34" s="153">
        <f>$C34*INDEX(Curves!$Q$8:$Q$68,BG$4-$B34+1)</f>
        <v/>
      </c>
      <c r="BH34" s="153">
        <f>$C34*INDEX(Curves!$Q$8:$Q$68,BH$4-$B34+1)</f>
        <v/>
      </c>
      <c r="BI34" s="153">
        <f>$C34*INDEX(Curves!$Q$8:$Q$68,BI$4-$B34+1)</f>
        <v/>
      </c>
      <c r="BJ34" s="153">
        <f>$C34*INDEX(Curves!$Q$8:$Q$68,BJ$4-$B34+1)</f>
        <v/>
      </c>
      <c r="BK34" s="153">
        <f>$C34*INDEX(Curves!$Q$8:$Q$68,BK$4-$B34+1)</f>
        <v/>
      </c>
      <c r="BL34" s="153">
        <f>$C34*INDEX(Curves!$Q$8:$Q$68,BL$4-$B34+1)</f>
        <v/>
      </c>
    </row>
    <row r="35">
      <c r="A35" s="147" t="inlineStr">
        <is>
          <t>Cohort month 26</t>
        </is>
      </c>
      <c r="B35" s="147" t="n">
        <v>26</v>
      </c>
      <c r="C35" s="41">
        <f>INDEX(Ops!$E$35:$BL$35,1,$B35)</f>
        <v/>
      </c>
      <c r="AE35" s="153">
        <f>$C35*INDEX(Curves!$Q$8:$Q$68,AE$4-$B35+1)</f>
        <v/>
      </c>
      <c r="AF35" s="153">
        <f>$C35*INDEX(Curves!$Q$8:$Q$68,AF$4-$B35+1)</f>
        <v/>
      </c>
      <c r="AG35" s="153">
        <f>$C35*INDEX(Curves!$Q$8:$Q$68,AG$4-$B35+1)</f>
        <v/>
      </c>
      <c r="AH35" s="153">
        <f>$C35*INDEX(Curves!$Q$8:$Q$68,AH$4-$B35+1)</f>
        <v/>
      </c>
      <c r="AI35" s="153">
        <f>$C35*INDEX(Curves!$Q$8:$Q$68,AI$4-$B35+1)</f>
        <v/>
      </c>
      <c r="AJ35" s="153">
        <f>$C35*INDEX(Curves!$Q$8:$Q$68,AJ$4-$B35+1)</f>
        <v/>
      </c>
      <c r="AK35" s="153">
        <f>$C35*INDEX(Curves!$Q$8:$Q$68,AK$4-$B35+1)</f>
        <v/>
      </c>
      <c r="AL35" s="153">
        <f>$C35*INDEX(Curves!$Q$8:$Q$68,AL$4-$B35+1)</f>
        <v/>
      </c>
      <c r="AM35" s="153">
        <f>$C35*INDEX(Curves!$Q$8:$Q$68,AM$4-$B35+1)</f>
        <v/>
      </c>
      <c r="AN35" s="153">
        <f>$C35*INDEX(Curves!$Q$8:$Q$68,AN$4-$B35+1)</f>
        <v/>
      </c>
      <c r="AO35" s="153">
        <f>$C35*INDEX(Curves!$Q$8:$Q$68,AO$4-$B35+1)</f>
        <v/>
      </c>
      <c r="AP35" s="153">
        <f>$C35*INDEX(Curves!$Q$8:$Q$68,AP$4-$B35+1)</f>
        <v/>
      </c>
      <c r="AQ35" s="153">
        <f>$C35*INDEX(Curves!$Q$8:$Q$68,AQ$4-$B35+1)</f>
        <v/>
      </c>
      <c r="AR35" s="153">
        <f>$C35*INDEX(Curves!$Q$8:$Q$68,AR$4-$B35+1)</f>
        <v/>
      </c>
      <c r="AS35" s="153">
        <f>$C35*INDEX(Curves!$Q$8:$Q$68,AS$4-$B35+1)</f>
        <v/>
      </c>
      <c r="AT35" s="153">
        <f>$C35*INDEX(Curves!$Q$8:$Q$68,AT$4-$B35+1)</f>
        <v/>
      </c>
      <c r="AU35" s="153">
        <f>$C35*INDEX(Curves!$Q$8:$Q$68,AU$4-$B35+1)</f>
        <v/>
      </c>
      <c r="AV35" s="153">
        <f>$C35*INDEX(Curves!$Q$8:$Q$68,AV$4-$B35+1)</f>
        <v/>
      </c>
      <c r="AW35" s="153">
        <f>$C35*INDEX(Curves!$Q$8:$Q$68,AW$4-$B35+1)</f>
        <v/>
      </c>
      <c r="AX35" s="153">
        <f>$C35*INDEX(Curves!$Q$8:$Q$68,AX$4-$B35+1)</f>
        <v/>
      </c>
      <c r="AY35" s="153">
        <f>$C35*INDEX(Curves!$Q$8:$Q$68,AY$4-$B35+1)</f>
        <v/>
      </c>
      <c r="AZ35" s="153">
        <f>$C35*INDEX(Curves!$Q$8:$Q$68,AZ$4-$B35+1)</f>
        <v/>
      </c>
      <c r="BA35" s="153">
        <f>$C35*INDEX(Curves!$Q$8:$Q$68,BA$4-$B35+1)</f>
        <v/>
      </c>
      <c r="BB35" s="153">
        <f>$C35*INDEX(Curves!$Q$8:$Q$68,BB$4-$B35+1)</f>
        <v/>
      </c>
      <c r="BC35" s="153">
        <f>$C35*INDEX(Curves!$Q$8:$Q$68,BC$4-$B35+1)</f>
        <v/>
      </c>
      <c r="BD35" s="153">
        <f>$C35*INDEX(Curves!$Q$8:$Q$68,BD$4-$B35+1)</f>
        <v/>
      </c>
      <c r="BE35" s="153">
        <f>$C35*INDEX(Curves!$Q$8:$Q$68,BE$4-$B35+1)</f>
        <v/>
      </c>
      <c r="BF35" s="153">
        <f>$C35*INDEX(Curves!$Q$8:$Q$68,BF$4-$B35+1)</f>
        <v/>
      </c>
      <c r="BG35" s="153">
        <f>$C35*INDEX(Curves!$Q$8:$Q$68,BG$4-$B35+1)</f>
        <v/>
      </c>
      <c r="BH35" s="153">
        <f>$C35*INDEX(Curves!$Q$8:$Q$68,BH$4-$B35+1)</f>
        <v/>
      </c>
      <c r="BI35" s="153">
        <f>$C35*INDEX(Curves!$Q$8:$Q$68,BI$4-$B35+1)</f>
        <v/>
      </c>
      <c r="BJ35" s="153">
        <f>$C35*INDEX(Curves!$Q$8:$Q$68,BJ$4-$B35+1)</f>
        <v/>
      </c>
      <c r="BK35" s="153">
        <f>$C35*INDEX(Curves!$Q$8:$Q$68,BK$4-$B35+1)</f>
        <v/>
      </c>
      <c r="BL35" s="153">
        <f>$C35*INDEX(Curves!$Q$8:$Q$68,BL$4-$B35+1)</f>
        <v/>
      </c>
    </row>
    <row r="36">
      <c r="A36" s="147" t="inlineStr">
        <is>
          <t>Cohort month 27</t>
        </is>
      </c>
      <c r="B36" s="147" t="n">
        <v>27</v>
      </c>
      <c r="C36" s="41">
        <f>INDEX(Ops!$E$35:$BL$35,1,$B36)</f>
        <v/>
      </c>
      <c r="AF36" s="153">
        <f>$C36*INDEX(Curves!$Q$8:$Q$68,AF$4-$B36+1)</f>
        <v/>
      </c>
      <c r="AG36" s="153">
        <f>$C36*INDEX(Curves!$Q$8:$Q$68,AG$4-$B36+1)</f>
        <v/>
      </c>
      <c r="AH36" s="153">
        <f>$C36*INDEX(Curves!$Q$8:$Q$68,AH$4-$B36+1)</f>
        <v/>
      </c>
      <c r="AI36" s="153">
        <f>$C36*INDEX(Curves!$Q$8:$Q$68,AI$4-$B36+1)</f>
        <v/>
      </c>
      <c r="AJ36" s="153">
        <f>$C36*INDEX(Curves!$Q$8:$Q$68,AJ$4-$B36+1)</f>
        <v/>
      </c>
      <c r="AK36" s="153">
        <f>$C36*INDEX(Curves!$Q$8:$Q$68,AK$4-$B36+1)</f>
        <v/>
      </c>
      <c r="AL36" s="153">
        <f>$C36*INDEX(Curves!$Q$8:$Q$68,AL$4-$B36+1)</f>
        <v/>
      </c>
      <c r="AM36" s="153">
        <f>$C36*INDEX(Curves!$Q$8:$Q$68,AM$4-$B36+1)</f>
        <v/>
      </c>
      <c r="AN36" s="153">
        <f>$C36*INDEX(Curves!$Q$8:$Q$68,AN$4-$B36+1)</f>
        <v/>
      </c>
      <c r="AO36" s="153">
        <f>$C36*INDEX(Curves!$Q$8:$Q$68,AO$4-$B36+1)</f>
        <v/>
      </c>
      <c r="AP36" s="153">
        <f>$C36*INDEX(Curves!$Q$8:$Q$68,AP$4-$B36+1)</f>
        <v/>
      </c>
      <c r="AQ36" s="153">
        <f>$C36*INDEX(Curves!$Q$8:$Q$68,AQ$4-$B36+1)</f>
        <v/>
      </c>
      <c r="AR36" s="153">
        <f>$C36*INDEX(Curves!$Q$8:$Q$68,AR$4-$B36+1)</f>
        <v/>
      </c>
      <c r="AS36" s="153">
        <f>$C36*INDEX(Curves!$Q$8:$Q$68,AS$4-$B36+1)</f>
        <v/>
      </c>
      <c r="AT36" s="153">
        <f>$C36*INDEX(Curves!$Q$8:$Q$68,AT$4-$B36+1)</f>
        <v/>
      </c>
      <c r="AU36" s="153">
        <f>$C36*INDEX(Curves!$Q$8:$Q$68,AU$4-$B36+1)</f>
        <v/>
      </c>
      <c r="AV36" s="153">
        <f>$C36*INDEX(Curves!$Q$8:$Q$68,AV$4-$B36+1)</f>
        <v/>
      </c>
      <c r="AW36" s="153">
        <f>$C36*INDEX(Curves!$Q$8:$Q$68,AW$4-$B36+1)</f>
        <v/>
      </c>
      <c r="AX36" s="153">
        <f>$C36*INDEX(Curves!$Q$8:$Q$68,AX$4-$B36+1)</f>
        <v/>
      </c>
      <c r="AY36" s="153">
        <f>$C36*INDEX(Curves!$Q$8:$Q$68,AY$4-$B36+1)</f>
        <v/>
      </c>
      <c r="AZ36" s="153">
        <f>$C36*INDEX(Curves!$Q$8:$Q$68,AZ$4-$B36+1)</f>
        <v/>
      </c>
      <c r="BA36" s="153">
        <f>$C36*INDEX(Curves!$Q$8:$Q$68,BA$4-$B36+1)</f>
        <v/>
      </c>
      <c r="BB36" s="153">
        <f>$C36*INDEX(Curves!$Q$8:$Q$68,BB$4-$B36+1)</f>
        <v/>
      </c>
      <c r="BC36" s="153">
        <f>$C36*INDEX(Curves!$Q$8:$Q$68,BC$4-$B36+1)</f>
        <v/>
      </c>
      <c r="BD36" s="153">
        <f>$C36*INDEX(Curves!$Q$8:$Q$68,BD$4-$B36+1)</f>
        <v/>
      </c>
      <c r="BE36" s="153">
        <f>$C36*INDEX(Curves!$Q$8:$Q$68,BE$4-$B36+1)</f>
        <v/>
      </c>
      <c r="BF36" s="153">
        <f>$C36*INDEX(Curves!$Q$8:$Q$68,BF$4-$B36+1)</f>
        <v/>
      </c>
      <c r="BG36" s="153">
        <f>$C36*INDEX(Curves!$Q$8:$Q$68,BG$4-$B36+1)</f>
        <v/>
      </c>
      <c r="BH36" s="153">
        <f>$C36*INDEX(Curves!$Q$8:$Q$68,BH$4-$B36+1)</f>
        <v/>
      </c>
      <c r="BI36" s="153">
        <f>$C36*INDEX(Curves!$Q$8:$Q$68,BI$4-$B36+1)</f>
        <v/>
      </c>
      <c r="BJ36" s="153">
        <f>$C36*INDEX(Curves!$Q$8:$Q$68,BJ$4-$B36+1)</f>
        <v/>
      </c>
      <c r="BK36" s="153">
        <f>$C36*INDEX(Curves!$Q$8:$Q$68,BK$4-$B36+1)</f>
        <v/>
      </c>
      <c r="BL36" s="153">
        <f>$C36*INDEX(Curves!$Q$8:$Q$68,BL$4-$B36+1)</f>
        <v/>
      </c>
    </row>
    <row r="37">
      <c r="A37" s="147" t="inlineStr">
        <is>
          <t>Cohort month 28</t>
        </is>
      </c>
      <c r="B37" s="147" t="n">
        <v>28</v>
      </c>
      <c r="C37" s="41">
        <f>INDEX(Ops!$E$35:$BL$35,1,$B37)</f>
        <v/>
      </c>
      <c r="AG37" s="153">
        <f>$C37*INDEX(Curves!$Q$8:$Q$68,AG$4-$B37+1)</f>
        <v/>
      </c>
      <c r="AH37" s="153">
        <f>$C37*INDEX(Curves!$Q$8:$Q$68,AH$4-$B37+1)</f>
        <v/>
      </c>
      <c r="AI37" s="153">
        <f>$C37*INDEX(Curves!$Q$8:$Q$68,AI$4-$B37+1)</f>
        <v/>
      </c>
      <c r="AJ37" s="153">
        <f>$C37*INDEX(Curves!$Q$8:$Q$68,AJ$4-$B37+1)</f>
        <v/>
      </c>
      <c r="AK37" s="153">
        <f>$C37*INDEX(Curves!$Q$8:$Q$68,AK$4-$B37+1)</f>
        <v/>
      </c>
      <c r="AL37" s="153">
        <f>$C37*INDEX(Curves!$Q$8:$Q$68,AL$4-$B37+1)</f>
        <v/>
      </c>
      <c r="AM37" s="153">
        <f>$C37*INDEX(Curves!$Q$8:$Q$68,AM$4-$B37+1)</f>
        <v/>
      </c>
      <c r="AN37" s="153">
        <f>$C37*INDEX(Curves!$Q$8:$Q$68,AN$4-$B37+1)</f>
        <v/>
      </c>
      <c r="AO37" s="153">
        <f>$C37*INDEX(Curves!$Q$8:$Q$68,AO$4-$B37+1)</f>
        <v/>
      </c>
      <c r="AP37" s="153">
        <f>$C37*INDEX(Curves!$Q$8:$Q$68,AP$4-$B37+1)</f>
        <v/>
      </c>
      <c r="AQ37" s="153">
        <f>$C37*INDEX(Curves!$Q$8:$Q$68,AQ$4-$B37+1)</f>
        <v/>
      </c>
      <c r="AR37" s="153">
        <f>$C37*INDEX(Curves!$Q$8:$Q$68,AR$4-$B37+1)</f>
        <v/>
      </c>
      <c r="AS37" s="153">
        <f>$C37*INDEX(Curves!$Q$8:$Q$68,AS$4-$B37+1)</f>
        <v/>
      </c>
      <c r="AT37" s="153">
        <f>$C37*INDEX(Curves!$Q$8:$Q$68,AT$4-$B37+1)</f>
        <v/>
      </c>
      <c r="AU37" s="153">
        <f>$C37*INDEX(Curves!$Q$8:$Q$68,AU$4-$B37+1)</f>
        <v/>
      </c>
      <c r="AV37" s="153">
        <f>$C37*INDEX(Curves!$Q$8:$Q$68,AV$4-$B37+1)</f>
        <v/>
      </c>
      <c r="AW37" s="153">
        <f>$C37*INDEX(Curves!$Q$8:$Q$68,AW$4-$B37+1)</f>
        <v/>
      </c>
      <c r="AX37" s="153">
        <f>$C37*INDEX(Curves!$Q$8:$Q$68,AX$4-$B37+1)</f>
        <v/>
      </c>
      <c r="AY37" s="153">
        <f>$C37*INDEX(Curves!$Q$8:$Q$68,AY$4-$B37+1)</f>
        <v/>
      </c>
      <c r="AZ37" s="153">
        <f>$C37*INDEX(Curves!$Q$8:$Q$68,AZ$4-$B37+1)</f>
        <v/>
      </c>
      <c r="BA37" s="153">
        <f>$C37*INDEX(Curves!$Q$8:$Q$68,BA$4-$B37+1)</f>
        <v/>
      </c>
      <c r="BB37" s="153">
        <f>$C37*INDEX(Curves!$Q$8:$Q$68,BB$4-$B37+1)</f>
        <v/>
      </c>
      <c r="BC37" s="153">
        <f>$C37*INDEX(Curves!$Q$8:$Q$68,BC$4-$B37+1)</f>
        <v/>
      </c>
      <c r="BD37" s="153">
        <f>$C37*INDEX(Curves!$Q$8:$Q$68,BD$4-$B37+1)</f>
        <v/>
      </c>
      <c r="BE37" s="153">
        <f>$C37*INDEX(Curves!$Q$8:$Q$68,BE$4-$B37+1)</f>
        <v/>
      </c>
      <c r="BF37" s="153">
        <f>$C37*INDEX(Curves!$Q$8:$Q$68,BF$4-$B37+1)</f>
        <v/>
      </c>
      <c r="BG37" s="153">
        <f>$C37*INDEX(Curves!$Q$8:$Q$68,BG$4-$B37+1)</f>
        <v/>
      </c>
      <c r="BH37" s="153">
        <f>$C37*INDEX(Curves!$Q$8:$Q$68,BH$4-$B37+1)</f>
        <v/>
      </c>
      <c r="BI37" s="153">
        <f>$C37*INDEX(Curves!$Q$8:$Q$68,BI$4-$B37+1)</f>
        <v/>
      </c>
      <c r="BJ37" s="153">
        <f>$C37*INDEX(Curves!$Q$8:$Q$68,BJ$4-$B37+1)</f>
        <v/>
      </c>
      <c r="BK37" s="153">
        <f>$C37*INDEX(Curves!$Q$8:$Q$68,BK$4-$B37+1)</f>
        <v/>
      </c>
      <c r="BL37" s="153">
        <f>$C37*INDEX(Curves!$Q$8:$Q$68,BL$4-$B37+1)</f>
        <v/>
      </c>
    </row>
    <row r="38">
      <c r="A38" s="147" t="inlineStr">
        <is>
          <t>Cohort month 29</t>
        </is>
      </c>
      <c r="B38" s="147" t="n">
        <v>29</v>
      </c>
      <c r="C38" s="41">
        <f>INDEX(Ops!$E$35:$BL$35,1,$B38)</f>
        <v/>
      </c>
      <c r="AH38" s="153">
        <f>$C38*INDEX(Curves!$Q$8:$Q$68,AH$4-$B38+1)</f>
        <v/>
      </c>
      <c r="AI38" s="153">
        <f>$C38*INDEX(Curves!$Q$8:$Q$68,AI$4-$B38+1)</f>
        <v/>
      </c>
      <c r="AJ38" s="153">
        <f>$C38*INDEX(Curves!$Q$8:$Q$68,AJ$4-$B38+1)</f>
        <v/>
      </c>
      <c r="AK38" s="153">
        <f>$C38*INDEX(Curves!$Q$8:$Q$68,AK$4-$B38+1)</f>
        <v/>
      </c>
      <c r="AL38" s="153">
        <f>$C38*INDEX(Curves!$Q$8:$Q$68,AL$4-$B38+1)</f>
        <v/>
      </c>
      <c r="AM38" s="153">
        <f>$C38*INDEX(Curves!$Q$8:$Q$68,AM$4-$B38+1)</f>
        <v/>
      </c>
      <c r="AN38" s="153">
        <f>$C38*INDEX(Curves!$Q$8:$Q$68,AN$4-$B38+1)</f>
        <v/>
      </c>
      <c r="AO38" s="153">
        <f>$C38*INDEX(Curves!$Q$8:$Q$68,AO$4-$B38+1)</f>
        <v/>
      </c>
      <c r="AP38" s="153">
        <f>$C38*INDEX(Curves!$Q$8:$Q$68,AP$4-$B38+1)</f>
        <v/>
      </c>
      <c r="AQ38" s="153">
        <f>$C38*INDEX(Curves!$Q$8:$Q$68,AQ$4-$B38+1)</f>
        <v/>
      </c>
      <c r="AR38" s="153">
        <f>$C38*INDEX(Curves!$Q$8:$Q$68,AR$4-$B38+1)</f>
        <v/>
      </c>
      <c r="AS38" s="153">
        <f>$C38*INDEX(Curves!$Q$8:$Q$68,AS$4-$B38+1)</f>
        <v/>
      </c>
      <c r="AT38" s="153">
        <f>$C38*INDEX(Curves!$Q$8:$Q$68,AT$4-$B38+1)</f>
        <v/>
      </c>
      <c r="AU38" s="153">
        <f>$C38*INDEX(Curves!$Q$8:$Q$68,AU$4-$B38+1)</f>
        <v/>
      </c>
      <c r="AV38" s="153">
        <f>$C38*INDEX(Curves!$Q$8:$Q$68,AV$4-$B38+1)</f>
        <v/>
      </c>
      <c r="AW38" s="153">
        <f>$C38*INDEX(Curves!$Q$8:$Q$68,AW$4-$B38+1)</f>
        <v/>
      </c>
      <c r="AX38" s="153">
        <f>$C38*INDEX(Curves!$Q$8:$Q$68,AX$4-$B38+1)</f>
        <v/>
      </c>
      <c r="AY38" s="153">
        <f>$C38*INDEX(Curves!$Q$8:$Q$68,AY$4-$B38+1)</f>
        <v/>
      </c>
      <c r="AZ38" s="153">
        <f>$C38*INDEX(Curves!$Q$8:$Q$68,AZ$4-$B38+1)</f>
        <v/>
      </c>
      <c r="BA38" s="153">
        <f>$C38*INDEX(Curves!$Q$8:$Q$68,BA$4-$B38+1)</f>
        <v/>
      </c>
      <c r="BB38" s="153">
        <f>$C38*INDEX(Curves!$Q$8:$Q$68,BB$4-$B38+1)</f>
        <v/>
      </c>
      <c r="BC38" s="153">
        <f>$C38*INDEX(Curves!$Q$8:$Q$68,BC$4-$B38+1)</f>
        <v/>
      </c>
      <c r="BD38" s="153">
        <f>$C38*INDEX(Curves!$Q$8:$Q$68,BD$4-$B38+1)</f>
        <v/>
      </c>
      <c r="BE38" s="153">
        <f>$C38*INDEX(Curves!$Q$8:$Q$68,BE$4-$B38+1)</f>
        <v/>
      </c>
      <c r="BF38" s="153">
        <f>$C38*INDEX(Curves!$Q$8:$Q$68,BF$4-$B38+1)</f>
        <v/>
      </c>
      <c r="BG38" s="153">
        <f>$C38*INDEX(Curves!$Q$8:$Q$68,BG$4-$B38+1)</f>
        <v/>
      </c>
      <c r="BH38" s="153">
        <f>$C38*INDEX(Curves!$Q$8:$Q$68,BH$4-$B38+1)</f>
        <v/>
      </c>
      <c r="BI38" s="153">
        <f>$C38*INDEX(Curves!$Q$8:$Q$68,BI$4-$B38+1)</f>
        <v/>
      </c>
      <c r="BJ38" s="153">
        <f>$C38*INDEX(Curves!$Q$8:$Q$68,BJ$4-$B38+1)</f>
        <v/>
      </c>
      <c r="BK38" s="153">
        <f>$C38*INDEX(Curves!$Q$8:$Q$68,BK$4-$B38+1)</f>
        <v/>
      </c>
      <c r="BL38" s="153">
        <f>$C38*INDEX(Curves!$Q$8:$Q$68,BL$4-$B38+1)</f>
        <v/>
      </c>
    </row>
    <row r="39">
      <c r="A39" s="147" t="inlineStr">
        <is>
          <t>Cohort month 30</t>
        </is>
      </c>
      <c r="B39" s="147" t="n">
        <v>30</v>
      </c>
      <c r="C39" s="41">
        <f>INDEX(Ops!$E$35:$BL$35,1,$B39)</f>
        <v/>
      </c>
      <c r="AI39" s="153">
        <f>$C39*INDEX(Curves!$Q$8:$Q$68,AI$4-$B39+1)</f>
        <v/>
      </c>
      <c r="AJ39" s="153">
        <f>$C39*INDEX(Curves!$Q$8:$Q$68,AJ$4-$B39+1)</f>
        <v/>
      </c>
      <c r="AK39" s="153">
        <f>$C39*INDEX(Curves!$Q$8:$Q$68,AK$4-$B39+1)</f>
        <v/>
      </c>
      <c r="AL39" s="153">
        <f>$C39*INDEX(Curves!$Q$8:$Q$68,AL$4-$B39+1)</f>
        <v/>
      </c>
      <c r="AM39" s="153">
        <f>$C39*INDEX(Curves!$Q$8:$Q$68,AM$4-$B39+1)</f>
        <v/>
      </c>
      <c r="AN39" s="153">
        <f>$C39*INDEX(Curves!$Q$8:$Q$68,AN$4-$B39+1)</f>
        <v/>
      </c>
      <c r="AO39" s="153">
        <f>$C39*INDEX(Curves!$Q$8:$Q$68,AO$4-$B39+1)</f>
        <v/>
      </c>
      <c r="AP39" s="153">
        <f>$C39*INDEX(Curves!$Q$8:$Q$68,AP$4-$B39+1)</f>
        <v/>
      </c>
      <c r="AQ39" s="153">
        <f>$C39*INDEX(Curves!$Q$8:$Q$68,AQ$4-$B39+1)</f>
        <v/>
      </c>
      <c r="AR39" s="153">
        <f>$C39*INDEX(Curves!$Q$8:$Q$68,AR$4-$B39+1)</f>
        <v/>
      </c>
      <c r="AS39" s="153">
        <f>$C39*INDEX(Curves!$Q$8:$Q$68,AS$4-$B39+1)</f>
        <v/>
      </c>
      <c r="AT39" s="153">
        <f>$C39*INDEX(Curves!$Q$8:$Q$68,AT$4-$B39+1)</f>
        <v/>
      </c>
      <c r="AU39" s="153">
        <f>$C39*INDEX(Curves!$Q$8:$Q$68,AU$4-$B39+1)</f>
        <v/>
      </c>
      <c r="AV39" s="153">
        <f>$C39*INDEX(Curves!$Q$8:$Q$68,AV$4-$B39+1)</f>
        <v/>
      </c>
      <c r="AW39" s="153">
        <f>$C39*INDEX(Curves!$Q$8:$Q$68,AW$4-$B39+1)</f>
        <v/>
      </c>
      <c r="AX39" s="153">
        <f>$C39*INDEX(Curves!$Q$8:$Q$68,AX$4-$B39+1)</f>
        <v/>
      </c>
      <c r="AY39" s="153">
        <f>$C39*INDEX(Curves!$Q$8:$Q$68,AY$4-$B39+1)</f>
        <v/>
      </c>
      <c r="AZ39" s="153">
        <f>$C39*INDEX(Curves!$Q$8:$Q$68,AZ$4-$B39+1)</f>
        <v/>
      </c>
      <c r="BA39" s="153">
        <f>$C39*INDEX(Curves!$Q$8:$Q$68,BA$4-$B39+1)</f>
        <v/>
      </c>
      <c r="BB39" s="153">
        <f>$C39*INDEX(Curves!$Q$8:$Q$68,BB$4-$B39+1)</f>
        <v/>
      </c>
      <c r="BC39" s="153">
        <f>$C39*INDEX(Curves!$Q$8:$Q$68,BC$4-$B39+1)</f>
        <v/>
      </c>
      <c r="BD39" s="153">
        <f>$C39*INDEX(Curves!$Q$8:$Q$68,BD$4-$B39+1)</f>
        <v/>
      </c>
      <c r="BE39" s="153">
        <f>$C39*INDEX(Curves!$Q$8:$Q$68,BE$4-$B39+1)</f>
        <v/>
      </c>
      <c r="BF39" s="153">
        <f>$C39*INDEX(Curves!$Q$8:$Q$68,BF$4-$B39+1)</f>
        <v/>
      </c>
      <c r="BG39" s="153">
        <f>$C39*INDEX(Curves!$Q$8:$Q$68,BG$4-$B39+1)</f>
        <v/>
      </c>
      <c r="BH39" s="153">
        <f>$C39*INDEX(Curves!$Q$8:$Q$68,BH$4-$B39+1)</f>
        <v/>
      </c>
      <c r="BI39" s="153">
        <f>$C39*INDEX(Curves!$Q$8:$Q$68,BI$4-$B39+1)</f>
        <v/>
      </c>
      <c r="BJ39" s="153">
        <f>$C39*INDEX(Curves!$Q$8:$Q$68,BJ$4-$B39+1)</f>
        <v/>
      </c>
      <c r="BK39" s="153">
        <f>$C39*INDEX(Curves!$Q$8:$Q$68,BK$4-$B39+1)</f>
        <v/>
      </c>
      <c r="BL39" s="153">
        <f>$C39*INDEX(Curves!$Q$8:$Q$68,BL$4-$B39+1)</f>
        <v/>
      </c>
    </row>
    <row r="40">
      <c r="A40" s="147" t="inlineStr">
        <is>
          <t>Cohort month 31</t>
        </is>
      </c>
      <c r="B40" s="147" t="n">
        <v>31</v>
      </c>
      <c r="C40" s="41">
        <f>INDEX(Ops!$E$35:$BL$35,1,$B40)</f>
        <v/>
      </c>
      <c r="AJ40" s="153">
        <f>$C40*INDEX(Curves!$Q$8:$Q$68,AJ$4-$B40+1)</f>
        <v/>
      </c>
      <c r="AK40" s="153">
        <f>$C40*INDEX(Curves!$Q$8:$Q$68,AK$4-$B40+1)</f>
        <v/>
      </c>
      <c r="AL40" s="153">
        <f>$C40*INDEX(Curves!$Q$8:$Q$68,AL$4-$B40+1)</f>
        <v/>
      </c>
      <c r="AM40" s="153">
        <f>$C40*INDEX(Curves!$Q$8:$Q$68,AM$4-$B40+1)</f>
        <v/>
      </c>
      <c r="AN40" s="153">
        <f>$C40*INDEX(Curves!$Q$8:$Q$68,AN$4-$B40+1)</f>
        <v/>
      </c>
      <c r="AO40" s="153">
        <f>$C40*INDEX(Curves!$Q$8:$Q$68,AO$4-$B40+1)</f>
        <v/>
      </c>
      <c r="AP40" s="153">
        <f>$C40*INDEX(Curves!$Q$8:$Q$68,AP$4-$B40+1)</f>
        <v/>
      </c>
      <c r="AQ40" s="153">
        <f>$C40*INDEX(Curves!$Q$8:$Q$68,AQ$4-$B40+1)</f>
        <v/>
      </c>
      <c r="AR40" s="153">
        <f>$C40*INDEX(Curves!$Q$8:$Q$68,AR$4-$B40+1)</f>
        <v/>
      </c>
      <c r="AS40" s="153">
        <f>$C40*INDEX(Curves!$Q$8:$Q$68,AS$4-$B40+1)</f>
        <v/>
      </c>
      <c r="AT40" s="153">
        <f>$C40*INDEX(Curves!$Q$8:$Q$68,AT$4-$B40+1)</f>
        <v/>
      </c>
      <c r="AU40" s="153">
        <f>$C40*INDEX(Curves!$Q$8:$Q$68,AU$4-$B40+1)</f>
        <v/>
      </c>
      <c r="AV40" s="153">
        <f>$C40*INDEX(Curves!$Q$8:$Q$68,AV$4-$B40+1)</f>
        <v/>
      </c>
      <c r="AW40" s="153">
        <f>$C40*INDEX(Curves!$Q$8:$Q$68,AW$4-$B40+1)</f>
        <v/>
      </c>
      <c r="AX40" s="153">
        <f>$C40*INDEX(Curves!$Q$8:$Q$68,AX$4-$B40+1)</f>
        <v/>
      </c>
      <c r="AY40" s="153">
        <f>$C40*INDEX(Curves!$Q$8:$Q$68,AY$4-$B40+1)</f>
        <v/>
      </c>
      <c r="AZ40" s="153">
        <f>$C40*INDEX(Curves!$Q$8:$Q$68,AZ$4-$B40+1)</f>
        <v/>
      </c>
      <c r="BA40" s="153">
        <f>$C40*INDEX(Curves!$Q$8:$Q$68,BA$4-$B40+1)</f>
        <v/>
      </c>
      <c r="BB40" s="153">
        <f>$C40*INDEX(Curves!$Q$8:$Q$68,BB$4-$B40+1)</f>
        <v/>
      </c>
      <c r="BC40" s="153">
        <f>$C40*INDEX(Curves!$Q$8:$Q$68,BC$4-$B40+1)</f>
        <v/>
      </c>
      <c r="BD40" s="153">
        <f>$C40*INDEX(Curves!$Q$8:$Q$68,BD$4-$B40+1)</f>
        <v/>
      </c>
      <c r="BE40" s="153">
        <f>$C40*INDEX(Curves!$Q$8:$Q$68,BE$4-$B40+1)</f>
        <v/>
      </c>
      <c r="BF40" s="153">
        <f>$C40*INDEX(Curves!$Q$8:$Q$68,BF$4-$B40+1)</f>
        <v/>
      </c>
      <c r="BG40" s="153">
        <f>$C40*INDEX(Curves!$Q$8:$Q$68,BG$4-$B40+1)</f>
        <v/>
      </c>
      <c r="BH40" s="153">
        <f>$C40*INDEX(Curves!$Q$8:$Q$68,BH$4-$B40+1)</f>
        <v/>
      </c>
      <c r="BI40" s="153">
        <f>$C40*INDEX(Curves!$Q$8:$Q$68,BI$4-$B40+1)</f>
        <v/>
      </c>
      <c r="BJ40" s="153">
        <f>$C40*INDEX(Curves!$Q$8:$Q$68,BJ$4-$B40+1)</f>
        <v/>
      </c>
      <c r="BK40" s="153">
        <f>$C40*INDEX(Curves!$Q$8:$Q$68,BK$4-$B40+1)</f>
        <v/>
      </c>
      <c r="BL40" s="153">
        <f>$C40*INDEX(Curves!$Q$8:$Q$68,BL$4-$B40+1)</f>
        <v/>
      </c>
    </row>
    <row r="41">
      <c r="A41" s="147" t="inlineStr">
        <is>
          <t>Cohort month 32</t>
        </is>
      </c>
      <c r="B41" s="147" t="n">
        <v>32</v>
      </c>
      <c r="C41" s="41">
        <f>INDEX(Ops!$E$35:$BL$35,1,$B41)</f>
        <v/>
      </c>
      <c r="AK41" s="153">
        <f>$C41*INDEX(Curves!$Q$8:$Q$68,AK$4-$B41+1)</f>
        <v/>
      </c>
      <c r="AL41" s="153">
        <f>$C41*INDEX(Curves!$Q$8:$Q$68,AL$4-$B41+1)</f>
        <v/>
      </c>
      <c r="AM41" s="153">
        <f>$C41*INDEX(Curves!$Q$8:$Q$68,AM$4-$B41+1)</f>
        <v/>
      </c>
      <c r="AN41" s="153">
        <f>$C41*INDEX(Curves!$Q$8:$Q$68,AN$4-$B41+1)</f>
        <v/>
      </c>
      <c r="AO41" s="153">
        <f>$C41*INDEX(Curves!$Q$8:$Q$68,AO$4-$B41+1)</f>
        <v/>
      </c>
      <c r="AP41" s="153">
        <f>$C41*INDEX(Curves!$Q$8:$Q$68,AP$4-$B41+1)</f>
        <v/>
      </c>
      <c r="AQ41" s="153">
        <f>$C41*INDEX(Curves!$Q$8:$Q$68,AQ$4-$B41+1)</f>
        <v/>
      </c>
      <c r="AR41" s="153">
        <f>$C41*INDEX(Curves!$Q$8:$Q$68,AR$4-$B41+1)</f>
        <v/>
      </c>
      <c r="AS41" s="153">
        <f>$C41*INDEX(Curves!$Q$8:$Q$68,AS$4-$B41+1)</f>
        <v/>
      </c>
      <c r="AT41" s="153">
        <f>$C41*INDEX(Curves!$Q$8:$Q$68,AT$4-$B41+1)</f>
        <v/>
      </c>
      <c r="AU41" s="153">
        <f>$C41*INDEX(Curves!$Q$8:$Q$68,AU$4-$B41+1)</f>
        <v/>
      </c>
      <c r="AV41" s="153">
        <f>$C41*INDEX(Curves!$Q$8:$Q$68,AV$4-$B41+1)</f>
        <v/>
      </c>
      <c r="AW41" s="153">
        <f>$C41*INDEX(Curves!$Q$8:$Q$68,AW$4-$B41+1)</f>
        <v/>
      </c>
      <c r="AX41" s="153">
        <f>$C41*INDEX(Curves!$Q$8:$Q$68,AX$4-$B41+1)</f>
        <v/>
      </c>
      <c r="AY41" s="153">
        <f>$C41*INDEX(Curves!$Q$8:$Q$68,AY$4-$B41+1)</f>
        <v/>
      </c>
      <c r="AZ41" s="153">
        <f>$C41*INDEX(Curves!$Q$8:$Q$68,AZ$4-$B41+1)</f>
        <v/>
      </c>
      <c r="BA41" s="153">
        <f>$C41*INDEX(Curves!$Q$8:$Q$68,BA$4-$B41+1)</f>
        <v/>
      </c>
      <c r="BB41" s="153">
        <f>$C41*INDEX(Curves!$Q$8:$Q$68,BB$4-$B41+1)</f>
        <v/>
      </c>
      <c r="BC41" s="153">
        <f>$C41*INDEX(Curves!$Q$8:$Q$68,BC$4-$B41+1)</f>
        <v/>
      </c>
      <c r="BD41" s="153">
        <f>$C41*INDEX(Curves!$Q$8:$Q$68,BD$4-$B41+1)</f>
        <v/>
      </c>
      <c r="BE41" s="153">
        <f>$C41*INDEX(Curves!$Q$8:$Q$68,BE$4-$B41+1)</f>
        <v/>
      </c>
      <c r="BF41" s="153">
        <f>$C41*INDEX(Curves!$Q$8:$Q$68,BF$4-$B41+1)</f>
        <v/>
      </c>
      <c r="BG41" s="153">
        <f>$C41*INDEX(Curves!$Q$8:$Q$68,BG$4-$B41+1)</f>
        <v/>
      </c>
      <c r="BH41" s="153">
        <f>$C41*INDEX(Curves!$Q$8:$Q$68,BH$4-$B41+1)</f>
        <v/>
      </c>
      <c r="BI41" s="153">
        <f>$C41*INDEX(Curves!$Q$8:$Q$68,BI$4-$B41+1)</f>
        <v/>
      </c>
      <c r="BJ41" s="153">
        <f>$C41*INDEX(Curves!$Q$8:$Q$68,BJ$4-$B41+1)</f>
        <v/>
      </c>
      <c r="BK41" s="153">
        <f>$C41*INDEX(Curves!$Q$8:$Q$68,BK$4-$B41+1)</f>
        <v/>
      </c>
      <c r="BL41" s="153">
        <f>$C41*INDEX(Curves!$Q$8:$Q$68,BL$4-$B41+1)</f>
        <v/>
      </c>
    </row>
    <row r="42">
      <c r="A42" s="147" t="inlineStr">
        <is>
          <t>Cohort month 33</t>
        </is>
      </c>
      <c r="B42" s="147" t="n">
        <v>33</v>
      </c>
      <c r="C42" s="41">
        <f>INDEX(Ops!$E$35:$BL$35,1,$B42)</f>
        <v/>
      </c>
      <c r="AL42" s="153">
        <f>$C42*INDEX(Curves!$Q$8:$Q$68,AL$4-$B42+1)</f>
        <v/>
      </c>
      <c r="AM42" s="153">
        <f>$C42*INDEX(Curves!$Q$8:$Q$68,AM$4-$B42+1)</f>
        <v/>
      </c>
      <c r="AN42" s="153">
        <f>$C42*INDEX(Curves!$Q$8:$Q$68,AN$4-$B42+1)</f>
        <v/>
      </c>
      <c r="AO42" s="153">
        <f>$C42*INDEX(Curves!$Q$8:$Q$68,AO$4-$B42+1)</f>
        <v/>
      </c>
      <c r="AP42" s="153">
        <f>$C42*INDEX(Curves!$Q$8:$Q$68,AP$4-$B42+1)</f>
        <v/>
      </c>
      <c r="AQ42" s="153">
        <f>$C42*INDEX(Curves!$Q$8:$Q$68,AQ$4-$B42+1)</f>
        <v/>
      </c>
      <c r="AR42" s="153">
        <f>$C42*INDEX(Curves!$Q$8:$Q$68,AR$4-$B42+1)</f>
        <v/>
      </c>
      <c r="AS42" s="153">
        <f>$C42*INDEX(Curves!$Q$8:$Q$68,AS$4-$B42+1)</f>
        <v/>
      </c>
      <c r="AT42" s="153">
        <f>$C42*INDEX(Curves!$Q$8:$Q$68,AT$4-$B42+1)</f>
        <v/>
      </c>
      <c r="AU42" s="153">
        <f>$C42*INDEX(Curves!$Q$8:$Q$68,AU$4-$B42+1)</f>
        <v/>
      </c>
      <c r="AV42" s="153">
        <f>$C42*INDEX(Curves!$Q$8:$Q$68,AV$4-$B42+1)</f>
        <v/>
      </c>
      <c r="AW42" s="153">
        <f>$C42*INDEX(Curves!$Q$8:$Q$68,AW$4-$B42+1)</f>
        <v/>
      </c>
      <c r="AX42" s="153">
        <f>$C42*INDEX(Curves!$Q$8:$Q$68,AX$4-$B42+1)</f>
        <v/>
      </c>
      <c r="AY42" s="153">
        <f>$C42*INDEX(Curves!$Q$8:$Q$68,AY$4-$B42+1)</f>
        <v/>
      </c>
      <c r="AZ42" s="153">
        <f>$C42*INDEX(Curves!$Q$8:$Q$68,AZ$4-$B42+1)</f>
        <v/>
      </c>
      <c r="BA42" s="153">
        <f>$C42*INDEX(Curves!$Q$8:$Q$68,BA$4-$B42+1)</f>
        <v/>
      </c>
      <c r="BB42" s="153">
        <f>$C42*INDEX(Curves!$Q$8:$Q$68,BB$4-$B42+1)</f>
        <v/>
      </c>
      <c r="BC42" s="153">
        <f>$C42*INDEX(Curves!$Q$8:$Q$68,BC$4-$B42+1)</f>
        <v/>
      </c>
      <c r="BD42" s="153">
        <f>$C42*INDEX(Curves!$Q$8:$Q$68,BD$4-$B42+1)</f>
        <v/>
      </c>
      <c r="BE42" s="153">
        <f>$C42*INDEX(Curves!$Q$8:$Q$68,BE$4-$B42+1)</f>
        <v/>
      </c>
      <c r="BF42" s="153">
        <f>$C42*INDEX(Curves!$Q$8:$Q$68,BF$4-$B42+1)</f>
        <v/>
      </c>
      <c r="BG42" s="153">
        <f>$C42*INDEX(Curves!$Q$8:$Q$68,BG$4-$B42+1)</f>
        <v/>
      </c>
      <c r="BH42" s="153">
        <f>$C42*INDEX(Curves!$Q$8:$Q$68,BH$4-$B42+1)</f>
        <v/>
      </c>
      <c r="BI42" s="153">
        <f>$C42*INDEX(Curves!$Q$8:$Q$68,BI$4-$B42+1)</f>
        <v/>
      </c>
      <c r="BJ42" s="153">
        <f>$C42*INDEX(Curves!$Q$8:$Q$68,BJ$4-$B42+1)</f>
        <v/>
      </c>
      <c r="BK42" s="153">
        <f>$C42*INDEX(Curves!$Q$8:$Q$68,BK$4-$B42+1)</f>
        <v/>
      </c>
      <c r="BL42" s="153">
        <f>$C42*INDEX(Curves!$Q$8:$Q$68,BL$4-$B42+1)</f>
        <v/>
      </c>
    </row>
    <row r="43">
      <c r="A43" s="147" t="inlineStr">
        <is>
          <t>Cohort month 34</t>
        </is>
      </c>
      <c r="B43" s="147" t="n">
        <v>34</v>
      </c>
      <c r="C43" s="41">
        <f>INDEX(Ops!$E$35:$BL$35,1,$B43)</f>
        <v/>
      </c>
      <c r="AM43" s="153">
        <f>$C43*INDEX(Curves!$Q$8:$Q$68,AM$4-$B43+1)</f>
        <v/>
      </c>
      <c r="AN43" s="153">
        <f>$C43*INDEX(Curves!$Q$8:$Q$68,AN$4-$B43+1)</f>
        <v/>
      </c>
      <c r="AO43" s="153">
        <f>$C43*INDEX(Curves!$Q$8:$Q$68,AO$4-$B43+1)</f>
        <v/>
      </c>
      <c r="AP43" s="153">
        <f>$C43*INDEX(Curves!$Q$8:$Q$68,AP$4-$B43+1)</f>
        <v/>
      </c>
      <c r="AQ43" s="153">
        <f>$C43*INDEX(Curves!$Q$8:$Q$68,AQ$4-$B43+1)</f>
        <v/>
      </c>
      <c r="AR43" s="153">
        <f>$C43*INDEX(Curves!$Q$8:$Q$68,AR$4-$B43+1)</f>
        <v/>
      </c>
      <c r="AS43" s="153">
        <f>$C43*INDEX(Curves!$Q$8:$Q$68,AS$4-$B43+1)</f>
        <v/>
      </c>
      <c r="AT43" s="153">
        <f>$C43*INDEX(Curves!$Q$8:$Q$68,AT$4-$B43+1)</f>
        <v/>
      </c>
      <c r="AU43" s="153">
        <f>$C43*INDEX(Curves!$Q$8:$Q$68,AU$4-$B43+1)</f>
        <v/>
      </c>
      <c r="AV43" s="153">
        <f>$C43*INDEX(Curves!$Q$8:$Q$68,AV$4-$B43+1)</f>
        <v/>
      </c>
      <c r="AW43" s="153">
        <f>$C43*INDEX(Curves!$Q$8:$Q$68,AW$4-$B43+1)</f>
        <v/>
      </c>
      <c r="AX43" s="153">
        <f>$C43*INDEX(Curves!$Q$8:$Q$68,AX$4-$B43+1)</f>
        <v/>
      </c>
      <c r="AY43" s="153">
        <f>$C43*INDEX(Curves!$Q$8:$Q$68,AY$4-$B43+1)</f>
        <v/>
      </c>
      <c r="AZ43" s="153">
        <f>$C43*INDEX(Curves!$Q$8:$Q$68,AZ$4-$B43+1)</f>
        <v/>
      </c>
      <c r="BA43" s="153">
        <f>$C43*INDEX(Curves!$Q$8:$Q$68,BA$4-$B43+1)</f>
        <v/>
      </c>
      <c r="BB43" s="153">
        <f>$C43*INDEX(Curves!$Q$8:$Q$68,BB$4-$B43+1)</f>
        <v/>
      </c>
      <c r="BC43" s="153">
        <f>$C43*INDEX(Curves!$Q$8:$Q$68,BC$4-$B43+1)</f>
        <v/>
      </c>
      <c r="BD43" s="153">
        <f>$C43*INDEX(Curves!$Q$8:$Q$68,BD$4-$B43+1)</f>
        <v/>
      </c>
      <c r="BE43" s="153">
        <f>$C43*INDEX(Curves!$Q$8:$Q$68,BE$4-$B43+1)</f>
        <v/>
      </c>
      <c r="BF43" s="153">
        <f>$C43*INDEX(Curves!$Q$8:$Q$68,BF$4-$B43+1)</f>
        <v/>
      </c>
      <c r="BG43" s="153">
        <f>$C43*INDEX(Curves!$Q$8:$Q$68,BG$4-$B43+1)</f>
        <v/>
      </c>
      <c r="BH43" s="153">
        <f>$C43*INDEX(Curves!$Q$8:$Q$68,BH$4-$B43+1)</f>
        <v/>
      </c>
      <c r="BI43" s="153">
        <f>$C43*INDEX(Curves!$Q$8:$Q$68,BI$4-$B43+1)</f>
        <v/>
      </c>
      <c r="BJ43" s="153">
        <f>$C43*INDEX(Curves!$Q$8:$Q$68,BJ$4-$B43+1)</f>
        <v/>
      </c>
      <c r="BK43" s="153">
        <f>$C43*INDEX(Curves!$Q$8:$Q$68,BK$4-$B43+1)</f>
        <v/>
      </c>
      <c r="BL43" s="153">
        <f>$C43*INDEX(Curves!$Q$8:$Q$68,BL$4-$B43+1)</f>
        <v/>
      </c>
    </row>
    <row r="44">
      <c r="A44" s="147" t="inlineStr">
        <is>
          <t>Cohort month 35</t>
        </is>
      </c>
      <c r="B44" s="147" t="n">
        <v>35</v>
      </c>
      <c r="C44" s="41">
        <f>INDEX(Ops!$E$35:$BL$35,1,$B44)</f>
        <v/>
      </c>
      <c r="AN44" s="153">
        <f>$C44*INDEX(Curves!$Q$8:$Q$68,AN$4-$B44+1)</f>
        <v/>
      </c>
      <c r="AO44" s="153">
        <f>$C44*INDEX(Curves!$Q$8:$Q$68,AO$4-$B44+1)</f>
        <v/>
      </c>
      <c r="AP44" s="153">
        <f>$C44*INDEX(Curves!$Q$8:$Q$68,AP$4-$B44+1)</f>
        <v/>
      </c>
      <c r="AQ44" s="153">
        <f>$C44*INDEX(Curves!$Q$8:$Q$68,AQ$4-$B44+1)</f>
        <v/>
      </c>
      <c r="AR44" s="153">
        <f>$C44*INDEX(Curves!$Q$8:$Q$68,AR$4-$B44+1)</f>
        <v/>
      </c>
      <c r="AS44" s="153">
        <f>$C44*INDEX(Curves!$Q$8:$Q$68,AS$4-$B44+1)</f>
        <v/>
      </c>
      <c r="AT44" s="153">
        <f>$C44*INDEX(Curves!$Q$8:$Q$68,AT$4-$B44+1)</f>
        <v/>
      </c>
      <c r="AU44" s="153">
        <f>$C44*INDEX(Curves!$Q$8:$Q$68,AU$4-$B44+1)</f>
        <v/>
      </c>
      <c r="AV44" s="153">
        <f>$C44*INDEX(Curves!$Q$8:$Q$68,AV$4-$B44+1)</f>
        <v/>
      </c>
      <c r="AW44" s="153">
        <f>$C44*INDEX(Curves!$Q$8:$Q$68,AW$4-$B44+1)</f>
        <v/>
      </c>
      <c r="AX44" s="153">
        <f>$C44*INDEX(Curves!$Q$8:$Q$68,AX$4-$B44+1)</f>
        <v/>
      </c>
      <c r="AY44" s="153">
        <f>$C44*INDEX(Curves!$Q$8:$Q$68,AY$4-$B44+1)</f>
        <v/>
      </c>
      <c r="AZ44" s="153">
        <f>$C44*INDEX(Curves!$Q$8:$Q$68,AZ$4-$B44+1)</f>
        <v/>
      </c>
      <c r="BA44" s="153">
        <f>$C44*INDEX(Curves!$Q$8:$Q$68,BA$4-$B44+1)</f>
        <v/>
      </c>
      <c r="BB44" s="153">
        <f>$C44*INDEX(Curves!$Q$8:$Q$68,BB$4-$B44+1)</f>
        <v/>
      </c>
      <c r="BC44" s="153">
        <f>$C44*INDEX(Curves!$Q$8:$Q$68,BC$4-$B44+1)</f>
        <v/>
      </c>
      <c r="BD44" s="153">
        <f>$C44*INDEX(Curves!$Q$8:$Q$68,BD$4-$B44+1)</f>
        <v/>
      </c>
      <c r="BE44" s="153">
        <f>$C44*INDEX(Curves!$Q$8:$Q$68,BE$4-$B44+1)</f>
        <v/>
      </c>
      <c r="BF44" s="153">
        <f>$C44*INDEX(Curves!$Q$8:$Q$68,BF$4-$B44+1)</f>
        <v/>
      </c>
      <c r="BG44" s="153">
        <f>$C44*INDEX(Curves!$Q$8:$Q$68,BG$4-$B44+1)</f>
        <v/>
      </c>
      <c r="BH44" s="153">
        <f>$C44*INDEX(Curves!$Q$8:$Q$68,BH$4-$B44+1)</f>
        <v/>
      </c>
      <c r="BI44" s="153">
        <f>$C44*INDEX(Curves!$Q$8:$Q$68,BI$4-$B44+1)</f>
        <v/>
      </c>
      <c r="BJ44" s="153">
        <f>$C44*INDEX(Curves!$Q$8:$Q$68,BJ$4-$B44+1)</f>
        <v/>
      </c>
      <c r="BK44" s="153">
        <f>$C44*INDEX(Curves!$Q$8:$Q$68,BK$4-$B44+1)</f>
        <v/>
      </c>
      <c r="BL44" s="153">
        <f>$C44*INDEX(Curves!$Q$8:$Q$68,BL$4-$B44+1)</f>
        <v/>
      </c>
    </row>
    <row r="45">
      <c r="A45" s="147" t="inlineStr">
        <is>
          <t>Cohort month 36</t>
        </is>
      </c>
      <c r="B45" s="147" t="n">
        <v>36</v>
      </c>
      <c r="C45" s="41">
        <f>INDEX(Ops!$E$35:$BL$35,1,$B45)</f>
        <v/>
      </c>
      <c r="AO45" s="153">
        <f>$C45*INDEX(Curves!$Q$8:$Q$68,AO$4-$B45+1)</f>
        <v/>
      </c>
      <c r="AP45" s="153">
        <f>$C45*INDEX(Curves!$Q$8:$Q$68,AP$4-$B45+1)</f>
        <v/>
      </c>
      <c r="AQ45" s="153">
        <f>$C45*INDEX(Curves!$Q$8:$Q$68,AQ$4-$B45+1)</f>
        <v/>
      </c>
      <c r="AR45" s="153">
        <f>$C45*INDEX(Curves!$Q$8:$Q$68,AR$4-$B45+1)</f>
        <v/>
      </c>
      <c r="AS45" s="153">
        <f>$C45*INDEX(Curves!$Q$8:$Q$68,AS$4-$B45+1)</f>
        <v/>
      </c>
      <c r="AT45" s="153">
        <f>$C45*INDEX(Curves!$Q$8:$Q$68,AT$4-$B45+1)</f>
        <v/>
      </c>
      <c r="AU45" s="153">
        <f>$C45*INDEX(Curves!$Q$8:$Q$68,AU$4-$B45+1)</f>
        <v/>
      </c>
      <c r="AV45" s="153">
        <f>$C45*INDEX(Curves!$Q$8:$Q$68,AV$4-$B45+1)</f>
        <v/>
      </c>
      <c r="AW45" s="153">
        <f>$C45*INDEX(Curves!$Q$8:$Q$68,AW$4-$B45+1)</f>
        <v/>
      </c>
      <c r="AX45" s="153">
        <f>$C45*INDEX(Curves!$Q$8:$Q$68,AX$4-$B45+1)</f>
        <v/>
      </c>
      <c r="AY45" s="153">
        <f>$C45*INDEX(Curves!$Q$8:$Q$68,AY$4-$B45+1)</f>
        <v/>
      </c>
      <c r="AZ45" s="153">
        <f>$C45*INDEX(Curves!$Q$8:$Q$68,AZ$4-$B45+1)</f>
        <v/>
      </c>
      <c r="BA45" s="153">
        <f>$C45*INDEX(Curves!$Q$8:$Q$68,BA$4-$B45+1)</f>
        <v/>
      </c>
      <c r="BB45" s="153">
        <f>$C45*INDEX(Curves!$Q$8:$Q$68,BB$4-$B45+1)</f>
        <v/>
      </c>
      <c r="BC45" s="153">
        <f>$C45*INDEX(Curves!$Q$8:$Q$68,BC$4-$B45+1)</f>
        <v/>
      </c>
      <c r="BD45" s="153">
        <f>$C45*INDEX(Curves!$Q$8:$Q$68,BD$4-$B45+1)</f>
        <v/>
      </c>
      <c r="BE45" s="153">
        <f>$C45*INDEX(Curves!$Q$8:$Q$68,BE$4-$B45+1)</f>
        <v/>
      </c>
      <c r="BF45" s="153">
        <f>$C45*INDEX(Curves!$Q$8:$Q$68,BF$4-$B45+1)</f>
        <v/>
      </c>
      <c r="BG45" s="153">
        <f>$C45*INDEX(Curves!$Q$8:$Q$68,BG$4-$B45+1)</f>
        <v/>
      </c>
      <c r="BH45" s="153">
        <f>$C45*INDEX(Curves!$Q$8:$Q$68,BH$4-$B45+1)</f>
        <v/>
      </c>
      <c r="BI45" s="153">
        <f>$C45*INDEX(Curves!$Q$8:$Q$68,BI$4-$B45+1)</f>
        <v/>
      </c>
      <c r="BJ45" s="153">
        <f>$C45*INDEX(Curves!$Q$8:$Q$68,BJ$4-$B45+1)</f>
        <v/>
      </c>
      <c r="BK45" s="153">
        <f>$C45*INDEX(Curves!$Q$8:$Q$68,BK$4-$B45+1)</f>
        <v/>
      </c>
      <c r="BL45" s="153">
        <f>$C45*INDEX(Curves!$Q$8:$Q$68,BL$4-$B45+1)</f>
        <v/>
      </c>
    </row>
    <row r="46">
      <c r="A46" s="147" t="inlineStr">
        <is>
          <t>Cohort month 37</t>
        </is>
      </c>
      <c r="B46" s="147" t="n">
        <v>37</v>
      </c>
      <c r="C46" s="41">
        <f>INDEX(Ops!$E$35:$BL$35,1,$B46)</f>
        <v/>
      </c>
      <c r="AP46" s="153">
        <f>$C46*INDEX(Curves!$Q$8:$Q$68,AP$4-$B46+1)</f>
        <v/>
      </c>
      <c r="AQ46" s="153">
        <f>$C46*INDEX(Curves!$Q$8:$Q$68,AQ$4-$B46+1)</f>
        <v/>
      </c>
      <c r="AR46" s="153">
        <f>$C46*INDEX(Curves!$Q$8:$Q$68,AR$4-$B46+1)</f>
        <v/>
      </c>
      <c r="AS46" s="153">
        <f>$C46*INDEX(Curves!$Q$8:$Q$68,AS$4-$B46+1)</f>
        <v/>
      </c>
      <c r="AT46" s="153">
        <f>$C46*INDEX(Curves!$Q$8:$Q$68,AT$4-$B46+1)</f>
        <v/>
      </c>
      <c r="AU46" s="153">
        <f>$C46*INDEX(Curves!$Q$8:$Q$68,AU$4-$B46+1)</f>
        <v/>
      </c>
      <c r="AV46" s="153">
        <f>$C46*INDEX(Curves!$Q$8:$Q$68,AV$4-$B46+1)</f>
        <v/>
      </c>
      <c r="AW46" s="153">
        <f>$C46*INDEX(Curves!$Q$8:$Q$68,AW$4-$B46+1)</f>
        <v/>
      </c>
      <c r="AX46" s="153">
        <f>$C46*INDEX(Curves!$Q$8:$Q$68,AX$4-$B46+1)</f>
        <v/>
      </c>
      <c r="AY46" s="153">
        <f>$C46*INDEX(Curves!$Q$8:$Q$68,AY$4-$B46+1)</f>
        <v/>
      </c>
      <c r="AZ46" s="153">
        <f>$C46*INDEX(Curves!$Q$8:$Q$68,AZ$4-$B46+1)</f>
        <v/>
      </c>
      <c r="BA46" s="153">
        <f>$C46*INDEX(Curves!$Q$8:$Q$68,BA$4-$B46+1)</f>
        <v/>
      </c>
      <c r="BB46" s="153">
        <f>$C46*INDEX(Curves!$Q$8:$Q$68,BB$4-$B46+1)</f>
        <v/>
      </c>
      <c r="BC46" s="153">
        <f>$C46*INDEX(Curves!$Q$8:$Q$68,BC$4-$B46+1)</f>
        <v/>
      </c>
      <c r="BD46" s="153">
        <f>$C46*INDEX(Curves!$Q$8:$Q$68,BD$4-$B46+1)</f>
        <v/>
      </c>
      <c r="BE46" s="153">
        <f>$C46*INDEX(Curves!$Q$8:$Q$68,BE$4-$B46+1)</f>
        <v/>
      </c>
      <c r="BF46" s="153">
        <f>$C46*INDEX(Curves!$Q$8:$Q$68,BF$4-$B46+1)</f>
        <v/>
      </c>
      <c r="BG46" s="153">
        <f>$C46*INDEX(Curves!$Q$8:$Q$68,BG$4-$B46+1)</f>
        <v/>
      </c>
      <c r="BH46" s="153">
        <f>$C46*INDEX(Curves!$Q$8:$Q$68,BH$4-$B46+1)</f>
        <v/>
      </c>
      <c r="BI46" s="153">
        <f>$C46*INDEX(Curves!$Q$8:$Q$68,BI$4-$B46+1)</f>
        <v/>
      </c>
      <c r="BJ46" s="153">
        <f>$C46*INDEX(Curves!$Q$8:$Q$68,BJ$4-$B46+1)</f>
        <v/>
      </c>
      <c r="BK46" s="153">
        <f>$C46*INDEX(Curves!$Q$8:$Q$68,BK$4-$B46+1)</f>
        <v/>
      </c>
      <c r="BL46" s="153">
        <f>$C46*INDEX(Curves!$Q$8:$Q$68,BL$4-$B46+1)</f>
        <v/>
      </c>
    </row>
    <row r="47">
      <c r="A47" s="147" t="inlineStr">
        <is>
          <t>Cohort month 38</t>
        </is>
      </c>
      <c r="B47" s="147" t="n">
        <v>38</v>
      </c>
      <c r="C47" s="41">
        <f>INDEX(Ops!$E$35:$BL$35,1,$B47)</f>
        <v/>
      </c>
      <c r="AQ47" s="153">
        <f>$C47*INDEX(Curves!$Q$8:$Q$68,AQ$4-$B47+1)</f>
        <v/>
      </c>
      <c r="AR47" s="153">
        <f>$C47*INDEX(Curves!$Q$8:$Q$68,AR$4-$B47+1)</f>
        <v/>
      </c>
      <c r="AS47" s="153">
        <f>$C47*INDEX(Curves!$Q$8:$Q$68,AS$4-$B47+1)</f>
        <v/>
      </c>
      <c r="AT47" s="153">
        <f>$C47*INDEX(Curves!$Q$8:$Q$68,AT$4-$B47+1)</f>
        <v/>
      </c>
      <c r="AU47" s="153">
        <f>$C47*INDEX(Curves!$Q$8:$Q$68,AU$4-$B47+1)</f>
        <v/>
      </c>
      <c r="AV47" s="153">
        <f>$C47*INDEX(Curves!$Q$8:$Q$68,AV$4-$B47+1)</f>
        <v/>
      </c>
      <c r="AW47" s="153">
        <f>$C47*INDEX(Curves!$Q$8:$Q$68,AW$4-$B47+1)</f>
        <v/>
      </c>
      <c r="AX47" s="153">
        <f>$C47*INDEX(Curves!$Q$8:$Q$68,AX$4-$B47+1)</f>
        <v/>
      </c>
      <c r="AY47" s="153">
        <f>$C47*INDEX(Curves!$Q$8:$Q$68,AY$4-$B47+1)</f>
        <v/>
      </c>
      <c r="AZ47" s="153">
        <f>$C47*INDEX(Curves!$Q$8:$Q$68,AZ$4-$B47+1)</f>
        <v/>
      </c>
      <c r="BA47" s="153">
        <f>$C47*INDEX(Curves!$Q$8:$Q$68,BA$4-$B47+1)</f>
        <v/>
      </c>
      <c r="BB47" s="153">
        <f>$C47*INDEX(Curves!$Q$8:$Q$68,BB$4-$B47+1)</f>
        <v/>
      </c>
      <c r="BC47" s="153">
        <f>$C47*INDEX(Curves!$Q$8:$Q$68,BC$4-$B47+1)</f>
        <v/>
      </c>
      <c r="BD47" s="153">
        <f>$C47*INDEX(Curves!$Q$8:$Q$68,BD$4-$B47+1)</f>
        <v/>
      </c>
      <c r="BE47" s="153">
        <f>$C47*INDEX(Curves!$Q$8:$Q$68,BE$4-$B47+1)</f>
        <v/>
      </c>
      <c r="BF47" s="153">
        <f>$C47*INDEX(Curves!$Q$8:$Q$68,BF$4-$B47+1)</f>
        <v/>
      </c>
      <c r="BG47" s="153">
        <f>$C47*INDEX(Curves!$Q$8:$Q$68,BG$4-$B47+1)</f>
        <v/>
      </c>
      <c r="BH47" s="153">
        <f>$C47*INDEX(Curves!$Q$8:$Q$68,BH$4-$B47+1)</f>
        <v/>
      </c>
      <c r="BI47" s="153">
        <f>$C47*INDEX(Curves!$Q$8:$Q$68,BI$4-$B47+1)</f>
        <v/>
      </c>
      <c r="BJ47" s="153">
        <f>$C47*INDEX(Curves!$Q$8:$Q$68,BJ$4-$B47+1)</f>
        <v/>
      </c>
      <c r="BK47" s="153">
        <f>$C47*INDEX(Curves!$Q$8:$Q$68,BK$4-$B47+1)</f>
        <v/>
      </c>
      <c r="BL47" s="153">
        <f>$C47*INDEX(Curves!$Q$8:$Q$68,BL$4-$B47+1)</f>
        <v/>
      </c>
    </row>
    <row r="48">
      <c r="A48" s="147" t="inlineStr">
        <is>
          <t>Cohort month 39</t>
        </is>
      </c>
      <c r="B48" s="147" t="n">
        <v>39</v>
      </c>
      <c r="C48" s="41">
        <f>INDEX(Ops!$E$35:$BL$35,1,$B48)</f>
        <v/>
      </c>
      <c r="AR48" s="153">
        <f>$C48*INDEX(Curves!$Q$8:$Q$68,AR$4-$B48+1)</f>
        <v/>
      </c>
      <c r="AS48" s="153">
        <f>$C48*INDEX(Curves!$Q$8:$Q$68,AS$4-$B48+1)</f>
        <v/>
      </c>
      <c r="AT48" s="153">
        <f>$C48*INDEX(Curves!$Q$8:$Q$68,AT$4-$B48+1)</f>
        <v/>
      </c>
      <c r="AU48" s="153">
        <f>$C48*INDEX(Curves!$Q$8:$Q$68,AU$4-$B48+1)</f>
        <v/>
      </c>
      <c r="AV48" s="153">
        <f>$C48*INDEX(Curves!$Q$8:$Q$68,AV$4-$B48+1)</f>
        <v/>
      </c>
      <c r="AW48" s="153">
        <f>$C48*INDEX(Curves!$Q$8:$Q$68,AW$4-$B48+1)</f>
        <v/>
      </c>
      <c r="AX48" s="153">
        <f>$C48*INDEX(Curves!$Q$8:$Q$68,AX$4-$B48+1)</f>
        <v/>
      </c>
      <c r="AY48" s="153">
        <f>$C48*INDEX(Curves!$Q$8:$Q$68,AY$4-$B48+1)</f>
        <v/>
      </c>
      <c r="AZ48" s="153">
        <f>$C48*INDEX(Curves!$Q$8:$Q$68,AZ$4-$B48+1)</f>
        <v/>
      </c>
      <c r="BA48" s="153">
        <f>$C48*INDEX(Curves!$Q$8:$Q$68,BA$4-$B48+1)</f>
        <v/>
      </c>
      <c r="BB48" s="153">
        <f>$C48*INDEX(Curves!$Q$8:$Q$68,BB$4-$B48+1)</f>
        <v/>
      </c>
      <c r="BC48" s="153">
        <f>$C48*INDEX(Curves!$Q$8:$Q$68,BC$4-$B48+1)</f>
        <v/>
      </c>
      <c r="BD48" s="153">
        <f>$C48*INDEX(Curves!$Q$8:$Q$68,BD$4-$B48+1)</f>
        <v/>
      </c>
      <c r="BE48" s="153">
        <f>$C48*INDEX(Curves!$Q$8:$Q$68,BE$4-$B48+1)</f>
        <v/>
      </c>
      <c r="BF48" s="153">
        <f>$C48*INDEX(Curves!$Q$8:$Q$68,BF$4-$B48+1)</f>
        <v/>
      </c>
      <c r="BG48" s="153">
        <f>$C48*INDEX(Curves!$Q$8:$Q$68,BG$4-$B48+1)</f>
        <v/>
      </c>
      <c r="BH48" s="153">
        <f>$C48*INDEX(Curves!$Q$8:$Q$68,BH$4-$B48+1)</f>
        <v/>
      </c>
      <c r="BI48" s="153">
        <f>$C48*INDEX(Curves!$Q$8:$Q$68,BI$4-$B48+1)</f>
        <v/>
      </c>
      <c r="BJ48" s="153">
        <f>$C48*INDEX(Curves!$Q$8:$Q$68,BJ$4-$B48+1)</f>
        <v/>
      </c>
      <c r="BK48" s="153">
        <f>$C48*INDEX(Curves!$Q$8:$Q$68,BK$4-$B48+1)</f>
        <v/>
      </c>
      <c r="BL48" s="153">
        <f>$C48*INDEX(Curves!$Q$8:$Q$68,BL$4-$B48+1)</f>
        <v/>
      </c>
    </row>
    <row r="49">
      <c r="A49" s="147" t="inlineStr">
        <is>
          <t>Cohort month 40</t>
        </is>
      </c>
      <c r="B49" s="147" t="n">
        <v>40</v>
      </c>
      <c r="C49" s="41">
        <f>INDEX(Ops!$E$35:$BL$35,1,$B49)</f>
        <v/>
      </c>
      <c r="AS49" s="153">
        <f>$C49*INDEX(Curves!$Q$8:$Q$68,AS$4-$B49+1)</f>
        <v/>
      </c>
      <c r="AT49" s="153">
        <f>$C49*INDEX(Curves!$Q$8:$Q$68,AT$4-$B49+1)</f>
        <v/>
      </c>
      <c r="AU49" s="153">
        <f>$C49*INDEX(Curves!$Q$8:$Q$68,AU$4-$B49+1)</f>
        <v/>
      </c>
      <c r="AV49" s="153">
        <f>$C49*INDEX(Curves!$Q$8:$Q$68,AV$4-$B49+1)</f>
        <v/>
      </c>
      <c r="AW49" s="153">
        <f>$C49*INDEX(Curves!$Q$8:$Q$68,AW$4-$B49+1)</f>
        <v/>
      </c>
      <c r="AX49" s="153">
        <f>$C49*INDEX(Curves!$Q$8:$Q$68,AX$4-$B49+1)</f>
        <v/>
      </c>
      <c r="AY49" s="153">
        <f>$C49*INDEX(Curves!$Q$8:$Q$68,AY$4-$B49+1)</f>
        <v/>
      </c>
      <c r="AZ49" s="153">
        <f>$C49*INDEX(Curves!$Q$8:$Q$68,AZ$4-$B49+1)</f>
        <v/>
      </c>
      <c r="BA49" s="153">
        <f>$C49*INDEX(Curves!$Q$8:$Q$68,BA$4-$B49+1)</f>
        <v/>
      </c>
      <c r="BB49" s="153">
        <f>$C49*INDEX(Curves!$Q$8:$Q$68,BB$4-$B49+1)</f>
        <v/>
      </c>
      <c r="BC49" s="153">
        <f>$C49*INDEX(Curves!$Q$8:$Q$68,BC$4-$B49+1)</f>
        <v/>
      </c>
      <c r="BD49" s="153">
        <f>$C49*INDEX(Curves!$Q$8:$Q$68,BD$4-$B49+1)</f>
        <v/>
      </c>
      <c r="BE49" s="153">
        <f>$C49*INDEX(Curves!$Q$8:$Q$68,BE$4-$B49+1)</f>
        <v/>
      </c>
      <c r="BF49" s="153">
        <f>$C49*INDEX(Curves!$Q$8:$Q$68,BF$4-$B49+1)</f>
        <v/>
      </c>
      <c r="BG49" s="153">
        <f>$C49*INDEX(Curves!$Q$8:$Q$68,BG$4-$B49+1)</f>
        <v/>
      </c>
      <c r="BH49" s="153">
        <f>$C49*INDEX(Curves!$Q$8:$Q$68,BH$4-$B49+1)</f>
        <v/>
      </c>
      <c r="BI49" s="153">
        <f>$C49*INDEX(Curves!$Q$8:$Q$68,BI$4-$B49+1)</f>
        <v/>
      </c>
      <c r="BJ49" s="153">
        <f>$C49*INDEX(Curves!$Q$8:$Q$68,BJ$4-$B49+1)</f>
        <v/>
      </c>
      <c r="BK49" s="153">
        <f>$C49*INDEX(Curves!$Q$8:$Q$68,BK$4-$B49+1)</f>
        <v/>
      </c>
      <c r="BL49" s="153">
        <f>$C49*INDEX(Curves!$Q$8:$Q$68,BL$4-$B49+1)</f>
        <v/>
      </c>
    </row>
    <row r="50">
      <c r="A50" s="147" t="inlineStr">
        <is>
          <t>Cohort month 41</t>
        </is>
      </c>
      <c r="B50" s="147" t="n">
        <v>41</v>
      </c>
      <c r="C50" s="41">
        <f>INDEX(Ops!$E$35:$BL$35,1,$B50)</f>
        <v/>
      </c>
      <c r="AT50" s="153">
        <f>$C50*INDEX(Curves!$Q$8:$Q$68,AT$4-$B50+1)</f>
        <v/>
      </c>
      <c r="AU50" s="153">
        <f>$C50*INDEX(Curves!$Q$8:$Q$68,AU$4-$B50+1)</f>
        <v/>
      </c>
      <c r="AV50" s="153">
        <f>$C50*INDEX(Curves!$Q$8:$Q$68,AV$4-$B50+1)</f>
        <v/>
      </c>
      <c r="AW50" s="153">
        <f>$C50*INDEX(Curves!$Q$8:$Q$68,AW$4-$B50+1)</f>
        <v/>
      </c>
      <c r="AX50" s="153">
        <f>$C50*INDEX(Curves!$Q$8:$Q$68,AX$4-$B50+1)</f>
        <v/>
      </c>
      <c r="AY50" s="153">
        <f>$C50*INDEX(Curves!$Q$8:$Q$68,AY$4-$B50+1)</f>
        <v/>
      </c>
      <c r="AZ50" s="153">
        <f>$C50*INDEX(Curves!$Q$8:$Q$68,AZ$4-$B50+1)</f>
        <v/>
      </c>
      <c r="BA50" s="153">
        <f>$C50*INDEX(Curves!$Q$8:$Q$68,BA$4-$B50+1)</f>
        <v/>
      </c>
      <c r="BB50" s="153">
        <f>$C50*INDEX(Curves!$Q$8:$Q$68,BB$4-$B50+1)</f>
        <v/>
      </c>
      <c r="BC50" s="153">
        <f>$C50*INDEX(Curves!$Q$8:$Q$68,BC$4-$B50+1)</f>
        <v/>
      </c>
      <c r="BD50" s="153">
        <f>$C50*INDEX(Curves!$Q$8:$Q$68,BD$4-$B50+1)</f>
        <v/>
      </c>
      <c r="BE50" s="153">
        <f>$C50*INDEX(Curves!$Q$8:$Q$68,BE$4-$B50+1)</f>
        <v/>
      </c>
      <c r="BF50" s="153">
        <f>$C50*INDEX(Curves!$Q$8:$Q$68,BF$4-$B50+1)</f>
        <v/>
      </c>
      <c r="BG50" s="153">
        <f>$C50*INDEX(Curves!$Q$8:$Q$68,BG$4-$B50+1)</f>
        <v/>
      </c>
      <c r="BH50" s="153">
        <f>$C50*INDEX(Curves!$Q$8:$Q$68,BH$4-$B50+1)</f>
        <v/>
      </c>
      <c r="BI50" s="153">
        <f>$C50*INDEX(Curves!$Q$8:$Q$68,BI$4-$B50+1)</f>
        <v/>
      </c>
      <c r="BJ50" s="153">
        <f>$C50*INDEX(Curves!$Q$8:$Q$68,BJ$4-$B50+1)</f>
        <v/>
      </c>
      <c r="BK50" s="153">
        <f>$C50*INDEX(Curves!$Q$8:$Q$68,BK$4-$B50+1)</f>
        <v/>
      </c>
      <c r="BL50" s="153">
        <f>$C50*INDEX(Curves!$Q$8:$Q$68,BL$4-$B50+1)</f>
        <v/>
      </c>
    </row>
    <row r="51">
      <c r="A51" s="147" t="inlineStr">
        <is>
          <t>Cohort month 42</t>
        </is>
      </c>
      <c r="B51" s="147" t="n">
        <v>42</v>
      </c>
      <c r="C51" s="41">
        <f>INDEX(Ops!$E$35:$BL$35,1,$B51)</f>
        <v/>
      </c>
      <c r="AU51" s="153">
        <f>$C51*INDEX(Curves!$Q$8:$Q$68,AU$4-$B51+1)</f>
        <v/>
      </c>
      <c r="AV51" s="153">
        <f>$C51*INDEX(Curves!$Q$8:$Q$68,AV$4-$B51+1)</f>
        <v/>
      </c>
      <c r="AW51" s="153">
        <f>$C51*INDEX(Curves!$Q$8:$Q$68,AW$4-$B51+1)</f>
        <v/>
      </c>
      <c r="AX51" s="153">
        <f>$C51*INDEX(Curves!$Q$8:$Q$68,AX$4-$B51+1)</f>
        <v/>
      </c>
      <c r="AY51" s="153">
        <f>$C51*INDEX(Curves!$Q$8:$Q$68,AY$4-$B51+1)</f>
        <v/>
      </c>
      <c r="AZ51" s="153">
        <f>$C51*INDEX(Curves!$Q$8:$Q$68,AZ$4-$B51+1)</f>
        <v/>
      </c>
      <c r="BA51" s="153">
        <f>$C51*INDEX(Curves!$Q$8:$Q$68,BA$4-$B51+1)</f>
        <v/>
      </c>
      <c r="BB51" s="153">
        <f>$C51*INDEX(Curves!$Q$8:$Q$68,BB$4-$B51+1)</f>
        <v/>
      </c>
      <c r="BC51" s="153">
        <f>$C51*INDEX(Curves!$Q$8:$Q$68,BC$4-$B51+1)</f>
        <v/>
      </c>
      <c r="BD51" s="153">
        <f>$C51*INDEX(Curves!$Q$8:$Q$68,BD$4-$B51+1)</f>
        <v/>
      </c>
      <c r="BE51" s="153">
        <f>$C51*INDEX(Curves!$Q$8:$Q$68,BE$4-$B51+1)</f>
        <v/>
      </c>
      <c r="BF51" s="153">
        <f>$C51*INDEX(Curves!$Q$8:$Q$68,BF$4-$B51+1)</f>
        <v/>
      </c>
      <c r="BG51" s="153">
        <f>$C51*INDEX(Curves!$Q$8:$Q$68,BG$4-$B51+1)</f>
        <v/>
      </c>
      <c r="BH51" s="153">
        <f>$C51*INDEX(Curves!$Q$8:$Q$68,BH$4-$B51+1)</f>
        <v/>
      </c>
      <c r="BI51" s="153">
        <f>$C51*INDEX(Curves!$Q$8:$Q$68,BI$4-$B51+1)</f>
        <v/>
      </c>
      <c r="BJ51" s="153">
        <f>$C51*INDEX(Curves!$Q$8:$Q$68,BJ$4-$B51+1)</f>
        <v/>
      </c>
      <c r="BK51" s="153">
        <f>$C51*INDEX(Curves!$Q$8:$Q$68,BK$4-$B51+1)</f>
        <v/>
      </c>
      <c r="BL51" s="153">
        <f>$C51*INDEX(Curves!$Q$8:$Q$68,BL$4-$B51+1)</f>
        <v/>
      </c>
    </row>
    <row r="52">
      <c r="A52" s="147" t="inlineStr">
        <is>
          <t>Cohort month 43</t>
        </is>
      </c>
      <c r="B52" s="147" t="n">
        <v>43</v>
      </c>
      <c r="C52" s="41">
        <f>INDEX(Ops!$E$35:$BL$35,1,$B52)</f>
        <v/>
      </c>
      <c r="AV52" s="153">
        <f>$C52*INDEX(Curves!$Q$8:$Q$68,AV$4-$B52+1)</f>
        <v/>
      </c>
      <c r="AW52" s="153">
        <f>$C52*INDEX(Curves!$Q$8:$Q$68,AW$4-$B52+1)</f>
        <v/>
      </c>
      <c r="AX52" s="153">
        <f>$C52*INDEX(Curves!$Q$8:$Q$68,AX$4-$B52+1)</f>
        <v/>
      </c>
      <c r="AY52" s="153">
        <f>$C52*INDEX(Curves!$Q$8:$Q$68,AY$4-$B52+1)</f>
        <v/>
      </c>
      <c r="AZ52" s="153">
        <f>$C52*INDEX(Curves!$Q$8:$Q$68,AZ$4-$B52+1)</f>
        <v/>
      </c>
      <c r="BA52" s="153">
        <f>$C52*INDEX(Curves!$Q$8:$Q$68,BA$4-$B52+1)</f>
        <v/>
      </c>
      <c r="BB52" s="153">
        <f>$C52*INDEX(Curves!$Q$8:$Q$68,BB$4-$B52+1)</f>
        <v/>
      </c>
      <c r="BC52" s="153">
        <f>$C52*INDEX(Curves!$Q$8:$Q$68,BC$4-$B52+1)</f>
        <v/>
      </c>
      <c r="BD52" s="153">
        <f>$C52*INDEX(Curves!$Q$8:$Q$68,BD$4-$B52+1)</f>
        <v/>
      </c>
      <c r="BE52" s="153">
        <f>$C52*INDEX(Curves!$Q$8:$Q$68,BE$4-$B52+1)</f>
        <v/>
      </c>
      <c r="BF52" s="153">
        <f>$C52*INDEX(Curves!$Q$8:$Q$68,BF$4-$B52+1)</f>
        <v/>
      </c>
      <c r="BG52" s="153">
        <f>$C52*INDEX(Curves!$Q$8:$Q$68,BG$4-$B52+1)</f>
        <v/>
      </c>
      <c r="BH52" s="153">
        <f>$C52*INDEX(Curves!$Q$8:$Q$68,BH$4-$B52+1)</f>
        <v/>
      </c>
      <c r="BI52" s="153">
        <f>$C52*INDEX(Curves!$Q$8:$Q$68,BI$4-$B52+1)</f>
        <v/>
      </c>
      <c r="BJ52" s="153">
        <f>$C52*INDEX(Curves!$Q$8:$Q$68,BJ$4-$B52+1)</f>
        <v/>
      </c>
      <c r="BK52" s="153">
        <f>$C52*INDEX(Curves!$Q$8:$Q$68,BK$4-$B52+1)</f>
        <v/>
      </c>
      <c r="BL52" s="153">
        <f>$C52*INDEX(Curves!$Q$8:$Q$68,BL$4-$B52+1)</f>
        <v/>
      </c>
    </row>
    <row r="53">
      <c r="A53" s="147" t="inlineStr">
        <is>
          <t>Cohort month 44</t>
        </is>
      </c>
      <c r="B53" s="147" t="n">
        <v>44</v>
      </c>
      <c r="C53" s="41">
        <f>INDEX(Ops!$E$35:$BL$35,1,$B53)</f>
        <v/>
      </c>
      <c r="AW53" s="153">
        <f>$C53*INDEX(Curves!$Q$8:$Q$68,AW$4-$B53+1)</f>
        <v/>
      </c>
      <c r="AX53" s="153">
        <f>$C53*INDEX(Curves!$Q$8:$Q$68,AX$4-$B53+1)</f>
        <v/>
      </c>
      <c r="AY53" s="153">
        <f>$C53*INDEX(Curves!$Q$8:$Q$68,AY$4-$B53+1)</f>
        <v/>
      </c>
      <c r="AZ53" s="153">
        <f>$C53*INDEX(Curves!$Q$8:$Q$68,AZ$4-$B53+1)</f>
        <v/>
      </c>
      <c r="BA53" s="153">
        <f>$C53*INDEX(Curves!$Q$8:$Q$68,BA$4-$B53+1)</f>
        <v/>
      </c>
      <c r="BB53" s="153">
        <f>$C53*INDEX(Curves!$Q$8:$Q$68,BB$4-$B53+1)</f>
        <v/>
      </c>
      <c r="BC53" s="153">
        <f>$C53*INDEX(Curves!$Q$8:$Q$68,BC$4-$B53+1)</f>
        <v/>
      </c>
      <c r="BD53" s="153">
        <f>$C53*INDEX(Curves!$Q$8:$Q$68,BD$4-$B53+1)</f>
        <v/>
      </c>
      <c r="BE53" s="153">
        <f>$C53*INDEX(Curves!$Q$8:$Q$68,BE$4-$B53+1)</f>
        <v/>
      </c>
      <c r="BF53" s="153">
        <f>$C53*INDEX(Curves!$Q$8:$Q$68,BF$4-$B53+1)</f>
        <v/>
      </c>
      <c r="BG53" s="153">
        <f>$C53*INDEX(Curves!$Q$8:$Q$68,BG$4-$B53+1)</f>
        <v/>
      </c>
      <c r="BH53" s="153">
        <f>$C53*INDEX(Curves!$Q$8:$Q$68,BH$4-$B53+1)</f>
        <v/>
      </c>
      <c r="BI53" s="153">
        <f>$C53*INDEX(Curves!$Q$8:$Q$68,BI$4-$B53+1)</f>
        <v/>
      </c>
      <c r="BJ53" s="153">
        <f>$C53*INDEX(Curves!$Q$8:$Q$68,BJ$4-$B53+1)</f>
        <v/>
      </c>
      <c r="BK53" s="153">
        <f>$C53*INDEX(Curves!$Q$8:$Q$68,BK$4-$B53+1)</f>
        <v/>
      </c>
      <c r="BL53" s="153">
        <f>$C53*INDEX(Curves!$Q$8:$Q$68,BL$4-$B53+1)</f>
        <v/>
      </c>
    </row>
    <row r="54">
      <c r="A54" s="147" t="inlineStr">
        <is>
          <t>Cohort month 45</t>
        </is>
      </c>
      <c r="B54" s="147" t="n">
        <v>45</v>
      </c>
      <c r="C54" s="41">
        <f>INDEX(Ops!$E$35:$BL$35,1,$B54)</f>
        <v/>
      </c>
      <c r="AX54" s="153">
        <f>$C54*INDEX(Curves!$Q$8:$Q$68,AX$4-$B54+1)</f>
        <v/>
      </c>
      <c r="AY54" s="153">
        <f>$C54*INDEX(Curves!$Q$8:$Q$68,AY$4-$B54+1)</f>
        <v/>
      </c>
      <c r="AZ54" s="153">
        <f>$C54*INDEX(Curves!$Q$8:$Q$68,AZ$4-$B54+1)</f>
        <v/>
      </c>
      <c r="BA54" s="153">
        <f>$C54*INDEX(Curves!$Q$8:$Q$68,BA$4-$B54+1)</f>
        <v/>
      </c>
      <c r="BB54" s="153">
        <f>$C54*INDEX(Curves!$Q$8:$Q$68,BB$4-$B54+1)</f>
        <v/>
      </c>
      <c r="BC54" s="153">
        <f>$C54*INDEX(Curves!$Q$8:$Q$68,BC$4-$B54+1)</f>
        <v/>
      </c>
      <c r="BD54" s="153">
        <f>$C54*INDEX(Curves!$Q$8:$Q$68,BD$4-$B54+1)</f>
        <v/>
      </c>
      <c r="BE54" s="153">
        <f>$C54*INDEX(Curves!$Q$8:$Q$68,BE$4-$B54+1)</f>
        <v/>
      </c>
      <c r="BF54" s="153">
        <f>$C54*INDEX(Curves!$Q$8:$Q$68,BF$4-$B54+1)</f>
        <v/>
      </c>
      <c r="BG54" s="153">
        <f>$C54*INDEX(Curves!$Q$8:$Q$68,BG$4-$B54+1)</f>
        <v/>
      </c>
      <c r="BH54" s="153">
        <f>$C54*INDEX(Curves!$Q$8:$Q$68,BH$4-$B54+1)</f>
        <v/>
      </c>
      <c r="BI54" s="153">
        <f>$C54*INDEX(Curves!$Q$8:$Q$68,BI$4-$B54+1)</f>
        <v/>
      </c>
      <c r="BJ54" s="153">
        <f>$C54*INDEX(Curves!$Q$8:$Q$68,BJ$4-$B54+1)</f>
        <v/>
      </c>
      <c r="BK54" s="153">
        <f>$C54*INDEX(Curves!$Q$8:$Q$68,BK$4-$B54+1)</f>
        <v/>
      </c>
      <c r="BL54" s="153">
        <f>$C54*INDEX(Curves!$Q$8:$Q$68,BL$4-$B54+1)</f>
        <v/>
      </c>
    </row>
    <row r="55">
      <c r="A55" s="147" t="inlineStr">
        <is>
          <t>Cohort month 46</t>
        </is>
      </c>
      <c r="B55" s="147" t="n">
        <v>46</v>
      </c>
      <c r="C55" s="41">
        <f>INDEX(Ops!$E$35:$BL$35,1,$B55)</f>
        <v/>
      </c>
      <c r="AY55" s="153">
        <f>$C55*INDEX(Curves!$Q$8:$Q$68,AY$4-$B55+1)</f>
        <v/>
      </c>
      <c r="AZ55" s="153">
        <f>$C55*INDEX(Curves!$Q$8:$Q$68,AZ$4-$B55+1)</f>
        <v/>
      </c>
      <c r="BA55" s="153">
        <f>$C55*INDEX(Curves!$Q$8:$Q$68,BA$4-$B55+1)</f>
        <v/>
      </c>
      <c r="BB55" s="153">
        <f>$C55*INDEX(Curves!$Q$8:$Q$68,BB$4-$B55+1)</f>
        <v/>
      </c>
      <c r="BC55" s="153">
        <f>$C55*INDEX(Curves!$Q$8:$Q$68,BC$4-$B55+1)</f>
        <v/>
      </c>
      <c r="BD55" s="153">
        <f>$C55*INDEX(Curves!$Q$8:$Q$68,BD$4-$B55+1)</f>
        <v/>
      </c>
      <c r="BE55" s="153">
        <f>$C55*INDEX(Curves!$Q$8:$Q$68,BE$4-$B55+1)</f>
        <v/>
      </c>
      <c r="BF55" s="153">
        <f>$C55*INDEX(Curves!$Q$8:$Q$68,BF$4-$B55+1)</f>
        <v/>
      </c>
      <c r="BG55" s="153">
        <f>$C55*INDEX(Curves!$Q$8:$Q$68,BG$4-$B55+1)</f>
        <v/>
      </c>
      <c r="BH55" s="153">
        <f>$C55*INDEX(Curves!$Q$8:$Q$68,BH$4-$B55+1)</f>
        <v/>
      </c>
      <c r="BI55" s="153">
        <f>$C55*INDEX(Curves!$Q$8:$Q$68,BI$4-$B55+1)</f>
        <v/>
      </c>
      <c r="BJ55" s="153">
        <f>$C55*INDEX(Curves!$Q$8:$Q$68,BJ$4-$B55+1)</f>
        <v/>
      </c>
      <c r="BK55" s="153">
        <f>$C55*INDEX(Curves!$Q$8:$Q$68,BK$4-$B55+1)</f>
        <v/>
      </c>
      <c r="BL55" s="153">
        <f>$C55*INDEX(Curves!$Q$8:$Q$68,BL$4-$B55+1)</f>
        <v/>
      </c>
    </row>
    <row r="56">
      <c r="A56" s="147" t="inlineStr">
        <is>
          <t>Cohort month 47</t>
        </is>
      </c>
      <c r="B56" s="147" t="n">
        <v>47</v>
      </c>
      <c r="C56" s="41">
        <f>INDEX(Ops!$E$35:$BL$35,1,$B56)</f>
        <v/>
      </c>
      <c r="AZ56" s="153">
        <f>$C56*INDEX(Curves!$Q$8:$Q$68,AZ$4-$B56+1)</f>
        <v/>
      </c>
      <c r="BA56" s="153">
        <f>$C56*INDEX(Curves!$Q$8:$Q$68,BA$4-$B56+1)</f>
        <v/>
      </c>
      <c r="BB56" s="153">
        <f>$C56*INDEX(Curves!$Q$8:$Q$68,BB$4-$B56+1)</f>
        <v/>
      </c>
      <c r="BC56" s="153">
        <f>$C56*INDEX(Curves!$Q$8:$Q$68,BC$4-$B56+1)</f>
        <v/>
      </c>
      <c r="BD56" s="153">
        <f>$C56*INDEX(Curves!$Q$8:$Q$68,BD$4-$B56+1)</f>
        <v/>
      </c>
      <c r="BE56" s="153">
        <f>$C56*INDEX(Curves!$Q$8:$Q$68,BE$4-$B56+1)</f>
        <v/>
      </c>
      <c r="BF56" s="153">
        <f>$C56*INDEX(Curves!$Q$8:$Q$68,BF$4-$B56+1)</f>
        <v/>
      </c>
      <c r="BG56" s="153">
        <f>$C56*INDEX(Curves!$Q$8:$Q$68,BG$4-$B56+1)</f>
        <v/>
      </c>
      <c r="BH56" s="153">
        <f>$C56*INDEX(Curves!$Q$8:$Q$68,BH$4-$B56+1)</f>
        <v/>
      </c>
      <c r="BI56" s="153">
        <f>$C56*INDEX(Curves!$Q$8:$Q$68,BI$4-$B56+1)</f>
        <v/>
      </c>
      <c r="BJ56" s="153">
        <f>$C56*INDEX(Curves!$Q$8:$Q$68,BJ$4-$B56+1)</f>
        <v/>
      </c>
      <c r="BK56" s="153">
        <f>$C56*INDEX(Curves!$Q$8:$Q$68,BK$4-$B56+1)</f>
        <v/>
      </c>
      <c r="BL56" s="153">
        <f>$C56*INDEX(Curves!$Q$8:$Q$68,BL$4-$B56+1)</f>
        <v/>
      </c>
    </row>
    <row r="57">
      <c r="A57" s="147" t="inlineStr">
        <is>
          <t>Cohort month 48</t>
        </is>
      </c>
      <c r="B57" s="147" t="n">
        <v>48</v>
      </c>
      <c r="C57" s="41">
        <f>INDEX(Ops!$E$35:$BL$35,1,$B57)</f>
        <v/>
      </c>
      <c r="BA57" s="153">
        <f>$C57*INDEX(Curves!$Q$8:$Q$68,BA$4-$B57+1)</f>
        <v/>
      </c>
      <c r="BB57" s="153">
        <f>$C57*INDEX(Curves!$Q$8:$Q$68,BB$4-$B57+1)</f>
        <v/>
      </c>
      <c r="BC57" s="153">
        <f>$C57*INDEX(Curves!$Q$8:$Q$68,BC$4-$B57+1)</f>
        <v/>
      </c>
      <c r="BD57" s="153">
        <f>$C57*INDEX(Curves!$Q$8:$Q$68,BD$4-$B57+1)</f>
        <v/>
      </c>
      <c r="BE57" s="153">
        <f>$C57*INDEX(Curves!$Q$8:$Q$68,BE$4-$B57+1)</f>
        <v/>
      </c>
      <c r="BF57" s="153">
        <f>$C57*INDEX(Curves!$Q$8:$Q$68,BF$4-$B57+1)</f>
        <v/>
      </c>
      <c r="BG57" s="153">
        <f>$C57*INDEX(Curves!$Q$8:$Q$68,BG$4-$B57+1)</f>
        <v/>
      </c>
      <c r="BH57" s="153">
        <f>$C57*INDEX(Curves!$Q$8:$Q$68,BH$4-$B57+1)</f>
        <v/>
      </c>
      <c r="BI57" s="153">
        <f>$C57*INDEX(Curves!$Q$8:$Q$68,BI$4-$B57+1)</f>
        <v/>
      </c>
      <c r="BJ57" s="153">
        <f>$C57*INDEX(Curves!$Q$8:$Q$68,BJ$4-$B57+1)</f>
        <v/>
      </c>
      <c r="BK57" s="153">
        <f>$C57*INDEX(Curves!$Q$8:$Q$68,BK$4-$B57+1)</f>
        <v/>
      </c>
      <c r="BL57" s="153">
        <f>$C57*INDEX(Curves!$Q$8:$Q$68,BL$4-$B57+1)</f>
        <v/>
      </c>
    </row>
    <row r="58">
      <c r="A58" s="147" t="inlineStr">
        <is>
          <t>Cohort month 49</t>
        </is>
      </c>
      <c r="B58" s="147" t="n">
        <v>49</v>
      </c>
      <c r="C58" s="41">
        <f>INDEX(Ops!$E$35:$BL$35,1,$B58)</f>
        <v/>
      </c>
      <c r="BB58" s="153">
        <f>$C58*INDEX(Curves!$Q$8:$Q$68,BB$4-$B58+1)</f>
        <v/>
      </c>
      <c r="BC58" s="153">
        <f>$C58*INDEX(Curves!$Q$8:$Q$68,BC$4-$B58+1)</f>
        <v/>
      </c>
      <c r="BD58" s="153">
        <f>$C58*INDEX(Curves!$Q$8:$Q$68,BD$4-$B58+1)</f>
        <v/>
      </c>
      <c r="BE58" s="153">
        <f>$C58*INDEX(Curves!$Q$8:$Q$68,BE$4-$B58+1)</f>
        <v/>
      </c>
      <c r="BF58" s="153">
        <f>$C58*INDEX(Curves!$Q$8:$Q$68,BF$4-$B58+1)</f>
        <v/>
      </c>
      <c r="BG58" s="153">
        <f>$C58*INDEX(Curves!$Q$8:$Q$68,BG$4-$B58+1)</f>
        <v/>
      </c>
      <c r="BH58" s="153">
        <f>$C58*INDEX(Curves!$Q$8:$Q$68,BH$4-$B58+1)</f>
        <v/>
      </c>
      <c r="BI58" s="153">
        <f>$C58*INDEX(Curves!$Q$8:$Q$68,BI$4-$B58+1)</f>
        <v/>
      </c>
      <c r="BJ58" s="153">
        <f>$C58*INDEX(Curves!$Q$8:$Q$68,BJ$4-$B58+1)</f>
        <v/>
      </c>
      <c r="BK58" s="153">
        <f>$C58*INDEX(Curves!$Q$8:$Q$68,BK$4-$B58+1)</f>
        <v/>
      </c>
      <c r="BL58" s="153">
        <f>$C58*INDEX(Curves!$Q$8:$Q$68,BL$4-$B58+1)</f>
        <v/>
      </c>
    </row>
    <row r="59">
      <c r="A59" s="147" t="inlineStr">
        <is>
          <t>Cohort month 50</t>
        </is>
      </c>
      <c r="B59" s="147" t="n">
        <v>50</v>
      </c>
      <c r="C59" s="41">
        <f>INDEX(Ops!$E$35:$BL$35,1,$B59)</f>
        <v/>
      </c>
      <c r="BC59" s="153">
        <f>$C59*INDEX(Curves!$Q$8:$Q$68,BC$4-$B59+1)</f>
        <v/>
      </c>
      <c r="BD59" s="153">
        <f>$C59*INDEX(Curves!$Q$8:$Q$68,BD$4-$B59+1)</f>
        <v/>
      </c>
      <c r="BE59" s="153">
        <f>$C59*INDEX(Curves!$Q$8:$Q$68,BE$4-$B59+1)</f>
        <v/>
      </c>
      <c r="BF59" s="153">
        <f>$C59*INDEX(Curves!$Q$8:$Q$68,BF$4-$B59+1)</f>
        <v/>
      </c>
      <c r="BG59" s="153">
        <f>$C59*INDEX(Curves!$Q$8:$Q$68,BG$4-$B59+1)</f>
        <v/>
      </c>
      <c r="BH59" s="153">
        <f>$C59*INDEX(Curves!$Q$8:$Q$68,BH$4-$B59+1)</f>
        <v/>
      </c>
      <c r="BI59" s="153">
        <f>$C59*INDEX(Curves!$Q$8:$Q$68,BI$4-$B59+1)</f>
        <v/>
      </c>
      <c r="BJ59" s="153">
        <f>$C59*INDEX(Curves!$Q$8:$Q$68,BJ$4-$B59+1)</f>
        <v/>
      </c>
      <c r="BK59" s="153">
        <f>$C59*INDEX(Curves!$Q$8:$Q$68,BK$4-$B59+1)</f>
        <v/>
      </c>
      <c r="BL59" s="153">
        <f>$C59*INDEX(Curves!$Q$8:$Q$68,BL$4-$B59+1)</f>
        <v/>
      </c>
    </row>
    <row r="60">
      <c r="A60" s="147" t="inlineStr">
        <is>
          <t>Cohort month 51</t>
        </is>
      </c>
      <c r="B60" s="147" t="n">
        <v>51</v>
      </c>
      <c r="C60" s="41">
        <f>INDEX(Ops!$E$35:$BL$35,1,$B60)</f>
        <v/>
      </c>
      <c r="BD60" s="153">
        <f>$C60*INDEX(Curves!$Q$8:$Q$68,BD$4-$B60+1)</f>
        <v/>
      </c>
      <c r="BE60" s="153">
        <f>$C60*INDEX(Curves!$Q$8:$Q$68,BE$4-$B60+1)</f>
        <v/>
      </c>
      <c r="BF60" s="153">
        <f>$C60*INDEX(Curves!$Q$8:$Q$68,BF$4-$B60+1)</f>
        <v/>
      </c>
      <c r="BG60" s="153">
        <f>$C60*INDEX(Curves!$Q$8:$Q$68,BG$4-$B60+1)</f>
        <v/>
      </c>
      <c r="BH60" s="153">
        <f>$C60*INDEX(Curves!$Q$8:$Q$68,BH$4-$B60+1)</f>
        <v/>
      </c>
      <c r="BI60" s="153">
        <f>$C60*INDEX(Curves!$Q$8:$Q$68,BI$4-$B60+1)</f>
        <v/>
      </c>
      <c r="BJ60" s="153">
        <f>$C60*INDEX(Curves!$Q$8:$Q$68,BJ$4-$B60+1)</f>
        <v/>
      </c>
      <c r="BK60" s="153">
        <f>$C60*INDEX(Curves!$Q$8:$Q$68,BK$4-$B60+1)</f>
        <v/>
      </c>
      <c r="BL60" s="153">
        <f>$C60*INDEX(Curves!$Q$8:$Q$68,BL$4-$B60+1)</f>
        <v/>
      </c>
    </row>
    <row r="61">
      <c r="A61" s="147" t="inlineStr">
        <is>
          <t>Cohort month 52</t>
        </is>
      </c>
      <c r="B61" s="147" t="n">
        <v>52</v>
      </c>
      <c r="C61" s="41">
        <f>INDEX(Ops!$E$35:$BL$35,1,$B61)</f>
        <v/>
      </c>
      <c r="BE61" s="153">
        <f>$C61*INDEX(Curves!$Q$8:$Q$68,BE$4-$B61+1)</f>
        <v/>
      </c>
      <c r="BF61" s="153">
        <f>$C61*INDEX(Curves!$Q$8:$Q$68,BF$4-$B61+1)</f>
        <v/>
      </c>
      <c r="BG61" s="153">
        <f>$C61*INDEX(Curves!$Q$8:$Q$68,BG$4-$B61+1)</f>
        <v/>
      </c>
      <c r="BH61" s="153">
        <f>$C61*INDEX(Curves!$Q$8:$Q$68,BH$4-$B61+1)</f>
        <v/>
      </c>
      <c r="BI61" s="153">
        <f>$C61*INDEX(Curves!$Q$8:$Q$68,BI$4-$B61+1)</f>
        <v/>
      </c>
      <c r="BJ61" s="153">
        <f>$C61*INDEX(Curves!$Q$8:$Q$68,BJ$4-$B61+1)</f>
        <v/>
      </c>
      <c r="BK61" s="153">
        <f>$C61*INDEX(Curves!$Q$8:$Q$68,BK$4-$B61+1)</f>
        <v/>
      </c>
      <c r="BL61" s="153">
        <f>$C61*INDEX(Curves!$Q$8:$Q$68,BL$4-$B61+1)</f>
        <v/>
      </c>
    </row>
    <row r="62">
      <c r="A62" s="147" t="inlineStr">
        <is>
          <t>Cohort month 53</t>
        </is>
      </c>
      <c r="B62" s="147" t="n">
        <v>53</v>
      </c>
      <c r="C62" s="41">
        <f>INDEX(Ops!$E$35:$BL$35,1,$B62)</f>
        <v/>
      </c>
      <c r="BF62" s="153">
        <f>$C62*INDEX(Curves!$Q$8:$Q$68,BF$4-$B62+1)</f>
        <v/>
      </c>
      <c r="BG62" s="153">
        <f>$C62*INDEX(Curves!$Q$8:$Q$68,BG$4-$B62+1)</f>
        <v/>
      </c>
      <c r="BH62" s="153">
        <f>$C62*INDEX(Curves!$Q$8:$Q$68,BH$4-$B62+1)</f>
        <v/>
      </c>
      <c r="BI62" s="153">
        <f>$C62*INDEX(Curves!$Q$8:$Q$68,BI$4-$B62+1)</f>
        <v/>
      </c>
      <c r="BJ62" s="153">
        <f>$C62*INDEX(Curves!$Q$8:$Q$68,BJ$4-$B62+1)</f>
        <v/>
      </c>
      <c r="BK62" s="153">
        <f>$C62*INDEX(Curves!$Q$8:$Q$68,BK$4-$B62+1)</f>
        <v/>
      </c>
      <c r="BL62" s="153">
        <f>$C62*INDEX(Curves!$Q$8:$Q$68,BL$4-$B62+1)</f>
        <v/>
      </c>
    </row>
    <row r="63">
      <c r="A63" s="147" t="inlineStr">
        <is>
          <t>Cohort month 54</t>
        </is>
      </c>
      <c r="B63" s="147" t="n">
        <v>54</v>
      </c>
      <c r="C63" s="41">
        <f>INDEX(Ops!$E$35:$BL$35,1,$B63)</f>
        <v/>
      </c>
      <c r="BG63" s="153">
        <f>$C63*INDEX(Curves!$Q$8:$Q$68,BG$4-$B63+1)</f>
        <v/>
      </c>
      <c r="BH63" s="153">
        <f>$C63*INDEX(Curves!$Q$8:$Q$68,BH$4-$B63+1)</f>
        <v/>
      </c>
      <c r="BI63" s="153">
        <f>$C63*INDEX(Curves!$Q$8:$Q$68,BI$4-$B63+1)</f>
        <v/>
      </c>
      <c r="BJ63" s="153">
        <f>$C63*INDEX(Curves!$Q$8:$Q$68,BJ$4-$B63+1)</f>
        <v/>
      </c>
      <c r="BK63" s="153">
        <f>$C63*INDEX(Curves!$Q$8:$Q$68,BK$4-$B63+1)</f>
        <v/>
      </c>
      <c r="BL63" s="153">
        <f>$C63*INDEX(Curves!$Q$8:$Q$68,BL$4-$B63+1)</f>
        <v/>
      </c>
    </row>
    <row r="64">
      <c r="A64" s="147" t="inlineStr">
        <is>
          <t>Cohort month 55</t>
        </is>
      </c>
      <c r="B64" s="147" t="n">
        <v>55</v>
      </c>
      <c r="C64" s="41">
        <f>INDEX(Ops!$E$35:$BL$35,1,$B64)</f>
        <v/>
      </c>
      <c r="BH64" s="153">
        <f>$C64*INDEX(Curves!$Q$8:$Q$68,BH$4-$B64+1)</f>
        <v/>
      </c>
      <c r="BI64" s="153">
        <f>$C64*INDEX(Curves!$Q$8:$Q$68,BI$4-$B64+1)</f>
        <v/>
      </c>
      <c r="BJ64" s="153">
        <f>$C64*INDEX(Curves!$Q$8:$Q$68,BJ$4-$B64+1)</f>
        <v/>
      </c>
      <c r="BK64" s="153">
        <f>$C64*INDEX(Curves!$Q$8:$Q$68,BK$4-$B64+1)</f>
        <v/>
      </c>
      <c r="BL64" s="153">
        <f>$C64*INDEX(Curves!$Q$8:$Q$68,BL$4-$B64+1)</f>
        <v/>
      </c>
    </row>
    <row r="65">
      <c r="A65" s="147" t="inlineStr">
        <is>
          <t>Cohort month 56</t>
        </is>
      </c>
      <c r="B65" s="147" t="n">
        <v>56</v>
      </c>
      <c r="C65" s="41">
        <f>INDEX(Ops!$E$35:$BL$35,1,$B65)</f>
        <v/>
      </c>
      <c r="BI65" s="153">
        <f>$C65*INDEX(Curves!$Q$8:$Q$68,BI$4-$B65+1)</f>
        <v/>
      </c>
      <c r="BJ65" s="153">
        <f>$C65*INDEX(Curves!$Q$8:$Q$68,BJ$4-$B65+1)</f>
        <v/>
      </c>
      <c r="BK65" s="153">
        <f>$C65*INDEX(Curves!$Q$8:$Q$68,BK$4-$B65+1)</f>
        <v/>
      </c>
      <c r="BL65" s="153">
        <f>$C65*INDEX(Curves!$Q$8:$Q$68,BL$4-$B65+1)</f>
        <v/>
      </c>
    </row>
    <row r="66">
      <c r="A66" s="147" t="inlineStr">
        <is>
          <t>Cohort month 57</t>
        </is>
      </c>
      <c r="B66" s="147" t="n">
        <v>57</v>
      </c>
      <c r="C66" s="41">
        <f>INDEX(Ops!$E$35:$BL$35,1,$B66)</f>
        <v/>
      </c>
      <c r="BJ66" s="153">
        <f>$C66*INDEX(Curves!$Q$8:$Q$68,BJ$4-$B66+1)</f>
        <v/>
      </c>
      <c r="BK66" s="153">
        <f>$C66*INDEX(Curves!$Q$8:$Q$68,BK$4-$B66+1)</f>
        <v/>
      </c>
      <c r="BL66" s="153">
        <f>$C66*INDEX(Curves!$Q$8:$Q$68,BL$4-$B66+1)</f>
        <v/>
      </c>
    </row>
    <row r="67">
      <c r="A67" s="147" t="inlineStr">
        <is>
          <t>Cohort month 58</t>
        </is>
      </c>
      <c r="B67" s="147" t="n">
        <v>58</v>
      </c>
      <c r="C67" s="41">
        <f>INDEX(Ops!$E$35:$BL$35,1,$B67)</f>
        <v/>
      </c>
      <c r="BK67" s="153">
        <f>$C67*INDEX(Curves!$Q$8:$Q$68,BK$4-$B67+1)</f>
        <v/>
      </c>
      <c r="BL67" s="153">
        <f>$C67*INDEX(Curves!$Q$8:$Q$68,BL$4-$B67+1)</f>
        <v/>
      </c>
    </row>
    <row r="68">
      <c r="A68" s="147" t="inlineStr">
        <is>
          <t>Cohort month 59</t>
        </is>
      </c>
      <c r="B68" s="147" t="n">
        <v>59</v>
      </c>
      <c r="C68" s="41">
        <f>INDEX(Ops!$E$35:$BL$35,1,$B68)</f>
        <v/>
      </c>
      <c r="BL68" s="153">
        <f>$C68*INDEX(Curves!$Q$8:$Q$68,BL$4-$B68+1)</f>
        <v/>
      </c>
    </row>
    <row r="69">
      <c r="A69" s="147" t="inlineStr">
        <is>
          <t>Cohort month 60</t>
        </is>
      </c>
      <c r="B69" s="147" t="n">
        <v>60</v>
      </c>
      <c r="C69" s="41">
        <f>INDEX(Ops!$E$35:$BL$35,1,$B69)</f>
        <v/>
      </c>
    </row>
    <row r="70"/>
    <row r="71">
      <c r="A71" s="21" t="inlineStr">
        <is>
          <t>Active accounts by cohort</t>
        </is>
      </c>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c r="AA71" s="22" t="n"/>
      <c r="AB71" s="22" t="n"/>
      <c r="AC71" s="22" t="n"/>
      <c r="AD71" s="22" t="n"/>
      <c r="AE71" s="22" t="n"/>
      <c r="AF71" s="22" t="n"/>
      <c r="AG71" s="22" t="n"/>
      <c r="AH71" s="22" t="n"/>
      <c r="AI71" s="22" t="n"/>
      <c r="AJ71" s="22" t="n"/>
      <c r="AK71" s="22" t="n"/>
      <c r="AL71" s="22" t="n"/>
      <c r="AM71" s="22" t="n"/>
      <c r="AN71" s="22" t="n"/>
      <c r="AO71" s="22" t="n"/>
      <c r="AP71" s="22" t="n"/>
      <c r="AQ71" s="22" t="n"/>
      <c r="AR71" s="22" t="n"/>
      <c r="AS71" s="22" t="n"/>
      <c r="AT71" s="22" t="n"/>
      <c r="AU71" s="22" t="n"/>
      <c r="AV71" s="22" t="n"/>
      <c r="AW71" s="22" t="n"/>
      <c r="AX71" s="22" t="n"/>
      <c r="AY71" s="22" t="n"/>
      <c r="AZ71" s="22" t="n"/>
      <c r="BA71" s="22" t="n"/>
      <c r="BB71" s="22" t="n"/>
      <c r="BC71" s="22" t="n"/>
      <c r="BD71" s="22" t="n"/>
      <c r="BE71" s="22" t="n"/>
      <c r="BF71" s="22" t="n"/>
      <c r="BG71" s="22" t="n"/>
      <c r="BH71" s="22" t="n"/>
      <c r="BI71" s="22" t="n"/>
      <c r="BJ71" s="22" t="n"/>
      <c r="BK71" s="22" t="n"/>
      <c r="BL71" s="22" t="n"/>
    </row>
    <row r="72">
      <c r="A72" s="100" t="inlineStr">
        <is>
          <t>Total</t>
        </is>
      </c>
      <c r="B72" s="101" t="inlineStr"/>
      <c r="C72" s="103" t="n"/>
      <c r="D72" s="103" t="n"/>
      <c r="E72" s="104">
        <f>SUM(E73:E132)</f>
        <v/>
      </c>
      <c r="F72" s="104">
        <f>SUM(F73:F132)</f>
        <v/>
      </c>
      <c r="G72" s="104">
        <f>SUM(G73:G132)</f>
        <v/>
      </c>
      <c r="H72" s="104">
        <f>SUM(H73:H132)</f>
        <v/>
      </c>
      <c r="I72" s="104">
        <f>SUM(I73:I132)</f>
        <v/>
      </c>
      <c r="J72" s="104">
        <f>SUM(J73:J132)</f>
        <v/>
      </c>
      <c r="K72" s="104">
        <f>SUM(K73:K132)</f>
        <v/>
      </c>
      <c r="L72" s="104">
        <f>SUM(L73:L132)</f>
        <v/>
      </c>
      <c r="M72" s="104">
        <f>SUM(M73:M132)</f>
        <v/>
      </c>
      <c r="N72" s="104">
        <f>SUM(N73:N132)</f>
        <v/>
      </c>
      <c r="O72" s="104">
        <f>SUM(O73:O132)</f>
        <v/>
      </c>
      <c r="P72" s="104">
        <f>SUM(P73:P132)</f>
        <v/>
      </c>
      <c r="Q72" s="104">
        <f>SUM(Q73:Q132)</f>
        <v/>
      </c>
      <c r="R72" s="104">
        <f>SUM(R73:R132)</f>
        <v/>
      </c>
      <c r="S72" s="104">
        <f>SUM(S73:S132)</f>
        <v/>
      </c>
      <c r="T72" s="104">
        <f>SUM(T73:T132)</f>
        <v/>
      </c>
      <c r="U72" s="104">
        <f>SUM(U73:U132)</f>
        <v/>
      </c>
      <c r="V72" s="104">
        <f>SUM(V73:V132)</f>
        <v/>
      </c>
      <c r="W72" s="104">
        <f>SUM(W73:W132)</f>
        <v/>
      </c>
      <c r="X72" s="104">
        <f>SUM(X73:X132)</f>
        <v/>
      </c>
      <c r="Y72" s="104">
        <f>SUM(Y73:Y132)</f>
        <v/>
      </c>
      <c r="Z72" s="104">
        <f>SUM(Z73:Z132)</f>
        <v/>
      </c>
      <c r="AA72" s="104">
        <f>SUM(AA73:AA132)</f>
        <v/>
      </c>
      <c r="AB72" s="104">
        <f>SUM(AB73:AB132)</f>
        <v/>
      </c>
      <c r="AC72" s="104">
        <f>SUM(AC73:AC132)</f>
        <v/>
      </c>
      <c r="AD72" s="104">
        <f>SUM(AD73:AD132)</f>
        <v/>
      </c>
      <c r="AE72" s="104">
        <f>SUM(AE73:AE132)</f>
        <v/>
      </c>
      <c r="AF72" s="104">
        <f>SUM(AF73:AF132)</f>
        <v/>
      </c>
      <c r="AG72" s="104">
        <f>SUM(AG73:AG132)</f>
        <v/>
      </c>
      <c r="AH72" s="104">
        <f>SUM(AH73:AH132)</f>
        <v/>
      </c>
      <c r="AI72" s="104">
        <f>SUM(AI73:AI132)</f>
        <v/>
      </c>
      <c r="AJ72" s="104">
        <f>SUM(AJ73:AJ132)</f>
        <v/>
      </c>
      <c r="AK72" s="104">
        <f>SUM(AK73:AK132)</f>
        <v/>
      </c>
      <c r="AL72" s="104">
        <f>SUM(AL73:AL132)</f>
        <v/>
      </c>
      <c r="AM72" s="104">
        <f>SUM(AM73:AM132)</f>
        <v/>
      </c>
      <c r="AN72" s="104">
        <f>SUM(AN73:AN132)</f>
        <v/>
      </c>
      <c r="AO72" s="104">
        <f>SUM(AO73:AO132)</f>
        <v/>
      </c>
      <c r="AP72" s="104">
        <f>SUM(AP73:AP132)</f>
        <v/>
      </c>
      <c r="AQ72" s="104">
        <f>SUM(AQ73:AQ132)</f>
        <v/>
      </c>
      <c r="AR72" s="104">
        <f>SUM(AR73:AR132)</f>
        <v/>
      </c>
      <c r="AS72" s="104">
        <f>SUM(AS73:AS132)</f>
        <v/>
      </c>
      <c r="AT72" s="104">
        <f>SUM(AT73:AT132)</f>
        <v/>
      </c>
      <c r="AU72" s="104">
        <f>SUM(AU73:AU132)</f>
        <v/>
      </c>
      <c r="AV72" s="104">
        <f>SUM(AV73:AV132)</f>
        <v/>
      </c>
      <c r="AW72" s="104">
        <f>SUM(AW73:AW132)</f>
        <v/>
      </c>
      <c r="AX72" s="104">
        <f>SUM(AX73:AX132)</f>
        <v/>
      </c>
      <c r="AY72" s="104">
        <f>SUM(AY73:AY132)</f>
        <v/>
      </c>
      <c r="AZ72" s="104">
        <f>SUM(AZ73:AZ132)</f>
        <v/>
      </c>
      <c r="BA72" s="104">
        <f>SUM(BA73:BA132)</f>
        <v/>
      </c>
      <c r="BB72" s="104">
        <f>SUM(BB73:BB132)</f>
        <v/>
      </c>
      <c r="BC72" s="104">
        <f>SUM(BC73:BC132)</f>
        <v/>
      </c>
      <c r="BD72" s="104">
        <f>SUM(BD73:BD132)</f>
        <v/>
      </c>
      <c r="BE72" s="104">
        <f>SUM(BE73:BE132)</f>
        <v/>
      </c>
      <c r="BF72" s="104">
        <f>SUM(BF73:BF132)</f>
        <v/>
      </c>
      <c r="BG72" s="104">
        <f>SUM(BG73:BG132)</f>
        <v/>
      </c>
      <c r="BH72" s="104">
        <f>SUM(BH73:BH132)</f>
        <v/>
      </c>
      <c r="BI72" s="104">
        <f>SUM(BI73:BI132)</f>
        <v/>
      </c>
      <c r="BJ72" s="104">
        <f>SUM(BJ73:BJ132)</f>
        <v/>
      </c>
      <c r="BK72" s="104">
        <f>SUM(BK73:BK132)</f>
        <v/>
      </c>
      <c r="BL72" s="104">
        <f>SUM(BL73:BL132)</f>
        <v/>
      </c>
    </row>
    <row r="73">
      <c r="A73" s="147" t="inlineStr">
        <is>
          <t>Cohort month 1</t>
        </is>
      </c>
      <c r="B73" s="147" t="n">
        <v>1</v>
      </c>
      <c r="C73" s="41">
        <f>INDEX(Ops!$E$34:$BL$34,1,$B73)</f>
        <v/>
      </c>
      <c r="F73" s="153">
        <f>$C73*INDEX(Curves!$T$8:$T$68,F$4-$B73+1)</f>
        <v/>
      </c>
      <c r="G73" s="153">
        <f>$C73*INDEX(Curves!$T$8:$T$68,G$4-$B73+1)</f>
        <v/>
      </c>
      <c r="H73" s="153">
        <f>$C73*INDEX(Curves!$T$8:$T$68,H$4-$B73+1)</f>
        <v/>
      </c>
      <c r="I73" s="153">
        <f>$C73*INDEX(Curves!$T$8:$T$68,I$4-$B73+1)</f>
        <v/>
      </c>
      <c r="J73" s="153">
        <f>$C73*INDEX(Curves!$T$8:$T$68,J$4-$B73+1)</f>
        <v/>
      </c>
      <c r="K73" s="153">
        <f>$C73*INDEX(Curves!$T$8:$T$68,K$4-$B73+1)</f>
        <v/>
      </c>
      <c r="L73" s="153">
        <f>$C73*INDEX(Curves!$T$8:$T$68,L$4-$B73+1)</f>
        <v/>
      </c>
      <c r="M73" s="153">
        <f>$C73*INDEX(Curves!$T$8:$T$68,M$4-$B73+1)</f>
        <v/>
      </c>
      <c r="N73" s="153">
        <f>$C73*INDEX(Curves!$T$8:$T$68,N$4-$B73+1)</f>
        <v/>
      </c>
      <c r="O73" s="153">
        <f>$C73*INDEX(Curves!$T$8:$T$68,O$4-$B73+1)</f>
        <v/>
      </c>
      <c r="P73" s="153">
        <f>$C73*INDEX(Curves!$T$8:$T$68,P$4-$B73+1)</f>
        <v/>
      </c>
      <c r="Q73" s="153">
        <f>$C73*INDEX(Curves!$T$8:$T$68,Q$4-$B73+1)</f>
        <v/>
      </c>
      <c r="R73" s="153">
        <f>$C73*INDEX(Curves!$T$8:$T$68,R$4-$B73+1)</f>
        <v/>
      </c>
      <c r="S73" s="153">
        <f>$C73*INDEX(Curves!$T$8:$T$68,S$4-$B73+1)</f>
        <v/>
      </c>
      <c r="T73" s="153">
        <f>$C73*INDEX(Curves!$T$8:$T$68,T$4-$B73+1)</f>
        <v/>
      </c>
      <c r="U73" s="153">
        <f>$C73*INDEX(Curves!$T$8:$T$68,U$4-$B73+1)</f>
        <v/>
      </c>
      <c r="V73" s="153">
        <f>$C73*INDEX(Curves!$T$8:$T$68,V$4-$B73+1)</f>
        <v/>
      </c>
      <c r="W73" s="153">
        <f>$C73*INDEX(Curves!$T$8:$T$68,W$4-$B73+1)</f>
        <v/>
      </c>
      <c r="X73" s="153">
        <f>$C73*INDEX(Curves!$T$8:$T$68,X$4-$B73+1)</f>
        <v/>
      </c>
      <c r="Y73" s="153">
        <f>$C73*INDEX(Curves!$T$8:$T$68,Y$4-$B73+1)</f>
        <v/>
      </c>
      <c r="Z73" s="153">
        <f>$C73*INDEX(Curves!$T$8:$T$68,Z$4-$B73+1)</f>
        <v/>
      </c>
      <c r="AA73" s="153">
        <f>$C73*INDEX(Curves!$T$8:$T$68,AA$4-$B73+1)</f>
        <v/>
      </c>
      <c r="AB73" s="153">
        <f>$C73*INDEX(Curves!$T$8:$T$68,AB$4-$B73+1)</f>
        <v/>
      </c>
      <c r="AC73" s="153">
        <f>$C73*INDEX(Curves!$T$8:$T$68,AC$4-$B73+1)</f>
        <v/>
      </c>
      <c r="AD73" s="153">
        <f>$C73*INDEX(Curves!$T$8:$T$68,AD$4-$B73+1)</f>
        <v/>
      </c>
      <c r="AE73" s="153">
        <f>$C73*INDEX(Curves!$T$8:$T$68,AE$4-$B73+1)</f>
        <v/>
      </c>
      <c r="AF73" s="153">
        <f>$C73*INDEX(Curves!$T$8:$T$68,AF$4-$B73+1)</f>
        <v/>
      </c>
      <c r="AG73" s="153">
        <f>$C73*INDEX(Curves!$T$8:$T$68,AG$4-$B73+1)</f>
        <v/>
      </c>
      <c r="AH73" s="153">
        <f>$C73*INDEX(Curves!$T$8:$T$68,AH$4-$B73+1)</f>
        <v/>
      </c>
      <c r="AI73" s="153">
        <f>$C73*INDEX(Curves!$T$8:$T$68,AI$4-$B73+1)</f>
        <v/>
      </c>
      <c r="AJ73" s="153">
        <f>$C73*INDEX(Curves!$T$8:$T$68,AJ$4-$B73+1)</f>
        <v/>
      </c>
      <c r="AK73" s="153">
        <f>$C73*INDEX(Curves!$T$8:$T$68,AK$4-$B73+1)</f>
        <v/>
      </c>
      <c r="AL73" s="153">
        <f>$C73*INDEX(Curves!$T$8:$T$68,AL$4-$B73+1)</f>
        <v/>
      </c>
      <c r="AM73" s="153">
        <f>$C73*INDEX(Curves!$T$8:$T$68,AM$4-$B73+1)</f>
        <v/>
      </c>
      <c r="AN73" s="153">
        <f>$C73*INDEX(Curves!$T$8:$T$68,AN$4-$B73+1)</f>
        <v/>
      </c>
      <c r="AO73" s="153">
        <f>$C73*INDEX(Curves!$T$8:$T$68,AO$4-$B73+1)</f>
        <v/>
      </c>
      <c r="AP73" s="153">
        <f>$C73*INDEX(Curves!$T$8:$T$68,AP$4-$B73+1)</f>
        <v/>
      </c>
      <c r="AQ73" s="153">
        <f>$C73*INDEX(Curves!$T$8:$T$68,AQ$4-$B73+1)</f>
        <v/>
      </c>
      <c r="AR73" s="153">
        <f>$C73*INDEX(Curves!$T$8:$T$68,AR$4-$B73+1)</f>
        <v/>
      </c>
      <c r="AS73" s="153">
        <f>$C73*INDEX(Curves!$T$8:$T$68,AS$4-$B73+1)</f>
        <v/>
      </c>
      <c r="AT73" s="153">
        <f>$C73*INDEX(Curves!$T$8:$T$68,AT$4-$B73+1)</f>
        <v/>
      </c>
      <c r="AU73" s="153">
        <f>$C73*INDEX(Curves!$T$8:$T$68,AU$4-$B73+1)</f>
        <v/>
      </c>
      <c r="AV73" s="153">
        <f>$C73*INDEX(Curves!$T$8:$T$68,AV$4-$B73+1)</f>
        <v/>
      </c>
      <c r="AW73" s="153">
        <f>$C73*INDEX(Curves!$T$8:$T$68,AW$4-$B73+1)</f>
        <v/>
      </c>
      <c r="AX73" s="153">
        <f>$C73*INDEX(Curves!$T$8:$T$68,AX$4-$B73+1)</f>
        <v/>
      </c>
      <c r="AY73" s="153">
        <f>$C73*INDEX(Curves!$T$8:$T$68,AY$4-$B73+1)</f>
        <v/>
      </c>
      <c r="AZ73" s="153">
        <f>$C73*INDEX(Curves!$T$8:$T$68,AZ$4-$B73+1)</f>
        <v/>
      </c>
      <c r="BA73" s="153">
        <f>$C73*INDEX(Curves!$T$8:$T$68,BA$4-$B73+1)</f>
        <v/>
      </c>
      <c r="BB73" s="153">
        <f>$C73*INDEX(Curves!$T$8:$T$68,BB$4-$B73+1)</f>
        <v/>
      </c>
      <c r="BC73" s="153">
        <f>$C73*INDEX(Curves!$T$8:$T$68,BC$4-$B73+1)</f>
        <v/>
      </c>
      <c r="BD73" s="153">
        <f>$C73*INDEX(Curves!$T$8:$T$68,BD$4-$B73+1)</f>
        <v/>
      </c>
      <c r="BE73" s="153">
        <f>$C73*INDEX(Curves!$T$8:$T$68,BE$4-$B73+1)</f>
        <v/>
      </c>
      <c r="BF73" s="153">
        <f>$C73*INDEX(Curves!$T$8:$T$68,BF$4-$B73+1)</f>
        <v/>
      </c>
      <c r="BG73" s="153">
        <f>$C73*INDEX(Curves!$T$8:$T$68,BG$4-$B73+1)</f>
        <v/>
      </c>
      <c r="BH73" s="153">
        <f>$C73*INDEX(Curves!$T$8:$T$68,BH$4-$B73+1)</f>
        <v/>
      </c>
      <c r="BI73" s="153">
        <f>$C73*INDEX(Curves!$T$8:$T$68,BI$4-$B73+1)</f>
        <v/>
      </c>
      <c r="BJ73" s="153">
        <f>$C73*INDEX(Curves!$T$8:$T$68,BJ$4-$B73+1)</f>
        <v/>
      </c>
      <c r="BK73" s="153">
        <f>$C73*INDEX(Curves!$T$8:$T$68,BK$4-$B73+1)</f>
        <v/>
      </c>
      <c r="BL73" s="153">
        <f>$C73*INDEX(Curves!$T$8:$T$68,BL$4-$B73+1)</f>
        <v/>
      </c>
    </row>
    <row r="74">
      <c r="A74" s="147" t="inlineStr">
        <is>
          <t>Cohort month 2</t>
        </is>
      </c>
      <c r="B74" s="147" t="n">
        <v>2</v>
      </c>
      <c r="C74" s="41">
        <f>INDEX(Ops!$E$34:$BL$34,1,$B74)</f>
        <v/>
      </c>
      <c r="G74" s="153">
        <f>$C74*INDEX(Curves!$T$8:$T$68,G$4-$B74+1)</f>
        <v/>
      </c>
      <c r="H74" s="153">
        <f>$C74*INDEX(Curves!$T$8:$T$68,H$4-$B74+1)</f>
        <v/>
      </c>
      <c r="I74" s="153">
        <f>$C74*INDEX(Curves!$T$8:$T$68,I$4-$B74+1)</f>
        <v/>
      </c>
      <c r="J74" s="153">
        <f>$C74*INDEX(Curves!$T$8:$T$68,J$4-$B74+1)</f>
        <v/>
      </c>
      <c r="K74" s="153">
        <f>$C74*INDEX(Curves!$T$8:$T$68,K$4-$B74+1)</f>
        <v/>
      </c>
      <c r="L74" s="153">
        <f>$C74*INDEX(Curves!$T$8:$T$68,L$4-$B74+1)</f>
        <v/>
      </c>
      <c r="M74" s="153">
        <f>$C74*INDEX(Curves!$T$8:$T$68,M$4-$B74+1)</f>
        <v/>
      </c>
      <c r="N74" s="153">
        <f>$C74*INDEX(Curves!$T$8:$T$68,N$4-$B74+1)</f>
        <v/>
      </c>
      <c r="O74" s="153">
        <f>$C74*INDEX(Curves!$T$8:$T$68,O$4-$B74+1)</f>
        <v/>
      </c>
      <c r="P74" s="153">
        <f>$C74*INDEX(Curves!$T$8:$T$68,P$4-$B74+1)</f>
        <v/>
      </c>
      <c r="Q74" s="153">
        <f>$C74*INDEX(Curves!$T$8:$T$68,Q$4-$B74+1)</f>
        <v/>
      </c>
      <c r="R74" s="153">
        <f>$C74*INDEX(Curves!$T$8:$T$68,R$4-$B74+1)</f>
        <v/>
      </c>
      <c r="S74" s="153">
        <f>$C74*INDEX(Curves!$T$8:$T$68,S$4-$B74+1)</f>
        <v/>
      </c>
      <c r="T74" s="153">
        <f>$C74*INDEX(Curves!$T$8:$T$68,T$4-$B74+1)</f>
        <v/>
      </c>
      <c r="U74" s="153">
        <f>$C74*INDEX(Curves!$T$8:$T$68,U$4-$B74+1)</f>
        <v/>
      </c>
      <c r="V74" s="153">
        <f>$C74*INDEX(Curves!$T$8:$T$68,V$4-$B74+1)</f>
        <v/>
      </c>
      <c r="W74" s="153">
        <f>$C74*INDEX(Curves!$T$8:$T$68,W$4-$B74+1)</f>
        <v/>
      </c>
      <c r="X74" s="153">
        <f>$C74*INDEX(Curves!$T$8:$T$68,X$4-$B74+1)</f>
        <v/>
      </c>
      <c r="Y74" s="153">
        <f>$C74*INDEX(Curves!$T$8:$T$68,Y$4-$B74+1)</f>
        <v/>
      </c>
      <c r="Z74" s="153">
        <f>$C74*INDEX(Curves!$T$8:$T$68,Z$4-$B74+1)</f>
        <v/>
      </c>
      <c r="AA74" s="153">
        <f>$C74*INDEX(Curves!$T$8:$T$68,AA$4-$B74+1)</f>
        <v/>
      </c>
      <c r="AB74" s="153">
        <f>$C74*INDEX(Curves!$T$8:$T$68,AB$4-$B74+1)</f>
        <v/>
      </c>
      <c r="AC74" s="153">
        <f>$C74*INDEX(Curves!$T$8:$T$68,AC$4-$B74+1)</f>
        <v/>
      </c>
      <c r="AD74" s="153">
        <f>$C74*INDEX(Curves!$T$8:$T$68,AD$4-$B74+1)</f>
        <v/>
      </c>
      <c r="AE74" s="153">
        <f>$C74*INDEX(Curves!$T$8:$T$68,AE$4-$B74+1)</f>
        <v/>
      </c>
      <c r="AF74" s="153">
        <f>$C74*INDEX(Curves!$T$8:$T$68,AF$4-$B74+1)</f>
        <v/>
      </c>
      <c r="AG74" s="153">
        <f>$C74*INDEX(Curves!$T$8:$T$68,AG$4-$B74+1)</f>
        <v/>
      </c>
      <c r="AH74" s="153">
        <f>$C74*INDEX(Curves!$T$8:$T$68,AH$4-$B74+1)</f>
        <v/>
      </c>
      <c r="AI74" s="153">
        <f>$C74*INDEX(Curves!$T$8:$T$68,AI$4-$B74+1)</f>
        <v/>
      </c>
      <c r="AJ74" s="153">
        <f>$C74*INDEX(Curves!$T$8:$T$68,AJ$4-$B74+1)</f>
        <v/>
      </c>
      <c r="AK74" s="153">
        <f>$C74*INDEX(Curves!$T$8:$T$68,AK$4-$B74+1)</f>
        <v/>
      </c>
      <c r="AL74" s="153">
        <f>$C74*INDEX(Curves!$T$8:$T$68,AL$4-$B74+1)</f>
        <v/>
      </c>
      <c r="AM74" s="153">
        <f>$C74*INDEX(Curves!$T$8:$T$68,AM$4-$B74+1)</f>
        <v/>
      </c>
      <c r="AN74" s="153">
        <f>$C74*INDEX(Curves!$T$8:$T$68,AN$4-$B74+1)</f>
        <v/>
      </c>
      <c r="AO74" s="153">
        <f>$C74*INDEX(Curves!$T$8:$T$68,AO$4-$B74+1)</f>
        <v/>
      </c>
      <c r="AP74" s="153">
        <f>$C74*INDEX(Curves!$T$8:$T$68,AP$4-$B74+1)</f>
        <v/>
      </c>
      <c r="AQ74" s="153">
        <f>$C74*INDEX(Curves!$T$8:$T$68,AQ$4-$B74+1)</f>
        <v/>
      </c>
      <c r="AR74" s="153">
        <f>$C74*INDEX(Curves!$T$8:$T$68,AR$4-$B74+1)</f>
        <v/>
      </c>
      <c r="AS74" s="153">
        <f>$C74*INDEX(Curves!$T$8:$T$68,AS$4-$B74+1)</f>
        <v/>
      </c>
      <c r="AT74" s="153">
        <f>$C74*INDEX(Curves!$T$8:$T$68,AT$4-$B74+1)</f>
        <v/>
      </c>
      <c r="AU74" s="153">
        <f>$C74*INDEX(Curves!$T$8:$T$68,AU$4-$B74+1)</f>
        <v/>
      </c>
      <c r="AV74" s="153">
        <f>$C74*INDEX(Curves!$T$8:$T$68,AV$4-$B74+1)</f>
        <v/>
      </c>
      <c r="AW74" s="153">
        <f>$C74*INDEX(Curves!$T$8:$T$68,AW$4-$B74+1)</f>
        <v/>
      </c>
      <c r="AX74" s="153">
        <f>$C74*INDEX(Curves!$T$8:$T$68,AX$4-$B74+1)</f>
        <v/>
      </c>
      <c r="AY74" s="153">
        <f>$C74*INDEX(Curves!$T$8:$T$68,AY$4-$B74+1)</f>
        <v/>
      </c>
      <c r="AZ74" s="153">
        <f>$C74*INDEX(Curves!$T$8:$T$68,AZ$4-$B74+1)</f>
        <v/>
      </c>
      <c r="BA74" s="153">
        <f>$C74*INDEX(Curves!$T$8:$T$68,BA$4-$B74+1)</f>
        <v/>
      </c>
      <c r="BB74" s="153">
        <f>$C74*INDEX(Curves!$T$8:$T$68,BB$4-$B74+1)</f>
        <v/>
      </c>
      <c r="BC74" s="153">
        <f>$C74*INDEX(Curves!$T$8:$T$68,BC$4-$B74+1)</f>
        <v/>
      </c>
      <c r="BD74" s="153">
        <f>$C74*INDEX(Curves!$T$8:$T$68,BD$4-$B74+1)</f>
        <v/>
      </c>
      <c r="BE74" s="153">
        <f>$C74*INDEX(Curves!$T$8:$T$68,BE$4-$B74+1)</f>
        <v/>
      </c>
      <c r="BF74" s="153">
        <f>$C74*INDEX(Curves!$T$8:$T$68,BF$4-$B74+1)</f>
        <v/>
      </c>
      <c r="BG74" s="153">
        <f>$C74*INDEX(Curves!$T$8:$T$68,BG$4-$B74+1)</f>
        <v/>
      </c>
      <c r="BH74" s="153">
        <f>$C74*INDEX(Curves!$T$8:$T$68,BH$4-$B74+1)</f>
        <v/>
      </c>
      <c r="BI74" s="153">
        <f>$C74*INDEX(Curves!$T$8:$T$68,BI$4-$B74+1)</f>
        <v/>
      </c>
      <c r="BJ74" s="153">
        <f>$C74*INDEX(Curves!$T$8:$T$68,BJ$4-$B74+1)</f>
        <v/>
      </c>
      <c r="BK74" s="153">
        <f>$C74*INDEX(Curves!$T$8:$T$68,BK$4-$B74+1)</f>
        <v/>
      </c>
      <c r="BL74" s="153">
        <f>$C74*INDEX(Curves!$T$8:$T$68,BL$4-$B74+1)</f>
        <v/>
      </c>
    </row>
    <row r="75">
      <c r="A75" s="147" t="inlineStr">
        <is>
          <t>Cohort month 3</t>
        </is>
      </c>
      <c r="B75" s="147" t="n">
        <v>3</v>
      </c>
      <c r="C75" s="41">
        <f>INDEX(Ops!$E$34:$BL$34,1,$B75)</f>
        <v/>
      </c>
      <c r="H75" s="153">
        <f>$C75*INDEX(Curves!$T$8:$T$68,H$4-$B75+1)</f>
        <v/>
      </c>
      <c r="I75" s="153">
        <f>$C75*INDEX(Curves!$T$8:$T$68,I$4-$B75+1)</f>
        <v/>
      </c>
      <c r="J75" s="153">
        <f>$C75*INDEX(Curves!$T$8:$T$68,J$4-$B75+1)</f>
        <v/>
      </c>
      <c r="K75" s="153">
        <f>$C75*INDEX(Curves!$T$8:$T$68,K$4-$B75+1)</f>
        <v/>
      </c>
      <c r="L75" s="153">
        <f>$C75*INDEX(Curves!$T$8:$T$68,L$4-$B75+1)</f>
        <v/>
      </c>
      <c r="M75" s="153">
        <f>$C75*INDEX(Curves!$T$8:$T$68,M$4-$B75+1)</f>
        <v/>
      </c>
      <c r="N75" s="153">
        <f>$C75*INDEX(Curves!$T$8:$T$68,N$4-$B75+1)</f>
        <v/>
      </c>
      <c r="O75" s="153">
        <f>$C75*INDEX(Curves!$T$8:$T$68,O$4-$B75+1)</f>
        <v/>
      </c>
      <c r="P75" s="153">
        <f>$C75*INDEX(Curves!$T$8:$T$68,P$4-$B75+1)</f>
        <v/>
      </c>
      <c r="Q75" s="153">
        <f>$C75*INDEX(Curves!$T$8:$T$68,Q$4-$B75+1)</f>
        <v/>
      </c>
      <c r="R75" s="153">
        <f>$C75*INDEX(Curves!$T$8:$T$68,R$4-$B75+1)</f>
        <v/>
      </c>
      <c r="S75" s="153">
        <f>$C75*INDEX(Curves!$T$8:$T$68,S$4-$B75+1)</f>
        <v/>
      </c>
      <c r="T75" s="153">
        <f>$C75*INDEX(Curves!$T$8:$T$68,T$4-$B75+1)</f>
        <v/>
      </c>
      <c r="U75" s="153">
        <f>$C75*INDEX(Curves!$T$8:$T$68,U$4-$B75+1)</f>
        <v/>
      </c>
      <c r="V75" s="153">
        <f>$C75*INDEX(Curves!$T$8:$T$68,V$4-$B75+1)</f>
        <v/>
      </c>
      <c r="W75" s="153">
        <f>$C75*INDEX(Curves!$T$8:$T$68,W$4-$B75+1)</f>
        <v/>
      </c>
      <c r="X75" s="153">
        <f>$C75*INDEX(Curves!$T$8:$T$68,X$4-$B75+1)</f>
        <v/>
      </c>
      <c r="Y75" s="153">
        <f>$C75*INDEX(Curves!$T$8:$T$68,Y$4-$B75+1)</f>
        <v/>
      </c>
      <c r="Z75" s="153">
        <f>$C75*INDEX(Curves!$T$8:$T$68,Z$4-$B75+1)</f>
        <v/>
      </c>
      <c r="AA75" s="153">
        <f>$C75*INDEX(Curves!$T$8:$T$68,AA$4-$B75+1)</f>
        <v/>
      </c>
      <c r="AB75" s="153">
        <f>$C75*INDEX(Curves!$T$8:$T$68,AB$4-$B75+1)</f>
        <v/>
      </c>
      <c r="AC75" s="153">
        <f>$C75*INDEX(Curves!$T$8:$T$68,AC$4-$B75+1)</f>
        <v/>
      </c>
      <c r="AD75" s="153">
        <f>$C75*INDEX(Curves!$T$8:$T$68,AD$4-$B75+1)</f>
        <v/>
      </c>
      <c r="AE75" s="153">
        <f>$C75*INDEX(Curves!$T$8:$T$68,AE$4-$B75+1)</f>
        <v/>
      </c>
      <c r="AF75" s="153">
        <f>$C75*INDEX(Curves!$T$8:$T$68,AF$4-$B75+1)</f>
        <v/>
      </c>
      <c r="AG75" s="153">
        <f>$C75*INDEX(Curves!$T$8:$T$68,AG$4-$B75+1)</f>
        <v/>
      </c>
      <c r="AH75" s="153">
        <f>$C75*INDEX(Curves!$T$8:$T$68,AH$4-$B75+1)</f>
        <v/>
      </c>
      <c r="AI75" s="153">
        <f>$C75*INDEX(Curves!$T$8:$T$68,AI$4-$B75+1)</f>
        <v/>
      </c>
      <c r="AJ75" s="153">
        <f>$C75*INDEX(Curves!$T$8:$T$68,AJ$4-$B75+1)</f>
        <v/>
      </c>
      <c r="AK75" s="153">
        <f>$C75*INDEX(Curves!$T$8:$T$68,AK$4-$B75+1)</f>
        <v/>
      </c>
      <c r="AL75" s="153">
        <f>$C75*INDEX(Curves!$T$8:$T$68,AL$4-$B75+1)</f>
        <v/>
      </c>
      <c r="AM75" s="153">
        <f>$C75*INDEX(Curves!$T$8:$T$68,AM$4-$B75+1)</f>
        <v/>
      </c>
      <c r="AN75" s="153">
        <f>$C75*INDEX(Curves!$T$8:$T$68,AN$4-$B75+1)</f>
        <v/>
      </c>
      <c r="AO75" s="153">
        <f>$C75*INDEX(Curves!$T$8:$T$68,AO$4-$B75+1)</f>
        <v/>
      </c>
      <c r="AP75" s="153">
        <f>$C75*INDEX(Curves!$T$8:$T$68,AP$4-$B75+1)</f>
        <v/>
      </c>
      <c r="AQ75" s="153">
        <f>$C75*INDEX(Curves!$T$8:$T$68,AQ$4-$B75+1)</f>
        <v/>
      </c>
      <c r="AR75" s="153">
        <f>$C75*INDEX(Curves!$T$8:$T$68,AR$4-$B75+1)</f>
        <v/>
      </c>
      <c r="AS75" s="153">
        <f>$C75*INDEX(Curves!$T$8:$T$68,AS$4-$B75+1)</f>
        <v/>
      </c>
      <c r="AT75" s="153">
        <f>$C75*INDEX(Curves!$T$8:$T$68,AT$4-$B75+1)</f>
        <v/>
      </c>
      <c r="AU75" s="153">
        <f>$C75*INDEX(Curves!$T$8:$T$68,AU$4-$B75+1)</f>
        <v/>
      </c>
      <c r="AV75" s="153">
        <f>$C75*INDEX(Curves!$T$8:$T$68,AV$4-$B75+1)</f>
        <v/>
      </c>
      <c r="AW75" s="153">
        <f>$C75*INDEX(Curves!$T$8:$T$68,AW$4-$B75+1)</f>
        <v/>
      </c>
      <c r="AX75" s="153">
        <f>$C75*INDEX(Curves!$T$8:$T$68,AX$4-$B75+1)</f>
        <v/>
      </c>
      <c r="AY75" s="153">
        <f>$C75*INDEX(Curves!$T$8:$T$68,AY$4-$B75+1)</f>
        <v/>
      </c>
      <c r="AZ75" s="153">
        <f>$C75*INDEX(Curves!$T$8:$T$68,AZ$4-$B75+1)</f>
        <v/>
      </c>
      <c r="BA75" s="153">
        <f>$C75*INDEX(Curves!$T$8:$T$68,BA$4-$B75+1)</f>
        <v/>
      </c>
      <c r="BB75" s="153">
        <f>$C75*INDEX(Curves!$T$8:$T$68,BB$4-$B75+1)</f>
        <v/>
      </c>
      <c r="BC75" s="153">
        <f>$C75*INDEX(Curves!$T$8:$T$68,BC$4-$B75+1)</f>
        <v/>
      </c>
      <c r="BD75" s="153">
        <f>$C75*INDEX(Curves!$T$8:$T$68,BD$4-$B75+1)</f>
        <v/>
      </c>
      <c r="BE75" s="153">
        <f>$C75*INDEX(Curves!$T$8:$T$68,BE$4-$B75+1)</f>
        <v/>
      </c>
      <c r="BF75" s="153">
        <f>$C75*INDEX(Curves!$T$8:$T$68,BF$4-$B75+1)</f>
        <v/>
      </c>
      <c r="BG75" s="153">
        <f>$C75*INDEX(Curves!$T$8:$T$68,BG$4-$B75+1)</f>
        <v/>
      </c>
      <c r="BH75" s="153">
        <f>$C75*INDEX(Curves!$T$8:$T$68,BH$4-$B75+1)</f>
        <v/>
      </c>
      <c r="BI75" s="153">
        <f>$C75*INDEX(Curves!$T$8:$T$68,BI$4-$B75+1)</f>
        <v/>
      </c>
      <c r="BJ75" s="153">
        <f>$C75*INDEX(Curves!$T$8:$T$68,BJ$4-$B75+1)</f>
        <v/>
      </c>
      <c r="BK75" s="153">
        <f>$C75*INDEX(Curves!$T$8:$T$68,BK$4-$B75+1)</f>
        <v/>
      </c>
      <c r="BL75" s="153">
        <f>$C75*INDEX(Curves!$T$8:$T$68,BL$4-$B75+1)</f>
        <v/>
      </c>
    </row>
    <row r="76">
      <c r="A76" s="147" t="inlineStr">
        <is>
          <t>Cohort month 4</t>
        </is>
      </c>
      <c r="B76" s="147" t="n">
        <v>4</v>
      </c>
      <c r="C76" s="41">
        <f>INDEX(Ops!$E$34:$BL$34,1,$B76)</f>
        <v/>
      </c>
      <c r="I76" s="153">
        <f>$C76*INDEX(Curves!$T$8:$T$68,I$4-$B76+1)</f>
        <v/>
      </c>
      <c r="J76" s="153">
        <f>$C76*INDEX(Curves!$T$8:$T$68,J$4-$B76+1)</f>
        <v/>
      </c>
      <c r="K76" s="153">
        <f>$C76*INDEX(Curves!$T$8:$T$68,K$4-$B76+1)</f>
        <v/>
      </c>
      <c r="L76" s="153">
        <f>$C76*INDEX(Curves!$T$8:$T$68,L$4-$B76+1)</f>
        <v/>
      </c>
      <c r="M76" s="153">
        <f>$C76*INDEX(Curves!$T$8:$T$68,M$4-$B76+1)</f>
        <v/>
      </c>
      <c r="N76" s="153">
        <f>$C76*INDEX(Curves!$T$8:$T$68,N$4-$B76+1)</f>
        <v/>
      </c>
      <c r="O76" s="153">
        <f>$C76*INDEX(Curves!$T$8:$T$68,O$4-$B76+1)</f>
        <v/>
      </c>
      <c r="P76" s="153">
        <f>$C76*INDEX(Curves!$T$8:$T$68,P$4-$B76+1)</f>
        <v/>
      </c>
      <c r="Q76" s="153">
        <f>$C76*INDEX(Curves!$T$8:$T$68,Q$4-$B76+1)</f>
        <v/>
      </c>
      <c r="R76" s="153">
        <f>$C76*INDEX(Curves!$T$8:$T$68,R$4-$B76+1)</f>
        <v/>
      </c>
      <c r="S76" s="153">
        <f>$C76*INDEX(Curves!$T$8:$T$68,S$4-$B76+1)</f>
        <v/>
      </c>
      <c r="T76" s="153">
        <f>$C76*INDEX(Curves!$T$8:$T$68,T$4-$B76+1)</f>
        <v/>
      </c>
      <c r="U76" s="153">
        <f>$C76*INDEX(Curves!$T$8:$T$68,U$4-$B76+1)</f>
        <v/>
      </c>
      <c r="V76" s="153">
        <f>$C76*INDEX(Curves!$T$8:$T$68,V$4-$B76+1)</f>
        <v/>
      </c>
      <c r="W76" s="153">
        <f>$C76*INDEX(Curves!$T$8:$T$68,W$4-$B76+1)</f>
        <v/>
      </c>
      <c r="X76" s="153">
        <f>$C76*INDEX(Curves!$T$8:$T$68,X$4-$B76+1)</f>
        <v/>
      </c>
      <c r="Y76" s="153">
        <f>$C76*INDEX(Curves!$T$8:$T$68,Y$4-$B76+1)</f>
        <v/>
      </c>
      <c r="Z76" s="153">
        <f>$C76*INDEX(Curves!$T$8:$T$68,Z$4-$B76+1)</f>
        <v/>
      </c>
      <c r="AA76" s="153">
        <f>$C76*INDEX(Curves!$T$8:$T$68,AA$4-$B76+1)</f>
        <v/>
      </c>
      <c r="AB76" s="153">
        <f>$C76*INDEX(Curves!$T$8:$T$68,AB$4-$B76+1)</f>
        <v/>
      </c>
      <c r="AC76" s="153">
        <f>$C76*INDEX(Curves!$T$8:$T$68,AC$4-$B76+1)</f>
        <v/>
      </c>
      <c r="AD76" s="153">
        <f>$C76*INDEX(Curves!$T$8:$T$68,AD$4-$B76+1)</f>
        <v/>
      </c>
      <c r="AE76" s="153">
        <f>$C76*INDEX(Curves!$T$8:$T$68,AE$4-$B76+1)</f>
        <v/>
      </c>
      <c r="AF76" s="153">
        <f>$C76*INDEX(Curves!$T$8:$T$68,AF$4-$B76+1)</f>
        <v/>
      </c>
      <c r="AG76" s="153">
        <f>$C76*INDEX(Curves!$T$8:$T$68,AG$4-$B76+1)</f>
        <v/>
      </c>
      <c r="AH76" s="153">
        <f>$C76*INDEX(Curves!$T$8:$T$68,AH$4-$B76+1)</f>
        <v/>
      </c>
      <c r="AI76" s="153">
        <f>$C76*INDEX(Curves!$T$8:$T$68,AI$4-$B76+1)</f>
        <v/>
      </c>
      <c r="AJ76" s="153">
        <f>$C76*INDEX(Curves!$T$8:$T$68,AJ$4-$B76+1)</f>
        <v/>
      </c>
      <c r="AK76" s="153">
        <f>$C76*INDEX(Curves!$T$8:$T$68,AK$4-$B76+1)</f>
        <v/>
      </c>
      <c r="AL76" s="153">
        <f>$C76*INDEX(Curves!$T$8:$T$68,AL$4-$B76+1)</f>
        <v/>
      </c>
      <c r="AM76" s="153">
        <f>$C76*INDEX(Curves!$T$8:$T$68,AM$4-$B76+1)</f>
        <v/>
      </c>
      <c r="AN76" s="153">
        <f>$C76*INDEX(Curves!$T$8:$T$68,AN$4-$B76+1)</f>
        <v/>
      </c>
      <c r="AO76" s="153">
        <f>$C76*INDEX(Curves!$T$8:$T$68,AO$4-$B76+1)</f>
        <v/>
      </c>
      <c r="AP76" s="153">
        <f>$C76*INDEX(Curves!$T$8:$T$68,AP$4-$B76+1)</f>
        <v/>
      </c>
      <c r="AQ76" s="153">
        <f>$C76*INDEX(Curves!$T$8:$T$68,AQ$4-$B76+1)</f>
        <v/>
      </c>
      <c r="AR76" s="153">
        <f>$C76*INDEX(Curves!$T$8:$T$68,AR$4-$B76+1)</f>
        <v/>
      </c>
      <c r="AS76" s="153">
        <f>$C76*INDEX(Curves!$T$8:$T$68,AS$4-$B76+1)</f>
        <v/>
      </c>
      <c r="AT76" s="153">
        <f>$C76*INDEX(Curves!$T$8:$T$68,AT$4-$B76+1)</f>
        <v/>
      </c>
      <c r="AU76" s="153">
        <f>$C76*INDEX(Curves!$T$8:$T$68,AU$4-$B76+1)</f>
        <v/>
      </c>
      <c r="AV76" s="153">
        <f>$C76*INDEX(Curves!$T$8:$T$68,AV$4-$B76+1)</f>
        <v/>
      </c>
      <c r="AW76" s="153">
        <f>$C76*INDEX(Curves!$T$8:$T$68,AW$4-$B76+1)</f>
        <v/>
      </c>
      <c r="AX76" s="153">
        <f>$C76*INDEX(Curves!$T$8:$T$68,AX$4-$B76+1)</f>
        <v/>
      </c>
      <c r="AY76" s="153">
        <f>$C76*INDEX(Curves!$T$8:$T$68,AY$4-$B76+1)</f>
        <v/>
      </c>
      <c r="AZ76" s="153">
        <f>$C76*INDEX(Curves!$T$8:$T$68,AZ$4-$B76+1)</f>
        <v/>
      </c>
      <c r="BA76" s="153">
        <f>$C76*INDEX(Curves!$T$8:$T$68,BA$4-$B76+1)</f>
        <v/>
      </c>
      <c r="BB76" s="153">
        <f>$C76*INDEX(Curves!$T$8:$T$68,BB$4-$B76+1)</f>
        <v/>
      </c>
      <c r="BC76" s="153">
        <f>$C76*INDEX(Curves!$T$8:$T$68,BC$4-$B76+1)</f>
        <v/>
      </c>
      <c r="BD76" s="153">
        <f>$C76*INDEX(Curves!$T$8:$T$68,BD$4-$B76+1)</f>
        <v/>
      </c>
      <c r="BE76" s="153">
        <f>$C76*INDEX(Curves!$T$8:$T$68,BE$4-$B76+1)</f>
        <v/>
      </c>
      <c r="BF76" s="153">
        <f>$C76*INDEX(Curves!$T$8:$T$68,BF$4-$B76+1)</f>
        <v/>
      </c>
      <c r="BG76" s="153">
        <f>$C76*INDEX(Curves!$T$8:$T$68,BG$4-$B76+1)</f>
        <v/>
      </c>
      <c r="BH76" s="153">
        <f>$C76*INDEX(Curves!$T$8:$T$68,BH$4-$B76+1)</f>
        <v/>
      </c>
      <c r="BI76" s="153">
        <f>$C76*INDEX(Curves!$T$8:$T$68,BI$4-$B76+1)</f>
        <v/>
      </c>
      <c r="BJ76" s="153">
        <f>$C76*INDEX(Curves!$T$8:$T$68,BJ$4-$B76+1)</f>
        <v/>
      </c>
      <c r="BK76" s="153">
        <f>$C76*INDEX(Curves!$T$8:$T$68,BK$4-$B76+1)</f>
        <v/>
      </c>
      <c r="BL76" s="153">
        <f>$C76*INDEX(Curves!$T$8:$T$68,BL$4-$B76+1)</f>
        <v/>
      </c>
    </row>
    <row r="77">
      <c r="A77" s="147" t="inlineStr">
        <is>
          <t>Cohort month 5</t>
        </is>
      </c>
      <c r="B77" s="147" t="n">
        <v>5</v>
      </c>
      <c r="C77" s="41">
        <f>INDEX(Ops!$E$34:$BL$34,1,$B77)</f>
        <v/>
      </c>
      <c r="J77" s="153">
        <f>$C77*INDEX(Curves!$T$8:$T$68,J$4-$B77+1)</f>
        <v/>
      </c>
      <c r="K77" s="153">
        <f>$C77*INDEX(Curves!$T$8:$T$68,K$4-$B77+1)</f>
        <v/>
      </c>
      <c r="L77" s="153">
        <f>$C77*INDEX(Curves!$T$8:$T$68,L$4-$B77+1)</f>
        <v/>
      </c>
      <c r="M77" s="153">
        <f>$C77*INDEX(Curves!$T$8:$T$68,M$4-$B77+1)</f>
        <v/>
      </c>
      <c r="N77" s="153">
        <f>$C77*INDEX(Curves!$T$8:$T$68,N$4-$B77+1)</f>
        <v/>
      </c>
      <c r="O77" s="153">
        <f>$C77*INDEX(Curves!$T$8:$T$68,O$4-$B77+1)</f>
        <v/>
      </c>
      <c r="P77" s="153">
        <f>$C77*INDEX(Curves!$T$8:$T$68,P$4-$B77+1)</f>
        <v/>
      </c>
      <c r="Q77" s="153">
        <f>$C77*INDEX(Curves!$T$8:$T$68,Q$4-$B77+1)</f>
        <v/>
      </c>
      <c r="R77" s="153">
        <f>$C77*INDEX(Curves!$T$8:$T$68,R$4-$B77+1)</f>
        <v/>
      </c>
      <c r="S77" s="153">
        <f>$C77*INDEX(Curves!$T$8:$T$68,S$4-$B77+1)</f>
        <v/>
      </c>
      <c r="T77" s="153">
        <f>$C77*INDEX(Curves!$T$8:$T$68,T$4-$B77+1)</f>
        <v/>
      </c>
      <c r="U77" s="153">
        <f>$C77*INDEX(Curves!$T$8:$T$68,U$4-$B77+1)</f>
        <v/>
      </c>
      <c r="V77" s="153">
        <f>$C77*INDEX(Curves!$T$8:$T$68,V$4-$B77+1)</f>
        <v/>
      </c>
      <c r="W77" s="153">
        <f>$C77*INDEX(Curves!$T$8:$T$68,W$4-$B77+1)</f>
        <v/>
      </c>
      <c r="X77" s="153">
        <f>$C77*INDEX(Curves!$T$8:$T$68,X$4-$B77+1)</f>
        <v/>
      </c>
      <c r="Y77" s="153">
        <f>$C77*INDEX(Curves!$T$8:$T$68,Y$4-$B77+1)</f>
        <v/>
      </c>
      <c r="Z77" s="153">
        <f>$C77*INDEX(Curves!$T$8:$T$68,Z$4-$B77+1)</f>
        <v/>
      </c>
      <c r="AA77" s="153">
        <f>$C77*INDEX(Curves!$T$8:$T$68,AA$4-$B77+1)</f>
        <v/>
      </c>
      <c r="AB77" s="153">
        <f>$C77*INDEX(Curves!$T$8:$T$68,AB$4-$B77+1)</f>
        <v/>
      </c>
      <c r="AC77" s="153">
        <f>$C77*INDEX(Curves!$T$8:$T$68,AC$4-$B77+1)</f>
        <v/>
      </c>
      <c r="AD77" s="153">
        <f>$C77*INDEX(Curves!$T$8:$T$68,AD$4-$B77+1)</f>
        <v/>
      </c>
      <c r="AE77" s="153">
        <f>$C77*INDEX(Curves!$T$8:$T$68,AE$4-$B77+1)</f>
        <v/>
      </c>
      <c r="AF77" s="153">
        <f>$C77*INDEX(Curves!$T$8:$T$68,AF$4-$B77+1)</f>
        <v/>
      </c>
      <c r="AG77" s="153">
        <f>$C77*INDEX(Curves!$T$8:$T$68,AG$4-$B77+1)</f>
        <v/>
      </c>
      <c r="AH77" s="153">
        <f>$C77*INDEX(Curves!$T$8:$T$68,AH$4-$B77+1)</f>
        <v/>
      </c>
      <c r="AI77" s="153">
        <f>$C77*INDEX(Curves!$T$8:$T$68,AI$4-$B77+1)</f>
        <v/>
      </c>
      <c r="AJ77" s="153">
        <f>$C77*INDEX(Curves!$T$8:$T$68,AJ$4-$B77+1)</f>
        <v/>
      </c>
      <c r="AK77" s="153">
        <f>$C77*INDEX(Curves!$T$8:$T$68,AK$4-$B77+1)</f>
        <v/>
      </c>
      <c r="AL77" s="153">
        <f>$C77*INDEX(Curves!$T$8:$T$68,AL$4-$B77+1)</f>
        <v/>
      </c>
      <c r="AM77" s="153">
        <f>$C77*INDEX(Curves!$T$8:$T$68,AM$4-$B77+1)</f>
        <v/>
      </c>
      <c r="AN77" s="153">
        <f>$C77*INDEX(Curves!$T$8:$T$68,AN$4-$B77+1)</f>
        <v/>
      </c>
      <c r="AO77" s="153">
        <f>$C77*INDEX(Curves!$T$8:$T$68,AO$4-$B77+1)</f>
        <v/>
      </c>
      <c r="AP77" s="153">
        <f>$C77*INDEX(Curves!$T$8:$T$68,AP$4-$B77+1)</f>
        <v/>
      </c>
      <c r="AQ77" s="153">
        <f>$C77*INDEX(Curves!$T$8:$T$68,AQ$4-$B77+1)</f>
        <v/>
      </c>
      <c r="AR77" s="153">
        <f>$C77*INDEX(Curves!$T$8:$T$68,AR$4-$B77+1)</f>
        <v/>
      </c>
      <c r="AS77" s="153">
        <f>$C77*INDEX(Curves!$T$8:$T$68,AS$4-$B77+1)</f>
        <v/>
      </c>
      <c r="AT77" s="153">
        <f>$C77*INDEX(Curves!$T$8:$T$68,AT$4-$B77+1)</f>
        <v/>
      </c>
      <c r="AU77" s="153">
        <f>$C77*INDEX(Curves!$T$8:$T$68,AU$4-$B77+1)</f>
        <v/>
      </c>
      <c r="AV77" s="153">
        <f>$C77*INDEX(Curves!$T$8:$T$68,AV$4-$B77+1)</f>
        <v/>
      </c>
      <c r="AW77" s="153">
        <f>$C77*INDEX(Curves!$T$8:$T$68,AW$4-$B77+1)</f>
        <v/>
      </c>
      <c r="AX77" s="153">
        <f>$C77*INDEX(Curves!$T$8:$T$68,AX$4-$B77+1)</f>
        <v/>
      </c>
      <c r="AY77" s="153">
        <f>$C77*INDEX(Curves!$T$8:$T$68,AY$4-$B77+1)</f>
        <v/>
      </c>
      <c r="AZ77" s="153">
        <f>$C77*INDEX(Curves!$T$8:$T$68,AZ$4-$B77+1)</f>
        <v/>
      </c>
      <c r="BA77" s="153">
        <f>$C77*INDEX(Curves!$T$8:$T$68,BA$4-$B77+1)</f>
        <v/>
      </c>
      <c r="BB77" s="153">
        <f>$C77*INDEX(Curves!$T$8:$T$68,BB$4-$B77+1)</f>
        <v/>
      </c>
      <c r="BC77" s="153">
        <f>$C77*INDEX(Curves!$T$8:$T$68,BC$4-$B77+1)</f>
        <v/>
      </c>
      <c r="BD77" s="153">
        <f>$C77*INDEX(Curves!$T$8:$T$68,BD$4-$B77+1)</f>
        <v/>
      </c>
      <c r="BE77" s="153">
        <f>$C77*INDEX(Curves!$T$8:$T$68,BE$4-$B77+1)</f>
        <v/>
      </c>
      <c r="BF77" s="153">
        <f>$C77*INDEX(Curves!$T$8:$T$68,BF$4-$B77+1)</f>
        <v/>
      </c>
      <c r="BG77" s="153">
        <f>$C77*INDEX(Curves!$T$8:$T$68,BG$4-$B77+1)</f>
        <v/>
      </c>
      <c r="BH77" s="153">
        <f>$C77*INDEX(Curves!$T$8:$T$68,BH$4-$B77+1)</f>
        <v/>
      </c>
      <c r="BI77" s="153">
        <f>$C77*INDEX(Curves!$T$8:$T$68,BI$4-$B77+1)</f>
        <v/>
      </c>
      <c r="BJ77" s="153">
        <f>$C77*INDEX(Curves!$T$8:$T$68,BJ$4-$B77+1)</f>
        <v/>
      </c>
      <c r="BK77" s="153">
        <f>$C77*INDEX(Curves!$T$8:$T$68,BK$4-$B77+1)</f>
        <v/>
      </c>
      <c r="BL77" s="153">
        <f>$C77*INDEX(Curves!$T$8:$T$68,BL$4-$B77+1)</f>
        <v/>
      </c>
    </row>
    <row r="78">
      <c r="A78" s="147" t="inlineStr">
        <is>
          <t>Cohort month 6</t>
        </is>
      </c>
      <c r="B78" s="147" t="n">
        <v>6</v>
      </c>
      <c r="C78" s="41">
        <f>INDEX(Ops!$E$34:$BL$34,1,$B78)</f>
        <v/>
      </c>
      <c r="K78" s="153">
        <f>$C78*INDEX(Curves!$T$8:$T$68,K$4-$B78+1)</f>
        <v/>
      </c>
      <c r="L78" s="153">
        <f>$C78*INDEX(Curves!$T$8:$T$68,L$4-$B78+1)</f>
        <v/>
      </c>
      <c r="M78" s="153">
        <f>$C78*INDEX(Curves!$T$8:$T$68,M$4-$B78+1)</f>
        <v/>
      </c>
      <c r="N78" s="153">
        <f>$C78*INDEX(Curves!$T$8:$T$68,N$4-$B78+1)</f>
        <v/>
      </c>
      <c r="O78" s="153">
        <f>$C78*INDEX(Curves!$T$8:$T$68,O$4-$B78+1)</f>
        <v/>
      </c>
      <c r="P78" s="153">
        <f>$C78*INDEX(Curves!$T$8:$T$68,P$4-$B78+1)</f>
        <v/>
      </c>
      <c r="Q78" s="153">
        <f>$C78*INDEX(Curves!$T$8:$T$68,Q$4-$B78+1)</f>
        <v/>
      </c>
      <c r="R78" s="153">
        <f>$C78*INDEX(Curves!$T$8:$T$68,R$4-$B78+1)</f>
        <v/>
      </c>
      <c r="S78" s="153">
        <f>$C78*INDEX(Curves!$T$8:$T$68,S$4-$B78+1)</f>
        <v/>
      </c>
      <c r="T78" s="153">
        <f>$C78*INDEX(Curves!$T$8:$T$68,T$4-$B78+1)</f>
        <v/>
      </c>
      <c r="U78" s="153">
        <f>$C78*INDEX(Curves!$T$8:$T$68,U$4-$B78+1)</f>
        <v/>
      </c>
      <c r="V78" s="153">
        <f>$C78*INDEX(Curves!$T$8:$T$68,V$4-$B78+1)</f>
        <v/>
      </c>
      <c r="W78" s="153">
        <f>$C78*INDEX(Curves!$T$8:$T$68,W$4-$B78+1)</f>
        <v/>
      </c>
      <c r="X78" s="153">
        <f>$C78*INDEX(Curves!$T$8:$T$68,X$4-$B78+1)</f>
        <v/>
      </c>
      <c r="Y78" s="153">
        <f>$C78*INDEX(Curves!$T$8:$T$68,Y$4-$B78+1)</f>
        <v/>
      </c>
      <c r="Z78" s="153">
        <f>$C78*INDEX(Curves!$T$8:$T$68,Z$4-$B78+1)</f>
        <v/>
      </c>
      <c r="AA78" s="153">
        <f>$C78*INDEX(Curves!$T$8:$T$68,AA$4-$B78+1)</f>
        <v/>
      </c>
      <c r="AB78" s="153">
        <f>$C78*INDEX(Curves!$T$8:$T$68,AB$4-$B78+1)</f>
        <v/>
      </c>
      <c r="AC78" s="153">
        <f>$C78*INDEX(Curves!$T$8:$T$68,AC$4-$B78+1)</f>
        <v/>
      </c>
      <c r="AD78" s="153">
        <f>$C78*INDEX(Curves!$T$8:$T$68,AD$4-$B78+1)</f>
        <v/>
      </c>
      <c r="AE78" s="153">
        <f>$C78*INDEX(Curves!$T$8:$T$68,AE$4-$B78+1)</f>
        <v/>
      </c>
      <c r="AF78" s="153">
        <f>$C78*INDEX(Curves!$T$8:$T$68,AF$4-$B78+1)</f>
        <v/>
      </c>
      <c r="AG78" s="153">
        <f>$C78*INDEX(Curves!$T$8:$T$68,AG$4-$B78+1)</f>
        <v/>
      </c>
      <c r="AH78" s="153">
        <f>$C78*INDEX(Curves!$T$8:$T$68,AH$4-$B78+1)</f>
        <v/>
      </c>
      <c r="AI78" s="153">
        <f>$C78*INDEX(Curves!$T$8:$T$68,AI$4-$B78+1)</f>
        <v/>
      </c>
      <c r="AJ78" s="153">
        <f>$C78*INDEX(Curves!$T$8:$T$68,AJ$4-$B78+1)</f>
        <v/>
      </c>
      <c r="AK78" s="153">
        <f>$C78*INDEX(Curves!$T$8:$T$68,AK$4-$B78+1)</f>
        <v/>
      </c>
      <c r="AL78" s="153">
        <f>$C78*INDEX(Curves!$T$8:$T$68,AL$4-$B78+1)</f>
        <v/>
      </c>
      <c r="AM78" s="153">
        <f>$C78*INDEX(Curves!$T$8:$T$68,AM$4-$B78+1)</f>
        <v/>
      </c>
      <c r="AN78" s="153">
        <f>$C78*INDEX(Curves!$T$8:$T$68,AN$4-$B78+1)</f>
        <v/>
      </c>
      <c r="AO78" s="153">
        <f>$C78*INDEX(Curves!$T$8:$T$68,AO$4-$B78+1)</f>
        <v/>
      </c>
      <c r="AP78" s="153">
        <f>$C78*INDEX(Curves!$T$8:$T$68,AP$4-$B78+1)</f>
        <v/>
      </c>
      <c r="AQ78" s="153">
        <f>$C78*INDEX(Curves!$T$8:$T$68,AQ$4-$B78+1)</f>
        <v/>
      </c>
      <c r="AR78" s="153">
        <f>$C78*INDEX(Curves!$T$8:$T$68,AR$4-$B78+1)</f>
        <v/>
      </c>
      <c r="AS78" s="153">
        <f>$C78*INDEX(Curves!$T$8:$T$68,AS$4-$B78+1)</f>
        <v/>
      </c>
      <c r="AT78" s="153">
        <f>$C78*INDEX(Curves!$T$8:$T$68,AT$4-$B78+1)</f>
        <v/>
      </c>
      <c r="AU78" s="153">
        <f>$C78*INDEX(Curves!$T$8:$T$68,AU$4-$B78+1)</f>
        <v/>
      </c>
      <c r="AV78" s="153">
        <f>$C78*INDEX(Curves!$T$8:$T$68,AV$4-$B78+1)</f>
        <v/>
      </c>
      <c r="AW78" s="153">
        <f>$C78*INDEX(Curves!$T$8:$T$68,AW$4-$B78+1)</f>
        <v/>
      </c>
      <c r="AX78" s="153">
        <f>$C78*INDEX(Curves!$T$8:$T$68,AX$4-$B78+1)</f>
        <v/>
      </c>
      <c r="AY78" s="153">
        <f>$C78*INDEX(Curves!$T$8:$T$68,AY$4-$B78+1)</f>
        <v/>
      </c>
      <c r="AZ78" s="153">
        <f>$C78*INDEX(Curves!$T$8:$T$68,AZ$4-$B78+1)</f>
        <v/>
      </c>
      <c r="BA78" s="153">
        <f>$C78*INDEX(Curves!$T$8:$T$68,BA$4-$B78+1)</f>
        <v/>
      </c>
      <c r="BB78" s="153">
        <f>$C78*INDEX(Curves!$T$8:$T$68,BB$4-$B78+1)</f>
        <v/>
      </c>
      <c r="BC78" s="153">
        <f>$C78*INDEX(Curves!$T$8:$T$68,BC$4-$B78+1)</f>
        <v/>
      </c>
      <c r="BD78" s="153">
        <f>$C78*INDEX(Curves!$T$8:$T$68,BD$4-$B78+1)</f>
        <v/>
      </c>
      <c r="BE78" s="153">
        <f>$C78*INDEX(Curves!$T$8:$T$68,BE$4-$B78+1)</f>
        <v/>
      </c>
      <c r="BF78" s="153">
        <f>$C78*INDEX(Curves!$T$8:$T$68,BF$4-$B78+1)</f>
        <v/>
      </c>
      <c r="BG78" s="153">
        <f>$C78*INDEX(Curves!$T$8:$T$68,BG$4-$B78+1)</f>
        <v/>
      </c>
      <c r="BH78" s="153">
        <f>$C78*INDEX(Curves!$T$8:$T$68,BH$4-$B78+1)</f>
        <v/>
      </c>
      <c r="BI78" s="153">
        <f>$C78*INDEX(Curves!$T$8:$T$68,BI$4-$B78+1)</f>
        <v/>
      </c>
      <c r="BJ78" s="153">
        <f>$C78*INDEX(Curves!$T$8:$T$68,BJ$4-$B78+1)</f>
        <v/>
      </c>
      <c r="BK78" s="153">
        <f>$C78*INDEX(Curves!$T$8:$T$68,BK$4-$B78+1)</f>
        <v/>
      </c>
      <c r="BL78" s="153">
        <f>$C78*INDEX(Curves!$T$8:$T$68,BL$4-$B78+1)</f>
        <v/>
      </c>
    </row>
    <row r="79">
      <c r="A79" s="147" t="inlineStr">
        <is>
          <t>Cohort month 7</t>
        </is>
      </c>
      <c r="B79" s="147" t="n">
        <v>7</v>
      </c>
      <c r="C79" s="41">
        <f>INDEX(Ops!$E$34:$BL$34,1,$B79)</f>
        <v/>
      </c>
      <c r="L79" s="153">
        <f>$C79*INDEX(Curves!$T$8:$T$68,L$4-$B79+1)</f>
        <v/>
      </c>
      <c r="M79" s="153">
        <f>$C79*INDEX(Curves!$T$8:$T$68,M$4-$B79+1)</f>
        <v/>
      </c>
      <c r="N79" s="153">
        <f>$C79*INDEX(Curves!$T$8:$T$68,N$4-$B79+1)</f>
        <v/>
      </c>
      <c r="O79" s="153">
        <f>$C79*INDEX(Curves!$T$8:$T$68,O$4-$B79+1)</f>
        <v/>
      </c>
      <c r="P79" s="153">
        <f>$C79*INDEX(Curves!$T$8:$T$68,P$4-$B79+1)</f>
        <v/>
      </c>
      <c r="Q79" s="153">
        <f>$C79*INDEX(Curves!$T$8:$T$68,Q$4-$B79+1)</f>
        <v/>
      </c>
      <c r="R79" s="153">
        <f>$C79*INDEX(Curves!$T$8:$T$68,R$4-$B79+1)</f>
        <v/>
      </c>
      <c r="S79" s="153">
        <f>$C79*INDEX(Curves!$T$8:$T$68,S$4-$B79+1)</f>
        <v/>
      </c>
      <c r="T79" s="153">
        <f>$C79*INDEX(Curves!$T$8:$T$68,T$4-$B79+1)</f>
        <v/>
      </c>
      <c r="U79" s="153">
        <f>$C79*INDEX(Curves!$T$8:$T$68,U$4-$B79+1)</f>
        <v/>
      </c>
      <c r="V79" s="153">
        <f>$C79*INDEX(Curves!$T$8:$T$68,V$4-$B79+1)</f>
        <v/>
      </c>
      <c r="W79" s="153">
        <f>$C79*INDEX(Curves!$T$8:$T$68,W$4-$B79+1)</f>
        <v/>
      </c>
      <c r="X79" s="153">
        <f>$C79*INDEX(Curves!$T$8:$T$68,X$4-$B79+1)</f>
        <v/>
      </c>
      <c r="Y79" s="153">
        <f>$C79*INDEX(Curves!$T$8:$T$68,Y$4-$B79+1)</f>
        <v/>
      </c>
      <c r="Z79" s="153">
        <f>$C79*INDEX(Curves!$T$8:$T$68,Z$4-$B79+1)</f>
        <v/>
      </c>
      <c r="AA79" s="153">
        <f>$C79*INDEX(Curves!$T$8:$T$68,AA$4-$B79+1)</f>
        <v/>
      </c>
      <c r="AB79" s="153">
        <f>$C79*INDEX(Curves!$T$8:$T$68,AB$4-$B79+1)</f>
        <v/>
      </c>
      <c r="AC79" s="153">
        <f>$C79*INDEX(Curves!$T$8:$T$68,AC$4-$B79+1)</f>
        <v/>
      </c>
      <c r="AD79" s="153">
        <f>$C79*INDEX(Curves!$T$8:$T$68,AD$4-$B79+1)</f>
        <v/>
      </c>
      <c r="AE79" s="153">
        <f>$C79*INDEX(Curves!$T$8:$T$68,AE$4-$B79+1)</f>
        <v/>
      </c>
      <c r="AF79" s="153">
        <f>$C79*INDEX(Curves!$T$8:$T$68,AF$4-$B79+1)</f>
        <v/>
      </c>
      <c r="AG79" s="153">
        <f>$C79*INDEX(Curves!$T$8:$T$68,AG$4-$B79+1)</f>
        <v/>
      </c>
      <c r="AH79" s="153">
        <f>$C79*INDEX(Curves!$T$8:$T$68,AH$4-$B79+1)</f>
        <v/>
      </c>
      <c r="AI79" s="153">
        <f>$C79*INDEX(Curves!$T$8:$T$68,AI$4-$B79+1)</f>
        <v/>
      </c>
      <c r="AJ79" s="153">
        <f>$C79*INDEX(Curves!$T$8:$T$68,AJ$4-$B79+1)</f>
        <v/>
      </c>
      <c r="AK79" s="153">
        <f>$C79*INDEX(Curves!$T$8:$T$68,AK$4-$B79+1)</f>
        <v/>
      </c>
      <c r="AL79" s="153">
        <f>$C79*INDEX(Curves!$T$8:$T$68,AL$4-$B79+1)</f>
        <v/>
      </c>
      <c r="AM79" s="153">
        <f>$C79*INDEX(Curves!$T$8:$T$68,AM$4-$B79+1)</f>
        <v/>
      </c>
      <c r="AN79" s="153">
        <f>$C79*INDEX(Curves!$T$8:$T$68,AN$4-$B79+1)</f>
        <v/>
      </c>
      <c r="AO79" s="153">
        <f>$C79*INDEX(Curves!$T$8:$T$68,AO$4-$B79+1)</f>
        <v/>
      </c>
      <c r="AP79" s="153">
        <f>$C79*INDEX(Curves!$T$8:$T$68,AP$4-$B79+1)</f>
        <v/>
      </c>
      <c r="AQ79" s="153">
        <f>$C79*INDEX(Curves!$T$8:$T$68,AQ$4-$B79+1)</f>
        <v/>
      </c>
      <c r="AR79" s="153">
        <f>$C79*INDEX(Curves!$T$8:$T$68,AR$4-$B79+1)</f>
        <v/>
      </c>
      <c r="AS79" s="153">
        <f>$C79*INDEX(Curves!$T$8:$T$68,AS$4-$B79+1)</f>
        <v/>
      </c>
      <c r="AT79" s="153">
        <f>$C79*INDEX(Curves!$T$8:$T$68,AT$4-$B79+1)</f>
        <v/>
      </c>
      <c r="AU79" s="153">
        <f>$C79*INDEX(Curves!$T$8:$T$68,AU$4-$B79+1)</f>
        <v/>
      </c>
      <c r="AV79" s="153">
        <f>$C79*INDEX(Curves!$T$8:$T$68,AV$4-$B79+1)</f>
        <v/>
      </c>
      <c r="AW79" s="153">
        <f>$C79*INDEX(Curves!$T$8:$T$68,AW$4-$B79+1)</f>
        <v/>
      </c>
      <c r="AX79" s="153">
        <f>$C79*INDEX(Curves!$T$8:$T$68,AX$4-$B79+1)</f>
        <v/>
      </c>
      <c r="AY79" s="153">
        <f>$C79*INDEX(Curves!$T$8:$T$68,AY$4-$B79+1)</f>
        <v/>
      </c>
      <c r="AZ79" s="153">
        <f>$C79*INDEX(Curves!$T$8:$T$68,AZ$4-$B79+1)</f>
        <v/>
      </c>
      <c r="BA79" s="153">
        <f>$C79*INDEX(Curves!$T$8:$T$68,BA$4-$B79+1)</f>
        <v/>
      </c>
      <c r="BB79" s="153">
        <f>$C79*INDEX(Curves!$T$8:$T$68,BB$4-$B79+1)</f>
        <v/>
      </c>
      <c r="BC79" s="153">
        <f>$C79*INDEX(Curves!$T$8:$T$68,BC$4-$B79+1)</f>
        <v/>
      </c>
      <c r="BD79" s="153">
        <f>$C79*INDEX(Curves!$T$8:$T$68,BD$4-$B79+1)</f>
        <v/>
      </c>
      <c r="BE79" s="153">
        <f>$C79*INDEX(Curves!$T$8:$T$68,BE$4-$B79+1)</f>
        <v/>
      </c>
      <c r="BF79" s="153">
        <f>$C79*INDEX(Curves!$T$8:$T$68,BF$4-$B79+1)</f>
        <v/>
      </c>
      <c r="BG79" s="153">
        <f>$C79*INDEX(Curves!$T$8:$T$68,BG$4-$B79+1)</f>
        <v/>
      </c>
      <c r="BH79" s="153">
        <f>$C79*INDEX(Curves!$T$8:$T$68,BH$4-$B79+1)</f>
        <v/>
      </c>
      <c r="BI79" s="153">
        <f>$C79*INDEX(Curves!$T$8:$T$68,BI$4-$B79+1)</f>
        <v/>
      </c>
      <c r="BJ79" s="153">
        <f>$C79*INDEX(Curves!$T$8:$T$68,BJ$4-$B79+1)</f>
        <v/>
      </c>
      <c r="BK79" s="153">
        <f>$C79*INDEX(Curves!$T$8:$T$68,BK$4-$B79+1)</f>
        <v/>
      </c>
      <c r="BL79" s="153">
        <f>$C79*INDEX(Curves!$T$8:$T$68,BL$4-$B79+1)</f>
        <v/>
      </c>
    </row>
    <row r="80">
      <c r="A80" s="147" t="inlineStr">
        <is>
          <t>Cohort month 8</t>
        </is>
      </c>
      <c r="B80" s="147" t="n">
        <v>8</v>
      </c>
      <c r="C80" s="41">
        <f>INDEX(Ops!$E$34:$BL$34,1,$B80)</f>
        <v/>
      </c>
      <c r="M80" s="153">
        <f>$C80*INDEX(Curves!$T$8:$T$68,M$4-$B80+1)</f>
        <v/>
      </c>
      <c r="N80" s="153">
        <f>$C80*INDEX(Curves!$T$8:$T$68,N$4-$B80+1)</f>
        <v/>
      </c>
      <c r="O80" s="153">
        <f>$C80*INDEX(Curves!$T$8:$T$68,O$4-$B80+1)</f>
        <v/>
      </c>
      <c r="P80" s="153">
        <f>$C80*INDEX(Curves!$T$8:$T$68,P$4-$B80+1)</f>
        <v/>
      </c>
      <c r="Q80" s="153">
        <f>$C80*INDEX(Curves!$T$8:$T$68,Q$4-$B80+1)</f>
        <v/>
      </c>
      <c r="R80" s="153">
        <f>$C80*INDEX(Curves!$T$8:$T$68,R$4-$B80+1)</f>
        <v/>
      </c>
      <c r="S80" s="153">
        <f>$C80*INDEX(Curves!$T$8:$T$68,S$4-$B80+1)</f>
        <v/>
      </c>
      <c r="T80" s="153">
        <f>$C80*INDEX(Curves!$T$8:$T$68,T$4-$B80+1)</f>
        <v/>
      </c>
      <c r="U80" s="153">
        <f>$C80*INDEX(Curves!$T$8:$T$68,U$4-$B80+1)</f>
        <v/>
      </c>
      <c r="V80" s="153">
        <f>$C80*INDEX(Curves!$T$8:$T$68,V$4-$B80+1)</f>
        <v/>
      </c>
      <c r="W80" s="153">
        <f>$C80*INDEX(Curves!$T$8:$T$68,W$4-$B80+1)</f>
        <v/>
      </c>
      <c r="X80" s="153">
        <f>$C80*INDEX(Curves!$T$8:$T$68,X$4-$B80+1)</f>
        <v/>
      </c>
      <c r="Y80" s="153">
        <f>$C80*INDEX(Curves!$T$8:$T$68,Y$4-$B80+1)</f>
        <v/>
      </c>
      <c r="Z80" s="153">
        <f>$C80*INDEX(Curves!$T$8:$T$68,Z$4-$B80+1)</f>
        <v/>
      </c>
      <c r="AA80" s="153">
        <f>$C80*INDEX(Curves!$T$8:$T$68,AA$4-$B80+1)</f>
        <v/>
      </c>
      <c r="AB80" s="153">
        <f>$C80*INDEX(Curves!$T$8:$T$68,AB$4-$B80+1)</f>
        <v/>
      </c>
      <c r="AC80" s="153">
        <f>$C80*INDEX(Curves!$T$8:$T$68,AC$4-$B80+1)</f>
        <v/>
      </c>
      <c r="AD80" s="153">
        <f>$C80*INDEX(Curves!$T$8:$T$68,AD$4-$B80+1)</f>
        <v/>
      </c>
      <c r="AE80" s="153">
        <f>$C80*INDEX(Curves!$T$8:$T$68,AE$4-$B80+1)</f>
        <v/>
      </c>
      <c r="AF80" s="153">
        <f>$C80*INDEX(Curves!$T$8:$T$68,AF$4-$B80+1)</f>
        <v/>
      </c>
      <c r="AG80" s="153">
        <f>$C80*INDEX(Curves!$T$8:$T$68,AG$4-$B80+1)</f>
        <v/>
      </c>
      <c r="AH80" s="153">
        <f>$C80*INDEX(Curves!$T$8:$T$68,AH$4-$B80+1)</f>
        <v/>
      </c>
      <c r="AI80" s="153">
        <f>$C80*INDEX(Curves!$T$8:$T$68,AI$4-$B80+1)</f>
        <v/>
      </c>
      <c r="AJ80" s="153">
        <f>$C80*INDEX(Curves!$T$8:$T$68,AJ$4-$B80+1)</f>
        <v/>
      </c>
      <c r="AK80" s="153">
        <f>$C80*INDEX(Curves!$T$8:$T$68,AK$4-$B80+1)</f>
        <v/>
      </c>
      <c r="AL80" s="153">
        <f>$C80*INDEX(Curves!$T$8:$T$68,AL$4-$B80+1)</f>
        <v/>
      </c>
      <c r="AM80" s="153">
        <f>$C80*INDEX(Curves!$T$8:$T$68,AM$4-$B80+1)</f>
        <v/>
      </c>
      <c r="AN80" s="153">
        <f>$C80*INDEX(Curves!$T$8:$T$68,AN$4-$B80+1)</f>
        <v/>
      </c>
      <c r="AO80" s="153">
        <f>$C80*INDEX(Curves!$T$8:$T$68,AO$4-$B80+1)</f>
        <v/>
      </c>
      <c r="AP80" s="153">
        <f>$C80*INDEX(Curves!$T$8:$T$68,AP$4-$B80+1)</f>
        <v/>
      </c>
      <c r="AQ80" s="153">
        <f>$C80*INDEX(Curves!$T$8:$T$68,AQ$4-$B80+1)</f>
        <v/>
      </c>
      <c r="AR80" s="153">
        <f>$C80*INDEX(Curves!$T$8:$T$68,AR$4-$B80+1)</f>
        <v/>
      </c>
      <c r="AS80" s="153">
        <f>$C80*INDEX(Curves!$T$8:$T$68,AS$4-$B80+1)</f>
        <v/>
      </c>
      <c r="AT80" s="153">
        <f>$C80*INDEX(Curves!$T$8:$T$68,AT$4-$B80+1)</f>
        <v/>
      </c>
      <c r="AU80" s="153">
        <f>$C80*INDEX(Curves!$T$8:$T$68,AU$4-$B80+1)</f>
        <v/>
      </c>
      <c r="AV80" s="153">
        <f>$C80*INDEX(Curves!$T$8:$T$68,AV$4-$B80+1)</f>
        <v/>
      </c>
      <c r="AW80" s="153">
        <f>$C80*INDEX(Curves!$T$8:$T$68,AW$4-$B80+1)</f>
        <v/>
      </c>
      <c r="AX80" s="153">
        <f>$C80*INDEX(Curves!$T$8:$T$68,AX$4-$B80+1)</f>
        <v/>
      </c>
      <c r="AY80" s="153">
        <f>$C80*INDEX(Curves!$T$8:$T$68,AY$4-$B80+1)</f>
        <v/>
      </c>
      <c r="AZ80" s="153">
        <f>$C80*INDEX(Curves!$T$8:$T$68,AZ$4-$B80+1)</f>
        <v/>
      </c>
      <c r="BA80" s="153">
        <f>$C80*INDEX(Curves!$T$8:$T$68,BA$4-$B80+1)</f>
        <v/>
      </c>
      <c r="BB80" s="153">
        <f>$C80*INDEX(Curves!$T$8:$T$68,BB$4-$B80+1)</f>
        <v/>
      </c>
      <c r="BC80" s="153">
        <f>$C80*INDEX(Curves!$T$8:$T$68,BC$4-$B80+1)</f>
        <v/>
      </c>
      <c r="BD80" s="153">
        <f>$C80*INDEX(Curves!$T$8:$T$68,BD$4-$B80+1)</f>
        <v/>
      </c>
      <c r="BE80" s="153">
        <f>$C80*INDEX(Curves!$T$8:$T$68,BE$4-$B80+1)</f>
        <v/>
      </c>
      <c r="BF80" s="153">
        <f>$C80*INDEX(Curves!$T$8:$T$68,BF$4-$B80+1)</f>
        <v/>
      </c>
      <c r="BG80" s="153">
        <f>$C80*INDEX(Curves!$T$8:$T$68,BG$4-$B80+1)</f>
        <v/>
      </c>
      <c r="BH80" s="153">
        <f>$C80*INDEX(Curves!$T$8:$T$68,BH$4-$B80+1)</f>
        <v/>
      </c>
      <c r="BI80" s="153">
        <f>$C80*INDEX(Curves!$T$8:$T$68,BI$4-$B80+1)</f>
        <v/>
      </c>
      <c r="BJ80" s="153">
        <f>$C80*INDEX(Curves!$T$8:$T$68,BJ$4-$B80+1)</f>
        <v/>
      </c>
      <c r="BK80" s="153">
        <f>$C80*INDEX(Curves!$T$8:$T$68,BK$4-$B80+1)</f>
        <v/>
      </c>
      <c r="BL80" s="153">
        <f>$C80*INDEX(Curves!$T$8:$T$68,BL$4-$B80+1)</f>
        <v/>
      </c>
    </row>
    <row r="81">
      <c r="A81" s="147" t="inlineStr">
        <is>
          <t>Cohort month 9</t>
        </is>
      </c>
      <c r="B81" s="147" t="n">
        <v>9</v>
      </c>
      <c r="C81" s="41">
        <f>INDEX(Ops!$E$34:$BL$34,1,$B81)</f>
        <v/>
      </c>
      <c r="N81" s="153">
        <f>$C81*INDEX(Curves!$T$8:$T$68,N$4-$B81+1)</f>
        <v/>
      </c>
      <c r="O81" s="153">
        <f>$C81*INDEX(Curves!$T$8:$T$68,O$4-$B81+1)</f>
        <v/>
      </c>
      <c r="P81" s="153">
        <f>$C81*INDEX(Curves!$T$8:$T$68,P$4-$B81+1)</f>
        <v/>
      </c>
      <c r="Q81" s="153">
        <f>$C81*INDEX(Curves!$T$8:$T$68,Q$4-$B81+1)</f>
        <v/>
      </c>
      <c r="R81" s="153">
        <f>$C81*INDEX(Curves!$T$8:$T$68,R$4-$B81+1)</f>
        <v/>
      </c>
      <c r="S81" s="153">
        <f>$C81*INDEX(Curves!$T$8:$T$68,S$4-$B81+1)</f>
        <v/>
      </c>
      <c r="T81" s="153">
        <f>$C81*INDEX(Curves!$T$8:$T$68,T$4-$B81+1)</f>
        <v/>
      </c>
      <c r="U81" s="153">
        <f>$C81*INDEX(Curves!$T$8:$T$68,U$4-$B81+1)</f>
        <v/>
      </c>
      <c r="V81" s="153">
        <f>$C81*INDEX(Curves!$T$8:$T$68,V$4-$B81+1)</f>
        <v/>
      </c>
      <c r="W81" s="153">
        <f>$C81*INDEX(Curves!$T$8:$T$68,W$4-$B81+1)</f>
        <v/>
      </c>
      <c r="X81" s="153">
        <f>$C81*INDEX(Curves!$T$8:$T$68,X$4-$B81+1)</f>
        <v/>
      </c>
      <c r="Y81" s="153">
        <f>$C81*INDEX(Curves!$T$8:$T$68,Y$4-$B81+1)</f>
        <v/>
      </c>
      <c r="Z81" s="153">
        <f>$C81*INDEX(Curves!$T$8:$T$68,Z$4-$B81+1)</f>
        <v/>
      </c>
      <c r="AA81" s="153">
        <f>$C81*INDEX(Curves!$T$8:$T$68,AA$4-$B81+1)</f>
        <v/>
      </c>
      <c r="AB81" s="153">
        <f>$C81*INDEX(Curves!$T$8:$T$68,AB$4-$B81+1)</f>
        <v/>
      </c>
      <c r="AC81" s="153">
        <f>$C81*INDEX(Curves!$T$8:$T$68,AC$4-$B81+1)</f>
        <v/>
      </c>
      <c r="AD81" s="153">
        <f>$C81*INDEX(Curves!$T$8:$T$68,AD$4-$B81+1)</f>
        <v/>
      </c>
      <c r="AE81" s="153">
        <f>$C81*INDEX(Curves!$T$8:$T$68,AE$4-$B81+1)</f>
        <v/>
      </c>
      <c r="AF81" s="153">
        <f>$C81*INDEX(Curves!$T$8:$T$68,AF$4-$B81+1)</f>
        <v/>
      </c>
      <c r="AG81" s="153">
        <f>$C81*INDEX(Curves!$T$8:$T$68,AG$4-$B81+1)</f>
        <v/>
      </c>
      <c r="AH81" s="153">
        <f>$C81*INDEX(Curves!$T$8:$T$68,AH$4-$B81+1)</f>
        <v/>
      </c>
      <c r="AI81" s="153">
        <f>$C81*INDEX(Curves!$T$8:$T$68,AI$4-$B81+1)</f>
        <v/>
      </c>
      <c r="AJ81" s="153">
        <f>$C81*INDEX(Curves!$T$8:$T$68,AJ$4-$B81+1)</f>
        <v/>
      </c>
      <c r="AK81" s="153">
        <f>$C81*INDEX(Curves!$T$8:$T$68,AK$4-$B81+1)</f>
        <v/>
      </c>
      <c r="AL81" s="153">
        <f>$C81*INDEX(Curves!$T$8:$T$68,AL$4-$B81+1)</f>
        <v/>
      </c>
      <c r="AM81" s="153">
        <f>$C81*INDEX(Curves!$T$8:$T$68,AM$4-$B81+1)</f>
        <v/>
      </c>
      <c r="AN81" s="153">
        <f>$C81*INDEX(Curves!$T$8:$T$68,AN$4-$B81+1)</f>
        <v/>
      </c>
      <c r="AO81" s="153">
        <f>$C81*INDEX(Curves!$T$8:$T$68,AO$4-$B81+1)</f>
        <v/>
      </c>
      <c r="AP81" s="153">
        <f>$C81*INDEX(Curves!$T$8:$T$68,AP$4-$B81+1)</f>
        <v/>
      </c>
      <c r="AQ81" s="153">
        <f>$C81*INDEX(Curves!$T$8:$T$68,AQ$4-$B81+1)</f>
        <v/>
      </c>
      <c r="AR81" s="153">
        <f>$C81*INDEX(Curves!$T$8:$T$68,AR$4-$B81+1)</f>
        <v/>
      </c>
      <c r="AS81" s="153">
        <f>$C81*INDEX(Curves!$T$8:$T$68,AS$4-$B81+1)</f>
        <v/>
      </c>
      <c r="AT81" s="153">
        <f>$C81*INDEX(Curves!$T$8:$T$68,AT$4-$B81+1)</f>
        <v/>
      </c>
      <c r="AU81" s="153">
        <f>$C81*INDEX(Curves!$T$8:$T$68,AU$4-$B81+1)</f>
        <v/>
      </c>
      <c r="AV81" s="153">
        <f>$C81*INDEX(Curves!$T$8:$T$68,AV$4-$B81+1)</f>
        <v/>
      </c>
      <c r="AW81" s="153">
        <f>$C81*INDEX(Curves!$T$8:$T$68,AW$4-$B81+1)</f>
        <v/>
      </c>
      <c r="AX81" s="153">
        <f>$C81*INDEX(Curves!$T$8:$T$68,AX$4-$B81+1)</f>
        <v/>
      </c>
      <c r="AY81" s="153">
        <f>$C81*INDEX(Curves!$T$8:$T$68,AY$4-$B81+1)</f>
        <v/>
      </c>
      <c r="AZ81" s="153">
        <f>$C81*INDEX(Curves!$T$8:$T$68,AZ$4-$B81+1)</f>
        <v/>
      </c>
      <c r="BA81" s="153">
        <f>$C81*INDEX(Curves!$T$8:$T$68,BA$4-$B81+1)</f>
        <v/>
      </c>
      <c r="BB81" s="153">
        <f>$C81*INDEX(Curves!$T$8:$T$68,BB$4-$B81+1)</f>
        <v/>
      </c>
      <c r="BC81" s="153">
        <f>$C81*INDEX(Curves!$T$8:$T$68,BC$4-$B81+1)</f>
        <v/>
      </c>
      <c r="BD81" s="153">
        <f>$C81*INDEX(Curves!$T$8:$T$68,BD$4-$B81+1)</f>
        <v/>
      </c>
      <c r="BE81" s="153">
        <f>$C81*INDEX(Curves!$T$8:$T$68,BE$4-$B81+1)</f>
        <v/>
      </c>
      <c r="BF81" s="153">
        <f>$C81*INDEX(Curves!$T$8:$T$68,BF$4-$B81+1)</f>
        <v/>
      </c>
      <c r="BG81" s="153">
        <f>$C81*INDEX(Curves!$T$8:$T$68,BG$4-$B81+1)</f>
        <v/>
      </c>
      <c r="BH81" s="153">
        <f>$C81*INDEX(Curves!$T$8:$T$68,BH$4-$B81+1)</f>
        <v/>
      </c>
      <c r="BI81" s="153">
        <f>$C81*INDEX(Curves!$T$8:$T$68,BI$4-$B81+1)</f>
        <v/>
      </c>
      <c r="BJ81" s="153">
        <f>$C81*INDEX(Curves!$T$8:$T$68,BJ$4-$B81+1)</f>
        <v/>
      </c>
      <c r="BK81" s="153">
        <f>$C81*INDEX(Curves!$T$8:$T$68,BK$4-$B81+1)</f>
        <v/>
      </c>
      <c r="BL81" s="153">
        <f>$C81*INDEX(Curves!$T$8:$T$68,BL$4-$B81+1)</f>
        <v/>
      </c>
    </row>
    <row r="82">
      <c r="A82" s="147" t="inlineStr">
        <is>
          <t>Cohort month 10</t>
        </is>
      </c>
      <c r="B82" s="147" t="n">
        <v>10</v>
      </c>
      <c r="C82" s="41">
        <f>INDEX(Ops!$E$34:$BL$34,1,$B82)</f>
        <v/>
      </c>
      <c r="O82" s="153">
        <f>$C82*INDEX(Curves!$T$8:$T$68,O$4-$B82+1)</f>
        <v/>
      </c>
      <c r="P82" s="153">
        <f>$C82*INDEX(Curves!$T$8:$T$68,P$4-$B82+1)</f>
        <v/>
      </c>
      <c r="Q82" s="153">
        <f>$C82*INDEX(Curves!$T$8:$T$68,Q$4-$B82+1)</f>
        <v/>
      </c>
      <c r="R82" s="153">
        <f>$C82*INDEX(Curves!$T$8:$T$68,R$4-$B82+1)</f>
        <v/>
      </c>
      <c r="S82" s="153">
        <f>$C82*INDEX(Curves!$T$8:$T$68,S$4-$B82+1)</f>
        <v/>
      </c>
      <c r="T82" s="153">
        <f>$C82*INDEX(Curves!$T$8:$T$68,T$4-$B82+1)</f>
        <v/>
      </c>
      <c r="U82" s="153">
        <f>$C82*INDEX(Curves!$T$8:$T$68,U$4-$B82+1)</f>
        <v/>
      </c>
      <c r="V82" s="153">
        <f>$C82*INDEX(Curves!$T$8:$T$68,V$4-$B82+1)</f>
        <v/>
      </c>
      <c r="W82" s="153">
        <f>$C82*INDEX(Curves!$T$8:$T$68,W$4-$B82+1)</f>
        <v/>
      </c>
      <c r="X82" s="153">
        <f>$C82*INDEX(Curves!$T$8:$T$68,X$4-$B82+1)</f>
        <v/>
      </c>
      <c r="Y82" s="153">
        <f>$C82*INDEX(Curves!$T$8:$T$68,Y$4-$B82+1)</f>
        <v/>
      </c>
      <c r="Z82" s="153">
        <f>$C82*INDEX(Curves!$T$8:$T$68,Z$4-$B82+1)</f>
        <v/>
      </c>
      <c r="AA82" s="153">
        <f>$C82*INDEX(Curves!$T$8:$T$68,AA$4-$B82+1)</f>
        <v/>
      </c>
      <c r="AB82" s="153">
        <f>$C82*INDEX(Curves!$T$8:$T$68,AB$4-$B82+1)</f>
        <v/>
      </c>
      <c r="AC82" s="153">
        <f>$C82*INDEX(Curves!$T$8:$T$68,AC$4-$B82+1)</f>
        <v/>
      </c>
      <c r="AD82" s="153">
        <f>$C82*INDEX(Curves!$T$8:$T$68,AD$4-$B82+1)</f>
        <v/>
      </c>
      <c r="AE82" s="153">
        <f>$C82*INDEX(Curves!$T$8:$T$68,AE$4-$B82+1)</f>
        <v/>
      </c>
      <c r="AF82" s="153">
        <f>$C82*INDEX(Curves!$T$8:$T$68,AF$4-$B82+1)</f>
        <v/>
      </c>
      <c r="AG82" s="153">
        <f>$C82*INDEX(Curves!$T$8:$T$68,AG$4-$B82+1)</f>
        <v/>
      </c>
      <c r="AH82" s="153">
        <f>$C82*INDEX(Curves!$T$8:$T$68,AH$4-$B82+1)</f>
        <v/>
      </c>
      <c r="AI82" s="153">
        <f>$C82*INDEX(Curves!$T$8:$T$68,AI$4-$B82+1)</f>
        <v/>
      </c>
      <c r="AJ82" s="153">
        <f>$C82*INDEX(Curves!$T$8:$T$68,AJ$4-$B82+1)</f>
        <v/>
      </c>
      <c r="AK82" s="153">
        <f>$C82*INDEX(Curves!$T$8:$T$68,AK$4-$B82+1)</f>
        <v/>
      </c>
      <c r="AL82" s="153">
        <f>$C82*INDEX(Curves!$T$8:$T$68,AL$4-$B82+1)</f>
        <v/>
      </c>
      <c r="AM82" s="153">
        <f>$C82*INDEX(Curves!$T$8:$T$68,AM$4-$B82+1)</f>
        <v/>
      </c>
      <c r="AN82" s="153">
        <f>$C82*INDEX(Curves!$T$8:$T$68,AN$4-$B82+1)</f>
        <v/>
      </c>
      <c r="AO82" s="153">
        <f>$C82*INDEX(Curves!$T$8:$T$68,AO$4-$B82+1)</f>
        <v/>
      </c>
      <c r="AP82" s="153">
        <f>$C82*INDEX(Curves!$T$8:$T$68,AP$4-$B82+1)</f>
        <v/>
      </c>
      <c r="AQ82" s="153">
        <f>$C82*INDEX(Curves!$T$8:$T$68,AQ$4-$B82+1)</f>
        <v/>
      </c>
      <c r="AR82" s="153">
        <f>$C82*INDEX(Curves!$T$8:$T$68,AR$4-$B82+1)</f>
        <v/>
      </c>
      <c r="AS82" s="153">
        <f>$C82*INDEX(Curves!$T$8:$T$68,AS$4-$B82+1)</f>
        <v/>
      </c>
      <c r="AT82" s="153">
        <f>$C82*INDEX(Curves!$T$8:$T$68,AT$4-$B82+1)</f>
        <v/>
      </c>
      <c r="AU82" s="153">
        <f>$C82*INDEX(Curves!$T$8:$T$68,AU$4-$B82+1)</f>
        <v/>
      </c>
      <c r="AV82" s="153">
        <f>$C82*INDEX(Curves!$T$8:$T$68,AV$4-$B82+1)</f>
        <v/>
      </c>
      <c r="AW82" s="153">
        <f>$C82*INDEX(Curves!$T$8:$T$68,AW$4-$B82+1)</f>
        <v/>
      </c>
      <c r="AX82" s="153">
        <f>$C82*INDEX(Curves!$T$8:$T$68,AX$4-$B82+1)</f>
        <v/>
      </c>
      <c r="AY82" s="153">
        <f>$C82*INDEX(Curves!$T$8:$T$68,AY$4-$B82+1)</f>
        <v/>
      </c>
      <c r="AZ82" s="153">
        <f>$C82*INDEX(Curves!$T$8:$T$68,AZ$4-$B82+1)</f>
        <v/>
      </c>
      <c r="BA82" s="153">
        <f>$C82*INDEX(Curves!$T$8:$T$68,BA$4-$B82+1)</f>
        <v/>
      </c>
      <c r="BB82" s="153">
        <f>$C82*INDEX(Curves!$T$8:$T$68,BB$4-$B82+1)</f>
        <v/>
      </c>
      <c r="BC82" s="153">
        <f>$C82*INDEX(Curves!$T$8:$T$68,BC$4-$B82+1)</f>
        <v/>
      </c>
      <c r="BD82" s="153">
        <f>$C82*INDEX(Curves!$T$8:$T$68,BD$4-$B82+1)</f>
        <v/>
      </c>
      <c r="BE82" s="153">
        <f>$C82*INDEX(Curves!$T$8:$T$68,BE$4-$B82+1)</f>
        <v/>
      </c>
      <c r="BF82" s="153">
        <f>$C82*INDEX(Curves!$T$8:$T$68,BF$4-$B82+1)</f>
        <v/>
      </c>
      <c r="BG82" s="153">
        <f>$C82*INDEX(Curves!$T$8:$T$68,BG$4-$B82+1)</f>
        <v/>
      </c>
      <c r="BH82" s="153">
        <f>$C82*INDEX(Curves!$T$8:$T$68,BH$4-$B82+1)</f>
        <v/>
      </c>
      <c r="BI82" s="153">
        <f>$C82*INDEX(Curves!$T$8:$T$68,BI$4-$B82+1)</f>
        <v/>
      </c>
      <c r="BJ82" s="153">
        <f>$C82*INDEX(Curves!$T$8:$T$68,BJ$4-$B82+1)</f>
        <v/>
      </c>
      <c r="BK82" s="153">
        <f>$C82*INDEX(Curves!$T$8:$T$68,BK$4-$B82+1)</f>
        <v/>
      </c>
      <c r="BL82" s="153">
        <f>$C82*INDEX(Curves!$T$8:$T$68,BL$4-$B82+1)</f>
        <v/>
      </c>
    </row>
    <row r="83">
      <c r="A83" s="147" t="inlineStr">
        <is>
          <t>Cohort month 11</t>
        </is>
      </c>
      <c r="B83" s="147" t="n">
        <v>11</v>
      </c>
      <c r="C83" s="41">
        <f>INDEX(Ops!$E$34:$BL$34,1,$B83)</f>
        <v/>
      </c>
      <c r="P83" s="153">
        <f>$C83*INDEX(Curves!$T$8:$T$68,P$4-$B83+1)</f>
        <v/>
      </c>
      <c r="Q83" s="153">
        <f>$C83*INDEX(Curves!$T$8:$T$68,Q$4-$B83+1)</f>
        <v/>
      </c>
      <c r="R83" s="153">
        <f>$C83*INDEX(Curves!$T$8:$T$68,R$4-$B83+1)</f>
        <v/>
      </c>
      <c r="S83" s="153">
        <f>$C83*INDEX(Curves!$T$8:$T$68,S$4-$B83+1)</f>
        <v/>
      </c>
      <c r="T83" s="153">
        <f>$C83*INDEX(Curves!$T$8:$T$68,T$4-$B83+1)</f>
        <v/>
      </c>
      <c r="U83" s="153">
        <f>$C83*INDEX(Curves!$T$8:$T$68,U$4-$B83+1)</f>
        <v/>
      </c>
      <c r="V83" s="153">
        <f>$C83*INDEX(Curves!$T$8:$T$68,V$4-$B83+1)</f>
        <v/>
      </c>
      <c r="W83" s="153">
        <f>$C83*INDEX(Curves!$T$8:$T$68,W$4-$B83+1)</f>
        <v/>
      </c>
      <c r="X83" s="153">
        <f>$C83*INDEX(Curves!$T$8:$T$68,X$4-$B83+1)</f>
        <v/>
      </c>
      <c r="Y83" s="153">
        <f>$C83*INDEX(Curves!$T$8:$T$68,Y$4-$B83+1)</f>
        <v/>
      </c>
      <c r="Z83" s="153">
        <f>$C83*INDEX(Curves!$T$8:$T$68,Z$4-$B83+1)</f>
        <v/>
      </c>
      <c r="AA83" s="153">
        <f>$C83*INDEX(Curves!$T$8:$T$68,AA$4-$B83+1)</f>
        <v/>
      </c>
      <c r="AB83" s="153">
        <f>$C83*INDEX(Curves!$T$8:$T$68,AB$4-$B83+1)</f>
        <v/>
      </c>
      <c r="AC83" s="153">
        <f>$C83*INDEX(Curves!$T$8:$T$68,AC$4-$B83+1)</f>
        <v/>
      </c>
      <c r="AD83" s="153">
        <f>$C83*INDEX(Curves!$T$8:$T$68,AD$4-$B83+1)</f>
        <v/>
      </c>
      <c r="AE83" s="153">
        <f>$C83*INDEX(Curves!$T$8:$T$68,AE$4-$B83+1)</f>
        <v/>
      </c>
      <c r="AF83" s="153">
        <f>$C83*INDEX(Curves!$T$8:$T$68,AF$4-$B83+1)</f>
        <v/>
      </c>
      <c r="AG83" s="153">
        <f>$C83*INDEX(Curves!$T$8:$T$68,AG$4-$B83+1)</f>
        <v/>
      </c>
      <c r="AH83" s="153">
        <f>$C83*INDEX(Curves!$T$8:$T$68,AH$4-$B83+1)</f>
        <v/>
      </c>
      <c r="AI83" s="153">
        <f>$C83*INDEX(Curves!$T$8:$T$68,AI$4-$B83+1)</f>
        <v/>
      </c>
      <c r="AJ83" s="153">
        <f>$C83*INDEX(Curves!$T$8:$T$68,AJ$4-$B83+1)</f>
        <v/>
      </c>
      <c r="AK83" s="153">
        <f>$C83*INDEX(Curves!$T$8:$T$68,AK$4-$B83+1)</f>
        <v/>
      </c>
      <c r="AL83" s="153">
        <f>$C83*INDEX(Curves!$T$8:$T$68,AL$4-$B83+1)</f>
        <v/>
      </c>
      <c r="AM83" s="153">
        <f>$C83*INDEX(Curves!$T$8:$T$68,AM$4-$B83+1)</f>
        <v/>
      </c>
      <c r="AN83" s="153">
        <f>$C83*INDEX(Curves!$T$8:$T$68,AN$4-$B83+1)</f>
        <v/>
      </c>
      <c r="AO83" s="153">
        <f>$C83*INDEX(Curves!$T$8:$T$68,AO$4-$B83+1)</f>
        <v/>
      </c>
      <c r="AP83" s="153">
        <f>$C83*INDEX(Curves!$T$8:$T$68,AP$4-$B83+1)</f>
        <v/>
      </c>
      <c r="AQ83" s="153">
        <f>$C83*INDEX(Curves!$T$8:$T$68,AQ$4-$B83+1)</f>
        <v/>
      </c>
      <c r="AR83" s="153">
        <f>$C83*INDEX(Curves!$T$8:$T$68,AR$4-$B83+1)</f>
        <v/>
      </c>
      <c r="AS83" s="153">
        <f>$C83*INDEX(Curves!$T$8:$T$68,AS$4-$B83+1)</f>
        <v/>
      </c>
      <c r="AT83" s="153">
        <f>$C83*INDEX(Curves!$T$8:$T$68,AT$4-$B83+1)</f>
        <v/>
      </c>
      <c r="AU83" s="153">
        <f>$C83*INDEX(Curves!$T$8:$T$68,AU$4-$B83+1)</f>
        <v/>
      </c>
      <c r="AV83" s="153">
        <f>$C83*INDEX(Curves!$T$8:$T$68,AV$4-$B83+1)</f>
        <v/>
      </c>
      <c r="AW83" s="153">
        <f>$C83*INDEX(Curves!$T$8:$T$68,AW$4-$B83+1)</f>
        <v/>
      </c>
      <c r="AX83" s="153">
        <f>$C83*INDEX(Curves!$T$8:$T$68,AX$4-$B83+1)</f>
        <v/>
      </c>
      <c r="AY83" s="153">
        <f>$C83*INDEX(Curves!$T$8:$T$68,AY$4-$B83+1)</f>
        <v/>
      </c>
      <c r="AZ83" s="153">
        <f>$C83*INDEX(Curves!$T$8:$T$68,AZ$4-$B83+1)</f>
        <v/>
      </c>
      <c r="BA83" s="153">
        <f>$C83*INDEX(Curves!$T$8:$T$68,BA$4-$B83+1)</f>
        <v/>
      </c>
      <c r="BB83" s="153">
        <f>$C83*INDEX(Curves!$T$8:$T$68,BB$4-$B83+1)</f>
        <v/>
      </c>
      <c r="BC83" s="153">
        <f>$C83*INDEX(Curves!$T$8:$T$68,BC$4-$B83+1)</f>
        <v/>
      </c>
      <c r="BD83" s="153">
        <f>$C83*INDEX(Curves!$T$8:$T$68,BD$4-$B83+1)</f>
        <v/>
      </c>
      <c r="BE83" s="153">
        <f>$C83*INDEX(Curves!$T$8:$T$68,BE$4-$B83+1)</f>
        <v/>
      </c>
      <c r="BF83" s="153">
        <f>$C83*INDEX(Curves!$T$8:$T$68,BF$4-$B83+1)</f>
        <v/>
      </c>
      <c r="BG83" s="153">
        <f>$C83*INDEX(Curves!$T$8:$T$68,BG$4-$B83+1)</f>
        <v/>
      </c>
      <c r="BH83" s="153">
        <f>$C83*INDEX(Curves!$T$8:$T$68,BH$4-$B83+1)</f>
        <v/>
      </c>
      <c r="BI83" s="153">
        <f>$C83*INDEX(Curves!$T$8:$T$68,BI$4-$B83+1)</f>
        <v/>
      </c>
      <c r="BJ83" s="153">
        <f>$C83*INDEX(Curves!$T$8:$T$68,BJ$4-$B83+1)</f>
        <v/>
      </c>
      <c r="BK83" s="153">
        <f>$C83*INDEX(Curves!$T$8:$T$68,BK$4-$B83+1)</f>
        <v/>
      </c>
      <c r="BL83" s="153">
        <f>$C83*INDEX(Curves!$T$8:$T$68,BL$4-$B83+1)</f>
        <v/>
      </c>
    </row>
    <row r="84">
      <c r="A84" s="147" t="inlineStr">
        <is>
          <t>Cohort month 12</t>
        </is>
      </c>
      <c r="B84" s="147" t="n">
        <v>12</v>
      </c>
      <c r="C84" s="41">
        <f>INDEX(Ops!$E$34:$BL$34,1,$B84)</f>
        <v/>
      </c>
      <c r="Q84" s="153">
        <f>$C84*INDEX(Curves!$T$8:$T$68,Q$4-$B84+1)</f>
        <v/>
      </c>
      <c r="R84" s="153">
        <f>$C84*INDEX(Curves!$T$8:$T$68,R$4-$B84+1)</f>
        <v/>
      </c>
      <c r="S84" s="153">
        <f>$C84*INDEX(Curves!$T$8:$T$68,S$4-$B84+1)</f>
        <v/>
      </c>
      <c r="T84" s="153">
        <f>$C84*INDEX(Curves!$T$8:$T$68,T$4-$B84+1)</f>
        <v/>
      </c>
      <c r="U84" s="153">
        <f>$C84*INDEX(Curves!$T$8:$T$68,U$4-$B84+1)</f>
        <v/>
      </c>
      <c r="V84" s="153">
        <f>$C84*INDEX(Curves!$T$8:$T$68,V$4-$B84+1)</f>
        <v/>
      </c>
      <c r="W84" s="153">
        <f>$C84*INDEX(Curves!$T$8:$T$68,W$4-$B84+1)</f>
        <v/>
      </c>
      <c r="X84" s="153">
        <f>$C84*INDEX(Curves!$T$8:$T$68,X$4-$B84+1)</f>
        <v/>
      </c>
      <c r="Y84" s="153">
        <f>$C84*INDEX(Curves!$T$8:$T$68,Y$4-$B84+1)</f>
        <v/>
      </c>
      <c r="Z84" s="153">
        <f>$C84*INDEX(Curves!$T$8:$T$68,Z$4-$B84+1)</f>
        <v/>
      </c>
      <c r="AA84" s="153">
        <f>$C84*INDEX(Curves!$T$8:$T$68,AA$4-$B84+1)</f>
        <v/>
      </c>
      <c r="AB84" s="153">
        <f>$C84*INDEX(Curves!$T$8:$T$68,AB$4-$B84+1)</f>
        <v/>
      </c>
      <c r="AC84" s="153">
        <f>$C84*INDEX(Curves!$T$8:$T$68,AC$4-$B84+1)</f>
        <v/>
      </c>
      <c r="AD84" s="153">
        <f>$C84*INDEX(Curves!$T$8:$T$68,AD$4-$B84+1)</f>
        <v/>
      </c>
      <c r="AE84" s="153">
        <f>$C84*INDEX(Curves!$T$8:$T$68,AE$4-$B84+1)</f>
        <v/>
      </c>
      <c r="AF84" s="153">
        <f>$C84*INDEX(Curves!$T$8:$T$68,AF$4-$B84+1)</f>
        <v/>
      </c>
      <c r="AG84" s="153">
        <f>$C84*INDEX(Curves!$T$8:$T$68,AG$4-$B84+1)</f>
        <v/>
      </c>
      <c r="AH84" s="153">
        <f>$C84*INDEX(Curves!$T$8:$T$68,AH$4-$B84+1)</f>
        <v/>
      </c>
      <c r="AI84" s="153">
        <f>$C84*INDEX(Curves!$T$8:$T$68,AI$4-$B84+1)</f>
        <v/>
      </c>
      <c r="AJ84" s="153">
        <f>$C84*INDEX(Curves!$T$8:$T$68,AJ$4-$B84+1)</f>
        <v/>
      </c>
      <c r="AK84" s="153">
        <f>$C84*INDEX(Curves!$T$8:$T$68,AK$4-$B84+1)</f>
        <v/>
      </c>
      <c r="AL84" s="153">
        <f>$C84*INDEX(Curves!$T$8:$T$68,AL$4-$B84+1)</f>
        <v/>
      </c>
      <c r="AM84" s="153">
        <f>$C84*INDEX(Curves!$T$8:$T$68,AM$4-$B84+1)</f>
        <v/>
      </c>
      <c r="AN84" s="153">
        <f>$C84*INDEX(Curves!$T$8:$T$68,AN$4-$B84+1)</f>
        <v/>
      </c>
      <c r="AO84" s="153">
        <f>$C84*INDEX(Curves!$T$8:$T$68,AO$4-$B84+1)</f>
        <v/>
      </c>
      <c r="AP84" s="153">
        <f>$C84*INDEX(Curves!$T$8:$T$68,AP$4-$B84+1)</f>
        <v/>
      </c>
      <c r="AQ84" s="153">
        <f>$C84*INDEX(Curves!$T$8:$T$68,AQ$4-$B84+1)</f>
        <v/>
      </c>
      <c r="AR84" s="153">
        <f>$C84*INDEX(Curves!$T$8:$T$68,AR$4-$B84+1)</f>
        <v/>
      </c>
      <c r="AS84" s="153">
        <f>$C84*INDEX(Curves!$T$8:$T$68,AS$4-$B84+1)</f>
        <v/>
      </c>
      <c r="AT84" s="153">
        <f>$C84*INDEX(Curves!$T$8:$T$68,AT$4-$B84+1)</f>
        <v/>
      </c>
      <c r="AU84" s="153">
        <f>$C84*INDEX(Curves!$T$8:$T$68,AU$4-$B84+1)</f>
        <v/>
      </c>
      <c r="AV84" s="153">
        <f>$C84*INDEX(Curves!$T$8:$T$68,AV$4-$B84+1)</f>
        <v/>
      </c>
      <c r="AW84" s="153">
        <f>$C84*INDEX(Curves!$T$8:$T$68,AW$4-$B84+1)</f>
        <v/>
      </c>
      <c r="AX84" s="153">
        <f>$C84*INDEX(Curves!$T$8:$T$68,AX$4-$B84+1)</f>
        <v/>
      </c>
      <c r="AY84" s="153">
        <f>$C84*INDEX(Curves!$T$8:$T$68,AY$4-$B84+1)</f>
        <v/>
      </c>
      <c r="AZ84" s="153">
        <f>$C84*INDEX(Curves!$T$8:$T$68,AZ$4-$B84+1)</f>
        <v/>
      </c>
      <c r="BA84" s="153">
        <f>$C84*INDEX(Curves!$T$8:$T$68,BA$4-$B84+1)</f>
        <v/>
      </c>
      <c r="BB84" s="153">
        <f>$C84*INDEX(Curves!$T$8:$T$68,BB$4-$B84+1)</f>
        <v/>
      </c>
      <c r="BC84" s="153">
        <f>$C84*INDEX(Curves!$T$8:$T$68,BC$4-$B84+1)</f>
        <v/>
      </c>
      <c r="BD84" s="153">
        <f>$C84*INDEX(Curves!$T$8:$T$68,BD$4-$B84+1)</f>
        <v/>
      </c>
      <c r="BE84" s="153">
        <f>$C84*INDEX(Curves!$T$8:$T$68,BE$4-$B84+1)</f>
        <v/>
      </c>
      <c r="BF84" s="153">
        <f>$C84*INDEX(Curves!$T$8:$T$68,BF$4-$B84+1)</f>
        <v/>
      </c>
      <c r="BG84" s="153">
        <f>$C84*INDEX(Curves!$T$8:$T$68,BG$4-$B84+1)</f>
        <v/>
      </c>
      <c r="BH84" s="153">
        <f>$C84*INDEX(Curves!$T$8:$T$68,BH$4-$B84+1)</f>
        <v/>
      </c>
      <c r="BI84" s="153">
        <f>$C84*INDEX(Curves!$T$8:$T$68,BI$4-$B84+1)</f>
        <v/>
      </c>
      <c r="BJ84" s="153">
        <f>$C84*INDEX(Curves!$T$8:$T$68,BJ$4-$B84+1)</f>
        <v/>
      </c>
      <c r="BK84" s="153">
        <f>$C84*INDEX(Curves!$T$8:$T$68,BK$4-$B84+1)</f>
        <v/>
      </c>
      <c r="BL84" s="153">
        <f>$C84*INDEX(Curves!$T$8:$T$68,BL$4-$B84+1)</f>
        <v/>
      </c>
    </row>
    <row r="85">
      <c r="A85" s="147" t="inlineStr">
        <is>
          <t>Cohort month 13</t>
        </is>
      </c>
      <c r="B85" s="147" t="n">
        <v>13</v>
      </c>
      <c r="C85" s="41">
        <f>INDEX(Ops!$E$34:$BL$34,1,$B85)</f>
        <v/>
      </c>
      <c r="R85" s="153">
        <f>$C85*INDEX(Curves!$T$8:$T$68,R$4-$B85+1)</f>
        <v/>
      </c>
      <c r="S85" s="153">
        <f>$C85*INDEX(Curves!$T$8:$T$68,S$4-$B85+1)</f>
        <v/>
      </c>
      <c r="T85" s="153">
        <f>$C85*INDEX(Curves!$T$8:$T$68,T$4-$B85+1)</f>
        <v/>
      </c>
      <c r="U85" s="153">
        <f>$C85*INDEX(Curves!$T$8:$T$68,U$4-$B85+1)</f>
        <v/>
      </c>
      <c r="V85" s="153">
        <f>$C85*INDEX(Curves!$T$8:$T$68,V$4-$B85+1)</f>
        <v/>
      </c>
      <c r="W85" s="153">
        <f>$C85*INDEX(Curves!$T$8:$T$68,W$4-$B85+1)</f>
        <v/>
      </c>
      <c r="X85" s="153">
        <f>$C85*INDEX(Curves!$T$8:$T$68,X$4-$B85+1)</f>
        <v/>
      </c>
      <c r="Y85" s="153">
        <f>$C85*INDEX(Curves!$T$8:$T$68,Y$4-$B85+1)</f>
        <v/>
      </c>
      <c r="Z85" s="153">
        <f>$C85*INDEX(Curves!$T$8:$T$68,Z$4-$B85+1)</f>
        <v/>
      </c>
      <c r="AA85" s="153">
        <f>$C85*INDEX(Curves!$T$8:$T$68,AA$4-$B85+1)</f>
        <v/>
      </c>
      <c r="AB85" s="153">
        <f>$C85*INDEX(Curves!$T$8:$T$68,AB$4-$B85+1)</f>
        <v/>
      </c>
      <c r="AC85" s="153">
        <f>$C85*INDEX(Curves!$T$8:$T$68,AC$4-$B85+1)</f>
        <v/>
      </c>
      <c r="AD85" s="153">
        <f>$C85*INDEX(Curves!$T$8:$T$68,AD$4-$B85+1)</f>
        <v/>
      </c>
      <c r="AE85" s="153">
        <f>$C85*INDEX(Curves!$T$8:$T$68,AE$4-$B85+1)</f>
        <v/>
      </c>
      <c r="AF85" s="153">
        <f>$C85*INDEX(Curves!$T$8:$T$68,AF$4-$B85+1)</f>
        <v/>
      </c>
      <c r="AG85" s="153">
        <f>$C85*INDEX(Curves!$T$8:$T$68,AG$4-$B85+1)</f>
        <v/>
      </c>
      <c r="AH85" s="153">
        <f>$C85*INDEX(Curves!$T$8:$T$68,AH$4-$B85+1)</f>
        <v/>
      </c>
      <c r="AI85" s="153">
        <f>$C85*INDEX(Curves!$T$8:$T$68,AI$4-$B85+1)</f>
        <v/>
      </c>
      <c r="AJ85" s="153">
        <f>$C85*INDEX(Curves!$T$8:$T$68,AJ$4-$B85+1)</f>
        <v/>
      </c>
      <c r="AK85" s="153">
        <f>$C85*INDEX(Curves!$T$8:$T$68,AK$4-$B85+1)</f>
        <v/>
      </c>
      <c r="AL85" s="153">
        <f>$C85*INDEX(Curves!$T$8:$T$68,AL$4-$B85+1)</f>
        <v/>
      </c>
      <c r="AM85" s="153">
        <f>$C85*INDEX(Curves!$T$8:$T$68,AM$4-$B85+1)</f>
        <v/>
      </c>
      <c r="AN85" s="153">
        <f>$C85*INDEX(Curves!$T$8:$T$68,AN$4-$B85+1)</f>
        <v/>
      </c>
      <c r="AO85" s="153">
        <f>$C85*INDEX(Curves!$T$8:$T$68,AO$4-$B85+1)</f>
        <v/>
      </c>
      <c r="AP85" s="153">
        <f>$C85*INDEX(Curves!$T$8:$T$68,AP$4-$B85+1)</f>
        <v/>
      </c>
      <c r="AQ85" s="153">
        <f>$C85*INDEX(Curves!$T$8:$T$68,AQ$4-$B85+1)</f>
        <v/>
      </c>
      <c r="AR85" s="153">
        <f>$C85*INDEX(Curves!$T$8:$T$68,AR$4-$B85+1)</f>
        <v/>
      </c>
      <c r="AS85" s="153">
        <f>$C85*INDEX(Curves!$T$8:$T$68,AS$4-$B85+1)</f>
        <v/>
      </c>
      <c r="AT85" s="153">
        <f>$C85*INDEX(Curves!$T$8:$T$68,AT$4-$B85+1)</f>
        <v/>
      </c>
      <c r="AU85" s="153">
        <f>$C85*INDEX(Curves!$T$8:$T$68,AU$4-$B85+1)</f>
        <v/>
      </c>
      <c r="AV85" s="153">
        <f>$C85*INDEX(Curves!$T$8:$T$68,AV$4-$B85+1)</f>
        <v/>
      </c>
      <c r="AW85" s="153">
        <f>$C85*INDEX(Curves!$T$8:$T$68,AW$4-$B85+1)</f>
        <v/>
      </c>
      <c r="AX85" s="153">
        <f>$C85*INDEX(Curves!$T$8:$T$68,AX$4-$B85+1)</f>
        <v/>
      </c>
      <c r="AY85" s="153">
        <f>$C85*INDEX(Curves!$T$8:$T$68,AY$4-$B85+1)</f>
        <v/>
      </c>
      <c r="AZ85" s="153">
        <f>$C85*INDEX(Curves!$T$8:$T$68,AZ$4-$B85+1)</f>
        <v/>
      </c>
      <c r="BA85" s="153">
        <f>$C85*INDEX(Curves!$T$8:$T$68,BA$4-$B85+1)</f>
        <v/>
      </c>
      <c r="BB85" s="153">
        <f>$C85*INDEX(Curves!$T$8:$T$68,BB$4-$B85+1)</f>
        <v/>
      </c>
      <c r="BC85" s="153">
        <f>$C85*INDEX(Curves!$T$8:$T$68,BC$4-$B85+1)</f>
        <v/>
      </c>
      <c r="BD85" s="153">
        <f>$C85*INDEX(Curves!$T$8:$T$68,BD$4-$B85+1)</f>
        <v/>
      </c>
      <c r="BE85" s="153">
        <f>$C85*INDEX(Curves!$T$8:$T$68,BE$4-$B85+1)</f>
        <v/>
      </c>
      <c r="BF85" s="153">
        <f>$C85*INDEX(Curves!$T$8:$T$68,BF$4-$B85+1)</f>
        <v/>
      </c>
      <c r="BG85" s="153">
        <f>$C85*INDEX(Curves!$T$8:$T$68,BG$4-$B85+1)</f>
        <v/>
      </c>
      <c r="BH85" s="153">
        <f>$C85*INDEX(Curves!$T$8:$T$68,BH$4-$B85+1)</f>
        <v/>
      </c>
      <c r="BI85" s="153">
        <f>$C85*INDEX(Curves!$T$8:$T$68,BI$4-$B85+1)</f>
        <v/>
      </c>
      <c r="BJ85" s="153">
        <f>$C85*INDEX(Curves!$T$8:$T$68,BJ$4-$B85+1)</f>
        <v/>
      </c>
      <c r="BK85" s="153">
        <f>$C85*INDEX(Curves!$T$8:$T$68,BK$4-$B85+1)</f>
        <v/>
      </c>
      <c r="BL85" s="153">
        <f>$C85*INDEX(Curves!$T$8:$T$68,BL$4-$B85+1)</f>
        <v/>
      </c>
    </row>
    <row r="86">
      <c r="A86" s="147" t="inlineStr">
        <is>
          <t>Cohort month 14</t>
        </is>
      </c>
      <c r="B86" s="147" t="n">
        <v>14</v>
      </c>
      <c r="C86" s="41">
        <f>INDEX(Ops!$E$34:$BL$34,1,$B86)</f>
        <v/>
      </c>
      <c r="S86" s="153">
        <f>$C86*INDEX(Curves!$T$8:$T$68,S$4-$B86+1)</f>
        <v/>
      </c>
      <c r="T86" s="153">
        <f>$C86*INDEX(Curves!$T$8:$T$68,T$4-$B86+1)</f>
        <v/>
      </c>
      <c r="U86" s="153">
        <f>$C86*INDEX(Curves!$T$8:$T$68,U$4-$B86+1)</f>
        <v/>
      </c>
      <c r="V86" s="153">
        <f>$C86*INDEX(Curves!$T$8:$T$68,V$4-$B86+1)</f>
        <v/>
      </c>
      <c r="W86" s="153">
        <f>$C86*INDEX(Curves!$T$8:$T$68,W$4-$B86+1)</f>
        <v/>
      </c>
      <c r="X86" s="153">
        <f>$C86*INDEX(Curves!$T$8:$T$68,X$4-$B86+1)</f>
        <v/>
      </c>
      <c r="Y86" s="153">
        <f>$C86*INDEX(Curves!$T$8:$T$68,Y$4-$B86+1)</f>
        <v/>
      </c>
      <c r="Z86" s="153">
        <f>$C86*INDEX(Curves!$T$8:$T$68,Z$4-$B86+1)</f>
        <v/>
      </c>
      <c r="AA86" s="153">
        <f>$C86*INDEX(Curves!$T$8:$T$68,AA$4-$B86+1)</f>
        <v/>
      </c>
      <c r="AB86" s="153">
        <f>$C86*INDEX(Curves!$T$8:$T$68,AB$4-$B86+1)</f>
        <v/>
      </c>
      <c r="AC86" s="153">
        <f>$C86*INDEX(Curves!$T$8:$T$68,AC$4-$B86+1)</f>
        <v/>
      </c>
      <c r="AD86" s="153">
        <f>$C86*INDEX(Curves!$T$8:$T$68,AD$4-$B86+1)</f>
        <v/>
      </c>
      <c r="AE86" s="153">
        <f>$C86*INDEX(Curves!$T$8:$T$68,AE$4-$B86+1)</f>
        <v/>
      </c>
      <c r="AF86" s="153">
        <f>$C86*INDEX(Curves!$T$8:$T$68,AF$4-$B86+1)</f>
        <v/>
      </c>
      <c r="AG86" s="153">
        <f>$C86*INDEX(Curves!$T$8:$T$68,AG$4-$B86+1)</f>
        <v/>
      </c>
      <c r="AH86" s="153">
        <f>$C86*INDEX(Curves!$T$8:$T$68,AH$4-$B86+1)</f>
        <v/>
      </c>
      <c r="AI86" s="153">
        <f>$C86*INDEX(Curves!$T$8:$T$68,AI$4-$B86+1)</f>
        <v/>
      </c>
      <c r="AJ86" s="153">
        <f>$C86*INDEX(Curves!$T$8:$T$68,AJ$4-$B86+1)</f>
        <v/>
      </c>
      <c r="AK86" s="153">
        <f>$C86*INDEX(Curves!$T$8:$T$68,AK$4-$B86+1)</f>
        <v/>
      </c>
      <c r="AL86" s="153">
        <f>$C86*INDEX(Curves!$T$8:$T$68,AL$4-$B86+1)</f>
        <v/>
      </c>
      <c r="AM86" s="153">
        <f>$C86*INDEX(Curves!$T$8:$T$68,AM$4-$B86+1)</f>
        <v/>
      </c>
      <c r="AN86" s="153">
        <f>$C86*INDEX(Curves!$T$8:$T$68,AN$4-$B86+1)</f>
        <v/>
      </c>
      <c r="AO86" s="153">
        <f>$C86*INDEX(Curves!$T$8:$T$68,AO$4-$B86+1)</f>
        <v/>
      </c>
      <c r="AP86" s="153">
        <f>$C86*INDEX(Curves!$T$8:$T$68,AP$4-$B86+1)</f>
        <v/>
      </c>
      <c r="AQ86" s="153">
        <f>$C86*INDEX(Curves!$T$8:$T$68,AQ$4-$B86+1)</f>
        <v/>
      </c>
      <c r="AR86" s="153">
        <f>$C86*INDEX(Curves!$T$8:$T$68,AR$4-$B86+1)</f>
        <v/>
      </c>
      <c r="AS86" s="153">
        <f>$C86*INDEX(Curves!$T$8:$T$68,AS$4-$B86+1)</f>
        <v/>
      </c>
      <c r="AT86" s="153">
        <f>$C86*INDEX(Curves!$T$8:$T$68,AT$4-$B86+1)</f>
        <v/>
      </c>
      <c r="AU86" s="153">
        <f>$C86*INDEX(Curves!$T$8:$T$68,AU$4-$B86+1)</f>
        <v/>
      </c>
      <c r="AV86" s="153">
        <f>$C86*INDEX(Curves!$T$8:$T$68,AV$4-$B86+1)</f>
        <v/>
      </c>
      <c r="AW86" s="153">
        <f>$C86*INDEX(Curves!$T$8:$T$68,AW$4-$B86+1)</f>
        <v/>
      </c>
      <c r="AX86" s="153">
        <f>$C86*INDEX(Curves!$T$8:$T$68,AX$4-$B86+1)</f>
        <v/>
      </c>
      <c r="AY86" s="153">
        <f>$C86*INDEX(Curves!$T$8:$T$68,AY$4-$B86+1)</f>
        <v/>
      </c>
      <c r="AZ86" s="153">
        <f>$C86*INDEX(Curves!$T$8:$T$68,AZ$4-$B86+1)</f>
        <v/>
      </c>
      <c r="BA86" s="153">
        <f>$C86*INDEX(Curves!$T$8:$T$68,BA$4-$B86+1)</f>
        <v/>
      </c>
      <c r="BB86" s="153">
        <f>$C86*INDEX(Curves!$T$8:$T$68,BB$4-$B86+1)</f>
        <v/>
      </c>
      <c r="BC86" s="153">
        <f>$C86*INDEX(Curves!$T$8:$T$68,BC$4-$B86+1)</f>
        <v/>
      </c>
      <c r="BD86" s="153">
        <f>$C86*INDEX(Curves!$T$8:$T$68,BD$4-$B86+1)</f>
        <v/>
      </c>
      <c r="BE86" s="153">
        <f>$C86*INDEX(Curves!$T$8:$T$68,BE$4-$B86+1)</f>
        <v/>
      </c>
      <c r="BF86" s="153">
        <f>$C86*INDEX(Curves!$T$8:$T$68,BF$4-$B86+1)</f>
        <v/>
      </c>
      <c r="BG86" s="153">
        <f>$C86*INDEX(Curves!$T$8:$T$68,BG$4-$B86+1)</f>
        <v/>
      </c>
      <c r="BH86" s="153">
        <f>$C86*INDEX(Curves!$T$8:$T$68,BH$4-$B86+1)</f>
        <v/>
      </c>
      <c r="BI86" s="153">
        <f>$C86*INDEX(Curves!$T$8:$T$68,BI$4-$B86+1)</f>
        <v/>
      </c>
      <c r="BJ86" s="153">
        <f>$C86*INDEX(Curves!$T$8:$T$68,BJ$4-$B86+1)</f>
        <v/>
      </c>
      <c r="BK86" s="153">
        <f>$C86*INDEX(Curves!$T$8:$T$68,BK$4-$B86+1)</f>
        <v/>
      </c>
      <c r="BL86" s="153">
        <f>$C86*INDEX(Curves!$T$8:$T$68,BL$4-$B86+1)</f>
        <v/>
      </c>
    </row>
    <row r="87">
      <c r="A87" s="147" t="inlineStr">
        <is>
          <t>Cohort month 15</t>
        </is>
      </c>
      <c r="B87" s="147" t="n">
        <v>15</v>
      </c>
      <c r="C87" s="41">
        <f>INDEX(Ops!$E$34:$BL$34,1,$B87)</f>
        <v/>
      </c>
      <c r="T87" s="153">
        <f>$C87*INDEX(Curves!$T$8:$T$68,T$4-$B87+1)</f>
        <v/>
      </c>
      <c r="U87" s="153">
        <f>$C87*INDEX(Curves!$T$8:$T$68,U$4-$B87+1)</f>
        <v/>
      </c>
      <c r="V87" s="153">
        <f>$C87*INDEX(Curves!$T$8:$T$68,V$4-$B87+1)</f>
        <v/>
      </c>
      <c r="W87" s="153">
        <f>$C87*INDEX(Curves!$T$8:$T$68,W$4-$B87+1)</f>
        <v/>
      </c>
      <c r="X87" s="153">
        <f>$C87*INDEX(Curves!$T$8:$T$68,X$4-$B87+1)</f>
        <v/>
      </c>
      <c r="Y87" s="153">
        <f>$C87*INDEX(Curves!$T$8:$T$68,Y$4-$B87+1)</f>
        <v/>
      </c>
      <c r="Z87" s="153">
        <f>$C87*INDEX(Curves!$T$8:$T$68,Z$4-$B87+1)</f>
        <v/>
      </c>
      <c r="AA87" s="153">
        <f>$C87*INDEX(Curves!$T$8:$T$68,AA$4-$B87+1)</f>
        <v/>
      </c>
      <c r="AB87" s="153">
        <f>$C87*INDEX(Curves!$T$8:$T$68,AB$4-$B87+1)</f>
        <v/>
      </c>
      <c r="AC87" s="153">
        <f>$C87*INDEX(Curves!$T$8:$T$68,AC$4-$B87+1)</f>
        <v/>
      </c>
      <c r="AD87" s="153">
        <f>$C87*INDEX(Curves!$T$8:$T$68,AD$4-$B87+1)</f>
        <v/>
      </c>
      <c r="AE87" s="153">
        <f>$C87*INDEX(Curves!$T$8:$T$68,AE$4-$B87+1)</f>
        <v/>
      </c>
      <c r="AF87" s="153">
        <f>$C87*INDEX(Curves!$T$8:$T$68,AF$4-$B87+1)</f>
        <v/>
      </c>
      <c r="AG87" s="153">
        <f>$C87*INDEX(Curves!$T$8:$T$68,AG$4-$B87+1)</f>
        <v/>
      </c>
      <c r="AH87" s="153">
        <f>$C87*INDEX(Curves!$T$8:$T$68,AH$4-$B87+1)</f>
        <v/>
      </c>
      <c r="AI87" s="153">
        <f>$C87*INDEX(Curves!$T$8:$T$68,AI$4-$B87+1)</f>
        <v/>
      </c>
      <c r="AJ87" s="153">
        <f>$C87*INDEX(Curves!$T$8:$T$68,AJ$4-$B87+1)</f>
        <v/>
      </c>
      <c r="AK87" s="153">
        <f>$C87*INDEX(Curves!$T$8:$T$68,AK$4-$B87+1)</f>
        <v/>
      </c>
      <c r="AL87" s="153">
        <f>$C87*INDEX(Curves!$T$8:$T$68,AL$4-$B87+1)</f>
        <v/>
      </c>
      <c r="AM87" s="153">
        <f>$C87*INDEX(Curves!$T$8:$T$68,AM$4-$B87+1)</f>
        <v/>
      </c>
      <c r="AN87" s="153">
        <f>$C87*INDEX(Curves!$T$8:$T$68,AN$4-$B87+1)</f>
        <v/>
      </c>
      <c r="AO87" s="153">
        <f>$C87*INDEX(Curves!$T$8:$T$68,AO$4-$B87+1)</f>
        <v/>
      </c>
      <c r="AP87" s="153">
        <f>$C87*INDEX(Curves!$T$8:$T$68,AP$4-$B87+1)</f>
        <v/>
      </c>
      <c r="AQ87" s="153">
        <f>$C87*INDEX(Curves!$T$8:$T$68,AQ$4-$B87+1)</f>
        <v/>
      </c>
      <c r="AR87" s="153">
        <f>$C87*INDEX(Curves!$T$8:$T$68,AR$4-$B87+1)</f>
        <v/>
      </c>
      <c r="AS87" s="153">
        <f>$C87*INDEX(Curves!$T$8:$T$68,AS$4-$B87+1)</f>
        <v/>
      </c>
      <c r="AT87" s="153">
        <f>$C87*INDEX(Curves!$T$8:$T$68,AT$4-$B87+1)</f>
        <v/>
      </c>
      <c r="AU87" s="153">
        <f>$C87*INDEX(Curves!$T$8:$T$68,AU$4-$B87+1)</f>
        <v/>
      </c>
      <c r="AV87" s="153">
        <f>$C87*INDEX(Curves!$T$8:$T$68,AV$4-$B87+1)</f>
        <v/>
      </c>
      <c r="AW87" s="153">
        <f>$C87*INDEX(Curves!$T$8:$T$68,AW$4-$B87+1)</f>
        <v/>
      </c>
      <c r="AX87" s="153">
        <f>$C87*INDEX(Curves!$T$8:$T$68,AX$4-$B87+1)</f>
        <v/>
      </c>
      <c r="AY87" s="153">
        <f>$C87*INDEX(Curves!$T$8:$T$68,AY$4-$B87+1)</f>
        <v/>
      </c>
      <c r="AZ87" s="153">
        <f>$C87*INDEX(Curves!$T$8:$T$68,AZ$4-$B87+1)</f>
        <v/>
      </c>
      <c r="BA87" s="153">
        <f>$C87*INDEX(Curves!$T$8:$T$68,BA$4-$B87+1)</f>
        <v/>
      </c>
      <c r="BB87" s="153">
        <f>$C87*INDEX(Curves!$T$8:$T$68,BB$4-$B87+1)</f>
        <v/>
      </c>
      <c r="BC87" s="153">
        <f>$C87*INDEX(Curves!$T$8:$T$68,BC$4-$B87+1)</f>
        <v/>
      </c>
      <c r="BD87" s="153">
        <f>$C87*INDEX(Curves!$T$8:$T$68,BD$4-$B87+1)</f>
        <v/>
      </c>
      <c r="BE87" s="153">
        <f>$C87*INDEX(Curves!$T$8:$T$68,BE$4-$B87+1)</f>
        <v/>
      </c>
      <c r="BF87" s="153">
        <f>$C87*INDEX(Curves!$T$8:$T$68,BF$4-$B87+1)</f>
        <v/>
      </c>
      <c r="BG87" s="153">
        <f>$C87*INDEX(Curves!$T$8:$T$68,BG$4-$B87+1)</f>
        <v/>
      </c>
      <c r="BH87" s="153">
        <f>$C87*INDEX(Curves!$T$8:$T$68,BH$4-$B87+1)</f>
        <v/>
      </c>
      <c r="BI87" s="153">
        <f>$C87*INDEX(Curves!$T$8:$T$68,BI$4-$B87+1)</f>
        <v/>
      </c>
      <c r="BJ87" s="153">
        <f>$C87*INDEX(Curves!$T$8:$T$68,BJ$4-$B87+1)</f>
        <v/>
      </c>
      <c r="BK87" s="153">
        <f>$C87*INDEX(Curves!$T$8:$T$68,BK$4-$B87+1)</f>
        <v/>
      </c>
      <c r="BL87" s="153">
        <f>$C87*INDEX(Curves!$T$8:$T$68,BL$4-$B87+1)</f>
        <v/>
      </c>
    </row>
    <row r="88">
      <c r="A88" s="147" t="inlineStr">
        <is>
          <t>Cohort month 16</t>
        </is>
      </c>
      <c r="B88" s="147" t="n">
        <v>16</v>
      </c>
      <c r="C88" s="41">
        <f>INDEX(Ops!$E$34:$BL$34,1,$B88)</f>
        <v/>
      </c>
      <c r="U88" s="153">
        <f>$C88*INDEX(Curves!$T$8:$T$68,U$4-$B88+1)</f>
        <v/>
      </c>
      <c r="V88" s="153">
        <f>$C88*INDEX(Curves!$T$8:$T$68,V$4-$B88+1)</f>
        <v/>
      </c>
      <c r="W88" s="153">
        <f>$C88*INDEX(Curves!$T$8:$T$68,W$4-$B88+1)</f>
        <v/>
      </c>
      <c r="X88" s="153">
        <f>$C88*INDEX(Curves!$T$8:$T$68,X$4-$B88+1)</f>
        <v/>
      </c>
      <c r="Y88" s="153">
        <f>$C88*INDEX(Curves!$T$8:$T$68,Y$4-$B88+1)</f>
        <v/>
      </c>
      <c r="Z88" s="153">
        <f>$C88*INDEX(Curves!$T$8:$T$68,Z$4-$B88+1)</f>
        <v/>
      </c>
      <c r="AA88" s="153">
        <f>$C88*INDEX(Curves!$T$8:$T$68,AA$4-$B88+1)</f>
        <v/>
      </c>
      <c r="AB88" s="153">
        <f>$C88*INDEX(Curves!$T$8:$T$68,AB$4-$B88+1)</f>
        <v/>
      </c>
      <c r="AC88" s="153">
        <f>$C88*INDEX(Curves!$T$8:$T$68,AC$4-$B88+1)</f>
        <v/>
      </c>
      <c r="AD88" s="153">
        <f>$C88*INDEX(Curves!$T$8:$T$68,AD$4-$B88+1)</f>
        <v/>
      </c>
      <c r="AE88" s="153">
        <f>$C88*INDEX(Curves!$T$8:$T$68,AE$4-$B88+1)</f>
        <v/>
      </c>
      <c r="AF88" s="153">
        <f>$C88*INDEX(Curves!$T$8:$T$68,AF$4-$B88+1)</f>
        <v/>
      </c>
      <c r="AG88" s="153">
        <f>$C88*INDEX(Curves!$T$8:$T$68,AG$4-$B88+1)</f>
        <v/>
      </c>
      <c r="AH88" s="153">
        <f>$C88*INDEX(Curves!$T$8:$T$68,AH$4-$B88+1)</f>
        <v/>
      </c>
      <c r="AI88" s="153">
        <f>$C88*INDEX(Curves!$T$8:$T$68,AI$4-$B88+1)</f>
        <v/>
      </c>
      <c r="AJ88" s="153">
        <f>$C88*INDEX(Curves!$T$8:$T$68,AJ$4-$B88+1)</f>
        <v/>
      </c>
      <c r="AK88" s="153">
        <f>$C88*INDEX(Curves!$T$8:$T$68,AK$4-$B88+1)</f>
        <v/>
      </c>
      <c r="AL88" s="153">
        <f>$C88*INDEX(Curves!$T$8:$T$68,AL$4-$B88+1)</f>
        <v/>
      </c>
      <c r="AM88" s="153">
        <f>$C88*INDEX(Curves!$T$8:$T$68,AM$4-$B88+1)</f>
        <v/>
      </c>
      <c r="AN88" s="153">
        <f>$C88*INDEX(Curves!$T$8:$T$68,AN$4-$B88+1)</f>
        <v/>
      </c>
      <c r="AO88" s="153">
        <f>$C88*INDEX(Curves!$T$8:$T$68,AO$4-$B88+1)</f>
        <v/>
      </c>
      <c r="AP88" s="153">
        <f>$C88*INDEX(Curves!$T$8:$T$68,AP$4-$B88+1)</f>
        <v/>
      </c>
      <c r="AQ88" s="153">
        <f>$C88*INDEX(Curves!$T$8:$T$68,AQ$4-$B88+1)</f>
        <v/>
      </c>
      <c r="AR88" s="153">
        <f>$C88*INDEX(Curves!$T$8:$T$68,AR$4-$B88+1)</f>
        <v/>
      </c>
      <c r="AS88" s="153">
        <f>$C88*INDEX(Curves!$T$8:$T$68,AS$4-$B88+1)</f>
        <v/>
      </c>
      <c r="AT88" s="153">
        <f>$C88*INDEX(Curves!$T$8:$T$68,AT$4-$B88+1)</f>
        <v/>
      </c>
      <c r="AU88" s="153">
        <f>$C88*INDEX(Curves!$T$8:$T$68,AU$4-$B88+1)</f>
        <v/>
      </c>
      <c r="AV88" s="153">
        <f>$C88*INDEX(Curves!$T$8:$T$68,AV$4-$B88+1)</f>
        <v/>
      </c>
      <c r="AW88" s="153">
        <f>$C88*INDEX(Curves!$T$8:$T$68,AW$4-$B88+1)</f>
        <v/>
      </c>
      <c r="AX88" s="153">
        <f>$C88*INDEX(Curves!$T$8:$T$68,AX$4-$B88+1)</f>
        <v/>
      </c>
      <c r="AY88" s="153">
        <f>$C88*INDEX(Curves!$T$8:$T$68,AY$4-$B88+1)</f>
        <v/>
      </c>
      <c r="AZ88" s="153">
        <f>$C88*INDEX(Curves!$T$8:$T$68,AZ$4-$B88+1)</f>
        <v/>
      </c>
      <c r="BA88" s="153">
        <f>$C88*INDEX(Curves!$T$8:$T$68,BA$4-$B88+1)</f>
        <v/>
      </c>
      <c r="BB88" s="153">
        <f>$C88*INDEX(Curves!$T$8:$T$68,BB$4-$B88+1)</f>
        <v/>
      </c>
      <c r="BC88" s="153">
        <f>$C88*INDEX(Curves!$T$8:$T$68,BC$4-$B88+1)</f>
        <v/>
      </c>
      <c r="BD88" s="153">
        <f>$C88*INDEX(Curves!$T$8:$T$68,BD$4-$B88+1)</f>
        <v/>
      </c>
      <c r="BE88" s="153">
        <f>$C88*INDEX(Curves!$T$8:$T$68,BE$4-$B88+1)</f>
        <v/>
      </c>
      <c r="BF88" s="153">
        <f>$C88*INDEX(Curves!$T$8:$T$68,BF$4-$B88+1)</f>
        <v/>
      </c>
      <c r="BG88" s="153">
        <f>$C88*INDEX(Curves!$T$8:$T$68,BG$4-$B88+1)</f>
        <v/>
      </c>
      <c r="BH88" s="153">
        <f>$C88*INDEX(Curves!$T$8:$T$68,BH$4-$B88+1)</f>
        <v/>
      </c>
      <c r="BI88" s="153">
        <f>$C88*INDEX(Curves!$T$8:$T$68,BI$4-$B88+1)</f>
        <v/>
      </c>
      <c r="BJ88" s="153">
        <f>$C88*INDEX(Curves!$T$8:$T$68,BJ$4-$B88+1)</f>
        <v/>
      </c>
      <c r="BK88" s="153">
        <f>$C88*INDEX(Curves!$T$8:$T$68,BK$4-$B88+1)</f>
        <v/>
      </c>
      <c r="BL88" s="153">
        <f>$C88*INDEX(Curves!$T$8:$T$68,BL$4-$B88+1)</f>
        <v/>
      </c>
    </row>
    <row r="89">
      <c r="A89" s="147" t="inlineStr">
        <is>
          <t>Cohort month 17</t>
        </is>
      </c>
      <c r="B89" s="147" t="n">
        <v>17</v>
      </c>
      <c r="C89" s="41">
        <f>INDEX(Ops!$E$34:$BL$34,1,$B89)</f>
        <v/>
      </c>
      <c r="V89" s="153">
        <f>$C89*INDEX(Curves!$T$8:$T$68,V$4-$B89+1)</f>
        <v/>
      </c>
      <c r="W89" s="153">
        <f>$C89*INDEX(Curves!$T$8:$T$68,W$4-$B89+1)</f>
        <v/>
      </c>
      <c r="X89" s="153">
        <f>$C89*INDEX(Curves!$T$8:$T$68,X$4-$B89+1)</f>
        <v/>
      </c>
      <c r="Y89" s="153">
        <f>$C89*INDEX(Curves!$T$8:$T$68,Y$4-$B89+1)</f>
        <v/>
      </c>
      <c r="Z89" s="153">
        <f>$C89*INDEX(Curves!$T$8:$T$68,Z$4-$B89+1)</f>
        <v/>
      </c>
      <c r="AA89" s="153">
        <f>$C89*INDEX(Curves!$T$8:$T$68,AA$4-$B89+1)</f>
        <v/>
      </c>
      <c r="AB89" s="153">
        <f>$C89*INDEX(Curves!$T$8:$T$68,AB$4-$B89+1)</f>
        <v/>
      </c>
      <c r="AC89" s="153">
        <f>$C89*INDEX(Curves!$T$8:$T$68,AC$4-$B89+1)</f>
        <v/>
      </c>
      <c r="AD89" s="153">
        <f>$C89*INDEX(Curves!$T$8:$T$68,AD$4-$B89+1)</f>
        <v/>
      </c>
      <c r="AE89" s="153">
        <f>$C89*INDEX(Curves!$T$8:$T$68,AE$4-$B89+1)</f>
        <v/>
      </c>
      <c r="AF89" s="153">
        <f>$C89*INDEX(Curves!$T$8:$T$68,AF$4-$B89+1)</f>
        <v/>
      </c>
      <c r="AG89" s="153">
        <f>$C89*INDEX(Curves!$T$8:$T$68,AG$4-$B89+1)</f>
        <v/>
      </c>
      <c r="AH89" s="153">
        <f>$C89*INDEX(Curves!$T$8:$T$68,AH$4-$B89+1)</f>
        <v/>
      </c>
      <c r="AI89" s="153">
        <f>$C89*INDEX(Curves!$T$8:$T$68,AI$4-$B89+1)</f>
        <v/>
      </c>
      <c r="AJ89" s="153">
        <f>$C89*INDEX(Curves!$T$8:$T$68,AJ$4-$B89+1)</f>
        <v/>
      </c>
      <c r="AK89" s="153">
        <f>$C89*INDEX(Curves!$T$8:$T$68,AK$4-$B89+1)</f>
        <v/>
      </c>
      <c r="AL89" s="153">
        <f>$C89*INDEX(Curves!$T$8:$T$68,AL$4-$B89+1)</f>
        <v/>
      </c>
      <c r="AM89" s="153">
        <f>$C89*INDEX(Curves!$T$8:$T$68,AM$4-$B89+1)</f>
        <v/>
      </c>
      <c r="AN89" s="153">
        <f>$C89*INDEX(Curves!$T$8:$T$68,AN$4-$B89+1)</f>
        <v/>
      </c>
      <c r="AO89" s="153">
        <f>$C89*INDEX(Curves!$T$8:$T$68,AO$4-$B89+1)</f>
        <v/>
      </c>
      <c r="AP89" s="153">
        <f>$C89*INDEX(Curves!$T$8:$T$68,AP$4-$B89+1)</f>
        <v/>
      </c>
      <c r="AQ89" s="153">
        <f>$C89*INDEX(Curves!$T$8:$T$68,AQ$4-$B89+1)</f>
        <v/>
      </c>
      <c r="AR89" s="153">
        <f>$C89*INDEX(Curves!$T$8:$T$68,AR$4-$B89+1)</f>
        <v/>
      </c>
      <c r="AS89" s="153">
        <f>$C89*INDEX(Curves!$T$8:$T$68,AS$4-$B89+1)</f>
        <v/>
      </c>
      <c r="AT89" s="153">
        <f>$C89*INDEX(Curves!$T$8:$T$68,AT$4-$B89+1)</f>
        <v/>
      </c>
      <c r="AU89" s="153">
        <f>$C89*INDEX(Curves!$T$8:$T$68,AU$4-$B89+1)</f>
        <v/>
      </c>
      <c r="AV89" s="153">
        <f>$C89*INDEX(Curves!$T$8:$T$68,AV$4-$B89+1)</f>
        <v/>
      </c>
      <c r="AW89" s="153">
        <f>$C89*INDEX(Curves!$T$8:$T$68,AW$4-$B89+1)</f>
        <v/>
      </c>
      <c r="AX89" s="153">
        <f>$C89*INDEX(Curves!$T$8:$T$68,AX$4-$B89+1)</f>
        <v/>
      </c>
      <c r="AY89" s="153">
        <f>$C89*INDEX(Curves!$T$8:$T$68,AY$4-$B89+1)</f>
        <v/>
      </c>
      <c r="AZ89" s="153">
        <f>$C89*INDEX(Curves!$T$8:$T$68,AZ$4-$B89+1)</f>
        <v/>
      </c>
      <c r="BA89" s="153">
        <f>$C89*INDEX(Curves!$T$8:$T$68,BA$4-$B89+1)</f>
        <v/>
      </c>
      <c r="BB89" s="153">
        <f>$C89*INDEX(Curves!$T$8:$T$68,BB$4-$B89+1)</f>
        <v/>
      </c>
      <c r="BC89" s="153">
        <f>$C89*INDEX(Curves!$T$8:$T$68,BC$4-$B89+1)</f>
        <v/>
      </c>
      <c r="BD89" s="153">
        <f>$C89*INDEX(Curves!$T$8:$T$68,BD$4-$B89+1)</f>
        <v/>
      </c>
      <c r="BE89" s="153">
        <f>$C89*INDEX(Curves!$T$8:$T$68,BE$4-$B89+1)</f>
        <v/>
      </c>
      <c r="BF89" s="153">
        <f>$C89*INDEX(Curves!$T$8:$T$68,BF$4-$B89+1)</f>
        <v/>
      </c>
      <c r="BG89" s="153">
        <f>$C89*INDEX(Curves!$T$8:$T$68,BG$4-$B89+1)</f>
        <v/>
      </c>
      <c r="BH89" s="153">
        <f>$C89*INDEX(Curves!$T$8:$T$68,BH$4-$B89+1)</f>
        <v/>
      </c>
      <c r="BI89" s="153">
        <f>$C89*INDEX(Curves!$T$8:$T$68,BI$4-$B89+1)</f>
        <v/>
      </c>
      <c r="BJ89" s="153">
        <f>$C89*INDEX(Curves!$T$8:$T$68,BJ$4-$B89+1)</f>
        <v/>
      </c>
      <c r="BK89" s="153">
        <f>$C89*INDEX(Curves!$T$8:$T$68,BK$4-$B89+1)</f>
        <v/>
      </c>
      <c r="BL89" s="153">
        <f>$C89*INDEX(Curves!$T$8:$T$68,BL$4-$B89+1)</f>
        <v/>
      </c>
    </row>
    <row r="90">
      <c r="A90" s="147" t="inlineStr">
        <is>
          <t>Cohort month 18</t>
        </is>
      </c>
      <c r="B90" s="147" t="n">
        <v>18</v>
      </c>
      <c r="C90" s="41">
        <f>INDEX(Ops!$E$34:$BL$34,1,$B90)</f>
        <v/>
      </c>
      <c r="W90" s="153">
        <f>$C90*INDEX(Curves!$T$8:$T$68,W$4-$B90+1)</f>
        <v/>
      </c>
      <c r="X90" s="153">
        <f>$C90*INDEX(Curves!$T$8:$T$68,X$4-$B90+1)</f>
        <v/>
      </c>
      <c r="Y90" s="153">
        <f>$C90*INDEX(Curves!$T$8:$T$68,Y$4-$B90+1)</f>
        <v/>
      </c>
      <c r="Z90" s="153">
        <f>$C90*INDEX(Curves!$T$8:$T$68,Z$4-$B90+1)</f>
        <v/>
      </c>
      <c r="AA90" s="153">
        <f>$C90*INDEX(Curves!$T$8:$T$68,AA$4-$B90+1)</f>
        <v/>
      </c>
      <c r="AB90" s="153">
        <f>$C90*INDEX(Curves!$T$8:$T$68,AB$4-$B90+1)</f>
        <v/>
      </c>
      <c r="AC90" s="153">
        <f>$C90*INDEX(Curves!$T$8:$T$68,AC$4-$B90+1)</f>
        <v/>
      </c>
      <c r="AD90" s="153">
        <f>$C90*INDEX(Curves!$T$8:$T$68,AD$4-$B90+1)</f>
        <v/>
      </c>
      <c r="AE90" s="153">
        <f>$C90*INDEX(Curves!$T$8:$T$68,AE$4-$B90+1)</f>
        <v/>
      </c>
      <c r="AF90" s="153">
        <f>$C90*INDEX(Curves!$T$8:$T$68,AF$4-$B90+1)</f>
        <v/>
      </c>
      <c r="AG90" s="153">
        <f>$C90*INDEX(Curves!$T$8:$T$68,AG$4-$B90+1)</f>
        <v/>
      </c>
      <c r="AH90" s="153">
        <f>$C90*INDEX(Curves!$T$8:$T$68,AH$4-$B90+1)</f>
        <v/>
      </c>
      <c r="AI90" s="153">
        <f>$C90*INDEX(Curves!$T$8:$T$68,AI$4-$B90+1)</f>
        <v/>
      </c>
      <c r="AJ90" s="153">
        <f>$C90*INDEX(Curves!$T$8:$T$68,AJ$4-$B90+1)</f>
        <v/>
      </c>
      <c r="AK90" s="153">
        <f>$C90*INDEX(Curves!$T$8:$T$68,AK$4-$B90+1)</f>
        <v/>
      </c>
      <c r="AL90" s="153">
        <f>$C90*INDEX(Curves!$T$8:$T$68,AL$4-$B90+1)</f>
        <v/>
      </c>
      <c r="AM90" s="153">
        <f>$C90*INDEX(Curves!$T$8:$T$68,AM$4-$B90+1)</f>
        <v/>
      </c>
      <c r="AN90" s="153">
        <f>$C90*INDEX(Curves!$T$8:$T$68,AN$4-$B90+1)</f>
        <v/>
      </c>
      <c r="AO90" s="153">
        <f>$C90*INDEX(Curves!$T$8:$T$68,AO$4-$B90+1)</f>
        <v/>
      </c>
      <c r="AP90" s="153">
        <f>$C90*INDEX(Curves!$T$8:$T$68,AP$4-$B90+1)</f>
        <v/>
      </c>
      <c r="AQ90" s="153">
        <f>$C90*INDEX(Curves!$T$8:$T$68,AQ$4-$B90+1)</f>
        <v/>
      </c>
      <c r="AR90" s="153">
        <f>$C90*INDEX(Curves!$T$8:$T$68,AR$4-$B90+1)</f>
        <v/>
      </c>
      <c r="AS90" s="153">
        <f>$C90*INDEX(Curves!$T$8:$T$68,AS$4-$B90+1)</f>
        <v/>
      </c>
      <c r="AT90" s="153">
        <f>$C90*INDEX(Curves!$T$8:$T$68,AT$4-$B90+1)</f>
        <v/>
      </c>
      <c r="AU90" s="153">
        <f>$C90*INDEX(Curves!$T$8:$T$68,AU$4-$B90+1)</f>
        <v/>
      </c>
      <c r="AV90" s="153">
        <f>$C90*INDEX(Curves!$T$8:$T$68,AV$4-$B90+1)</f>
        <v/>
      </c>
      <c r="AW90" s="153">
        <f>$C90*INDEX(Curves!$T$8:$T$68,AW$4-$B90+1)</f>
        <v/>
      </c>
      <c r="AX90" s="153">
        <f>$C90*INDEX(Curves!$T$8:$T$68,AX$4-$B90+1)</f>
        <v/>
      </c>
      <c r="AY90" s="153">
        <f>$C90*INDEX(Curves!$T$8:$T$68,AY$4-$B90+1)</f>
        <v/>
      </c>
      <c r="AZ90" s="153">
        <f>$C90*INDEX(Curves!$T$8:$T$68,AZ$4-$B90+1)</f>
        <v/>
      </c>
      <c r="BA90" s="153">
        <f>$C90*INDEX(Curves!$T$8:$T$68,BA$4-$B90+1)</f>
        <v/>
      </c>
      <c r="BB90" s="153">
        <f>$C90*INDEX(Curves!$T$8:$T$68,BB$4-$B90+1)</f>
        <v/>
      </c>
      <c r="BC90" s="153">
        <f>$C90*INDEX(Curves!$T$8:$T$68,BC$4-$B90+1)</f>
        <v/>
      </c>
      <c r="BD90" s="153">
        <f>$C90*INDEX(Curves!$T$8:$T$68,BD$4-$B90+1)</f>
        <v/>
      </c>
      <c r="BE90" s="153">
        <f>$C90*INDEX(Curves!$T$8:$T$68,BE$4-$B90+1)</f>
        <v/>
      </c>
      <c r="BF90" s="153">
        <f>$C90*INDEX(Curves!$T$8:$T$68,BF$4-$B90+1)</f>
        <v/>
      </c>
      <c r="BG90" s="153">
        <f>$C90*INDEX(Curves!$T$8:$T$68,BG$4-$B90+1)</f>
        <v/>
      </c>
      <c r="BH90" s="153">
        <f>$C90*INDEX(Curves!$T$8:$T$68,BH$4-$B90+1)</f>
        <v/>
      </c>
      <c r="BI90" s="153">
        <f>$C90*INDEX(Curves!$T$8:$T$68,BI$4-$B90+1)</f>
        <v/>
      </c>
      <c r="BJ90" s="153">
        <f>$C90*INDEX(Curves!$T$8:$T$68,BJ$4-$B90+1)</f>
        <v/>
      </c>
      <c r="BK90" s="153">
        <f>$C90*INDEX(Curves!$T$8:$T$68,BK$4-$B90+1)</f>
        <v/>
      </c>
      <c r="BL90" s="153">
        <f>$C90*INDEX(Curves!$T$8:$T$68,BL$4-$B90+1)</f>
        <v/>
      </c>
    </row>
    <row r="91">
      <c r="A91" s="147" t="inlineStr">
        <is>
          <t>Cohort month 19</t>
        </is>
      </c>
      <c r="B91" s="147" t="n">
        <v>19</v>
      </c>
      <c r="C91" s="41">
        <f>INDEX(Ops!$E$34:$BL$34,1,$B91)</f>
        <v/>
      </c>
      <c r="X91" s="153">
        <f>$C91*INDEX(Curves!$T$8:$T$68,X$4-$B91+1)</f>
        <v/>
      </c>
      <c r="Y91" s="153">
        <f>$C91*INDEX(Curves!$T$8:$T$68,Y$4-$B91+1)</f>
        <v/>
      </c>
      <c r="Z91" s="153">
        <f>$C91*INDEX(Curves!$T$8:$T$68,Z$4-$B91+1)</f>
        <v/>
      </c>
      <c r="AA91" s="153">
        <f>$C91*INDEX(Curves!$T$8:$T$68,AA$4-$B91+1)</f>
        <v/>
      </c>
      <c r="AB91" s="153">
        <f>$C91*INDEX(Curves!$T$8:$T$68,AB$4-$B91+1)</f>
        <v/>
      </c>
      <c r="AC91" s="153">
        <f>$C91*INDEX(Curves!$T$8:$T$68,AC$4-$B91+1)</f>
        <v/>
      </c>
      <c r="AD91" s="153">
        <f>$C91*INDEX(Curves!$T$8:$T$68,AD$4-$B91+1)</f>
        <v/>
      </c>
      <c r="AE91" s="153">
        <f>$C91*INDEX(Curves!$T$8:$T$68,AE$4-$B91+1)</f>
        <v/>
      </c>
      <c r="AF91" s="153">
        <f>$C91*INDEX(Curves!$T$8:$T$68,AF$4-$B91+1)</f>
        <v/>
      </c>
      <c r="AG91" s="153">
        <f>$C91*INDEX(Curves!$T$8:$T$68,AG$4-$B91+1)</f>
        <v/>
      </c>
      <c r="AH91" s="153">
        <f>$C91*INDEX(Curves!$T$8:$T$68,AH$4-$B91+1)</f>
        <v/>
      </c>
      <c r="AI91" s="153">
        <f>$C91*INDEX(Curves!$T$8:$T$68,AI$4-$B91+1)</f>
        <v/>
      </c>
      <c r="AJ91" s="153">
        <f>$C91*INDEX(Curves!$T$8:$T$68,AJ$4-$B91+1)</f>
        <v/>
      </c>
      <c r="AK91" s="153">
        <f>$C91*INDEX(Curves!$T$8:$T$68,AK$4-$B91+1)</f>
        <v/>
      </c>
      <c r="AL91" s="153">
        <f>$C91*INDEX(Curves!$T$8:$T$68,AL$4-$B91+1)</f>
        <v/>
      </c>
      <c r="AM91" s="153">
        <f>$C91*INDEX(Curves!$T$8:$T$68,AM$4-$B91+1)</f>
        <v/>
      </c>
      <c r="AN91" s="153">
        <f>$C91*INDEX(Curves!$T$8:$T$68,AN$4-$B91+1)</f>
        <v/>
      </c>
      <c r="AO91" s="153">
        <f>$C91*INDEX(Curves!$T$8:$T$68,AO$4-$B91+1)</f>
        <v/>
      </c>
      <c r="AP91" s="153">
        <f>$C91*INDEX(Curves!$T$8:$T$68,AP$4-$B91+1)</f>
        <v/>
      </c>
      <c r="AQ91" s="153">
        <f>$C91*INDEX(Curves!$T$8:$T$68,AQ$4-$B91+1)</f>
        <v/>
      </c>
      <c r="AR91" s="153">
        <f>$C91*INDEX(Curves!$T$8:$T$68,AR$4-$B91+1)</f>
        <v/>
      </c>
      <c r="AS91" s="153">
        <f>$C91*INDEX(Curves!$T$8:$T$68,AS$4-$B91+1)</f>
        <v/>
      </c>
      <c r="AT91" s="153">
        <f>$C91*INDEX(Curves!$T$8:$T$68,AT$4-$B91+1)</f>
        <v/>
      </c>
      <c r="AU91" s="153">
        <f>$C91*INDEX(Curves!$T$8:$T$68,AU$4-$B91+1)</f>
        <v/>
      </c>
      <c r="AV91" s="153">
        <f>$C91*INDEX(Curves!$T$8:$T$68,AV$4-$B91+1)</f>
        <v/>
      </c>
      <c r="AW91" s="153">
        <f>$C91*INDEX(Curves!$T$8:$T$68,AW$4-$B91+1)</f>
        <v/>
      </c>
      <c r="AX91" s="153">
        <f>$C91*INDEX(Curves!$T$8:$T$68,AX$4-$B91+1)</f>
        <v/>
      </c>
      <c r="AY91" s="153">
        <f>$C91*INDEX(Curves!$T$8:$T$68,AY$4-$B91+1)</f>
        <v/>
      </c>
      <c r="AZ91" s="153">
        <f>$C91*INDEX(Curves!$T$8:$T$68,AZ$4-$B91+1)</f>
        <v/>
      </c>
      <c r="BA91" s="153">
        <f>$C91*INDEX(Curves!$T$8:$T$68,BA$4-$B91+1)</f>
        <v/>
      </c>
      <c r="BB91" s="153">
        <f>$C91*INDEX(Curves!$T$8:$T$68,BB$4-$B91+1)</f>
        <v/>
      </c>
      <c r="BC91" s="153">
        <f>$C91*INDEX(Curves!$T$8:$T$68,BC$4-$B91+1)</f>
        <v/>
      </c>
      <c r="BD91" s="153">
        <f>$C91*INDEX(Curves!$T$8:$T$68,BD$4-$B91+1)</f>
        <v/>
      </c>
      <c r="BE91" s="153">
        <f>$C91*INDEX(Curves!$T$8:$T$68,BE$4-$B91+1)</f>
        <v/>
      </c>
      <c r="BF91" s="153">
        <f>$C91*INDEX(Curves!$T$8:$T$68,BF$4-$B91+1)</f>
        <v/>
      </c>
      <c r="BG91" s="153">
        <f>$C91*INDEX(Curves!$T$8:$T$68,BG$4-$B91+1)</f>
        <v/>
      </c>
      <c r="BH91" s="153">
        <f>$C91*INDEX(Curves!$T$8:$T$68,BH$4-$B91+1)</f>
        <v/>
      </c>
      <c r="BI91" s="153">
        <f>$C91*INDEX(Curves!$T$8:$T$68,BI$4-$B91+1)</f>
        <v/>
      </c>
      <c r="BJ91" s="153">
        <f>$C91*INDEX(Curves!$T$8:$T$68,BJ$4-$B91+1)</f>
        <v/>
      </c>
      <c r="BK91" s="153">
        <f>$C91*INDEX(Curves!$T$8:$T$68,BK$4-$B91+1)</f>
        <v/>
      </c>
      <c r="BL91" s="153">
        <f>$C91*INDEX(Curves!$T$8:$T$68,BL$4-$B91+1)</f>
        <v/>
      </c>
    </row>
    <row r="92">
      <c r="A92" s="147" t="inlineStr">
        <is>
          <t>Cohort month 20</t>
        </is>
      </c>
      <c r="B92" s="147" t="n">
        <v>20</v>
      </c>
      <c r="C92" s="41">
        <f>INDEX(Ops!$E$34:$BL$34,1,$B92)</f>
        <v/>
      </c>
      <c r="Y92" s="153">
        <f>$C92*INDEX(Curves!$T$8:$T$68,Y$4-$B92+1)</f>
        <v/>
      </c>
      <c r="Z92" s="153">
        <f>$C92*INDEX(Curves!$T$8:$T$68,Z$4-$B92+1)</f>
        <v/>
      </c>
      <c r="AA92" s="153">
        <f>$C92*INDEX(Curves!$T$8:$T$68,AA$4-$B92+1)</f>
        <v/>
      </c>
      <c r="AB92" s="153">
        <f>$C92*INDEX(Curves!$T$8:$T$68,AB$4-$B92+1)</f>
        <v/>
      </c>
      <c r="AC92" s="153">
        <f>$C92*INDEX(Curves!$T$8:$T$68,AC$4-$B92+1)</f>
        <v/>
      </c>
      <c r="AD92" s="153">
        <f>$C92*INDEX(Curves!$T$8:$T$68,AD$4-$B92+1)</f>
        <v/>
      </c>
      <c r="AE92" s="153">
        <f>$C92*INDEX(Curves!$T$8:$T$68,AE$4-$B92+1)</f>
        <v/>
      </c>
      <c r="AF92" s="153">
        <f>$C92*INDEX(Curves!$T$8:$T$68,AF$4-$B92+1)</f>
        <v/>
      </c>
      <c r="AG92" s="153">
        <f>$C92*INDEX(Curves!$T$8:$T$68,AG$4-$B92+1)</f>
        <v/>
      </c>
      <c r="AH92" s="153">
        <f>$C92*INDEX(Curves!$T$8:$T$68,AH$4-$B92+1)</f>
        <v/>
      </c>
      <c r="AI92" s="153">
        <f>$C92*INDEX(Curves!$T$8:$T$68,AI$4-$B92+1)</f>
        <v/>
      </c>
      <c r="AJ92" s="153">
        <f>$C92*INDEX(Curves!$T$8:$T$68,AJ$4-$B92+1)</f>
        <v/>
      </c>
      <c r="AK92" s="153">
        <f>$C92*INDEX(Curves!$T$8:$T$68,AK$4-$B92+1)</f>
        <v/>
      </c>
      <c r="AL92" s="153">
        <f>$C92*INDEX(Curves!$T$8:$T$68,AL$4-$B92+1)</f>
        <v/>
      </c>
      <c r="AM92" s="153">
        <f>$C92*INDEX(Curves!$T$8:$T$68,AM$4-$B92+1)</f>
        <v/>
      </c>
      <c r="AN92" s="153">
        <f>$C92*INDEX(Curves!$T$8:$T$68,AN$4-$B92+1)</f>
        <v/>
      </c>
      <c r="AO92" s="153">
        <f>$C92*INDEX(Curves!$T$8:$T$68,AO$4-$B92+1)</f>
        <v/>
      </c>
      <c r="AP92" s="153">
        <f>$C92*INDEX(Curves!$T$8:$T$68,AP$4-$B92+1)</f>
        <v/>
      </c>
      <c r="AQ92" s="153">
        <f>$C92*INDEX(Curves!$T$8:$T$68,AQ$4-$B92+1)</f>
        <v/>
      </c>
      <c r="AR92" s="153">
        <f>$C92*INDEX(Curves!$T$8:$T$68,AR$4-$B92+1)</f>
        <v/>
      </c>
      <c r="AS92" s="153">
        <f>$C92*INDEX(Curves!$T$8:$T$68,AS$4-$B92+1)</f>
        <v/>
      </c>
      <c r="AT92" s="153">
        <f>$C92*INDEX(Curves!$T$8:$T$68,AT$4-$B92+1)</f>
        <v/>
      </c>
      <c r="AU92" s="153">
        <f>$C92*INDEX(Curves!$T$8:$T$68,AU$4-$B92+1)</f>
        <v/>
      </c>
      <c r="AV92" s="153">
        <f>$C92*INDEX(Curves!$T$8:$T$68,AV$4-$B92+1)</f>
        <v/>
      </c>
      <c r="AW92" s="153">
        <f>$C92*INDEX(Curves!$T$8:$T$68,AW$4-$B92+1)</f>
        <v/>
      </c>
      <c r="AX92" s="153">
        <f>$C92*INDEX(Curves!$T$8:$T$68,AX$4-$B92+1)</f>
        <v/>
      </c>
      <c r="AY92" s="153">
        <f>$C92*INDEX(Curves!$T$8:$T$68,AY$4-$B92+1)</f>
        <v/>
      </c>
      <c r="AZ92" s="153">
        <f>$C92*INDEX(Curves!$T$8:$T$68,AZ$4-$B92+1)</f>
        <v/>
      </c>
      <c r="BA92" s="153">
        <f>$C92*INDEX(Curves!$T$8:$T$68,BA$4-$B92+1)</f>
        <v/>
      </c>
      <c r="BB92" s="153">
        <f>$C92*INDEX(Curves!$T$8:$T$68,BB$4-$B92+1)</f>
        <v/>
      </c>
      <c r="BC92" s="153">
        <f>$C92*INDEX(Curves!$T$8:$T$68,BC$4-$B92+1)</f>
        <v/>
      </c>
      <c r="BD92" s="153">
        <f>$C92*INDEX(Curves!$T$8:$T$68,BD$4-$B92+1)</f>
        <v/>
      </c>
      <c r="BE92" s="153">
        <f>$C92*INDEX(Curves!$T$8:$T$68,BE$4-$B92+1)</f>
        <v/>
      </c>
      <c r="BF92" s="153">
        <f>$C92*INDEX(Curves!$T$8:$T$68,BF$4-$B92+1)</f>
        <v/>
      </c>
      <c r="BG92" s="153">
        <f>$C92*INDEX(Curves!$T$8:$T$68,BG$4-$B92+1)</f>
        <v/>
      </c>
      <c r="BH92" s="153">
        <f>$C92*INDEX(Curves!$T$8:$T$68,BH$4-$B92+1)</f>
        <v/>
      </c>
      <c r="BI92" s="153">
        <f>$C92*INDEX(Curves!$T$8:$T$68,BI$4-$B92+1)</f>
        <v/>
      </c>
      <c r="BJ92" s="153">
        <f>$C92*INDEX(Curves!$T$8:$T$68,BJ$4-$B92+1)</f>
        <v/>
      </c>
      <c r="BK92" s="153">
        <f>$C92*INDEX(Curves!$T$8:$T$68,BK$4-$B92+1)</f>
        <v/>
      </c>
      <c r="BL92" s="153">
        <f>$C92*INDEX(Curves!$T$8:$T$68,BL$4-$B92+1)</f>
        <v/>
      </c>
    </row>
    <row r="93">
      <c r="A93" s="147" t="inlineStr">
        <is>
          <t>Cohort month 21</t>
        </is>
      </c>
      <c r="B93" s="147" t="n">
        <v>21</v>
      </c>
      <c r="C93" s="41">
        <f>INDEX(Ops!$E$34:$BL$34,1,$B93)</f>
        <v/>
      </c>
      <c r="Z93" s="153">
        <f>$C93*INDEX(Curves!$T$8:$T$68,Z$4-$B93+1)</f>
        <v/>
      </c>
      <c r="AA93" s="153">
        <f>$C93*INDEX(Curves!$T$8:$T$68,AA$4-$B93+1)</f>
        <v/>
      </c>
      <c r="AB93" s="153">
        <f>$C93*INDEX(Curves!$T$8:$T$68,AB$4-$B93+1)</f>
        <v/>
      </c>
      <c r="AC93" s="153">
        <f>$C93*INDEX(Curves!$T$8:$T$68,AC$4-$B93+1)</f>
        <v/>
      </c>
      <c r="AD93" s="153">
        <f>$C93*INDEX(Curves!$T$8:$T$68,AD$4-$B93+1)</f>
        <v/>
      </c>
      <c r="AE93" s="153">
        <f>$C93*INDEX(Curves!$T$8:$T$68,AE$4-$B93+1)</f>
        <v/>
      </c>
      <c r="AF93" s="153">
        <f>$C93*INDEX(Curves!$T$8:$T$68,AF$4-$B93+1)</f>
        <v/>
      </c>
      <c r="AG93" s="153">
        <f>$C93*INDEX(Curves!$T$8:$T$68,AG$4-$B93+1)</f>
        <v/>
      </c>
      <c r="AH93" s="153">
        <f>$C93*INDEX(Curves!$T$8:$T$68,AH$4-$B93+1)</f>
        <v/>
      </c>
      <c r="AI93" s="153">
        <f>$C93*INDEX(Curves!$T$8:$T$68,AI$4-$B93+1)</f>
        <v/>
      </c>
      <c r="AJ93" s="153">
        <f>$C93*INDEX(Curves!$T$8:$T$68,AJ$4-$B93+1)</f>
        <v/>
      </c>
      <c r="AK93" s="153">
        <f>$C93*INDEX(Curves!$T$8:$T$68,AK$4-$B93+1)</f>
        <v/>
      </c>
      <c r="AL93" s="153">
        <f>$C93*INDEX(Curves!$T$8:$T$68,AL$4-$B93+1)</f>
        <v/>
      </c>
      <c r="AM93" s="153">
        <f>$C93*INDEX(Curves!$T$8:$T$68,AM$4-$B93+1)</f>
        <v/>
      </c>
      <c r="AN93" s="153">
        <f>$C93*INDEX(Curves!$T$8:$T$68,AN$4-$B93+1)</f>
        <v/>
      </c>
      <c r="AO93" s="153">
        <f>$C93*INDEX(Curves!$T$8:$T$68,AO$4-$B93+1)</f>
        <v/>
      </c>
      <c r="AP93" s="153">
        <f>$C93*INDEX(Curves!$T$8:$T$68,AP$4-$B93+1)</f>
        <v/>
      </c>
      <c r="AQ93" s="153">
        <f>$C93*INDEX(Curves!$T$8:$T$68,AQ$4-$B93+1)</f>
        <v/>
      </c>
      <c r="AR93" s="153">
        <f>$C93*INDEX(Curves!$T$8:$T$68,AR$4-$B93+1)</f>
        <v/>
      </c>
      <c r="AS93" s="153">
        <f>$C93*INDEX(Curves!$T$8:$T$68,AS$4-$B93+1)</f>
        <v/>
      </c>
      <c r="AT93" s="153">
        <f>$C93*INDEX(Curves!$T$8:$T$68,AT$4-$B93+1)</f>
        <v/>
      </c>
      <c r="AU93" s="153">
        <f>$C93*INDEX(Curves!$T$8:$T$68,AU$4-$B93+1)</f>
        <v/>
      </c>
      <c r="AV93" s="153">
        <f>$C93*INDEX(Curves!$T$8:$T$68,AV$4-$B93+1)</f>
        <v/>
      </c>
      <c r="AW93" s="153">
        <f>$C93*INDEX(Curves!$T$8:$T$68,AW$4-$B93+1)</f>
        <v/>
      </c>
      <c r="AX93" s="153">
        <f>$C93*INDEX(Curves!$T$8:$T$68,AX$4-$B93+1)</f>
        <v/>
      </c>
      <c r="AY93" s="153">
        <f>$C93*INDEX(Curves!$T$8:$T$68,AY$4-$B93+1)</f>
        <v/>
      </c>
      <c r="AZ93" s="153">
        <f>$C93*INDEX(Curves!$T$8:$T$68,AZ$4-$B93+1)</f>
        <v/>
      </c>
      <c r="BA93" s="153">
        <f>$C93*INDEX(Curves!$T$8:$T$68,BA$4-$B93+1)</f>
        <v/>
      </c>
      <c r="BB93" s="153">
        <f>$C93*INDEX(Curves!$T$8:$T$68,BB$4-$B93+1)</f>
        <v/>
      </c>
      <c r="BC93" s="153">
        <f>$C93*INDEX(Curves!$T$8:$T$68,BC$4-$B93+1)</f>
        <v/>
      </c>
      <c r="BD93" s="153">
        <f>$C93*INDEX(Curves!$T$8:$T$68,BD$4-$B93+1)</f>
        <v/>
      </c>
      <c r="BE93" s="153">
        <f>$C93*INDEX(Curves!$T$8:$T$68,BE$4-$B93+1)</f>
        <v/>
      </c>
      <c r="BF93" s="153">
        <f>$C93*INDEX(Curves!$T$8:$T$68,BF$4-$B93+1)</f>
        <v/>
      </c>
      <c r="BG93" s="153">
        <f>$C93*INDEX(Curves!$T$8:$T$68,BG$4-$B93+1)</f>
        <v/>
      </c>
      <c r="BH93" s="153">
        <f>$C93*INDEX(Curves!$T$8:$T$68,BH$4-$B93+1)</f>
        <v/>
      </c>
      <c r="BI93" s="153">
        <f>$C93*INDEX(Curves!$T$8:$T$68,BI$4-$B93+1)</f>
        <v/>
      </c>
      <c r="BJ93" s="153">
        <f>$C93*INDEX(Curves!$T$8:$T$68,BJ$4-$B93+1)</f>
        <v/>
      </c>
      <c r="BK93" s="153">
        <f>$C93*INDEX(Curves!$T$8:$T$68,BK$4-$B93+1)</f>
        <v/>
      </c>
      <c r="BL93" s="153">
        <f>$C93*INDEX(Curves!$T$8:$T$68,BL$4-$B93+1)</f>
        <v/>
      </c>
    </row>
    <row r="94">
      <c r="A94" s="147" t="inlineStr">
        <is>
          <t>Cohort month 22</t>
        </is>
      </c>
      <c r="B94" s="147" t="n">
        <v>22</v>
      </c>
      <c r="C94" s="41">
        <f>INDEX(Ops!$E$34:$BL$34,1,$B94)</f>
        <v/>
      </c>
      <c r="AA94" s="153">
        <f>$C94*INDEX(Curves!$T$8:$T$68,AA$4-$B94+1)</f>
        <v/>
      </c>
      <c r="AB94" s="153">
        <f>$C94*INDEX(Curves!$T$8:$T$68,AB$4-$B94+1)</f>
        <v/>
      </c>
      <c r="AC94" s="153">
        <f>$C94*INDEX(Curves!$T$8:$T$68,AC$4-$B94+1)</f>
        <v/>
      </c>
      <c r="AD94" s="153">
        <f>$C94*INDEX(Curves!$T$8:$T$68,AD$4-$B94+1)</f>
        <v/>
      </c>
      <c r="AE94" s="153">
        <f>$C94*INDEX(Curves!$T$8:$T$68,AE$4-$B94+1)</f>
        <v/>
      </c>
      <c r="AF94" s="153">
        <f>$C94*INDEX(Curves!$T$8:$T$68,AF$4-$B94+1)</f>
        <v/>
      </c>
      <c r="AG94" s="153">
        <f>$C94*INDEX(Curves!$T$8:$T$68,AG$4-$B94+1)</f>
        <v/>
      </c>
      <c r="AH94" s="153">
        <f>$C94*INDEX(Curves!$T$8:$T$68,AH$4-$B94+1)</f>
        <v/>
      </c>
      <c r="AI94" s="153">
        <f>$C94*INDEX(Curves!$T$8:$T$68,AI$4-$B94+1)</f>
        <v/>
      </c>
      <c r="AJ94" s="153">
        <f>$C94*INDEX(Curves!$T$8:$T$68,AJ$4-$B94+1)</f>
        <v/>
      </c>
      <c r="AK94" s="153">
        <f>$C94*INDEX(Curves!$T$8:$T$68,AK$4-$B94+1)</f>
        <v/>
      </c>
      <c r="AL94" s="153">
        <f>$C94*INDEX(Curves!$T$8:$T$68,AL$4-$B94+1)</f>
        <v/>
      </c>
      <c r="AM94" s="153">
        <f>$C94*INDEX(Curves!$T$8:$T$68,AM$4-$B94+1)</f>
        <v/>
      </c>
      <c r="AN94" s="153">
        <f>$C94*INDEX(Curves!$T$8:$T$68,AN$4-$B94+1)</f>
        <v/>
      </c>
      <c r="AO94" s="153">
        <f>$C94*INDEX(Curves!$T$8:$T$68,AO$4-$B94+1)</f>
        <v/>
      </c>
      <c r="AP94" s="153">
        <f>$C94*INDEX(Curves!$T$8:$T$68,AP$4-$B94+1)</f>
        <v/>
      </c>
      <c r="AQ94" s="153">
        <f>$C94*INDEX(Curves!$T$8:$T$68,AQ$4-$B94+1)</f>
        <v/>
      </c>
      <c r="AR94" s="153">
        <f>$C94*INDEX(Curves!$T$8:$T$68,AR$4-$B94+1)</f>
        <v/>
      </c>
      <c r="AS94" s="153">
        <f>$C94*INDEX(Curves!$T$8:$T$68,AS$4-$B94+1)</f>
        <v/>
      </c>
      <c r="AT94" s="153">
        <f>$C94*INDEX(Curves!$T$8:$T$68,AT$4-$B94+1)</f>
        <v/>
      </c>
      <c r="AU94" s="153">
        <f>$C94*INDEX(Curves!$T$8:$T$68,AU$4-$B94+1)</f>
        <v/>
      </c>
      <c r="AV94" s="153">
        <f>$C94*INDEX(Curves!$T$8:$T$68,AV$4-$B94+1)</f>
        <v/>
      </c>
      <c r="AW94" s="153">
        <f>$C94*INDEX(Curves!$T$8:$T$68,AW$4-$B94+1)</f>
        <v/>
      </c>
      <c r="AX94" s="153">
        <f>$C94*INDEX(Curves!$T$8:$T$68,AX$4-$B94+1)</f>
        <v/>
      </c>
      <c r="AY94" s="153">
        <f>$C94*INDEX(Curves!$T$8:$T$68,AY$4-$B94+1)</f>
        <v/>
      </c>
      <c r="AZ94" s="153">
        <f>$C94*INDEX(Curves!$T$8:$T$68,AZ$4-$B94+1)</f>
        <v/>
      </c>
      <c r="BA94" s="153">
        <f>$C94*INDEX(Curves!$T$8:$T$68,BA$4-$B94+1)</f>
        <v/>
      </c>
      <c r="BB94" s="153">
        <f>$C94*INDEX(Curves!$T$8:$T$68,BB$4-$B94+1)</f>
        <v/>
      </c>
      <c r="BC94" s="153">
        <f>$C94*INDEX(Curves!$T$8:$T$68,BC$4-$B94+1)</f>
        <v/>
      </c>
      <c r="BD94" s="153">
        <f>$C94*INDEX(Curves!$T$8:$T$68,BD$4-$B94+1)</f>
        <v/>
      </c>
      <c r="BE94" s="153">
        <f>$C94*INDEX(Curves!$T$8:$T$68,BE$4-$B94+1)</f>
        <v/>
      </c>
      <c r="BF94" s="153">
        <f>$C94*INDEX(Curves!$T$8:$T$68,BF$4-$B94+1)</f>
        <v/>
      </c>
      <c r="BG94" s="153">
        <f>$C94*INDEX(Curves!$T$8:$T$68,BG$4-$B94+1)</f>
        <v/>
      </c>
      <c r="BH94" s="153">
        <f>$C94*INDEX(Curves!$T$8:$T$68,BH$4-$B94+1)</f>
        <v/>
      </c>
      <c r="BI94" s="153">
        <f>$C94*INDEX(Curves!$T$8:$T$68,BI$4-$B94+1)</f>
        <v/>
      </c>
      <c r="BJ94" s="153">
        <f>$C94*INDEX(Curves!$T$8:$T$68,BJ$4-$B94+1)</f>
        <v/>
      </c>
      <c r="BK94" s="153">
        <f>$C94*INDEX(Curves!$T$8:$T$68,BK$4-$B94+1)</f>
        <v/>
      </c>
      <c r="BL94" s="153">
        <f>$C94*INDEX(Curves!$T$8:$T$68,BL$4-$B94+1)</f>
        <v/>
      </c>
    </row>
    <row r="95">
      <c r="A95" s="147" t="inlineStr">
        <is>
          <t>Cohort month 23</t>
        </is>
      </c>
      <c r="B95" s="147" t="n">
        <v>23</v>
      </c>
      <c r="C95" s="41">
        <f>INDEX(Ops!$E$34:$BL$34,1,$B95)</f>
        <v/>
      </c>
      <c r="AB95" s="153">
        <f>$C95*INDEX(Curves!$T$8:$T$68,AB$4-$B95+1)</f>
        <v/>
      </c>
      <c r="AC95" s="153">
        <f>$C95*INDEX(Curves!$T$8:$T$68,AC$4-$B95+1)</f>
        <v/>
      </c>
      <c r="AD95" s="153">
        <f>$C95*INDEX(Curves!$T$8:$T$68,AD$4-$B95+1)</f>
        <v/>
      </c>
      <c r="AE95" s="153">
        <f>$C95*INDEX(Curves!$T$8:$T$68,AE$4-$B95+1)</f>
        <v/>
      </c>
      <c r="AF95" s="153">
        <f>$C95*INDEX(Curves!$T$8:$T$68,AF$4-$B95+1)</f>
        <v/>
      </c>
      <c r="AG95" s="153">
        <f>$C95*INDEX(Curves!$T$8:$T$68,AG$4-$B95+1)</f>
        <v/>
      </c>
      <c r="AH95" s="153">
        <f>$C95*INDEX(Curves!$T$8:$T$68,AH$4-$B95+1)</f>
        <v/>
      </c>
      <c r="AI95" s="153">
        <f>$C95*INDEX(Curves!$T$8:$T$68,AI$4-$B95+1)</f>
        <v/>
      </c>
      <c r="AJ95" s="153">
        <f>$C95*INDEX(Curves!$T$8:$T$68,AJ$4-$B95+1)</f>
        <v/>
      </c>
      <c r="AK95" s="153">
        <f>$C95*INDEX(Curves!$T$8:$T$68,AK$4-$B95+1)</f>
        <v/>
      </c>
      <c r="AL95" s="153">
        <f>$C95*INDEX(Curves!$T$8:$T$68,AL$4-$B95+1)</f>
        <v/>
      </c>
      <c r="AM95" s="153">
        <f>$C95*INDEX(Curves!$T$8:$T$68,AM$4-$B95+1)</f>
        <v/>
      </c>
      <c r="AN95" s="153">
        <f>$C95*INDEX(Curves!$T$8:$T$68,AN$4-$B95+1)</f>
        <v/>
      </c>
      <c r="AO95" s="153">
        <f>$C95*INDEX(Curves!$T$8:$T$68,AO$4-$B95+1)</f>
        <v/>
      </c>
      <c r="AP95" s="153">
        <f>$C95*INDEX(Curves!$T$8:$T$68,AP$4-$B95+1)</f>
        <v/>
      </c>
      <c r="AQ95" s="153">
        <f>$C95*INDEX(Curves!$T$8:$T$68,AQ$4-$B95+1)</f>
        <v/>
      </c>
      <c r="AR95" s="153">
        <f>$C95*INDEX(Curves!$T$8:$T$68,AR$4-$B95+1)</f>
        <v/>
      </c>
      <c r="AS95" s="153">
        <f>$C95*INDEX(Curves!$T$8:$T$68,AS$4-$B95+1)</f>
        <v/>
      </c>
      <c r="AT95" s="153">
        <f>$C95*INDEX(Curves!$T$8:$T$68,AT$4-$B95+1)</f>
        <v/>
      </c>
      <c r="AU95" s="153">
        <f>$C95*INDEX(Curves!$T$8:$T$68,AU$4-$B95+1)</f>
        <v/>
      </c>
      <c r="AV95" s="153">
        <f>$C95*INDEX(Curves!$T$8:$T$68,AV$4-$B95+1)</f>
        <v/>
      </c>
      <c r="AW95" s="153">
        <f>$C95*INDEX(Curves!$T$8:$T$68,AW$4-$B95+1)</f>
        <v/>
      </c>
      <c r="AX95" s="153">
        <f>$C95*INDEX(Curves!$T$8:$T$68,AX$4-$B95+1)</f>
        <v/>
      </c>
      <c r="AY95" s="153">
        <f>$C95*INDEX(Curves!$T$8:$T$68,AY$4-$B95+1)</f>
        <v/>
      </c>
      <c r="AZ95" s="153">
        <f>$C95*INDEX(Curves!$T$8:$T$68,AZ$4-$B95+1)</f>
        <v/>
      </c>
      <c r="BA95" s="153">
        <f>$C95*INDEX(Curves!$T$8:$T$68,BA$4-$B95+1)</f>
        <v/>
      </c>
      <c r="BB95" s="153">
        <f>$C95*INDEX(Curves!$T$8:$T$68,BB$4-$B95+1)</f>
        <v/>
      </c>
      <c r="BC95" s="153">
        <f>$C95*INDEX(Curves!$T$8:$T$68,BC$4-$B95+1)</f>
        <v/>
      </c>
      <c r="BD95" s="153">
        <f>$C95*INDEX(Curves!$T$8:$T$68,BD$4-$B95+1)</f>
        <v/>
      </c>
      <c r="BE95" s="153">
        <f>$C95*INDEX(Curves!$T$8:$T$68,BE$4-$B95+1)</f>
        <v/>
      </c>
      <c r="BF95" s="153">
        <f>$C95*INDEX(Curves!$T$8:$T$68,BF$4-$B95+1)</f>
        <v/>
      </c>
      <c r="BG95" s="153">
        <f>$C95*INDEX(Curves!$T$8:$T$68,BG$4-$B95+1)</f>
        <v/>
      </c>
      <c r="BH95" s="153">
        <f>$C95*INDEX(Curves!$T$8:$T$68,BH$4-$B95+1)</f>
        <v/>
      </c>
      <c r="BI95" s="153">
        <f>$C95*INDEX(Curves!$T$8:$T$68,BI$4-$B95+1)</f>
        <v/>
      </c>
      <c r="BJ95" s="153">
        <f>$C95*INDEX(Curves!$T$8:$T$68,BJ$4-$B95+1)</f>
        <v/>
      </c>
      <c r="BK95" s="153">
        <f>$C95*INDEX(Curves!$T$8:$T$68,BK$4-$B95+1)</f>
        <v/>
      </c>
      <c r="BL95" s="153">
        <f>$C95*INDEX(Curves!$T$8:$T$68,BL$4-$B95+1)</f>
        <v/>
      </c>
    </row>
    <row r="96">
      <c r="A96" s="147" t="inlineStr">
        <is>
          <t>Cohort month 24</t>
        </is>
      </c>
      <c r="B96" s="147" t="n">
        <v>24</v>
      </c>
      <c r="C96" s="41">
        <f>INDEX(Ops!$E$34:$BL$34,1,$B96)</f>
        <v/>
      </c>
      <c r="AC96" s="153">
        <f>$C96*INDEX(Curves!$T$8:$T$68,AC$4-$B96+1)</f>
        <v/>
      </c>
      <c r="AD96" s="153">
        <f>$C96*INDEX(Curves!$T$8:$T$68,AD$4-$B96+1)</f>
        <v/>
      </c>
      <c r="AE96" s="153">
        <f>$C96*INDEX(Curves!$T$8:$T$68,AE$4-$B96+1)</f>
        <v/>
      </c>
      <c r="AF96" s="153">
        <f>$C96*INDEX(Curves!$T$8:$T$68,AF$4-$B96+1)</f>
        <v/>
      </c>
      <c r="AG96" s="153">
        <f>$C96*INDEX(Curves!$T$8:$T$68,AG$4-$B96+1)</f>
        <v/>
      </c>
      <c r="AH96" s="153">
        <f>$C96*INDEX(Curves!$T$8:$T$68,AH$4-$B96+1)</f>
        <v/>
      </c>
      <c r="AI96" s="153">
        <f>$C96*INDEX(Curves!$T$8:$T$68,AI$4-$B96+1)</f>
        <v/>
      </c>
      <c r="AJ96" s="153">
        <f>$C96*INDEX(Curves!$T$8:$T$68,AJ$4-$B96+1)</f>
        <v/>
      </c>
      <c r="AK96" s="153">
        <f>$C96*INDEX(Curves!$T$8:$T$68,AK$4-$B96+1)</f>
        <v/>
      </c>
      <c r="AL96" s="153">
        <f>$C96*INDEX(Curves!$T$8:$T$68,AL$4-$B96+1)</f>
        <v/>
      </c>
      <c r="AM96" s="153">
        <f>$C96*INDEX(Curves!$T$8:$T$68,AM$4-$B96+1)</f>
        <v/>
      </c>
      <c r="AN96" s="153">
        <f>$C96*INDEX(Curves!$T$8:$T$68,AN$4-$B96+1)</f>
        <v/>
      </c>
      <c r="AO96" s="153">
        <f>$C96*INDEX(Curves!$T$8:$T$68,AO$4-$B96+1)</f>
        <v/>
      </c>
      <c r="AP96" s="153">
        <f>$C96*INDEX(Curves!$T$8:$T$68,AP$4-$B96+1)</f>
        <v/>
      </c>
      <c r="AQ96" s="153">
        <f>$C96*INDEX(Curves!$T$8:$T$68,AQ$4-$B96+1)</f>
        <v/>
      </c>
      <c r="AR96" s="153">
        <f>$C96*INDEX(Curves!$T$8:$T$68,AR$4-$B96+1)</f>
        <v/>
      </c>
      <c r="AS96" s="153">
        <f>$C96*INDEX(Curves!$T$8:$T$68,AS$4-$B96+1)</f>
        <v/>
      </c>
      <c r="AT96" s="153">
        <f>$C96*INDEX(Curves!$T$8:$T$68,AT$4-$B96+1)</f>
        <v/>
      </c>
      <c r="AU96" s="153">
        <f>$C96*INDEX(Curves!$T$8:$T$68,AU$4-$B96+1)</f>
        <v/>
      </c>
      <c r="AV96" s="153">
        <f>$C96*INDEX(Curves!$T$8:$T$68,AV$4-$B96+1)</f>
        <v/>
      </c>
      <c r="AW96" s="153">
        <f>$C96*INDEX(Curves!$T$8:$T$68,AW$4-$B96+1)</f>
        <v/>
      </c>
      <c r="AX96" s="153">
        <f>$C96*INDEX(Curves!$T$8:$T$68,AX$4-$B96+1)</f>
        <v/>
      </c>
      <c r="AY96" s="153">
        <f>$C96*INDEX(Curves!$T$8:$T$68,AY$4-$B96+1)</f>
        <v/>
      </c>
      <c r="AZ96" s="153">
        <f>$C96*INDEX(Curves!$T$8:$T$68,AZ$4-$B96+1)</f>
        <v/>
      </c>
      <c r="BA96" s="153">
        <f>$C96*INDEX(Curves!$T$8:$T$68,BA$4-$B96+1)</f>
        <v/>
      </c>
      <c r="BB96" s="153">
        <f>$C96*INDEX(Curves!$T$8:$T$68,BB$4-$B96+1)</f>
        <v/>
      </c>
      <c r="BC96" s="153">
        <f>$C96*INDEX(Curves!$T$8:$T$68,BC$4-$B96+1)</f>
        <v/>
      </c>
      <c r="BD96" s="153">
        <f>$C96*INDEX(Curves!$T$8:$T$68,BD$4-$B96+1)</f>
        <v/>
      </c>
      <c r="BE96" s="153">
        <f>$C96*INDEX(Curves!$T$8:$T$68,BE$4-$B96+1)</f>
        <v/>
      </c>
      <c r="BF96" s="153">
        <f>$C96*INDEX(Curves!$T$8:$T$68,BF$4-$B96+1)</f>
        <v/>
      </c>
      <c r="BG96" s="153">
        <f>$C96*INDEX(Curves!$T$8:$T$68,BG$4-$B96+1)</f>
        <v/>
      </c>
      <c r="BH96" s="153">
        <f>$C96*INDEX(Curves!$T$8:$T$68,BH$4-$B96+1)</f>
        <v/>
      </c>
      <c r="BI96" s="153">
        <f>$C96*INDEX(Curves!$T$8:$T$68,BI$4-$B96+1)</f>
        <v/>
      </c>
      <c r="BJ96" s="153">
        <f>$C96*INDEX(Curves!$T$8:$T$68,BJ$4-$B96+1)</f>
        <v/>
      </c>
      <c r="BK96" s="153">
        <f>$C96*INDEX(Curves!$T$8:$T$68,BK$4-$B96+1)</f>
        <v/>
      </c>
      <c r="BL96" s="153">
        <f>$C96*INDEX(Curves!$T$8:$T$68,BL$4-$B96+1)</f>
        <v/>
      </c>
    </row>
    <row r="97">
      <c r="A97" s="147" t="inlineStr">
        <is>
          <t>Cohort month 25</t>
        </is>
      </c>
      <c r="B97" s="147" t="n">
        <v>25</v>
      </c>
      <c r="C97" s="41">
        <f>INDEX(Ops!$E$34:$BL$34,1,$B97)</f>
        <v/>
      </c>
      <c r="AD97" s="153">
        <f>$C97*INDEX(Curves!$T$8:$T$68,AD$4-$B97+1)</f>
        <v/>
      </c>
      <c r="AE97" s="153">
        <f>$C97*INDEX(Curves!$T$8:$T$68,AE$4-$B97+1)</f>
        <v/>
      </c>
      <c r="AF97" s="153">
        <f>$C97*INDEX(Curves!$T$8:$T$68,AF$4-$B97+1)</f>
        <v/>
      </c>
      <c r="AG97" s="153">
        <f>$C97*INDEX(Curves!$T$8:$T$68,AG$4-$B97+1)</f>
        <v/>
      </c>
      <c r="AH97" s="153">
        <f>$C97*INDEX(Curves!$T$8:$T$68,AH$4-$B97+1)</f>
        <v/>
      </c>
      <c r="AI97" s="153">
        <f>$C97*INDEX(Curves!$T$8:$T$68,AI$4-$B97+1)</f>
        <v/>
      </c>
      <c r="AJ97" s="153">
        <f>$C97*INDEX(Curves!$T$8:$T$68,AJ$4-$B97+1)</f>
        <v/>
      </c>
      <c r="AK97" s="153">
        <f>$C97*INDEX(Curves!$T$8:$T$68,AK$4-$B97+1)</f>
        <v/>
      </c>
      <c r="AL97" s="153">
        <f>$C97*INDEX(Curves!$T$8:$T$68,AL$4-$B97+1)</f>
        <v/>
      </c>
      <c r="AM97" s="153">
        <f>$C97*INDEX(Curves!$T$8:$T$68,AM$4-$B97+1)</f>
        <v/>
      </c>
      <c r="AN97" s="153">
        <f>$C97*INDEX(Curves!$T$8:$T$68,AN$4-$B97+1)</f>
        <v/>
      </c>
      <c r="AO97" s="153">
        <f>$C97*INDEX(Curves!$T$8:$T$68,AO$4-$B97+1)</f>
        <v/>
      </c>
      <c r="AP97" s="153">
        <f>$C97*INDEX(Curves!$T$8:$T$68,AP$4-$B97+1)</f>
        <v/>
      </c>
      <c r="AQ97" s="153">
        <f>$C97*INDEX(Curves!$T$8:$T$68,AQ$4-$B97+1)</f>
        <v/>
      </c>
      <c r="AR97" s="153">
        <f>$C97*INDEX(Curves!$T$8:$T$68,AR$4-$B97+1)</f>
        <v/>
      </c>
      <c r="AS97" s="153">
        <f>$C97*INDEX(Curves!$T$8:$T$68,AS$4-$B97+1)</f>
        <v/>
      </c>
      <c r="AT97" s="153">
        <f>$C97*INDEX(Curves!$T$8:$T$68,AT$4-$B97+1)</f>
        <v/>
      </c>
      <c r="AU97" s="153">
        <f>$C97*INDEX(Curves!$T$8:$T$68,AU$4-$B97+1)</f>
        <v/>
      </c>
      <c r="AV97" s="153">
        <f>$C97*INDEX(Curves!$T$8:$T$68,AV$4-$B97+1)</f>
        <v/>
      </c>
      <c r="AW97" s="153">
        <f>$C97*INDEX(Curves!$T$8:$T$68,AW$4-$B97+1)</f>
        <v/>
      </c>
      <c r="AX97" s="153">
        <f>$C97*INDEX(Curves!$T$8:$T$68,AX$4-$B97+1)</f>
        <v/>
      </c>
      <c r="AY97" s="153">
        <f>$C97*INDEX(Curves!$T$8:$T$68,AY$4-$B97+1)</f>
        <v/>
      </c>
      <c r="AZ97" s="153">
        <f>$C97*INDEX(Curves!$T$8:$T$68,AZ$4-$B97+1)</f>
        <v/>
      </c>
      <c r="BA97" s="153">
        <f>$C97*INDEX(Curves!$T$8:$T$68,BA$4-$B97+1)</f>
        <v/>
      </c>
      <c r="BB97" s="153">
        <f>$C97*INDEX(Curves!$T$8:$T$68,BB$4-$B97+1)</f>
        <v/>
      </c>
      <c r="BC97" s="153">
        <f>$C97*INDEX(Curves!$T$8:$T$68,BC$4-$B97+1)</f>
        <v/>
      </c>
      <c r="BD97" s="153">
        <f>$C97*INDEX(Curves!$T$8:$T$68,BD$4-$B97+1)</f>
        <v/>
      </c>
      <c r="BE97" s="153">
        <f>$C97*INDEX(Curves!$T$8:$T$68,BE$4-$B97+1)</f>
        <v/>
      </c>
      <c r="BF97" s="153">
        <f>$C97*INDEX(Curves!$T$8:$T$68,BF$4-$B97+1)</f>
        <v/>
      </c>
      <c r="BG97" s="153">
        <f>$C97*INDEX(Curves!$T$8:$T$68,BG$4-$B97+1)</f>
        <v/>
      </c>
      <c r="BH97" s="153">
        <f>$C97*INDEX(Curves!$T$8:$T$68,BH$4-$B97+1)</f>
        <v/>
      </c>
      <c r="BI97" s="153">
        <f>$C97*INDEX(Curves!$T$8:$T$68,BI$4-$B97+1)</f>
        <v/>
      </c>
      <c r="BJ97" s="153">
        <f>$C97*INDEX(Curves!$T$8:$T$68,BJ$4-$B97+1)</f>
        <v/>
      </c>
      <c r="BK97" s="153">
        <f>$C97*INDEX(Curves!$T$8:$T$68,BK$4-$B97+1)</f>
        <v/>
      </c>
      <c r="BL97" s="153">
        <f>$C97*INDEX(Curves!$T$8:$T$68,BL$4-$B97+1)</f>
        <v/>
      </c>
    </row>
    <row r="98">
      <c r="A98" s="147" t="inlineStr">
        <is>
          <t>Cohort month 26</t>
        </is>
      </c>
      <c r="B98" s="147" t="n">
        <v>26</v>
      </c>
      <c r="C98" s="41">
        <f>INDEX(Ops!$E$34:$BL$34,1,$B98)</f>
        <v/>
      </c>
      <c r="AE98" s="153">
        <f>$C98*INDEX(Curves!$T$8:$T$68,AE$4-$B98+1)</f>
        <v/>
      </c>
      <c r="AF98" s="153">
        <f>$C98*INDEX(Curves!$T$8:$T$68,AF$4-$B98+1)</f>
        <v/>
      </c>
      <c r="AG98" s="153">
        <f>$C98*INDEX(Curves!$T$8:$T$68,AG$4-$B98+1)</f>
        <v/>
      </c>
      <c r="AH98" s="153">
        <f>$C98*INDEX(Curves!$T$8:$T$68,AH$4-$B98+1)</f>
        <v/>
      </c>
      <c r="AI98" s="153">
        <f>$C98*INDEX(Curves!$T$8:$T$68,AI$4-$B98+1)</f>
        <v/>
      </c>
      <c r="AJ98" s="153">
        <f>$C98*INDEX(Curves!$T$8:$T$68,AJ$4-$B98+1)</f>
        <v/>
      </c>
      <c r="AK98" s="153">
        <f>$C98*INDEX(Curves!$T$8:$T$68,AK$4-$B98+1)</f>
        <v/>
      </c>
      <c r="AL98" s="153">
        <f>$C98*INDEX(Curves!$T$8:$T$68,AL$4-$B98+1)</f>
        <v/>
      </c>
      <c r="AM98" s="153">
        <f>$C98*INDEX(Curves!$T$8:$T$68,AM$4-$B98+1)</f>
        <v/>
      </c>
      <c r="AN98" s="153">
        <f>$C98*INDEX(Curves!$T$8:$T$68,AN$4-$B98+1)</f>
        <v/>
      </c>
      <c r="AO98" s="153">
        <f>$C98*INDEX(Curves!$T$8:$T$68,AO$4-$B98+1)</f>
        <v/>
      </c>
      <c r="AP98" s="153">
        <f>$C98*INDEX(Curves!$T$8:$T$68,AP$4-$B98+1)</f>
        <v/>
      </c>
      <c r="AQ98" s="153">
        <f>$C98*INDEX(Curves!$T$8:$T$68,AQ$4-$B98+1)</f>
        <v/>
      </c>
      <c r="AR98" s="153">
        <f>$C98*INDEX(Curves!$T$8:$T$68,AR$4-$B98+1)</f>
        <v/>
      </c>
      <c r="AS98" s="153">
        <f>$C98*INDEX(Curves!$T$8:$T$68,AS$4-$B98+1)</f>
        <v/>
      </c>
      <c r="AT98" s="153">
        <f>$C98*INDEX(Curves!$T$8:$T$68,AT$4-$B98+1)</f>
        <v/>
      </c>
      <c r="AU98" s="153">
        <f>$C98*INDEX(Curves!$T$8:$T$68,AU$4-$B98+1)</f>
        <v/>
      </c>
      <c r="AV98" s="153">
        <f>$C98*INDEX(Curves!$T$8:$T$68,AV$4-$B98+1)</f>
        <v/>
      </c>
      <c r="AW98" s="153">
        <f>$C98*INDEX(Curves!$T$8:$T$68,AW$4-$B98+1)</f>
        <v/>
      </c>
      <c r="AX98" s="153">
        <f>$C98*INDEX(Curves!$T$8:$T$68,AX$4-$B98+1)</f>
        <v/>
      </c>
      <c r="AY98" s="153">
        <f>$C98*INDEX(Curves!$T$8:$T$68,AY$4-$B98+1)</f>
        <v/>
      </c>
      <c r="AZ98" s="153">
        <f>$C98*INDEX(Curves!$T$8:$T$68,AZ$4-$B98+1)</f>
        <v/>
      </c>
      <c r="BA98" s="153">
        <f>$C98*INDEX(Curves!$T$8:$T$68,BA$4-$B98+1)</f>
        <v/>
      </c>
      <c r="BB98" s="153">
        <f>$C98*INDEX(Curves!$T$8:$T$68,BB$4-$B98+1)</f>
        <v/>
      </c>
      <c r="BC98" s="153">
        <f>$C98*INDEX(Curves!$T$8:$T$68,BC$4-$B98+1)</f>
        <v/>
      </c>
      <c r="BD98" s="153">
        <f>$C98*INDEX(Curves!$T$8:$T$68,BD$4-$B98+1)</f>
        <v/>
      </c>
      <c r="BE98" s="153">
        <f>$C98*INDEX(Curves!$T$8:$T$68,BE$4-$B98+1)</f>
        <v/>
      </c>
      <c r="BF98" s="153">
        <f>$C98*INDEX(Curves!$T$8:$T$68,BF$4-$B98+1)</f>
        <v/>
      </c>
      <c r="BG98" s="153">
        <f>$C98*INDEX(Curves!$T$8:$T$68,BG$4-$B98+1)</f>
        <v/>
      </c>
      <c r="BH98" s="153">
        <f>$C98*INDEX(Curves!$T$8:$T$68,BH$4-$B98+1)</f>
        <v/>
      </c>
      <c r="BI98" s="153">
        <f>$C98*INDEX(Curves!$T$8:$T$68,BI$4-$B98+1)</f>
        <v/>
      </c>
      <c r="BJ98" s="153">
        <f>$C98*INDEX(Curves!$T$8:$T$68,BJ$4-$B98+1)</f>
        <v/>
      </c>
      <c r="BK98" s="153">
        <f>$C98*INDEX(Curves!$T$8:$T$68,BK$4-$B98+1)</f>
        <v/>
      </c>
      <c r="BL98" s="153">
        <f>$C98*INDEX(Curves!$T$8:$T$68,BL$4-$B98+1)</f>
        <v/>
      </c>
    </row>
    <row r="99">
      <c r="A99" s="147" t="inlineStr">
        <is>
          <t>Cohort month 27</t>
        </is>
      </c>
      <c r="B99" s="147" t="n">
        <v>27</v>
      </c>
      <c r="C99" s="41">
        <f>INDEX(Ops!$E$34:$BL$34,1,$B99)</f>
        <v/>
      </c>
      <c r="AF99" s="153">
        <f>$C99*INDEX(Curves!$T$8:$T$68,AF$4-$B99+1)</f>
        <v/>
      </c>
      <c r="AG99" s="153">
        <f>$C99*INDEX(Curves!$T$8:$T$68,AG$4-$B99+1)</f>
        <v/>
      </c>
      <c r="AH99" s="153">
        <f>$C99*INDEX(Curves!$T$8:$T$68,AH$4-$B99+1)</f>
        <v/>
      </c>
      <c r="AI99" s="153">
        <f>$C99*INDEX(Curves!$T$8:$T$68,AI$4-$B99+1)</f>
        <v/>
      </c>
      <c r="AJ99" s="153">
        <f>$C99*INDEX(Curves!$T$8:$T$68,AJ$4-$B99+1)</f>
        <v/>
      </c>
      <c r="AK99" s="153">
        <f>$C99*INDEX(Curves!$T$8:$T$68,AK$4-$B99+1)</f>
        <v/>
      </c>
      <c r="AL99" s="153">
        <f>$C99*INDEX(Curves!$T$8:$T$68,AL$4-$B99+1)</f>
        <v/>
      </c>
      <c r="AM99" s="153">
        <f>$C99*INDEX(Curves!$T$8:$T$68,AM$4-$B99+1)</f>
        <v/>
      </c>
      <c r="AN99" s="153">
        <f>$C99*INDEX(Curves!$T$8:$T$68,AN$4-$B99+1)</f>
        <v/>
      </c>
      <c r="AO99" s="153">
        <f>$C99*INDEX(Curves!$T$8:$T$68,AO$4-$B99+1)</f>
        <v/>
      </c>
      <c r="AP99" s="153">
        <f>$C99*INDEX(Curves!$T$8:$T$68,AP$4-$B99+1)</f>
        <v/>
      </c>
      <c r="AQ99" s="153">
        <f>$C99*INDEX(Curves!$T$8:$T$68,AQ$4-$B99+1)</f>
        <v/>
      </c>
      <c r="AR99" s="153">
        <f>$C99*INDEX(Curves!$T$8:$T$68,AR$4-$B99+1)</f>
        <v/>
      </c>
      <c r="AS99" s="153">
        <f>$C99*INDEX(Curves!$T$8:$T$68,AS$4-$B99+1)</f>
        <v/>
      </c>
      <c r="AT99" s="153">
        <f>$C99*INDEX(Curves!$T$8:$T$68,AT$4-$B99+1)</f>
        <v/>
      </c>
      <c r="AU99" s="153">
        <f>$C99*INDEX(Curves!$T$8:$T$68,AU$4-$B99+1)</f>
        <v/>
      </c>
      <c r="AV99" s="153">
        <f>$C99*INDEX(Curves!$T$8:$T$68,AV$4-$B99+1)</f>
        <v/>
      </c>
      <c r="AW99" s="153">
        <f>$C99*INDEX(Curves!$T$8:$T$68,AW$4-$B99+1)</f>
        <v/>
      </c>
      <c r="AX99" s="153">
        <f>$C99*INDEX(Curves!$T$8:$T$68,AX$4-$B99+1)</f>
        <v/>
      </c>
      <c r="AY99" s="153">
        <f>$C99*INDEX(Curves!$T$8:$T$68,AY$4-$B99+1)</f>
        <v/>
      </c>
      <c r="AZ99" s="153">
        <f>$C99*INDEX(Curves!$T$8:$T$68,AZ$4-$B99+1)</f>
        <v/>
      </c>
      <c r="BA99" s="153">
        <f>$C99*INDEX(Curves!$T$8:$T$68,BA$4-$B99+1)</f>
        <v/>
      </c>
      <c r="BB99" s="153">
        <f>$C99*INDEX(Curves!$T$8:$T$68,BB$4-$B99+1)</f>
        <v/>
      </c>
      <c r="BC99" s="153">
        <f>$C99*INDEX(Curves!$T$8:$T$68,BC$4-$B99+1)</f>
        <v/>
      </c>
      <c r="BD99" s="153">
        <f>$C99*INDEX(Curves!$T$8:$T$68,BD$4-$B99+1)</f>
        <v/>
      </c>
      <c r="BE99" s="153">
        <f>$C99*INDEX(Curves!$T$8:$T$68,BE$4-$B99+1)</f>
        <v/>
      </c>
      <c r="BF99" s="153">
        <f>$C99*INDEX(Curves!$T$8:$T$68,BF$4-$B99+1)</f>
        <v/>
      </c>
      <c r="BG99" s="153">
        <f>$C99*INDEX(Curves!$T$8:$T$68,BG$4-$B99+1)</f>
        <v/>
      </c>
      <c r="BH99" s="153">
        <f>$C99*INDEX(Curves!$T$8:$T$68,BH$4-$B99+1)</f>
        <v/>
      </c>
      <c r="BI99" s="153">
        <f>$C99*INDEX(Curves!$T$8:$T$68,BI$4-$B99+1)</f>
        <v/>
      </c>
      <c r="BJ99" s="153">
        <f>$C99*INDEX(Curves!$T$8:$T$68,BJ$4-$B99+1)</f>
        <v/>
      </c>
      <c r="BK99" s="153">
        <f>$C99*INDEX(Curves!$T$8:$T$68,BK$4-$B99+1)</f>
        <v/>
      </c>
      <c r="BL99" s="153">
        <f>$C99*INDEX(Curves!$T$8:$T$68,BL$4-$B99+1)</f>
        <v/>
      </c>
    </row>
    <row r="100">
      <c r="A100" s="147" t="inlineStr">
        <is>
          <t>Cohort month 28</t>
        </is>
      </c>
      <c r="B100" s="147" t="n">
        <v>28</v>
      </c>
      <c r="C100" s="41">
        <f>INDEX(Ops!$E$34:$BL$34,1,$B100)</f>
        <v/>
      </c>
      <c r="AG100" s="153">
        <f>$C100*INDEX(Curves!$T$8:$T$68,AG$4-$B100+1)</f>
        <v/>
      </c>
      <c r="AH100" s="153">
        <f>$C100*INDEX(Curves!$T$8:$T$68,AH$4-$B100+1)</f>
        <v/>
      </c>
      <c r="AI100" s="153">
        <f>$C100*INDEX(Curves!$T$8:$T$68,AI$4-$B100+1)</f>
        <v/>
      </c>
      <c r="AJ100" s="153">
        <f>$C100*INDEX(Curves!$T$8:$T$68,AJ$4-$B100+1)</f>
        <v/>
      </c>
      <c r="AK100" s="153">
        <f>$C100*INDEX(Curves!$T$8:$T$68,AK$4-$B100+1)</f>
        <v/>
      </c>
      <c r="AL100" s="153">
        <f>$C100*INDEX(Curves!$T$8:$T$68,AL$4-$B100+1)</f>
        <v/>
      </c>
      <c r="AM100" s="153">
        <f>$C100*INDEX(Curves!$T$8:$T$68,AM$4-$B100+1)</f>
        <v/>
      </c>
      <c r="AN100" s="153">
        <f>$C100*INDEX(Curves!$T$8:$T$68,AN$4-$B100+1)</f>
        <v/>
      </c>
      <c r="AO100" s="153">
        <f>$C100*INDEX(Curves!$T$8:$T$68,AO$4-$B100+1)</f>
        <v/>
      </c>
      <c r="AP100" s="153">
        <f>$C100*INDEX(Curves!$T$8:$T$68,AP$4-$B100+1)</f>
        <v/>
      </c>
      <c r="AQ100" s="153">
        <f>$C100*INDEX(Curves!$T$8:$T$68,AQ$4-$B100+1)</f>
        <v/>
      </c>
      <c r="AR100" s="153">
        <f>$C100*INDEX(Curves!$T$8:$T$68,AR$4-$B100+1)</f>
        <v/>
      </c>
      <c r="AS100" s="153">
        <f>$C100*INDEX(Curves!$T$8:$T$68,AS$4-$B100+1)</f>
        <v/>
      </c>
      <c r="AT100" s="153">
        <f>$C100*INDEX(Curves!$T$8:$T$68,AT$4-$B100+1)</f>
        <v/>
      </c>
      <c r="AU100" s="153">
        <f>$C100*INDEX(Curves!$T$8:$T$68,AU$4-$B100+1)</f>
        <v/>
      </c>
      <c r="AV100" s="153">
        <f>$C100*INDEX(Curves!$T$8:$T$68,AV$4-$B100+1)</f>
        <v/>
      </c>
      <c r="AW100" s="153">
        <f>$C100*INDEX(Curves!$T$8:$T$68,AW$4-$B100+1)</f>
        <v/>
      </c>
      <c r="AX100" s="153">
        <f>$C100*INDEX(Curves!$T$8:$T$68,AX$4-$B100+1)</f>
        <v/>
      </c>
      <c r="AY100" s="153">
        <f>$C100*INDEX(Curves!$T$8:$T$68,AY$4-$B100+1)</f>
        <v/>
      </c>
      <c r="AZ100" s="153">
        <f>$C100*INDEX(Curves!$T$8:$T$68,AZ$4-$B100+1)</f>
        <v/>
      </c>
      <c r="BA100" s="153">
        <f>$C100*INDEX(Curves!$T$8:$T$68,BA$4-$B100+1)</f>
        <v/>
      </c>
      <c r="BB100" s="153">
        <f>$C100*INDEX(Curves!$T$8:$T$68,BB$4-$B100+1)</f>
        <v/>
      </c>
      <c r="BC100" s="153">
        <f>$C100*INDEX(Curves!$T$8:$T$68,BC$4-$B100+1)</f>
        <v/>
      </c>
      <c r="BD100" s="153">
        <f>$C100*INDEX(Curves!$T$8:$T$68,BD$4-$B100+1)</f>
        <v/>
      </c>
      <c r="BE100" s="153">
        <f>$C100*INDEX(Curves!$T$8:$T$68,BE$4-$B100+1)</f>
        <v/>
      </c>
      <c r="BF100" s="153">
        <f>$C100*INDEX(Curves!$T$8:$T$68,BF$4-$B100+1)</f>
        <v/>
      </c>
      <c r="BG100" s="153">
        <f>$C100*INDEX(Curves!$T$8:$T$68,BG$4-$B100+1)</f>
        <v/>
      </c>
      <c r="BH100" s="153">
        <f>$C100*INDEX(Curves!$T$8:$T$68,BH$4-$B100+1)</f>
        <v/>
      </c>
      <c r="BI100" s="153">
        <f>$C100*INDEX(Curves!$T$8:$T$68,BI$4-$B100+1)</f>
        <v/>
      </c>
      <c r="BJ100" s="153">
        <f>$C100*INDEX(Curves!$T$8:$T$68,BJ$4-$B100+1)</f>
        <v/>
      </c>
      <c r="BK100" s="153">
        <f>$C100*INDEX(Curves!$T$8:$T$68,BK$4-$B100+1)</f>
        <v/>
      </c>
      <c r="BL100" s="153">
        <f>$C100*INDEX(Curves!$T$8:$T$68,BL$4-$B100+1)</f>
        <v/>
      </c>
    </row>
    <row r="101">
      <c r="A101" s="147" t="inlineStr">
        <is>
          <t>Cohort month 29</t>
        </is>
      </c>
      <c r="B101" s="147" t="n">
        <v>29</v>
      </c>
      <c r="C101" s="41">
        <f>INDEX(Ops!$E$34:$BL$34,1,$B101)</f>
        <v/>
      </c>
      <c r="AH101" s="153">
        <f>$C101*INDEX(Curves!$T$8:$T$68,AH$4-$B101+1)</f>
        <v/>
      </c>
      <c r="AI101" s="153">
        <f>$C101*INDEX(Curves!$T$8:$T$68,AI$4-$B101+1)</f>
        <v/>
      </c>
      <c r="AJ101" s="153">
        <f>$C101*INDEX(Curves!$T$8:$T$68,AJ$4-$B101+1)</f>
        <v/>
      </c>
      <c r="AK101" s="153">
        <f>$C101*INDEX(Curves!$T$8:$T$68,AK$4-$B101+1)</f>
        <v/>
      </c>
      <c r="AL101" s="153">
        <f>$C101*INDEX(Curves!$T$8:$T$68,AL$4-$B101+1)</f>
        <v/>
      </c>
      <c r="AM101" s="153">
        <f>$C101*INDEX(Curves!$T$8:$T$68,AM$4-$B101+1)</f>
        <v/>
      </c>
      <c r="AN101" s="153">
        <f>$C101*INDEX(Curves!$T$8:$T$68,AN$4-$B101+1)</f>
        <v/>
      </c>
      <c r="AO101" s="153">
        <f>$C101*INDEX(Curves!$T$8:$T$68,AO$4-$B101+1)</f>
        <v/>
      </c>
      <c r="AP101" s="153">
        <f>$C101*INDEX(Curves!$T$8:$T$68,AP$4-$B101+1)</f>
        <v/>
      </c>
      <c r="AQ101" s="153">
        <f>$C101*INDEX(Curves!$T$8:$T$68,AQ$4-$B101+1)</f>
        <v/>
      </c>
      <c r="AR101" s="153">
        <f>$C101*INDEX(Curves!$T$8:$T$68,AR$4-$B101+1)</f>
        <v/>
      </c>
      <c r="AS101" s="153">
        <f>$C101*INDEX(Curves!$T$8:$T$68,AS$4-$B101+1)</f>
        <v/>
      </c>
      <c r="AT101" s="153">
        <f>$C101*INDEX(Curves!$T$8:$T$68,AT$4-$B101+1)</f>
        <v/>
      </c>
      <c r="AU101" s="153">
        <f>$C101*INDEX(Curves!$T$8:$T$68,AU$4-$B101+1)</f>
        <v/>
      </c>
      <c r="AV101" s="153">
        <f>$C101*INDEX(Curves!$T$8:$T$68,AV$4-$B101+1)</f>
        <v/>
      </c>
      <c r="AW101" s="153">
        <f>$C101*INDEX(Curves!$T$8:$T$68,AW$4-$B101+1)</f>
        <v/>
      </c>
      <c r="AX101" s="153">
        <f>$C101*INDEX(Curves!$T$8:$T$68,AX$4-$B101+1)</f>
        <v/>
      </c>
      <c r="AY101" s="153">
        <f>$C101*INDEX(Curves!$T$8:$T$68,AY$4-$B101+1)</f>
        <v/>
      </c>
      <c r="AZ101" s="153">
        <f>$C101*INDEX(Curves!$T$8:$T$68,AZ$4-$B101+1)</f>
        <v/>
      </c>
      <c r="BA101" s="153">
        <f>$C101*INDEX(Curves!$T$8:$T$68,BA$4-$B101+1)</f>
        <v/>
      </c>
      <c r="BB101" s="153">
        <f>$C101*INDEX(Curves!$T$8:$T$68,BB$4-$B101+1)</f>
        <v/>
      </c>
      <c r="BC101" s="153">
        <f>$C101*INDEX(Curves!$T$8:$T$68,BC$4-$B101+1)</f>
        <v/>
      </c>
      <c r="BD101" s="153">
        <f>$C101*INDEX(Curves!$T$8:$T$68,BD$4-$B101+1)</f>
        <v/>
      </c>
      <c r="BE101" s="153">
        <f>$C101*INDEX(Curves!$T$8:$T$68,BE$4-$B101+1)</f>
        <v/>
      </c>
      <c r="BF101" s="153">
        <f>$C101*INDEX(Curves!$T$8:$T$68,BF$4-$B101+1)</f>
        <v/>
      </c>
      <c r="BG101" s="153">
        <f>$C101*INDEX(Curves!$T$8:$T$68,BG$4-$B101+1)</f>
        <v/>
      </c>
      <c r="BH101" s="153">
        <f>$C101*INDEX(Curves!$T$8:$T$68,BH$4-$B101+1)</f>
        <v/>
      </c>
      <c r="BI101" s="153">
        <f>$C101*INDEX(Curves!$T$8:$T$68,BI$4-$B101+1)</f>
        <v/>
      </c>
      <c r="BJ101" s="153">
        <f>$C101*INDEX(Curves!$T$8:$T$68,BJ$4-$B101+1)</f>
        <v/>
      </c>
      <c r="BK101" s="153">
        <f>$C101*INDEX(Curves!$T$8:$T$68,BK$4-$B101+1)</f>
        <v/>
      </c>
      <c r="BL101" s="153">
        <f>$C101*INDEX(Curves!$T$8:$T$68,BL$4-$B101+1)</f>
        <v/>
      </c>
    </row>
    <row r="102">
      <c r="A102" s="147" t="inlineStr">
        <is>
          <t>Cohort month 30</t>
        </is>
      </c>
      <c r="B102" s="147" t="n">
        <v>30</v>
      </c>
      <c r="C102" s="41">
        <f>INDEX(Ops!$E$34:$BL$34,1,$B102)</f>
        <v/>
      </c>
      <c r="AI102" s="153">
        <f>$C102*INDEX(Curves!$T$8:$T$68,AI$4-$B102+1)</f>
        <v/>
      </c>
      <c r="AJ102" s="153">
        <f>$C102*INDEX(Curves!$T$8:$T$68,AJ$4-$B102+1)</f>
        <v/>
      </c>
      <c r="AK102" s="153">
        <f>$C102*INDEX(Curves!$T$8:$T$68,AK$4-$B102+1)</f>
        <v/>
      </c>
      <c r="AL102" s="153">
        <f>$C102*INDEX(Curves!$T$8:$T$68,AL$4-$B102+1)</f>
        <v/>
      </c>
      <c r="AM102" s="153">
        <f>$C102*INDEX(Curves!$T$8:$T$68,AM$4-$B102+1)</f>
        <v/>
      </c>
      <c r="AN102" s="153">
        <f>$C102*INDEX(Curves!$T$8:$T$68,AN$4-$B102+1)</f>
        <v/>
      </c>
      <c r="AO102" s="153">
        <f>$C102*INDEX(Curves!$T$8:$T$68,AO$4-$B102+1)</f>
        <v/>
      </c>
      <c r="AP102" s="153">
        <f>$C102*INDEX(Curves!$T$8:$T$68,AP$4-$B102+1)</f>
        <v/>
      </c>
      <c r="AQ102" s="153">
        <f>$C102*INDEX(Curves!$T$8:$T$68,AQ$4-$B102+1)</f>
        <v/>
      </c>
      <c r="AR102" s="153">
        <f>$C102*INDEX(Curves!$T$8:$T$68,AR$4-$B102+1)</f>
        <v/>
      </c>
      <c r="AS102" s="153">
        <f>$C102*INDEX(Curves!$T$8:$T$68,AS$4-$B102+1)</f>
        <v/>
      </c>
      <c r="AT102" s="153">
        <f>$C102*INDEX(Curves!$T$8:$T$68,AT$4-$B102+1)</f>
        <v/>
      </c>
      <c r="AU102" s="153">
        <f>$C102*INDEX(Curves!$T$8:$T$68,AU$4-$B102+1)</f>
        <v/>
      </c>
      <c r="AV102" s="153">
        <f>$C102*INDEX(Curves!$T$8:$T$68,AV$4-$B102+1)</f>
        <v/>
      </c>
      <c r="AW102" s="153">
        <f>$C102*INDEX(Curves!$T$8:$T$68,AW$4-$B102+1)</f>
        <v/>
      </c>
      <c r="AX102" s="153">
        <f>$C102*INDEX(Curves!$T$8:$T$68,AX$4-$B102+1)</f>
        <v/>
      </c>
      <c r="AY102" s="153">
        <f>$C102*INDEX(Curves!$T$8:$T$68,AY$4-$B102+1)</f>
        <v/>
      </c>
      <c r="AZ102" s="153">
        <f>$C102*INDEX(Curves!$T$8:$T$68,AZ$4-$B102+1)</f>
        <v/>
      </c>
      <c r="BA102" s="153">
        <f>$C102*INDEX(Curves!$T$8:$T$68,BA$4-$B102+1)</f>
        <v/>
      </c>
      <c r="BB102" s="153">
        <f>$C102*INDEX(Curves!$T$8:$T$68,BB$4-$B102+1)</f>
        <v/>
      </c>
      <c r="BC102" s="153">
        <f>$C102*INDEX(Curves!$T$8:$T$68,BC$4-$B102+1)</f>
        <v/>
      </c>
      <c r="BD102" s="153">
        <f>$C102*INDEX(Curves!$T$8:$T$68,BD$4-$B102+1)</f>
        <v/>
      </c>
      <c r="BE102" s="153">
        <f>$C102*INDEX(Curves!$T$8:$T$68,BE$4-$B102+1)</f>
        <v/>
      </c>
      <c r="BF102" s="153">
        <f>$C102*INDEX(Curves!$T$8:$T$68,BF$4-$B102+1)</f>
        <v/>
      </c>
      <c r="BG102" s="153">
        <f>$C102*INDEX(Curves!$T$8:$T$68,BG$4-$B102+1)</f>
        <v/>
      </c>
      <c r="BH102" s="153">
        <f>$C102*INDEX(Curves!$T$8:$T$68,BH$4-$B102+1)</f>
        <v/>
      </c>
      <c r="BI102" s="153">
        <f>$C102*INDEX(Curves!$T$8:$T$68,BI$4-$B102+1)</f>
        <v/>
      </c>
      <c r="BJ102" s="153">
        <f>$C102*INDEX(Curves!$T$8:$T$68,BJ$4-$B102+1)</f>
        <v/>
      </c>
      <c r="BK102" s="153">
        <f>$C102*INDEX(Curves!$T$8:$T$68,BK$4-$B102+1)</f>
        <v/>
      </c>
      <c r="BL102" s="153">
        <f>$C102*INDEX(Curves!$T$8:$T$68,BL$4-$B102+1)</f>
        <v/>
      </c>
    </row>
    <row r="103">
      <c r="A103" s="147" t="inlineStr">
        <is>
          <t>Cohort month 31</t>
        </is>
      </c>
      <c r="B103" s="147" t="n">
        <v>31</v>
      </c>
      <c r="C103" s="41">
        <f>INDEX(Ops!$E$34:$BL$34,1,$B103)</f>
        <v/>
      </c>
      <c r="AJ103" s="153">
        <f>$C103*INDEX(Curves!$T$8:$T$68,AJ$4-$B103+1)</f>
        <v/>
      </c>
      <c r="AK103" s="153">
        <f>$C103*INDEX(Curves!$T$8:$T$68,AK$4-$B103+1)</f>
        <v/>
      </c>
      <c r="AL103" s="153">
        <f>$C103*INDEX(Curves!$T$8:$T$68,AL$4-$B103+1)</f>
        <v/>
      </c>
      <c r="AM103" s="153">
        <f>$C103*INDEX(Curves!$T$8:$T$68,AM$4-$B103+1)</f>
        <v/>
      </c>
      <c r="AN103" s="153">
        <f>$C103*INDEX(Curves!$T$8:$T$68,AN$4-$B103+1)</f>
        <v/>
      </c>
      <c r="AO103" s="153">
        <f>$C103*INDEX(Curves!$T$8:$T$68,AO$4-$B103+1)</f>
        <v/>
      </c>
      <c r="AP103" s="153">
        <f>$C103*INDEX(Curves!$T$8:$T$68,AP$4-$B103+1)</f>
        <v/>
      </c>
      <c r="AQ103" s="153">
        <f>$C103*INDEX(Curves!$T$8:$T$68,AQ$4-$B103+1)</f>
        <v/>
      </c>
      <c r="AR103" s="153">
        <f>$C103*INDEX(Curves!$T$8:$T$68,AR$4-$B103+1)</f>
        <v/>
      </c>
      <c r="AS103" s="153">
        <f>$C103*INDEX(Curves!$T$8:$T$68,AS$4-$B103+1)</f>
        <v/>
      </c>
      <c r="AT103" s="153">
        <f>$C103*INDEX(Curves!$T$8:$T$68,AT$4-$B103+1)</f>
        <v/>
      </c>
      <c r="AU103" s="153">
        <f>$C103*INDEX(Curves!$T$8:$T$68,AU$4-$B103+1)</f>
        <v/>
      </c>
      <c r="AV103" s="153">
        <f>$C103*INDEX(Curves!$T$8:$T$68,AV$4-$B103+1)</f>
        <v/>
      </c>
      <c r="AW103" s="153">
        <f>$C103*INDEX(Curves!$T$8:$T$68,AW$4-$B103+1)</f>
        <v/>
      </c>
      <c r="AX103" s="153">
        <f>$C103*INDEX(Curves!$T$8:$T$68,AX$4-$B103+1)</f>
        <v/>
      </c>
      <c r="AY103" s="153">
        <f>$C103*INDEX(Curves!$T$8:$T$68,AY$4-$B103+1)</f>
        <v/>
      </c>
      <c r="AZ103" s="153">
        <f>$C103*INDEX(Curves!$T$8:$T$68,AZ$4-$B103+1)</f>
        <v/>
      </c>
      <c r="BA103" s="153">
        <f>$C103*INDEX(Curves!$T$8:$T$68,BA$4-$B103+1)</f>
        <v/>
      </c>
      <c r="BB103" s="153">
        <f>$C103*INDEX(Curves!$T$8:$T$68,BB$4-$B103+1)</f>
        <v/>
      </c>
      <c r="BC103" s="153">
        <f>$C103*INDEX(Curves!$T$8:$T$68,BC$4-$B103+1)</f>
        <v/>
      </c>
      <c r="BD103" s="153">
        <f>$C103*INDEX(Curves!$T$8:$T$68,BD$4-$B103+1)</f>
        <v/>
      </c>
      <c r="BE103" s="153">
        <f>$C103*INDEX(Curves!$T$8:$T$68,BE$4-$B103+1)</f>
        <v/>
      </c>
      <c r="BF103" s="153">
        <f>$C103*INDEX(Curves!$T$8:$T$68,BF$4-$B103+1)</f>
        <v/>
      </c>
      <c r="BG103" s="153">
        <f>$C103*INDEX(Curves!$T$8:$T$68,BG$4-$B103+1)</f>
        <v/>
      </c>
      <c r="BH103" s="153">
        <f>$C103*INDEX(Curves!$T$8:$T$68,BH$4-$B103+1)</f>
        <v/>
      </c>
      <c r="BI103" s="153">
        <f>$C103*INDEX(Curves!$T$8:$T$68,BI$4-$B103+1)</f>
        <v/>
      </c>
      <c r="BJ103" s="153">
        <f>$C103*INDEX(Curves!$T$8:$T$68,BJ$4-$B103+1)</f>
        <v/>
      </c>
      <c r="BK103" s="153">
        <f>$C103*INDEX(Curves!$T$8:$T$68,BK$4-$B103+1)</f>
        <v/>
      </c>
      <c r="BL103" s="153">
        <f>$C103*INDEX(Curves!$T$8:$T$68,BL$4-$B103+1)</f>
        <v/>
      </c>
    </row>
    <row r="104">
      <c r="A104" s="147" t="inlineStr">
        <is>
          <t>Cohort month 32</t>
        </is>
      </c>
      <c r="B104" s="147" t="n">
        <v>32</v>
      </c>
      <c r="C104" s="41">
        <f>INDEX(Ops!$E$34:$BL$34,1,$B104)</f>
        <v/>
      </c>
      <c r="AK104" s="153">
        <f>$C104*INDEX(Curves!$T$8:$T$68,AK$4-$B104+1)</f>
        <v/>
      </c>
      <c r="AL104" s="153">
        <f>$C104*INDEX(Curves!$T$8:$T$68,AL$4-$B104+1)</f>
        <v/>
      </c>
      <c r="AM104" s="153">
        <f>$C104*INDEX(Curves!$T$8:$T$68,AM$4-$B104+1)</f>
        <v/>
      </c>
      <c r="AN104" s="153">
        <f>$C104*INDEX(Curves!$T$8:$T$68,AN$4-$B104+1)</f>
        <v/>
      </c>
      <c r="AO104" s="153">
        <f>$C104*INDEX(Curves!$T$8:$T$68,AO$4-$B104+1)</f>
        <v/>
      </c>
      <c r="AP104" s="153">
        <f>$C104*INDEX(Curves!$T$8:$T$68,AP$4-$B104+1)</f>
        <v/>
      </c>
      <c r="AQ104" s="153">
        <f>$C104*INDEX(Curves!$T$8:$T$68,AQ$4-$B104+1)</f>
        <v/>
      </c>
      <c r="AR104" s="153">
        <f>$C104*INDEX(Curves!$T$8:$T$68,AR$4-$B104+1)</f>
        <v/>
      </c>
      <c r="AS104" s="153">
        <f>$C104*INDEX(Curves!$T$8:$T$68,AS$4-$B104+1)</f>
        <v/>
      </c>
      <c r="AT104" s="153">
        <f>$C104*INDEX(Curves!$T$8:$T$68,AT$4-$B104+1)</f>
        <v/>
      </c>
      <c r="AU104" s="153">
        <f>$C104*INDEX(Curves!$T$8:$T$68,AU$4-$B104+1)</f>
        <v/>
      </c>
      <c r="AV104" s="153">
        <f>$C104*INDEX(Curves!$T$8:$T$68,AV$4-$B104+1)</f>
        <v/>
      </c>
      <c r="AW104" s="153">
        <f>$C104*INDEX(Curves!$T$8:$T$68,AW$4-$B104+1)</f>
        <v/>
      </c>
      <c r="AX104" s="153">
        <f>$C104*INDEX(Curves!$T$8:$T$68,AX$4-$B104+1)</f>
        <v/>
      </c>
      <c r="AY104" s="153">
        <f>$C104*INDEX(Curves!$T$8:$T$68,AY$4-$B104+1)</f>
        <v/>
      </c>
      <c r="AZ104" s="153">
        <f>$C104*INDEX(Curves!$T$8:$T$68,AZ$4-$B104+1)</f>
        <v/>
      </c>
      <c r="BA104" s="153">
        <f>$C104*INDEX(Curves!$T$8:$T$68,BA$4-$B104+1)</f>
        <v/>
      </c>
      <c r="BB104" s="153">
        <f>$C104*INDEX(Curves!$T$8:$T$68,BB$4-$B104+1)</f>
        <v/>
      </c>
      <c r="BC104" s="153">
        <f>$C104*INDEX(Curves!$T$8:$T$68,BC$4-$B104+1)</f>
        <v/>
      </c>
      <c r="BD104" s="153">
        <f>$C104*INDEX(Curves!$T$8:$T$68,BD$4-$B104+1)</f>
        <v/>
      </c>
      <c r="BE104" s="153">
        <f>$C104*INDEX(Curves!$T$8:$T$68,BE$4-$B104+1)</f>
        <v/>
      </c>
      <c r="BF104" s="153">
        <f>$C104*INDEX(Curves!$T$8:$T$68,BF$4-$B104+1)</f>
        <v/>
      </c>
      <c r="BG104" s="153">
        <f>$C104*INDEX(Curves!$T$8:$T$68,BG$4-$B104+1)</f>
        <v/>
      </c>
      <c r="BH104" s="153">
        <f>$C104*INDEX(Curves!$T$8:$T$68,BH$4-$B104+1)</f>
        <v/>
      </c>
      <c r="BI104" s="153">
        <f>$C104*INDEX(Curves!$T$8:$T$68,BI$4-$B104+1)</f>
        <v/>
      </c>
      <c r="BJ104" s="153">
        <f>$C104*INDEX(Curves!$T$8:$T$68,BJ$4-$B104+1)</f>
        <v/>
      </c>
      <c r="BK104" s="153">
        <f>$C104*INDEX(Curves!$T$8:$T$68,BK$4-$B104+1)</f>
        <v/>
      </c>
      <c r="BL104" s="153">
        <f>$C104*INDEX(Curves!$T$8:$T$68,BL$4-$B104+1)</f>
        <v/>
      </c>
    </row>
    <row r="105">
      <c r="A105" s="147" t="inlineStr">
        <is>
          <t>Cohort month 33</t>
        </is>
      </c>
      <c r="B105" s="147" t="n">
        <v>33</v>
      </c>
      <c r="C105" s="41">
        <f>INDEX(Ops!$E$34:$BL$34,1,$B105)</f>
        <v/>
      </c>
      <c r="AL105" s="153">
        <f>$C105*INDEX(Curves!$T$8:$T$68,AL$4-$B105+1)</f>
        <v/>
      </c>
      <c r="AM105" s="153">
        <f>$C105*INDEX(Curves!$T$8:$T$68,AM$4-$B105+1)</f>
        <v/>
      </c>
      <c r="AN105" s="153">
        <f>$C105*INDEX(Curves!$T$8:$T$68,AN$4-$B105+1)</f>
        <v/>
      </c>
      <c r="AO105" s="153">
        <f>$C105*INDEX(Curves!$T$8:$T$68,AO$4-$B105+1)</f>
        <v/>
      </c>
      <c r="AP105" s="153">
        <f>$C105*INDEX(Curves!$T$8:$T$68,AP$4-$B105+1)</f>
        <v/>
      </c>
      <c r="AQ105" s="153">
        <f>$C105*INDEX(Curves!$T$8:$T$68,AQ$4-$B105+1)</f>
        <v/>
      </c>
      <c r="AR105" s="153">
        <f>$C105*INDEX(Curves!$T$8:$T$68,AR$4-$B105+1)</f>
        <v/>
      </c>
      <c r="AS105" s="153">
        <f>$C105*INDEX(Curves!$T$8:$T$68,AS$4-$B105+1)</f>
        <v/>
      </c>
      <c r="AT105" s="153">
        <f>$C105*INDEX(Curves!$T$8:$T$68,AT$4-$B105+1)</f>
        <v/>
      </c>
      <c r="AU105" s="153">
        <f>$C105*INDEX(Curves!$T$8:$T$68,AU$4-$B105+1)</f>
        <v/>
      </c>
      <c r="AV105" s="153">
        <f>$C105*INDEX(Curves!$T$8:$T$68,AV$4-$B105+1)</f>
        <v/>
      </c>
      <c r="AW105" s="153">
        <f>$C105*INDEX(Curves!$T$8:$T$68,AW$4-$B105+1)</f>
        <v/>
      </c>
      <c r="AX105" s="153">
        <f>$C105*INDEX(Curves!$T$8:$T$68,AX$4-$B105+1)</f>
        <v/>
      </c>
      <c r="AY105" s="153">
        <f>$C105*INDEX(Curves!$T$8:$T$68,AY$4-$B105+1)</f>
        <v/>
      </c>
      <c r="AZ105" s="153">
        <f>$C105*INDEX(Curves!$T$8:$T$68,AZ$4-$B105+1)</f>
        <v/>
      </c>
      <c r="BA105" s="153">
        <f>$C105*INDEX(Curves!$T$8:$T$68,BA$4-$B105+1)</f>
        <v/>
      </c>
      <c r="BB105" s="153">
        <f>$C105*INDEX(Curves!$T$8:$T$68,BB$4-$B105+1)</f>
        <v/>
      </c>
      <c r="BC105" s="153">
        <f>$C105*INDEX(Curves!$T$8:$T$68,BC$4-$B105+1)</f>
        <v/>
      </c>
      <c r="BD105" s="153">
        <f>$C105*INDEX(Curves!$T$8:$T$68,BD$4-$B105+1)</f>
        <v/>
      </c>
      <c r="BE105" s="153">
        <f>$C105*INDEX(Curves!$T$8:$T$68,BE$4-$B105+1)</f>
        <v/>
      </c>
      <c r="BF105" s="153">
        <f>$C105*INDEX(Curves!$T$8:$T$68,BF$4-$B105+1)</f>
        <v/>
      </c>
      <c r="BG105" s="153">
        <f>$C105*INDEX(Curves!$T$8:$T$68,BG$4-$B105+1)</f>
        <v/>
      </c>
      <c r="BH105" s="153">
        <f>$C105*INDEX(Curves!$T$8:$T$68,BH$4-$B105+1)</f>
        <v/>
      </c>
      <c r="BI105" s="153">
        <f>$C105*INDEX(Curves!$T$8:$T$68,BI$4-$B105+1)</f>
        <v/>
      </c>
      <c r="BJ105" s="153">
        <f>$C105*INDEX(Curves!$T$8:$T$68,BJ$4-$B105+1)</f>
        <v/>
      </c>
      <c r="BK105" s="153">
        <f>$C105*INDEX(Curves!$T$8:$T$68,BK$4-$B105+1)</f>
        <v/>
      </c>
      <c r="BL105" s="153">
        <f>$C105*INDEX(Curves!$T$8:$T$68,BL$4-$B105+1)</f>
        <v/>
      </c>
    </row>
    <row r="106">
      <c r="A106" s="147" t="inlineStr">
        <is>
          <t>Cohort month 34</t>
        </is>
      </c>
      <c r="B106" s="147" t="n">
        <v>34</v>
      </c>
      <c r="C106" s="41">
        <f>INDEX(Ops!$E$34:$BL$34,1,$B106)</f>
        <v/>
      </c>
      <c r="AM106" s="153">
        <f>$C106*INDEX(Curves!$T$8:$T$68,AM$4-$B106+1)</f>
        <v/>
      </c>
      <c r="AN106" s="153">
        <f>$C106*INDEX(Curves!$T$8:$T$68,AN$4-$B106+1)</f>
        <v/>
      </c>
      <c r="AO106" s="153">
        <f>$C106*INDEX(Curves!$T$8:$T$68,AO$4-$B106+1)</f>
        <v/>
      </c>
      <c r="AP106" s="153">
        <f>$C106*INDEX(Curves!$T$8:$T$68,AP$4-$B106+1)</f>
        <v/>
      </c>
      <c r="AQ106" s="153">
        <f>$C106*INDEX(Curves!$T$8:$T$68,AQ$4-$B106+1)</f>
        <v/>
      </c>
      <c r="AR106" s="153">
        <f>$C106*INDEX(Curves!$T$8:$T$68,AR$4-$B106+1)</f>
        <v/>
      </c>
      <c r="AS106" s="153">
        <f>$C106*INDEX(Curves!$T$8:$T$68,AS$4-$B106+1)</f>
        <v/>
      </c>
      <c r="AT106" s="153">
        <f>$C106*INDEX(Curves!$T$8:$T$68,AT$4-$B106+1)</f>
        <v/>
      </c>
      <c r="AU106" s="153">
        <f>$C106*INDEX(Curves!$T$8:$T$68,AU$4-$B106+1)</f>
        <v/>
      </c>
      <c r="AV106" s="153">
        <f>$C106*INDEX(Curves!$T$8:$T$68,AV$4-$B106+1)</f>
        <v/>
      </c>
      <c r="AW106" s="153">
        <f>$C106*INDEX(Curves!$T$8:$T$68,AW$4-$B106+1)</f>
        <v/>
      </c>
      <c r="AX106" s="153">
        <f>$C106*INDEX(Curves!$T$8:$T$68,AX$4-$B106+1)</f>
        <v/>
      </c>
      <c r="AY106" s="153">
        <f>$C106*INDEX(Curves!$T$8:$T$68,AY$4-$B106+1)</f>
        <v/>
      </c>
      <c r="AZ106" s="153">
        <f>$C106*INDEX(Curves!$T$8:$T$68,AZ$4-$B106+1)</f>
        <v/>
      </c>
      <c r="BA106" s="153">
        <f>$C106*INDEX(Curves!$T$8:$T$68,BA$4-$B106+1)</f>
        <v/>
      </c>
      <c r="BB106" s="153">
        <f>$C106*INDEX(Curves!$T$8:$T$68,BB$4-$B106+1)</f>
        <v/>
      </c>
      <c r="BC106" s="153">
        <f>$C106*INDEX(Curves!$T$8:$T$68,BC$4-$B106+1)</f>
        <v/>
      </c>
      <c r="BD106" s="153">
        <f>$C106*INDEX(Curves!$T$8:$T$68,BD$4-$B106+1)</f>
        <v/>
      </c>
      <c r="BE106" s="153">
        <f>$C106*INDEX(Curves!$T$8:$T$68,BE$4-$B106+1)</f>
        <v/>
      </c>
      <c r="BF106" s="153">
        <f>$C106*INDEX(Curves!$T$8:$T$68,BF$4-$B106+1)</f>
        <v/>
      </c>
      <c r="BG106" s="153">
        <f>$C106*INDEX(Curves!$T$8:$T$68,BG$4-$B106+1)</f>
        <v/>
      </c>
      <c r="BH106" s="153">
        <f>$C106*INDEX(Curves!$T$8:$T$68,BH$4-$B106+1)</f>
        <v/>
      </c>
      <c r="BI106" s="153">
        <f>$C106*INDEX(Curves!$T$8:$T$68,BI$4-$B106+1)</f>
        <v/>
      </c>
      <c r="BJ106" s="153">
        <f>$C106*INDEX(Curves!$T$8:$T$68,BJ$4-$B106+1)</f>
        <v/>
      </c>
      <c r="BK106" s="153">
        <f>$C106*INDEX(Curves!$T$8:$T$68,BK$4-$B106+1)</f>
        <v/>
      </c>
      <c r="BL106" s="153">
        <f>$C106*INDEX(Curves!$T$8:$T$68,BL$4-$B106+1)</f>
        <v/>
      </c>
    </row>
    <row r="107">
      <c r="A107" s="147" t="inlineStr">
        <is>
          <t>Cohort month 35</t>
        </is>
      </c>
      <c r="B107" s="147" t="n">
        <v>35</v>
      </c>
      <c r="C107" s="41">
        <f>INDEX(Ops!$E$34:$BL$34,1,$B107)</f>
        <v/>
      </c>
      <c r="AN107" s="153">
        <f>$C107*INDEX(Curves!$T$8:$T$68,AN$4-$B107+1)</f>
        <v/>
      </c>
      <c r="AO107" s="153">
        <f>$C107*INDEX(Curves!$T$8:$T$68,AO$4-$B107+1)</f>
        <v/>
      </c>
      <c r="AP107" s="153">
        <f>$C107*INDEX(Curves!$T$8:$T$68,AP$4-$B107+1)</f>
        <v/>
      </c>
      <c r="AQ107" s="153">
        <f>$C107*INDEX(Curves!$T$8:$T$68,AQ$4-$B107+1)</f>
        <v/>
      </c>
      <c r="AR107" s="153">
        <f>$C107*INDEX(Curves!$T$8:$T$68,AR$4-$B107+1)</f>
        <v/>
      </c>
      <c r="AS107" s="153">
        <f>$C107*INDEX(Curves!$T$8:$T$68,AS$4-$B107+1)</f>
        <v/>
      </c>
      <c r="AT107" s="153">
        <f>$C107*INDEX(Curves!$T$8:$T$68,AT$4-$B107+1)</f>
        <v/>
      </c>
      <c r="AU107" s="153">
        <f>$C107*INDEX(Curves!$T$8:$T$68,AU$4-$B107+1)</f>
        <v/>
      </c>
      <c r="AV107" s="153">
        <f>$C107*INDEX(Curves!$T$8:$T$68,AV$4-$B107+1)</f>
        <v/>
      </c>
      <c r="AW107" s="153">
        <f>$C107*INDEX(Curves!$T$8:$T$68,AW$4-$B107+1)</f>
        <v/>
      </c>
      <c r="AX107" s="153">
        <f>$C107*INDEX(Curves!$T$8:$T$68,AX$4-$B107+1)</f>
        <v/>
      </c>
      <c r="AY107" s="153">
        <f>$C107*INDEX(Curves!$T$8:$T$68,AY$4-$B107+1)</f>
        <v/>
      </c>
      <c r="AZ107" s="153">
        <f>$C107*INDEX(Curves!$T$8:$T$68,AZ$4-$B107+1)</f>
        <v/>
      </c>
      <c r="BA107" s="153">
        <f>$C107*INDEX(Curves!$T$8:$T$68,BA$4-$B107+1)</f>
        <v/>
      </c>
      <c r="BB107" s="153">
        <f>$C107*INDEX(Curves!$T$8:$T$68,BB$4-$B107+1)</f>
        <v/>
      </c>
      <c r="BC107" s="153">
        <f>$C107*INDEX(Curves!$T$8:$T$68,BC$4-$B107+1)</f>
        <v/>
      </c>
      <c r="BD107" s="153">
        <f>$C107*INDEX(Curves!$T$8:$T$68,BD$4-$B107+1)</f>
        <v/>
      </c>
      <c r="BE107" s="153">
        <f>$C107*INDEX(Curves!$T$8:$T$68,BE$4-$B107+1)</f>
        <v/>
      </c>
      <c r="BF107" s="153">
        <f>$C107*INDEX(Curves!$T$8:$T$68,BF$4-$B107+1)</f>
        <v/>
      </c>
      <c r="BG107" s="153">
        <f>$C107*INDEX(Curves!$T$8:$T$68,BG$4-$B107+1)</f>
        <v/>
      </c>
      <c r="BH107" s="153">
        <f>$C107*INDEX(Curves!$T$8:$T$68,BH$4-$B107+1)</f>
        <v/>
      </c>
      <c r="BI107" s="153">
        <f>$C107*INDEX(Curves!$T$8:$T$68,BI$4-$B107+1)</f>
        <v/>
      </c>
      <c r="BJ107" s="153">
        <f>$C107*INDEX(Curves!$T$8:$T$68,BJ$4-$B107+1)</f>
        <v/>
      </c>
      <c r="BK107" s="153">
        <f>$C107*INDEX(Curves!$T$8:$T$68,BK$4-$B107+1)</f>
        <v/>
      </c>
      <c r="BL107" s="153">
        <f>$C107*INDEX(Curves!$T$8:$T$68,BL$4-$B107+1)</f>
        <v/>
      </c>
    </row>
    <row r="108">
      <c r="A108" s="147" t="inlineStr">
        <is>
          <t>Cohort month 36</t>
        </is>
      </c>
      <c r="B108" s="147" t="n">
        <v>36</v>
      </c>
      <c r="C108" s="41">
        <f>INDEX(Ops!$E$34:$BL$34,1,$B108)</f>
        <v/>
      </c>
      <c r="AO108" s="153">
        <f>$C108*INDEX(Curves!$T$8:$T$68,AO$4-$B108+1)</f>
        <v/>
      </c>
      <c r="AP108" s="153">
        <f>$C108*INDEX(Curves!$T$8:$T$68,AP$4-$B108+1)</f>
        <v/>
      </c>
      <c r="AQ108" s="153">
        <f>$C108*INDEX(Curves!$T$8:$T$68,AQ$4-$B108+1)</f>
        <v/>
      </c>
      <c r="AR108" s="153">
        <f>$C108*INDEX(Curves!$T$8:$T$68,AR$4-$B108+1)</f>
        <v/>
      </c>
      <c r="AS108" s="153">
        <f>$C108*INDEX(Curves!$T$8:$T$68,AS$4-$B108+1)</f>
        <v/>
      </c>
      <c r="AT108" s="153">
        <f>$C108*INDEX(Curves!$T$8:$T$68,AT$4-$B108+1)</f>
        <v/>
      </c>
      <c r="AU108" s="153">
        <f>$C108*INDEX(Curves!$T$8:$T$68,AU$4-$B108+1)</f>
        <v/>
      </c>
      <c r="AV108" s="153">
        <f>$C108*INDEX(Curves!$T$8:$T$68,AV$4-$B108+1)</f>
        <v/>
      </c>
      <c r="AW108" s="153">
        <f>$C108*INDEX(Curves!$T$8:$T$68,AW$4-$B108+1)</f>
        <v/>
      </c>
      <c r="AX108" s="153">
        <f>$C108*INDEX(Curves!$T$8:$T$68,AX$4-$B108+1)</f>
        <v/>
      </c>
      <c r="AY108" s="153">
        <f>$C108*INDEX(Curves!$T$8:$T$68,AY$4-$B108+1)</f>
        <v/>
      </c>
      <c r="AZ108" s="153">
        <f>$C108*INDEX(Curves!$T$8:$T$68,AZ$4-$B108+1)</f>
        <v/>
      </c>
      <c r="BA108" s="153">
        <f>$C108*INDEX(Curves!$T$8:$T$68,BA$4-$B108+1)</f>
        <v/>
      </c>
      <c r="BB108" s="153">
        <f>$C108*INDEX(Curves!$T$8:$T$68,BB$4-$B108+1)</f>
        <v/>
      </c>
      <c r="BC108" s="153">
        <f>$C108*INDEX(Curves!$T$8:$T$68,BC$4-$B108+1)</f>
        <v/>
      </c>
      <c r="BD108" s="153">
        <f>$C108*INDEX(Curves!$T$8:$T$68,BD$4-$B108+1)</f>
        <v/>
      </c>
      <c r="BE108" s="153">
        <f>$C108*INDEX(Curves!$T$8:$T$68,BE$4-$B108+1)</f>
        <v/>
      </c>
      <c r="BF108" s="153">
        <f>$C108*INDEX(Curves!$T$8:$T$68,BF$4-$B108+1)</f>
        <v/>
      </c>
      <c r="BG108" s="153">
        <f>$C108*INDEX(Curves!$T$8:$T$68,BG$4-$B108+1)</f>
        <v/>
      </c>
      <c r="BH108" s="153">
        <f>$C108*INDEX(Curves!$T$8:$T$68,BH$4-$B108+1)</f>
        <v/>
      </c>
      <c r="BI108" s="153">
        <f>$C108*INDEX(Curves!$T$8:$T$68,BI$4-$B108+1)</f>
        <v/>
      </c>
      <c r="BJ108" s="153">
        <f>$C108*INDEX(Curves!$T$8:$T$68,BJ$4-$B108+1)</f>
        <v/>
      </c>
      <c r="BK108" s="153">
        <f>$C108*INDEX(Curves!$T$8:$T$68,BK$4-$B108+1)</f>
        <v/>
      </c>
      <c r="BL108" s="153">
        <f>$C108*INDEX(Curves!$T$8:$T$68,BL$4-$B108+1)</f>
        <v/>
      </c>
    </row>
    <row r="109">
      <c r="A109" s="147" t="inlineStr">
        <is>
          <t>Cohort month 37</t>
        </is>
      </c>
      <c r="B109" s="147" t="n">
        <v>37</v>
      </c>
      <c r="C109" s="41">
        <f>INDEX(Ops!$E$34:$BL$34,1,$B109)</f>
        <v/>
      </c>
      <c r="AP109" s="153">
        <f>$C109*INDEX(Curves!$T$8:$T$68,AP$4-$B109+1)</f>
        <v/>
      </c>
      <c r="AQ109" s="153">
        <f>$C109*INDEX(Curves!$T$8:$T$68,AQ$4-$B109+1)</f>
        <v/>
      </c>
      <c r="AR109" s="153">
        <f>$C109*INDEX(Curves!$T$8:$T$68,AR$4-$B109+1)</f>
        <v/>
      </c>
      <c r="AS109" s="153">
        <f>$C109*INDEX(Curves!$T$8:$T$68,AS$4-$B109+1)</f>
        <v/>
      </c>
      <c r="AT109" s="153">
        <f>$C109*INDEX(Curves!$T$8:$T$68,AT$4-$B109+1)</f>
        <v/>
      </c>
      <c r="AU109" s="153">
        <f>$C109*INDEX(Curves!$T$8:$T$68,AU$4-$B109+1)</f>
        <v/>
      </c>
      <c r="AV109" s="153">
        <f>$C109*INDEX(Curves!$T$8:$T$68,AV$4-$B109+1)</f>
        <v/>
      </c>
      <c r="AW109" s="153">
        <f>$C109*INDEX(Curves!$T$8:$T$68,AW$4-$B109+1)</f>
        <v/>
      </c>
      <c r="AX109" s="153">
        <f>$C109*INDEX(Curves!$T$8:$T$68,AX$4-$B109+1)</f>
        <v/>
      </c>
      <c r="AY109" s="153">
        <f>$C109*INDEX(Curves!$T$8:$T$68,AY$4-$B109+1)</f>
        <v/>
      </c>
      <c r="AZ109" s="153">
        <f>$C109*INDEX(Curves!$T$8:$T$68,AZ$4-$B109+1)</f>
        <v/>
      </c>
      <c r="BA109" s="153">
        <f>$C109*INDEX(Curves!$T$8:$T$68,BA$4-$B109+1)</f>
        <v/>
      </c>
      <c r="BB109" s="153">
        <f>$C109*INDEX(Curves!$T$8:$T$68,BB$4-$B109+1)</f>
        <v/>
      </c>
      <c r="BC109" s="153">
        <f>$C109*INDEX(Curves!$T$8:$T$68,BC$4-$B109+1)</f>
        <v/>
      </c>
      <c r="BD109" s="153">
        <f>$C109*INDEX(Curves!$T$8:$T$68,BD$4-$B109+1)</f>
        <v/>
      </c>
      <c r="BE109" s="153">
        <f>$C109*INDEX(Curves!$T$8:$T$68,BE$4-$B109+1)</f>
        <v/>
      </c>
      <c r="BF109" s="153">
        <f>$C109*INDEX(Curves!$T$8:$T$68,BF$4-$B109+1)</f>
        <v/>
      </c>
      <c r="BG109" s="153">
        <f>$C109*INDEX(Curves!$T$8:$T$68,BG$4-$B109+1)</f>
        <v/>
      </c>
      <c r="BH109" s="153">
        <f>$C109*INDEX(Curves!$T$8:$T$68,BH$4-$B109+1)</f>
        <v/>
      </c>
      <c r="BI109" s="153">
        <f>$C109*INDEX(Curves!$T$8:$T$68,BI$4-$B109+1)</f>
        <v/>
      </c>
      <c r="BJ109" s="153">
        <f>$C109*INDEX(Curves!$T$8:$T$68,BJ$4-$B109+1)</f>
        <v/>
      </c>
      <c r="BK109" s="153">
        <f>$C109*INDEX(Curves!$T$8:$T$68,BK$4-$B109+1)</f>
        <v/>
      </c>
      <c r="BL109" s="153">
        <f>$C109*INDEX(Curves!$T$8:$T$68,BL$4-$B109+1)</f>
        <v/>
      </c>
    </row>
    <row r="110">
      <c r="A110" s="147" t="inlineStr">
        <is>
          <t>Cohort month 38</t>
        </is>
      </c>
      <c r="B110" s="147" t="n">
        <v>38</v>
      </c>
      <c r="C110" s="41">
        <f>INDEX(Ops!$E$34:$BL$34,1,$B110)</f>
        <v/>
      </c>
      <c r="AQ110" s="153">
        <f>$C110*INDEX(Curves!$T$8:$T$68,AQ$4-$B110+1)</f>
        <v/>
      </c>
      <c r="AR110" s="153">
        <f>$C110*INDEX(Curves!$T$8:$T$68,AR$4-$B110+1)</f>
        <v/>
      </c>
      <c r="AS110" s="153">
        <f>$C110*INDEX(Curves!$T$8:$T$68,AS$4-$B110+1)</f>
        <v/>
      </c>
      <c r="AT110" s="153">
        <f>$C110*INDEX(Curves!$T$8:$T$68,AT$4-$B110+1)</f>
        <v/>
      </c>
      <c r="AU110" s="153">
        <f>$C110*INDEX(Curves!$T$8:$T$68,AU$4-$B110+1)</f>
        <v/>
      </c>
      <c r="AV110" s="153">
        <f>$C110*INDEX(Curves!$T$8:$T$68,AV$4-$B110+1)</f>
        <v/>
      </c>
      <c r="AW110" s="153">
        <f>$C110*INDEX(Curves!$T$8:$T$68,AW$4-$B110+1)</f>
        <v/>
      </c>
      <c r="AX110" s="153">
        <f>$C110*INDEX(Curves!$T$8:$T$68,AX$4-$B110+1)</f>
        <v/>
      </c>
      <c r="AY110" s="153">
        <f>$C110*INDEX(Curves!$T$8:$T$68,AY$4-$B110+1)</f>
        <v/>
      </c>
      <c r="AZ110" s="153">
        <f>$C110*INDEX(Curves!$T$8:$T$68,AZ$4-$B110+1)</f>
        <v/>
      </c>
      <c r="BA110" s="153">
        <f>$C110*INDEX(Curves!$T$8:$T$68,BA$4-$B110+1)</f>
        <v/>
      </c>
      <c r="BB110" s="153">
        <f>$C110*INDEX(Curves!$T$8:$T$68,BB$4-$B110+1)</f>
        <v/>
      </c>
      <c r="BC110" s="153">
        <f>$C110*INDEX(Curves!$T$8:$T$68,BC$4-$B110+1)</f>
        <v/>
      </c>
      <c r="BD110" s="153">
        <f>$C110*INDEX(Curves!$T$8:$T$68,BD$4-$B110+1)</f>
        <v/>
      </c>
      <c r="BE110" s="153">
        <f>$C110*INDEX(Curves!$T$8:$T$68,BE$4-$B110+1)</f>
        <v/>
      </c>
      <c r="BF110" s="153">
        <f>$C110*INDEX(Curves!$T$8:$T$68,BF$4-$B110+1)</f>
        <v/>
      </c>
      <c r="BG110" s="153">
        <f>$C110*INDEX(Curves!$T$8:$T$68,BG$4-$B110+1)</f>
        <v/>
      </c>
      <c r="BH110" s="153">
        <f>$C110*INDEX(Curves!$T$8:$T$68,BH$4-$B110+1)</f>
        <v/>
      </c>
      <c r="BI110" s="153">
        <f>$C110*INDEX(Curves!$T$8:$T$68,BI$4-$B110+1)</f>
        <v/>
      </c>
      <c r="BJ110" s="153">
        <f>$C110*INDEX(Curves!$T$8:$T$68,BJ$4-$B110+1)</f>
        <v/>
      </c>
      <c r="BK110" s="153">
        <f>$C110*INDEX(Curves!$T$8:$T$68,BK$4-$B110+1)</f>
        <v/>
      </c>
      <c r="BL110" s="153">
        <f>$C110*INDEX(Curves!$T$8:$T$68,BL$4-$B110+1)</f>
        <v/>
      </c>
    </row>
    <row r="111">
      <c r="A111" s="147" t="inlineStr">
        <is>
          <t>Cohort month 39</t>
        </is>
      </c>
      <c r="B111" s="147" t="n">
        <v>39</v>
      </c>
      <c r="C111" s="41">
        <f>INDEX(Ops!$E$34:$BL$34,1,$B111)</f>
        <v/>
      </c>
      <c r="AR111" s="153">
        <f>$C111*INDEX(Curves!$T$8:$T$68,AR$4-$B111+1)</f>
        <v/>
      </c>
      <c r="AS111" s="153">
        <f>$C111*INDEX(Curves!$T$8:$T$68,AS$4-$B111+1)</f>
        <v/>
      </c>
      <c r="AT111" s="153">
        <f>$C111*INDEX(Curves!$T$8:$T$68,AT$4-$B111+1)</f>
        <v/>
      </c>
      <c r="AU111" s="153">
        <f>$C111*INDEX(Curves!$T$8:$T$68,AU$4-$B111+1)</f>
        <v/>
      </c>
      <c r="AV111" s="153">
        <f>$C111*INDEX(Curves!$T$8:$T$68,AV$4-$B111+1)</f>
        <v/>
      </c>
      <c r="AW111" s="153">
        <f>$C111*INDEX(Curves!$T$8:$T$68,AW$4-$B111+1)</f>
        <v/>
      </c>
      <c r="AX111" s="153">
        <f>$C111*INDEX(Curves!$T$8:$T$68,AX$4-$B111+1)</f>
        <v/>
      </c>
      <c r="AY111" s="153">
        <f>$C111*INDEX(Curves!$T$8:$T$68,AY$4-$B111+1)</f>
        <v/>
      </c>
      <c r="AZ111" s="153">
        <f>$C111*INDEX(Curves!$T$8:$T$68,AZ$4-$B111+1)</f>
        <v/>
      </c>
      <c r="BA111" s="153">
        <f>$C111*INDEX(Curves!$T$8:$T$68,BA$4-$B111+1)</f>
        <v/>
      </c>
      <c r="BB111" s="153">
        <f>$C111*INDEX(Curves!$T$8:$T$68,BB$4-$B111+1)</f>
        <v/>
      </c>
      <c r="BC111" s="153">
        <f>$C111*INDEX(Curves!$T$8:$T$68,BC$4-$B111+1)</f>
        <v/>
      </c>
      <c r="BD111" s="153">
        <f>$C111*INDEX(Curves!$T$8:$T$68,BD$4-$B111+1)</f>
        <v/>
      </c>
      <c r="BE111" s="153">
        <f>$C111*INDEX(Curves!$T$8:$T$68,BE$4-$B111+1)</f>
        <v/>
      </c>
      <c r="BF111" s="153">
        <f>$C111*INDEX(Curves!$T$8:$T$68,BF$4-$B111+1)</f>
        <v/>
      </c>
      <c r="BG111" s="153">
        <f>$C111*INDEX(Curves!$T$8:$T$68,BG$4-$B111+1)</f>
        <v/>
      </c>
      <c r="BH111" s="153">
        <f>$C111*INDEX(Curves!$T$8:$T$68,BH$4-$B111+1)</f>
        <v/>
      </c>
      <c r="BI111" s="153">
        <f>$C111*INDEX(Curves!$T$8:$T$68,BI$4-$B111+1)</f>
        <v/>
      </c>
      <c r="BJ111" s="153">
        <f>$C111*INDEX(Curves!$T$8:$T$68,BJ$4-$B111+1)</f>
        <v/>
      </c>
      <c r="BK111" s="153">
        <f>$C111*INDEX(Curves!$T$8:$T$68,BK$4-$B111+1)</f>
        <v/>
      </c>
      <c r="BL111" s="153">
        <f>$C111*INDEX(Curves!$T$8:$T$68,BL$4-$B111+1)</f>
        <v/>
      </c>
    </row>
    <row r="112">
      <c r="A112" s="147" t="inlineStr">
        <is>
          <t>Cohort month 40</t>
        </is>
      </c>
      <c r="B112" s="147" t="n">
        <v>40</v>
      </c>
      <c r="C112" s="41">
        <f>INDEX(Ops!$E$34:$BL$34,1,$B112)</f>
        <v/>
      </c>
      <c r="AS112" s="153">
        <f>$C112*INDEX(Curves!$T$8:$T$68,AS$4-$B112+1)</f>
        <v/>
      </c>
      <c r="AT112" s="153">
        <f>$C112*INDEX(Curves!$T$8:$T$68,AT$4-$B112+1)</f>
        <v/>
      </c>
      <c r="AU112" s="153">
        <f>$C112*INDEX(Curves!$T$8:$T$68,AU$4-$B112+1)</f>
        <v/>
      </c>
      <c r="AV112" s="153">
        <f>$C112*INDEX(Curves!$T$8:$T$68,AV$4-$B112+1)</f>
        <v/>
      </c>
      <c r="AW112" s="153">
        <f>$C112*INDEX(Curves!$T$8:$T$68,AW$4-$B112+1)</f>
        <v/>
      </c>
      <c r="AX112" s="153">
        <f>$C112*INDEX(Curves!$T$8:$T$68,AX$4-$B112+1)</f>
        <v/>
      </c>
      <c r="AY112" s="153">
        <f>$C112*INDEX(Curves!$T$8:$T$68,AY$4-$B112+1)</f>
        <v/>
      </c>
      <c r="AZ112" s="153">
        <f>$C112*INDEX(Curves!$T$8:$T$68,AZ$4-$B112+1)</f>
        <v/>
      </c>
      <c r="BA112" s="153">
        <f>$C112*INDEX(Curves!$T$8:$T$68,BA$4-$B112+1)</f>
        <v/>
      </c>
      <c r="BB112" s="153">
        <f>$C112*INDEX(Curves!$T$8:$T$68,BB$4-$B112+1)</f>
        <v/>
      </c>
      <c r="BC112" s="153">
        <f>$C112*INDEX(Curves!$T$8:$T$68,BC$4-$B112+1)</f>
        <v/>
      </c>
      <c r="BD112" s="153">
        <f>$C112*INDEX(Curves!$T$8:$T$68,BD$4-$B112+1)</f>
        <v/>
      </c>
      <c r="BE112" s="153">
        <f>$C112*INDEX(Curves!$T$8:$T$68,BE$4-$B112+1)</f>
        <v/>
      </c>
      <c r="BF112" s="153">
        <f>$C112*INDEX(Curves!$T$8:$T$68,BF$4-$B112+1)</f>
        <v/>
      </c>
      <c r="BG112" s="153">
        <f>$C112*INDEX(Curves!$T$8:$T$68,BG$4-$B112+1)</f>
        <v/>
      </c>
      <c r="BH112" s="153">
        <f>$C112*INDEX(Curves!$T$8:$T$68,BH$4-$B112+1)</f>
        <v/>
      </c>
      <c r="BI112" s="153">
        <f>$C112*INDEX(Curves!$T$8:$T$68,BI$4-$B112+1)</f>
        <v/>
      </c>
      <c r="BJ112" s="153">
        <f>$C112*INDEX(Curves!$T$8:$T$68,BJ$4-$B112+1)</f>
        <v/>
      </c>
      <c r="BK112" s="153">
        <f>$C112*INDEX(Curves!$T$8:$T$68,BK$4-$B112+1)</f>
        <v/>
      </c>
      <c r="BL112" s="153">
        <f>$C112*INDEX(Curves!$T$8:$T$68,BL$4-$B112+1)</f>
        <v/>
      </c>
    </row>
    <row r="113">
      <c r="A113" s="147" t="inlineStr">
        <is>
          <t>Cohort month 41</t>
        </is>
      </c>
      <c r="B113" s="147" t="n">
        <v>41</v>
      </c>
      <c r="C113" s="41">
        <f>INDEX(Ops!$E$34:$BL$34,1,$B113)</f>
        <v/>
      </c>
      <c r="AT113" s="153">
        <f>$C113*INDEX(Curves!$T$8:$T$68,AT$4-$B113+1)</f>
        <v/>
      </c>
      <c r="AU113" s="153">
        <f>$C113*INDEX(Curves!$T$8:$T$68,AU$4-$B113+1)</f>
        <v/>
      </c>
      <c r="AV113" s="153">
        <f>$C113*INDEX(Curves!$T$8:$T$68,AV$4-$B113+1)</f>
        <v/>
      </c>
      <c r="AW113" s="153">
        <f>$C113*INDEX(Curves!$T$8:$T$68,AW$4-$B113+1)</f>
        <v/>
      </c>
      <c r="AX113" s="153">
        <f>$C113*INDEX(Curves!$T$8:$T$68,AX$4-$B113+1)</f>
        <v/>
      </c>
      <c r="AY113" s="153">
        <f>$C113*INDEX(Curves!$T$8:$T$68,AY$4-$B113+1)</f>
        <v/>
      </c>
      <c r="AZ113" s="153">
        <f>$C113*INDEX(Curves!$T$8:$T$68,AZ$4-$B113+1)</f>
        <v/>
      </c>
      <c r="BA113" s="153">
        <f>$C113*INDEX(Curves!$T$8:$T$68,BA$4-$B113+1)</f>
        <v/>
      </c>
      <c r="BB113" s="153">
        <f>$C113*INDEX(Curves!$T$8:$T$68,BB$4-$B113+1)</f>
        <v/>
      </c>
      <c r="BC113" s="153">
        <f>$C113*INDEX(Curves!$T$8:$T$68,BC$4-$B113+1)</f>
        <v/>
      </c>
      <c r="BD113" s="153">
        <f>$C113*INDEX(Curves!$T$8:$T$68,BD$4-$B113+1)</f>
        <v/>
      </c>
      <c r="BE113" s="153">
        <f>$C113*INDEX(Curves!$T$8:$T$68,BE$4-$B113+1)</f>
        <v/>
      </c>
      <c r="BF113" s="153">
        <f>$C113*INDEX(Curves!$T$8:$T$68,BF$4-$B113+1)</f>
        <v/>
      </c>
      <c r="BG113" s="153">
        <f>$C113*INDEX(Curves!$T$8:$T$68,BG$4-$B113+1)</f>
        <v/>
      </c>
      <c r="BH113" s="153">
        <f>$C113*INDEX(Curves!$T$8:$T$68,BH$4-$B113+1)</f>
        <v/>
      </c>
      <c r="BI113" s="153">
        <f>$C113*INDEX(Curves!$T$8:$T$68,BI$4-$B113+1)</f>
        <v/>
      </c>
      <c r="BJ113" s="153">
        <f>$C113*INDEX(Curves!$T$8:$T$68,BJ$4-$B113+1)</f>
        <v/>
      </c>
      <c r="BK113" s="153">
        <f>$C113*INDEX(Curves!$T$8:$T$68,BK$4-$B113+1)</f>
        <v/>
      </c>
      <c r="BL113" s="153">
        <f>$C113*INDEX(Curves!$T$8:$T$68,BL$4-$B113+1)</f>
        <v/>
      </c>
    </row>
    <row r="114">
      <c r="A114" s="147" t="inlineStr">
        <is>
          <t>Cohort month 42</t>
        </is>
      </c>
      <c r="B114" s="147" t="n">
        <v>42</v>
      </c>
      <c r="C114" s="41">
        <f>INDEX(Ops!$E$34:$BL$34,1,$B114)</f>
        <v/>
      </c>
      <c r="AU114" s="153">
        <f>$C114*INDEX(Curves!$T$8:$T$68,AU$4-$B114+1)</f>
        <v/>
      </c>
      <c r="AV114" s="153">
        <f>$C114*INDEX(Curves!$T$8:$T$68,AV$4-$B114+1)</f>
        <v/>
      </c>
      <c r="AW114" s="153">
        <f>$C114*INDEX(Curves!$T$8:$T$68,AW$4-$B114+1)</f>
        <v/>
      </c>
      <c r="AX114" s="153">
        <f>$C114*INDEX(Curves!$T$8:$T$68,AX$4-$B114+1)</f>
        <v/>
      </c>
      <c r="AY114" s="153">
        <f>$C114*INDEX(Curves!$T$8:$T$68,AY$4-$B114+1)</f>
        <v/>
      </c>
      <c r="AZ114" s="153">
        <f>$C114*INDEX(Curves!$T$8:$T$68,AZ$4-$B114+1)</f>
        <v/>
      </c>
      <c r="BA114" s="153">
        <f>$C114*INDEX(Curves!$T$8:$T$68,BA$4-$B114+1)</f>
        <v/>
      </c>
      <c r="BB114" s="153">
        <f>$C114*INDEX(Curves!$T$8:$T$68,BB$4-$B114+1)</f>
        <v/>
      </c>
      <c r="BC114" s="153">
        <f>$C114*INDEX(Curves!$T$8:$T$68,BC$4-$B114+1)</f>
        <v/>
      </c>
      <c r="BD114" s="153">
        <f>$C114*INDEX(Curves!$T$8:$T$68,BD$4-$B114+1)</f>
        <v/>
      </c>
      <c r="BE114" s="153">
        <f>$C114*INDEX(Curves!$T$8:$T$68,BE$4-$B114+1)</f>
        <v/>
      </c>
      <c r="BF114" s="153">
        <f>$C114*INDEX(Curves!$T$8:$T$68,BF$4-$B114+1)</f>
        <v/>
      </c>
      <c r="BG114" s="153">
        <f>$C114*INDEX(Curves!$T$8:$T$68,BG$4-$B114+1)</f>
        <v/>
      </c>
      <c r="BH114" s="153">
        <f>$C114*INDEX(Curves!$T$8:$T$68,BH$4-$B114+1)</f>
        <v/>
      </c>
      <c r="BI114" s="153">
        <f>$C114*INDEX(Curves!$T$8:$T$68,BI$4-$B114+1)</f>
        <v/>
      </c>
      <c r="BJ114" s="153">
        <f>$C114*INDEX(Curves!$T$8:$T$68,BJ$4-$B114+1)</f>
        <v/>
      </c>
      <c r="BK114" s="153">
        <f>$C114*INDEX(Curves!$T$8:$T$68,BK$4-$B114+1)</f>
        <v/>
      </c>
      <c r="BL114" s="153">
        <f>$C114*INDEX(Curves!$T$8:$T$68,BL$4-$B114+1)</f>
        <v/>
      </c>
    </row>
    <row r="115">
      <c r="A115" s="147" t="inlineStr">
        <is>
          <t>Cohort month 43</t>
        </is>
      </c>
      <c r="B115" s="147" t="n">
        <v>43</v>
      </c>
      <c r="C115" s="41">
        <f>INDEX(Ops!$E$34:$BL$34,1,$B115)</f>
        <v/>
      </c>
      <c r="AV115" s="153">
        <f>$C115*INDEX(Curves!$T$8:$T$68,AV$4-$B115+1)</f>
        <v/>
      </c>
      <c r="AW115" s="153">
        <f>$C115*INDEX(Curves!$T$8:$T$68,AW$4-$B115+1)</f>
        <v/>
      </c>
      <c r="AX115" s="153">
        <f>$C115*INDEX(Curves!$T$8:$T$68,AX$4-$B115+1)</f>
        <v/>
      </c>
      <c r="AY115" s="153">
        <f>$C115*INDEX(Curves!$T$8:$T$68,AY$4-$B115+1)</f>
        <v/>
      </c>
      <c r="AZ115" s="153">
        <f>$C115*INDEX(Curves!$T$8:$T$68,AZ$4-$B115+1)</f>
        <v/>
      </c>
      <c r="BA115" s="153">
        <f>$C115*INDEX(Curves!$T$8:$T$68,BA$4-$B115+1)</f>
        <v/>
      </c>
      <c r="BB115" s="153">
        <f>$C115*INDEX(Curves!$T$8:$T$68,BB$4-$B115+1)</f>
        <v/>
      </c>
      <c r="BC115" s="153">
        <f>$C115*INDEX(Curves!$T$8:$T$68,BC$4-$B115+1)</f>
        <v/>
      </c>
      <c r="BD115" s="153">
        <f>$C115*INDEX(Curves!$T$8:$T$68,BD$4-$B115+1)</f>
        <v/>
      </c>
      <c r="BE115" s="153">
        <f>$C115*INDEX(Curves!$T$8:$T$68,BE$4-$B115+1)</f>
        <v/>
      </c>
      <c r="BF115" s="153">
        <f>$C115*INDEX(Curves!$T$8:$T$68,BF$4-$B115+1)</f>
        <v/>
      </c>
      <c r="BG115" s="153">
        <f>$C115*INDEX(Curves!$T$8:$T$68,BG$4-$B115+1)</f>
        <v/>
      </c>
      <c r="BH115" s="153">
        <f>$C115*INDEX(Curves!$T$8:$T$68,BH$4-$B115+1)</f>
        <v/>
      </c>
      <c r="BI115" s="153">
        <f>$C115*INDEX(Curves!$T$8:$T$68,BI$4-$B115+1)</f>
        <v/>
      </c>
      <c r="BJ115" s="153">
        <f>$C115*INDEX(Curves!$T$8:$T$68,BJ$4-$B115+1)</f>
        <v/>
      </c>
      <c r="BK115" s="153">
        <f>$C115*INDEX(Curves!$T$8:$T$68,BK$4-$B115+1)</f>
        <v/>
      </c>
      <c r="BL115" s="153">
        <f>$C115*INDEX(Curves!$T$8:$T$68,BL$4-$B115+1)</f>
        <v/>
      </c>
    </row>
    <row r="116">
      <c r="A116" s="147" t="inlineStr">
        <is>
          <t>Cohort month 44</t>
        </is>
      </c>
      <c r="B116" s="147" t="n">
        <v>44</v>
      </c>
      <c r="C116" s="41">
        <f>INDEX(Ops!$E$34:$BL$34,1,$B116)</f>
        <v/>
      </c>
      <c r="AW116" s="153">
        <f>$C116*INDEX(Curves!$T$8:$T$68,AW$4-$B116+1)</f>
        <v/>
      </c>
      <c r="AX116" s="153">
        <f>$C116*INDEX(Curves!$T$8:$T$68,AX$4-$B116+1)</f>
        <v/>
      </c>
      <c r="AY116" s="153">
        <f>$C116*INDEX(Curves!$T$8:$T$68,AY$4-$B116+1)</f>
        <v/>
      </c>
      <c r="AZ116" s="153">
        <f>$C116*INDEX(Curves!$T$8:$T$68,AZ$4-$B116+1)</f>
        <v/>
      </c>
      <c r="BA116" s="153">
        <f>$C116*INDEX(Curves!$T$8:$T$68,BA$4-$B116+1)</f>
        <v/>
      </c>
      <c r="BB116" s="153">
        <f>$C116*INDEX(Curves!$T$8:$T$68,BB$4-$B116+1)</f>
        <v/>
      </c>
      <c r="BC116" s="153">
        <f>$C116*INDEX(Curves!$T$8:$T$68,BC$4-$B116+1)</f>
        <v/>
      </c>
      <c r="BD116" s="153">
        <f>$C116*INDEX(Curves!$T$8:$T$68,BD$4-$B116+1)</f>
        <v/>
      </c>
      <c r="BE116" s="153">
        <f>$C116*INDEX(Curves!$T$8:$T$68,BE$4-$B116+1)</f>
        <v/>
      </c>
      <c r="BF116" s="153">
        <f>$C116*INDEX(Curves!$T$8:$T$68,BF$4-$B116+1)</f>
        <v/>
      </c>
      <c r="BG116" s="153">
        <f>$C116*INDEX(Curves!$T$8:$T$68,BG$4-$B116+1)</f>
        <v/>
      </c>
      <c r="BH116" s="153">
        <f>$C116*INDEX(Curves!$T$8:$T$68,BH$4-$B116+1)</f>
        <v/>
      </c>
      <c r="BI116" s="153">
        <f>$C116*INDEX(Curves!$T$8:$T$68,BI$4-$B116+1)</f>
        <v/>
      </c>
      <c r="BJ116" s="153">
        <f>$C116*INDEX(Curves!$T$8:$T$68,BJ$4-$B116+1)</f>
        <v/>
      </c>
      <c r="BK116" s="153">
        <f>$C116*INDEX(Curves!$T$8:$T$68,BK$4-$B116+1)</f>
        <v/>
      </c>
      <c r="BL116" s="153">
        <f>$C116*INDEX(Curves!$T$8:$T$68,BL$4-$B116+1)</f>
        <v/>
      </c>
    </row>
    <row r="117">
      <c r="A117" s="147" t="inlineStr">
        <is>
          <t>Cohort month 45</t>
        </is>
      </c>
      <c r="B117" s="147" t="n">
        <v>45</v>
      </c>
      <c r="C117" s="41">
        <f>INDEX(Ops!$E$34:$BL$34,1,$B117)</f>
        <v/>
      </c>
      <c r="AX117" s="153">
        <f>$C117*INDEX(Curves!$T$8:$T$68,AX$4-$B117+1)</f>
        <v/>
      </c>
      <c r="AY117" s="153">
        <f>$C117*INDEX(Curves!$T$8:$T$68,AY$4-$B117+1)</f>
        <v/>
      </c>
      <c r="AZ117" s="153">
        <f>$C117*INDEX(Curves!$T$8:$T$68,AZ$4-$B117+1)</f>
        <v/>
      </c>
      <c r="BA117" s="153">
        <f>$C117*INDEX(Curves!$T$8:$T$68,BA$4-$B117+1)</f>
        <v/>
      </c>
      <c r="BB117" s="153">
        <f>$C117*INDEX(Curves!$T$8:$T$68,BB$4-$B117+1)</f>
        <v/>
      </c>
      <c r="BC117" s="153">
        <f>$C117*INDEX(Curves!$T$8:$T$68,BC$4-$B117+1)</f>
        <v/>
      </c>
      <c r="BD117" s="153">
        <f>$C117*INDEX(Curves!$T$8:$T$68,BD$4-$B117+1)</f>
        <v/>
      </c>
      <c r="BE117" s="153">
        <f>$C117*INDEX(Curves!$T$8:$T$68,BE$4-$B117+1)</f>
        <v/>
      </c>
      <c r="BF117" s="153">
        <f>$C117*INDEX(Curves!$T$8:$T$68,BF$4-$B117+1)</f>
        <v/>
      </c>
      <c r="BG117" s="153">
        <f>$C117*INDEX(Curves!$T$8:$T$68,BG$4-$B117+1)</f>
        <v/>
      </c>
      <c r="BH117" s="153">
        <f>$C117*INDEX(Curves!$T$8:$T$68,BH$4-$B117+1)</f>
        <v/>
      </c>
      <c r="BI117" s="153">
        <f>$C117*INDEX(Curves!$T$8:$T$68,BI$4-$B117+1)</f>
        <v/>
      </c>
      <c r="BJ117" s="153">
        <f>$C117*INDEX(Curves!$T$8:$T$68,BJ$4-$B117+1)</f>
        <v/>
      </c>
      <c r="BK117" s="153">
        <f>$C117*INDEX(Curves!$T$8:$T$68,BK$4-$B117+1)</f>
        <v/>
      </c>
      <c r="BL117" s="153">
        <f>$C117*INDEX(Curves!$T$8:$T$68,BL$4-$B117+1)</f>
        <v/>
      </c>
    </row>
    <row r="118">
      <c r="A118" s="147" t="inlineStr">
        <is>
          <t>Cohort month 46</t>
        </is>
      </c>
      <c r="B118" s="147" t="n">
        <v>46</v>
      </c>
      <c r="C118" s="41">
        <f>INDEX(Ops!$E$34:$BL$34,1,$B118)</f>
        <v/>
      </c>
      <c r="AY118" s="153">
        <f>$C118*INDEX(Curves!$T$8:$T$68,AY$4-$B118+1)</f>
        <v/>
      </c>
      <c r="AZ118" s="153">
        <f>$C118*INDEX(Curves!$T$8:$T$68,AZ$4-$B118+1)</f>
        <v/>
      </c>
      <c r="BA118" s="153">
        <f>$C118*INDEX(Curves!$T$8:$T$68,BA$4-$B118+1)</f>
        <v/>
      </c>
      <c r="BB118" s="153">
        <f>$C118*INDEX(Curves!$T$8:$T$68,BB$4-$B118+1)</f>
        <v/>
      </c>
      <c r="BC118" s="153">
        <f>$C118*INDEX(Curves!$T$8:$T$68,BC$4-$B118+1)</f>
        <v/>
      </c>
      <c r="BD118" s="153">
        <f>$C118*INDEX(Curves!$T$8:$T$68,BD$4-$B118+1)</f>
        <v/>
      </c>
      <c r="BE118" s="153">
        <f>$C118*INDEX(Curves!$T$8:$T$68,BE$4-$B118+1)</f>
        <v/>
      </c>
      <c r="BF118" s="153">
        <f>$C118*INDEX(Curves!$T$8:$T$68,BF$4-$B118+1)</f>
        <v/>
      </c>
      <c r="BG118" s="153">
        <f>$C118*INDEX(Curves!$T$8:$T$68,BG$4-$B118+1)</f>
        <v/>
      </c>
      <c r="BH118" s="153">
        <f>$C118*INDEX(Curves!$T$8:$T$68,BH$4-$B118+1)</f>
        <v/>
      </c>
      <c r="BI118" s="153">
        <f>$C118*INDEX(Curves!$T$8:$T$68,BI$4-$B118+1)</f>
        <v/>
      </c>
      <c r="BJ118" s="153">
        <f>$C118*INDEX(Curves!$T$8:$T$68,BJ$4-$B118+1)</f>
        <v/>
      </c>
      <c r="BK118" s="153">
        <f>$C118*INDEX(Curves!$T$8:$T$68,BK$4-$B118+1)</f>
        <v/>
      </c>
      <c r="BL118" s="153">
        <f>$C118*INDEX(Curves!$T$8:$T$68,BL$4-$B118+1)</f>
        <v/>
      </c>
    </row>
    <row r="119">
      <c r="A119" s="147" t="inlineStr">
        <is>
          <t>Cohort month 47</t>
        </is>
      </c>
      <c r="B119" s="147" t="n">
        <v>47</v>
      </c>
      <c r="C119" s="41">
        <f>INDEX(Ops!$E$34:$BL$34,1,$B119)</f>
        <v/>
      </c>
      <c r="AZ119" s="153">
        <f>$C119*INDEX(Curves!$T$8:$T$68,AZ$4-$B119+1)</f>
        <v/>
      </c>
      <c r="BA119" s="153">
        <f>$C119*INDEX(Curves!$T$8:$T$68,BA$4-$B119+1)</f>
        <v/>
      </c>
      <c r="BB119" s="153">
        <f>$C119*INDEX(Curves!$T$8:$T$68,BB$4-$B119+1)</f>
        <v/>
      </c>
      <c r="BC119" s="153">
        <f>$C119*INDEX(Curves!$T$8:$T$68,BC$4-$B119+1)</f>
        <v/>
      </c>
      <c r="BD119" s="153">
        <f>$C119*INDEX(Curves!$T$8:$T$68,BD$4-$B119+1)</f>
        <v/>
      </c>
      <c r="BE119" s="153">
        <f>$C119*INDEX(Curves!$T$8:$T$68,BE$4-$B119+1)</f>
        <v/>
      </c>
      <c r="BF119" s="153">
        <f>$C119*INDEX(Curves!$T$8:$T$68,BF$4-$B119+1)</f>
        <v/>
      </c>
      <c r="BG119" s="153">
        <f>$C119*INDEX(Curves!$T$8:$T$68,BG$4-$B119+1)</f>
        <v/>
      </c>
      <c r="BH119" s="153">
        <f>$C119*INDEX(Curves!$T$8:$T$68,BH$4-$B119+1)</f>
        <v/>
      </c>
      <c r="BI119" s="153">
        <f>$C119*INDEX(Curves!$T$8:$T$68,BI$4-$B119+1)</f>
        <v/>
      </c>
      <c r="BJ119" s="153">
        <f>$C119*INDEX(Curves!$T$8:$T$68,BJ$4-$B119+1)</f>
        <v/>
      </c>
      <c r="BK119" s="153">
        <f>$C119*INDEX(Curves!$T$8:$T$68,BK$4-$B119+1)</f>
        <v/>
      </c>
      <c r="BL119" s="153">
        <f>$C119*INDEX(Curves!$T$8:$T$68,BL$4-$B119+1)</f>
        <v/>
      </c>
    </row>
    <row r="120">
      <c r="A120" s="147" t="inlineStr">
        <is>
          <t>Cohort month 48</t>
        </is>
      </c>
      <c r="B120" s="147" t="n">
        <v>48</v>
      </c>
      <c r="C120" s="41">
        <f>INDEX(Ops!$E$34:$BL$34,1,$B120)</f>
        <v/>
      </c>
      <c r="BA120" s="153">
        <f>$C120*INDEX(Curves!$T$8:$T$68,BA$4-$B120+1)</f>
        <v/>
      </c>
      <c r="BB120" s="153">
        <f>$C120*INDEX(Curves!$T$8:$T$68,BB$4-$B120+1)</f>
        <v/>
      </c>
      <c r="BC120" s="153">
        <f>$C120*INDEX(Curves!$T$8:$T$68,BC$4-$B120+1)</f>
        <v/>
      </c>
      <c r="BD120" s="153">
        <f>$C120*INDEX(Curves!$T$8:$T$68,BD$4-$B120+1)</f>
        <v/>
      </c>
      <c r="BE120" s="153">
        <f>$C120*INDEX(Curves!$T$8:$T$68,BE$4-$B120+1)</f>
        <v/>
      </c>
      <c r="BF120" s="153">
        <f>$C120*INDEX(Curves!$T$8:$T$68,BF$4-$B120+1)</f>
        <v/>
      </c>
      <c r="BG120" s="153">
        <f>$C120*INDEX(Curves!$T$8:$T$68,BG$4-$B120+1)</f>
        <v/>
      </c>
      <c r="BH120" s="153">
        <f>$C120*INDEX(Curves!$T$8:$T$68,BH$4-$B120+1)</f>
        <v/>
      </c>
      <c r="BI120" s="153">
        <f>$C120*INDEX(Curves!$T$8:$T$68,BI$4-$B120+1)</f>
        <v/>
      </c>
      <c r="BJ120" s="153">
        <f>$C120*INDEX(Curves!$T$8:$T$68,BJ$4-$B120+1)</f>
        <v/>
      </c>
      <c r="BK120" s="153">
        <f>$C120*INDEX(Curves!$T$8:$T$68,BK$4-$B120+1)</f>
        <v/>
      </c>
      <c r="BL120" s="153">
        <f>$C120*INDEX(Curves!$T$8:$T$68,BL$4-$B120+1)</f>
        <v/>
      </c>
    </row>
    <row r="121">
      <c r="A121" s="147" t="inlineStr">
        <is>
          <t>Cohort month 49</t>
        </is>
      </c>
      <c r="B121" s="147" t="n">
        <v>49</v>
      </c>
      <c r="C121" s="41">
        <f>INDEX(Ops!$E$34:$BL$34,1,$B121)</f>
        <v/>
      </c>
      <c r="BB121" s="153">
        <f>$C121*INDEX(Curves!$T$8:$T$68,BB$4-$B121+1)</f>
        <v/>
      </c>
      <c r="BC121" s="153">
        <f>$C121*INDEX(Curves!$T$8:$T$68,BC$4-$B121+1)</f>
        <v/>
      </c>
      <c r="BD121" s="153">
        <f>$C121*INDEX(Curves!$T$8:$T$68,BD$4-$B121+1)</f>
        <v/>
      </c>
      <c r="BE121" s="153">
        <f>$C121*INDEX(Curves!$T$8:$T$68,BE$4-$B121+1)</f>
        <v/>
      </c>
      <c r="BF121" s="153">
        <f>$C121*INDEX(Curves!$T$8:$T$68,BF$4-$B121+1)</f>
        <v/>
      </c>
      <c r="BG121" s="153">
        <f>$C121*INDEX(Curves!$T$8:$T$68,BG$4-$B121+1)</f>
        <v/>
      </c>
      <c r="BH121" s="153">
        <f>$C121*INDEX(Curves!$T$8:$T$68,BH$4-$B121+1)</f>
        <v/>
      </c>
      <c r="BI121" s="153">
        <f>$C121*INDEX(Curves!$T$8:$T$68,BI$4-$B121+1)</f>
        <v/>
      </c>
      <c r="BJ121" s="153">
        <f>$C121*INDEX(Curves!$T$8:$T$68,BJ$4-$B121+1)</f>
        <v/>
      </c>
      <c r="BK121" s="153">
        <f>$C121*INDEX(Curves!$T$8:$T$68,BK$4-$B121+1)</f>
        <v/>
      </c>
      <c r="BL121" s="153">
        <f>$C121*INDEX(Curves!$T$8:$T$68,BL$4-$B121+1)</f>
        <v/>
      </c>
    </row>
    <row r="122">
      <c r="A122" s="147" t="inlineStr">
        <is>
          <t>Cohort month 50</t>
        </is>
      </c>
      <c r="B122" s="147" t="n">
        <v>50</v>
      </c>
      <c r="C122" s="41">
        <f>INDEX(Ops!$E$34:$BL$34,1,$B122)</f>
        <v/>
      </c>
      <c r="BC122" s="153">
        <f>$C122*INDEX(Curves!$T$8:$T$68,BC$4-$B122+1)</f>
        <v/>
      </c>
      <c r="BD122" s="153">
        <f>$C122*INDEX(Curves!$T$8:$T$68,BD$4-$B122+1)</f>
        <v/>
      </c>
      <c r="BE122" s="153">
        <f>$C122*INDEX(Curves!$T$8:$T$68,BE$4-$B122+1)</f>
        <v/>
      </c>
      <c r="BF122" s="153">
        <f>$C122*INDEX(Curves!$T$8:$T$68,BF$4-$B122+1)</f>
        <v/>
      </c>
      <c r="BG122" s="153">
        <f>$C122*INDEX(Curves!$T$8:$T$68,BG$4-$B122+1)</f>
        <v/>
      </c>
      <c r="BH122" s="153">
        <f>$C122*INDEX(Curves!$T$8:$T$68,BH$4-$B122+1)</f>
        <v/>
      </c>
      <c r="BI122" s="153">
        <f>$C122*INDEX(Curves!$T$8:$T$68,BI$4-$B122+1)</f>
        <v/>
      </c>
      <c r="BJ122" s="153">
        <f>$C122*INDEX(Curves!$T$8:$T$68,BJ$4-$B122+1)</f>
        <v/>
      </c>
      <c r="BK122" s="153">
        <f>$C122*INDEX(Curves!$T$8:$T$68,BK$4-$B122+1)</f>
        <v/>
      </c>
      <c r="BL122" s="153">
        <f>$C122*INDEX(Curves!$T$8:$T$68,BL$4-$B122+1)</f>
        <v/>
      </c>
    </row>
    <row r="123">
      <c r="A123" s="147" t="inlineStr">
        <is>
          <t>Cohort month 51</t>
        </is>
      </c>
      <c r="B123" s="147" t="n">
        <v>51</v>
      </c>
      <c r="C123" s="41">
        <f>INDEX(Ops!$E$34:$BL$34,1,$B123)</f>
        <v/>
      </c>
      <c r="BD123" s="153">
        <f>$C123*INDEX(Curves!$T$8:$T$68,BD$4-$B123+1)</f>
        <v/>
      </c>
      <c r="BE123" s="153">
        <f>$C123*INDEX(Curves!$T$8:$T$68,BE$4-$B123+1)</f>
        <v/>
      </c>
      <c r="BF123" s="153">
        <f>$C123*INDEX(Curves!$T$8:$T$68,BF$4-$B123+1)</f>
        <v/>
      </c>
      <c r="BG123" s="153">
        <f>$C123*INDEX(Curves!$T$8:$T$68,BG$4-$B123+1)</f>
        <v/>
      </c>
      <c r="BH123" s="153">
        <f>$C123*INDEX(Curves!$T$8:$T$68,BH$4-$B123+1)</f>
        <v/>
      </c>
      <c r="BI123" s="153">
        <f>$C123*INDEX(Curves!$T$8:$T$68,BI$4-$B123+1)</f>
        <v/>
      </c>
      <c r="BJ123" s="153">
        <f>$C123*INDEX(Curves!$T$8:$T$68,BJ$4-$B123+1)</f>
        <v/>
      </c>
      <c r="BK123" s="153">
        <f>$C123*INDEX(Curves!$T$8:$T$68,BK$4-$B123+1)</f>
        <v/>
      </c>
      <c r="BL123" s="153">
        <f>$C123*INDEX(Curves!$T$8:$T$68,BL$4-$B123+1)</f>
        <v/>
      </c>
    </row>
    <row r="124">
      <c r="A124" s="147" t="inlineStr">
        <is>
          <t>Cohort month 52</t>
        </is>
      </c>
      <c r="B124" s="147" t="n">
        <v>52</v>
      </c>
      <c r="C124" s="41">
        <f>INDEX(Ops!$E$34:$BL$34,1,$B124)</f>
        <v/>
      </c>
      <c r="BE124" s="153">
        <f>$C124*INDEX(Curves!$T$8:$T$68,BE$4-$B124+1)</f>
        <v/>
      </c>
      <c r="BF124" s="153">
        <f>$C124*INDEX(Curves!$T$8:$T$68,BF$4-$B124+1)</f>
        <v/>
      </c>
      <c r="BG124" s="153">
        <f>$C124*INDEX(Curves!$T$8:$T$68,BG$4-$B124+1)</f>
        <v/>
      </c>
      <c r="BH124" s="153">
        <f>$C124*INDEX(Curves!$T$8:$T$68,BH$4-$B124+1)</f>
        <v/>
      </c>
      <c r="BI124" s="153">
        <f>$C124*INDEX(Curves!$T$8:$T$68,BI$4-$B124+1)</f>
        <v/>
      </c>
      <c r="BJ124" s="153">
        <f>$C124*INDEX(Curves!$T$8:$T$68,BJ$4-$B124+1)</f>
        <v/>
      </c>
      <c r="BK124" s="153">
        <f>$C124*INDEX(Curves!$T$8:$T$68,BK$4-$B124+1)</f>
        <v/>
      </c>
      <c r="BL124" s="153">
        <f>$C124*INDEX(Curves!$T$8:$T$68,BL$4-$B124+1)</f>
        <v/>
      </c>
    </row>
    <row r="125">
      <c r="A125" s="147" t="inlineStr">
        <is>
          <t>Cohort month 53</t>
        </is>
      </c>
      <c r="B125" s="147" t="n">
        <v>53</v>
      </c>
      <c r="C125" s="41">
        <f>INDEX(Ops!$E$34:$BL$34,1,$B125)</f>
        <v/>
      </c>
      <c r="BF125" s="153">
        <f>$C125*INDEX(Curves!$T$8:$T$68,BF$4-$B125+1)</f>
        <v/>
      </c>
      <c r="BG125" s="153">
        <f>$C125*INDEX(Curves!$T$8:$T$68,BG$4-$B125+1)</f>
        <v/>
      </c>
      <c r="BH125" s="153">
        <f>$C125*INDEX(Curves!$T$8:$T$68,BH$4-$B125+1)</f>
        <v/>
      </c>
      <c r="BI125" s="153">
        <f>$C125*INDEX(Curves!$T$8:$T$68,BI$4-$B125+1)</f>
        <v/>
      </c>
      <c r="BJ125" s="153">
        <f>$C125*INDEX(Curves!$T$8:$T$68,BJ$4-$B125+1)</f>
        <v/>
      </c>
      <c r="BK125" s="153">
        <f>$C125*INDEX(Curves!$T$8:$T$68,BK$4-$B125+1)</f>
        <v/>
      </c>
      <c r="BL125" s="153">
        <f>$C125*INDEX(Curves!$T$8:$T$68,BL$4-$B125+1)</f>
        <v/>
      </c>
    </row>
    <row r="126">
      <c r="A126" s="147" t="inlineStr">
        <is>
          <t>Cohort month 54</t>
        </is>
      </c>
      <c r="B126" s="147" t="n">
        <v>54</v>
      </c>
      <c r="C126" s="41">
        <f>INDEX(Ops!$E$34:$BL$34,1,$B126)</f>
        <v/>
      </c>
      <c r="BG126" s="153">
        <f>$C126*INDEX(Curves!$T$8:$T$68,BG$4-$B126+1)</f>
        <v/>
      </c>
      <c r="BH126" s="153">
        <f>$C126*INDEX(Curves!$T$8:$T$68,BH$4-$B126+1)</f>
        <v/>
      </c>
      <c r="BI126" s="153">
        <f>$C126*INDEX(Curves!$T$8:$T$68,BI$4-$B126+1)</f>
        <v/>
      </c>
      <c r="BJ126" s="153">
        <f>$C126*INDEX(Curves!$T$8:$T$68,BJ$4-$B126+1)</f>
        <v/>
      </c>
      <c r="BK126" s="153">
        <f>$C126*INDEX(Curves!$T$8:$T$68,BK$4-$B126+1)</f>
        <v/>
      </c>
      <c r="BL126" s="153">
        <f>$C126*INDEX(Curves!$T$8:$T$68,BL$4-$B126+1)</f>
        <v/>
      </c>
    </row>
    <row r="127">
      <c r="A127" s="147" t="inlineStr">
        <is>
          <t>Cohort month 55</t>
        </is>
      </c>
      <c r="B127" s="147" t="n">
        <v>55</v>
      </c>
      <c r="C127" s="41">
        <f>INDEX(Ops!$E$34:$BL$34,1,$B127)</f>
        <v/>
      </c>
      <c r="BH127" s="153">
        <f>$C127*INDEX(Curves!$T$8:$T$68,BH$4-$B127+1)</f>
        <v/>
      </c>
      <c r="BI127" s="153">
        <f>$C127*INDEX(Curves!$T$8:$T$68,BI$4-$B127+1)</f>
        <v/>
      </c>
      <c r="BJ127" s="153">
        <f>$C127*INDEX(Curves!$T$8:$T$68,BJ$4-$B127+1)</f>
        <v/>
      </c>
      <c r="BK127" s="153">
        <f>$C127*INDEX(Curves!$T$8:$T$68,BK$4-$B127+1)</f>
        <v/>
      </c>
      <c r="BL127" s="153">
        <f>$C127*INDEX(Curves!$T$8:$T$68,BL$4-$B127+1)</f>
        <v/>
      </c>
    </row>
    <row r="128">
      <c r="A128" s="147" t="inlineStr">
        <is>
          <t>Cohort month 56</t>
        </is>
      </c>
      <c r="B128" s="147" t="n">
        <v>56</v>
      </c>
      <c r="C128" s="41">
        <f>INDEX(Ops!$E$34:$BL$34,1,$B128)</f>
        <v/>
      </c>
      <c r="BI128" s="153">
        <f>$C128*INDEX(Curves!$T$8:$T$68,BI$4-$B128+1)</f>
        <v/>
      </c>
      <c r="BJ128" s="153">
        <f>$C128*INDEX(Curves!$T$8:$T$68,BJ$4-$B128+1)</f>
        <v/>
      </c>
      <c r="BK128" s="153">
        <f>$C128*INDEX(Curves!$T$8:$T$68,BK$4-$B128+1)</f>
        <v/>
      </c>
      <c r="BL128" s="153">
        <f>$C128*INDEX(Curves!$T$8:$T$68,BL$4-$B128+1)</f>
        <v/>
      </c>
    </row>
    <row r="129">
      <c r="A129" s="147" t="inlineStr">
        <is>
          <t>Cohort month 57</t>
        </is>
      </c>
      <c r="B129" s="147" t="n">
        <v>57</v>
      </c>
      <c r="C129" s="41">
        <f>INDEX(Ops!$E$34:$BL$34,1,$B129)</f>
        <v/>
      </c>
      <c r="BJ129" s="153">
        <f>$C129*INDEX(Curves!$T$8:$T$68,BJ$4-$B129+1)</f>
        <v/>
      </c>
      <c r="BK129" s="153">
        <f>$C129*INDEX(Curves!$T$8:$T$68,BK$4-$B129+1)</f>
        <v/>
      </c>
      <c r="BL129" s="153">
        <f>$C129*INDEX(Curves!$T$8:$T$68,BL$4-$B129+1)</f>
        <v/>
      </c>
    </row>
    <row r="130">
      <c r="A130" s="147" t="inlineStr">
        <is>
          <t>Cohort month 58</t>
        </is>
      </c>
      <c r="B130" s="147" t="n">
        <v>58</v>
      </c>
      <c r="C130" s="41">
        <f>INDEX(Ops!$E$34:$BL$34,1,$B130)</f>
        <v/>
      </c>
      <c r="BK130" s="153">
        <f>$C130*INDEX(Curves!$T$8:$T$68,BK$4-$B130+1)</f>
        <v/>
      </c>
      <c r="BL130" s="153">
        <f>$C130*INDEX(Curves!$T$8:$T$68,BL$4-$B130+1)</f>
        <v/>
      </c>
    </row>
    <row r="131">
      <c r="A131" s="147" t="inlineStr">
        <is>
          <t>Cohort month 59</t>
        </is>
      </c>
      <c r="B131" s="147" t="n">
        <v>59</v>
      </c>
      <c r="C131" s="41">
        <f>INDEX(Ops!$E$34:$BL$34,1,$B131)</f>
        <v/>
      </c>
      <c r="BL131" s="153">
        <f>$C131*INDEX(Curves!$T$8:$T$68,BL$4-$B131+1)</f>
        <v/>
      </c>
    </row>
    <row r="132">
      <c r="A132" s="147" t="inlineStr">
        <is>
          <t>Cohort month 60</t>
        </is>
      </c>
      <c r="B132" s="147" t="n">
        <v>60</v>
      </c>
      <c r="C132" s="41">
        <f>INDEX(Ops!$E$34:$BL$34,1,$B132)</f>
        <v/>
      </c>
    </row>
    <row r="133"/>
    <row r="134">
      <c r="A134" s="21" t="inlineStr">
        <is>
          <t>Receivables at risk by cohort (LCY)</t>
        </is>
      </c>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c r="AA134" s="22" t="n"/>
      <c r="AB134" s="22" t="n"/>
      <c r="AC134" s="22" t="n"/>
      <c r="AD134" s="22" t="n"/>
      <c r="AE134" s="22" t="n"/>
      <c r="AF134" s="22" t="n"/>
      <c r="AG134" s="22" t="n"/>
      <c r="AH134" s="22" t="n"/>
      <c r="AI134" s="22" t="n"/>
      <c r="AJ134" s="22" t="n"/>
      <c r="AK134" s="22" t="n"/>
      <c r="AL134" s="22" t="n"/>
      <c r="AM134" s="22" t="n"/>
      <c r="AN134" s="22" t="n"/>
      <c r="AO134" s="22" t="n"/>
      <c r="AP134" s="22" t="n"/>
      <c r="AQ134" s="22" t="n"/>
      <c r="AR134" s="22" t="n"/>
      <c r="AS134" s="22" t="n"/>
      <c r="AT134" s="22" t="n"/>
      <c r="AU134" s="22" t="n"/>
      <c r="AV134" s="22" t="n"/>
      <c r="AW134" s="22" t="n"/>
      <c r="AX134" s="22" t="n"/>
      <c r="AY134" s="22" t="n"/>
      <c r="AZ134" s="22" t="n"/>
      <c r="BA134" s="22" t="n"/>
      <c r="BB134" s="22" t="n"/>
      <c r="BC134" s="22" t="n"/>
      <c r="BD134" s="22" t="n"/>
      <c r="BE134" s="22" t="n"/>
      <c r="BF134" s="22" t="n"/>
      <c r="BG134" s="22" t="n"/>
      <c r="BH134" s="22" t="n"/>
      <c r="BI134" s="22" t="n"/>
      <c r="BJ134" s="22" t="n"/>
      <c r="BK134" s="22" t="n"/>
      <c r="BL134" s="22" t="n"/>
    </row>
    <row r="135">
      <c r="A135" s="100" t="inlineStr">
        <is>
          <t>Total</t>
        </is>
      </c>
      <c r="B135" s="101" t="inlineStr"/>
      <c r="C135" s="103" t="n"/>
      <c r="D135" s="103" t="n"/>
      <c r="E135" s="104">
        <f>SUM(E136:E195)</f>
        <v/>
      </c>
      <c r="F135" s="104">
        <f>SUM(F136:F195)</f>
        <v/>
      </c>
      <c r="G135" s="104">
        <f>SUM(G136:G195)</f>
        <v/>
      </c>
      <c r="H135" s="104">
        <f>SUM(H136:H195)</f>
        <v/>
      </c>
      <c r="I135" s="104">
        <f>SUM(I136:I195)</f>
        <v/>
      </c>
      <c r="J135" s="104">
        <f>SUM(J136:J195)</f>
        <v/>
      </c>
      <c r="K135" s="104">
        <f>SUM(K136:K195)</f>
        <v/>
      </c>
      <c r="L135" s="104">
        <f>SUM(L136:L195)</f>
        <v/>
      </c>
      <c r="M135" s="104">
        <f>SUM(M136:M195)</f>
        <v/>
      </c>
      <c r="N135" s="104">
        <f>SUM(N136:N195)</f>
        <v/>
      </c>
      <c r="O135" s="104">
        <f>SUM(O136:O195)</f>
        <v/>
      </c>
      <c r="P135" s="104">
        <f>SUM(P136:P195)</f>
        <v/>
      </c>
      <c r="Q135" s="104">
        <f>SUM(Q136:Q195)</f>
        <v/>
      </c>
      <c r="R135" s="104">
        <f>SUM(R136:R195)</f>
        <v/>
      </c>
      <c r="S135" s="104">
        <f>SUM(S136:S195)</f>
        <v/>
      </c>
      <c r="T135" s="104">
        <f>SUM(T136:T195)</f>
        <v/>
      </c>
      <c r="U135" s="104">
        <f>SUM(U136:U195)</f>
        <v/>
      </c>
      <c r="V135" s="104">
        <f>SUM(V136:V195)</f>
        <v/>
      </c>
      <c r="W135" s="104">
        <f>SUM(W136:W195)</f>
        <v/>
      </c>
      <c r="X135" s="104">
        <f>SUM(X136:X195)</f>
        <v/>
      </c>
      <c r="Y135" s="104">
        <f>SUM(Y136:Y195)</f>
        <v/>
      </c>
      <c r="Z135" s="104">
        <f>SUM(Z136:Z195)</f>
        <v/>
      </c>
      <c r="AA135" s="104">
        <f>SUM(AA136:AA195)</f>
        <v/>
      </c>
      <c r="AB135" s="104">
        <f>SUM(AB136:AB195)</f>
        <v/>
      </c>
      <c r="AC135" s="104">
        <f>SUM(AC136:AC195)</f>
        <v/>
      </c>
      <c r="AD135" s="104">
        <f>SUM(AD136:AD195)</f>
        <v/>
      </c>
      <c r="AE135" s="104">
        <f>SUM(AE136:AE195)</f>
        <v/>
      </c>
      <c r="AF135" s="104">
        <f>SUM(AF136:AF195)</f>
        <v/>
      </c>
      <c r="AG135" s="104">
        <f>SUM(AG136:AG195)</f>
        <v/>
      </c>
      <c r="AH135" s="104">
        <f>SUM(AH136:AH195)</f>
        <v/>
      </c>
      <c r="AI135" s="104">
        <f>SUM(AI136:AI195)</f>
        <v/>
      </c>
      <c r="AJ135" s="104">
        <f>SUM(AJ136:AJ195)</f>
        <v/>
      </c>
      <c r="AK135" s="104">
        <f>SUM(AK136:AK195)</f>
        <v/>
      </c>
      <c r="AL135" s="104">
        <f>SUM(AL136:AL195)</f>
        <v/>
      </c>
      <c r="AM135" s="104">
        <f>SUM(AM136:AM195)</f>
        <v/>
      </c>
      <c r="AN135" s="104">
        <f>SUM(AN136:AN195)</f>
        <v/>
      </c>
      <c r="AO135" s="104">
        <f>SUM(AO136:AO195)</f>
        <v/>
      </c>
      <c r="AP135" s="104">
        <f>SUM(AP136:AP195)</f>
        <v/>
      </c>
      <c r="AQ135" s="104">
        <f>SUM(AQ136:AQ195)</f>
        <v/>
      </c>
      <c r="AR135" s="104">
        <f>SUM(AR136:AR195)</f>
        <v/>
      </c>
      <c r="AS135" s="104">
        <f>SUM(AS136:AS195)</f>
        <v/>
      </c>
      <c r="AT135" s="104">
        <f>SUM(AT136:AT195)</f>
        <v/>
      </c>
      <c r="AU135" s="104">
        <f>SUM(AU136:AU195)</f>
        <v/>
      </c>
      <c r="AV135" s="104">
        <f>SUM(AV136:AV195)</f>
        <v/>
      </c>
      <c r="AW135" s="104">
        <f>SUM(AW136:AW195)</f>
        <v/>
      </c>
      <c r="AX135" s="104">
        <f>SUM(AX136:AX195)</f>
        <v/>
      </c>
      <c r="AY135" s="104">
        <f>SUM(AY136:AY195)</f>
        <v/>
      </c>
      <c r="AZ135" s="104">
        <f>SUM(AZ136:AZ195)</f>
        <v/>
      </c>
      <c r="BA135" s="104">
        <f>SUM(BA136:BA195)</f>
        <v/>
      </c>
      <c r="BB135" s="104">
        <f>SUM(BB136:BB195)</f>
        <v/>
      </c>
      <c r="BC135" s="104">
        <f>SUM(BC136:BC195)</f>
        <v/>
      </c>
      <c r="BD135" s="104">
        <f>SUM(BD136:BD195)</f>
        <v/>
      </c>
      <c r="BE135" s="104">
        <f>SUM(BE136:BE195)</f>
        <v/>
      </c>
      <c r="BF135" s="104">
        <f>SUM(BF136:BF195)</f>
        <v/>
      </c>
      <c r="BG135" s="104">
        <f>SUM(BG136:BG195)</f>
        <v/>
      </c>
      <c r="BH135" s="104">
        <f>SUM(BH136:BH195)</f>
        <v/>
      </c>
      <c r="BI135" s="104">
        <f>SUM(BI136:BI195)</f>
        <v/>
      </c>
      <c r="BJ135" s="104">
        <f>SUM(BJ136:BJ195)</f>
        <v/>
      </c>
      <c r="BK135" s="104">
        <f>SUM(BK136:BK195)</f>
        <v/>
      </c>
      <c r="BL135" s="104">
        <f>SUM(BL136:BL195)</f>
        <v/>
      </c>
    </row>
    <row r="136">
      <c r="A136" s="147" t="inlineStr">
        <is>
          <t>Cohort month 1</t>
        </is>
      </c>
      <c r="B136" s="147" t="n">
        <v>1</v>
      </c>
      <c r="C136" s="41">
        <f>INDEX(Ops!$E$35:$BL$35,1,$B136)</f>
        <v/>
      </c>
      <c r="F136" s="153">
        <f>$C136*INDEX(Curves!$S$8:$S$68,F$4-$B136+1)</f>
        <v/>
      </c>
      <c r="G136" s="153">
        <f>$C136*INDEX(Curves!$S$8:$S$68,G$4-$B136+1)</f>
        <v/>
      </c>
      <c r="H136" s="153">
        <f>$C136*INDEX(Curves!$S$8:$S$68,H$4-$B136+1)</f>
        <v/>
      </c>
      <c r="I136" s="153">
        <f>$C136*INDEX(Curves!$S$8:$S$68,I$4-$B136+1)</f>
        <v/>
      </c>
      <c r="J136" s="153">
        <f>$C136*INDEX(Curves!$S$8:$S$68,J$4-$B136+1)</f>
        <v/>
      </c>
      <c r="K136" s="153">
        <f>$C136*INDEX(Curves!$S$8:$S$68,K$4-$B136+1)</f>
        <v/>
      </c>
      <c r="L136" s="153">
        <f>$C136*INDEX(Curves!$S$8:$S$68,L$4-$B136+1)</f>
        <v/>
      </c>
      <c r="M136" s="153">
        <f>$C136*INDEX(Curves!$S$8:$S$68,M$4-$B136+1)</f>
        <v/>
      </c>
      <c r="N136" s="153">
        <f>$C136*INDEX(Curves!$S$8:$S$68,N$4-$B136+1)</f>
        <v/>
      </c>
      <c r="O136" s="153">
        <f>$C136*INDEX(Curves!$S$8:$S$68,O$4-$B136+1)</f>
        <v/>
      </c>
      <c r="P136" s="153">
        <f>$C136*INDEX(Curves!$S$8:$S$68,P$4-$B136+1)</f>
        <v/>
      </c>
      <c r="Q136" s="153">
        <f>$C136*INDEX(Curves!$S$8:$S$68,Q$4-$B136+1)</f>
        <v/>
      </c>
      <c r="R136" s="153">
        <f>$C136*INDEX(Curves!$S$8:$S$68,R$4-$B136+1)</f>
        <v/>
      </c>
      <c r="S136" s="153">
        <f>$C136*INDEX(Curves!$S$8:$S$68,S$4-$B136+1)</f>
        <v/>
      </c>
      <c r="T136" s="153">
        <f>$C136*INDEX(Curves!$S$8:$S$68,T$4-$B136+1)</f>
        <v/>
      </c>
      <c r="U136" s="153">
        <f>$C136*INDEX(Curves!$S$8:$S$68,U$4-$B136+1)</f>
        <v/>
      </c>
      <c r="V136" s="153">
        <f>$C136*INDEX(Curves!$S$8:$S$68,V$4-$B136+1)</f>
        <v/>
      </c>
      <c r="W136" s="153">
        <f>$C136*INDEX(Curves!$S$8:$S$68,W$4-$B136+1)</f>
        <v/>
      </c>
      <c r="X136" s="153">
        <f>$C136*INDEX(Curves!$S$8:$S$68,X$4-$B136+1)</f>
        <v/>
      </c>
      <c r="Y136" s="153">
        <f>$C136*INDEX(Curves!$S$8:$S$68,Y$4-$B136+1)</f>
        <v/>
      </c>
      <c r="Z136" s="153">
        <f>$C136*INDEX(Curves!$S$8:$S$68,Z$4-$B136+1)</f>
        <v/>
      </c>
      <c r="AA136" s="153">
        <f>$C136*INDEX(Curves!$S$8:$S$68,AA$4-$B136+1)</f>
        <v/>
      </c>
      <c r="AB136" s="153">
        <f>$C136*INDEX(Curves!$S$8:$S$68,AB$4-$B136+1)</f>
        <v/>
      </c>
      <c r="AC136" s="153">
        <f>$C136*INDEX(Curves!$S$8:$S$68,AC$4-$B136+1)</f>
        <v/>
      </c>
      <c r="AD136" s="153">
        <f>$C136*INDEX(Curves!$S$8:$S$68,AD$4-$B136+1)</f>
        <v/>
      </c>
      <c r="AE136" s="153">
        <f>$C136*INDEX(Curves!$S$8:$S$68,AE$4-$B136+1)</f>
        <v/>
      </c>
      <c r="AF136" s="153">
        <f>$C136*INDEX(Curves!$S$8:$S$68,AF$4-$B136+1)</f>
        <v/>
      </c>
      <c r="AG136" s="153">
        <f>$C136*INDEX(Curves!$S$8:$S$68,AG$4-$B136+1)</f>
        <v/>
      </c>
      <c r="AH136" s="153">
        <f>$C136*INDEX(Curves!$S$8:$S$68,AH$4-$B136+1)</f>
        <v/>
      </c>
      <c r="AI136" s="153">
        <f>$C136*INDEX(Curves!$S$8:$S$68,AI$4-$B136+1)</f>
        <v/>
      </c>
      <c r="AJ136" s="153">
        <f>$C136*INDEX(Curves!$S$8:$S$68,AJ$4-$B136+1)</f>
        <v/>
      </c>
      <c r="AK136" s="153">
        <f>$C136*INDEX(Curves!$S$8:$S$68,AK$4-$B136+1)</f>
        <v/>
      </c>
      <c r="AL136" s="153">
        <f>$C136*INDEX(Curves!$S$8:$S$68,AL$4-$B136+1)</f>
        <v/>
      </c>
      <c r="AM136" s="153">
        <f>$C136*INDEX(Curves!$S$8:$S$68,AM$4-$B136+1)</f>
        <v/>
      </c>
      <c r="AN136" s="153">
        <f>$C136*INDEX(Curves!$S$8:$S$68,AN$4-$B136+1)</f>
        <v/>
      </c>
      <c r="AO136" s="153">
        <f>$C136*INDEX(Curves!$S$8:$S$68,AO$4-$B136+1)</f>
        <v/>
      </c>
      <c r="AP136" s="153">
        <f>$C136*INDEX(Curves!$S$8:$S$68,AP$4-$B136+1)</f>
        <v/>
      </c>
      <c r="AQ136" s="153">
        <f>$C136*INDEX(Curves!$S$8:$S$68,AQ$4-$B136+1)</f>
        <v/>
      </c>
      <c r="AR136" s="153">
        <f>$C136*INDEX(Curves!$S$8:$S$68,AR$4-$B136+1)</f>
        <v/>
      </c>
      <c r="AS136" s="153">
        <f>$C136*INDEX(Curves!$S$8:$S$68,AS$4-$B136+1)</f>
        <v/>
      </c>
      <c r="AT136" s="153">
        <f>$C136*INDEX(Curves!$S$8:$S$68,AT$4-$B136+1)</f>
        <v/>
      </c>
      <c r="AU136" s="153">
        <f>$C136*INDEX(Curves!$S$8:$S$68,AU$4-$B136+1)</f>
        <v/>
      </c>
      <c r="AV136" s="153">
        <f>$C136*INDEX(Curves!$S$8:$S$68,AV$4-$B136+1)</f>
        <v/>
      </c>
      <c r="AW136" s="153">
        <f>$C136*INDEX(Curves!$S$8:$S$68,AW$4-$B136+1)</f>
        <v/>
      </c>
      <c r="AX136" s="153">
        <f>$C136*INDEX(Curves!$S$8:$S$68,AX$4-$B136+1)</f>
        <v/>
      </c>
      <c r="AY136" s="153">
        <f>$C136*INDEX(Curves!$S$8:$S$68,AY$4-$B136+1)</f>
        <v/>
      </c>
      <c r="AZ136" s="153">
        <f>$C136*INDEX(Curves!$S$8:$S$68,AZ$4-$B136+1)</f>
        <v/>
      </c>
      <c r="BA136" s="153">
        <f>$C136*INDEX(Curves!$S$8:$S$68,BA$4-$B136+1)</f>
        <v/>
      </c>
      <c r="BB136" s="153">
        <f>$C136*INDEX(Curves!$S$8:$S$68,BB$4-$B136+1)</f>
        <v/>
      </c>
      <c r="BC136" s="153">
        <f>$C136*INDEX(Curves!$S$8:$S$68,BC$4-$B136+1)</f>
        <v/>
      </c>
      <c r="BD136" s="153">
        <f>$C136*INDEX(Curves!$S$8:$S$68,BD$4-$B136+1)</f>
        <v/>
      </c>
      <c r="BE136" s="153">
        <f>$C136*INDEX(Curves!$S$8:$S$68,BE$4-$B136+1)</f>
        <v/>
      </c>
      <c r="BF136" s="153">
        <f>$C136*INDEX(Curves!$S$8:$S$68,BF$4-$B136+1)</f>
        <v/>
      </c>
      <c r="BG136" s="153">
        <f>$C136*INDEX(Curves!$S$8:$S$68,BG$4-$B136+1)</f>
        <v/>
      </c>
      <c r="BH136" s="153">
        <f>$C136*INDEX(Curves!$S$8:$S$68,BH$4-$B136+1)</f>
        <v/>
      </c>
      <c r="BI136" s="153">
        <f>$C136*INDEX(Curves!$S$8:$S$68,BI$4-$B136+1)</f>
        <v/>
      </c>
      <c r="BJ136" s="153">
        <f>$C136*INDEX(Curves!$S$8:$S$68,BJ$4-$B136+1)</f>
        <v/>
      </c>
      <c r="BK136" s="153">
        <f>$C136*INDEX(Curves!$S$8:$S$68,BK$4-$B136+1)</f>
        <v/>
      </c>
      <c r="BL136" s="153">
        <f>$C136*INDEX(Curves!$S$8:$S$68,BL$4-$B136+1)</f>
        <v/>
      </c>
    </row>
    <row r="137">
      <c r="A137" s="147" t="inlineStr">
        <is>
          <t>Cohort month 2</t>
        </is>
      </c>
      <c r="B137" s="147" t="n">
        <v>2</v>
      </c>
      <c r="C137" s="41">
        <f>INDEX(Ops!$E$35:$BL$35,1,$B137)</f>
        <v/>
      </c>
      <c r="G137" s="153">
        <f>$C137*INDEX(Curves!$S$8:$S$68,G$4-$B137+1)</f>
        <v/>
      </c>
      <c r="H137" s="153">
        <f>$C137*INDEX(Curves!$S$8:$S$68,H$4-$B137+1)</f>
        <v/>
      </c>
      <c r="I137" s="153">
        <f>$C137*INDEX(Curves!$S$8:$S$68,I$4-$B137+1)</f>
        <v/>
      </c>
      <c r="J137" s="153">
        <f>$C137*INDEX(Curves!$S$8:$S$68,J$4-$B137+1)</f>
        <v/>
      </c>
      <c r="K137" s="153">
        <f>$C137*INDEX(Curves!$S$8:$S$68,K$4-$B137+1)</f>
        <v/>
      </c>
      <c r="L137" s="153">
        <f>$C137*INDEX(Curves!$S$8:$S$68,L$4-$B137+1)</f>
        <v/>
      </c>
      <c r="M137" s="153">
        <f>$C137*INDEX(Curves!$S$8:$S$68,M$4-$B137+1)</f>
        <v/>
      </c>
      <c r="N137" s="153">
        <f>$C137*INDEX(Curves!$S$8:$S$68,N$4-$B137+1)</f>
        <v/>
      </c>
      <c r="O137" s="153">
        <f>$C137*INDEX(Curves!$S$8:$S$68,O$4-$B137+1)</f>
        <v/>
      </c>
      <c r="P137" s="153">
        <f>$C137*INDEX(Curves!$S$8:$S$68,P$4-$B137+1)</f>
        <v/>
      </c>
      <c r="Q137" s="153">
        <f>$C137*INDEX(Curves!$S$8:$S$68,Q$4-$B137+1)</f>
        <v/>
      </c>
      <c r="R137" s="153">
        <f>$C137*INDEX(Curves!$S$8:$S$68,R$4-$B137+1)</f>
        <v/>
      </c>
      <c r="S137" s="153">
        <f>$C137*INDEX(Curves!$S$8:$S$68,S$4-$B137+1)</f>
        <v/>
      </c>
      <c r="T137" s="153">
        <f>$C137*INDEX(Curves!$S$8:$S$68,T$4-$B137+1)</f>
        <v/>
      </c>
      <c r="U137" s="153">
        <f>$C137*INDEX(Curves!$S$8:$S$68,U$4-$B137+1)</f>
        <v/>
      </c>
      <c r="V137" s="153">
        <f>$C137*INDEX(Curves!$S$8:$S$68,V$4-$B137+1)</f>
        <v/>
      </c>
      <c r="W137" s="153">
        <f>$C137*INDEX(Curves!$S$8:$S$68,W$4-$B137+1)</f>
        <v/>
      </c>
      <c r="X137" s="153">
        <f>$C137*INDEX(Curves!$S$8:$S$68,X$4-$B137+1)</f>
        <v/>
      </c>
      <c r="Y137" s="153">
        <f>$C137*INDEX(Curves!$S$8:$S$68,Y$4-$B137+1)</f>
        <v/>
      </c>
      <c r="Z137" s="153">
        <f>$C137*INDEX(Curves!$S$8:$S$68,Z$4-$B137+1)</f>
        <v/>
      </c>
      <c r="AA137" s="153">
        <f>$C137*INDEX(Curves!$S$8:$S$68,AA$4-$B137+1)</f>
        <v/>
      </c>
      <c r="AB137" s="153">
        <f>$C137*INDEX(Curves!$S$8:$S$68,AB$4-$B137+1)</f>
        <v/>
      </c>
      <c r="AC137" s="153">
        <f>$C137*INDEX(Curves!$S$8:$S$68,AC$4-$B137+1)</f>
        <v/>
      </c>
      <c r="AD137" s="153">
        <f>$C137*INDEX(Curves!$S$8:$S$68,AD$4-$B137+1)</f>
        <v/>
      </c>
      <c r="AE137" s="153">
        <f>$C137*INDEX(Curves!$S$8:$S$68,AE$4-$B137+1)</f>
        <v/>
      </c>
      <c r="AF137" s="153">
        <f>$C137*INDEX(Curves!$S$8:$S$68,AF$4-$B137+1)</f>
        <v/>
      </c>
      <c r="AG137" s="153">
        <f>$C137*INDEX(Curves!$S$8:$S$68,AG$4-$B137+1)</f>
        <v/>
      </c>
      <c r="AH137" s="153">
        <f>$C137*INDEX(Curves!$S$8:$S$68,AH$4-$B137+1)</f>
        <v/>
      </c>
      <c r="AI137" s="153">
        <f>$C137*INDEX(Curves!$S$8:$S$68,AI$4-$B137+1)</f>
        <v/>
      </c>
      <c r="AJ137" s="153">
        <f>$C137*INDEX(Curves!$S$8:$S$68,AJ$4-$B137+1)</f>
        <v/>
      </c>
      <c r="AK137" s="153">
        <f>$C137*INDEX(Curves!$S$8:$S$68,AK$4-$B137+1)</f>
        <v/>
      </c>
      <c r="AL137" s="153">
        <f>$C137*INDEX(Curves!$S$8:$S$68,AL$4-$B137+1)</f>
        <v/>
      </c>
      <c r="AM137" s="153">
        <f>$C137*INDEX(Curves!$S$8:$S$68,AM$4-$B137+1)</f>
        <v/>
      </c>
      <c r="AN137" s="153">
        <f>$C137*INDEX(Curves!$S$8:$S$68,AN$4-$B137+1)</f>
        <v/>
      </c>
      <c r="AO137" s="153">
        <f>$C137*INDEX(Curves!$S$8:$S$68,AO$4-$B137+1)</f>
        <v/>
      </c>
      <c r="AP137" s="153">
        <f>$C137*INDEX(Curves!$S$8:$S$68,AP$4-$B137+1)</f>
        <v/>
      </c>
      <c r="AQ137" s="153">
        <f>$C137*INDEX(Curves!$S$8:$S$68,AQ$4-$B137+1)</f>
        <v/>
      </c>
      <c r="AR137" s="153">
        <f>$C137*INDEX(Curves!$S$8:$S$68,AR$4-$B137+1)</f>
        <v/>
      </c>
      <c r="AS137" s="153">
        <f>$C137*INDEX(Curves!$S$8:$S$68,AS$4-$B137+1)</f>
        <v/>
      </c>
      <c r="AT137" s="153">
        <f>$C137*INDEX(Curves!$S$8:$S$68,AT$4-$B137+1)</f>
        <v/>
      </c>
      <c r="AU137" s="153">
        <f>$C137*INDEX(Curves!$S$8:$S$68,AU$4-$B137+1)</f>
        <v/>
      </c>
      <c r="AV137" s="153">
        <f>$C137*INDEX(Curves!$S$8:$S$68,AV$4-$B137+1)</f>
        <v/>
      </c>
      <c r="AW137" s="153">
        <f>$C137*INDEX(Curves!$S$8:$S$68,AW$4-$B137+1)</f>
        <v/>
      </c>
      <c r="AX137" s="153">
        <f>$C137*INDEX(Curves!$S$8:$S$68,AX$4-$B137+1)</f>
        <v/>
      </c>
      <c r="AY137" s="153">
        <f>$C137*INDEX(Curves!$S$8:$S$68,AY$4-$B137+1)</f>
        <v/>
      </c>
      <c r="AZ137" s="153">
        <f>$C137*INDEX(Curves!$S$8:$S$68,AZ$4-$B137+1)</f>
        <v/>
      </c>
      <c r="BA137" s="153">
        <f>$C137*INDEX(Curves!$S$8:$S$68,BA$4-$B137+1)</f>
        <v/>
      </c>
      <c r="BB137" s="153">
        <f>$C137*INDEX(Curves!$S$8:$S$68,BB$4-$B137+1)</f>
        <v/>
      </c>
      <c r="BC137" s="153">
        <f>$C137*INDEX(Curves!$S$8:$S$68,BC$4-$B137+1)</f>
        <v/>
      </c>
      <c r="BD137" s="153">
        <f>$C137*INDEX(Curves!$S$8:$S$68,BD$4-$B137+1)</f>
        <v/>
      </c>
      <c r="BE137" s="153">
        <f>$C137*INDEX(Curves!$S$8:$S$68,BE$4-$B137+1)</f>
        <v/>
      </c>
      <c r="BF137" s="153">
        <f>$C137*INDEX(Curves!$S$8:$S$68,BF$4-$B137+1)</f>
        <v/>
      </c>
      <c r="BG137" s="153">
        <f>$C137*INDEX(Curves!$S$8:$S$68,BG$4-$B137+1)</f>
        <v/>
      </c>
      <c r="BH137" s="153">
        <f>$C137*INDEX(Curves!$S$8:$S$68,BH$4-$B137+1)</f>
        <v/>
      </c>
      <c r="BI137" s="153">
        <f>$C137*INDEX(Curves!$S$8:$S$68,BI$4-$B137+1)</f>
        <v/>
      </c>
      <c r="BJ137" s="153">
        <f>$C137*INDEX(Curves!$S$8:$S$68,BJ$4-$B137+1)</f>
        <v/>
      </c>
      <c r="BK137" s="153">
        <f>$C137*INDEX(Curves!$S$8:$S$68,BK$4-$B137+1)</f>
        <v/>
      </c>
      <c r="BL137" s="153">
        <f>$C137*INDEX(Curves!$S$8:$S$68,BL$4-$B137+1)</f>
        <v/>
      </c>
    </row>
    <row r="138">
      <c r="A138" s="147" t="inlineStr">
        <is>
          <t>Cohort month 3</t>
        </is>
      </c>
      <c r="B138" s="147" t="n">
        <v>3</v>
      </c>
      <c r="C138" s="41">
        <f>INDEX(Ops!$E$35:$BL$35,1,$B138)</f>
        <v/>
      </c>
      <c r="H138" s="153">
        <f>$C138*INDEX(Curves!$S$8:$S$68,H$4-$B138+1)</f>
        <v/>
      </c>
      <c r="I138" s="153">
        <f>$C138*INDEX(Curves!$S$8:$S$68,I$4-$B138+1)</f>
        <v/>
      </c>
      <c r="J138" s="153">
        <f>$C138*INDEX(Curves!$S$8:$S$68,J$4-$B138+1)</f>
        <v/>
      </c>
      <c r="K138" s="153">
        <f>$C138*INDEX(Curves!$S$8:$S$68,K$4-$B138+1)</f>
        <v/>
      </c>
      <c r="L138" s="153">
        <f>$C138*INDEX(Curves!$S$8:$S$68,L$4-$B138+1)</f>
        <v/>
      </c>
      <c r="M138" s="153">
        <f>$C138*INDEX(Curves!$S$8:$S$68,M$4-$B138+1)</f>
        <v/>
      </c>
      <c r="N138" s="153">
        <f>$C138*INDEX(Curves!$S$8:$S$68,N$4-$B138+1)</f>
        <v/>
      </c>
      <c r="O138" s="153">
        <f>$C138*INDEX(Curves!$S$8:$S$68,O$4-$B138+1)</f>
        <v/>
      </c>
      <c r="P138" s="153">
        <f>$C138*INDEX(Curves!$S$8:$S$68,P$4-$B138+1)</f>
        <v/>
      </c>
      <c r="Q138" s="153">
        <f>$C138*INDEX(Curves!$S$8:$S$68,Q$4-$B138+1)</f>
        <v/>
      </c>
      <c r="R138" s="153">
        <f>$C138*INDEX(Curves!$S$8:$S$68,R$4-$B138+1)</f>
        <v/>
      </c>
      <c r="S138" s="153">
        <f>$C138*INDEX(Curves!$S$8:$S$68,S$4-$B138+1)</f>
        <v/>
      </c>
      <c r="T138" s="153">
        <f>$C138*INDEX(Curves!$S$8:$S$68,T$4-$B138+1)</f>
        <v/>
      </c>
      <c r="U138" s="153">
        <f>$C138*INDEX(Curves!$S$8:$S$68,U$4-$B138+1)</f>
        <v/>
      </c>
      <c r="V138" s="153">
        <f>$C138*INDEX(Curves!$S$8:$S$68,V$4-$B138+1)</f>
        <v/>
      </c>
      <c r="W138" s="153">
        <f>$C138*INDEX(Curves!$S$8:$S$68,W$4-$B138+1)</f>
        <v/>
      </c>
      <c r="X138" s="153">
        <f>$C138*INDEX(Curves!$S$8:$S$68,X$4-$B138+1)</f>
        <v/>
      </c>
      <c r="Y138" s="153">
        <f>$C138*INDEX(Curves!$S$8:$S$68,Y$4-$B138+1)</f>
        <v/>
      </c>
      <c r="Z138" s="153">
        <f>$C138*INDEX(Curves!$S$8:$S$68,Z$4-$B138+1)</f>
        <v/>
      </c>
      <c r="AA138" s="153">
        <f>$C138*INDEX(Curves!$S$8:$S$68,AA$4-$B138+1)</f>
        <v/>
      </c>
      <c r="AB138" s="153">
        <f>$C138*INDEX(Curves!$S$8:$S$68,AB$4-$B138+1)</f>
        <v/>
      </c>
      <c r="AC138" s="153">
        <f>$C138*INDEX(Curves!$S$8:$S$68,AC$4-$B138+1)</f>
        <v/>
      </c>
      <c r="AD138" s="153">
        <f>$C138*INDEX(Curves!$S$8:$S$68,AD$4-$B138+1)</f>
        <v/>
      </c>
      <c r="AE138" s="153">
        <f>$C138*INDEX(Curves!$S$8:$S$68,AE$4-$B138+1)</f>
        <v/>
      </c>
      <c r="AF138" s="153">
        <f>$C138*INDEX(Curves!$S$8:$S$68,AF$4-$B138+1)</f>
        <v/>
      </c>
      <c r="AG138" s="153">
        <f>$C138*INDEX(Curves!$S$8:$S$68,AG$4-$B138+1)</f>
        <v/>
      </c>
      <c r="AH138" s="153">
        <f>$C138*INDEX(Curves!$S$8:$S$68,AH$4-$B138+1)</f>
        <v/>
      </c>
      <c r="AI138" s="153">
        <f>$C138*INDEX(Curves!$S$8:$S$68,AI$4-$B138+1)</f>
        <v/>
      </c>
      <c r="AJ138" s="153">
        <f>$C138*INDEX(Curves!$S$8:$S$68,AJ$4-$B138+1)</f>
        <v/>
      </c>
      <c r="AK138" s="153">
        <f>$C138*INDEX(Curves!$S$8:$S$68,AK$4-$B138+1)</f>
        <v/>
      </c>
      <c r="AL138" s="153">
        <f>$C138*INDEX(Curves!$S$8:$S$68,AL$4-$B138+1)</f>
        <v/>
      </c>
      <c r="AM138" s="153">
        <f>$C138*INDEX(Curves!$S$8:$S$68,AM$4-$B138+1)</f>
        <v/>
      </c>
      <c r="AN138" s="153">
        <f>$C138*INDEX(Curves!$S$8:$S$68,AN$4-$B138+1)</f>
        <v/>
      </c>
      <c r="AO138" s="153">
        <f>$C138*INDEX(Curves!$S$8:$S$68,AO$4-$B138+1)</f>
        <v/>
      </c>
      <c r="AP138" s="153">
        <f>$C138*INDEX(Curves!$S$8:$S$68,AP$4-$B138+1)</f>
        <v/>
      </c>
      <c r="AQ138" s="153">
        <f>$C138*INDEX(Curves!$S$8:$S$68,AQ$4-$B138+1)</f>
        <v/>
      </c>
      <c r="AR138" s="153">
        <f>$C138*INDEX(Curves!$S$8:$S$68,AR$4-$B138+1)</f>
        <v/>
      </c>
      <c r="AS138" s="153">
        <f>$C138*INDEX(Curves!$S$8:$S$68,AS$4-$B138+1)</f>
        <v/>
      </c>
      <c r="AT138" s="153">
        <f>$C138*INDEX(Curves!$S$8:$S$68,AT$4-$B138+1)</f>
        <v/>
      </c>
      <c r="AU138" s="153">
        <f>$C138*INDEX(Curves!$S$8:$S$68,AU$4-$B138+1)</f>
        <v/>
      </c>
      <c r="AV138" s="153">
        <f>$C138*INDEX(Curves!$S$8:$S$68,AV$4-$B138+1)</f>
        <v/>
      </c>
      <c r="AW138" s="153">
        <f>$C138*INDEX(Curves!$S$8:$S$68,AW$4-$B138+1)</f>
        <v/>
      </c>
      <c r="AX138" s="153">
        <f>$C138*INDEX(Curves!$S$8:$S$68,AX$4-$B138+1)</f>
        <v/>
      </c>
      <c r="AY138" s="153">
        <f>$C138*INDEX(Curves!$S$8:$S$68,AY$4-$B138+1)</f>
        <v/>
      </c>
      <c r="AZ138" s="153">
        <f>$C138*INDEX(Curves!$S$8:$S$68,AZ$4-$B138+1)</f>
        <v/>
      </c>
      <c r="BA138" s="153">
        <f>$C138*INDEX(Curves!$S$8:$S$68,BA$4-$B138+1)</f>
        <v/>
      </c>
      <c r="BB138" s="153">
        <f>$C138*INDEX(Curves!$S$8:$S$68,BB$4-$B138+1)</f>
        <v/>
      </c>
      <c r="BC138" s="153">
        <f>$C138*INDEX(Curves!$S$8:$S$68,BC$4-$B138+1)</f>
        <v/>
      </c>
      <c r="BD138" s="153">
        <f>$C138*INDEX(Curves!$S$8:$S$68,BD$4-$B138+1)</f>
        <v/>
      </c>
      <c r="BE138" s="153">
        <f>$C138*INDEX(Curves!$S$8:$S$68,BE$4-$B138+1)</f>
        <v/>
      </c>
      <c r="BF138" s="153">
        <f>$C138*INDEX(Curves!$S$8:$S$68,BF$4-$B138+1)</f>
        <v/>
      </c>
      <c r="BG138" s="153">
        <f>$C138*INDEX(Curves!$S$8:$S$68,BG$4-$B138+1)</f>
        <v/>
      </c>
      <c r="BH138" s="153">
        <f>$C138*INDEX(Curves!$S$8:$S$68,BH$4-$B138+1)</f>
        <v/>
      </c>
      <c r="BI138" s="153">
        <f>$C138*INDEX(Curves!$S$8:$S$68,BI$4-$B138+1)</f>
        <v/>
      </c>
      <c r="BJ138" s="153">
        <f>$C138*INDEX(Curves!$S$8:$S$68,BJ$4-$B138+1)</f>
        <v/>
      </c>
      <c r="BK138" s="153">
        <f>$C138*INDEX(Curves!$S$8:$S$68,BK$4-$B138+1)</f>
        <v/>
      </c>
      <c r="BL138" s="153">
        <f>$C138*INDEX(Curves!$S$8:$S$68,BL$4-$B138+1)</f>
        <v/>
      </c>
    </row>
    <row r="139">
      <c r="A139" s="147" t="inlineStr">
        <is>
          <t>Cohort month 4</t>
        </is>
      </c>
      <c r="B139" s="147" t="n">
        <v>4</v>
      </c>
      <c r="C139" s="41">
        <f>INDEX(Ops!$E$35:$BL$35,1,$B139)</f>
        <v/>
      </c>
      <c r="I139" s="153">
        <f>$C139*INDEX(Curves!$S$8:$S$68,I$4-$B139+1)</f>
        <v/>
      </c>
      <c r="J139" s="153">
        <f>$C139*INDEX(Curves!$S$8:$S$68,J$4-$B139+1)</f>
        <v/>
      </c>
      <c r="K139" s="153">
        <f>$C139*INDEX(Curves!$S$8:$S$68,K$4-$B139+1)</f>
        <v/>
      </c>
      <c r="L139" s="153">
        <f>$C139*INDEX(Curves!$S$8:$S$68,L$4-$B139+1)</f>
        <v/>
      </c>
      <c r="M139" s="153">
        <f>$C139*INDEX(Curves!$S$8:$S$68,M$4-$B139+1)</f>
        <v/>
      </c>
      <c r="N139" s="153">
        <f>$C139*INDEX(Curves!$S$8:$S$68,N$4-$B139+1)</f>
        <v/>
      </c>
      <c r="O139" s="153">
        <f>$C139*INDEX(Curves!$S$8:$S$68,O$4-$B139+1)</f>
        <v/>
      </c>
      <c r="P139" s="153">
        <f>$C139*INDEX(Curves!$S$8:$S$68,P$4-$B139+1)</f>
        <v/>
      </c>
      <c r="Q139" s="153">
        <f>$C139*INDEX(Curves!$S$8:$S$68,Q$4-$B139+1)</f>
        <v/>
      </c>
      <c r="R139" s="153">
        <f>$C139*INDEX(Curves!$S$8:$S$68,R$4-$B139+1)</f>
        <v/>
      </c>
      <c r="S139" s="153">
        <f>$C139*INDEX(Curves!$S$8:$S$68,S$4-$B139+1)</f>
        <v/>
      </c>
      <c r="T139" s="153">
        <f>$C139*INDEX(Curves!$S$8:$S$68,T$4-$B139+1)</f>
        <v/>
      </c>
      <c r="U139" s="153">
        <f>$C139*INDEX(Curves!$S$8:$S$68,U$4-$B139+1)</f>
        <v/>
      </c>
      <c r="V139" s="153">
        <f>$C139*INDEX(Curves!$S$8:$S$68,V$4-$B139+1)</f>
        <v/>
      </c>
      <c r="W139" s="153">
        <f>$C139*INDEX(Curves!$S$8:$S$68,W$4-$B139+1)</f>
        <v/>
      </c>
      <c r="X139" s="153">
        <f>$C139*INDEX(Curves!$S$8:$S$68,X$4-$B139+1)</f>
        <v/>
      </c>
      <c r="Y139" s="153">
        <f>$C139*INDEX(Curves!$S$8:$S$68,Y$4-$B139+1)</f>
        <v/>
      </c>
      <c r="Z139" s="153">
        <f>$C139*INDEX(Curves!$S$8:$S$68,Z$4-$B139+1)</f>
        <v/>
      </c>
      <c r="AA139" s="153">
        <f>$C139*INDEX(Curves!$S$8:$S$68,AA$4-$B139+1)</f>
        <v/>
      </c>
      <c r="AB139" s="153">
        <f>$C139*INDEX(Curves!$S$8:$S$68,AB$4-$B139+1)</f>
        <v/>
      </c>
      <c r="AC139" s="153">
        <f>$C139*INDEX(Curves!$S$8:$S$68,AC$4-$B139+1)</f>
        <v/>
      </c>
      <c r="AD139" s="153">
        <f>$C139*INDEX(Curves!$S$8:$S$68,AD$4-$B139+1)</f>
        <v/>
      </c>
      <c r="AE139" s="153">
        <f>$C139*INDEX(Curves!$S$8:$S$68,AE$4-$B139+1)</f>
        <v/>
      </c>
      <c r="AF139" s="153">
        <f>$C139*INDEX(Curves!$S$8:$S$68,AF$4-$B139+1)</f>
        <v/>
      </c>
      <c r="AG139" s="153">
        <f>$C139*INDEX(Curves!$S$8:$S$68,AG$4-$B139+1)</f>
        <v/>
      </c>
      <c r="AH139" s="153">
        <f>$C139*INDEX(Curves!$S$8:$S$68,AH$4-$B139+1)</f>
        <v/>
      </c>
      <c r="AI139" s="153">
        <f>$C139*INDEX(Curves!$S$8:$S$68,AI$4-$B139+1)</f>
        <v/>
      </c>
      <c r="AJ139" s="153">
        <f>$C139*INDEX(Curves!$S$8:$S$68,AJ$4-$B139+1)</f>
        <v/>
      </c>
      <c r="AK139" s="153">
        <f>$C139*INDEX(Curves!$S$8:$S$68,AK$4-$B139+1)</f>
        <v/>
      </c>
      <c r="AL139" s="153">
        <f>$C139*INDEX(Curves!$S$8:$S$68,AL$4-$B139+1)</f>
        <v/>
      </c>
      <c r="AM139" s="153">
        <f>$C139*INDEX(Curves!$S$8:$S$68,AM$4-$B139+1)</f>
        <v/>
      </c>
      <c r="AN139" s="153">
        <f>$C139*INDEX(Curves!$S$8:$S$68,AN$4-$B139+1)</f>
        <v/>
      </c>
      <c r="AO139" s="153">
        <f>$C139*INDEX(Curves!$S$8:$S$68,AO$4-$B139+1)</f>
        <v/>
      </c>
      <c r="AP139" s="153">
        <f>$C139*INDEX(Curves!$S$8:$S$68,AP$4-$B139+1)</f>
        <v/>
      </c>
      <c r="AQ139" s="153">
        <f>$C139*INDEX(Curves!$S$8:$S$68,AQ$4-$B139+1)</f>
        <v/>
      </c>
      <c r="AR139" s="153">
        <f>$C139*INDEX(Curves!$S$8:$S$68,AR$4-$B139+1)</f>
        <v/>
      </c>
      <c r="AS139" s="153">
        <f>$C139*INDEX(Curves!$S$8:$S$68,AS$4-$B139+1)</f>
        <v/>
      </c>
      <c r="AT139" s="153">
        <f>$C139*INDEX(Curves!$S$8:$S$68,AT$4-$B139+1)</f>
        <v/>
      </c>
      <c r="AU139" s="153">
        <f>$C139*INDEX(Curves!$S$8:$S$68,AU$4-$B139+1)</f>
        <v/>
      </c>
      <c r="AV139" s="153">
        <f>$C139*INDEX(Curves!$S$8:$S$68,AV$4-$B139+1)</f>
        <v/>
      </c>
      <c r="AW139" s="153">
        <f>$C139*INDEX(Curves!$S$8:$S$68,AW$4-$B139+1)</f>
        <v/>
      </c>
      <c r="AX139" s="153">
        <f>$C139*INDEX(Curves!$S$8:$S$68,AX$4-$B139+1)</f>
        <v/>
      </c>
      <c r="AY139" s="153">
        <f>$C139*INDEX(Curves!$S$8:$S$68,AY$4-$B139+1)</f>
        <v/>
      </c>
      <c r="AZ139" s="153">
        <f>$C139*INDEX(Curves!$S$8:$S$68,AZ$4-$B139+1)</f>
        <v/>
      </c>
      <c r="BA139" s="153">
        <f>$C139*INDEX(Curves!$S$8:$S$68,BA$4-$B139+1)</f>
        <v/>
      </c>
      <c r="BB139" s="153">
        <f>$C139*INDEX(Curves!$S$8:$S$68,BB$4-$B139+1)</f>
        <v/>
      </c>
      <c r="BC139" s="153">
        <f>$C139*INDEX(Curves!$S$8:$S$68,BC$4-$B139+1)</f>
        <v/>
      </c>
      <c r="BD139" s="153">
        <f>$C139*INDEX(Curves!$S$8:$S$68,BD$4-$B139+1)</f>
        <v/>
      </c>
      <c r="BE139" s="153">
        <f>$C139*INDEX(Curves!$S$8:$S$68,BE$4-$B139+1)</f>
        <v/>
      </c>
      <c r="BF139" s="153">
        <f>$C139*INDEX(Curves!$S$8:$S$68,BF$4-$B139+1)</f>
        <v/>
      </c>
      <c r="BG139" s="153">
        <f>$C139*INDEX(Curves!$S$8:$S$68,BG$4-$B139+1)</f>
        <v/>
      </c>
      <c r="BH139" s="153">
        <f>$C139*INDEX(Curves!$S$8:$S$68,BH$4-$B139+1)</f>
        <v/>
      </c>
      <c r="BI139" s="153">
        <f>$C139*INDEX(Curves!$S$8:$S$68,BI$4-$B139+1)</f>
        <v/>
      </c>
      <c r="BJ139" s="153">
        <f>$C139*INDEX(Curves!$S$8:$S$68,BJ$4-$B139+1)</f>
        <v/>
      </c>
      <c r="BK139" s="153">
        <f>$C139*INDEX(Curves!$S$8:$S$68,BK$4-$B139+1)</f>
        <v/>
      </c>
      <c r="BL139" s="153">
        <f>$C139*INDEX(Curves!$S$8:$S$68,BL$4-$B139+1)</f>
        <v/>
      </c>
    </row>
    <row r="140">
      <c r="A140" s="147" t="inlineStr">
        <is>
          <t>Cohort month 5</t>
        </is>
      </c>
      <c r="B140" s="147" t="n">
        <v>5</v>
      </c>
      <c r="C140" s="41">
        <f>INDEX(Ops!$E$35:$BL$35,1,$B140)</f>
        <v/>
      </c>
      <c r="J140" s="153">
        <f>$C140*INDEX(Curves!$S$8:$S$68,J$4-$B140+1)</f>
        <v/>
      </c>
      <c r="K140" s="153">
        <f>$C140*INDEX(Curves!$S$8:$S$68,K$4-$B140+1)</f>
        <v/>
      </c>
      <c r="L140" s="153">
        <f>$C140*INDEX(Curves!$S$8:$S$68,L$4-$B140+1)</f>
        <v/>
      </c>
      <c r="M140" s="153">
        <f>$C140*INDEX(Curves!$S$8:$S$68,M$4-$B140+1)</f>
        <v/>
      </c>
      <c r="N140" s="153">
        <f>$C140*INDEX(Curves!$S$8:$S$68,N$4-$B140+1)</f>
        <v/>
      </c>
      <c r="O140" s="153">
        <f>$C140*INDEX(Curves!$S$8:$S$68,O$4-$B140+1)</f>
        <v/>
      </c>
      <c r="P140" s="153">
        <f>$C140*INDEX(Curves!$S$8:$S$68,P$4-$B140+1)</f>
        <v/>
      </c>
      <c r="Q140" s="153">
        <f>$C140*INDEX(Curves!$S$8:$S$68,Q$4-$B140+1)</f>
        <v/>
      </c>
      <c r="R140" s="153">
        <f>$C140*INDEX(Curves!$S$8:$S$68,R$4-$B140+1)</f>
        <v/>
      </c>
      <c r="S140" s="153">
        <f>$C140*INDEX(Curves!$S$8:$S$68,S$4-$B140+1)</f>
        <v/>
      </c>
      <c r="T140" s="153">
        <f>$C140*INDEX(Curves!$S$8:$S$68,T$4-$B140+1)</f>
        <v/>
      </c>
      <c r="U140" s="153">
        <f>$C140*INDEX(Curves!$S$8:$S$68,U$4-$B140+1)</f>
        <v/>
      </c>
      <c r="V140" s="153">
        <f>$C140*INDEX(Curves!$S$8:$S$68,V$4-$B140+1)</f>
        <v/>
      </c>
      <c r="W140" s="153">
        <f>$C140*INDEX(Curves!$S$8:$S$68,W$4-$B140+1)</f>
        <v/>
      </c>
      <c r="X140" s="153">
        <f>$C140*INDEX(Curves!$S$8:$S$68,X$4-$B140+1)</f>
        <v/>
      </c>
      <c r="Y140" s="153">
        <f>$C140*INDEX(Curves!$S$8:$S$68,Y$4-$B140+1)</f>
        <v/>
      </c>
      <c r="Z140" s="153">
        <f>$C140*INDEX(Curves!$S$8:$S$68,Z$4-$B140+1)</f>
        <v/>
      </c>
      <c r="AA140" s="153">
        <f>$C140*INDEX(Curves!$S$8:$S$68,AA$4-$B140+1)</f>
        <v/>
      </c>
      <c r="AB140" s="153">
        <f>$C140*INDEX(Curves!$S$8:$S$68,AB$4-$B140+1)</f>
        <v/>
      </c>
      <c r="AC140" s="153">
        <f>$C140*INDEX(Curves!$S$8:$S$68,AC$4-$B140+1)</f>
        <v/>
      </c>
      <c r="AD140" s="153">
        <f>$C140*INDEX(Curves!$S$8:$S$68,AD$4-$B140+1)</f>
        <v/>
      </c>
      <c r="AE140" s="153">
        <f>$C140*INDEX(Curves!$S$8:$S$68,AE$4-$B140+1)</f>
        <v/>
      </c>
      <c r="AF140" s="153">
        <f>$C140*INDEX(Curves!$S$8:$S$68,AF$4-$B140+1)</f>
        <v/>
      </c>
      <c r="AG140" s="153">
        <f>$C140*INDEX(Curves!$S$8:$S$68,AG$4-$B140+1)</f>
        <v/>
      </c>
      <c r="AH140" s="153">
        <f>$C140*INDEX(Curves!$S$8:$S$68,AH$4-$B140+1)</f>
        <v/>
      </c>
      <c r="AI140" s="153">
        <f>$C140*INDEX(Curves!$S$8:$S$68,AI$4-$B140+1)</f>
        <v/>
      </c>
      <c r="AJ140" s="153">
        <f>$C140*INDEX(Curves!$S$8:$S$68,AJ$4-$B140+1)</f>
        <v/>
      </c>
      <c r="AK140" s="153">
        <f>$C140*INDEX(Curves!$S$8:$S$68,AK$4-$B140+1)</f>
        <v/>
      </c>
      <c r="AL140" s="153">
        <f>$C140*INDEX(Curves!$S$8:$S$68,AL$4-$B140+1)</f>
        <v/>
      </c>
      <c r="AM140" s="153">
        <f>$C140*INDEX(Curves!$S$8:$S$68,AM$4-$B140+1)</f>
        <v/>
      </c>
      <c r="AN140" s="153">
        <f>$C140*INDEX(Curves!$S$8:$S$68,AN$4-$B140+1)</f>
        <v/>
      </c>
      <c r="AO140" s="153">
        <f>$C140*INDEX(Curves!$S$8:$S$68,AO$4-$B140+1)</f>
        <v/>
      </c>
      <c r="AP140" s="153">
        <f>$C140*INDEX(Curves!$S$8:$S$68,AP$4-$B140+1)</f>
        <v/>
      </c>
      <c r="AQ140" s="153">
        <f>$C140*INDEX(Curves!$S$8:$S$68,AQ$4-$B140+1)</f>
        <v/>
      </c>
      <c r="AR140" s="153">
        <f>$C140*INDEX(Curves!$S$8:$S$68,AR$4-$B140+1)</f>
        <v/>
      </c>
      <c r="AS140" s="153">
        <f>$C140*INDEX(Curves!$S$8:$S$68,AS$4-$B140+1)</f>
        <v/>
      </c>
      <c r="AT140" s="153">
        <f>$C140*INDEX(Curves!$S$8:$S$68,AT$4-$B140+1)</f>
        <v/>
      </c>
      <c r="AU140" s="153">
        <f>$C140*INDEX(Curves!$S$8:$S$68,AU$4-$B140+1)</f>
        <v/>
      </c>
      <c r="AV140" s="153">
        <f>$C140*INDEX(Curves!$S$8:$S$68,AV$4-$B140+1)</f>
        <v/>
      </c>
      <c r="AW140" s="153">
        <f>$C140*INDEX(Curves!$S$8:$S$68,AW$4-$B140+1)</f>
        <v/>
      </c>
      <c r="AX140" s="153">
        <f>$C140*INDEX(Curves!$S$8:$S$68,AX$4-$B140+1)</f>
        <v/>
      </c>
      <c r="AY140" s="153">
        <f>$C140*INDEX(Curves!$S$8:$S$68,AY$4-$B140+1)</f>
        <v/>
      </c>
      <c r="AZ140" s="153">
        <f>$C140*INDEX(Curves!$S$8:$S$68,AZ$4-$B140+1)</f>
        <v/>
      </c>
      <c r="BA140" s="153">
        <f>$C140*INDEX(Curves!$S$8:$S$68,BA$4-$B140+1)</f>
        <v/>
      </c>
      <c r="BB140" s="153">
        <f>$C140*INDEX(Curves!$S$8:$S$68,BB$4-$B140+1)</f>
        <v/>
      </c>
      <c r="BC140" s="153">
        <f>$C140*INDEX(Curves!$S$8:$S$68,BC$4-$B140+1)</f>
        <v/>
      </c>
      <c r="BD140" s="153">
        <f>$C140*INDEX(Curves!$S$8:$S$68,BD$4-$B140+1)</f>
        <v/>
      </c>
      <c r="BE140" s="153">
        <f>$C140*INDEX(Curves!$S$8:$S$68,BE$4-$B140+1)</f>
        <v/>
      </c>
      <c r="BF140" s="153">
        <f>$C140*INDEX(Curves!$S$8:$S$68,BF$4-$B140+1)</f>
        <v/>
      </c>
      <c r="BG140" s="153">
        <f>$C140*INDEX(Curves!$S$8:$S$68,BG$4-$B140+1)</f>
        <v/>
      </c>
      <c r="BH140" s="153">
        <f>$C140*INDEX(Curves!$S$8:$S$68,BH$4-$B140+1)</f>
        <v/>
      </c>
      <c r="BI140" s="153">
        <f>$C140*INDEX(Curves!$S$8:$S$68,BI$4-$B140+1)</f>
        <v/>
      </c>
      <c r="BJ140" s="153">
        <f>$C140*INDEX(Curves!$S$8:$S$68,BJ$4-$B140+1)</f>
        <v/>
      </c>
      <c r="BK140" s="153">
        <f>$C140*INDEX(Curves!$S$8:$S$68,BK$4-$B140+1)</f>
        <v/>
      </c>
      <c r="BL140" s="153">
        <f>$C140*INDEX(Curves!$S$8:$S$68,BL$4-$B140+1)</f>
        <v/>
      </c>
    </row>
    <row r="141">
      <c r="A141" s="147" t="inlineStr">
        <is>
          <t>Cohort month 6</t>
        </is>
      </c>
      <c r="B141" s="147" t="n">
        <v>6</v>
      </c>
      <c r="C141" s="41">
        <f>INDEX(Ops!$E$35:$BL$35,1,$B141)</f>
        <v/>
      </c>
      <c r="K141" s="153">
        <f>$C141*INDEX(Curves!$S$8:$S$68,K$4-$B141+1)</f>
        <v/>
      </c>
      <c r="L141" s="153">
        <f>$C141*INDEX(Curves!$S$8:$S$68,L$4-$B141+1)</f>
        <v/>
      </c>
      <c r="M141" s="153">
        <f>$C141*INDEX(Curves!$S$8:$S$68,M$4-$B141+1)</f>
        <v/>
      </c>
      <c r="N141" s="153">
        <f>$C141*INDEX(Curves!$S$8:$S$68,N$4-$B141+1)</f>
        <v/>
      </c>
      <c r="O141" s="153">
        <f>$C141*INDEX(Curves!$S$8:$S$68,O$4-$B141+1)</f>
        <v/>
      </c>
      <c r="P141" s="153">
        <f>$C141*INDEX(Curves!$S$8:$S$68,P$4-$B141+1)</f>
        <v/>
      </c>
      <c r="Q141" s="153">
        <f>$C141*INDEX(Curves!$S$8:$S$68,Q$4-$B141+1)</f>
        <v/>
      </c>
      <c r="R141" s="153">
        <f>$C141*INDEX(Curves!$S$8:$S$68,R$4-$B141+1)</f>
        <v/>
      </c>
      <c r="S141" s="153">
        <f>$C141*INDEX(Curves!$S$8:$S$68,S$4-$B141+1)</f>
        <v/>
      </c>
      <c r="T141" s="153">
        <f>$C141*INDEX(Curves!$S$8:$S$68,T$4-$B141+1)</f>
        <v/>
      </c>
      <c r="U141" s="153">
        <f>$C141*INDEX(Curves!$S$8:$S$68,U$4-$B141+1)</f>
        <v/>
      </c>
      <c r="V141" s="153">
        <f>$C141*INDEX(Curves!$S$8:$S$68,V$4-$B141+1)</f>
        <v/>
      </c>
      <c r="W141" s="153">
        <f>$C141*INDEX(Curves!$S$8:$S$68,W$4-$B141+1)</f>
        <v/>
      </c>
      <c r="X141" s="153">
        <f>$C141*INDEX(Curves!$S$8:$S$68,X$4-$B141+1)</f>
        <v/>
      </c>
      <c r="Y141" s="153">
        <f>$C141*INDEX(Curves!$S$8:$S$68,Y$4-$B141+1)</f>
        <v/>
      </c>
      <c r="Z141" s="153">
        <f>$C141*INDEX(Curves!$S$8:$S$68,Z$4-$B141+1)</f>
        <v/>
      </c>
      <c r="AA141" s="153">
        <f>$C141*INDEX(Curves!$S$8:$S$68,AA$4-$B141+1)</f>
        <v/>
      </c>
      <c r="AB141" s="153">
        <f>$C141*INDEX(Curves!$S$8:$S$68,AB$4-$B141+1)</f>
        <v/>
      </c>
      <c r="AC141" s="153">
        <f>$C141*INDEX(Curves!$S$8:$S$68,AC$4-$B141+1)</f>
        <v/>
      </c>
      <c r="AD141" s="153">
        <f>$C141*INDEX(Curves!$S$8:$S$68,AD$4-$B141+1)</f>
        <v/>
      </c>
      <c r="AE141" s="153">
        <f>$C141*INDEX(Curves!$S$8:$S$68,AE$4-$B141+1)</f>
        <v/>
      </c>
      <c r="AF141" s="153">
        <f>$C141*INDEX(Curves!$S$8:$S$68,AF$4-$B141+1)</f>
        <v/>
      </c>
      <c r="AG141" s="153">
        <f>$C141*INDEX(Curves!$S$8:$S$68,AG$4-$B141+1)</f>
        <v/>
      </c>
      <c r="AH141" s="153">
        <f>$C141*INDEX(Curves!$S$8:$S$68,AH$4-$B141+1)</f>
        <v/>
      </c>
      <c r="AI141" s="153">
        <f>$C141*INDEX(Curves!$S$8:$S$68,AI$4-$B141+1)</f>
        <v/>
      </c>
      <c r="AJ141" s="153">
        <f>$C141*INDEX(Curves!$S$8:$S$68,AJ$4-$B141+1)</f>
        <v/>
      </c>
      <c r="AK141" s="153">
        <f>$C141*INDEX(Curves!$S$8:$S$68,AK$4-$B141+1)</f>
        <v/>
      </c>
      <c r="AL141" s="153">
        <f>$C141*INDEX(Curves!$S$8:$S$68,AL$4-$B141+1)</f>
        <v/>
      </c>
      <c r="AM141" s="153">
        <f>$C141*INDEX(Curves!$S$8:$S$68,AM$4-$B141+1)</f>
        <v/>
      </c>
      <c r="AN141" s="153">
        <f>$C141*INDEX(Curves!$S$8:$S$68,AN$4-$B141+1)</f>
        <v/>
      </c>
      <c r="AO141" s="153">
        <f>$C141*INDEX(Curves!$S$8:$S$68,AO$4-$B141+1)</f>
        <v/>
      </c>
      <c r="AP141" s="153">
        <f>$C141*INDEX(Curves!$S$8:$S$68,AP$4-$B141+1)</f>
        <v/>
      </c>
      <c r="AQ141" s="153">
        <f>$C141*INDEX(Curves!$S$8:$S$68,AQ$4-$B141+1)</f>
        <v/>
      </c>
      <c r="AR141" s="153">
        <f>$C141*INDEX(Curves!$S$8:$S$68,AR$4-$B141+1)</f>
        <v/>
      </c>
      <c r="AS141" s="153">
        <f>$C141*INDEX(Curves!$S$8:$S$68,AS$4-$B141+1)</f>
        <v/>
      </c>
      <c r="AT141" s="153">
        <f>$C141*INDEX(Curves!$S$8:$S$68,AT$4-$B141+1)</f>
        <v/>
      </c>
      <c r="AU141" s="153">
        <f>$C141*INDEX(Curves!$S$8:$S$68,AU$4-$B141+1)</f>
        <v/>
      </c>
      <c r="AV141" s="153">
        <f>$C141*INDEX(Curves!$S$8:$S$68,AV$4-$B141+1)</f>
        <v/>
      </c>
      <c r="AW141" s="153">
        <f>$C141*INDEX(Curves!$S$8:$S$68,AW$4-$B141+1)</f>
        <v/>
      </c>
      <c r="AX141" s="153">
        <f>$C141*INDEX(Curves!$S$8:$S$68,AX$4-$B141+1)</f>
        <v/>
      </c>
      <c r="AY141" s="153">
        <f>$C141*INDEX(Curves!$S$8:$S$68,AY$4-$B141+1)</f>
        <v/>
      </c>
      <c r="AZ141" s="153">
        <f>$C141*INDEX(Curves!$S$8:$S$68,AZ$4-$B141+1)</f>
        <v/>
      </c>
      <c r="BA141" s="153">
        <f>$C141*INDEX(Curves!$S$8:$S$68,BA$4-$B141+1)</f>
        <v/>
      </c>
      <c r="BB141" s="153">
        <f>$C141*INDEX(Curves!$S$8:$S$68,BB$4-$B141+1)</f>
        <v/>
      </c>
      <c r="BC141" s="153">
        <f>$C141*INDEX(Curves!$S$8:$S$68,BC$4-$B141+1)</f>
        <v/>
      </c>
      <c r="BD141" s="153">
        <f>$C141*INDEX(Curves!$S$8:$S$68,BD$4-$B141+1)</f>
        <v/>
      </c>
      <c r="BE141" s="153">
        <f>$C141*INDEX(Curves!$S$8:$S$68,BE$4-$B141+1)</f>
        <v/>
      </c>
      <c r="BF141" s="153">
        <f>$C141*INDEX(Curves!$S$8:$S$68,BF$4-$B141+1)</f>
        <v/>
      </c>
      <c r="BG141" s="153">
        <f>$C141*INDEX(Curves!$S$8:$S$68,BG$4-$B141+1)</f>
        <v/>
      </c>
      <c r="BH141" s="153">
        <f>$C141*INDEX(Curves!$S$8:$S$68,BH$4-$B141+1)</f>
        <v/>
      </c>
      <c r="BI141" s="153">
        <f>$C141*INDEX(Curves!$S$8:$S$68,BI$4-$B141+1)</f>
        <v/>
      </c>
      <c r="BJ141" s="153">
        <f>$C141*INDEX(Curves!$S$8:$S$68,BJ$4-$B141+1)</f>
        <v/>
      </c>
      <c r="BK141" s="153">
        <f>$C141*INDEX(Curves!$S$8:$S$68,BK$4-$B141+1)</f>
        <v/>
      </c>
      <c r="BL141" s="153">
        <f>$C141*INDEX(Curves!$S$8:$S$68,BL$4-$B141+1)</f>
        <v/>
      </c>
    </row>
    <row r="142">
      <c r="A142" s="147" t="inlineStr">
        <is>
          <t>Cohort month 7</t>
        </is>
      </c>
      <c r="B142" s="147" t="n">
        <v>7</v>
      </c>
      <c r="C142" s="41">
        <f>INDEX(Ops!$E$35:$BL$35,1,$B142)</f>
        <v/>
      </c>
      <c r="L142" s="153">
        <f>$C142*INDEX(Curves!$S$8:$S$68,L$4-$B142+1)</f>
        <v/>
      </c>
      <c r="M142" s="153">
        <f>$C142*INDEX(Curves!$S$8:$S$68,M$4-$B142+1)</f>
        <v/>
      </c>
      <c r="N142" s="153">
        <f>$C142*INDEX(Curves!$S$8:$S$68,N$4-$B142+1)</f>
        <v/>
      </c>
      <c r="O142" s="153">
        <f>$C142*INDEX(Curves!$S$8:$S$68,O$4-$B142+1)</f>
        <v/>
      </c>
      <c r="P142" s="153">
        <f>$C142*INDEX(Curves!$S$8:$S$68,P$4-$B142+1)</f>
        <v/>
      </c>
      <c r="Q142" s="153">
        <f>$C142*INDEX(Curves!$S$8:$S$68,Q$4-$B142+1)</f>
        <v/>
      </c>
      <c r="R142" s="153">
        <f>$C142*INDEX(Curves!$S$8:$S$68,R$4-$B142+1)</f>
        <v/>
      </c>
      <c r="S142" s="153">
        <f>$C142*INDEX(Curves!$S$8:$S$68,S$4-$B142+1)</f>
        <v/>
      </c>
      <c r="T142" s="153">
        <f>$C142*INDEX(Curves!$S$8:$S$68,T$4-$B142+1)</f>
        <v/>
      </c>
      <c r="U142" s="153">
        <f>$C142*INDEX(Curves!$S$8:$S$68,U$4-$B142+1)</f>
        <v/>
      </c>
      <c r="V142" s="153">
        <f>$C142*INDEX(Curves!$S$8:$S$68,V$4-$B142+1)</f>
        <v/>
      </c>
      <c r="W142" s="153">
        <f>$C142*INDEX(Curves!$S$8:$S$68,W$4-$B142+1)</f>
        <v/>
      </c>
      <c r="X142" s="153">
        <f>$C142*INDEX(Curves!$S$8:$S$68,X$4-$B142+1)</f>
        <v/>
      </c>
      <c r="Y142" s="153">
        <f>$C142*INDEX(Curves!$S$8:$S$68,Y$4-$B142+1)</f>
        <v/>
      </c>
      <c r="Z142" s="153">
        <f>$C142*INDEX(Curves!$S$8:$S$68,Z$4-$B142+1)</f>
        <v/>
      </c>
      <c r="AA142" s="153">
        <f>$C142*INDEX(Curves!$S$8:$S$68,AA$4-$B142+1)</f>
        <v/>
      </c>
      <c r="AB142" s="153">
        <f>$C142*INDEX(Curves!$S$8:$S$68,AB$4-$B142+1)</f>
        <v/>
      </c>
      <c r="AC142" s="153">
        <f>$C142*INDEX(Curves!$S$8:$S$68,AC$4-$B142+1)</f>
        <v/>
      </c>
      <c r="AD142" s="153">
        <f>$C142*INDEX(Curves!$S$8:$S$68,AD$4-$B142+1)</f>
        <v/>
      </c>
      <c r="AE142" s="153">
        <f>$C142*INDEX(Curves!$S$8:$S$68,AE$4-$B142+1)</f>
        <v/>
      </c>
      <c r="AF142" s="153">
        <f>$C142*INDEX(Curves!$S$8:$S$68,AF$4-$B142+1)</f>
        <v/>
      </c>
      <c r="AG142" s="153">
        <f>$C142*INDEX(Curves!$S$8:$S$68,AG$4-$B142+1)</f>
        <v/>
      </c>
      <c r="AH142" s="153">
        <f>$C142*INDEX(Curves!$S$8:$S$68,AH$4-$B142+1)</f>
        <v/>
      </c>
      <c r="AI142" s="153">
        <f>$C142*INDEX(Curves!$S$8:$S$68,AI$4-$B142+1)</f>
        <v/>
      </c>
      <c r="AJ142" s="153">
        <f>$C142*INDEX(Curves!$S$8:$S$68,AJ$4-$B142+1)</f>
        <v/>
      </c>
      <c r="AK142" s="153">
        <f>$C142*INDEX(Curves!$S$8:$S$68,AK$4-$B142+1)</f>
        <v/>
      </c>
      <c r="AL142" s="153">
        <f>$C142*INDEX(Curves!$S$8:$S$68,AL$4-$B142+1)</f>
        <v/>
      </c>
      <c r="AM142" s="153">
        <f>$C142*INDEX(Curves!$S$8:$S$68,AM$4-$B142+1)</f>
        <v/>
      </c>
      <c r="AN142" s="153">
        <f>$C142*INDEX(Curves!$S$8:$S$68,AN$4-$B142+1)</f>
        <v/>
      </c>
      <c r="AO142" s="153">
        <f>$C142*INDEX(Curves!$S$8:$S$68,AO$4-$B142+1)</f>
        <v/>
      </c>
      <c r="AP142" s="153">
        <f>$C142*INDEX(Curves!$S$8:$S$68,AP$4-$B142+1)</f>
        <v/>
      </c>
      <c r="AQ142" s="153">
        <f>$C142*INDEX(Curves!$S$8:$S$68,AQ$4-$B142+1)</f>
        <v/>
      </c>
      <c r="AR142" s="153">
        <f>$C142*INDEX(Curves!$S$8:$S$68,AR$4-$B142+1)</f>
        <v/>
      </c>
      <c r="AS142" s="153">
        <f>$C142*INDEX(Curves!$S$8:$S$68,AS$4-$B142+1)</f>
        <v/>
      </c>
      <c r="AT142" s="153">
        <f>$C142*INDEX(Curves!$S$8:$S$68,AT$4-$B142+1)</f>
        <v/>
      </c>
      <c r="AU142" s="153">
        <f>$C142*INDEX(Curves!$S$8:$S$68,AU$4-$B142+1)</f>
        <v/>
      </c>
      <c r="AV142" s="153">
        <f>$C142*INDEX(Curves!$S$8:$S$68,AV$4-$B142+1)</f>
        <v/>
      </c>
      <c r="AW142" s="153">
        <f>$C142*INDEX(Curves!$S$8:$S$68,AW$4-$B142+1)</f>
        <v/>
      </c>
      <c r="AX142" s="153">
        <f>$C142*INDEX(Curves!$S$8:$S$68,AX$4-$B142+1)</f>
        <v/>
      </c>
      <c r="AY142" s="153">
        <f>$C142*INDEX(Curves!$S$8:$S$68,AY$4-$B142+1)</f>
        <v/>
      </c>
      <c r="AZ142" s="153">
        <f>$C142*INDEX(Curves!$S$8:$S$68,AZ$4-$B142+1)</f>
        <v/>
      </c>
      <c r="BA142" s="153">
        <f>$C142*INDEX(Curves!$S$8:$S$68,BA$4-$B142+1)</f>
        <v/>
      </c>
      <c r="BB142" s="153">
        <f>$C142*INDEX(Curves!$S$8:$S$68,BB$4-$B142+1)</f>
        <v/>
      </c>
      <c r="BC142" s="153">
        <f>$C142*INDEX(Curves!$S$8:$S$68,BC$4-$B142+1)</f>
        <v/>
      </c>
      <c r="BD142" s="153">
        <f>$C142*INDEX(Curves!$S$8:$S$68,BD$4-$B142+1)</f>
        <v/>
      </c>
      <c r="BE142" s="153">
        <f>$C142*INDEX(Curves!$S$8:$S$68,BE$4-$B142+1)</f>
        <v/>
      </c>
      <c r="BF142" s="153">
        <f>$C142*INDEX(Curves!$S$8:$S$68,BF$4-$B142+1)</f>
        <v/>
      </c>
      <c r="BG142" s="153">
        <f>$C142*INDEX(Curves!$S$8:$S$68,BG$4-$B142+1)</f>
        <v/>
      </c>
      <c r="BH142" s="153">
        <f>$C142*INDEX(Curves!$S$8:$S$68,BH$4-$B142+1)</f>
        <v/>
      </c>
      <c r="BI142" s="153">
        <f>$C142*INDEX(Curves!$S$8:$S$68,BI$4-$B142+1)</f>
        <v/>
      </c>
      <c r="BJ142" s="153">
        <f>$C142*INDEX(Curves!$S$8:$S$68,BJ$4-$B142+1)</f>
        <v/>
      </c>
      <c r="BK142" s="153">
        <f>$C142*INDEX(Curves!$S$8:$S$68,BK$4-$B142+1)</f>
        <v/>
      </c>
      <c r="BL142" s="153">
        <f>$C142*INDEX(Curves!$S$8:$S$68,BL$4-$B142+1)</f>
        <v/>
      </c>
    </row>
    <row r="143">
      <c r="A143" s="147" t="inlineStr">
        <is>
          <t>Cohort month 8</t>
        </is>
      </c>
      <c r="B143" s="147" t="n">
        <v>8</v>
      </c>
      <c r="C143" s="41">
        <f>INDEX(Ops!$E$35:$BL$35,1,$B143)</f>
        <v/>
      </c>
      <c r="M143" s="153">
        <f>$C143*INDEX(Curves!$S$8:$S$68,M$4-$B143+1)</f>
        <v/>
      </c>
      <c r="N143" s="153">
        <f>$C143*INDEX(Curves!$S$8:$S$68,N$4-$B143+1)</f>
        <v/>
      </c>
      <c r="O143" s="153">
        <f>$C143*INDEX(Curves!$S$8:$S$68,O$4-$B143+1)</f>
        <v/>
      </c>
      <c r="P143" s="153">
        <f>$C143*INDEX(Curves!$S$8:$S$68,P$4-$B143+1)</f>
        <v/>
      </c>
      <c r="Q143" s="153">
        <f>$C143*INDEX(Curves!$S$8:$S$68,Q$4-$B143+1)</f>
        <v/>
      </c>
      <c r="R143" s="153">
        <f>$C143*INDEX(Curves!$S$8:$S$68,R$4-$B143+1)</f>
        <v/>
      </c>
      <c r="S143" s="153">
        <f>$C143*INDEX(Curves!$S$8:$S$68,S$4-$B143+1)</f>
        <v/>
      </c>
      <c r="T143" s="153">
        <f>$C143*INDEX(Curves!$S$8:$S$68,T$4-$B143+1)</f>
        <v/>
      </c>
      <c r="U143" s="153">
        <f>$C143*INDEX(Curves!$S$8:$S$68,U$4-$B143+1)</f>
        <v/>
      </c>
      <c r="V143" s="153">
        <f>$C143*INDEX(Curves!$S$8:$S$68,V$4-$B143+1)</f>
        <v/>
      </c>
      <c r="W143" s="153">
        <f>$C143*INDEX(Curves!$S$8:$S$68,W$4-$B143+1)</f>
        <v/>
      </c>
      <c r="X143" s="153">
        <f>$C143*INDEX(Curves!$S$8:$S$68,X$4-$B143+1)</f>
        <v/>
      </c>
      <c r="Y143" s="153">
        <f>$C143*INDEX(Curves!$S$8:$S$68,Y$4-$B143+1)</f>
        <v/>
      </c>
      <c r="Z143" s="153">
        <f>$C143*INDEX(Curves!$S$8:$S$68,Z$4-$B143+1)</f>
        <v/>
      </c>
      <c r="AA143" s="153">
        <f>$C143*INDEX(Curves!$S$8:$S$68,AA$4-$B143+1)</f>
        <v/>
      </c>
      <c r="AB143" s="153">
        <f>$C143*INDEX(Curves!$S$8:$S$68,AB$4-$B143+1)</f>
        <v/>
      </c>
      <c r="AC143" s="153">
        <f>$C143*INDEX(Curves!$S$8:$S$68,AC$4-$B143+1)</f>
        <v/>
      </c>
      <c r="AD143" s="153">
        <f>$C143*INDEX(Curves!$S$8:$S$68,AD$4-$B143+1)</f>
        <v/>
      </c>
      <c r="AE143" s="153">
        <f>$C143*INDEX(Curves!$S$8:$S$68,AE$4-$B143+1)</f>
        <v/>
      </c>
      <c r="AF143" s="153">
        <f>$C143*INDEX(Curves!$S$8:$S$68,AF$4-$B143+1)</f>
        <v/>
      </c>
      <c r="AG143" s="153">
        <f>$C143*INDEX(Curves!$S$8:$S$68,AG$4-$B143+1)</f>
        <v/>
      </c>
      <c r="AH143" s="153">
        <f>$C143*INDEX(Curves!$S$8:$S$68,AH$4-$B143+1)</f>
        <v/>
      </c>
      <c r="AI143" s="153">
        <f>$C143*INDEX(Curves!$S$8:$S$68,AI$4-$B143+1)</f>
        <v/>
      </c>
      <c r="AJ143" s="153">
        <f>$C143*INDEX(Curves!$S$8:$S$68,AJ$4-$B143+1)</f>
        <v/>
      </c>
      <c r="AK143" s="153">
        <f>$C143*INDEX(Curves!$S$8:$S$68,AK$4-$B143+1)</f>
        <v/>
      </c>
      <c r="AL143" s="153">
        <f>$C143*INDEX(Curves!$S$8:$S$68,AL$4-$B143+1)</f>
        <v/>
      </c>
      <c r="AM143" s="153">
        <f>$C143*INDEX(Curves!$S$8:$S$68,AM$4-$B143+1)</f>
        <v/>
      </c>
      <c r="AN143" s="153">
        <f>$C143*INDEX(Curves!$S$8:$S$68,AN$4-$B143+1)</f>
        <v/>
      </c>
      <c r="AO143" s="153">
        <f>$C143*INDEX(Curves!$S$8:$S$68,AO$4-$B143+1)</f>
        <v/>
      </c>
      <c r="AP143" s="153">
        <f>$C143*INDEX(Curves!$S$8:$S$68,AP$4-$B143+1)</f>
        <v/>
      </c>
      <c r="AQ143" s="153">
        <f>$C143*INDEX(Curves!$S$8:$S$68,AQ$4-$B143+1)</f>
        <v/>
      </c>
      <c r="AR143" s="153">
        <f>$C143*INDEX(Curves!$S$8:$S$68,AR$4-$B143+1)</f>
        <v/>
      </c>
      <c r="AS143" s="153">
        <f>$C143*INDEX(Curves!$S$8:$S$68,AS$4-$B143+1)</f>
        <v/>
      </c>
      <c r="AT143" s="153">
        <f>$C143*INDEX(Curves!$S$8:$S$68,AT$4-$B143+1)</f>
        <v/>
      </c>
      <c r="AU143" s="153">
        <f>$C143*INDEX(Curves!$S$8:$S$68,AU$4-$B143+1)</f>
        <v/>
      </c>
      <c r="AV143" s="153">
        <f>$C143*INDEX(Curves!$S$8:$S$68,AV$4-$B143+1)</f>
        <v/>
      </c>
      <c r="AW143" s="153">
        <f>$C143*INDEX(Curves!$S$8:$S$68,AW$4-$B143+1)</f>
        <v/>
      </c>
      <c r="AX143" s="153">
        <f>$C143*INDEX(Curves!$S$8:$S$68,AX$4-$B143+1)</f>
        <v/>
      </c>
      <c r="AY143" s="153">
        <f>$C143*INDEX(Curves!$S$8:$S$68,AY$4-$B143+1)</f>
        <v/>
      </c>
      <c r="AZ143" s="153">
        <f>$C143*INDEX(Curves!$S$8:$S$68,AZ$4-$B143+1)</f>
        <v/>
      </c>
      <c r="BA143" s="153">
        <f>$C143*INDEX(Curves!$S$8:$S$68,BA$4-$B143+1)</f>
        <v/>
      </c>
      <c r="BB143" s="153">
        <f>$C143*INDEX(Curves!$S$8:$S$68,BB$4-$B143+1)</f>
        <v/>
      </c>
      <c r="BC143" s="153">
        <f>$C143*INDEX(Curves!$S$8:$S$68,BC$4-$B143+1)</f>
        <v/>
      </c>
      <c r="BD143" s="153">
        <f>$C143*INDEX(Curves!$S$8:$S$68,BD$4-$B143+1)</f>
        <v/>
      </c>
      <c r="BE143" s="153">
        <f>$C143*INDEX(Curves!$S$8:$S$68,BE$4-$B143+1)</f>
        <v/>
      </c>
      <c r="BF143" s="153">
        <f>$C143*INDEX(Curves!$S$8:$S$68,BF$4-$B143+1)</f>
        <v/>
      </c>
      <c r="BG143" s="153">
        <f>$C143*INDEX(Curves!$S$8:$S$68,BG$4-$B143+1)</f>
        <v/>
      </c>
      <c r="BH143" s="153">
        <f>$C143*INDEX(Curves!$S$8:$S$68,BH$4-$B143+1)</f>
        <v/>
      </c>
      <c r="BI143" s="153">
        <f>$C143*INDEX(Curves!$S$8:$S$68,BI$4-$B143+1)</f>
        <v/>
      </c>
      <c r="BJ143" s="153">
        <f>$C143*INDEX(Curves!$S$8:$S$68,BJ$4-$B143+1)</f>
        <v/>
      </c>
      <c r="BK143" s="153">
        <f>$C143*INDEX(Curves!$S$8:$S$68,BK$4-$B143+1)</f>
        <v/>
      </c>
      <c r="BL143" s="153">
        <f>$C143*INDEX(Curves!$S$8:$S$68,BL$4-$B143+1)</f>
        <v/>
      </c>
    </row>
    <row r="144">
      <c r="A144" s="147" t="inlineStr">
        <is>
          <t>Cohort month 9</t>
        </is>
      </c>
      <c r="B144" s="147" t="n">
        <v>9</v>
      </c>
      <c r="C144" s="41">
        <f>INDEX(Ops!$E$35:$BL$35,1,$B144)</f>
        <v/>
      </c>
      <c r="N144" s="153">
        <f>$C144*INDEX(Curves!$S$8:$S$68,N$4-$B144+1)</f>
        <v/>
      </c>
      <c r="O144" s="153">
        <f>$C144*INDEX(Curves!$S$8:$S$68,O$4-$B144+1)</f>
        <v/>
      </c>
      <c r="P144" s="153">
        <f>$C144*INDEX(Curves!$S$8:$S$68,P$4-$B144+1)</f>
        <v/>
      </c>
      <c r="Q144" s="153">
        <f>$C144*INDEX(Curves!$S$8:$S$68,Q$4-$B144+1)</f>
        <v/>
      </c>
      <c r="R144" s="153">
        <f>$C144*INDEX(Curves!$S$8:$S$68,R$4-$B144+1)</f>
        <v/>
      </c>
      <c r="S144" s="153">
        <f>$C144*INDEX(Curves!$S$8:$S$68,S$4-$B144+1)</f>
        <v/>
      </c>
      <c r="T144" s="153">
        <f>$C144*INDEX(Curves!$S$8:$S$68,T$4-$B144+1)</f>
        <v/>
      </c>
      <c r="U144" s="153">
        <f>$C144*INDEX(Curves!$S$8:$S$68,U$4-$B144+1)</f>
        <v/>
      </c>
      <c r="V144" s="153">
        <f>$C144*INDEX(Curves!$S$8:$S$68,V$4-$B144+1)</f>
        <v/>
      </c>
      <c r="W144" s="153">
        <f>$C144*INDEX(Curves!$S$8:$S$68,W$4-$B144+1)</f>
        <v/>
      </c>
      <c r="X144" s="153">
        <f>$C144*INDEX(Curves!$S$8:$S$68,X$4-$B144+1)</f>
        <v/>
      </c>
      <c r="Y144" s="153">
        <f>$C144*INDEX(Curves!$S$8:$S$68,Y$4-$B144+1)</f>
        <v/>
      </c>
      <c r="Z144" s="153">
        <f>$C144*INDEX(Curves!$S$8:$S$68,Z$4-$B144+1)</f>
        <v/>
      </c>
      <c r="AA144" s="153">
        <f>$C144*INDEX(Curves!$S$8:$S$68,AA$4-$B144+1)</f>
        <v/>
      </c>
      <c r="AB144" s="153">
        <f>$C144*INDEX(Curves!$S$8:$S$68,AB$4-$B144+1)</f>
        <v/>
      </c>
      <c r="AC144" s="153">
        <f>$C144*INDEX(Curves!$S$8:$S$68,AC$4-$B144+1)</f>
        <v/>
      </c>
      <c r="AD144" s="153">
        <f>$C144*INDEX(Curves!$S$8:$S$68,AD$4-$B144+1)</f>
        <v/>
      </c>
      <c r="AE144" s="153">
        <f>$C144*INDEX(Curves!$S$8:$S$68,AE$4-$B144+1)</f>
        <v/>
      </c>
      <c r="AF144" s="153">
        <f>$C144*INDEX(Curves!$S$8:$S$68,AF$4-$B144+1)</f>
        <v/>
      </c>
      <c r="AG144" s="153">
        <f>$C144*INDEX(Curves!$S$8:$S$68,AG$4-$B144+1)</f>
        <v/>
      </c>
      <c r="AH144" s="153">
        <f>$C144*INDEX(Curves!$S$8:$S$68,AH$4-$B144+1)</f>
        <v/>
      </c>
      <c r="AI144" s="153">
        <f>$C144*INDEX(Curves!$S$8:$S$68,AI$4-$B144+1)</f>
        <v/>
      </c>
      <c r="AJ144" s="153">
        <f>$C144*INDEX(Curves!$S$8:$S$68,AJ$4-$B144+1)</f>
        <v/>
      </c>
      <c r="AK144" s="153">
        <f>$C144*INDEX(Curves!$S$8:$S$68,AK$4-$B144+1)</f>
        <v/>
      </c>
      <c r="AL144" s="153">
        <f>$C144*INDEX(Curves!$S$8:$S$68,AL$4-$B144+1)</f>
        <v/>
      </c>
      <c r="AM144" s="153">
        <f>$C144*INDEX(Curves!$S$8:$S$68,AM$4-$B144+1)</f>
        <v/>
      </c>
      <c r="AN144" s="153">
        <f>$C144*INDEX(Curves!$S$8:$S$68,AN$4-$B144+1)</f>
        <v/>
      </c>
      <c r="AO144" s="153">
        <f>$C144*INDEX(Curves!$S$8:$S$68,AO$4-$B144+1)</f>
        <v/>
      </c>
      <c r="AP144" s="153">
        <f>$C144*INDEX(Curves!$S$8:$S$68,AP$4-$B144+1)</f>
        <v/>
      </c>
      <c r="AQ144" s="153">
        <f>$C144*INDEX(Curves!$S$8:$S$68,AQ$4-$B144+1)</f>
        <v/>
      </c>
      <c r="AR144" s="153">
        <f>$C144*INDEX(Curves!$S$8:$S$68,AR$4-$B144+1)</f>
        <v/>
      </c>
      <c r="AS144" s="153">
        <f>$C144*INDEX(Curves!$S$8:$S$68,AS$4-$B144+1)</f>
        <v/>
      </c>
      <c r="AT144" s="153">
        <f>$C144*INDEX(Curves!$S$8:$S$68,AT$4-$B144+1)</f>
        <v/>
      </c>
      <c r="AU144" s="153">
        <f>$C144*INDEX(Curves!$S$8:$S$68,AU$4-$B144+1)</f>
        <v/>
      </c>
      <c r="AV144" s="153">
        <f>$C144*INDEX(Curves!$S$8:$S$68,AV$4-$B144+1)</f>
        <v/>
      </c>
      <c r="AW144" s="153">
        <f>$C144*INDEX(Curves!$S$8:$S$68,AW$4-$B144+1)</f>
        <v/>
      </c>
      <c r="AX144" s="153">
        <f>$C144*INDEX(Curves!$S$8:$S$68,AX$4-$B144+1)</f>
        <v/>
      </c>
      <c r="AY144" s="153">
        <f>$C144*INDEX(Curves!$S$8:$S$68,AY$4-$B144+1)</f>
        <v/>
      </c>
      <c r="AZ144" s="153">
        <f>$C144*INDEX(Curves!$S$8:$S$68,AZ$4-$B144+1)</f>
        <v/>
      </c>
      <c r="BA144" s="153">
        <f>$C144*INDEX(Curves!$S$8:$S$68,BA$4-$B144+1)</f>
        <v/>
      </c>
      <c r="BB144" s="153">
        <f>$C144*INDEX(Curves!$S$8:$S$68,BB$4-$B144+1)</f>
        <v/>
      </c>
      <c r="BC144" s="153">
        <f>$C144*INDEX(Curves!$S$8:$S$68,BC$4-$B144+1)</f>
        <v/>
      </c>
      <c r="BD144" s="153">
        <f>$C144*INDEX(Curves!$S$8:$S$68,BD$4-$B144+1)</f>
        <v/>
      </c>
      <c r="BE144" s="153">
        <f>$C144*INDEX(Curves!$S$8:$S$68,BE$4-$B144+1)</f>
        <v/>
      </c>
      <c r="BF144" s="153">
        <f>$C144*INDEX(Curves!$S$8:$S$68,BF$4-$B144+1)</f>
        <v/>
      </c>
      <c r="BG144" s="153">
        <f>$C144*INDEX(Curves!$S$8:$S$68,BG$4-$B144+1)</f>
        <v/>
      </c>
      <c r="BH144" s="153">
        <f>$C144*INDEX(Curves!$S$8:$S$68,BH$4-$B144+1)</f>
        <v/>
      </c>
      <c r="BI144" s="153">
        <f>$C144*INDEX(Curves!$S$8:$S$68,BI$4-$B144+1)</f>
        <v/>
      </c>
      <c r="BJ144" s="153">
        <f>$C144*INDEX(Curves!$S$8:$S$68,BJ$4-$B144+1)</f>
        <v/>
      </c>
      <c r="BK144" s="153">
        <f>$C144*INDEX(Curves!$S$8:$S$68,BK$4-$B144+1)</f>
        <v/>
      </c>
      <c r="BL144" s="153">
        <f>$C144*INDEX(Curves!$S$8:$S$68,BL$4-$B144+1)</f>
        <v/>
      </c>
    </row>
    <row r="145">
      <c r="A145" s="147" t="inlineStr">
        <is>
          <t>Cohort month 10</t>
        </is>
      </c>
      <c r="B145" s="147" t="n">
        <v>10</v>
      </c>
      <c r="C145" s="41">
        <f>INDEX(Ops!$E$35:$BL$35,1,$B145)</f>
        <v/>
      </c>
      <c r="O145" s="153">
        <f>$C145*INDEX(Curves!$S$8:$S$68,O$4-$B145+1)</f>
        <v/>
      </c>
      <c r="P145" s="153">
        <f>$C145*INDEX(Curves!$S$8:$S$68,P$4-$B145+1)</f>
        <v/>
      </c>
      <c r="Q145" s="153">
        <f>$C145*INDEX(Curves!$S$8:$S$68,Q$4-$B145+1)</f>
        <v/>
      </c>
      <c r="R145" s="153">
        <f>$C145*INDEX(Curves!$S$8:$S$68,R$4-$B145+1)</f>
        <v/>
      </c>
      <c r="S145" s="153">
        <f>$C145*INDEX(Curves!$S$8:$S$68,S$4-$B145+1)</f>
        <v/>
      </c>
      <c r="T145" s="153">
        <f>$C145*INDEX(Curves!$S$8:$S$68,T$4-$B145+1)</f>
        <v/>
      </c>
      <c r="U145" s="153">
        <f>$C145*INDEX(Curves!$S$8:$S$68,U$4-$B145+1)</f>
        <v/>
      </c>
      <c r="V145" s="153">
        <f>$C145*INDEX(Curves!$S$8:$S$68,V$4-$B145+1)</f>
        <v/>
      </c>
      <c r="W145" s="153">
        <f>$C145*INDEX(Curves!$S$8:$S$68,W$4-$B145+1)</f>
        <v/>
      </c>
      <c r="X145" s="153">
        <f>$C145*INDEX(Curves!$S$8:$S$68,X$4-$B145+1)</f>
        <v/>
      </c>
      <c r="Y145" s="153">
        <f>$C145*INDEX(Curves!$S$8:$S$68,Y$4-$B145+1)</f>
        <v/>
      </c>
      <c r="Z145" s="153">
        <f>$C145*INDEX(Curves!$S$8:$S$68,Z$4-$B145+1)</f>
        <v/>
      </c>
      <c r="AA145" s="153">
        <f>$C145*INDEX(Curves!$S$8:$S$68,AA$4-$B145+1)</f>
        <v/>
      </c>
      <c r="AB145" s="153">
        <f>$C145*INDEX(Curves!$S$8:$S$68,AB$4-$B145+1)</f>
        <v/>
      </c>
      <c r="AC145" s="153">
        <f>$C145*INDEX(Curves!$S$8:$S$68,AC$4-$B145+1)</f>
        <v/>
      </c>
      <c r="AD145" s="153">
        <f>$C145*INDEX(Curves!$S$8:$S$68,AD$4-$B145+1)</f>
        <v/>
      </c>
      <c r="AE145" s="153">
        <f>$C145*INDEX(Curves!$S$8:$S$68,AE$4-$B145+1)</f>
        <v/>
      </c>
      <c r="AF145" s="153">
        <f>$C145*INDEX(Curves!$S$8:$S$68,AF$4-$B145+1)</f>
        <v/>
      </c>
      <c r="AG145" s="153">
        <f>$C145*INDEX(Curves!$S$8:$S$68,AG$4-$B145+1)</f>
        <v/>
      </c>
      <c r="AH145" s="153">
        <f>$C145*INDEX(Curves!$S$8:$S$68,AH$4-$B145+1)</f>
        <v/>
      </c>
      <c r="AI145" s="153">
        <f>$C145*INDEX(Curves!$S$8:$S$68,AI$4-$B145+1)</f>
        <v/>
      </c>
      <c r="AJ145" s="153">
        <f>$C145*INDEX(Curves!$S$8:$S$68,AJ$4-$B145+1)</f>
        <v/>
      </c>
      <c r="AK145" s="153">
        <f>$C145*INDEX(Curves!$S$8:$S$68,AK$4-$B145+1)</f>
        <v/>
      </c>
      <c r="AL145" s="153">
        <f>$C145*INDEX(Curves!$S$8:$S$68,AL$4-$B145+1)</f>
        <v/>
      </c>
      <c r="AM145" s="153">
        <f>$C145*INDEX(Curves!$S$8:$S$68,AM$4-$B145+1)</f>
        <v/>
      </c>
      <c r="AN145" s="153">
        <f>$C145*INDEX(Curves!$S$8:$S$68,AN$4-$B145+1)</f>
        <v/>
      </c>
      <c r="AO145" s="153">
        <f>$C145*INDEX(Curves!$S$8:$S$68,AO$4-$B145+1)</f>
        <v/>
      </c>
      <c r="AP145" s="153">
        <f>$C145*INDEX(Curves!$S$8:$S$68,AP$4-$B145+1)</f>
        <v/>
      </c>
      <c r="AQ145" s="153">
        <f>$C145*INDEX(Curves!$S$8:$S$68,AQ$4-$B145+1)</f>
        <v/>
      </c>
      <c r="AR145" s="153">
        <f>$C145*INDEX(Curves!$S$8:$S$68,AR$4-$B145+1)</f>
        <v/>
      </c>
      <c r="AS145" s="153">
        <f>$C145*INDEX(Curves!$S$8:$S$68,AS$4-$B145+1)</f>
        <v/>
      </c>
      <c r="AT145" s="153">
        <f>$C145*INDEX(Curves!$S$8:$S$68,AT$4-$B145+1)</f>
        <v/>
      </c>
      <c r="AU145" s="153">
        <f>$C145*INDEX(Curves!$S$8:$S$68,AU$4-$B145+1)</f>
        <v/>
      </c>
      <c r="AV145" s="153">
        <f>$C145*INDEX(Curves!$S$8:$S$68,AV$4-$B145+1)</f>
        <v/>
      </c>
      <c r="AW145" s="153">
        <f>$C145*INDEX(Curves!$S$8:$S$68,AW$4-$B145+1)</f>
        <v/>
      </c>
      <c r="AX145" s="153">
        <f>$C145*INDEX(Curves!$S$8:$S$68,AX$4-$B145+1)</f>
        <v/>
      </c>
      <c r="AY145" s="153">
        <f>$C145*INDEX(Curves!$S$8:$S$68,AY$4-$B145+1)</f>
        <v/>
      </c>
      <c r="AZ145" s="153">
        <f>$C145*INDEX(Curves!$S$8:$S$68,AZ$4-$B145+1)</f>
        <v/>
      </c>
      <c r="BA145" s="153">
        <f>$C145*INDEX(Curves!$S$8:$S$68,BA$4-$B145+1)</f>
        <v/>
      </c>
      <c r="BB145" s="153">
        <f>$C145*INDEX(Curves!$S$8:$S$68,BB$4-$B145+1)</f>
        <v/>
      </c>
      <c r="BC145" s="153">
        <f>$C145*INDEX(Curves!$S$8:$S$68,BC$4-$B145+1)</f>
        <v/>
      </c>
      <c r="BD145" s="153">
        <f>$C145*INDEX(Curves!$S$8:$S$68,BD$4-$B145+1)</f>
        <v/>
      </c>
      <c r="BE145" s="153">
        <f>$C145*INDEX(Curves!$S$8:$S$68,BE$4-$B145+1)</f>
        <v/>
      </c>
      <c r="BF145" s="153">
        <f>$C145*INDEX(Curves!$S$8:$S$68,BF$4-$B145+1)</f>
        <v/>
      </c>
      <c r="BG145" s="153">
        <f>$C145*INDEX(Curves!$S$8:$S$68,BG$4-$B145+1)</f>
        <v/>
      </c>
      <c r="BH145" s="153">
        <f>$C145*INDEX(Curves!$S$8:$S$68,BH$4-$B145+1)</f>
        <v/>
      </c>
      <c r="BI145" s="153">
        <f>$C145*INDEX(Curves!$S$8:$S$68,BI$4-$B145+1)</f>
        <v/>
      </c>
      <c r="BJ145" s="153">
        <f>$C145*INDEX(Curves!$S$8:$S$68,BJ$4-$B145+1)</f>
        <v/>
      </c>
      <c r="BK145" s="153">
        <f>$C145*INDEX(Curves!$S$8:$S$68,BK$4-$B145+1)</f>
        <v/>
      </c>
      <c r="BL145" s="153">
        <f>$C145*INDEX(Curves!$S$8:$S$68,BL$4-$B145+1)</f>
        <v/>
      </c>
    </row>
    <row r="146">
      <c r="A146" s="147" t="inlineStr">
        <is>
          <t>Cohort month 11</t>
        </is>
      </c>
      <c r="B146" s="147" t="n">
        <v>11</v>
      </c>
      <c r="C146" s="41">
        <f>INDEX(Ops!$E$35:$BL$35,1,$B146)</f>
        <v/>
      </c>
      <c r="P146" s="153">
        <f>$C146*INDEX(Curves!$S$8:$S$68,P$4-$B146+1)</f>
        <v/>
      </c>
      <c r="Q146" s="153">
        <f>$C146*INDEX(Curves!$S$8:$S$68,Q$4-$B146+1)</f>
        <v/>
      </c>
      <c r="R146" s="153">
        <f>$C146*INDEX(Curves!$S$8:$S$68,R$4-$B146+1)</f>
        <v/>
      </c>
      <c r="S146" s="153">
        <f>$C146*INDEX(Curves!$S$8:$S$68,S$4-$B146+1)</f>
        <v/>
      </c>
      <c r="T146" s="153">
        <f>$C146*INDEX(Curves!$S$8:$S$68,T$4-$B146+1)</f>
        <v/>
      </c>
      <c r="U146" s="153">
        <f>$C146*INDEX(Curves!$S$8:$S$68,U$4-$B146+1)</f>
        <v/>
      </c>
      <c r="V146" s="153">
        <f>$C146*INDEX(Curves!$S$8:$S$68,V$4-$B146+1)</f>
        <v/>
      </c>
      <c r="W146" s="153">
        <f>$C146*INDEX(Curves!$S$8:$S$68,W$4-$B146+1)</f>
        <v/>
      </c>
      <c r="X146" s="153">
        <f>$C146*INDEX(Curves!$S$8:$S$68,X$4-$B146+1)</f>
        <v/>
      </c>
      <c r="Y146" s="153">
        <f>$C146*INDEX(Curves!$S$8:$S$68,Y$4-$B146+1)</f>
        <v/>
      </c>
      <c r="Z146" s="153">
        <f>$C146*INDEX(Curves!$S$8:$S$68,Z$4-$B146+1)</f>
        <v/>
      </c>
      <c r="AA146" s="153">
        <f>$C146*INDEX(Curves!$S$8:$S$68,AA$4-$B146+1)</f>
        <v/>
      </c>
      <c r="AB146" s="153">
        <f>$C146*INDEX(Curves!$S$8:$S$68,AB$4-$B146+1)</f>
        <v/>
      </c>
      <c r="AC146" s="153">
        <f>$C146*INDEX(Curves!$S$8:$S$68,AC$4-$B146+1)</f>
        <v/>
      </c>
      <c r="AD146" s="153">
        <f>$C146*INDEX(Curves!$S$8:$S$68,AD$4-$B146+1)</f>
        <v/>
      </c>
      <c r="AE146" s="153">
        <f>$C146*INDEX(Curves!$S$8:$S$68,AE$4-$B146+1)</f>
        <v/>
      </c>
      <c r="AF146" s="153">
        <f>$C146*INDEX(Curves!$S$8:$S$68,AF$4-$B146+1)</f>
        <v/>
      </c>
      <c r="AG146" s="153">
        <f>$C146*INDEX(Curves!$S$8:$S$68,AG$4-$B146+1)</f>
        <v/>
      </c>
      <c r="AH146" s="153">
        <f>$C146*INDEX(Curves!$S$8:$S$68,AH$4-$B146+1)</f>
        <v/>
      </c>
      <c r="AI146" s="153">
        <f>$C146*INDEX(Curves!$S$8:$S$68,AI$4-$B146+1)</f>
        <v/>
      </c>
      <c r="AJ146" s="153">
        <f>$C146*INDEX(Curves!$S$8:$S$68,AJ$4-$B146+1)</f>
        <v/>
      </c>
      <c r="AK146" s="153">
        <f>$C146*INDEX(Curves!$S$8:$S$68,AK$4-$B146+1)</f>
        <v/>
      </c>
      <c r="AL146" s="153">
        <f>$C146*INDEX(Curves!$S$8:$S$68,AL$4-$B146+1)</f>
        <v/>
      </c>
      <c r="AM146" s="153">
        <f>$C146*INDEX(Curves!$S$8:$S$68,AM$4-$B146+1)</f>
        <v/>
      </c>
      <c r="AN146" s="153">
        <f>$C146*INDEX(Curves!$S$8:$S$68,AN$4-$B146+1)</f>
        <v/>
      </c>
      <c r="AO146" s="153">
        <f>$C146*INDEX(Curves!$S$8:$S$68,AO$4-$B146+1)</f>
        <v/>
      </c>
      <c r="AP146" s="153">
        <f>$C146*INDEX(Curves!$S$8:$S$68,AP$4-$B146+1)</f>
        <v/>
      </c>
      <c r="AQ146" s="153">
        <f>$C146*INDEX(Curves!$S$8:$S$68,AQ$4-$B146+1)</f>
        <v/>
      </c>
      <c r="AR146" s="153">
        <f>$C146*INDEX(Curves!$S$8:$S$68,AR$4-$B146+1)</f>
        <v/>
      </c>
      <c r="AS146" s="153">
        <f>$C146*INDEX(Curves!$S$8:$S$68,AS$4-$B146+1)</f>
        <v/>
      </c>
      <c r="AT146" s="153">
        <f>$C146*INDEX(Curves!$S$8:$S$68,AT$4-$B146+1)</f>
        <v/>
      </c>
      <c r="AU146" s="153">
        <f>$C146*INDEX(Curves!$S$8:$S$68,AU$4-$B146+1)</f>
        <v/>
      </c>
      <c r="AV146" s="153">
        <f>$C146*INDEX(Curves!$S$8:$S$68,AV$4-$B146+1)</f>
        <v/>
      </c>
      <c r="AW146" s="153">
        <f>$C146*INDEX(Curves!$S$8:$S$68,AW$4-$B146+1)</f>
        <v/>
      </c>
      <c r="AX146" s="153">
        <f>$C146*INDEX(Curves!$S$8:$S$68,AX$4-$B146+1)</f>
        <v/>
      </c>
      <c r="AY146" s="153">
        <f>$C146*INDEX(Curves!$S$8:$S$68,AY$4-$B146+1)</f>
        <v/>
      </c>
      <c r="AZ146" s="153">
        <f>$C146*INDEX(Curves!$S$8:$S$68,AZ$4-$B146+1)</f>
        <v/>
      </c>
      <c r="BA146" s="153">
        <f>$C146*INDEX(Curves!$S$8:$S$68,BA$4-$B146+1)</f>
        <v/>
      </c>
      <c r="BB146" s="153">
        <f>$C146*INDEX(Curves!$S$8:$S$68,BB$4-$B146+1)</f>
        <v/>
      </c>
      <c r="BC146" s="153">
        <f>$C146*INDEX(Curves!$S$8:$S$68,BC$4-$B146+1)</f>
        <v/>
      </c>
      <c r="BD146" s="153">
        <f>$C146*INDEX(Curves!$S$8:$S$68,BD$4-$B146+1)</f>
        <v/>
      </c>
      <c r="BE146" s="153">
        <f>$C146*INDEX(Curves!$S$8:$S$68,BE$4-$B146+1)</f>
        <v/>
      </c>
      <c r="BF146" s="153">
        <f>$C146*INDEX(Curves!$S$8:$S$68,BF$4-$B146+1)</f>
        <v/>
      </c>
      <c r="BG146" s="153">
        <f>$C146*INDEX(Curves!$S$8:$S$68,BG$4-$B146+1)</f>
        <v/>
      </c>
      <c r="BH146" s="153">
        <f>$C146*INDEX(Curves!$S$8:$S$68,BH$4-$B146+1)</f>
        <v/>
      </c>
      <c r="BI146" s="153">
        <f>$C146*INDEX(Curves!$S$8:$S$68,BI$4-$B146+1)</f>
        <v/>
      </c>
      <c r="BJ146" s="153">
        <f>$C146*INDEX(Curves!$S$8:$S$68,BJ$4-$B146+1)</f>
        <v/>
      </c>
      <c r="BK146" s="153">
        <f>$C146*INDEX(Curves!$S$8:$S$68,BK$4-$B146+1)</f>
        <v/>
      </c>
      <c r="BL146" s="153">
        <f>$C146*INDEX(Curves!$S$8:$S$68,BL$4-$B146+1)</f>
        <v/>
      </c>
    </row>
    <row r="147">
      <c r="A147" s="147" t="inlineStr">
        <is>
          <t>Cohort month 12</t>
        </is>
      </c>
      <c r="B147" s="147" t="n">
        <v>12</v>
      </c>
      <c r="C147" s="41">
        <f>INDEX(Ops!$E$35:$BL$35,1,$B147)</f>
        <v/>
      </c>
      <c r="Q147" s="153">
        <f>$C147*INDEX(Curves!$S$8:$S$68,Q$4-$B147+1)</f>
        <v/>
      </c>
      <c r="R147" s="153">
        <f>$C147*INDEX(Curves!$S$8:$S$68,R$4-$B147+1)</f>
        <v/>
      </c>
      <c r="S147" s="153">
        <f>$C147*INDEX(Curves!$S$8:$S$68,S$4-$B147+1)</f>
        <v/>
      </c>
      <c r="T147" s="153">
        <f>$C147*INDEX(Curves!$S$8:$S$68,T$4-$B147+1)</f>
        <v/>
      </c>
      <c r="U147" s="153">
        <f>$C147*INDEX(Curves!$S$8:$S$68,U$4-$B147+1)</f>
        <v/>
      </c>
      <c r="V147" s="153">
        <f>$C147*INDEX(Curves!$S$8:$S$68,V$4-$B147+1)</f>
        <v/>
      </c>
      <c r="W147" s="153">
        <f>$C147*INDEX(Curves!$S$8:$S$68,W$4-$B147+1)</f>
        <v/>
      </c>
      <c r="X147" s="153">
        <f>$C147*INDEX(Curves!$S$8:$S$68,X$4-$B147+1)</f>
        <v/>
      </c>
      <c r="Y147" s="153">
        <f>$C147*INDEX(Curves!$S$8:$S$68,Y$4-$B147+1)</f>
        <v/>
      </c>
      <c r="Z147" s="153">
        <f>$C147*INDEX(Curves!$S$8:$S$68,Z$4-$B147+1)</f>
        <v/>
      </c>
      <c r="AA147" s="153">
        <f>$C147*INDEX(Curves!$S$8:$S$68,AA$4-$B147+1)</f>
        <v/>
      </c>
      <c r="AB147" s="153">
        <f>$C147*INDEX(Curves!$S$8:$S$68,AB$4-$B147+1)</f>
        <v/>
      </c>
      <c r="AC147" s="153">
        <f>$C147*INDEX(Curves!$S$8:$S$68,AC$4-$B147+1)</f>
        <v/>
      </c>
      <c r="AD147" s="153">
        <f>$C147*INDEX(Curves!$S$8:$S$68,AD$4-$B147+1)</f>
        <v/>
      </c>
      <c r="AE147" s="153">
        <f>$C147*INDEX(Curves!$S$8:$S$68,AE$4-$B147+1)</f>
        <v/>
      </c>
      <c r="AF147" s="153">
        <f>$C147*INDEX(Curves!$S$8:$S$68,AF$4-$B147+1)</f>
        <v/>
      </c>
      <c r="AG147" s="153">
        <f>$C147*INDEX(Curves!$S$8:$S$68,AG$4-$B147+1)</f>
        <v/>
      </c>
      <c r="AH147" s="153">
        <f>$C147*INDEX(Curves!$S$8:$S$68,AH$4-$B147+1)</f>
        <v/>
      </c>
      <c r="AI147" s="153">
        <f>$C147*INDEX(Curves!$S$8:$S$68,AI$4-$B147+1)</f>
        <v/>
      </c>
      <c r="AJ147" s="153">
        <f>$C147*INDEX(Curves!$S$8:$S$68,AJ$4-$B147+1)</f>
        <v/>
      </c>
      <c r="AK147" s="153">
        <f>$C147*INDEX(Curves!$S$8:$S$68,AK$4-$B147+1)</f>
        <v/>
      </c>
      <c r="AL147" s="153">
        <f>$C147*INDEX(Curves!$S$8:$S$68,AL$4-$B147+1)</f>
        <v/>
      </c>
      <c r="AM147" s="153">
        <f>$C147*INDEX(Curves!$S$8:$S$68,AM$4-$B147+1)</f>
        <v/>
      </c>
      <c r="AN147" s="153">
        <f>$C147*INDEX(Curves!$S$8:$S$68,AN$4-$B147+1)</f>
        <v/>
      </c>
      <c r="AO147" s="153">
        <f>$C147*INDEX(Curves!$S$8:$S$68,AO$4-$B147+1)</f>
        <v/>
      </c>
      <c r="AP147" s="153">
        <f>$C147*INDEX(Curves!$S$8:$S$68,AP$4-$B147+1)</f>
        <v/>
      </c>
      <c r="AQ147" s="153">
        <f>$C147*INDEX(Curves!$S$8:$S$68,AQ$4-$B147+1)</f>
        <v/>
      </c>
      <c r="AR147" s="153">
        <f>$C147*INDEX(Curves!$S$8:$S$68,AR$4-$B147+1)</f>
        <v/>
      </c>
      <c r="AS147" s="153">
        <f>$C147*INDEX(Curves!$S$8:$S$68,AS$4-$B147+1)</f>
        <v/>
      </c>
      <c r="AT147" s="153">
        <f>$C147*INDEX(Curves!$S$8:$S$68,AT$4-$B147+1)</f>
        <v/>
      </c>
      <c r="AU147" s="153">
        <f>$C147*INDEX(Curves!$S$8:$S$68,AU$4-$B147+1)</f>
        <v/>
      </c>
      <c r="AV147" s="153">
        <f>$C147*INDEX(Curves!$S$8:$S$68,AV$4-$B147+1)</f>
        <v/>
      </c>
      <c r="AW147" s="153">
        <f>$C147*INDEX(Curves!$S$8:$S$68,AW$4-$B147+1)</f>
        <v/>
      </c>
      <c r="AX147" s="153">
        <f>$C147*INDEX(Curves!$S$8:$S$68,AX$4-$B147+1)</f>
        <v/>
      </c>
      <c r="AY147" s="153">
        <f>$C147*INDEX(Curves!$S$8:$S$68,AY$4-$B147+1)</f>
        <v/>
      </c>
      <c r="AZ147" s="153">
        <f>$C147*INDEX(Curves!$S$8:$S$68,AZ$4-$B147+1)</f>
        <v/>
      </c>
      <c r="BA147" s="153">
        <f>$C147*INDEX(Curves!$S$8:$S$68,BA$4-$B147+1)</f>
        <v/>
      </c>
      <c r="BB147" s="153">
        <f>$C147*INDEX(Curves!$S$8:$S$68,BB$4-$B147+1)</f>
        <v/>
      </c>
      <c r="BC147" s="153">
        <f>$C147*INDEX(Curves!$S$8:$S$68,BC$4-$B147+1)</f>
        <v/>
      </c>
      <c r="BD147" s="153">
        <f>$C147*INDEX(Curves!$S$8:$S$68,BD$4-$B147+1)</f>
        <v/>
      </c>
      <c r="BE147" s="153">
        <f>$C147*INDEX(Curves!$S$8:$S$68,BE$4-$B147+1)</f>
        <v/>
      </c>
      <c r="BF147" s="153">
        <f>$C147*INDEX(Curves!$S$8:$S$68,BF$4-$B147+1)</f>
        <v/>
      </c>
      <c r="BG147" s="153">
        <f>$C147*INDEX(Curves!$S$8:$S$68,BG$4-$B147+1)</f>
        <v/>
      </c>
      <c r="BH147" s="153">
        <f>$C147*INDEX(Curves!$S$8:$S$68,BH$4-$B147+1)</f>
        <v/>
      </c>
      <c r="BI147" s="153">
        <f>$C147*INDEX(Curves!$S$8:$S$68,BI$4-$B147+1)</f>
        <v/>
      </c>
      <c r="BJ147" s="153">
        <f>$C147*INDEX(Curves!$S$8:$S$68,BJ$4-$B147+1)</f>
        <v/>
      </c>
      <c r="BK147" s="153">
        <f>$C147*INDEX(Curves!$S$8:$S$68,BK$4-$B147+1)</f>
        <v/>
      </c>
      <c r="BL147" s="153">
        <f>$C147*INDEX(Curves!$S$8:$S$68,BL$4-$B147+1)</f>
        <v/>
      </c>
    </row>
    <row r="148">
      <c r="A148" s="147" t="inlineStr">
        <is>
          <t>Cohort month 13</t>
        </is>
      </c>
      <c r="B148" s="147" t="n">
        <v>13</v>
      </c>
      <c r="C148" s="41">
        <f>INDEX(Ops!$E$35:$BL$35,1,$B148)</f>
        <v/>
      </c>
      <c r="R148" s="153">
        <f>$C148*INDEX(Curves!$S$8:$S$68,R$4-$B148+1)</f>
        <v/>
      </c>
      <c r="S148" s="153">
        <f>$C148*INDEX(Curves!$S$8:$S$68,S$4-$B148+1)</f>
        <v/>
      </c>
      <c r="T148" s="153">
        <f>$C148*INDEX(Curves!$S$8:$S$68,T$4-$B148+1)</f>
        <v/>
      </c>
      <c r="U148" s="153">
        <f>$C148*INDEX(Curves!$S$8:$S$68,U$4-$B148+1)</f>
        <v/>
      </c>
      <c r="V148" s="153">
        <f>$C148*INDEX(Curves!$S$8:$S$68,V$4-$B148+1)</f>
        <v/>
      </c>
      <c r="W148" s="153">
        <f>$C148*INDEX(Curves!$S$8:$S$68,W$4-$B148+1)</f>
        <v/>
      </c>
      <c r="X148" s="153">
        <f>$C148*INDEX(Curves!$S$8:$S$68,X$4-$B148+1)</f>
        <v/>
      </c>
      <c r="Y148" s="153">
        <f>$C148*INDEX(Curves!$S$8:$S$68,Y$4-$B148+1)</f>
        <v/>
      </c>
      <c r="Z148" s="153">
        <f>$C148*INDEX(Curves!$S$8:$S$68,Z$4-$B148+1)</f>
        <v/>
      </c>
      <c r="AA148" s="153">
        <f>$C148*INDEX(Curves!$S$8:$S$68,AA$4-$B148+1)</f>
        <v/>
      </c>
      <c r="AB148" s="153">
        <f>$C148*INDEX(Curves!$S$8:$S$68,AB$4-$B148+1)</f>
        <v/>
      </c>
      <c r="AC148" s="153">
        <f>$C148*INDEX(Curves!$S$8:$S$68,AC$4-$B148+1)</f>
        <v/>
      </c>
      <c r="AD148" s="153">
        <f>$C148*INDEX(Curves!$S$8:$S$68,AD$4-$B148+1)</f>
        <v/>
      </c>
      <c r="AE148" s="153">
        <f>$C148*INDEX(Curves!$S$8:$S$68,AE$4-$B148+1)</f>
        <v/>
      </c>
      <c r="AF148" s="153">
        <f>$C148*INDEX(Curves!$S$8:$S$68,AF$4-$B148+1)</f>
        <v/>
      </c>
      <c r="AG148" s="153">
        <f>$C148*INDEX(Curves!$S$8:$S$68,AG$4-$B148+1)</f>
        <v/>
      </c>
      <c r="AH148" s="153">
        <f>$C148*INDEX(Curves!$S$8:$S$68,AH$4-$B148+1)</f>
        <v/>
      </c>
      <c r="AI148" s="153">
        <f>$C148*INDEX(Curves!$S$8:$S$68,AI$4-$B148+1)</f>
        <v/>
      </c>
      <c r="AJ148" s="153">
        <f>$C148*INDEX(Curves!$S$8:$S$68,AJ$4-$B148+1)</f>
        <v/>
      </c>
      <c r="AK148" s="153">
        <f>$C148*INDEX(Curves!$S$8:$S$68,AK$4-$B148+1)</f>
        <v/>
      </c>
      <c r="AL148" s="153">
        <f>$C148*INDEX(Curves!$S$8:$S$68,AL$4-$B148+1)</f>
        <v/>
      </c>
      <c r="AM148" s="153">
        <f>$C148*INDEX(Curves!$S$8:$S$68,AM$4-$B148+1)</f>
        <v/>
      </c>
      <c r="AN148" s="153">
        <f>$C148*INDEX(Curves!$S$8:$S$68,AN$4-$B148+1)</f>
        <v/>
      </c>
      <c r="AO148" s="153">
        <f>$C148*INDEX(Curves!$S$8:$S$68,AO$4-$B148+1)</f>
        <v/>
      </c>
      <c r="AP148" s="153">
        <f>$C148*INDEX(Curves!$S$8:$S$68,AP$4-$B148+1)</f>
        <v/>
      </c>
      <c r="AQ148" s="153">
        <f>$C148*INDEX(Curves!$S$8:$S$68,AQ$4-$B148+1)</f>
        <v/>
      </c>
      <c r="AR148" s="153">
        <f>$C148*INDEX(Curves!$S$8:$S$68,AR$4-$B148+1)</f>
        <v/>
      </c>
      <c r="AS148" s="153">
        <f>$C148*INDEX(Curves!$S$8:$S$68,AS$4-$B148+1)</f>
        <v/>
      </c>
      <c r="AT148" s="153">
        <f>$C148*INDEX(Curves!$S$8:$S$68,AT$4-$B148+1)</f>
        <v/>
      </c>
      <c r="AU148" s="153">
        <f>$C148*INDEX(Curves!$S$8:$S$68,AU$4-$B148+1)</f>
        <v/>
      </c>
      <c r="AV148" s="153">
        <f>$C148*INDEX(Curves!$S$8:$S$68,AV$4-$B148+1)</f>
        <v/>
      </c>
      <c r="AW148" s="153">
        <f>$C148*INDEX(Curves!$S$8:$S$68,AW$4-$B148+1)</f>
        <v/>
      </c>
      <c r="AX148" s="153">
        <f>$C148*INDEX(Curves!$S$8:$S$68,AX$4-$B148+1)</f>
        <v/>
      </c>
      <c r="AY148" s="153">
        <f>$C148*INDEX(Curves!$S$8:$S$68,AY$4-$B148+1)</f>
        <v/>
      </c>
      <c r="AZ148" s="153">
        <f>$C148*INDEX(Curves!$S$8:$S$68,AZ$4-$B148+1)</f>
        <v/>
      </c>
      <c r="BA148" s="153">
        <f>$C148*INDEX(Curves!$S$8:$S$68,BA$4-$B148+1)</f>
        <v/>
      </c>
      <c r="BB148" s="153">
        <f>$C148*INDEX(Curves!$S$8:$S$68,BB$4-$B148+1)</f>
        <v/>
      </c>
      <c r="BC148" s="153">
        <f>$C148*INDEX(Curves!$S$8:$S$68,BC$4-$B148+1)</f>
        <v/>
      </c>
      <c r="BD148" s="153">
        <f>$C148*INDEX(Curves!$S$8:$S$68,BD$4-$B148+1)</f>
        <v/>
      </c>
      <c r="BE148" s="153">
        <f>$C148*INDEX(Curves!$S$8:$S$68,BE$4-$B148+1)</f>
        <v/>
      </c>
      <c r="BF148" s="153">
        <f>$C148*INDEX(Curves!$S$8:$S$68,BF$4-$B148+1)</f>
        <v/>
      </c>
      <c r="BG148" s="153">
        <f>$C148*INDEX(Curves!$S$8:$S$68,BG$4-$B148+1)</f>
        <v/>
      </c>
      <c r="BH148" s="153">
        <f>$C148*INDEX(Curves!$S$8:$S$68,BH$4-$B148+1)</f>
        <v/>
      </c>
      <c r="BI148" s="153">
        <f>$C148*INDEX(Curves!$S$8:$S$68,BI$4-$B148+1)</f>
        <v/>
      </c>
      <c r="BJ148" s="153">
        <f>$C148*INDEX(Curves!$S$8:$S$68,BJ$4-$B148+1)</f>
        <v/>
      </c>
      <c r="BK148" s="153">
        <f>$C148*INDEX(Curves!$S$8:$S$68,BK$4-$B148+1)</f>
        <v/>
      </c>
      <c r="BL148" s="153">
        <f>$C148*INDEX(Curves!$S$8:$S$68,BL$4-$B148+1)</f>
        <v/>
      </c>
    </row>
    <row r="149">
      <c r="A149" s="147" t="inlineStr">
        <is>
          <t>Cohort month 14</t>
        </is>
      </c>
      <c r="B149" s="147" t="n">
        <v>14</v>
      </c>
      <c r="C149" s="41">
        <f>INDEX(Ops!$E$35:$BL$35,1,$B149)</f>
        <v/>
      </c>
      <c r="S149" s="153">
        <f>$C149*INDEX(Curves!$S$8:$S$68,S$4-$B149+1)</f>
        <v/>
      </c>
      <c r="T149" s="153">
        <f>$C149*INDEX(Curves!$S$8:$S$68,T$4-$B149+1)</f>
        <v/>
      </c>
      <c r="U149" s="153">
        <f>$C149*INDEX(Curves!$S$8:$S$68,U$4-$B149+1)</f>
        <v/>
      </c>
      <c r="V149" s="153">
        <f>$C149*INDEX(Curves!$S$8:$S$68,V$4-$B149+1)</f>
        <v/>
      </c>
      <c r="W149" s="153">
        <f>$C149*INDEX(Curves!$S$8:$S$68,W$4-$B149+1)</f>
        <v/>
      </c>
      <c r="X149" s="153">
        <f>$C149*INDEX(Curves!$S$8:$S$68,X$4-$B149+1)</f>
        <v/>
      </c>
      <c r="Y149" s="153">
        <f>$C149*INDEX(Curves!$S$8:$S$68,Y$4-$B149+1)</f>
        <v/>
      </c>
      <c r="Z149" s="153">
        <f>$C149*INDEX(Curves!$S$8:$S$68,Z$4-$B149+1)</f>
        <v/>
      </c>
      <c r="AA149" s="153">
        <f>$C149*INDEX(Curves!$S$8:$S$68,AA$4-$B149+1)</f>
        <v/>
      </c>
      <c r="AB149" s="153">
        <f>$C149*INDEX(Curves!$S$8:$S$68,AB$4-$B149+1)</f>
        <v/>
      </c>
      <c r="AC149" s="153">
        <f>$C149*INDEX(Curves!$S$8:$S$68,AC$4-$B149+1)</f>
        <v/>
      </c>
      <c r="AD149" s="153">
        <f>$C149*INDEX(Curves!$S$8:$S$68,AD$4-$B149+1)</f>
        <v/>
      </c>
      <c r="AE149" s="153">
        <f>$C149*INDEX(Curves!$S$8:$S$68,AE$4-$B149+1)</f>
        <v/>
      </c>
      <c r="AF149" s="153">
        <f>$C149*INDEX(Curves!$S$8:$S$68,AF$4-$B149+1)</f>
        <v/>
      </c>
      <c r="AG149" s="153">
        <f>$C149*INDEX(Curves!$S$8:$S$68,AG$4-$B149+1)</f>
        <v/>
      </c>
      <c r="AH149" s="153">
        <f>$C149*INDEX(Curves!$S$8:$S$68,AH$4-$B149+1)</f>
        <v/>
      </c>
      <c r="AI149" s="153">
        <f>$C149*INDEX(Curves!$S$8:$S$68,AI$4-$B149+1)</f>
        <v/>
      </c>
      <c r="AJ149" s="153">
        <f>$C149*INDEX(Curves!$S$8:$S$68,AJ$4-$B149+1)</f>
        <v/>
      </c>
      <c r="AK149" s="153">
        <f>$C149*INDEX(Curves!$S$8:$S$68,AK$4-$B149+1)</f>
        <v/>
      </c>
      <c r="AL149" s="153">
        <f>$C149*INDEX(Curves!$S$8:$S$68,AL$4-$B149+1)</f>
        <v/>
      </c>
      <c r="AM149" s="153">
        <f>$C149*INDEX(Curves!$S$8:$S$68,AM$4-$B149+1)</f>
        <v/>
      </c>
      <c r="AN149" s="153">
        <f>$C149*INDEX(Curves!$S$8:$S$68,AN$4-$B149+1)</f>
        <v/>
      </c>
      <c r="AO149" s="153">
        <f>$C149*INDEX(Curves!$S$8:$S$68,AO$4-$B149+1)</f>
        <v/>
      </c>
      <c r="AP149" s="153">
        <f>$C149*INDEX(Curves!$S$8:$S$68,AP$4-$B149+1)</f>
        <v/>
      </c>
      <c r="AQ149" s="153">
        <f>$C149*INDEX(Curves!$S$8:$S$68,AQ$4-$B149+1)</f>
        <v/>
      </c>
      <c r="AR149" s="153">
        <f>$C149*INDEX(Curves!$S$8:$S$68,AR$4-$B149+1)</f>
        <v/>
      </c>
      <c r="AS149" s="153">
        <f>$C149*INDEX(Curves!$S$8:$S$68,AS$4-$B149+1)</f>
        <v/>
      </c>
      <c r="AT149" s="153">
        <f>$C149*INDEX(Curves!$S$8:$S$68,AT$4-$B149+1)</f>
        <v/>
      </c>
      <c r="AU149" s="153">
        <f>$C149*INDEX(Curves!$S$8:$S$68,AU$4-$B149+1)</f>
        <v/>
      </c>
      <c r="AV149" s="153">
        <f>$C149*INDEX(Curves!$S$8:$S$68,AV$4-$B149+1)</f>
        <v/>
      </c>
      <c r="AW149" s="153">
        <f>$C149*INDEX(Curves!$S$8:$S$68,AW$4-$B149+1)</f>
        <v/>
      </c>
      <c r="AX149" s="153">
        <f>$C149*INDEX(Curves!$S$8:$S$68,AX$4-$B149+1)</f>
        <v/>
      </c>
      <c r="AY149" s="153">
        <f>$C149*INDEX(Curves!$S$8:$S$68,AY$4-$B149+1)</f>
        <v/>
      </c>
      <c r="AZ149" s="153">
        <f>$C149*INDEX(Curves!$S$8:$S$68,AZ$4-$B149+1)</f>
        <v/>
      </c>
      <c r="BA149" s="153">
        <f>$C149*INDEX(Curves!$S$8:$S$68,BA$4-$B149+1)</f>
        <v/>
      </c>
      <c r="BB149" s="153">
        <f>$C149*INDEX(Curves!$S$8:$S$68,BB$4-$B149+1)</f>
        <v/>
      </c>
      <c r="BC149" s="153">
        <f>$C149*INDEX(Curves!$S$8:$S$68,BC$4-$B149+1)</f>
        <v/>
      </c>
      <c r="BD149" s="153">
        <f>$C149*INDEX(Curves!$S$8:$S$68,BD$4-$B149+1)</f>
        <v/>
      </c>
      <c r="BE149" s="153">
        <f>$C149*INDEX(Curves!$S$8:$S$68,BE$4-$B149+1)</f>
        <v/>
      </c>
      <c r="BF149" s="153">
        <f>$C149*INDEX(Curves!$S$8:$S$68,BF$4-$B149+1)</f>
        <v/>
      </c>
      <c r="BG149" s="153">
        <f>$C149*INDEX(Curves!$S$8:$S$68,BG$4-$B149+1)</f>
        <v/>
      </c>
      <c r="BH149" s="153">
        <f>$C149*INDEX(Curves!$S$8:$S$68,BH$4-$B149+1)</f>
        <v/>
      </c>
      <c r="BI149" s="153">
        <f>$C149*INDEX(Curves!$S$8:$S$68,BI$4-$B149+1)</f>
        <v/>
      </c>
      <c r="BJ149" s="153">
        <f>$C149*INDEX(Curves!$S$8:$S$68,BJ$4-$B149+1)</f>
        <v/>
      </c>
      <c r="BK149" s="153">
        <f>$C149*INDEX(Curves!$S$8:$S$68,BK$4-$B149+1)</f>
        <v/>
      </c>
      <c r="BL149" s="153">
        <f>$C149*INDEX(Curves!$S$8:$S$68,BL$4-$B149+1)</f>
        <v/>
      </c>
    </row>
    <row r="150">
      <c r="A150" s="147" t="inlineStr">
        <is>
          <t>Cohort month 15</t>
        </is>
      </c>
      <c r="B150" s="147" t="n">
        <v>15</v>
      </c>
      <c r="C150" s="41">
        <f>INDEX(Ops!$E$35:$BL$35,1,$B150)</f>
        <v/>
      </c>
      <c r="T150" s="153">
        <f>$C150*INDEX(Curves!$S$8:$S$68,T$4-$B150+1)</f>
        <v/>
      </c>
      <c r="U150" s="153">
        <f>$C150*INDEX(Curves!$S$8:$S$68,U$4-$B150+1)</f>
        <v/>
      </c>
      <c r="V150" s="153">
        <f>$C150*INDEX(Curves!$S$8:$S$68,V$4-$B150+1)</f>
        <v/>
      </c>
      <c r="W150" s="153">
        <f>$C150*INDEX(Curves!$S$8:$S$68,W$4-$B150+1)</f>
        <v/>
      </c>
      <c r="X150" s="153">
        <f>$C150*INDEX(Curves!$S$8:$S$68,X$4-$B150+1)</f>
        <v/>
      </c>
      <c r="Y150" s="153">
        <f>$C150*INDEX(Curves!$S$8:$S$68,Y$4-$B150+1)</f>
        <v/>
      </c>
      <c r="Z150" s="153">
        <f>$C150*INDEX(Curves!$S$8:$S$68,Z$4-$B150+1)</f>
        <v/>
      </c>
      <c r="AA150" s="153">
        <f>$C150*INDEX(Curves!$S$8:$S$68,AA$4-$B150+1)</f>
        <v/>
      </c>
      <c r="AB150" s="153">
        <f>$C150*INDEX(Curves!$S$8:$S$68,AB$4-$B150+1)</f>
        <v/>
      </c>
      <c r="AC150" s="153">
        <f>$C150*INDEX(Curves!$S$8:$S$68,AC$4-$B150+1)</f>
        <v/>
      </c>
      <c r="AD150" s="153">
        <f>$C150*INDEX(Curves!$S$8:$S$68,AD$4-$B150+1)</f>
        <v/>
      </c>
      <c r="AE150" s="153">
        <f>$C150*INDEX(Curves!$S$8:$S$68,AE$4-$B150+1)</f>
        <v/>
      </c>
      <c r="AF150" s="153">
        <f>$C150*INDEX(Curves!$S$8:$S$68,AF$4-$B150+1)</f>
        <v/>
      </c>
      <c r="AG150" s="153">
        <f>$C150*INDEX(Curves!$S$8:$S$68,AG$4-$B150+1)</f>
        <v/>
      </c>
      <c r="AH150" s="153">
        <f>$C150*INDEX(Curves!$S$8:$S$68,AH$4-$B150+1)</f>
        <v/>
      </c>
      <c r="AI150" s="153">
        <f>$C150*INDEX(Curves!$S$8:$S$68,AI$4-$B150+1)</f>
        <v/>
      </c>
      <c r="AJ150" s="153">
        <f>$C150*INDEX(Curves!$S$8:$S$68,AJ$4-$B150+1)</f>
        <v/>
      </c>
      <c r="AK150" s="153">
        <f>$C150*INDEX(Curves!$S$8:$S$68,AK$4-$B150+1)</f>
        <v/>
      </c>
      <c r="AL150" s="153">
        <f>$C150*INDEX(Curves!$S$8:$S$68,AL$4-$B150+1)</f>
        <v/>
      </c>
      <c r="AM150" s="153">
        <f>$C150*INDEX(Curves!$S$8:$S$68,AM$4-$B150+1)</f>
        <v/>
      </c>
      <c r="AN150" s="153">
        <f>$C150*INDEX(Curves!$S$8:$S$68,AN$4-$B150+1)</f>
        <v/>
      </c>
      <c r="AO150" s="153">
        <f>$C150*INDEX(Curves!$S$8:$S$68,AO$4-$B150+1)</f>
        <v/>
      </c>
      <c r="AP150" s="153">
        <f>$C150*INDEX(Curves!$S$8:$S$68,AP$4-$B150+1)</f>
        <v/>
      </c>
      <c r="AQ150" s="153">
        <f>$C150*INDEX(Curves!$S$8:$S$68,AQ$4-$B150+1)</f>
        <v/>
      </c>
      <c r="AR150" s="153">
        <f>$C150*INDEX(Curves!$S$8:$S$68,AR$4-$B150+1)</f>
        <v/>
      </c>
      <c r="AS150" s="153">
        <f>$C150*INDEX(Curves!$S$8:$S$68,AS$4-$B150+1)</f>
        <v/>
      </c>
      <c r="AT150" s="153">
        <f>$C150*INDEX(Curves!$S$8:$S$68,AT$4-$B150+1)</f>
        <v/>
      </c>
      <c r="AU150" s="153">
        <f>$C150*INDEX(Curves!$S$8:$S$68,AU$4-$B150+1)</f>
        <v/>
      </c>
      <c r="AV150" s="153">
        <f>$C150*INDEX(Curves!$S$8:$S$68,AV$4-$B150+1)</f>
        <v/>
      </c>
      <c r="AW150" s="153">
        <f>$C150*INDEX(Curves!$S$8:$S$68,AW$4-$B150+1)</f>
        <v/>
      </c>
      <c r="AX150" s="153">
        <f>$C150*INDEX(Curves!$S$8:$S$68,AX$4-$B150+1)</f>
        <v/>
      </c>
      <c r="AY150" s="153">
        <f>$C150*INDEX(Curves!$S$8:$S$68,AY$4-$B150+1)</f>
        <v/>
      </c>
      <c r="AZ150" s="153">
        <f>$C150*INDEX(Curves!$S$8:$S$68,AZ$4-$B150+1)</f>
        <v/>
      </c>
      <c r="BA150" s="153">
        <f>$C150*INDEX(Curves!$S$8:$S$68,BA$4-$B150+1)</f>
        <v/>
      </c>
      <c r="BB150" s="153">
        <f>$C150*INDEX(Curves!$S$8:$S$68,BB$4-$B150+1)</f>
        <v/>
      </c>
      <c r="BC150" s="153">
        <f>$C150*INDEX(Curves!$S$8:$S$68,BC$4-$B150+1)</f>
        <v/>
      </c>
      <c r="BD150" s="153">
        <f>$C150*INDEX(Curves!$S$8:$S$68,BD$4-$B150+1)</f>
        <v/>
      </c>
      <c r="BE150" s="153">
        <f>$C150*INDEX(Curves!$S$8:$S$68,BE$4-$B150+1)</f>
        <v/>
      </c>
      <c r="BF150" s="153">
        <f>$C150*INDEX(Curves!$S$8:$S$68,BF$4-$B150+1)</f>
        <v/>
      </c>
      <c r="BG150" s="153">
        <f>$C150*INDEX(Curves!$S$8:$S$68,BG$4-$B150+1)</f>
        <v/>
      </c>
      <c r="BH150" s="153">
        <f>$C150*INDEX(Curves!$S$8:$S$68,BH$4-$B150+1)</f>
        <v/>
      </c>
      <c r="BI150" s="153">
        <f>$C150*INDEX(Curves!$S$8:$S$68,BI$4-$B150+1)</f>
        <v/>
      </c>
      <c r="BJ150" s="153">
        <f>$C150*INDEX(Curves!$S$8:$S$68,BJ$4-$B150+1)</f>
        <v/>
      </c>
      <c r="BK150" s="153">
        <f>$C150*INDEX(Curves!$S$8:$S$68,BK$4-$B150+1)</f>
        <v/>
      </c>
      <c r="BL150" s="153">
        <f>$C150*INDEX(Curves!$S$8:$S$68,BL$4-$B150+1)</f>
        <v/>
      </c>
    </row>
    <row r="151">
      <c r="A151" s="147" t="inlineStr">
        <is>
          <t>Cohort month 16</t>
        </is>
      </c>
      <c r="B151" s="147" t="n">
        <v>16</v>
      </c>
      <c r="C151" s="41">
        <f>INDEX(Ops!$E$35:$BL$35,1,$B151)</f>
        <v/>
      </c>
      <c r="U151" s="153">
        <f>$C151*INDEX(Curves!$S$8:$S$68,U$4-$B151+1)</f>
        <v/>
      </c>
      <c r="V151" s="153">
        <f>$C151*INDEX(Curves!$S$8:$S$68,V$4-$B151+1)</f>
        <v/>
      </c>
      <c r="W151" s="153">
        <f>$C151*INDEX(Curves!$S$8:$S$68,W$4-$B151+1)</f>
        <v/>
      </c>
      <c r="X151" s="153">
        <f>$C151*INDEX(Curves!$S$8:$S$68,X$4-$B151+1)</f>
        <v/>
      </c>
      <c r="Y151" s="153">
        <f>$C151*INDEX(Curves!$S$8:$S$68,Y$4-$B151+1)</f>
        <v/>
      </c>
      <c r="Z151" s="153">
        <f>$C151*INDEX(Curves!$S$8:$S$68,Z$4-$B151+1)</f>
        <v/>
      </c>
      <c r="AA151" s="153">
        <f>$C151*INDEX(Curves!$S$8:$S$68,AA$4-$B151+1)</f>
        <v/>
      </c>
      <c r="AB151" s="153">
        <f>$C151*INDEX(Curves!$S$8:$S$68,AB$4-$B151+1)</f>
        <v/>
      </c>
      <c r="AC151" s="153">
        <f>$C151*INDEX(Curves!$S$8:$S$68,AC$4-$B151+1)</f>
        <v/>
      </c>
      <c r="AD151" s="153">
        <f>$C151*INDEX(Curves!$S$8:$S$68,AD$4-$B151+1)</f>
        <v/>
      </c>
      <c r="AE151" s="153">
        <f>$C151*INDEX(Curves!$S$8:$S$68,AE$4-$B151+1)</f>
        <v/>
      </c>
      <c r="AF151" s="153">
        <f>$C151*INDEX(Curves!$S$8:$S$68,AF$4-$B151+1)</f>
        <v/>
      </c>
      <c r="AG151" s="153">
        <f>$C151*INDEX(Curves!$S$8:$S$68,AG$4-$B151+1)</f>
        <v/>
      </c>
      <c r="AH151" s="153">
        <f>$C151*INDEX(Curves!$S$8:$S$68,AH$4-$B151+1)</f>
        <v/>
      </c>
      <c r="AI151" s="153">
        <f>$C151*INDEX(Curves!$S$8:$S$68,AI$4-$B151+1)</f>
        <v/>
      </c>
      <c r="AJ151" s="153">
        <f>$C151*INDEX(Curves!$S$8:$S$68,AJ$4-$B151+1)</f>
        <v/>
      </c>
      <c r="AK151" s="153">
        <f>$C151*INDEX(Curves!$S$8:$S$68,AK$4-$B151+1)</f>
        <v/>
      </c>
      <c r="AL151" s="153">
        <f>$C151*INDEX(Curves!$S$8:$S$68,AL$4-$B151+1)</f>
        <v/>
      </c>
      <c r="AM151" s="153">
        <f>$C151*INDEX(Curves!$S$8:$S$68,AM$4-$B151+1)</f>
        <v/>
      </c>
      <c r="AN151" s="153">
        <f>$C151*INDEX(Curves!$S$8:$S$68,AN$4-$B151+1)</f>
        <v/>
      </c>
      <c r="AO151" s="153">
        <f>$C151*INDEX(Curves!$S$8:$S$68,AO$4-$B151+1)</f>
        <v/>
      </c>
      <c r="AP151" s="153">
        <f>$C151*INDEX(Curves!$S$8:$S$68,AP$4-$B151+1)</f>
        <v/>
      </c>
      <c r="AQ151" s="153">
        <f>$C151*INDEX(Curves!$S$8:$S$68,AQ$4-$B151+1)</f>
        <v/>
      </c>
      <c r="AR151" s="153">
        <f>$C151*INDEX(Curves!$S$8:$S$68,AR$4-$B151+1)</f>
        <v/>
      </c>
      <c r="AS151" s="153">
        <f>$C151*INDEX(Curves!$S$8:$S$68,AS$4-$B151+1)</f>
        <v/>
      </c>
      <c r="AT151" s="153">
        <f>$C151*INDEX(Curves!$S$8:$S$68,AT$4-$B151+1)</f>
        <v/>
      </c>
      <c r="AU151" s="153">
        <f>$C151*INDEX(Curves!$S$8:$S$68,AU$4-$B151+1)</f>
        <v/>
      </c>
      <c r="AV151" s="153">
        <f>$C151*INDEX(Curves!$S$8:$S$68,AV$4-$B151+1)</f>
        <v/>
      </c>
      <c r="AW151" s="153">
        <f>$C151*INDEX(Curves!$S$8:$S$68,AW$4-$B151+1)</f>
        <v/>
      </c>
      <c r="AX151" s="153">
        <f>$C151*INDEX(Curves!$S$8:$S$68,AX$4-$B151+1)</f>
        <v/>
      </c>
      <c r="AY151" s="153">
        <f>$C151*INDEX(Curves!$S$8:$S$68,AY$4-$B151+1)</f>
        <v/>
      </c>
      <c r="AZ151" s="153">
        <f>$C151*INDEX(Curves!$S$8:$S$68,AZ$4-$B151+1)</f>
        <v/>
      </c>
      <c r="BA151" s="153">
        <f>$C151*INDEX(Curves!$S$8:$S$68,BA$4-$B151+1)</f>
        <v/>
      </c>
      <c r="BB151" s="153">
        <f>$C151*INDEX(Curves!$S$8:$S$68,BB$4-$B151+1)</f>
        <v/>
      </c>
      <c r="BC151" s="153">
        <f>$C151*INDEX(Curves!$S$8:$S$68,BC$4-$B151+1)</f>
        <v/>
      </c>
      <c r="BD151" s="153">
        <f>$C151*INDEX(Curves!$S$8:$S$68,BD$4-$B151+1)</f>
        <v/>
      </c>
      <c r="BE151" s="153">
        <f>$C151*INDEX(Curves!$S$8:$S$68,BE$4-$B151+1)</f>
        <v/>
      </c>
      <c r="BF151" s="153">
        <f>$C151*INDEX(Curves!$S$8:$S$68,BF$4-$B151+1)</f>
        <v/>
      </c>
      <c r="BG151" s="153">
        <f>$C151*INDEX(Curves!$S$8:$S$68,BG$4-$B151+1)</f>
        <v/>
      </c>
      <c r="BH151" s="153">
        <f>$C151*INDEX(Curves!$S$8:$S$68,BH$4-$B151+1)</f>
        <v/>
      </c>
      <c r="BI151" s="153">
        <f>$C151*INDEX(Curves!$S$8:$S$68,BI$4-$B151+1)</f>
        <v/>
      </c>
      <c r="BJ151" s="153">
        <f>$C151*INDEX(Curves!$S$8:$S$68,BJ$4-$B151+1)</f>
        <v/>
      </c>
      <c r="BK151" s="153">
        <f>$C151*INDEX(Curves!$S$8:$S$68,BK$4-$B151+1)</f>
        <v/>
      </c>
      <c r="BL151" s="153">
        <f>$C151*INDEX(Curves!$S$8:$S$68,BL$4-$B151+1)</f>
        <v/>
      </c>
    </row>
    <row r="152">
      <c r="A152" s="147" t="inlineStr">
        <is>
          <t>Cohort month 17</t>
        </is>
      </c>
      <c r="B152" s="147" t="n">
        <v>17</v>
      </c>
      <c r="C152" s="41">
        <f>INDEX(Ops!$E$35:$BL$35,1,$B152)</f>
        <v/>
      </c>
      <c r="V152" s="153">
        <f>$C152*INDEX(Curves!$S$8:$S$68,V$4-$B152+1)</f>
        <v/>
      </c>
      <c r="W152" s="153">
        <f>$C152*INDEX(Curves!$S$8:$S$68,W$4-$B152+1)</f>
        <v/>
      </c>
      <c r="X152" s="153">
        <f>$C152*INDEX(Curves!$S$8:$S$68,X$4-$B152+1)</f>
        <v/>
      </c>
      <c r="Y152" s="153">
        <f>$C152*INDEX(Curves!$S$8:$S$68,Y$4-$B152+1)</f>
        <v/>
      </c>
      <c r="Z152" s="153">
        <f>$C152*INDEX(Curves!$S$8:$S$68,Z$4-$B152+1)</f>
        <v/>
      </c>
      <c r="AA152" s="153">
        <f>$C152*INDEX(Curves!$S$8:$S$68,AA$4-$B152+1)</f>
        <v/>
      </c>
      <c r="AB152" s="153">
        <f>$C152*INDEX(Curves!$S$8:$S$68,AB$4-$B152+1)</f>
        <v/>
      </c>
      <c r="AC152" s="153">
        <f>$C152*INDEX(Curves!$S$8:$S$68,AC$4-$B152+1)</f>
        <v/>
      </c>
      <c r="AD152" s="153">
        <f>$C152*INDEX(Curves!$S$8:$S$68,AD$4-$B152+1)</f>
        <v/>
      </c>
      <c r="AE152" s="153">
        <f>$C152*INDEX(Curves!$S$8:$S$68,AE$4-$B152+1)</f>
        <v/>
      </c>
      <c r="AF152" s="153">
        <f>$C152*INDEX(Curves!$S$8:$S$68,AF$4-$B152+1)</f>
        <v/>
      </c>
      <c r="AG152" s="153">
        <f>$C152*INDEX(Curves!$S$8:$S$68,AG$4-$B152+1)</f>
        <v/>
      </c>
      <c r="AH152" s="153">
        <f>$C152*INDEX(Curves!$S$8:$S$68,AH$4-$B152+1)</f>
        <v/>
      </c>
      <c r="AI152" s="153">
        <f>$C152*INDEX(Curves!$S$8:$S$68,AI$4-$B152+1)</f>
        <v/>
      </c>
      <c r="AJ152" s="153">
        <f>$C152*INDEX(Curves!$S$8:$S$68,AJ$4-$B152+1)</f>
        <v/>
      </c>
      <c r="AK152" s="153">
        <f>$C152*INDEX(Curves!$S$8:$S$68,AK$4-$B152+1)</f>
        <v/>
      </c>
      <c r="AL152" s="153">
        <f>$C152*INDEX(Curves!$S$8:$S$68,AL$4-$B152+1)</f>
        <v/>
      </c>
      <c r="AM152" s="153">
        <f>$C152*INDEX(Curves!$S$8:$S$68,AM$4-$B152+1)</f>
        <v/>
      </c>
      <c r="AN152" s="153">
        <f>$C152*INDEX(Curves!$S$8:$S$68,AN$4-$B152+1)</f>
        <v/>
      </c>
      <c r="AO152" s="153">
        <f>$C152*INDEX(Curves!$S$8:$S$68,AO$4-$B152+1)</f>
        <v/>
      </c>
      <c r="AP152" s="153">
        <f>$C152*INDEX(Curves!$S$8:$S$68,AP$4-$B152+1)</f>
        <v/>
      </c>
      <c r="AQ152" s="153">
        <f>$C152*INDEX(Curves!$S$8:$S$68,AQ$4-$B152+1)</f>
        <v/>
      </c>
      <c r="AR152" s="153">
        <f>$C152*INDEX(Curves!$S$8:$S$68,AR$4-$B152+1)</f>
        <v/>
      </c>
      <c r="AS152" s="153">
        <f>$C152*INDEX(Curves!$S$8:$S$68,AS$4-$B152+1)</f>
        <v/>
      </c>
      <c r="AT152" s="153">
        <f>$C152*INDEX(Curves!$S$8:$S$68,AT$4-$B152+1)</f>
        <v/>
      </c>
      <c r="AU152" s="153">
        <f>$C152*INDEX(Curves!$S$8:$S$68,AU$4-$B152+1)</f>
        <v/>
      </c>
      <c r="AV152" s="153">
        <f>$C152*INDEX(Curves!$S$8:$S$68,AV$4-$B152+1)</f>
        <v/>
      </c>
      <c r="AW152" s="153">
        <f>$C152*INDEX(Curves!$S$8:$S$68,AW$4-$B152+1)</f>
        <v/>
      </c>
      <c r="AX152" s="153">
        <f>$C152*INDEX(Curves!$S$8:$S$68,AX$4-$B152+1)</f>
        <v/>
      </c>
      <c r="AY152" s="153">
        <f>$C152*INDEX(Curves!$S$8:$S$68,AY$4-$B152+1)</f>
        <v/>
      </c>
      <c r="AZ152" s="153">
        <f>$C152*INDEX(Curves!$S$8:$S$68,AZ$4-$B152+1)</f>
        <v/>
      </c>
      <c r="BA152" s="153">
        <f>$C152*INDEX(Curves!$S$8:$S$68,BA$4-$B152+1)</f>
        <v/>
      </c>
      <c r="BB152" s="153">
        <f>$C152*INDEX(Curves!$S$8:$S$68,BB$4-$B152+1)</f>
        <v/>
      </c>
      <c r="BC152" s="153">
        <f>$C152*INDEX(Curves!$S$8:$S$68,BC$4-$B152+1)</f>
        <v/>
      </c>
      <c r="BD152" s="153">
        <f>$C152*INDEX(Curves!$S$8:$S$68,BD$4-$B152+1)</f>
        <v/>
      </c>
      <c r="BE152" s="153">
        <f>$C152*INDEX(Curves!$S$8:$S$68,BE$4-$B152+1)</f>
        <v/>
      </c>
      <c r="BF152" s="153">
        <f>$C152*INDEX(Curves!$S$8:$S$68,BF$4-$B152+1)</f>
        <v/>
      </c>
      <c r="BG152" s="153">
        <f>$C152*INDEX(Curves!$S$8:$S$68,BG$4-$B152+1)</f>
        <v/>
      </c>
      <c r="BH152" s="153">
        <f>$C152*INDEX(Curves!$S$8:$S$68,BH$4-$B152+1)</f>
        <v/>
      </c>
      <c r="BI152" s="153">
        <f>$C152*INDEX(Curves!$S$8:$S$68,BI$4-$B152+1)</f>
        <v/>
      </c>
      <c r="BJ152" s="153">
        <f>$C152*INDEX(Curves!$S$8:$S$68,BJ$4-$B152+1)</f>
        <v/>
      </c>
      <c r="BK152" s="153">
        <f>$C152*INDEX(Curves!$S$8:$S$68,BK$4-$B152+1)</f>
        <v/>
      </c>
      <c r="BL152" s="153">
        <f>$C152*INDEX(Curves!$S$8:$S$68,BL$4-$B152+1)</f>
        <v/>
      </c>
    </row>
    <row r="153">
      <c r="A153" s="147" t="inlineStr">
        <is>
          <t>Cohort month 18</t>
        </is>
      </c>
      <c r="B153" s="147" t="n">
        <v>18</v>
      </c>
      <c r="C153" s="41">
        <f>INDEX(Ops!$E$35:$BL$35,1,$B153)</f>
        <v/>
      </c>
      <c r="W153" s="153">
        <f>$C153*INDEX(Curves!$S$8:$S$68,W$4-$B153+1)</f>
        <v/>
      </c>
      <c r="X153" s="153">
        <f>$C153*INDEX(Curves!$S$8:$S$68,X$4-$B153+1)</f>
        <v/>
      </c>
      <c r="Y153" s="153">
        <f>$C153*INDEX(Curves!$S$8:$S$68,Y$4-$B153+1)</f>
        <v/>
      </c>
      <c r="Z153" s="153">
        <f>$C153*INDEX(Curves!$S$8:$S$68,Z$4-$B153+1)</f>
        <v/>
      </c>
      <c r="AA153" s="153">
        <f>$C153*INDEX(Curves!$S$8:$S$68,AA$4-$B153+1)</f>
        <v/>
      </c>
      <c r="AB153" s="153">
        <f>$C153*INDEX(Curves!$S$8:$S$68,AB$4-$B153+1)</f>
        <v/>
      </c>
      <c r="AC153" s="153">
        <f>$C153*INDEX(Curves!$S$8:$S$68,AC$4-$B153+1)</f>
        <v/>
      </c>
      <c r="AD153" s="153">
        <f>$C153*INDEX(Curves!$S$8:$S$68,AD$4-$B153+1)</f>
        <v/>
      </c>
      <c r="AE153" s="153">
        <f>$C153*INDEX(Curves!$S$8:$S$68,AE$4-$B153+1)</f>
        <v/>
      </c>
      <c r="AF153" s="153">
        <f>$C153*INDEX(Curves!$S$8:$S$68,AF$4-$B153+1)</f>
        <v/>
      </c>
      <c r="AG153" s="153">
        <f>$C153*INDEX(Curves!$S$8:$S$68,AG$4-$B153+1)</f>
        <v/>
      </c>
      <c r="AH153" s="153">
        <f>$C153*INDEX(Curves!$S$8:$S$68,AH$4-$B153+1)</f>
        <v/>
      </c>
      <c r="AI153" s="153">
        <f>$C153*INDEX(Curves!$S$8:$S$68,AI$4-$B153+1)</f>
        <v/>
      </c>
      <c r="AJ153" s="153">
        <f>$C153*INDEX(Curves!$S$8:$S$68,AJ$4-$B153+1)</f>
        <v/>
      </c>
      <c r="AK153" s="153">
        <f>$C153*INDEX(Curves!$S$8:$S$68,AK$4-$B153+1)</f>
        <v/>
      </c>
      <c r="AL153" s="153">
        <f>$C153*INDEX(Curves!$S$8:$S$68,AL$4-$B153+1)</f>
        <v/>
      </c>
      <c r="AM153" s="153">
        <f>$C153*INDEX(Curves!$S$8:$S$68,AM$4-$B153+1)</f>
        <v/>
      </c>
      <c r="AN153" s="153">
        <f>$C153*INDEX(Curves!$S$8:$S$68,AN$4-$B153+1)</f>
        <v/>
      </c>
      <c r="AO153" s="153">
        <f>$C153*INDEX(Curves!$S$8:$S$68,AO$4-$B153+1)</f>
        <v/>
      </c>
      <c r="AP153" s="153">
        <f>$C153*INDEX(Curves!$S$8:$S$68,AP$4-$B153+1)</f>
        <v/>
      </c>
      <c r="AQ153" s="153">
        <f>$C153*INDEX(Curves!$S$8:$S$68,AQ$4-$B153+1)</f>
        <v/>
      </c>
      <c r="AR153" s="153">
        <f>$C153*INDEX(Curves!$S$8:$S$68,AR$4-$B153+1)</f>
        <v/>
      </c>
      <c r="AS153" s="153">
        <f>$C153*INDEX(Curves!$S$8:$S$68,AS$4-$B153+1)</f>
        <v/>
      </c>
      <c r="AT153" s="153">
        <f>$C153*INDEX(Curves!$S$8:$S$68,AT$4-$B153+1)</f>
        <v/>
      </c>
      <c r="AU153" s="153">
        <f>$C153*INDEX(Curves!$S$8:$S$68,AU$4-$B153+1)</f>
        <v/>
      </c>
      <c r="AV153" s="153">
        <f>$C153*INDEX(Curves!$S$8:$S$68,AV$4-$B153+1)</f>
        <v/>
      </c>
      <c r="AW153" s="153">
        <f>$C153*INDEX(Curves!$S$8:$S$68,AW$4-$B153+1)</f>
        <v/>
      </c>
      <c r="AX153" s="153">
        <f>$C153*INDEX(Curves!$S$8:$S$68,AX$4-$B153+1)</f>
        <v/>
      </c>
      <c r="AY153" s="153">
        <f>$C153*INDEX(Curves!$S$8:$S$68,AY$4-$B153+1)</f>
        <v/>
      </c>
      <c r="AZ153" s="153">
        <f>$C153*INDEX(Curves!$S$8:$S$68,AZ$4-$B153+1)</f>
        <v/>
      </c>
      <c r="BA153" s="153">
        <f>$C153*INDEX(Curves!$S$8:$S$68,BA$4-$B153+1)</f>
        <v/>
      </c>
      <c r="BB153" s="153">
        <f>$C153*INDEX(Curves!$S$8:$S$68,BB$4-$B153+1)</f>
        <v/>
      </c>
      <c r="BC153" s="153">
        <f>$C153*INDEX(Curves!$S$8:$S$68,BC$4-$B153+1)</f>
        <v/>
      </c>
      <c r="BD153" s="153">
        <f>$C153*INDEX(Curves!$S$8:$S$68,BD$4-$B153+1)</f>
        <v/>
      </c>
      <c r="BE153" s="153">
        <f>$C153*INDEX(Curves!$S$8:$S$68,BE$4-$B153+1)</f>
        <v/>
      </c>
      <c r="BF153" s="153">
        <f>$C153*INDEX(Curves!$S$8:$S$68,BF$4-$B153+1)</f>
        <v/>
      </c>
      <c r="BG153" s="153">
        <f>$C153*INDEX(Curves!$S$8:$S$68,BG$4-$B153+1)</f>
        <v/>
      </c>
      <c r="BH153" s="153">
        <f>$C153*INDEX(Curves!$S$8:$S$68,BH$4-$B153+1)</f>
        <v/>
      </c>
      <c r="BI153" s="153">
        <f>$C153*INDEX(Curves!$S$8:$S$68,BI$4-$B153+1)</f>
        <v/>
      </c>
      <c r="BJ153" s="153">
        <f>$C153*INDEX(Curves!$S$8:$S$68,BJ$4-$B153+1)</f>
        <v/>
      </c>
      <c r="BK153" s="153">
        <f>$C153*INDEX(Curves!$S$8:$S$68,BK$4-$B153+1)</f>
        <v/>
      </c>
      <c r="BL153" s="153">
        <f>$C153*INDEX(Curves!$S$8:$S$68,BL$4-$B153+1)</f>
        <v/>
      </c>
    </row>
    <row r="154">
      <c r="A154" s="147" t="inlineStr">
        <is>
          <t>Cohort month 19</t>
        </is>
      </c>
      <c r="B154" s="147" t="n">
        <v>19</v>
      </c>
      <c r="C154" s="41">
        <f>INDEX(Ops!$E$35:$BL$35,1,$B154)</f>
        <v/>
      </c>
      <c r="X154" s="153">
        <f>$C154*INDEX(Curves!$S$8:$S$68,X$4-$B154+1)</f>
        <v/>
      </c>
      <c r="Y154" s="153">
        <f>$C154*INDEX(Curves!$S$8:$S$68,Y$4-$B154+1)</f>
        <v/>
      </c>
      <c r="Z154" s="153">
        <f>$C154*INDEX(Curves!$S$8:$S$68,Z$4-$B154+1)</f>
        <v/>
      </c>
      <c r="AA154" s="153">
        <f>$C154*INDEX(Curves!$S$8:$S$68,AA$4-$B154+1)</f>
        <v/>
      </c>
      <c r="AB154" s="153">
        <f>$C154*INDEX(Curves!$S$8:$S$68,AB$4-$B154+1)</f>
        <v/>
      </c>
      <c r="AC154" s="153">
        <f>$C154*INDEX(Curves!$S$8:$S$68,AC$4-$B154+1)</f>
        <v/>
      </c>
      <c r="AD154" s="153">
        <f>$C154*INDEX(Curves!$S$8:$S$68,AD$4-$B154+1)</f>
        <v/>
      </c>
      <c r="AE154" s="153">
        <f>$C154*INDEX(Curves!$S$8:$S$68,AE$4-$B154+1)</f>
        <v/>
      </c>
      <c r="AF154" s="153">
        <f>$C154*INDEX(Curves!$S$8:$S$68,AF$4-$B154+1)</f>
        <v/>
      </c>
      <c r="AG154" s="153">
        <f>$C154*INDEX(Curves!$S$8:$S$68,AG$4-$B154+1)</f>
        <v/>
      </c>
      <c r="AH154" s="153">
        <f>$C154*INDEX(Curves!$S$8:$S$68,AH$4-$B154+1)</f>
        <v/>
      </c>
      <c r="AI154" s="153">
        <f>$C154*INDEX(Curves!$S$8:$S$68,AI$4-$B154+1)</f>
        <v/>
      </c>
      <c r="AJ154" s="153">
        <f>$C154*INDEX(Curves!$S$8:$S$68,AJ$4-$B154+1)</f>
        <v/>
      </c>
      <c r="AK154" s="153">
        <f>$C154*INDEX(Curves!$S$8:$S$68,AK$4-$B154+1)</f>
        <v/>
      </c>
      <c r="AL154" s="153">
        <f>$C154*INDEX(Curves!$S$8:$S$68,AL$4-$B154+1)</f>
        <v/>
      </c>
      <c r="AM154" s="153">
        <f>$C154*INDEX(Curves!$S$8:$S$68,AM$4-$B154+1)</f>
        <v/>
      </c>
      <c r="AN154" s="153">
        <f>$C154*INDEX(Curves!$S$8:$S$68,AN$4-$B154+1)</f>
        <v/>
      </c>
      <c r="AO154" s="153">
        <f>$C154*INDEX(Curves!$S$8:$S$68,AO$4-$B154+1)</f>
        <v/>
      </c>
      <c r="AP154" s="153">
        <f>$C154*INDEX(Curves!$S$8:$S$68,AP$4-$B154+1)</f>
        <v/>
      </c>
      <c r="AQ154" s="153">
        <f>$C154*INDEX(Curves!$S$8:$S$68,AQ$4-$B154+1)</f>
        <v/>
      </c>
      <c r="AR154" s="153">
        <f>$C154*INDEX(Curves!$S$8:$S$68,AR$4-$B154+1)</f>
        <v/>
      </c>
      <c r="AS154" s="153">
        <f>$C154*INDEX(Curves!$S$8:$S$68,AS$4-$B154+1)</f>
        <v/>
      </c>
      <c r="AT154" s="153">
        <f>$C154*INDEX(Curves!$S$8:$S$68,AT$4-$B154+1)</f>
        <v/>
      </c>
      <c r="AU154" s="153">
        <f>$C154*INDEX(Curves!$S$8:$S$68,AU$4-$B154+1)</f>
        <v/>
      </c>
      <c r="AV154" s="153">
        <f>$C154*INDEX(Curves!$S$8:$S$68,AV$4-$B154+1)</f>
        <v/>
      </c>
      <c r="AW154" s="153">
        <f>$C154*INDEX(Curves!$S$8:$S$68,AW$4-$B154+1)</f>
        <v/>
      </c>
      <c r="AX154" s="153">
        <f>$C154*INDEX(Curves!$S$8:$S$68,AX$4-$B154+1)</f>
        <v/>
      </c>
      <c r="AY154" s="153">
        <f>$C154*INDEX(Curves!$S$8:$S$68,AY$4-$B154+1)</f>
        <v/>
      </c>
      <c r="AZ154" s="153">
        <f>$C154*INDEX(Curves!$S$8:$S$68,AZ$4-$B154+1)</f>
        <v/>
      </c>
      <c r="BA154" s="153">
        <f>$C154*INDEX(Curves!$S$8:$S$68,BA$4-$B154+1)</f>
        <v/>
      </c>
      <c r="BB154" s="153">
        <f>$C154*INDEX(Curves!$S$8:$S$68,BB$4-$B154+1)</f>
        <v/>
      </c>
      <c r="BC154" s="153">
        <f>$C154*INDEX(Curves!$S$8:$S$68,BC$4-$B154+1)</f>
        <v/>
      </c>
      <c r="BD154" s="153">
        <f>$C154*INDEX(Curves!$S$8:$S$68,BD$4-$B154+1)</f>
        <v/>
      </c>
      <c r="BE154" s="153">
        <f>$C154*INDEX(Curves!$S$8:$S$68,BE$4-$B154+1)</f>
        <v/>
      </c>
      <c r="BF154" s="153">
        <f>$C154*INDEX(Curves!$S$8:$S$68,BF$4-$B154+1)</f>
        <v/>
      </c>
      <c r="BG154" s="153">
        <f>$C154*INDEX(Curves!$S$8:$S$68,BG$4-$B154+1)</f>
        <v/>
      </c>
      <c r="BH154" s="153">
        <f>$C154*INDEX(Curves!$S$8:$S$68,BH$4-$B154+1)</f>
        <v/>
      </c>
      <c r="BI154" s="153">
        <f>$C154*INDEX(Curves!$S$8:$S$68,BI$4-$B154+1)</f>
        <v/>
      </c>
      <c r="BJ154" s="153">
        <f>$C154*INDEX(Curves!$S$8:$S$68,BJ$4-$B154+1)</f>
        <v/>
      </c>
      <c r="BK154" s="153">
        <f>$C154*INDEX(Curves!$S$8:$S$68,BK$4-$B154+1)</f>
        <v/>
      </c>
      <c r="BL154" s="153">
        <f>$C154*INDEX(Curves!$S$8:$S$68,BL$4-$B154+1)</f>
        <v/>
      </c>
    </row>
    <row r="155">
      <c r="A155" s="147" t="inlineStr">
        <is>
          <t>Cohort month 20</t>
        </is>
      </c>
      <c r="B155" s="147" t="n">
        <v>20</v>
      </c>
      <c r="C155" s="41">
        <f>INDEX(Ops!$E$35:$BL$35,1,$B155)</f>
        <v/>
      </c>
      <c r="Y155" s="153">
        <f>$C155*INDEX(Curves!$S$8:$S$68,Y$4-$B155+1)</f>
        <v/>
      </c>
      <c r="Z155" s="153">
        <f>$C155*INDEX(Curves!$S$8:$S$68,Z$4-$B155+1)</f>
        <v/>
      </c>
      <c r="AA155" s="153">
        <f>$C155*INDEX(Curves!$S$8:$S$68,AA$4-$B155+1)</f>
        <v/>
      </c>
      <c r="AB155" s="153">
        <f>$C155*INDEX(Curves!$S$8:$S$68,AB$4-$B155+1)</f>
        <v/>
      </c>
      <c r="AC155" s="153">
        <f>$C155*INDEX(Curves!$S$8:$S$68,AC$4-$B155+1)</f>
        <v/>
      </c>
      <c r="AD155" s="153">
        <f>$C155*INDEX(Curves!$S$8:$S$68,AD$4-$B155+1)</f>
        <v/>
      </c>
      <c r="AE155" s="153">
        <f>$C155*INDEX(Curves!$S$8:$S$68,AE$4-$B155+1)</f>
        <v/>
      </c>
      <c r="AF155" s="153">
        <f>$C155*INDEX(Curves!$S$8:$S$68,AF$4-$B155+1)</f>
        <v/>
      </c>
      <c r="AG155" s="153">
        <f>$C155*INDEX(Curves!$S$8:$S$68,AG$4-$B155+1)</f>
        <v/>
      </c>
      <c r="AH155" s="153">
        <f>$C155*INDEX(Curves!$S$8:$S$68,AH$4-$B155+1)</f>
        <v/>
      </c>
      <c r="AI155" s="153">
        <f>$C155*INDEX(Curves!$S$8:$S$68,AI$4-$B155+1)</f>
        <v/>
      </c>
      <c r="AJ155" s="153">
        <f>$C155*INDEX(Curves!$S$8:$S$68,AJ$4-$B155+1)</f>
        <v/>
      </c>
      <c r="AK155" s="153">
        <f>$C155*INDEX(Curves!$S$8:$S$68,AK$4-$B155+1)</f>
        <v/>
      </c>
      <c r="AL155" s="153">
        <f>$C155*INDEX(Curves!$S$8:$S$68,AL$4-$B155+1)</f>
        <v/>
      </c>
      <c r="AM155" s="153">
        <f>$C155*INDEX(Curves!$S$8:$S$68,AM$4-$B155+1)</f>
        <v/>
      </c>
      <c r="AN155" s="153">
        <f>$C155*INDEX(Curves!$S$8:$S$68,AN$4-$B155+1)</f>
        <v/>
      </c>
      <c r="AO155" s="153">
        <f>$C155*INDEX(Curves!$S$8:$S$68,AO$4-$B155+1)</f>
        <v/>
      </c>
      <c r="AP155" s="153">
        <f>$C155*INDEX(Curves!$S$8:$S$68,AP$4-$B155+1)</f>
        <v/>
      </c>
      <c r="AQ155" s="153">
        <f>$C155*INDEX(Curves!$S$8:$S$68,AQ$4-$B155+1)</f>
        <v/>
      </c>
      <c r="AR155" s="153">
        <f>$C155*INDEX(Curves!$S$8:$S$68,AR$4-$B155+1)</f>
        <v/>
      </c>
      <c r="AS155" s="153">
        <f>$C155*INDEX(Curves!$S$8:$S$68,AS$4-$B155+1)</f>
        <v/>
      </c>
      <c r="AT155" s="153">
        <f>$C155*INDEX(Curves!$S$8:$S$68,AT$4-$B155+1)</f>
        <v/>
      </c>
      <c r="AU155" s="153">
        <f>$C155*INDEX(Curves!$S$8:$S$68,AU$4-$B155+1)</f>
        <v/>
      </c>
      <c r="AV155" s="153">
        <f>$C155*INDEX(Curves!$S$8:$S$68,AV$4-$B155+1)</f>
        <v/>
      </c>
      <c r="AW155" s="153">
        <f>$C155*INDEX(Curves!$S$8:$S$68,AW$4-$B155+1)</f>
        <v/>
      </c>
      <c r="AX155" s="153">
        <f>$C155*INDEX(Curves!$S$8:$S$68,AX$4-$B155+1)</f>
        <v/>
      </c>
      <c r="AY155" s="153">
        <f>$C155*INDEX(Curves!$S$8:$S$68,AY$4-$B155+1)</f>
        <v/>
      </c>
      <c r="AZ155" s="153">
        <f>$C155*INDEX(Curves!$S$8:$S$68,AZ$4-$B155+1)</f>
        <v/>
      </c>
      <c r="BA155" s="153">
        <f>$C155*INDEX(Curves!$S$8:$S$68,BA$4-$B155+1)</f>
        <v/>
      </c>
      <c r="BB155" s="153">
        <f>$C155*INDEX(Curves!$S$8:$S$68,BB$4-$B155+1)</f>
        <v/>
      </c>
      <c r="BC155" s="153">
        <f>$C155*INDEX(Curves!$S$8:$S$68,BC$4-$B155+1)</f>
        <v/>
      </c>
      <c r="BD155" s="153">
        <f>$C155*INDEX(Curves!$S$8:$S$68,BD$4-$B155+1)</f>
        <v/>
      </c>
      <c r="BE155" s="153">
        <f>$C155*INDEX(Curves!$S$8:$S$68,BE$4-$B155+1)</f>
        <v/>
      </c>
      <c r="BF155" s="153">
        <f>$C155*INDEX(Curves!$S$8:$S$68,BF$4-$B155+1)</f>
        <v/>
      </c>
      <c r="BG155" s="153">
        <f>$C155*INDEX(Curves!$S$8:$S$68,BG$4-$B155+1)</f>
        <v/>
      </c>
      <c r="BH155" s="153">
        <f>$C155*INDEX(Curves!$S$8:$S$68,BH$4-$B155+1)</f>
        <v/>
      </c>
      <c r="BI155" s="153">
        <f>$C155*INDEX(Curves!$S$8:$S$68,BI$4-$B155+1)</f>
        <v/>
      </c>
      <c r="BJ155" s="153">
        <f>$C155*INDEX(Curves!$S$8:$S$68,BJ$4-$B155+1)</f>
        <v/>
      </c>
      <c r="BK155" s="153">
        <f>$C155*INDEX(Curves!$S$8:$S$68,BK$4-$B155+1)</f>
        <v/>
      </c>
      <c r="BL155" s="153">
        <f>$C155*INDEX(Curves!$S$8:$S$68,BL$4-$B155+1)</f>
        <v/>
      </c>
    </row>
    <row r="156">
      <c r="A156" s="147" t="inlineStr">
        <is>
          <t>Cohort month 21</t>
        </is>
      </c>
      <c r="B156" s="147" t="n">
        <v>21</v>
      </c>
      <c r="C156" s="41">
        <f>INDEX(Ops!$E$35:$BL$35,1,$B156)</f>
        <v/>
      </c>
      <c r="Z156" s="153">
        <f>$C156*INDEX(Curves!$S$8:$S$68,Z$4-$B156+1)</f>
        <v/>
      </c>
      <c r="AA156" s="153">
        <f>$C156*INDEX(Curves!$S$8:$S$68,AA$4-$B156+1)</f>
        <v/>
      </c>
      <c r="AB156" s="153">
        <f>$C156*INDEX(Curves!$S$8:$S$68,AB$4-$B156+1)</f>
        <v/>
      </c>
      <c r="AC156" s="153">
        <f>$C156*INDEX(Curves!$S$8:$S$68,AC$4-$B156+1)</f>
        <v/>
      </c>
      <c r="AD156" s="153">
        <f>$C156*INDEX(Curves!$S$8:$S$68,AD$4-$B156+1)</f>
        <v/>
      </c>
      <c r="AE156" s="153">
        <f>$C156*INDEX(Curves!$S$8:$S$68,AE$4-$B156+1)</f>
        <v/>
      </c>
      <c r="AF156" s="153">
        <f>$C156*INDEX(Curves!$S$8:$S$68,AF$4-$B156+1)</f>
        <v/>
      </c>
      <c r="AG156" s="153">
        <f>$C156*INDEX(Curves!$S$8:$S$68,AG$4-$B156+1)</f>
        <v/>
      </c>
      <c r="AH156" s="153">
        <f>$C156*INDEX(Curves!$S$8:$S$68,AH$4-$B156+1)</f>
        <v/>
      </c>
      <c r="AI156" s="153">
        <f>$C156*INDEX(Curves!$S$8:$S$68,AI$4-$B156+1)</f>
        <v/>
      </c>
      <c r="AJ156" s="153">
        <f>$C156*INDEX(Curves!$S$8:$S$68,AJ$4-$B156+1)</f>
        <v/>
      </c>
      <c r="AK156" s="153">
        <f>$C156*INDEX(Curves!$S$8:$S$68,AK$4-$B156+1)</f>
        <v/>
      </c>
      <c r="AL156" s="153">
        <f>$C156*INDEX(Curves!$S$8:$S$68,AL$4-$B156+1)</f>
        <v/>
      </c>
      <c r="AM156" s="153">
        <f>$C156*INDEX(Curves!$S$8:$S$68,AM$4-$B156+1)</f>
        <v/>
      </c>
      <c r="AN156" s="153">
        <f>$C156*INDEX(Curves!$S$8:$S$68,AN$4-$B156+1)</f>
        <v/>
      </c>
      <c r="AO156" s="153">
        <f>$C156*INDEX(Curves!$S$8:$S$68,AO$4-$B156+1)</f>
        <v/>
      </c>
      <c r="AP156" s="153">
        <f>$C156*INDEX(Curves!$S$8:$S$68,AP$4-$B156+1)</f>
        <v/>
      </c>
      <c r="AQ156" s="153">
        <f>$C156*INDEX(Curves!$S$8:$S$68,AQ$4-$B156+1)</f>
        <v/>
      </c>
      <c r="AR156" s="153">
        <f>$C156*INDEX(Curves!$S$8:$S$68,AR$4-$B156+1)</f>
        <v/>
      </c>
      <c r="AS156" s="153">
        <f>$C156*INDEX(Curves!$S$8:$S$68,AS$4-$B156+1)</f>
        <v/>
      </c>
      <c r="AT156" s="153">
        <f>$C156*INDEX(Curves!$S$8:$S$68,AT$4-$B156+1)</f>
        <v/>
      </c>
      <c r="AU156" s="153">
        <f>$C156*INDEX(Curves!$S$8:$S$68,AU$4-$B156+1)</f>
        <v/>
      </c>
      <c r="AV156" s="153">
        <f>$C156*INDEX(Curves!$S$8:$S$68,AV$4-$B156+1)</f>
        <v/>
      </c>
      <c r="AW156" s="153">
        <f>$C156*INDEX(Curves!$S$8:$S$68,AW$4-$B156+1)</f>
        <v/>
      </c>
      <c r="AX156" s="153">
        <f>$C156*INDEX(Curves!$S$8:$S$68,AX$4-$B156+1)</f>
        <v/>
      </c>
      <c r="AY156" s="153">
        <f>$C156*INDEX(Curves!$S$8:$S$68,AY$4-$B156+1)</f>
        <v/>
      </c>
      <c r="AZ156" s="153">
        <f>$C156*INDEX(Curves!$S$8:$S$68,AZ$4-$B156+1)</f>
        <v/>
      </c>
      <c r="BA156" s="153">
        <f>$C156*INDEX(Curves!$S$8:$S$68,BA$4-$B156+1)</f>
        <v/>
      </c>
      <c r="BB156" s="153">
        <f>$C156*INDEX(Curves!$S$8:$S$68,BB$4-$B156+1)</f>
        <v/>
      </c>
      <c r="BC156" s="153">
        <f>$C156*INDEX(Curves!$S$8:$S$68,BC$4-$B156+1)</f>
        <v/>
      </c>
      <c r="BD156" s="153">
        <f>$C156*INDEX(Curves!$S$8:$S$68,BD$4-$B156+1)</f>
        <v/>
      </c>
      <c r="BE156" s="153">
        <f>$C156*INDEX(Curves!$S$8:$S$68,BE$4-$B156+1)</f>
        <v/>
      </c>
      <c r="BF156" s="153">
        <f>$C156*INDEX(Curves!$S$8:$S$68,BF$4-$B156+1)</f>
        <v/>
      </c>
      <c r="BG156" s="153">
        <f>$C156*INDEX(Curves!$S$8:$S$68,BG$4-$B156+1)</f>
        <v/>
      </c>
      <c r="BH156" s="153">
        <f>$C156*INDEX(Curves!$S$8:$S$68,BH$4-$B156+1)</f>
        <v/>
      </c>
      <c r="BI156" s="153">
        <f>$C156*INDEX(Curves!$S$8:$S$68,BI$4-$B156+1)</f>
        <v/>
      </c>
      <c r="BJ156" s="153">
        <f>$C156*INDEX(Curves!$S$8:$S$68,BJ$4-$B156+1)</f>
        <v/>
      </c>
      <c r="BK156" s="153">
        <f>$C156*INDEX(Curves!$S$8:$S$68,BK$4-$B156+1)</f>
        <v/>
      </c>
      <c r="BL156" s="153">
        <f>$C156*INDEX(Curves!$S$8:$S$68,BL$4-$B156+1)</f>
        <v/>
      </c>
    </row>
    <row r="157">
      <c r="A157" s="147" t="inlineStr">
        <is>
          <t>Cohort month 22</t>
        </is>
      </c>
      <c r="B157" s="147" t="n">
        <v>22</v>
      </c>
      <c r="C157" s="41">
        <f>INDEX(Ops!$E$35:$BL$35,1,$B157)</f>
        <v/>
      </c>
      <c r="AA157" s="153">
        <f>$C157*INDEX(Curves!$S$8:$S$68,AA$4-$B157+1)</f>
        <v/>
      </c>
      <c r="AB157" s="153">
        <f>$C157*INDEX(Curves!$S$8:$S$68,AB$4-$B157+1)</f>
        <v/>
      </c>
      <c r="AC157" s="153">
        <f>$C157*INDEX(Curves!$S$8:$S$68,AC$4-$B157+1)</f>
        <v/>
      </c>
      <c r="AD157" s="153">
        <f>$C157*INDEX(Curves!$S$8:$S$68,AD$4-$B157+1)</f>
        <v/>
      </c>
      <c r="AE157" s="153">
        <f>$C157*INDEX(Curves!$S$8:$S$68,AE$4-$B157+1)</f>
        <v/>
      </c>
      <c r="AF157" s="153">
        <f>$C157*INDEX(Curves!$S$8:$S$68,AF$4-$B157+1)</f>
        <v/>
      </c>
      <c r="AG157" s="153">
        <f>$C157*INDEX(Curves!$S$8:$S$68,AG$4-$B157+1)</f>
        <v/>
      </c>
      <c r="AH157" s="153">
        <f>$C157*INDEX(Curves!$S$8:$S$68,AH$4-$B157+1)</f>
        <v/>
      </c>
      <c r="AI157" s="153">
        <f>$C157*INDEX(Curves!$S$8:$S$68,AI$4-$B157+1)</f>
        <v/>
      </c>
      <c r="AJ157" s="153">
        <f>$C157*INDEX(Curves!$S$8:$S$68,AJ$4-$B157+1)</f>
        <v/>
      </c>
      <c r="AK157" s="153">
        <f>$C157*INDEX(Curves!$S$8:$S$68,AK$4-$B157+1)</f>
        <v/>
      </c>
      <c r="AL157" s="153">
        <f>$C157*INDEX(Curves!$S$8:$S$68,AL$4-$B157+1)</f>
        <v/>
      </c>
      <c r="AM157" s="153">
        <f>$C157*INDEX(Curves!$S$8:$S$68,AM$4-$B157+1)</f>
        <v/>
      </c>
      <c r="AN157" s="153">
        <f>$C157*INDEX(Curves!$S$8:$S$68,AN$4-$B157+1)</f>
        <v/>
      </c>
      <c r="AO157" s="153">
        <f>$C157*INDEX(Curves!$S$8:$S$68,AO$4-$B157+1)</f>
        <v/>
      </c>
      <c r="AP157" s="153">
        <f>$C157*INDEX(Curves!$S$8:$S$68,AP$4-$B157+1)</f>
        <v/>
      </c>
      <c r="AQ157" s="153">
        <f>$C157*INDEX(Curves!$S$8:$S$68,AQ$4-$B157+1)</f>
        <v/>
      </c>
      <c r="AR157" s="153">
        <f>$C157*INDEX(Curves!$S$8:$S$68,AR$4-$B157+1)</f>
        <v/>
      </c>
      <c r="AS157" s="153">
        <f>$C157*INDEX(Curves!$S$8:$S$68,AS$4-$B157+1)</f>
        <v/>
      </c>
      <c r="AT157" s="153">
        <f>$C157*INDEX(Curves!$S$8:$S$68,AT$4-$B157+1)</f>
        <v/>
      </c>
      <c r="AU157" s="153">
        <f>$C157*INDEX(Curves!$S$8:$S$68,AU$4-$B157+1)</f>
        <v/>
      </c>
      <c r="AV157" s="153">
        <f>$C157*INDEX(Curves!$S$8:$S$68,AV$4-$B157+1)</f>
        <v/>
      </c>
      <c r="AW157" s="153">
        <f>$C157*INDEX(Curves!$S$8:$S$68,AW$4-$B157+1)</f>
        <v/>
      </c>
      <c r="AX157" s="153">
        <f>$C157*INDEX(Curves!$S$8:$S$68,AX$4-$B157+1)</f>
        <v/>
      </c>
      <c r="AY157" s="153">
        <f>$C157*INDEX(Curves!$S$8:$S$68,AY$4-$B157+1)</f>
        <v/>
      </c>
      <c r="AZ157" s="153">
        <f>$C157*INDEX(Curves!$S$8:$S$68,AZ$4-$B157+1)</f>
        <v/>
      </c>
      <c r="BA157" s="153">
        <f>$C157*INDEX(Curves!$S$8:$S$68,BA$4-$B157+1)</f>
        <v/>
      </c>
      <c r="BB157" s="153">
        <f>$C157*INDEX(Curves!$S$8:$S$68,BB$4-$B157+1)</f>
        <v/>
      </c>
      <c r="BC157" s="153">
        <f>$C157*INDEX(Curves!$S$8:$S$68,BC$4-$B157+1)</f>
        <v/>
      </c>
      <c r="BD157" s="153">
        <f>$C157*INDEX(Curves!$S$8:$S$68,BD$4-$B157+1)</f>
        <v/>
      </c>
      <c r="BE157" s="153">
        <f>$C157*INDEX(Curves!$S$8:$S$68,BE$4-$B157+1)</f>
        <v/>
      </c>
      <c r="BF157" s="153">
        <f>$C157*INDEX(Curves!$S$8:$S$68,BF$4-$B157+1)</f>
        <v/>
      </c>
      <c r="BG157" s="153">
        <f>$C157*INDEX(Curves!$S$8:$S$68,BG$4-$B157+1)</f>
        <v/>
      </c>
      <c r="BH157" s="153">
        <f>$C157*INDEX(Curves!$S$8:$S$68,BH$4-$B157+1)</f>
        <v/>
      </c>
      <c r="BI157" s="153">
        <f>$C157*INDEX(Curves!$S$8:$S$68,BI$4-$B157+1)</f>
        <v/>
      </c>
      <c r="BJ157" s="153">
        <f>$C157*INDEX(Curves!$S$8:$S$68,BJ$4-$B157+1)</f>
        <v/>
      </c>
      <c r="BK157" s="153">
        <f>$C157*INDEX(Curves!$S$8:$S$68,BK$4-$B157+1)</f>
        <v/>
      </c>
      <c r="BL157" s="153">
        <f>$C157*INDEX(Curves!$S$8:$S$68,BL$4-$B157+1)</f>
        <v/>
      </c>
    </row>
    <row r="158">
      <c r="A158" s="147" t="inlineStr">
        <is>
          <t>Cohort month 23</t>
        </is>
      </c>
      <c r="B158" s="147" t="n">
        <v>23</v>
      </c>
      <c r="C158" s="41">
        <f>INDEX(Ops!$E$35:$BL$35,1,$B158)</f>
        <v/>
      </c>
      <c r="AB158" s="153">
        <f>$C158*INDEX(Curves!$S$8:$S$68,AB$4-$B158+1)</f>
        <v/>
      </c>
      <c r="AC158" s="153">
        <f>$C158*INDEX(Curves!$S$8:$S$68,AC$4-$B158+1)</f>
        <v/>
      </c>
      <c r="AD158" s="153">
        <f>$C158*INDEX(Curves!$S$8:$S$68,AD$4-$B158+1)</f>
        <v/>
      </c>
      <c r="AE158" s="153">
        <f>$C158*INDEX(Curves!$S$8:$S$68,AE$4-$B158+1)</f>
        <v/>
      </c>
      <c r="AF158" s="153">
        <f>$C158*INDEX(Curves!$S$8:$S$68,AF$4-$B158+1)</f>
        <v/>
      </c>
      <c r="AG158" s="153">
        <f>$C158*INDEX(Curves!$S$8:$S$68,AG$4-$B158+1)</f>
        <v/>
      </c>
      <c r="AH158" s="153">
        <f>$C158*INDEX(Curves!$S$8:$S$68,AH$4-$B158+1)</f>
        <v/>
      </c>
      <c r="AI158" s="153">
        <f>$C158*INDEX(Curves!$S$8:$S$68,AI$4-$B158+1)</f>
        <v/>
      </c>
      <c r="AJ158" s="153">
        <f>$C158*INDEX(Curves!$S$8:$S$68,AJ$4-$B158+1)</f>
        <v/>
      </c>
      <c r="AK158" s="153">
        <f>$C158*INDEX(Curves!$S$8:$S$68,AK$4-$B158+1)</f>
        <v/>
      </c>
      <c r="AL158" s="153">
        <f>$C158*INDEX(Curves!$S$8:$S$68,AL$4-$B158+1)</f>
        <v/>
      </c>
      <c r="AM158" s="153">
        <f>$C158*INDEX(Curves!$S$8:$S$68,AM$4-$B158+1)</f>
        <v/>
      </c>
      <c r="AN158" s="153">
        <f>$C158*INDEX(Curves!$S$8:$S$68,AN$4-$B158+1)</f>
        <v/>
      </c>
      <c r="AO158" s="153">
        <f>$C158*INDEX(Curves!$S$8:$S$68,AO$4-$B158+1)</f>
        <v/>
      </c>
      <c r="AP158" s="153">
        <f>$C158*INDEX(Curves!$S$8:$S$68,AP$4-$B158+1)</f>
        <v/>
      </c>
      <c r="AQ158" s="153">
        <f>$C158*INDEX(Curves!$S$8:$S$68,AQ$4-$B158+1)</f>
        <v/>
      </c>
      <c r="AR158" s="153">
        <f>$C158*INDEX(Curves!$S$8:$S$68,AR$4-$B158+1)</f>
        <v/>
      </c>
      <c r="AS158" s="153">
        <f>$C158*INDEX(Curves!$S$8:$S$68,AS$4-$B158+1)</f>
        <v/>
      </c>
      <c r="AT158" s="153">
        <f>$C158*INDEX(Curves!$S$8:$S$68,AT$4-$B158+1)</f>
        <v/>
      </c>
      <c r="AU158" s="153">
        <f>$C158*INDEX(Curves!$S$8:$S$68,AU$4-$B158+1)</f>
        <v/>
      </c>
      <c r="AV158" s="153">
        <f>$C158*INDEX(Curves!$S$8:$S$68,AV$4-$B158+1)</f>
        <v/>
      </c>
      <c r="AW158" s="153">
        <f>$C158*INDEX(Curves!$S$8:$S$68,AW$4-$B158+1)</f>
        <v/>
      </c>
      <c r="AX158" s="153">
        <f>$C158*INDEX(Curves!$S$8:$S$68,AX$4-$B158+1)</f>
        <v/>
      </c>
      <c r="AY158" s="153">
        <f>$C158*INDEX(Curves!$S$8:$S$68,AY$4-$B158+1)</f>
        <v/>
      </c>
      <c r="AZ158" s="153">
        <f>$C158*INDEX(Curves!$S$8:$S$68,AZ$4-$B158+1)</f>
        <v/>
      </c>
      <c r="BA158" s="153">
        <f>$C158*INDEX(Curves!$S$8:$S$68,BA$4-$B158+1)</f>
        <v/>
      </c>
      <c r="BB158" s="153">
        <f>$C158*INDEX(Curves!$S$8:$S$68,BB$4-$B158+1)</f>
        <v/>
      </c>
      <c r="BC158" s="153">
        <f>$C158*INDEX(Curves!$S$8:$S$68,BC$4-$B158+1)</f>
        <v/>
      </c>
      <c r="BD158" s="153">
        <f>$C158*INDEX(Curves!$S$8:$S$68,BD$4-$B158+1)</f>
        <v/>
      </c>
      <c r="BE158" s="153">
        <f>$C158*INDEX(Curves!$S$8:$S$68,BE$4-$B158+1)</f>
        <v/>
      </c>
      <c r="BF158" s="153">
        <f>$C158*INDEX(Curves!$S$8:$S$68,BF$4-$B158+1)</f>
        <v/>
      </c>
      <c r="BG158" s="153">
        <f>$C158*INDEX(Curves!$S$8:$S$68,BG$4-$B158+1)</f>
        <v/>
      </c>
      <c r="BH158" s="153">
        <f>$C158*INDEX(Curves!$S$8:$S$68,BH$4-$B158+1)</f>
        <v/>
      </c>
      <c r="BI158" s="153">
        <f>$C158*INDEX(Curves!$S$8:$S$68,BI$4-$B158+1)</f>
        <v/>
      </c>
      <c r="BJ158" s="153">
        <f>$C158*INDEX(Curves!$S$8:$S$68,BJ$4-$B158+1)</f>
        <v/>
      </c>
      <c r="BK158" s="153">
        <f>$C158*INDEX(Curves!$S$8:$S$68,BK$4-$B158+1)</f>
        <v/>
      </c>
      <c r="BL158" s="153">
        <f>$C158*INDEX(Curves!$S$8:$S$68,BL$4-$B158+1)</f>
        <v/>
      </c>
    </row>
    <row r="159">
      <c r="A159" s="147" t="inlineStr">
        <is>
          <t>Cohort month 24</t>
        </is>
      </c>
      <c r="B159" s="147" t="n">
        <v>24</v>
      </c>
      <c r="C159" s="41">
        <f>INDEX(Ops!$E$35:$BL$35,1,$B159)</f>
        <v/>
      </c>
      <c r="AC159" s="153">
        <f>$C159*INDEX(Curves!$S$8:$S$68,AC$4-$B159+1)</f>
        <v/>
      </c>
      <c r="AD159" s="153">
        <f>$C159*INDEX(Curves!$S$8:$S$68,AD$4-$B159+1)</f>
        <v/>
      </c>
      <c r="AE159" s="153">
        <f>$C159*INDEX(Curves!$S$8:$S$68,AE$4-$B159+1)</f>
        <v/>
      </c>
      <c r="AF159" s="153">
        <f>$C159*INDEX(Curves!$S$8:$S$68,AF$4-$B159+1)</f>
        <v/>
      </c>
      <c r="AG159" s="153">
        <f>$C159*INDEX(Curves!$S$8:$S$68,AG$4-$B159+1)</f>
        <v/>
      </c>
      <c r="AH159" s="153">
        <f>$C159*INDEX(Curves!$S$8:$S$68,AH$4-$B159+1)</f>
        <v/>
      </c>
      <c r="AI159" s="153">
        <f>$C159*INDEX(Curves!$S$8:$S$68,AI$4-$B159+1)</f>
        <v/>
      </c>
      <c r="AJ159" s="153">
        <f>$C159*INDEX(Curves!$S$8:$S$68,AJ$4-$B159+1)</f>
        <v/>
      </c>
      <c r="AK159" s="153">
        <f>$C159*INDEX(Curves!$S$8:$S$68,AK$4-$B159+1)</f>
        <v/>
      </c>
      <c r="AL159" s="153">
        <f>$C159*INDEX(Curves!$S$8:$S$68,AL$4-$B159+1)</f>
        <v/>
      </c>
      <c r="AM159" s="153">
        <f>$C159*INDEX(Curves!$S$8:$S$68,AM$4-$B159+1)</f>
        <v/>
      </c>
      <c r="AN159" s="153">
        <f>$C159*INDEX(Curves!$S$8:$S$68,AN$4-$B159+1)</f>
        <v/>
      </c>
      <c r="AO159" s="153">
        <f>$C159*INDEX(Curves!$S$8:$S$68,AO$4-$B159+1)</f>
        <v/>
      </c>
      <c r="AP159" s="153">
        <f>$C159*INDEX(Curves!$S$8:$S$68,AP$4-$B159+1)</f>
        <v/>
      </c>
      <c r="AQ159" s="153">
        <f>$C159*INDEX(Curves!$S$8:$S$68,AQ$4-$B159+1)</f>
        <v/>
      </c>
      <c r="AR159" s="153">
        <f>$C159*INDEX(Curves!$S$8:$S$68,AR$4-$B159+1)</f>
        <v/>
      </c>
      <c r="AS159" s="153">
        <f>$C159*INDEX(Curves!$S$8:$S$68,AS$4-$B159+1)</f>
        <v/>
      </c>
      <c r="AT159" s="153">
        <f>$C159*INDEX(Curves!$S$8:$S$68,AT$4-$B159+1)</f>
        <v/>
      </c>
      <c r="AU159" s="153">
        <f>$C159*INDEX(Curves!$S$8:$S$68,AU$4-$B159+1)</f>
        <v/>
      </c>
      <c r="AV159" s="153">
        <f>$C159*INDEX(Curves!$S$8:$S$68,AV$4-$B159+1)</f>
        <v/>
      </c>
      <c r="AW159" s="153">
        <f>$C159*INDEX(Curves!$S$8:$S$68,AW$4-$B159+1)</f>
        <v/>
      </c>
      <c r="AX159" s="153">
        <f>$C159*INDEX(Curves!$S$8:$S$68,AX$4-$B159+1)</f>
        <v/>
      </c>
      <c r="AY159" s="153">
        <f>$C159*INDEX(Curves!$S$8:$S$68,AY$4-$B159+1)</f>
        <v/>
      </c>
      <c r="AZ159" s="153">
        <f>$C159*INDEX(Curves!$S$8:$S$68,AZ$4-$B159+1)</f>
        <v/>
      </c>
      <c r="BA159" s="153">
        <f>$C159*INDEX(Curves!$S$8:$S$68,BA$4-$B159+1)</f>
        <v/>
      </c>
      <c r="BB159" s="153">
        <f>$C159*INDEX(Curves!$S$8:$S$68,BB$4-$B159+1)</f>
        <v/>
      </c>
      <c r="BC159" s="153">
        <f>$C159*INDEX(Curves!$S$8:$S$68,BC$4-$B159+1)</f>
        <v/>
      </c>
      <c r="BD159" s="153">
        <f>$C159*INDEX(Curves!$S$8:$S$68,BD$4-$B159+1)</f>
        <v/>
      </c>
      <c r="BE159" s="153">
        <f>$C159*INDEX(Curves!$S$8:$S$68,BE$4-$B159+1)</f>
        <v/>
      </c>
      <c r="BF159" s="153">
        <f>$C159*INDEX(Curves!$S$8:$S$68,BF$4-$B159+1)</f>
        <v/>
      </c>
      <c r="BG159" s="153">
        <f>$C159*INDEX(Curves!$S$8:$S$68,BG$4-$B159+1)</f>
        <v/>
      </c>
      <c r="BH159" s="153">
        <f>$C159*INDEX(Curves!$S$8:$S$68,BH$4-$B159+1)</f>
        <v/>
      </c>
      <c r="BI159" s="153">
        <f>$C159*INDEX(Curves!$S$8:$S$68,BI$4-$B159+1)</f>
        <v/>
      </c>
      <c r="BJ159" s="153">
        <f>$C159*INDEX(Curves!$S$8:$S$68,BJ$4-$B159+1)</f>
        <v/>
      </c>
      <c r="BK159" s="153">
        <f>$C159*INDEX(Curves!$S$8:$S$68,BK$4-$B159+1)</f>
        <v/>
      </c>
      <c r="BL159" s="153">
        <f>$C159*INDEX(Curves!$S$8:$S$68,BL$4-$B159+1)</f>
        <v/>
      </c>
    </row>
    <row r="160">
      <c r="A160" s="147" t="inlineStr">
        <is>
          <t>Cohort month 25</t>
        </is>
      </c>
      <c r="B160" s="147" t="n">
        <v>25</v>
      </c>
      <c r="C160" s="41">
        <f>INDEX(Ops!$E$35:$BL$35,1,$B160)</f>
        <v/>
      </c>
      <c r="AD160" s="153">
        <f>$C160*INDEX(Curves!$S$8:$S$68,AD$4-$B160+1)</f>
        <v/>
      </c>
      <c r="AE160" s="153">
        <f>$C160*INDEX(Curves!$S$8:$S$68,AE$4-$B160+1)</f>
        <v/>
      </c>
      <c r="AF160" s="153">
        <f>$C160*INDEX(Curves!$S$8:$S$68,AF$4-$B160+1)</f>
        <v/>
      </c>
      <c r="AG160" s="153">
        <f>$C160*INDEX(Curves!$S$8:$S$68,AG$4-$B160+1)</f>
        <v/>
      </c>
      <c r="AH160" s="153">
        <f>$C160*INDEX(Curves!$S$8:$S$68,AH$4-$B160+1)</f>
        <v/>
      </c>
      <c r="AI160" s="153">
        <f>$C160*INDEX(Curves!$S$8:$S$68,AI$4-$B160+1)</f>
        <v/>
      </c>
      <c r="AJ160" s="153">
        <f>$C160*INDEX(Curves!$S$8:$S$68,AJ$4-$B160+1)</f>
        <v/>
      </c>
      <c r="AK160" s="153">
        <f>$C160*INDEX(Curves!$S$8:$S$68,AK$4-$B160+1)</f>
        <v/>
      </c>
      <c r="AL160" s="153">
        <f>$C160*INDEX(Curves!$S$8:$S$68,AL$4-$B160+1)</f>
        <v/>
      </c>
      <c r="AM160" s="153">
        <f>$C160*INDEX(Curves!$S$8:$S$68,AM$4-$B160+1)</f>
        <v/>
      </c>
      <c r="AN160" s="153">
        <f>$C160*INDEX(Curves!$S$8:$S$68,AN$4-$B160+1)</f>
        <v/>
      </c>
      <c r="AO160" s="153">
        <f>$C160*INDEX(Curves!$S$8:$S$68,AO$4-$B160+1)</f>
        <v/>
      </c>
      <c r="AP160" s="153">
        <f>$C160*INDEX(Curves!$S$8:$S$68,AP$4-$B160+1)</f>
        <v/>
      </c>
      <c r="AQ160" s="153">
        <f>$C160*INDEX(Curves!$S$8:$S$68,AQ$4-$B160+1)</f>
        <v/>
      </c>
      <c r="AR160" s="153">
        <f>$C160*INDEX(Curves!$S$8:$S$68,AR$4-$B160+1)</f>
        <v/>
      </c>
      <c r="AS160" s="153">
        <f>$C160*INDEX(Curves!$S$8:$S$68,AS$4-$B160+1)</f>
        <v/>
      </c>
      <c r="AT160" s="153">
        <f>$C160*INDEX(Curves!$S$8:$S$68,AT$4-$B160+1)</f>
        <v/>
      </c>
      <c r="AU160" s="153">
        <f>$C160*INDEX(Curves!$S$8:$S$68,AU$4-$B160+1)</f>
        <v/>
      </c>
      <c r="AV160" s="153">
        <f>$C160*INDEX(Curves!$S$8:$S$68,AV$4-$B160+1)</f>
        <v/>
      </c>
      <c r="AW160" s="153">
        <f>$C160*INDEX(Curves!$S$8:$S$68,AW$4-$B160+1)</f>
        <v/>
      </c>
      <c r="AX160" s="153">
        <f>$C160*INDEX(Curves!$S$8:$S$68,AX$4-$B160+1)</f>
        <v/>
      </c>
      <c r="AY160" s="153">
        <f>$C160*INDEX(Curves!$S$8:$S$68,AY$4-$B160+1)</f>
        <v/>
      </c>
      <c r="AZ160" s="153">
        <f>$C160*INDEX(Curves!$S$8:$S$68,AZ$4-$B160+1)</f>
        <v/>
      </c>
      <c r="BA160" s="153">
        <f>$C160*INDEX(Curves!$S$8:$S$68,BA$4-$B160+1)</f>
        <v/>
      </c>
      <c r="BB160" s="153">
        <f>$C160*INDEX(Curves!$S$8:$S$68,BB$4-$B160+1)</f>
        <v/>
      </c>
      <c r="BC160" s="153">
        <f>$C160*INDEX(Curves!$S$8:$S$68,BC$4-$B160+1)</f>
        <v/>
      </c>
      <c r="BD160" s="153">
        <f>$C160*INDEX(Curves!$S$8:$S$68,BD$4-$B160+1)</f>
        <v/>
      </c>
      <c r="BE160" s="153">
        <f>$C160*INDEX(Curves!$S$8:$S$68,BE$4-$B160+1)</f>
        <v/>
      </c>
      <c r="BF160" s="153">
        <f>$C160*INDEX(Curves!$S$8:$S$68,BF$4-$B160+1)</f>
        <v/>
      </c>
      <c r="BG160" s="153">
        <f>$C160*INDEX(Curves!$S$8:$S$68,BG$4-$B160+1)</f>
        <v/>
      </c>
      <c r="BH160" s="153">
        <f>$C160*INDEX(Curves!$S$8:$S$68,BH$4-$B160+1)</f>
        <v/>
      </c>
      <c r="BI160" s="153">
        <f>$C160*INDEX(Curves!$S$8:$S$68,BI$4-$B160+1)</f>
        <v/>
      </c>
      <c r="BJ160" s="153">
        <f>$C160*INDEX(Curves!$S$8:$S$68,BJ$4-$B160+1)</f>
        <v/>
      </c>
      <c r="BK160" s="153">
        <f>$C160*INDEX(Curves!$S$8:$S$68,BK$4-$B160+1)</f>
        <v/>
      </c>
      <c r="BL160" s="153">
        <f>$C160*INDEX(Curves!$S$8:$S$68,BL$4-$B160+1)</f>
        <v/>
      </c>
    </row>
    <row r="161">
      <c r="A161" s="147" t="inlineStr">
        <is>
          <t>Cohort month 26</t>
        </is>
      </c>
      <c r="B161" s="147" t="n">
        <v>26</v>
      </c>
      <c r="C161" s="41">
        <f>INDEX(Ops!$E$35:$BL$35,1,$B161)</f>
        <v/>
      </c>
      <c r="AE161" s="153">
        <f>$C161*INDEX(Curves!$S$8:$S$68,AE$4-$B161+1)</f>
        <v/>
      </c>
      <c r="AF161" s="153">
        <f>$C161*INDEX(Curves!$S$8:$S$68,AF$4-$B161+1)</f>
        <v/>
      </c>
      <c r="AG161" s="153">
        <f>$C161*INDEX(Curves!$S$8:$S$68,AG$4-$B161+1)</f>
        <v/>
      </c>
      <c r="AH161" s="153">
        <f>$C161*INDEX(Curves!$S$8:$S$68,AH$4-$B161+1)</f>
        <v/>
      </c>
      <c r="AI161" s="153">
        <f>$C161*INDEX(Curves!$S$8:$S$68,AI$4-$B161+1)</f>
        <v/>
      </c>
      <c r="AJ161" s="153">
        <f>$C161*INDEX(Curves!$S$8:$S$68,AJ$4-$B161+1)</f>
        <v/>
      </c>
      <c r="AK161" s="153">
        <f>$C161*INDEX(Curves!$S$8:$S$68,AK$4-$B161+1)</f>
        <v/>
      </c>
      <c r="AL161" s="153">
        <f>$C161*INDEX(Curves!$S$8:$S$68,AL$4-$B161+1)</f>
        <v/>
      </c>
      <c r="AM161" s="153">
        <f>$C161*INDEX(Curves!$S$8:$S$68,AM$4-$B161+1)</f>
        <v/>
      </c>
      <c r="AN161" s="153">
        <f>$C161*INDEX(Curves!$S$8:$S$68,AN$4-$B161+1)</f>
        <v/>
      </c>
      <c r="AO161" s="153">
        <f>$C161*INDEX(Curves!$S$8:$S$68,AO$4-$B161+1)</f>
        <v/>
      </c>
      <c r="AP161" s="153">
        <f>$C161*INDEX(Curves!$S$8:$S$68,AP$4-$B161+1)</f>
        <v/>
      </c>
      <c r="AQ161" s="153">
        <f>$C161*INDEX(Curves!$S$8:$S$68,AQ$4-$B161+1)</f>
        <v/>
      </c>
      <c r="AR161" s="153">
        <f>$C161*INDEX(Curves!$S$8:$S$68,AR$4-$B161+1)</f>
        <v/>
      </c>
      <c r="AS161" s="153">
        <f>$C161*INDEX(Curves!$S$8:$S$68,AS$4-$B161+1)</f>
        <v/>
      </c>
      <c r="AT161" s="153">
        <f>$C161*INDEX(Curves!$S$8:$S$68,AT$4-$B161+1)</f>
        <v/>
      </c>
      <c r="AU161" s="153">
        <f>$C161*INDEX(Curves!$S$8:$S$68,AU$4-$B161+1)</f>
        <v/>
      </c>
      <c r="AV161" s="153">
        <f>$C161*INDEX(Curves!$S$8:$S$68,AV$4-$B161+1)</f>
        <v/>
      </c>
      <c r="AW161" s="153">
        <f>$C161*INDEX(Curves!$S$8:$S$68,AW$4-$B161+1)</f>
        <v/>
      </c>
      <c r="AX161" s="153">
        <f>$C161*INDEX(Curves!$S$8:$S$68,AX$4-$B161+1)</f>
        <v/>
      </c>
      <c r="AY161" s="153">
        <f>$C161*INDEX(Curves!$S$8:$S$68,AY$4-$B161+1)</f>
        <v/>
      </c>
      <c r="AZ161" s="153">
        <f>$C161*INDEX(Curves!$S$8:$S$68,AZ$4-$B161+1)</f>
        <v/>
      </c>
      <c r="BA161" s="153">
        <f>$C161*INDEX(Curves!$S$8:$S$68,BA$4-$B161+1)</f>
        <v/>
      </c>
      <c r="BB161" s="153">
        <f>$C161*INDEX(Curves!$S$8:$S$68,BB$4-$B161+1)</f>
        <v/>
      </c>
      <c r="BC161" s="153">
        <f>$C161*INDEX(Curves!$S$8:$S$68,BC$4-$B161+1)</f>
        <v/>
      </c>
      <c r="BD161" s="153">
        <f>$C161*INDEX(Curves!$S$8:$S$68,BD$4-$B161+1)</f>
        <v/>
      </c>
      <c r="BE161" s="153">
        <f>$C161*INDEX(Curves!$S$8:$S$68,BE$4-$B161+1)</f>
        <v/>
      </c>
      <c r="BF161" s="153">
        <f>$C161*INDEX(Curves!$S$8:$S$68,BF$4-$B161+1)</f>
        <v/>
      </c>
      <c r="BG161" s="153">
        <f>$C161*INDEX(Curves!$S$8:$S$68,BG$4-$B161+1)</f>
        <v/>
      </c>
      <c r="BH161" s="153">
        <f>$C161*INDEX(Curves!$S$8:$S$68,BH$4-$B161+1)</f>
        <v/>
      </c>
      <c r="BI161" s="153">
        <f>$C161*INDEX(Curves!$S$8:$S$68,BI$4-$B161+1)</f>
        <v/>
      </c>
      <c r="BJ161" s="153">
        <f>$C161*INDEX(Curves!$S$8:$S$68,BJ$4-$B161+1)</f>
        <v/>
      </c>
      <c r="BK161" s="153">
        <f>$C161*INDEX(Curves!$S$8:$S$68,BK$4-$B161+1)</f>
        <v/>
      </c>
      <c r="BL161" s="153">
        <f>$C161*INDEX(Curves!$S$8:$S$68,BL$4-$B161+1)</f>
        <v/>
      </c>
    </row>
    <row r="162">
      <c r="A162" s="147" t="inlineStr">
        <is>
          <t>Cohort month 27</t>
        </is>
      </c>
      <c r="B162" s="147" t="n">
        <v>27</v>
      </c>
      <c r="C162" s="41">
        <f>INDEX(Ops!$E$35:$BL$35,1,$B162)</f>
        <v/>
      </c>
      <c r="AF162" s="153">
        <f>$C162*INDEX(Curves!$S$8:$S$68,AF$4-$B162+1)</f>
        <v/>
      </c>
      <c r="AG162" s="153">
        <f>$C162*INDEX(Curves!$S$8:$S$68,AG$4-$B162+1)</f>
        <v/>
      </c>
      <c r="AH162" s="153">
        <f>$C162*INDEX(Curves!$S$8:$S$68,AH$4-$B162+1)</f>
        <v/>
      </c>
      <c r="AI162" s="153">
        <f>$C162*INDEX(Curves!$S$8:$S$68,AI$4-$B162+1)</f>
        <v/>
      </c>
      <c r="AJ162" s="153">
        <f>$C162*INDEX(Curves!$S$8:$S$68,AJ$4-$B162+1)</f>
        <v/>
      </c>
      <c r="AK162" s="153">
        <f>$C162*INDEX(Curves!$S$8:$S$68,AK$4-$B162+1)</f>
        <v/>
      </c>
      <c r="AL162" s="153">
        <f>$C162*INDEX(Curves!$S$8:$S$68,AL$4-$B162+1)</f>
        <v/>
      </c>
      <c r="AM162" s="153">
        <f>$C162*INDEX(Curves!$S$8:$S$68,AM$4-$B162+1)</f>
        <v/>
      </c>
      <c r="AN162" s="153">
        <f>$C162*INDEX(Curves!$S$8:$S$68,AN$4-$B162+1)</f>
        <v/>
      </c>
      <c r="AO162" s="153">
        <f>$C162*INDEX(Curves!$S$8:$S$68,AO$4-$B162+1)</f>
        <v/>
      </c>
      <c r="AP162" s="153">
        <f>$C162*INDEX(Curves!$S$8:$S$68,AP$4-$B162+1)</f>
        <v/>
      </c>
      <c r="AQ162" s="153">
        <f>$C162*INDEX(Curves!$S$8:$S$68,AQ$4-$B162+1)</f>
        <v/>
      </c>
      <c r="AR162" s="153">
        <f>$C162*INDEX(Curves!$S$8:$S$68,AR$4-$B162+1)</f>
        <v/>
      </c>
      <c r="AS162" s="153">
        <f>$C162*INDEX(Curves!$S$8:$S$68,AS$4-$B162+1)</f>
        <v/>
      </c>
      <c r="AT162" s="153">
        <f>$C162*INDEX(Curves!$S$8:$S$68,AT$4-$B162+1)</f>
        <v/>
      </c>
      <c r="AU162" s="153">
        <f>$C162*INDEX(Curves!$S$8:$S$68,AU$4-$B162+1)</f>
        <v/>
      </c>
      <c r="AV162" s="153">
        <f>$C162*INDEX(Curves!$S$8:$S$68,AV$4-$B162+1)</f>
        <v/>
      </c>
      <c r="AW162" s="153">
        <f>$C162*INDEX(Curves!$S$8:$S$68,AW$4-$B162+1)</f>
        <v/>
      </c>
      <c r="AX162" s="153">
        <f>$C162*INDEX(Curves!$S$8:$S$68,AX$4-$B162+1)</f>
        <v/>
      </c>
      <c r="AY162" s="153">
        <f>$C162*INDEX(Curves!$S$8:$S$68,AY$4-$B162+1)</f>
        <v/>
      </c>
      <c r="AZ162" s="153">
        <f>$C162*INDEX(Curves!$S$8:$S$68,AZ$4-$B162+1)</f>
        <v/>
      </c>
      <c r="BA162" s="153">
        <f>$C162*INDEX(Curves!$S$8:$S$68,BA$4-$B162+1)</f>
        <v/>
      </c>
      <c r="BB162" s="153">
        <f>$C162*INDEX(Curves!$S$8:$S$68,BB$4-$B162+1)</f>
        <v/>
      </c>
      <c r="BC162" s="153">
        <f>$C162*INDEX(Curves!$S$8:$S$68,BC$4-$B162+1)</f>
        <v/>
      </c>
      <c r="BD162" s="153">
        <f>$C162*INDEX(Curves!$S$8:$S$68,BD$4-$B162+1)</f>
        <v/>
      </c>
      <c r="BE162" s="153">
        <f>$C162*INDEX(Curves!$S$8:$S$68,BE$4-$B162+1)</f>
        <v/>
      </c>
      <c r="BF162" s="153">
        <f>$C162*INDEX(Curves!$S$8:$S$68,BF$4-$B162+1)</f>
        <v/>
      </c>
      <c r="BG162" s="153">
        <f>$C162*INDEX(Curves!$S$8:$S$68,BG$4-$B162+1)</f>
        <v/>
      </c>
      <c r="BH162" s="153">
        <f>$C162*INDEX(Curves!$S$8:$S$68,BH$4-$B162+1)</f>
        <v/>
      </c>
      <c r="BI162" s="153">
        <f>$C162*INDEX(Curves!$S$8:$S$68,BI$4-$B162+1)</f>
        <v/>
      </c>
      <c r="BJ162" s="153">
        <f>$C162*INDEX(Curves!$S$8:$S$68,BJ$4-$B162+1)</f>
        <v/>
      </c>
      <c r="BK162" s="153">
        <f>$C162*INDEX(Curves!$S$8:$S$68,BK$4-$B162+1)</f>
        <v/>
      </c>
      <c r="BL162" s="153">
        <f>$C162*INDEX(Curves!$S$8:$S$68,BL$4-$B162+1)</f>
        <v/>
      </c>
    </row>
    <row r="163">
      <c r="A163" s="147" t="inlineStr">
        <is>
          <t>Cohort month 28</t>
        </is>
      </c>
      <c r="B163" s="147" t="n">
        <v>28</v>
      </c>
      <c r="C163" s="41">
        <f>INDEX(Ops!$E$35:$BL$35,1,$B163)</f>
        <v/>
      </c>
      <c r="AG163" s="153">
        <f>$C163*INDEX(Curves!$S$8:$S$68,AG$4-$B163+1)</f>
        <v/>
      </c>
      <c r="AH163" s="153">
        <f>$C163*INDEX(Curves!$S$8:$S$68,AH$4-$B163+1)</f>
        <v/>
      </c>
      <c r="AI163" s="153">
        <f>$C163*INDEX(Curves!$S$8:$S$68,AI$4-$B163+1)</f>
        <v/>
      </c>
      <c r="AJ163" s="153">
        <f>$C163*INDEX(Curves!$S$8:$S$68,AJ$4-$B163+1)</f>
        <v/>
      </c>
      <c r="AK163" s="153">
        <f>$C163*INDEX(Curves!$S$8:$S$68,AK$4-$B163+1)</f>
        <v/>
      </c>
      <c r="AL163" s="153">
        <f>$C163*INDEX(Curves!$S$8:$S$68,AL$4-$B163+1)</f>
        <v/>
      </c>
      <c r="AM163" s="153">
        <f>$C163*INDEX(Curves!$S$8:$S$68,AM$4-$B163+1)</f>
        <v/>
      </c>
      <c r="AN163" s="153">
        <f>$C163*INDEX(Curves!$S$8:$S$68,AN$4-$B163+1)</f>
        <v/>
      </c>
      <c r="AO163" s="153">
        <f>$C163*INDEX(Curves!$S$8:$S$68,AO$4-$B163+1)</f>
        <v/>
      </c>
      <c r="AP163" s="153">
        <f>$C163*INDEX(Curves!$S$8:$S$68,AP$4-$B163+1)</f>
        <v/>
      </c>
      <c r="AQ163" s="153">
        <f>$C163*INDEX(Curves!$S$8:$S$68,AQ$4-$B163+1)</f>
        <v/>
      </c>
      <c r="AR163" s="153">
        <f>$C163*INDEX(Curves!$S$8:$S$68,AR$4-$B163+1)</f>
        <v/>
      </c>
      <c r="AS163" s="153">
        <f>$C163*INDEX(Curves!$S$8:$S$68,AS$4-$B163+1)</f>
        <v/>
      </c>
      <c r="AT163" s="153">
        <f>$C163*INDEX(Curves!$S$8:$S$68,AT$4-$B163+1)</f>
        <v/>
      </c>
      <c r="AU163" s="153">
        <f>$C163*INDEX(Curves!$S$8:$S$68,AU$4-$B163+1)</f>
        <v/>
      </c>
      <c r="AV163" s="153">
        <f>$C163*INDEX(Curves!$S$8:$S$68,AV$4-$B163+1)</f>
        <v/>
      </c>
      <c r="AW163" s="153">
        <f>$C163*INDEX(Curves!$S$8:$S$68,AW$4-$B163+1)</f>
        <v/>
      </c>
      <c r="AX163" s="153">
        <f>$C163*INDEX(Curves!$S$8:$S$68,AX$4-$B163+1)</f>
        <v/>
      </c>
      <c r="AY163" s="153">
        <f>$C163*INDEX(Curves!$S$8:$S$68,AY$4-$B163+1)</f>
        <v/>
      </c>
      <c r="AZ163" s="153">
        <f>$C163*INDEX(Curves!$S$8:$S$68,AZ$4-$B163+1)</f>
        <v/>
      </c>
      <c r="BA163" s="153">
        <f>$C163*INDEX(Curves!$S$8:$S$68,BA$4-$B163+1)</f>
        <v/>
      </c>
      <c r="BB163" s="153">
        <f>$C163*INDEX(Curves!$S$8:$S$68,BB$4-$B163+1)</f>
        <v/>
      </c>
      <c r="BC163" s="153">
        <f>$C163*INDEX(Curves!$S$8:$S$68,BC$4-$B163+1)</f>
        <v/>
      </c>
      <c r="BD163" s="153">
        <f>$C163*INDEX(Curves!$S$8:$S$68,BD$4-$B163+1)</f>
        <v/>
      </c>
      <c r="BE163" s="153">
        <f>$C163*INDEX(Curves!$S$8:$S$68,BE$4-$B163+1)</f>
        <v/>
      </c>
      <c r="BF163" s="153">
        <f>$C163*INDEX(Curves!$S$8:$S$68,BF$4-$B163+1)</f>
        <v/>
      </c>
      <c r="BG163" s="153">
        <f>$C163*INDEX(Curves!$S$8:$S$68,BG$4-$B163+1)</f>
        <v/>
      </c>
      <c r="BH163" s="153">
        <f>$C163*INDEX(Curves!$S$8:$S$68,BH$4-$B163+1)</f>
        <v/>
      </c>
      <c r="BI163" s="153">
        <f>$C163*INDEX(Curves!$S$8:$S$68,BI$4-$B163+1)</f>
        <v/>
      </c>
      <c r="BJ163" s="153">
        <f>$C163*INDEX(Curves!$S$8:$S$68,BJ$4-$B163+1)</f>
        <v/>
      </c>
      <c r="BK163" s="153">
        <f>$C163*INDEX(Curves!$S$8:$S$68,BK$4-$B163+1)</f>
        <v/>
      </c>
      <c r="BL163" s="153">
        <f>$C163*INDEX(Curves!$S$8:$S$68,BL$4-$B163+1)</f>
        <v/>
      </c>
    </row>
    <row r="164">
      <c r="A164" s="147" t="inlineStr">
        <is>
          <t>Cohort month 29</t>
        </is>
      </c>
      <c r="B164" s="147" t="n">
        <v>29</v>
      </c>
      <c r="C164" s="41">
        <f>INDEX(Ops!$E$35:$BL$35,1,$B164)</f>
        <v/>
      </c>
      <c r="AH164" s="153">
        <f>$C164*INDEX(Curves!$S$8:$S$68,AH$4-$B164+1)</f>
        <v/>
      </c>
      <c r="AI164" s="153">
        <f>$C164*INDEX(Curves!$S$8:$S$68,AI$4-$B164+1)</f>
        <v/>
      </c>
      <c r="AJ164" s="153">
        <f>$C164*INDEX(Curves!$S$8:$S$68,AJ$4-$B164+1)</f>
        <v/>
      </c>
      <c r="AK164" s="153">
        <f>$C164*INDEX(Curves!$S$8:$S$68,AK$4-$B164+1)</f>
        <v/>
      </c>
      <c r="AL164" s="153">
        <f>$C164*INDEX(Curves!$S$8:$S$68,AL$4-$B164+1)</f>
        <v/>
      </c>
      <c r="AM164" s="153">
        <f>$C164*INDEX(Curves!$S$8:$S$68,AM$4-$B164+1)</f>
        <v/>
      </c>
      <c r="AN164" s="153">
        <f>$C164*INDEX(Curves!$S$8:$S$68,AN$4-$B164+1)</f>
        <v/>
      </c>
      <c r="AO164" s="153">
        <f>$C164*INDEX(Curves!$S$8:$S$68,AO$4-$B164+1)</f>
        <v/>
      </c>
      <c r="AP164" s="153">
        <f>$C164*INDEX(Curves!$S$8:$S$68,AP$4-$B164+1)</f>
        <v/>
      </c>
      <c r="AQ164" s="153">
        <f>$C164*INDEX(Curves!$S$8:$S$68,AQ$4-$B164+1)</f>
        <v/>
      </c>
      <c r="AR164" s="153">
        <f>$C164*INDEX(Curves!$S$8:$S$68,AR$4-$B164+1)</f>
        <v/>
      </c>
      <c r="AS164" s="153">
        <f>$C164*INDEX(Curves!$S$8:$S$68,AS$4-$B164+1)</f>
        <v/>
      </c>
      <c r="AT164" s="153">
        <f>$C164*INDEX(Curves!$S$8:$S$68,AT$4-$B164+1)</f>
        <v/>
      </c>
      <c r="AU164" s="153">
        <f>$C164*INDEX(Curves!$S$8:$S$68,AU$4-$B164+1)</f>
        <v/>
      </c>
      <c r="AV164" s="153">
        <f>$C164*INDEX(Curves!$S$8:$S$68,AV$4-$B164+1)</f>
        <v/>
      </c>
      <c r="AW164" s="153">
        <f>$C164*INDEX(Curves!$S$8:$S$68,AW$4-$B164+1)</f>
        <v/>
      </c>
      <c r="AX164" s="153">
        <f>$C164*INDEX(Curves!$S$8:$S$68,AX$4-$B164+1)</f>
        <v/>
      </c>
      <c r="AY164" s="153">
        <f>$C164*INDEX(Curves!$S$8:$S$68,AY$4-$B164+1)</f>
        <v/>
      </c>
      <c r="AZ164" s="153">
        <f>$C164*INDEX(Curves!$S$8:$S$68,AZ$4-$B164+1)</f>
        <v/>
      </c>
      <c r="BA164" s="153">
        <f>$C164*INDEX(Curves!$S$8:$S$68,BA$4-$B164+1)</f>
        <v/>
      </c>
      <c r="BB164" s="153">
        <f>$C164*INDEX(Curves!$S$8:$S$68,BB$4-$B164+1)</f>
        <v/>
      </c>
      <c r="BC164" s="153">
        <f>$C164*INDEX(Curves!$S$8:$S$68,BC$4-$B164+1)</f>
        <v/>
      </c>
      <c r="BD164" s="153">
        <f>$C164*INDEX(Curves!$S$8:$S$68,BD$4-$B164+1)</f>
        <v/>
      </c>
      <c r="BE164" s="153">
        <f>$C164*INDEX(Curves!$S$8:$S$68,BE$4-$B164+1)</f>
        <v/>
      </c>
      <c r="BF164" s="153">
        <f>$C164*INDEX(Curves!$S$8:$S$68,BF$4-$B164+1)</f>
        <v/>
      </c>
      <c r="BG164" s="153">
        <f>$C164*INDEX(Curves!$S$8:$S$68,BG$4-$B164+1)</f>
        <v/>
      </c>
      <c r="BH164" s="153">
        <f>$C164*INDEX(Curves!$S$8:$S$68,BH$4-$B164+1)</f>
        <v/>
      </c>
      <c r="BI164" s="153">
        <f>$C164*INDEX(Curves!$S$8:$S$68,BI$4-$B164+1)</f>
        <v/>
      </c>
      <c r="BJ164" s="153">
        <f>$C164*INDEX(Curves!$S$8:$S$68,BJ$4-$B164+1)</f>
        <v/>
      </c>
      <c r="BK164" s="153">
        <f>$C164*INDEX(Curves!$S$8:$S$68,BK$4-$B164+1)</f>
        <v/>
      </c>
      <c r="BL164" s="153">
        <f>$C164*INDEX(Curves!$S$8:$S$68,BL$4-$B164+1)</f>
        <v/>
      </c>
    </row>
    <row r="165">
      <c r="A165" s="147" t="inlineStr">
        <is>
          <t>Cohort month 30</t>
        </is>
      </c>
      <c r="B165" s="147" t="n">
        <v>30</v>
      </c>
      <c r="C165" s="41">
        <f>INDEX(Ops!$E$35:$BL$35,1,$B165)</f>
        <v/>
      </c>
      <c r="AI165" s="153">
        <f>$C165*INDEX(Curves!$S$8:$S$68,AI$4-$B165+1)</f>
        <v/>
      </c>
      <c r="AJ165" s="153">
        <f>$C165*INDEX(Curves!$S$8:$S$68,AJ$4-$B165+1)</f>
        <v/>
      </c>
      <c r="AK165" s="153">
        <f>$C165*INDEX(Curves!$S$8:$S$68,AK$4-$B165+1)</f>
        <v/>
      </c>
      <c r="AL165" s="153">
        <f>$C165*INDEX(Curves!$S$8:$S$68,AL$4-$B165+1)</f>
        <v/>
      </c>
      <c r="AM165" s="153">
        <f>$C165*INDEX(Curves!$S$8:$S$68,AM$4-$B165+1)</f>
        <v/>
      </c>
      <c r="AN165" s="153">
        <f>$C165*INDEX(Curves!$S$8:$S$68,AN$4-$B165+1)</f>
        <v/>
      </c>
      <c r="AO165" s="153">
        <f>$C165*INDEX(Curves!$S$8:$S$68,AO$4-$B165+1)</f>
        <v/>
      </c>
      <c r="AP165" s="153">
        <f>$C165*INDEX(Curves!$S$8:$S$68,AP$4-$B165+1)</f>
        <v/>
      </c>
      <c r="AQ165" s="153">
        <f>$C165*INDEX(Curves!$S$8:$S$68,AQ$4-$B165+1)</f>
        <v/>
      </c>
      <c r="AR165" s="153">
        <f>$C165*INDEX(Curves!$S$8:$S$68,AR$4-$B165+1)</f>
        <v/>
      </c>
      <c r="AS165" s="153">
        <f>$C165*INDEX(Curves!$S$8:$S$68,AS$4-$B165+1)</f>
        <v/>
      </c>
      <c r="AT165" s="153">
        <f>$C165*INDEX(Curves!$S$8:$S$68,AT$4-$B165+1)</f>
        <v/>
      </c>
      <c r="AU165" s="153">
        <f>$C165*INDEX(Curves!$S$8:$S$68,AU$4-$B165+1)</f>
        <v/>
      </c>
      <c r="AV165" s="153">
        <f>$C165*INDEX(Curves!$S$8:$S$68,AV$4-$B165+1)</f>
        <v/>
      </c>
      <c r="AW165" s="153">
        <f>$C165*INDEX(Curves!$S$8:$S$68,AW$4-$B165+1)</f>
        <v/>
      </c>
      <c r="AX165" s="153">
        <f>$C165*INDEX(Curves!$S$8:$S$68,AX$4-$B165+1)</f>
        <v/>
      </c>
      <c r="AY165" s="153">
        <f>$C165*INDEX(Curves!$S$8:$S$68,AY$4-$B165+1)</f>
        <v/>
      </c>
      <c r="AZ165" s="153">
        <f>$C165*INDEX(Curves!$S$8:$S$68,AZ$4-$B165+1)</f>
        <v/>
      </c>
      <c r="BA165" s="153">
        <f>$C165*INDEX(Curves!$S$8:$S$68,BA$4-$B165+1)</f>
        <v/>
      </c>
      <c r="BB165" s="153">
        <f>$C165*INDEX(Curves!$S$8:$S$68,BB$4-$B165+1)</f>
        <v/>
      </c>
      <c r="BC165" s="153">
        <f>$C165*INDEX(Curves!$S$8:$S$68,BC$4-$B165+1)</f>
        <v/>
      </c>
      <c r="BD165" s="153">
        <f>$C165*INDEX(Curves!$S$8:$S$68,BD$4-$B165+1)</f>
        <v/>
      </c>
      <c r="BE165" s="153">
        <f>$C165*INDEX(Curves!$S$8:$S$68,BE$4-$B165+1)</f>
        <v/>
      </c>
      <c r="BF165" s="153">
        <f>$C165*INDEX(Curves!$S$8:$S$68,BF$4-$B165+1)</f>
        <v/>
      </c>
      <c r="BG165" s="153">
        <f>$C165*INDEX(Curves!$S$8:$S$68,BG$4-$B165+1)</f>
        <v/>
      </c>
      <c r="BH165" s="153">
        <f>$C165*INDEX(Curves!$S$8:$S$68,BH$4-$B165+1)</f>
        <v/>
      </c>
      <c r="BI165" s="153">
        <f>$C165*INDEX(Curves!$S$8:$S$68,BI$4-$B165+1)</f>
        <v/>
      </c>
      <c r="BJ165" s="153">
        <f>$C165*INDEX(Curves!$S$8:$S$68,BJ$4-$B165+1)</f>
        <v/>
      </c>
      <c r="BK165" s="153">
        <f>$C165*INDEX(Curves!$S$8:$S$68,BK$4-$B165+1)</f>
        <v/>
      </c>
      <c r="BL165" s="153">
        <f>$C165*INDEX(Curves!$S$8:$S$68,BL$4-$B165+1)</f>
        <v/>
      </c>
    </row>
    <row r="166">
      <c r="A166" s="147" t="inlineStr">
        <is>
          <t>Cohort month 31</t>
        </is>
      </c>
      <c r="B166" s="147" t="n">
        <v>31</v>
      </c>
      <c r="C166" s="41">
        <f>INDEX(Ops!$E$35:$BL$35,1,$B166)</f>
        <v/>
      </c>
      <c r="AJ166" s="153">
        <f>$C166*INDEX(Curves!$S$8:$S$68,AJ$4-$B166+1)</f>
        <v/>
      </c>
      <c r="AK166" s="153">
        <f>$C166*INDEX(Curves!$S$8:$S$68,AK$4-$B166+1)</f>
        <v/>
      </c>
      <c r="AL166" s="153">
        <f>$C166*INDEX(Curves!$S$8:$S$68,AL$4-$B166+1)</f>
        <v/>
      </c>
      <c r="AM166" s="153">
        <f>$C166*INDEX(Curves!$S$8:$S$68,AM$4-$B166+1)</f>
        <v/>
      </c>
      <c r="AN166" s="153">
        <f>$C166*INDEX(Curves!$S$8:$S$68,AN$4-$B166+1)</f>
        <v/>
      </c>
      <c r="AO166" s="153">
        <f>$C166*INDEX(Curves!$S$8:$S$68,AO$4-$B166+1)</f>
        <v/>
      </c>
      <c r="AP166" s="153">
        <f>$C166*INDEX(Curves!$S$8:$S$68,AP$4-$B166+1)</f>
        <v/>
      </c>
      <c r="AQ166" s="153">
        <f>$C166*INDEX(Curves!$S$8:$S$68,AQ$4-$B166+1)</f>
        <v/>
      </c>
      <c r="AR166" s="153">
        <f>$C166*INDEX(Curves!$S$8:$S$68,AR$4-$B166+1)</f>
        <v/>
      </c>
      <c r="AS166" s="153">
        <f>$C166*INDEX(Curves!$S$8:$S$68,AS$4-$B166+1)</f>
        <v/>
      </c>
      <c r="AT166" s="153">
        <f>$C166*INDEX(Curves!$S$8:$S$68,AT$4-$B166+1)</f>
        <v/>
      </c>
      <c r="AU166" s="153">
        <f>$C166*INDEX(Curves!$S$8:$S$68,AU$4-$B166+1)</f>
        <v/>
      </c>
      <c r="AV166" s="153">
        <f>$C166*INDEX(Curves!$S$8:$S$68,AV$4-$B166+1)</f>
        <v/>
      </c>
      <c r="AW166" s="153">
        <f>$C166*INDEX(Curves!$S$8:$S$68,AW$4-$B166+1)</f>
        <v/>
      </c>
      <c r="AX166" s="153">
        <f>$C166*INDEX(Curves!$S$8:$S$68,AX$4-$B166+1)</f>
        <v/>
      </c>
      <c r="AY166" s="153">
        <f>$C166*INDEX(Curves!$S$8:$S$68,AY$4-$B166+1)</f>
        <v/>
      </c>
      <c r="AZ166" s="153">
        <f>$C166*INDEX(Curves!$S$8:$S$68,AZ$4-$B166+1)</f>
        <v/>
      </c>
      <c r="BA166" s="153">
        <f>$C166*INDEX(Curves!$S$8:$S$68,BA$4-$B166+1)</f>
        <v/>
      </c>
      <c r="BB166" s="153">
        <f>$C166*INDEX(Curves!$S$8:$S$68,BB$4-$B166+1)</f>
        <v/>
      </c>
      <c r="BC166" s="153">
        <f>$C166*INDEX(Curves!$S$8:$S$68,BC$4-$B166+1)</f>
        <v/>
      </c>
      <c r="BD166" s="153">
        <f>$C166*INDEX(Curves!$S$8:$S$68,BD$4-$B166+1)</f>
        <v/>
      </c>
      <c r="BE166" s="153">
        <f>$C166*INDEX(Curves!$S$8:$S$68,BE$4-$B166+1)</f>
        <v/>
      </c>
      <c r="BF166" s="153">
        <f>$C166*INDEX(Curves!$S$8:$S$68,BF$4-$B166+1)</f>
        <v/>
      </c>
      <c r="BG166" s="153">
        <f>$C166*INDEX(Curves!$S$8:$S$68,BG$4-$B166+1)</f>
        <v/>
      </c>
      <c r="BH166" s="153">
        <f>$C166*INDEX(Curves!$S$8:$S$68,BH$4-$B166+1)</f>
        <v/>
      </c>
      <c r="BI166" s="153">
        <f>$C166*INDEX(Curves!$S$8:$S$68,BI$4-$B166+1)</f>
        <v/>
      </c>
      <c r="BJ166" s="153">
        <f>$C166*INDEX(Curves!$S$8:$S$68,BJ$4-$B166+1)</f>
        <v/>
      </c>
      <c r="BK166" s="153">
        <f>$C166*INDEX(Curves!$S$8:$S$68,BK$4-$B166+1)</f>
        <v/>
      </c>
      <c r="BL166" s="153">
        <f>$C166*INDEX(Curves!$S$8:$S$68,BL$4-$B166+1)</f>
        <v/>
      </c>
    </row>
    <row r="167">
      <c r="A167" s="147" t="inlineStr">
        <is>
          <t>Cohort month 32</t>
        </is>
      </c>
      <c r="B167" s="147" t="n">
        <v>32</v>
      </c>
      <c r="C167" s="41">
        <f>INDEX(Ops!$E$35:$BL$35,1,$B167)</f>
        <v/>
      </c>
      <c r="AK167" s="153">
        <f>$C167*INDEX(Curves!$S$8:$S$68,AK$4-$B167+1)</f>
        <v/>
      </c>
      <c r="AL167" s="153">
        <f>$C167*INDEX(Curves!$S$8:$S$68,AL$4-$B167+1)</f>
        <v/>
      </c>
      <c r="AM167" s="153">
        <f>$C167*INDEX(Curves!$S$8:$S$68,AM$4-$B167+1)</f>
        <v/>
      </c>
      <c r="AN167" s="153">
        <f>$C167*INDEX(Curves!$S$8:$S$68,AN$4-$B167+1)</f>
        <v/>
      </c>
      <c r="AO167" s="153">
        <f>$C167*INDEX(Curves!$S$8:$S$68,AO$4-$B167+1)</f>
        <v/>
      </c>
      <c r="AP167" s="153">
        <f>$C167*INDEX(Curves!$S$8:$S$68,AP$4-$B167+1)</f>
        <v/>
      </c>
      <c r="AQ167" s="153">
        <f>$C167*INDEX(Curves!$S$8:$S$68,AQ$4-$B167+1)</f>
        <v/>
      </c>
      <c r="AR167" s="153">
        <f>$C167*INDEX(Curves!$S$8:$S$68,AR$4-$B167+1)</f>
        <v/>
      </c>
      <c r="AS167" s="153">
        <f>$C167*INDEX(Curves!$S$8:$S$68,AS$4-$B167+1)</f>
        <v/>
      </c>
      <c r="AT167" s="153">
        <f>$C167*INDEX(Curves!$S$8:$S$68,AT$4-$B167+1)</f>
        <v/>
      </c>
      <c r="AU167" s="153">
        <f>$C167*INDEX(Curves!$S$8:$S$68,AU$4-$B167+1)</f>
        <v/>
      </c>
      <c r="AV167" s="153">
        <f>$C167*INDEX(Curves!$S$8:$S$68,AV$4-$B167+1)</f>
        <v/>
      </c>
      <c r="AW167" s="153">
        <f>$C167*INDEX(Curves!$S$8:$S$68,AW$4-$B167+1)</f>
        <v/>
      </c>
      <c r="AX167" s="153">
        <f>$C167*INDEX(Curves!$S$8:$S$68,AX$4-$B167+1)</f>
        <v/>
      </c>
      <c r="AY167" s="153">
        <f>$C167*INDEX(Curves!$S$8:$S$68,AY$4-$B167+1)</f>
        <v/>
      </c>
      <c r="AZ167" s="153">
        <f>$C167*INDEX(Curves!$S$8:$S$68,AZ$4-$B167+1)</f>
        <v/>
      </c>
      <c r="BA167" s="153">
        <f>$C167*INDEX(Curves!$S$8:$S$68,BA$4-$B167+1)</f>
        <v/>
      </c>
      <c r="BB167" s="153">
        <f>$C167*INDEX(Curves!$S$8:$S$68,BB$4-$B167+1)</f>
        <v/>
      </c>
      <c r="BC167" s="153">
        <f>$C167*INDEX(Curves!$S$8:$S$68,BC$4-$B167+1)</f>
        <v/>
      </c>
      <c r="BD167" s="153">
        <f>$C167*INDEX(Curves!$S$8:$S$68,BD$4-$B167+1)</f>
        <v/>
      </c>
      <c r="BE167" s="153">
        <f>$C167*INDEX(Curves!$S$8:$S$68,BE$4-$B167+1)</f>
        <v/>
      </c>
      <c r="BF167" s="153">
        <f>$C167*INDEX(Curves!$S$8:$S$68,BF$4-$B167+1)</f>
        <v/>
      </c>
      <c r="BG167" s="153">
        <f>$C167*INDEX(Curves!$S$8:$S$68,BG$4-$B167+1)</f>
        <v/>
      </c>
      <c r="BH167" s="153">
        <f>$C167*INDEX(Curves!$S$8:$S$68,BH$4-$B167+1)</f>
        <v/>
      </c>
      <c r="BI167" s="153">
        <f>$C167*INDEX(Curves!$S$8:$S$68,BI$4-$B167+1)</f>
        <v/>
      </c>
      <c r="BJ167" s="153">
        <f>$C167*INDEX(Curves!$S$8:$S$68,BJ$4-$B167+1)</f>
        <v/>
      </c>
      <c r="BK167" s="153">
        <f>$C167*INDEX(Curves!$S$8:$S$68,BK$4-$B167+1)</f>
        <v/>
      </c>
      <c r="BL167" s="153">
        <f>$C167*INDEX(Curves!$S$8:$S$68,BL$4-$B167+1)</f>
        <v/>
      </c>
    </row>
    <row r="168">
      <c r="A168" s="147" t="inlineStr">
        <is>
          <t>Cohort month 33</t>
        </is>
      </c>
      <c r="B168" s="147" t="n">
        <v>33</v>
      </c>
      <c r="C168" s="41">
        <f>INDEX(Ops!$E$35:$BL$35,1,$B168)</f>
        <v/>
      </c>
      <c r="AL168" s="153">
        <f>$C168*INDEX(Curves!$S$8:$S$68,AL$4-$B168+1)</f>
        <v/>
      </c>
      <c r="AM168" s="153">
        <f>$C168*INDEX(Curves!$S$8:$S$68,AM$4-$B168+1)</f>
        <v/>
      </c>
      <c r="AN168" s="153">
        <f>$C168*INDEX(Curves!$S$8:$S$68,AN$4-$B168+1)</f>
        <v/>
      </c>
      <c r="AO168" s="153">
        <f>$C168*INDEX(Curves!$S$8:$S$68,AO$4-$B168+1)</f>
        <v/>
      </c>
      <c r="AP168" s="153">
        <f>$C168*INDEX(Curves!$S$8:$S$68,AP$4-$B168+1)</f>
        <v/>
      </c>
      <c r="AQ168" s="153">
        <f>$C168*INDEX(Curves!$S$8:$S$68,AQ$4-$B168+1)</f>
        <v/>
      </c>
      <c r="AR168" s="153">
        <f>$C168*INDEX(Curves!$S$8:$S$68,AR$4-$B168+1)</f>
        <v/>
      </c>
      <c r="AS168" s="153">
        <f>$C168*INDEX(Curves!$S$8:$S$68,AS$4-$B168+1)</f>
        <v/>
      </c>
      <c r="AT168" s="153">
        <f>$C168*INDEX(Curves!$S$8:$S$68,AT$4-$B168+1)</f>
        <v/>
      </c>
      <c r="AU168" s="153">
        <f>$C168*INDEX(Curves!$S$8:$S$68,AU$4-$B168+1)</f>
        <v/>
      </c>
      <c r="AV168" s="153">
        <f>$C168*INDEX(Curves!$S$8:$S$68,AV$4-$B168+1)</f>
        <v/>
      </c>
      <c r="AW168" s="153">
        <f>$C168*INDEX(Curves!$S$8:$S$68,AW$4-$B168+1)</f>
        <v/>
      </c>
      <c r="AX168" s="153">
        <f>$C168*INDEX(Curves!$S$8:$S$68,AX$4-$B168+1)</f>
        <v/>
      </c>
      <c r="AY168" s="153">
        <f>$C168*INDEX(Curves!$S$8:$S$68,AY$4-$B168+1)</f>
        <v/>
      </c>
      <c r="AZ168" s="153">
        <f>$C168*INDEX(Curves!$S$8:$S$68,AZ$4-$B168+1)</f>
        <v/>
      </c>
      <c r="BA168" s="153">
        <f>$C168*INDEX(Curves!$S$8:$S$68,BA$4-$B168+1)</f>
        <v/>
      </c>
      <c r="BB168" s="153">
        <f>$C168*INDEX(Curves!$S$8:$S$68,BB$4-$B168+1)</f>
        <v/>
      </c>
      <c r="BC168" s="153">
        <f>$C168*INDEX(Curves!$S$8:$S$68,BC$4-$B168+1)</f>
        <v/>
      </c>
      <c r="BD168" s="153">
        <f>$C168*INDEX(Curves!$S$8:$S$68,BD$4-$B168+1)</f>
        <v/>
      </c>
      <c r="BE168" s="153">
        <f>$C168*INDEX(Curves!$S$8:$S$68,BE$4-$B168+1)</f>
        <v/>
      </c>
      <c r="BF168" s="153">
        <f>$C168*INDEX(Curves!$S$8:$S$68,BF$4-$B168+1)</f>
        <v/>
      </c>
      <c r="BG168" s="153">
        <f>$C168*INDEX(Curves!$S$8:$S$68,BG$4-$B168+1)</f>
        <v/>
      </c>
      <c r="BH168" s="153">
        <f>$C168*INDEX(Curves!$S$8:$S$68,BH$4-$B168+1)</f>
        <v/>
      </c>
      <c r="BI168" s="153">
        <f>$C168*INDEX(Curves!$S$8:$S$68,BI$4-$B168+1)</f>
        <v/>
      </c>
      <c r="BJ168" s="153">
        <f>$C168*INDEX(Curves!$S$8:$S$68,BJ$4-$B168+1)</f>
        <v/>
      </c>
      <c r="BK168" s="153">
        <f>$C168*INDEX(Curves!$S$8:$S$68,BK$4-$B168+1)</f>
        <v/>
      </c>
      <c r="BL168" s="153">
        <f>$C168*INDEX(Curves!$S$8:$S$68,BL$4-$B168+1)</f>
        <v/>
      </c>
    </row>
    <row r="169">
      <c r="A169" s="147" t="inlineStr">
        <is>
          <t>Cohort month 34</t>
        </is>
      </c>
      <c r="B169" s="147" t="n">
        <v>34</v>
      </c>
      <c r="C169" s="41">
        <f>INDEX(Ops!$E$35:$BL$35,1,$B169)</f>
        <v/>
      </c>
      <c r="AM169" s="153">
        <f>$C169*INDEX(Curves!$S$8:$S$68,AM$4-$B169+1)</f>
        <v/>
      </c>
      <c r="AN169" s="153">
        <f>$C169*INDEX(Curves!$S$8:$S$68,AN$4-$B169+1)</f>
        <v/>
      </c>
      <c r="AO169" s="153">
        <f>$C169*INDEX(Curves!$S$8:$S$68,AO$4-$B169+1)</f>
        <v/>
      </c>
      <c r="AP169" s="153">
        <f>$C169*INDEX(Curves!$S$8:$S$68,AP$4-$B169+1)</f>
        <v/>
      </c>
      <c r="AQ169" s="153">
        <f>$C169*INDEX(Curves!$S$8:$S$68,AQ$4-$B169+1)</f>
        <v/>
      </c>
      <c r="AR169" s="153">
        <f>$C169*INDEX(Curves!$S$8:$S$68,AR$4-$B169+1)</f>
        <v/>
      </c>
      <c r="AS169" s="153">
        <f>$C169*INDEX(Curves!$S$8:$S$68,AS$4-$B169+1)</f>
        <v/>
      </c>
      <c r="AT169" s="153">
        <f>$C169*INDEX(Curves!$S$8:$S$68,AT$4-$B169+1)</f>
        <v/>
      </c>
      <c r="AU169" s="153">
        <f>$C169*INDEX(Curves!$S$8:$S$68,AU$4-$B169+1)</f>
        <v/>
      </c>
      <c r="AV169" s="153">
        <f>$C169*INDEX(Curves!$S$8:$S$68,AV$4-$B169+1)</f>
        <v/>
      </c>
      <c r="AW169" s="153">
        <f>$C169*INDEX(Curves!$S$8:$S$68,AW$4-$B169+1)</f>
        <v/>
      </c>
      <c r="AX169" s="153">
        <f>$C169*INDEX(Curves!$S$8:$S$68,AX$4-$B169+1)</f>
        <v/>
      </c>
      <c r="AY169" s="153">
        <f>$C169*INDEX(Curves!$S$8:$S$68,AY$4-$B169+1)</f>
        <v/>
      </c>
      <c r="AZ169" s="153">
        <f>$C169*INDEX(Curves!$S$8:$S$68,AZ$4-$B169+1)</f>
        <v/>
      </c>
      <c r="BA169" s="153">
        <f>$C169*INDEX(Curves!$S$8:$S$68,BA$4-$B169+1)</f>
        <v/>
      </c>
      <c r="BB169" s="153">
        <f>$C169*INDEX(Curves!$S$8:$S$68,BB$4-$B169+1)</f>
        <v/>
      </c>
      <c r="BC169" s="153">
        <f>$C169*INDEX(Curves!$S$8:$S$68,BC$4-$B169+1)</f>
        <v/>
      </c>
      <c r="BD169" s="153">
        <f>$C169*INDEX(Curves!$S$8:$S$68,BD$4-$B169+1)</f>
        <v/>
      </c>
      <c r="BE169" s="153">
        <f>$C169*INDEX(Curves!$S$8:$S$68,BE$4-$B169+1)</f>
        <v/>
      </c>
      <c r="BF169" s="153">
        <f>$C169*INDEX(Curves!$S$8:$S$68,BF$4-$B169+1)</f>
        <v/>
      </c>
      <c r="BG169" s="153">
        <f>$C169*INDEX(Curves!$S$8:$S$68,BG$4-$B169+1)</f>
        <v/>
      </c>
      <c r="BH169" s="153">
        <f>$C169*INDEX(Curves!$S$8:$S$68,BH$4-$B169+1)</f>
        <v/>
      </c>
      <c r="BI169" s="153">
        <f>$C169*INDEX(Curves!$S$8:$S$68,BI$4-$B169+1)</f>
        <v/>
      </c>
      <c r="BJ169" s="153">
        <f>$C169*INDEX(Curves!$S$8:$S$68,BJ$4-$B169+1)</f>
        <v/>
      </c>
      <c r="BK169" s="153">
        <f>$C169*INDEX(Curves!$S$8:$S$68,BK$4-$B169+1)</f>
        <v/>
      </c>
      <c r="BL169" s="153">
        <f>$C169*INDEX(Curves!$S$8:$S$68,BL$4-$B169+1)</f>
        <v/>
      </c>
    </row>
    <row r="170">
      <c r="A170" s="147" t="inlineStr">
        <is>
          <t>Cohort month 35</t>
        </is>
      </c>
      <c r="B170" s="147" t="n">
        <v>35</v>
      </c>
      <c r="C170" s="41">
        <f>INDEX(Ops!$E$35:$BL$35,1,$B170)</f>
        <v/>
      </c>
      <c r="AN170" s="153">
        <f>$C170*INDEX(Curves!$S$8:$S$68,AN$4-$B170+1)</f>
        <v/>
      </c>
      <c r="AO170" s="153">
        <f>$C170*INDEX(Curves!$S$8:$S$68,AO$4-$B170+1)</f>
        <v/>
      </c>
      <c r="AP170" s="153">
        <f>$C170*INDEX(Curves!$S$8:$S$68,AP$4-$B170+1)</f>
        <v/>
      </c>
      <c r="AQ170" s="153">
        <f>$C170*INDEX(Curves!$S$8:$S$68,AQ$4-$B170+1)</f>
        <v/>
      </c>
      <c r="AR170" s="153">
        <f>$C170*INDEX(Curves!$S$8:$S$68,AR$4-$B170+1)</f>
        <v/>
      </c>
      <c r="AS170" s="153">
        <f>$C170*INDEX(Curves!$S$8:$S$68,AS$4-$B170+1)</f>
        <v/>
      </c>
      <c r="AT170" s="153">
        <f>$C170*INDEX(Curves!$S$8:$S$68,AT$4-$B170+1)</f>
        <v/>
      </c>
      <c r="AU170" s="153">
        <f>$C170*INDEX(Curves!$S$8:$S$68,AU$4-$B170+1)</f>
        <v/>
      </c>
      <c r="AV170" s="153">
        <f>$C170*INDEX(Curves!$S$8:$S$68,AV$4-$B170+1)</f>
        <v/>
      </c>
      <c r="AW170" s="153">
        <f>$C170*INDEX(Curves!$S$8:$S$68,AW$4-$B170+1)</f>
        <v/>
      </c>
      <c r="AX170" s="153">
        <f>$C170*INDEX(Curves!$S$8:$S$68,AX$4-$B170+1)</f>
        <v/>
      </c>
      <c r="AY170" s="153">
        <f>$C170*INDEX(Curves!$S$8:$S$68,AY$4-$B170+1)</f>
        <v/>
      </c>
      <c r="AZ170" s="153">
        <f>$C170*INDEX(Curves!$S$8:$S$68,AZ$4-$B170+1)</f>
        <v/>
      </c>
      <c r="BA170" s="153">
        <f>$C170*INDEX(Curves!$S$8:$S$68,BA$4-$B170+1)</f>
        <v/>
      </c>
      <c r="BB170" s="153">
        <f>$C170*INDEX(Curves!$S$8:$S$68,BB$4-$B170+1)</f>
        <v/>
      </c>
      <c r="BC170" s="153">
        <f>$C170*INDEX(Curves!$S$8:$S$68,BC$4-$B170+1)</f>
        <v/>
      </c>
      <c r="BD170" s="153">
        <f>$C170*INDEX(Curves!$S$8:$S$68,BD$4-$B170+1)</f>
        <v/>
      </c>
      <c r="BE170" s="153">
        <f>$C170*INDEX(Curves!$S$8:$S$68,BE$4-$B170+1)</f>
        <v/>
      </c>
      <c r="BF170" s="153">
        <f>$C170*INDEX(Curves!$S$8:$S$68,BF$4-$B170+1)</f>
        <v/>
      </c>
      <c r="BG170" s="153">
        <f>$C170*INDEX(Curves!$S$8:$S$68,BG$4-$B170+1)</f>
        <v/>
      </c>
      <c r="BH170" s="153">
        <f>$C170*INDEX(Curves!$S$8:$S$68,BH$4-$B170+1)</f>
        <v/>
      </c>
      <c r="BI170" s="153">
        <f>$C170*INDEX(Curves!$S$8:$S$68,BI$4-$B170+1)</f>
        <v/>
      </c>
      <c r="BJ170" s="153">
        <f>$C170*INDEX(Curves!$S$8:$S$68,BJ$4-$B170+1)</f>
        <v/>
      </c>
      <c r="BK170" s="153">
        <f>$C170*INDEX(Curves!$S$8:$S$68,BK$4-$B170+1)</f>
        <v/>
      </c>
      <c r="BL170" s="153">
        <f>$C170*INDEX(Curves!$S$8:$S$68,BL$4-$B170+1)</f>
        <v/>
      </c>
    </row>
    <row r="171">
      <c r="A171" s="147" t="inlineStr">
        <is>
          <t>Cohort month 36</t>
        </is>
      </c>
      <c r="B171" s="147" t="n">
        <v>36</v>
      </c>
      <c r="C171" s="41">
        <f>INDEX(Ops!$E$35:$BL$35,1,$B171)</f>
        <v/>
      </c>
      <c r="AO171" s="153">
        <f>$C171*INDEX(Curves!$S$8:$S$68,AO$4-$B171+1)</f>
        <v/>
      </c>
      <c r="AP171" s="153">
        <f>$C171*INDEX(Curves!$S$8:$S$68,AP$4-$B171+1)</f>
        <v/>
      </c>
      <c r="AQ171" s="153">
        <f>$C171*INDEX(Curves!$S$8:$S$68,AQ$4-$B171+1)</f>
        <v/>
      </c>
      <c r="AR171" s="153">
        <f>$C171*INDEX(Curves!$S$8:$S$68,AR$4-$B171+1)</f>
        <v/>
      </c>
      <c r="AS171" s="153">
        <f>$C171*INDEX(Curves!$S$8:$S$68,AS$4-$B171+1)</f>
        <v/>
      </c>
      <c r="AT171" s="153">
        <f>$C171*INDEX(Curves!$S$8:$S$68,AT$4-$B171+1)</f>
        <v/>
      </c>
      <c r="AU171" s="153">
        <f>$C171*INDEX(Curves!$S$8:$S$68,AU$4-$B171+1)</f>
        <v/>
      </c>
      <c r="AV171" s="153">
        <f>$C171*INDEX(Curves!$S$8:$S$68,AV$4-$B171+1)</f>
        <v/>
      </c>
      <c r="AW171" s="153">
        <f>$C171*INDEX(Curves!$S$8:$S$68,AW$4-$B171+1)</f>
        <v/>
      </c>
      <c r="AX171" s="153">
        <f>$C171*INDEX(Curves!$S$8:$S$68,AX$4-$B171+1)</f>
        <v/>
      </c>
      <c r="AY171" s="153">
        <f>$C171*INDEX(Curves!$S$8:$S$68,AY$4-$B171+1)</f>
        <v/>
      </c>
      <c r="AZ171" s="153">
        <f>$C171*INDEX(Curves!$S$8:$S$68,AZ$4-$B171+1)</f>
        <v/>
      </c>
      <c r="BA171" s="153">
        <f>$C171*INDEX(Curves!$S$8:$S$68,BA$4-$B171+1)</f>
        <v/>
      </c>
      <c r="BB171" s="153">
        <f>$C171*INDEX(Curves!$S$8:$S$68,BB$4-$B171+1)</f>
        <v/>
      </c>
      <c r="BC171" s="153">
        <f>$C171*INDEX(Curves!$S$8:$S$68,BC$4-$B171+1)</f>
        <v/>
      </c>
      <c r="BD171" s="153">
        <f>$C171*INDEX(Curves!$S$8:$S$68,BD$4-$B171+1)</f>
        <v/>
      </c>
      <c r="BE171" s="153">
        <f>$C171*INDEX(Curves!$S$8:$S$68,BE$4-$B171+1)</f>
        <v/>
      </c>
      <c r="BF171" s="153">
        <f>$C171*INDEX(Curves!$S$8:$S$68,BF$4-$B171+1)</f>
        <v/>
      </c>
      <c r="BG171" s="153">
        <f>$C171*INDEX(Curves!$S$8:$S$68,BG$4-$B171+1)</f>
        <v/>
      </c>
      <c r="BH171" s="153">
        <f>$C171*INDEX(Curves!$S$8:$S$68,BH$4-$B171+1)</f>
        <v/>
      </c>
      <c r="BI171" s="153">
        <f>$C171*INDEX(Curves!$S$8:$S$68,BI$4-$B171+1)</f>
        <v/>
      </c>
      <c r="BJ171" s="153">
        <f>$C171*INDEX(Curves!$S$8:$S$68,BJ$4-$B171+1)</f>
        <v/>
      </c>
      <c r="BK171" s="153">
        <f>$C171*INDEX(Curves!$S$8:$S$68,BK$4-$B171+1)</f>
        <v/>
      </c>
      <c r="BL171" s="153">
        <f>$C171*INDEX(Curves!$S$8:$S$68,BL$4-$B171+1)</f>
        <v/>
      </c>
    </row>
    <row r="172">
      <c r="A172" s="147" t="inlineStr">
        <is>
          <t>Cohort month 37</t>
        </is>
      </c>
      <c r="B172" s="147" t="n">
        <v>37</v>
      </c>
      <c r="C172" s="41">
        <f>INDEX(Ops!$E$35:$BL$35,1,$B172)</f>
        <v/>
      </c>
      <c r="AP172" s="153">
        <f>$C172*INDEX(Curves!$S$8:$S$68,AP$4-$B172+1)</f>
        <v/>
      </c>
      <c r="AQ172" s="153">
        <f>$C172*INDEX(Curves!$S$8:$S$68,AQ$4-$B172+1)</f>
        <v/>
      </c>
      <c r="AR172" s="153">
        <f>$C172*INDEX(Curves!$S$8:$S$68,AR$4-$B172+1)</f>
        <v/>
      </c>
      <c r="AS172" s="153">
        <f>$C172*INDEX(Curves!$S$8:$S$68,AS$4-$B172+1)</f>
        <v/>
      </c>
      <c r="AT172" s="153">
        <f>$C172*INDEX(Curves!$S$8:$S$68,AT$4-$B172+1)</f>
        <v/>
      </c>
      <c r="AU172" s="153">
        <f>$C172*INDEX(Curves!$S$8:$S$68,AU$4-$B172+1)</f>
        <v/>
      </c>
      <c r="AV172" s="153">
        <f>$C172*INDEX(Curves!$S$8:$S$68,AV$4-$B172+1)</f>
        <v/>
      </c>
      <c r="AW172" s="153">
        <f>$C172*INDEX(Curves!$S$8:$S$68,AW$4-$B172+1)</f>
        <v/>
      </c>
      <c r="AX172" s="153">
        <f>$C172*INDEX(Curves!$S$8:$S$68,AX$4-$B172+1)</f>
        <v/>
      </c>
      <c r="AY172" s="153">
        <f>$C172*INDEX(Curves!$S$8:$S$68,AY$4-$B172+1)</f>
        <v/>
      </c>
      <c r="AZ172" s="153">
        <f>$C172*INDEX(Curves!$S$8:$S$68,AZ$4-$B172+1)</f>
        <v/>
      </c>
      <c r="BA172" s="153">
        <f>$C172*INDEX(Curves!$S$8:$S$68,BA$4-$B172+1)</f>
        <v/>
      </c>
      <c r="BB172" s="153">
        <f>$C172*INDEX(Curves!$S$8:$S$68,BB$4-$B172+1)</f>
        <v/>
      </c>
      <c r="BC172" s="153">
        <f>$C172*INDEX(Curves!$S$8:$S$68,BC$4-$B172+1)</f>
        <v/>
      </c>
      <c r="BD172" s="153">
        <f>$C172*INDEX(Curves!$S$8:$S$68,BD$4-$B172+1)</f>
        <v/>
      </c>
      <c r="BE172" s="153">
        <f>$C172*INDEX(Curves!$S$8:$S$68,BE$4-$B172+1)</f>
        <v/>
      </c>
      <c r="BF172" s="153">
        <f>$C172*INDEX(Curves!$S$8:$S$68,BF$4-$B172+1)</f>
        <v/>
      </c>
      <c r="BG172" s="153">
        <f>$C172*INDEX(Curves!$S$8:$S$68,BG$4-$B172+1)</f>
        <v/>
      </c>
      <c r="BH172" s="153">
        <f>$C172*INDEX(Curves!$S$8:$S$68,BH$4-$B172+1)</f>
        <v/>
      </c>
      <c r="BI172" s="153">
        <f>$C172*INDEX(Curves!$S$8:$S$68,BI$4-$B172+1)</f>
        <v/>
      </c>
      <c r="BJ172" s="153">
        <f>$C172*INDEX(Curves!$S$8:$S$68,BJ$4-$B172+1)</f>
        <v/>
      </c>
      <c r="BK172" s="153">
        <f>$C172*INDEX(Curves!$S$8:$S$68,BK$4-$B172+1)</f>
        <v/>
      </c>
      <c r="BL172" s="153">
        <f>$C172*INDEX(Curves!$S$8:$S$68,BL$4-$B172+1)</f>
        <v/>
      </c>
    </row>
    <row r="173">
      <c r="A173" s="147" t="inlineStr">
        <is>
          <t>Cohort month 38</t>
        </is>
      </c>
      <c r="B173" s="147" t="n">
        <v>38</v>
      </c>
      <c r="C173" s="41">
        <f>INDEX(Ops!$E$35:$BL$35,1,$B173)</f>
        <v/>
      </c>
      <c r="AQ173" s="153">
        <f>$C173*INDEX(Curves!$S$8:$S$68,AQ$4-$B173+1)</f>
        <v/>
      </c>
      <c r="AR173" s="153">
        <f>$C173*INDEX(Curves!$S$8:$S$68,AR$4-$B173+1)</f>
        <v/>
      </c>
      <c r="AS173" s="153">
        <f>$C173*INDEX(Curves!$S$8:$S$68,AS$4-$B173+1)</f>
        <v/>
      </c>
      <c r="AT173" s="153">
        <f>$C173*INDEX(Curves!$S$8:$S$68,AT$4-$B173+1)</f>
        <v/>
      </c>
      <c r="AU173" s="153">
        <f>$C173*INDEX(Curves!$S$8:$S$68,AU$4-$B173+1)</f>
        <v/>
      </c>
      <c r="AV173" s="153">
        <f>$C173*INDEX(Curves!$S$8:$S$68,AV$4-$B173+1)</f>
        <v/>
      </c>
      <c r="AW173" s="153">
        <f>$C173*INDEX(Curves!$S$8:$S$68,AW$4-$B173+1)</f>
        <v/>
      </c>
      <c r="AX173" s="153">
        <f>$C173*INDEX(Curves!$S$8:$S$68,AX$4-$B173+1)</f>
        <v/>
      </c>
      <c r="AY173" s="153">
        <f>$C173*INDEX(Curves!$S$8:$S$68,AY$4-$B173+1)</f>
        <v/>
      </c>
      <c r="AZ173" s="153">
        <f>$C173*INDEX(Curves!$S$8:$S$68,AZ$4-$B173+1)</f>
        <v/>
      </c>
      <c r="BA173" s="153">
        <f>$C173*INDEX(Curves!$S$8:$S$68,BA$4-$B173+1)</f>
        <v/>
      </c>
      <c r="BB173" s="153">
        <f>$C173*INDEX(Curves!$S$8:$S$68,BB$4-$B173+1)</f>
        <v/>
      </c>
      <c r="BC173" s="153">
        <f>$C173*INDEX(Curves!$S$8:$S$68,BC$4-$B173+1)</f>
        <v/>
      </c>
      <c r="BD173" s="153">
        <f>$C173*INDEX(Curves!$S$8:$S$68,BD$4-$B173+1)</f>
        <v/>
      </c>
      <c r="BE173" s="153">
        <f>$C173*INDEX(Curves!$S$8:$S$68,BE$4-$B173+1)</f>
        <v/>
      </c>
      <c r="BF173" s="153">
        <f>$C173*INDEX(Curves!$S$8:$S$68,BF$4-$B173+1)</f>
        <v/>
      </c>
      <c r="BG173" s="153">
        <f>$C173*INDEX(Curves!$S$8:$S$68,BG$4-$B173+1)</f>
        <v/>
      </c>
      <c r="BH173" s="153">
        <f>$C173*INDEX(Curves!$S$8:$S$68,BH$4-$B173+1)</f>
        <v/>
      </c>
      <c r="BI173" s="153">
        <f>$C173*INDEX(Curves!$S$8:$S$68,BI$4-$B173+1)</f>
        <v/>
      </c>
      <c r="BJ173" s="153">
        <f>$C173*INDEX(Curves!$S$8:$S$68,BJ$4-$B173+1)</f>
        <v/>
      </c>
      <c r="BK173" s="153">
        <f>$C173*INDEX(Curves!$S$8:$S$68,BK$4-$B173+1)</f>
        <v/>
      </c>
      <c r="BL173" s="153">
        <f>$C173*INDEX(Curves!$S$8:$S$68,BL$4-$B173+1)</f>
        <v/>
      </c>
    </row>
    <row r="174">
      <c r="A174" s="147" t="inlineStr">
        <is>
          <t>Cohort month 39</t>
        </is>
      </c>
      <c r="B174" s="147" t="n">
        <v>39</v>
      </c>
      <c r="C174" s="41">
        <f>INDEX(Ops!$E$35:$BL$35,1,$B174)</f>
        <v/>
      </c>
      <c r="AR174" s="153">
        <f>$C174*INDEX(Curves!$S$8:$S$68,AR$4-$B174+1)</f>
        <v/>
      </c>
      <c r="AS174" s="153">
        <f>$C174*INDEX(Curves!$S$8:$S$68,AS$4-$B174+1)</f>
        <v/>
      </c>
      <c r="AT174" s="153">
        <f>$C174*INDEX(Curves!$S$8:$S$68,AT$4-$B174+1)</f>
        <v/>
      </c>
      <c r="AU174" s="153">
        <f>$C174*INDEX(Curves!$S$8:$S$68,AU$4-$B174+1)</f>
        <v/>
      </c>
      <c r="AV174" s="153">
        <f>$C174*INDEX(Curves!$S$8:$S$68,AV$4-$B174+1)</f>
        <v/>
      </c>
      <c r="AW174" s="153">
        <f>$C174*INDEX(Curves!$S$8:$S$68,AW$4-$B174+1)</f>
        <v/>
      </c>
      <c r="AX174" s="153">
        <f>$C174*INDEX(Curves!$S$8:$S$68,AX$4-$B174+1)</f>
        <v/>
      </c>
      <c r="AY174" s="153">
        <f>$C174*INDEX(Curves!$S$8:$S$68,AY$4-$B174+1)</f>
        <v/>
      </c>
      <c r="AZ174" s="153">
        <f>$C174*INDEX(Curves!$S$8:$S$68,AZ$4-$B174+1)</f>
        <v/>
      </c>
      <c r="BA174" s="153">
        <f>$C174*INDEX(Curves!$S$8:$S$68,BA$4-$B174+1)</f>
        <v/>
      </c>
      <c r="BB174" s="153">
        <f>$C174*INDEX(Curves!$S$8:$S$68,BB$4-$B174+1)</f>
        <v/>
      </c>
      <c r="BC174" s="153">
        <f>$C174*INDEX(Curves!$S$8:$S$68,BC$4-$B174+1)</f>
        <v/>
      </c>
      <c r="BD174" s="153">
        <f>$C174*INDEX(Curves!$S$8:$S$68,BD$4-$B174+1)</f>
        <v/>
      </c>
      <c r="BE174" s="153">
        <f>$C174*INDEX(Curves!$S$8:$S$68,BE$4-$B174+1)</f>
        <v/>
      </c>
      <c r="BF174" s="153">
        <f>$C174*INDEX(Curves!$S$8:$S$68,BF$4-$B174+1)</f>
        <v/>
      </c>
      <c r="BG174" s="153">
        <f>$C174*INDEX(Curves!$S$8:$S$68,BG$4-$B174+1)</f>
        <v/>
      </c>
      <c r="BH174" s="153">
        <f>$C174*INDEX(Curves!$S$8:$S$68,BH$4-$B174+1)</f>
        <v/>
      </c>
      <c r="BI174" s="153">
        <f>$C174*INDEX(Curves!$S$8:$S$68,BI$4-$B174+1)</f>
        <v/>
      </c>
      <c r="BJ174" s="153">
        <f>$C174*INDEX(Curves!$S$8:$S$68,BJ$4-$B174+1)</f>
        <v/>
      </c>
      <c r="BK174" s="153">
        <f>$C174*INDEX(Curves!$S$8:$S$68,BK$4-$B174+1)</f>
        <v/>
      </c>
      <c r="BL174" s="153">
        <f>$C174*INDEX(Curves!$S$8:$S$68,BL$4-$B174+1)</f>
        <v/>
      </c>
    </row>
    <row r="175">
      <c r="A175" s="147" t="inlineStr">
        <is>
          <t>Cohort month 40</t>
        </is>
      </c>
      <c r="B175" s="147" t="n">
        <v>40</v>
      </c>
      <c r="C175" s="41">
        <f>INDEX(Ops!$E$35:$BL$35,1,$B175)</f>
        <v/>
      </c>
      <c r="AS175" s="153">
        <f>$C175*INDEX(Curves!$S$8:$S$68,AS$4-$B175+1)</f>
        <v/>
      </c>
      <c r="AT175" s="153">
        <f>$C175*INDEX(Curves!$S$8:$S$68,AT$4-$B175+1)</f>
        <v/>
      </c>
      <c r="AU175" s="153">
        <f>$C175*INDEX(Curves!$S$8:$S$68,AU$4-$B175+1)</f>
        <v/>
      </c>
      <c r="AV175" s="153">
        <f>$C175*INDEX(Curves!$S$8:$S$68,AV$4-$B175+1)</f>
        <v/>
      </c>
      <c r="AW175" s="153">
        <f>$C175*INDEX(Curves!$S$8:$S$68,AW$4-$B175+1)</f>
        <v/>
      </c>
      <c r="AX175" s="153">
        <f>$C175*INDEX(Curves!$S$8:$S$68,AX$4-$B175+1)</f>
        <v/>
      </c>
      <c r="AY175" s="153">
        <f>$C175*INDEX(Curves!$S$8:$S$68,AY$4-$B175+1)</f>
        <v/>
      </c>
      <c r="AZ175" s="153">
        <f>$C175*INDEX(Curves!$S$8:$S$68,AZ$4-$B175+1)</f>
        <v/>
      </c>
      <c r="BA175" s="153">
        <f>$C175*INDEX(Curves!$S$8:$S$68,BA$4-$B175+1)</f>
        <v/>
      </c>
      <c r="BB175" s="153">
        <f>$C175*INDEX(Curves!$S$8:$S$68,BB$4-$B175+1)</f>
        <v/>
      </c>
      <c r="BC175" s="153">
        <f>$C175*INDEX(Curves!$S$8:$S$68,BC$4-$B175+1)</f>
        <v/>
      </c>
      <c r="BD175" s="153">
        <f>$C175*INDEX(Curves!$S$8:$S$68,BD$4-$B175+1)</f>
        <v/>
      </c>
      <c r="BE175" s="153">
        <f>$C175*INDEX(Curves!$S$8:$S$68,BE$4-$B175+1)</f>
        <v/>
      </c>
      <c r="BF175" s="153">
        <f>$C175*INDEX(Curves!$S$8:$S$68,BF$4-$B175+1)</f>
        <v/>
      </c>
      <c r="BG175" s="153">
        <f>$C175*INDEX(Curves!$S$8:$S$68,BG$4-$B175+1)</f>
        <v/>
      </c>
      <c r="BH175" s="153">
        <f>$C175*INDEX(Curves!$S$8:$S$68,BH$4-$B175+1)</f>
        <v/>
      </c>
      <c r="BI175" s="153">
        <f>$C175*INDEX(Curves!$S$8:$S$68,BI$4-$B175+1)</f>
        <v/>
      </c>
      <c r="BJ175" s="153">
        <f>$C175*INDEX(Curves!$S$8:$S$68,BJ$4-$B175+1)</f>
        <v/>
      </c>
      <c r="BK175" s="153">
        <f>$C175*INDEX(Curves!$S$8:$S$68,BK$4-$B175+1)</f>
        <v/>
      </c>
      <c r="BL175" s="153">
        <f>$C175*INDEX(Curves!$S$8:$S$68,BL$4-$B175+1)</f>
        <v/>
      </c>
    </row>
    <row r="176">
      <c r="A176" s="147" t="inlineStr">
        <is>
          <t>Cohort month 41</t>
        </is>
      </c>
      <c r="B176" s="147" t="n">
        <v>41</v>
      </c>
      <c r="C176" s="41">
        <f>INDEX(Ops!$E$35:$BL$35,1,$B176)</f>
        <v/>
      </c>
      <c r="AT176" s="153">
        <f>$C176*INDEX(Curves!$S$8:$S$68,AT$4-$B176+1)</f>
        <v/>
      </c>
      <c r="AU176" s="153">
        <f>$C176*INDEX(Curves!$S$8:$S$68,AU$4-$B176+1)</f>
        <v/>
      </c>
      <c r="AV176" s="153">
        <f>$C176*INDEX(Curves!$S$8:$S$68,AV$4-$B176+1)</f>
        <v/>
      </c>
      <c r="AW176" s="153">
        <f>$C176*INDEX(Curves!$S$8:$S$68,AW$4-$B176+1)</f>
        <v/>
      </c>
      <c r="AX176" s="153">
        <f>$C176*INDEX(Curves!$S$8:$S$68,AX$4-$B176+1)</f>
        <v/>
      </c>
      <c r="AY176" s="153">
        <f>$C176*INDEX(Curves!$S$8:$S$68,AY$4-$B176+1)</f>
        <v/>
      </c>
      <c r="AZ176" s="153">
        <f>$C176*INDEX(Curves!$S$8:$S$68,AZ$4-$B176+1)</f>
        <v/>
      </c>
      <c r="BA176" s="153">
        <f>$C176*INDEX(Curves!$S$8:$S$68,BA$4-$B176+1)</f>
        <v/>
      </c>
      <c r="BB176" s="153">
        <f>$C176*INDEX(Curves!$S$8:$S$68,BB$4-$B176+1)</f>
        <v/>
      </c>
      <c r="BC176" s="153">
        <f>$C176*INDEX(Curves!$S$8:$S$68,BC$4-$B176+1)</f>
        <v/>
      </c>
      <c r="BD176" s="153">
        <f>$C176*INDEX(Curves!$S$8:$S$68,BD$4-$B176+1)</f>
        <v/>
      </c>
      <c r="BE176" s="153">
        <f>$C176*INDEX(Curves!$S$8:$S$68,BE$4-$B176+1)</f>
        <v/>
      </c>
      <c r="BF176" s="153">
        <f>$C176*INDEX(Curves!$S$8:$S$68,BF$4-$B176+1)</f>
        <v/>
      </c>
      <c r="BG176" s="153">
        <f>$C176*INDEX(Curves!$S$8:$S$68,BG$4-$B176+1)</f>
        <v/>
      </c>
      <c r="BH176" s="153">
        <f>$C176*INDEX(Curves!$S$8:$S$68,BH$4-$B176+1)</f>
        <v/>
      </c>
      <c r="BI176" s="153">
        <f>$C176*INDEX(Curves!$S$8:$S$68,BI$4-$B176+1)</f>
        <v/>
      </c>
      <c r="BJ176" s="153">
        <f>$C176*INDEX(Curves!$S$8:$S$68,BJ$4-$B176+1)</f>
        <v/>
      </c>
      <c r="BK176" s="153">
        <f>$C176*INDEX(Curves!$S$8:$S$68,BK$4-$B176+1)</f>
        <v/>
      </c>
      <c r="BL176" s="153">
        <f>$C176*INDEX(Curves!$S$8:$S$68,BL$4-$B176+1)</f>
        <v/>
      </c>
    </row>
    <row r="177">
      <c r="A177" s="147" t="inlineStr">
        <is>
          <t>Cohort month 42</t>
        </is>
      </c>
      <c r="B177" s="147" t="n">
        <v>42</v>
      </c>
      <c r="C177" s="41">
        <f>INDEX(Ops!$E$35:$BL$35,1,$B177)</f>
        <v/>
      </c>
      <c r="AU177" s="153">
        <f>$C177*INDEX(Curves!$S$8:$S$68,AU$4-$B177+1)</f>
        <v/>
      </c>
      <c r="AV177" s="153">
        <f>$C177*INDEX(Curves!$S$8:$S$68,AV$4-$B177+1)</f>
        <v/>
      </c>
      <c r="AW177" s="153">
        <f>$C177*INDEX(Curves!$S$8:$S$68,AW$4-$B177+1)</f>
        <v/>
      </c>
      <c r="AX177" s="153">
        <f>$C177*INDEX(Curves!$S$8:$S$68,AX$4-$B177+1)</f>
        <v/>
      </c>
      <c r="AY177" s="153">
        <f>$C177*INDEX(Curves!$S$8:$S$68,AY$4-$B177+1)</f>
        <v/>
      </c>
      <c r="AZ177" s="153">
        <f>$C177*INDEX(Curves!$S$8:$S$68,AZ$4-$B177+1)</f>
        <v/>
      </c>
      <c r="BA177" s="153">
        <f>$C177*INDEX(Curves!$S$8:$S$68,BA$4-$B177+1)</f>
        <v/>
      </c>
      <c r="BB177" s="153">
        <f>$C177*INDEX(Curves!$S$8:$S$68,BB$4-$B177+1)</f>
        <v/>
      </c>
      <c r="BC177" s="153">
        <f>$C177*INDEX(Curves!$S$8:$S$68,BC$4-$B177+1)</f>
        <v/>
      </c>
      <c r="BD177" s="153">
        <f>$C177*INDEX(Curves!$S$8:$S$68,BD$4-$B177+1)</f>
        <v/>
      </c>
      <c r="BE177" s="153">
        <f>$C177*INDEX(Curves!$S$8:$S$68,BE$4-$B177+1)</f>
        <v/>
      </c>
      <c r="BF177" s="153">
        <f>$C177*INDEX(Curves!$S$8:$S$68,BF$4-$B177+1)</f>
        <v/>
      </c>
      <c r="BG177" s="153">
        <f>$C177*INDEX(Curves!$S$8:$S$68,BG$4-$B177+1)</f>
        <v/>
      </c>
      <c r="BH177" s="153">
        <f>$C177*INDEX(Curves!$S$8:$S$68,BH$4-$B177+1)</f>
        <v/>
      </c>
      <c r="BI177" s="153">
        <f>$C177*INDEX(Curves!$S$8:$S$68,BI$4-$B177+1)</f>
        <v/>
      </c>
      <c r="BJ177" s="153">
        <f>$C177*INDEX(Curves!$S$8:$S$68,BJ$4-$B177+1)</f>
        <v/>
      </c>
      <c r="BK177" s="153">
        <f>$C177*INDEX(Curves!$S$8:$S$68,BK$4-$B177+1)</f>
        <v/>
      </c>
      <c r="BL177" s="153">
        <f>$C177*INDEX(Curves!$S$8:$S$68,BL$4-$B177+1)</f>
        <v/>
      </c>
    </row>
    <row r="178">
      <c r="A178" s="147" t="inlineStr">
        <is>
          <t>Cohort month 43</t>
        </is>
      </c>
      <c r="B178" s="147" t="n">
        <v>43</v>
      </c>
      <c r="C178" s="41">
        <f>INDEX(Ops!$E$35:$BL$35,1,$B178)</f>
        <v/>
      </c>
      <c r="AV178" s="153">
        <f>$C178*INDEX(Curves!$S$8:$S$68,AV$4-$B178+1)</f>
        <v/>
      </c>
      <c r="AW178" s="153">
        <f>$C178*INDEX(Curves!$S$8:$S$68,AW$4-$B178+1)</f>
        <v/>
      </c>
      <c r="AX178" s="153">
        <f>$C178*INDEX(Curves!$S$8:$S$68,AX$4-$B178+1)</f>
        <v/>
      </c>
      <c r="AY178" s="153">
        <f>$C178*INDEX(Curves!$S$8:$S$68,AY$4-$B178+1)</f>
        <v/>
      </c>
      <c r="AZ178" s="153">
        <f>$C178*INDEX(Curves!$S$8:$S$68,AZ$4-$B178+1)</f>
        <v/>
      </c>
      <c r="BA178" s="153">
        <f>$C178*INDEX(Curves!$S$8:$S$68,BA$4-$B178+1)</f>
        <v/>
      </c>
      <c r="BB178" s="153">
        <f>$C178*INDEX(Curves!$S$8:$S$68,BB$4-$B178+1)</f>
        <v/>
      </c>
      <c r="BC178" s="153">
        <f>$C178*INDEX(Curves!$S$8:$S$68,BC$4-$B178+1)</f>
        <v/>
      </c>
      <c r="BD178" s="153">
        <f>$C178*INDEX(Curves!$S$8:$S$68,BD$4-$B178+1)</f>
        <v/>
      </c>
      <c r="BE178" s="153">
        <f>$C178*INDEX(Curves!$S$8:$S$68,BE$4-$B178+1)</f>
        <v/>
      </c>
      <c r="BF178" s="153">
        <f>$C178*INDEX(Curves!$S$8:$S$68,BF$4-$B178+1)</f>
        <v/>
      </c>
      <c r="BG178" s="153">
        <f>$C178*INDEX(Curves!$S$8:$S$68,BG$4-$B178+1)</f>
        <v/>
      </c>
      <c r="BH178" s="153">
        <f>$C178*INDEX(Curves!$S$8:$S$68,BH$4-$B178+1)</f>
        <v/>
      </c>
      <c r="BI178" s="153">
        <f>$C178*INDEX(Curves!$S$8:$S$68,BI$4-$B178+1)</f>
        <v/>
      </c>
      <c r="BJ178" s="153">
        <f>$C178*INDEX(Curves!$S$8:$S$68,BJ$4-$B178+1)</f>
        <v/>
      </c>
      <c r="BK178" s="153">
        <f>$C178*INDEX(Curves!$S$8:$S$68,BK$4-$B178+1)</f>
        <v/>
      </c>
      <c r="BL178" s="153">
        <f>$C178*INDEX(Curves!$S$8:$S$68,BL$4-$B178+1)</f>
        <v/>
      </c>
    </row>
    <row r="179">
      <c r="A179" s="147" t="inlineStr">
        <is>
          <t>Cohort month 44</t>
        </is>
      </c>
      <c r="B179" s="147" t="n">
        <v>44</v>
      </c>
      <c r="C179" s="41">
        <f>INDEX(Ops!$E$35:$BL$35,1,$B179)</f>
        <v/>
      </c>
      <c r="AW179" s="153">
        <f>$C179*INDEX(Curves!$S$8:$S$68,AW$4-$B179+1)</f>
        <v/>
      </c>
      <c r="AX179" s="153">
        <f>$C179*INDEX(Curves!$S$8:$S$68,AX$4-$B179+1)</f>
        <v/>
      </c>
      <c r="AY179" s="153">
        <f>$C179*INDEX(Curves!$S$8:$S$68,AY$4-$B179+1)</f>
        <v/>
      </c>
      <c r="AZ179" s="153">
        <f>$C179*INDEX(Curves!$S$8:$S$68,AZ$4-$B179+1)</f>
        <v/>
      </c>
      <c r="BA179" s="153">
        <f>$C179*INDEX(Curves!$S$8:$S$68,BA$4-$B179+1)</f>
        <v/>
      </c>
      <c r="BB179" s="153">
        <f>$C179*INDEX(Curves!$S$8:$S$68,BB$4-$B179+1)</f>
        <v/>
      </c>
      <c r="BC179" s="153">
        <f>$C179*INDEX(Curves!$S$8:$S$68,BC$4-$B179+1)</f>
        <v/>
      </c>
      <c r="BD179" s="153">
        <f>$C179*INDEX(Curves!$S$8:$S$68,BD$4-$B179+1)</f>
        <v/>
      </c>
      <c r="BE179" s="153">
        <f>$C179*INDEX(Curves!$S$8:$S$68,BE$4-$B179+1)</f>
        <v/>
      </c>
      <c r="BF179" s="153">
        <f>$C179*INDEX(Curves!$S$8:$S$68,BF$4-$B179+1)</f>
        <v/>
      </c>
      <c r="BG179" s="153">
        <f>$C179*INDEX(Curves!$S$8:$S$68,BG$4-$B179+1)</f>
        <v/>
      </c>
      <c r="BH179" s="153">
        <f>$C179*INDEX(Curves!$S$8:$S$68,BH$4-$B179+1)</f>
        <v/>
      </c>
      <c r="BI179" s="153">
        <f>$C179*INDEX(Curves!$S$8:$S$68,BI$4-$B179+1)</f>
        <v/>
      </c>
      <c r="BJ179" s="153">
        <f>$C179*INDEX(Curves!$S$8:$S$68,BJ$4-$B179+1)</f>
        <v/>
      </c>
      <c r="BK179" s="153">
        <f>$C179*INDEX(Curves!$S$8:$S$68,BK$4-$B179+1)</f>
        <v/>
      </c>
      <c r="BL179" s="153">
        <f>$C179*INDEX(Curves!$S$8:$S$68,BL$4-$B179+1)</f>
        <v/>
      </c>
    </row>
    <row r="180">
      <c r="A180" s="147" t="inlineStr">
        <is>
          <t>Cohort month 45</t>
        </is>
      </c>
      <c r="B180" s="147" t="n">
        <v>45</v>
      </c>
      <c r="C180" s="41">
        <f>INDEX(Ops!$E$35:$BL$35,1,$B180)</f>
        <v/>
      </c>
      <c r="AX180" s="153">
        <f>$C180*INDEX(Curves!$S$8:$S$68,AX$4-$B180+1)</f>
        <v/>
      </c>
      <c r="AY180" s="153">
        <f>$C180*INDEX(Curves!$S$8:$S$68,AY$4-$B180+1)</f>
        <v/>
      </c>
      <c r="AZ180" s="153">
        <f>$C180*INDEX(Curves!$S$8:$S$68,AZ$4-$B180+1)</f>
        <v/>
      </c>
      <c r="BA180" s="153">
        <f>$C180*INDEX(Curves!$S$8:$S$68,BA$4-$B180+1)</f>
        <v/>
      </c>
      <c r="BB180" s="153">
        <f>$C180*INDEX(Curves!$S$8:$S$68,BB$4-$B180+1)</f>
        <v/>
      </c>
      <c r="BC180" s="153">
        <f>$C180*INDEX(Curves!$S$8:$S$68,BC$4-$B180+1)</f>
        <v/>
      </c>
      <c r="BD180" s="153">
        <f>$C180*INDEX(Curves!$S$8:$S$68,BD$4-$B180+1)</f>
        <v/>
      </c>
      <c r="BE180" s="153">
        <f>$C180*INDEX(Curves!$S$8:$S$68,BE$4-$B180+1)</f>
        <v/>
      </c>
      <c r="BF180" s="153">
        <f>$C180*INDEX(Curves!$S$8:$S$68,BF$4-$B180+1)</f>
        <v/>
      </c>
      <c r="BG180" s="153">
        <f>$C180*INDEX(Curves!$S$8:$S$68,BG$4-$B180+1)</f>
        <v/>
      </c>
      <c r="BH180" s="153">
        <f>$C180*INDEX(Curves!$S$8:$S$68,BH$4-$B180+1)</f>
        <v/>
      </c>
      <c r="BI180" s="153">
        <f>$C180*INDEX(Curves!$S$8:$S$68,BI$4-$B180+1)</f>
        <v/>
      </c>
      <c r="BJ180" s="153">
        <f>$C180*INDEX(Curves!$S$8:$S$68,BJ$4-$B180+1)</f>
        <v/>
      </c>
      <c r="BK180" s="153">
        <f>$C180*INDEX(Curves!$S$8:$S$68,BK$4-$B180+1)</f>
        <v/>
      </c>
      <c r="BL180" s="153">
        <f>$C180*INDEX(Curves!$S$8:$S$68,BL$4-$B180+1)</f>
        <v/>
      </c>
    </row>
    <row r="181">
      <c r="A181" s="147" t="inlineStr">
        <is>
          <t>Cohort month 46</t>
        </is>
      </c>
      <c r="B181" s="147" t="n">
        <v>46</v>
      </c>
      <c r="C181" s="41">
        <f>INDEX(Ops!$E$35:$BL$35,1,$B181)</f>
        <v/>
      </c>
      <c r="AY181" s="153">
        <f>$C181*INDEX(Curves!$S$8:$S$68,AY$4-$B181+1)</f>
        <v/>
      </c>
      <c r="AZ181" s="153">
        <f>$C181*INDEX(Curves!$S$8:$S$68,AZ$4-$B181+1)</f>
        <v/>
      </c>
      <c r="BA181" s="153">
        <f>$C181*INDEX(Curves!$S$8:$S$68,BA$4-$B181+1)</f>
        <v/>
      </c>
      <c r="BB181" s="153">
        <f>$C181*INDEX(Curves!$S$8:$S$68,BB$4-$B181+1)</f>
        <v/>
      </c>
      <c r="BC181" s="153">
        <f>$C181*INDEX(Curves!$S$8:$S$68,BC$4-$B181+1)</f>
        <v/>
      </c>
      <c r="BD181" s="153">
        <f>$C181*INDEX(Curves!$S$8:$S$68,BD$4-$B181+1)</f>
        <v/>
      </c>
      <c r="BE181" s="153">
        <f>$C181*INDEX(Curves!$S$8:$S$68,BE$4-$B181+1)</f>
        <v/>
      </c>
      <c r="BF181" s="153">
        <f>$C181*INDEX(Curves!$S$8:$S$68,BF$4-$B181+1)</f>
        <v/>
      </c>
      <c r="BG181" s="153">
        <f>$C181*INDEX(Curves!$S$8:$S$68,BG$4-$B181+1)</f>
        <v/>
      </c>
      <c r="BH181" s="153">
        <f>$C181*INDEX(Curves!$S$8:$S$68,BH$4-$B181+1)</f>
        <v/>
      </c>
      <c r="BI181" s="153">
        <f>$C181*INDEX(Curves!$S$8:$S$68,BI$4-$B181+1)</f>
        <v/>
      </c>
      <c r="BJ181" s="153">
        <f>$C181*INDEX(Curves!$S$8:$S$68,BJ$4-$B181+1)</f>
        <v/>
      </c>
      <c r="BK181" s="153">
        <f>$C181*INDEX(Curves!$S$8:$S$68,BK$4-$B181+1)</f>
        <v/>
      </c>
      <c r="BL181" s="153">
        <f>$C181*INDEX(Curves!$S$8:$S$68,BL$4-$B181+1)</f>
        <v/>
      </c>
    </row>
    <row r="182">
      <c r="A182" s="147" t="inlineStr">
        <is>
          <t>Cohort month 47</t>
        </is>
      </c>
      <c r="B182" s="147" t="n">
        <v>47</v>
      </c>
      <c r="C182" s="41">
        <f>INDEX(Ops!$E$35:$BL$35,1,$B182)</f>
        <v/>
      </c>
      <c r="AZ182" s="153">
        <f>$C182*INDEX(Curves!$S$8:$S$68,AZ$4-$B182+1)</f>
        <v/>
      </c>
      <c r="BA182" s="153">
        <f>$C182*INDEX(Curves!$S$8:$S$68,BA$4-$B182+1)</f>
        <v/>
      </c>
      <c r="BB182" s="153">
        <f>$C182*INDEX(Curves!$S$8:$S$68,BB$4-$B182+1)</f>
        <v/>
      </c>
      <c r="BC182" s="153">
        <f>$C182*INDEX(Curves!$S$8:$S$68,BC$4-$B182+1)</f>
        <v/>
      </c>
      <c r="BD182" s="153">
        <f>$C182*INDEX(Curves!$S$8:$S$68,BD$4-$B182+1)</f>
        <v/>
      </c>
      <c r="BE182" s="153">
        <f>$C182*INDEX(Curves!$S$8:$S$68,BE$4-$B182+1)</f>
        <v/>
      </c>
      <c r="BF182" s="153">
        <f>$C182*INDEX(Curves!$S$8:$S$68,BF$4-$B182+1)</f>
        <v/>
      </c>
      <c r="BG182" s="153">
        <f>$C182*INDEX(Curves!$S$8:$S$68,BG$4-$B182+1)</f>
        <v/>
      </c>
      <c r="BH182" s="153">
        <f>$C182*INDEX(Curves!$S$8:$S$68,BH$4-$B182+1)</f>
        <v/>
      </c>
      <c r="BI182" s="153">
        <f>$C182*INDEX(Curves!$S$8:$S$68,BI$4-$B182+1)</f>
        <v/>
      </c>
      <c r="BJ182" s="153">
        <f>$C182*INDEX(Curves!$S$8:$S$68,BJ$4-$B182+1)</f>
        <v/>
      </c>
      <c r="BK182" s="153">
        <f>$C182*INDEX(Curves!$S$8:$S$68,BK$4-$B182+1)</f>
        <v/>
      </c>
      <c r="BL182" s="153">
        <f>$C182*INDEX(Curves!$S$8:$S$68,BL$4-$B182+1)</f>
        <v/>
      </c>
    </row>
    <row r="183">
      <c r="A183" s="147" t="inlineStr">
        <is>
          <t>Cohort month 48</t>
        </is>
      </c>
      <c r="B183" s="147" t="n">
        <v>48</v>
      </c>
      <c r="C183" s="41">
        <f>INDEX(Ops!$E$35:$BL$35,1,$B183)</f>
        <v/>
      </c>
      <c r="BA183" s="153">
        <f>$C183*INDEX(Curves!$S$8:$S$68,BA$4-$B183+1)</f>
        <v/>
      </c>
      <c r="BB183" s="153">
        <f>$C183*INDEX(Curves!$S$8:$S$68,BB$4-$B183+1)</f>
        <v/>
      </c>
      <c r="BC183" s="153">
        <f>$C183*INDEX(Curves!$S$8:$S$68,BC$4-$B183+1)</f>
        <v/>
      </c>
      <c r="BD183" s="153">
        <f>$C183*INDEX(Curves!$S$8:$S$68,BD$4-$B183+1)</f>
        <v/>
      </c>
      <c r="BE183" s="153">
        <f>$C183*INDEX(Curves!$S$8:$S$68,BE$4-$B183+1)</f>
        <v/>
      </c>
      <c r="BF183" s="153">
        <f>$C183*INDEX(Curves!$S$8:$S$68,BF$4-$B183+1)</f>
        <v/>
      </c>
      <c r="BG183" s="153">
        <f>$C183*INDEX(Curves!$S$8:$S$68,BG$4-$B183+1)</f>
        <v/>
      </c>
      <c r="BH183" s="153">
        <f>$C183*INDEX(Curves!$S$8:$S$68,BH$4-$B183+1)</f>
        <v/>
      </c>
      <c r="BI183" s="153">
        <f>$C183*INDEX(Curves!$S$8:$S$68,BI$4-$B183+1)</f>
        <v/>
      </c>
      <c r="BJ183" s="153">
        <f>$C183*INDEX(Curves!$S$8:$S$68,BJ$4-$B183+1)</f>
        <v/>
      </c>
      <c r="BK183" s="153">
        <f>$C183*INDEX(Curves!$S$8:$S$68,BK$4-$B183+1)</f>
        <v/>
      </c>
      <c r="BL183" s="153">
        <f>$C183*INDEX(Curves!$S$8:$S$68,BL$4-$B183+1)</f>
        <v/>
      </c>
    </row>
    <row r="184">
      <c r="A184" s="147" t="inlineStr">
        <is>
          <t>Cohort month 49</t>
        </is>
      </c>
      <c r="B184" s="147" t="n">
        <v>49</v>
      </c>
      <c r="C184" s="41">
        <f>INDEX(Ops!$E$35:$BL$35,1,$B184)</f>
        <v/>
      </c>
      <c r="BB184" s="153">
        <f>$C184*INDEX(Curves!$S$8:$S$68,BB$4-$B184+1)</f>
        <v/>
      </c>
      <c r="BC184" s="153">
        <f>$C184*INDEX(Curves!$S$8:$S$68,BC$4-$B184+1)</f>
        <v/>
      </c>
      <c r="BD184" s="153">
        <f>$C184*INDEX(Curves!$S$8:$S$68,BD$4-$B184+1)</f>
        <v/>
      </c>
      <c r="BE184" s="153">
        <f>$C184*INDEX(Curves!$S$8:$S$68,BE$4-$B184+1)</f>
        <v/>
      </c>
      <c r="BF184" s="153">
        <f>$C184*INDEX(Curves!$S$8:$S$68,BF$4-$B184+1)</f>
        <v/>
      </c>
      <c r="BG184" s="153">
        <f>$C184*INDEX(Curves!$S$8:$S$68,BG$4-$B184+1)</f>
        <v/>
      </c>
      <c r="BH184" s="153">
        <f>$C184*INDEX(Curves!$S$8:$S$68,BH$4-$B184+1)</f>
        <v/>
      </c>
      <c r="BI184" s="153">
        <f>$C184*INDEX(Curves!$S$8:$S$68,BI$4-$B184+1)</f>
        <v/>
      </c>
      <c r="BJ184" s="153">
        <f>$C184*INDEX(Curves!$S$8:$S$68,BJ$4-$B184+1)</f>
        <v/>
      </c>
      <c r="BK184" s="153">
        <f>$C184*INDEX(Curves!$S$8:$S$68,BK$4-$B184+1)</f>
        <v/>
      </c>
      <c r="BL184" s="153">
        <f>$C184*INDEX(Curves!$S$8:$S$68,BL$4-$B184+1)</f>
        <v/>
      </c>
    </row>
    <row r="185">
      <c r="A185" s="147" t="inlineStr">
        <is>
          <t>Cohort month 50</t>
        </is>
      </c>
      <c r="B185" s="147" t="n">
        <v>50</v>
      </c>
      <c r="C185" s="41">
        <f>INDEX(Ops!$E$35:$BL$35,1,$B185)</f>
        <v/>
      </c>
      <c r="BC185" s="153">
        <f>$C185*INDEX(Curves!$S$8:$S$68,BC$4-$B185+1)</f>
        <v/>
      </c>
      <c r="BD185" s="153">
        <f>$C185*INDEX(Curves!$S$8:$S$68,BD$4-$B185+1)</f>
        <v/>
      </c>
      <c r="BE185" s="153">
        <f>$C185*INDEX(Curves!$S$8:$S$68,BE$4-$B185+1)</f>
        <v/>
      </c>
      <c r="BF185" s="153">
        <f>$C185*INDEX(Curves!$S$8:$S$68,BF$4-$B185+1)</f>
        <v/>
      </c>
      <c r="BG185" s="153">
        <f>$C185*INDEX(Curves!$S$8:$S$68,BG$4-$B185+1)</f>
        <v/>
      </c>
      <c r="BH185" s="153">
        <f>$C185*INDEX(Curves!$S$8:$S$68,BH$4-$B185+1)</f>
        <v/>
      </c>
      <c r="BI185" s="153">
        <f>$C185*INDEX(Curves!$S$8:$S$68,BI$4-$B185+1)</f>
        <v/>
      </c>
      <c r="BJ185" s="153">
        <f>$C185*INDEX(Curves!$S$8:$S$68,BJ$4-$B185+1)</f>
        <v/>
      </c>
      <c r="BK185" s="153">
        <f>$C185*INDEX(Curves!$S$8:$S$68,BK$4-$B185+1)</f>
        <v/>
      </c>
      <c r="BL185" s="153">
        <f>$C185*INDEX(Curves!$S$8:$S$68,BL$4-$B185+1)</f>
        <v/>
      </c>
    </row>
    <row r="186">
      <c r="A186" s="147" t="inlineStr">
        <is>
          <t>Cohort month 51</t>
        </is>
      </c>
      <c r="B186" s="147" t="n">
        <v>51</v>
      </c>
      <c r="C186" s="41">
        <f>INDEX(Ops!$E$35:$BL$35,1,$B186)</f>
        <v/>
      </c>
      <c r="BD186" s="153">
        <f>$C186*INDEX(Curves!$S$8:$S$68,BD$4-$B186+1)</f>
        <v/>
      </c>
      <c r="BE186" s="153">
        <f>$C186*INDEX(Curves!$S$8:$S$68,BE$4-$B186+1)</f>
        <v/>
      </c>
      <c r="BF186" s="153">
        <f>$C186*INDEX(Curves!$S$8:$S$68,BF$4-$B186+1)</f>
        <v/>
      </c>
      <c r="BG186" s="153">
        <f>$C186*INDEX(Curves!$S$8:$S$68,BG$4-$B186+1)</f>
        <v/>
      </c>
      <c r="BH186" s="153">
        <f>$C186*INDEX(Curves!$S$8:$S$68,BH$4-$B186+1)</f>
        <v/>
      </c>
      <c r="BI186" s="153">
        <f>$C186*INDEX(Curves!$S$8:$S$68,BI$4-$B186+1)</f>
        <v/>
      </c>
      <c r="BJ186" s="153">
        <f>$C186*INDEX(Curves!$S$8:$S$68,BJ$4-$B186+1)</f>
        <v/>
      </c>
      <c r="BK186" s="153">
        <f>$C186*INDEX(Curves!$S$8:$S$68,BK$4-$B186+1)</f>
        <v/>
      </c>
      <c r="BL186" s="153">
        <f>$C186*INDEX(Curves!$S$8:$S$68,BL$4-$B186+1)</f>
        <v/>
      </c>
    </row>
    <row r="187">
      <c r="A187" s="147" t="inlineStr">
        <is>
          <t>Cohort month 52</t>
        </is>
      </c>
      <c r="B187" s="147" t="n">
        <v>52</v>
      </c>
      <c r="C187" s="41">
        <f>INDEX(Ops!$E$35:$BL$35,1,$B187)</f>
        <v/>
      </c>
      <c r="BE187" s="153">
        <f>$C187*INDEX(Curves!$S$8:$S$68,BE$4-$B187+1)</f>
        <v/>
      </c>
      <c r="BF187" s="153">
        <f>$C187*INDEX(Curves!$S$8:$S$68,BF$4-$B187+1)</f>
        <v/>
      </c>
      <c r="BG187" s="153">
        <f>$C187*INDEX(Curves!$S$8:$S$68,BG$4-$B187+1)</f>
        <v/>
      </c>
      <c r="BH187" s="153">
        <f>$C187*INDEX(Curves!$S$8:$S$68,BH$4-$B187+1)</f>
        <v/>
      </c>
      <c r="BI187" s="153">
        <f>$C187*INDEX(Curves!$S$8:$S$68,BI$4-$B187+1)</f>
        <v/>
      </c>
      <c r="BJ187" s="153">
        <f>$C187*INDEX(Curves!$S$8:$S$68,BJ$4-$B187+1)</f>
        <v/>
      </c>
      <c r="BK187" s="153">
        <f>$C187*INDEX(Curves!$S$8:$S$68,BK$4-$B187+1)</f>
        <v/>
      </c>
      <c r="BL187" s="153">
        <f>$C187*INDEX(Curves!$S$8:$S$68,BL$4-$B187+1)</f>
        <v/>
      </c>
    </row>
    <row r="188">
      <c r="A188" s="147" t="inlineStr">
        <is>
          <t>Cohort month 53</t>
        </is>
      </c>
      <c r="B188" s="147" t="n">
        <v>53</v>
      </c>
      <c r="C188" s="41">
        <f>INDEX(Ops!$E$35:$BL$35,1,$B188)</f>
        <v/>
      </c>
      <c r="BF188" s="153">
        <f>$C188*INDEX(Curves!$S$8:$S$68,BF$4-$B188+1)</f>
        <v/>
      </c>
      <c r="BG188" s="153">
        <f>$C188*INDEX(Curves!$S$8:$S$68,BG$4-$B188+1)</f>
        <v/>
      </c>
      <c r="BH188" s="153">
        <f>$C188*INDEX(Curves!$S$8:$S$68,BH$4-$B188+1)</f>
        <v/>
      </c>
      <c r="BI188" s="153">
        <f>$C188*INDEX(Curves!$S$8:$S$68,BI$4-$B188+1)</f>
        <v/>
      </c>
      <c r="BJ188" s="153">
        <f>$C188*INDEX(Curves!$S$8:$S$68,BJ$4-$B188+1)</f>
        <v/>
      </c>
      <c r="BK188" s="153">
        <f>$C188*INDEX(Curves!$S$8:$S$68,BK$4-$B188+1)</f>
        <v/>
      </c>
      <c r="BL188" s="153">
        <f>$C188*INDEX(Curves!$S$8:$S$68,BL$4-$B188+1)</f>
        <v/>
      </c>
    </row>
    <row r="189">
      <c r="A189" s="147" t="inlineStr">
        <is>
          <t>Cohort month 54</t>
        </is>
      </c>
      <c r="B189" s="147" t="n">
        <v>54</v>
      </c>
      <c r="C189" s="41">
        <f>INDEX(Ops!$E$35:$BL$35,1,$B189)</f>
        <v/>
      </c>
      <c r="BG189" s="153">
        <f>$C189*INDEX(Curves!$S$8:$S$68,BG$4-$B189+1)</f>
        <v/>
      </c>
      <c r="BH189" s="153">
        <f>$C189*INDEX(Curves!$S$8:$S$68,BH$4-$B189+1)</f>
        <v/>
      </c>
      <c r="BI189" s="153">
        <f>$C189*INDEX(Curves!$S$8:$S$68,BI$4-$B189+1)</f>
        <v/>
      </c>
      <c r="BJ189" s="153">
        <f>$C189*INDEX(Curves!$S$8:$S$68,BJ$4-$B189+1)</f>
        <v/>
      </c>
      <c r="BK189" s="153">
        <f>$C189*INDEX(Curves!$S$8:$S$68,BK$4-$B189+1)</f>
        <v/>
      </c>
      <c r="BL189" s="153">
        <f>$C189*INDEX(Curves!$S$8:$S$68,BL$4-$B189+1)</f>
        <v/>
      </c>
    </row>
    <row r="190">
      <c r="A190" s="147" t="inlineStr">
        <is>
          <t>Cohort month 55</t>
        </is>
      </c>
      <c r="B190" s="147" t="n">
        <v>55</v>
      </c>
      <c r="C190" s="41">
        <f>INDEX(Ops!$E$35:$BL$35,1,$B190)</f>
        <v/>
      </c>
      <c r="BH190" s="153">
        <f>$C190*INDEX(Curves!$S$8:$S$68,BH$4-$B190+1)</f>
        <v/>
      </c>
      <c r="BI190" s="153">
        <f>$C190*INDEX(Curves!$S$8:$S$68,BI$4-$B190+1)</f>
        <v/>
      </c>
      <c r="BJ190" s="153">
        <f>$C190*INDEX(Curves!$S$8:$S$68,BJ$4-$B190+1)</f>
        <v/>
      </c>
      <c r="BK190" s="153">
        <f>$C190*INDEX(Curves!$S$8:$S$68,BK$4-$B190+1)</f>
        <v/>
      </c>
      <c r="BL190" s="153">
        <f>$C190*INDEX(Curves!$S$8:$S$68,BL$4-$B190+1)</f>
        <v/>
      </c>
    </row>
    <row r="191">
      <c r="A191" s="147" t="inlineStr">
        <is>
          <t>Cohort month 56</t>
        </is>
      </c>
      <c r="B191" s="147" t="n">
        <v>56</v>
      </c>
      <c r="C191" s="41">
        <f>INDEX(Ops!$E$35:$BL$35,1,$B191)</f>
        <v/>
      </c>
      <c r="BI191" s="153">
        <f>$C191*INDEX(Curves!$S$8:$S$68,BI$4-$B191+1)</f>
        <v/>
      </c>
      <c r="BJ191" s="153">
        <f>$C191*INDEX(Curves!$S$8:$S$68,BJ$4-$B191+1)</f>
        <v/>
      </c>
      <c r="BK191" s="153">
        <f>$C191*INDEX(Curves!$S$8:$S$68,BK$4-$B191+1)</f>
        <v/>
      </c>
      <c r="BL191" s="153">
        <f>$C191*INDEX(Curves!$S$8:$S$68,BL$4-$B191+1)</f>
        <v/>
      </c>
    </row>
    <row r="192">
      <c r="A192" s="147" t="inlineStr">
        <is>
          <t>Cohort month 57</t>
        </is>
      </c>
      <c r="B192" s="147" t="n">
        <v>57</v>
      </c>
      <c r="C192" s="41">
        <f>INDEX(Ops!$E$35:$BL$35,1,$B192)</f>
        <v/>
      </c>
      <c r="BJ192" s="153">
        <f>$C192*INDEX(Curves!$S$8:$S$68,BJ$4-$B192+1)</f>
        <v/>
      </c>
      <c r="BK192" s="153">
        <f>$C192*INDEX(Curves!$S$8:$S$68,BK$4-$B192+1)</f>
        <v/>
      </c>
      <c r="BL192" s="153">
        <f>$C192*INDEX(Curves!$S$8:$S$68,BL$4-$B192+1)</f>
        <v/>
      </c>
    </row>
    <row r="193">
      <c r="A193" s="147" t="inlineStr">
        <is>
          <t>Cohort month 58</t>
        </is>
      </c>
      <c r="B193" s="147" t="n">
        <v>58</v>
      </c>
      <c r="C193" s="41">
        <f>INDEX(Ops!$E$35:$BL$35,1,$B193)</f>
        <v/>
      </c>
      <c r="BK193" s="153">
        <f>$C193*INDEX(Curves!$S$8:$S$68,BK$4-$B193+1)</f>
        <v/>
      </c>
      <c r="BL193" s="153">
        <f>$C193*INDEX(Curves!$S$8:$S$68,BL$4-$B193+1)</f>
        <v/>
      </c>
    </row>
    <row r="194">
      <c r="A194" s="147" t="inlineStr">
        <is>
          <t>Cohort month 59</t>
        </is>
      </c>
      <c r="B194" s="147" t="n">
        <v>59</v>
      </c>
      <c r="C194" s="41">
        <f>INDEX(Ops!$E$35:$BL$35,1,$B194)</f>
        <v/>
      </c>
      <c r="BL194" s="153">
        <f>$C194*INDEX(Curves!$S$8:$S$68,BL$4-$B194+1)</f>
        <v/>
      </c>
    </row>
    <row r="195">
      <c r="A195" s="147" t="inlineStr">
        <is>
          <t>Cohort month 60</t>
        </is>
      </c>
      <c r="B195" s="147" t="n">
        <v>60</v>
      </c>
      <c r="C195" s="41">
        <f>INDEX(Ops!$E$35:$BL$35,1,$B195)</f>
        <v/>
      </c>
    </row>
    <row r="196"/>
    <row r="197">
      <c r="A197" s="21" t="inlineStr">
        <is>
          <t>Recoveries by cohort (LCY)</t>
        </is>
      </c>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c r="AA197" s="22" t="n"/>
      <c r="AB197" s="22" t="n"/>
      <c r="AC197" s="22" t="n"/>
      <c r="AD197" s="22" t="n"/>
      <c r="AE197" s="22" t="n"/>
      <c r="AF197" s="22" t="n"/>
      <c r="AG197" s="22" t="n"/>
      <c r="AH197" s="22" t="n"/>
      <c r="AI197" s="22" t="n"/>
      <c r="AJ197" s="22" t="n"/>
      <c r="AK197" s="22" t="n"/>
      <c r="AL197" s="22" t="n"/>
      <c r="AM197" s="22" t="n"/>
      <c r="AN197" s="22" t="n"/>
      <c r="AO197" s="22" t="n"/>
      <c r="AP197" s="22" t="n"/>
      <c r="AQ197" s="22" t="n"/>
      <c r="AR197" s="22" t="n"/>
      <c r="AS197" s="22" t="n"/>
      <c r="AT197" s="22" t="n"/>
      <c r="AU197" s="22" t="n"/>
      <c r="AV197" s="22" t="n"/>
      <c r="AW197" s="22" t="n"/>
      <c r="AX197" s="22" t="n"/>
      <c r="AY197" s="22" t="n"/>
      <c r="AZ197" s="22" t="n"/>
      <c r="BA197" s="22" t="n"/>
      <c r="BB197" s="22" t="n"/>
      <c r="BC197" s="22" t="n"/>
      <c r="BD197" s="22" t="n"/>
      <c r="BE197" s="22" t="n"/>
      <c r="BF197" s="22" t="n"/>
      <c r="BG197" s="22" t="n"/>
      <c r="BH197" s="22" t="n"/>
      <c r="BI197" s="22" t="n"/>
      <c r="BJ197" s="22" t="n"/>
      <c r="BK197" s="22" t="n"/>
      <c r="BL197" s="22" t="n"/>
    </row>
    <row r="198">
      <c r="A198" s="100" t="inlineStr">
        <is>
          <t>Total</t>
        </is>
      </c>
      <c r="B198" s="101" t="inlineStr"/>
      <c r="C198" s="103" t="n"/>
      <c r="D198" s="103" t="n"/>
      <c r="E198" s="104">
        <f>SUM(E199:E258)</f>
        <v/>
      </c>
      <c r="F198" s="104">
        <f>SUM(F199:F258)</f>
        <v/>
      </c>
      <c r="G198" s="104">
        <f>SUM(G199:G258)</f>
        <v/>
      </c>
      <c r="H198" s="104">
        <f>SUM(H199:H258)</f>
        <v/>
      </c>
      <c r="I198" s="104">
        <f>SUM(I199:I258)</f>
        <v/>
      </c>
      <c r="J198" s="104">
        <f>SUM(J199:J258)</f>
        <v/>
      </c>
      <c r="K198" s="104">
        <f>SUM(K199:K258)</f>
        <v/>
      </c>
      <c r="L198" s="104">
        <f>SUM(L199:L258)</f>
        <v/>
      </c>
      <c r="M198" s="104">
        <f>SUM(M199:M258)</f>
        <v/>
      </c>
      <c r="N198" s="104">
        <f>SUM(N199:N258)</f>
        <v/>
      </c>
      <c r="O198" s="104">
        <f>SUM(O199:O258)</f>
        <v/>
      </c>
      <c r="P198" s="104">
        <f>SUM(P199:P258)</f>
        <v/>
      </c>
      <c r="Q198" s="104">
        <f>SUM(Q199:Q258)</f>
        <v/>
      </c>
      <c r="R198" s="104">
        <f>SUM(R199:R258)</f>
        <v/>
      </c>
      <c r="S198" s="104">
        <f>SUM(S199:S258)</f>
        <v/>
      </c>
      <c r="T198" s="104">
        <f>SUM(T199:T258)</f>
        <v/>
      </c>
      <c r="U198" s="104">
        <f>SUM(U199:U258)</f>
        <v/>
      </c>
      <c r="V198" s="104">
        <f>SUM(V199:V258)</f>
        <v/>
      </c>
      <c r="W198" s="104">
        <f>SUM(W199:W258)</f>
        <v/>
      </c>
      <c r="X198" s="104">
        <f>SUM(X199:X258)</f>
        <v/>
      </c>
      <c r="Y198" s="104">
        <f>SUM(Y199:Y258)</f>
        <v/>
      </c>
      <c r="Z198" s="104">
        <f>SUM(Z199:Z258)</f>
        <v/>
      </c>
      <c r="AA198" s="104">
        <f>SUM(AA199:AA258)</f>
        <v/>
      </c>
      <c r="AB198" s="104">
        <f>SUM(AB199:AB258)</f>
        <v/>
      </c>
      <c r="AC198" s="104">
        <f>SUM(AC199:AC258)</f>
        <v/>
      </c>
      <c r="AD198" s="104">
        <f>SUM(AD199:AD258)</f>
        <v/>
      </c>
      <c r="AE198" s="104">
        <f>SUM(AE199:AE258)</f>
        <v/>
      </c>
      <c r="AF198" s="104">
        <f>SUM(AF199:AF258)</f>
        <v/>
      </c>
      <c r="AG198" s="104">
        <f>SUM(AG199:AG258)</f>
        <v/>
      </c>
      <c r="AH198" s="104">
        <f>SUM(AH199:AH258)</f>
        <v/>
      </c>
      <c r="AI198" s="104">
        <f>SUM(AI199:AI258)</f>
        <v/>
      </c>
      <c r="AJ198" s="104">
        <f>SUM(AJ199:AJ258)</f>
        <v/>
      </c>
      <c r="AK198" s="104">
        <f>SUM(AK199:AK258)</f>
        <v/>
      </c>
      <c r="AL198" s="104">
        <f>SUM(AL199:AL258)</f>
        <v/>
      </c>
      <c r="AM198" s="104">
        <f>SUM(AM199:AM258)</f>
        <v/>
      </c>
      <c r="AN198" s="104">
        <f>SUM(AN199:AN258)</f>
        <v/>
      </c>
      <c r="AO198" s="104">
        <f>SUM(AO199:AO258)</f>
        <v/>
      </c>
      <c r="AP198" s="104">
        <f>SUM(AP199:AP258)</f>
        <v/>
      </c>
      <c r="AQ198" s="104">
        <f>SUM(AQ199:AQ258)</f>
        <v/>
      </c>
      <c r="AR198" s="104">
        <f>SUM(AR199:AR258)</f>
        <v/>
      </c>
      <c r="AS198" s="104">
        <f>SUM(AS199:AS258)</f>
        <v/>
      </c>
      <c r="AT198" s="104">
        <f>SUM(AT199:AT258)</f>
        <v/>
      </c>
      <c r="AU198" s="104">
        <f>SUM(AU199:AU258)</f>
        <v/>
      </c>
      <c r="AV198" s="104">
        <f>SUM(AV199:AV258)</f>
        <v/>
      </c>
      <c r="AW198" s="104">
        <f>SUM(AW199:AW258)</f>
        <v/>
      </c>
      <c r="AX198" s="104">
        <f>SUM(AX199:AX258)</f>
        <v/>
      </c>
      <c r="AY198" s="104">
        <f>SUM(AY199:AY258)</f>
        <v/>
      </c>
      <c r="AZ198" s="104">
        <f>SUM(AZ199:AZ258)</f>
        <v/>
      </c>
      <c r="BA198" s="104">
        <f>SUM(BA199:BA258)</f>
        <v/>
      </c>
      <c r="BB198" s="104">
        <f>SUM(BB199:BB258)</f>
        <v/>
      </c>
      <c r="BC198" s="104">
        <f>SUM(BC199:BC258)</f>
        <v/>
      </c>
      <c r="BD198" s="104">
        <f>SUM(BD199:BD258)</f>
        <v/>
      </c>
      <c r="BE198" s="104">
        <f>SUM(BE199:BE258)</f>
        <v/>
      </c>
      <c r="BF198" s="104">
        <f>SUM(BF199:BF258)</f>
        <v/>
      </c>
      <c r="BG198" s="104">
        <f>SUM(BG199:BG258)</f>
        <v/>
      </c>
      <c r="BH198" s="104">
        <f>SUM(BH199:BH258)</f>
        <v/>
      </c>
      <c r="BI198" s="104">
        <f>SUM(BI199:BI258)</f>
        <v/>
      </c>
      <c r="BJ198" s="104">
        <f>SUM(BJ199:BJ258)</f>
        <v/>
      </c>
      <c r="BK198" s="104">
        <f>SUM(BK199:BK258)</f>
        <v/>
      </c>
      <c r="BL198" s="104">
        <f>SUM(BL199:BL258)</f>
        <v/>
      </c>
    </row>
    <row r="199">
      <c r="A199" s="147" t="inlineStr">
        <is>
          <t>Cohort month 1</t>
        </is>
      </c>
      <c r="B199" s="147" t="n">
        <v>1</v>
      </c>
      <c r="C199" s="41">
        <f>INDEX(Ops!$E$35:$BL$35,1,$B199)</f>
        <v/>
      </c>
      <c r="F199" s="153">
        <f>$C199*INDEX(Curves!$V$8:$V$68,F$4-$B199+1)</f>
        <v/>
      </c>
      <c r="G199" s="153">
        <f>$C199*INDEX(Curves!$V$8:$V$68,G$4-$B199+1)</f>
        <v/>
      </c>
      <c r="H199" s="153">
        <f>$C199*INDEX(Curves!$V$8:$V$68,H$4-$B199+1)</f>
        <v/>
      </c>
      <c r="I199" s="153">
        <f>$C199*INDEX(Curves!$V$8:$V$68,I$4-$B199+1)</f>
        <v/>
      </c>
      <c r="J199" s="153">
        <f>$C199*INDEX(Curves!$V$8:$V$68,J$4-$B199+1)</f>
        <v/>
      </c>
      <c r="K199" s="153">
        <f>$C199*INDEX(Curves!$V$8:$V$68,K$4-$B199+1)</f>
        <v/>
      </c>
      <c r="L199" s="153">
        <f>$C199*INDEX(Curves!$V$8:$V$68,L$4-$B199+1)</f>
        <v/>
      </c>
      <c r="M199" s="153">
        <f>$C199*INDEX(Curves!$V$8:$V$68,M$4-$B199+1)</f>
        <v/>
      </c>
      <c r="N199" s="153">
        <f>$C199*INDEX(Curves!$V$8:$V$68,N$4-$B199+1)</f>
        <v/>
      </c>
      <c r="O199" s="153">
        <f>$C199*INDEX(Curves!$V$8:$V$68,O$4-$B199+1)</f>
        <v/>
      </c>
      <c r="P199" s="153">
        <f>$C199*INDEX(Curves!$V$8:$V$68,P$4-$B199+1)</f>
        <v/>
      </c>
      <c r="Q199" s="153">
        <f>$C199*INDEX(Curves!$V$8:$V$68,Q$4-$B199+1)</f>
        <v/>
      </c>
      <c r="R199" s="153">
        <f>$C199*INDEX(Curves!$V$8:$V$68,R$4-$B199+1)</f>
        <v/>
      </c>
      <c r="S199" s="153">
        <f>$C199*INDEX(Curves!$V$8:$V$68,S$4-$B199+1)</f>
        <v/>
      </c>
      <c r="T199" s="153">
        <f>$C199*INDEX(Curves!$V$8:$V$68,T$4-$B199+1)</f>
        <v/>
      </c>
      <c r="U199" s="153">
        <f>$C199*INDEX(Curves!$V$8:$V$68,U$4-$B199+1)</f>
        <v/>
      </c>
      <c r="V199" s="153">
        <f>$C199*INDEX(Curves!$V$8:$V$68,V$4-$B199+1)</f>
        <v/>
      </c>
      <c r="W199" s="153">
        <f>$C199*INDEX(Curves!$V$8:$V$68,W$4-$B199+1)</f>
        <v/>
      </c>
      <c r="X199" s="153">
        <f>$C199*INDEX(Curves!$V$8:$V$68,X$4-$B199+1)</f>
        <v/>
      </c>
      <c r="Y199" s="153">
        <f>$C199*INDEX(Curves!$V$8:$V$68,Y$4-$B199+1)</f>
        <v/>
      </c>
      <c r="Z199" s="153">
        <f>$C199*INDEX(Curves!$V$8:$V$68,Z$4-$B199+1)</f>
        <v/>
      </c>
      <c r="AA199" s="153">
        <f>$C199*INDEX(Curves!$V$8:$V$68,AA$4-$B199+1)</f>
        <v/>
      </c>
      <c r="AB199" s="153">
        <f>$C199*INDEX(Curves!$V$8:$V$68,AB$4-$B199+1)</f>
        <v/>
      </c>
      <c r="AC199" s="153">
        <f>$C199*INDEX(Curves!$V$8:$V$68,AC$4-$B199+1)</f>
        <v/>
      </c>
      <c r="AD199" s="153">
        <f>$C199*INDEX(Curves!$V$8:$V$68,AD$4-$B199+1)</f>
        <v/>
      </c>
      <c r="AE199" s="153">
        <f>$C199*INDEX(Curves!$V$8:$V$68,AE$4-$B199+1)</f>
        <v/>
      </c>
      <c r="AF199" s="153">
        <f>$C199*INDEX(Curves!$V$8:$V$68,AF$4-$B199+1)</f>
        <v/>
      </c>
      <c r="AG199" s="153">
        <f>$C199*INDEX(Curves!$V$8:$V$68,AG$4-$B199+1)</f>
        <v/>
      </c>
      <c r="AH199" s="153">
        <f>$C199*INDEX(Curves!$V$8:$V$68,AH$4-$B199+1)</f>
        <v/>
      </c>
      <c r="AI199" s="153">
        <f>$C199*INDEX(Curves!$V$8:$V$68,AI$4-$B199+1)</f>
        <v/>
      </c>
      <c r="AJ199" s="153">
        <f>$C199*INDEX(Curves!$V$8:$V$68,AJ$4-$B199+1)</f>
        <v/>
      </c>
      <c r="AK199" s="153">
        <f>$C199*INDEX(Curves!$V$8:$V$68,AK$4-$B199+1)</f>
        <v/>
      </c>
      <c r="AL199" s="153">
        <f>$C199*INDEX(Curves!$V$8:$V$68,AL$4-$B199+1)</f>
        <v/>
      </c>
      <c r="AM199" s="153">
        <f>$C199*INDEX(Curves!$V$8:$V$68,AM$4-$B199+1)</f>
        <v/>
      </c>
      <c r="AN199" s="153">
        <f>$C199*INDEX(Curves!$V$8:$V$68,AN$4-$B199+1)</f>
        <v/>
      </c>
      <c r="AO199" s="153">
        <f>$C199*INDEX(Curves!$V$8:$V$68,AO$4-$B199+1)</f>
        <v/>
      </c>
      <c r="AP199" s="153">
        <f>$C199*INDEX(Curves!$V$8:$V$68,AP$4-$B199+1)</f>
        <v/>
      </c>
      <c r="AQ199" s="153">
        <f>$C199*INDEX(Curves!$V$8:$V$68,AQ$4-$B199+1)</f>
        <v/>
      </c>
      <c r="AR199" s="153">
        <f>$C199*INDEX(Curves!$V$8:$V$68,AR$4-$B199+1)</f>
        <v/>
      </c>
      <c r="AS199" s="153">
        <f>$C199*INDEX(Curves!$V$8:$V$68,AS$4-$B199+1)</f>
        <v/>
      </c>
      <c r="AT199" s="153">
        <f>$C199*INDEX(Curves!$V$8:$V$68,AT$4-$B199+1)</f>
        <v/>
      </c>
      <c r="AU199" s="153">
        <f>$C199*INDEX(Curves!$V$8:$V$68,AU$4-$B199+1)</f>
        <v/>
      </c>
      <c r="AV199" s="153">
        <f>$C199*INDEX(Curves!$V$8:$V$68,AV$4-$B199+1)</f>
        <v/>
      </c>
      <c r="AW199" s="153">
        <f>$C199*INDEX(Curves!$V$8:$V$68,AW$4-$B199+1)</f>
        <v/>
      </c>
      <c r="AX199" s="153">
        <f>$C199*INDEX(Curves!$V$8:$V$68,AX$4-$B199+1)</f>
        <v/>
      </c>
      <c r="AY199" s="153">
        <f>$C199*INDEX(Curves!$V$8:$V$68,AY$4-$B199+1)</f>
        <v/>
      </c>
      <c r="AZ199" s="153">
        <f>$C199*INDEX(Curves!$V$8:$V$68,AZ$4-$B199+1)</f>
        <v/>
      </c>
      <c r="BA199" s="153">
        <f>$C199*INDEX(Curves!$V$8:$V$68,BA$4-$B199+1)</f>
        <v/>
      </c>
      <c r="BB199" s="153">
        <f>$C199*INDEX(Curves!$V$8:$V$68,BB$4-$B199+1)</f>
        <v/>
      </c>
      <c r="BC199" s="153">
        <f>$C199*INDEX(Curves!$V$8:$V$68,BC$4-$B199+1)</f>
        <v/>
      </c>
      <c r="BD199" s="153">
        <f>$C199*INDEX(Curves!$V$8:$V$68,BD$4-$B199+1)</f>
        <v/>
      </c>
      <c r="BE199" s="153">
        <f>$C199*INDEX(Curves!$V$8:$V$68,BE$4-$B199+1)</f>
        <v/>
      </c>
      <c r="BF199" s="153">
        <f>$C199*INDEX(Curves!$V$8:$V$68,BF$4-$B199+1)</f>
        <v/>
      </c>
      <c r="BG199" s="153">
        <f>$C199*INDEX(Curves!$V$8:$V$68,BG$4-$B199+1)</f>
        <v/>
      </c>
      <c r="BH199" s="153">
        <f>$C199*INDEX(Curves!$V$8:$V$68,BH$4-$B199+1)</f>
        <v/>
      </c>
      <c r="BI199" s="153">
        <f>$C199*INDEX(Curves!$V$8:$V$68,BI$4-$B199+1)</f>
        <v/>
      </c>
      <c r="BJ199" s="153">
        <f>$C199*INDEX(Curves!$V$8:$V$68,BJ$4-$B199+1)</f>
        <v/>
      </c>
      <c r="BK199" s="153">
        <f>$C199*INDEX(Curves!$V$8:$V$68,BK$4-$B199+1)</f>
        <v/>
      </c>
      <c r="BL199" s="153">
        <f>$C199*INDEX(Curves!$V$8:$V$68,BL$4-$B199+1)</f>
        <v/>
      </c>
    </row>
    <row r="200">
      <c r="A200" s="147" t="inlineStr">
        <is>
          <t>Cohort month 2</t>
        </is>
      </c>
      <c r="B200" s="147" t="n">
        <v>2</v>
      </c>
      <c r="C200" s="41">
        <f>INDEX(Ops!$E$35:$BL$35,1,$B200)</f>
        <v/>
      </c>
      <c r="G200" s="153">
        <f>$C200*INDEX(Curves!$V$8:$V$68,G$4-$B200+1)</f>
        <v/>
      </c>
      <c r="H200" s="153">
        <f>$C200*INDEX(Curves!$V$8:$V$68,H$4-$B200+1)</f>
        <v/>
      </c>
      <c r="I200" s="153">
        <f>$C200*INDEX(Curves!$V$8:$V$68,I$4-$B200+1)</f>
        <v/>
      </c>
      <c r="J200" s="153">
        <f>$C200*INDEX(Curves!$V$8:$V$68,J$4-$B200+1)</f>
        <v/>
      </c>
      <c r="K200" s="153">
        <f>$C200*INDEX(Curves!$V$8:$V$68,K$4-$B200+1)</f>
        <v/>
      </c>
      <c r="L200" s="153">
        <f>$C200*INDEX(Curves!$V$8:$V$68,L$4-$B200+1)</f>
        <v/>
      </c>
      <c r="M200" s="153">
        <f>$C200*INDEX(Curves!$V$8:$V$68,M$4-$B200+1)</f>
        <v/>
      </c>
      <c r="N200" s="153">
        <f>$C200*INDEX(Curves!$V$8:$V$68,N$4-$B200+1)</f>
        <v/>
      </c>
      <c r="O200" s="153">
        <f>$C200*INDEX(Curves!$V$8:$V$68,O$4-$B200+1)</f>
        <v/>
      </c>
      <c r="P200" s="153">
        <f>$C200*INDEX(Curves!$V$8:$V$68,P$4-$B200+1)</f>
        <v/>
      </c>
      <c r="Q200" s="153">
        <f>$C200*INDEX(Curves!$V$8:$V$68,Q$4-$B200+1)</f>
        <v/>
      </c>
      <c r="R200" s="153">
        <f>$C200*INDEX(Curves!$V$8:$V$68,R$4-$B200+1)</f>
        <v/>
      </c>
      <c r="S200" s="153">
        <f>$C200*INDEX(Curves!$V$8:$V$68,S$4-$B200+1)</f>
        <v/>
      </c>
      <c r="T200" s="153">
        <f>$C200*INDEX(Curves!$V$8:$V$68,T$4-$B200+1)</f>
        <v/>
      </c>
      <c r="U200" s="153">
        <f>$C200*INDEX(Curves!$V$8:$V$68,U$4-$B200+1)</f>
        <v/>
      </c>
      <c r="V200" s="153">
        <f>$C200*INDEX(Curves!$V$8:$V$68,V$4-$B200+1)</f>
        <v/>
      </c>
      <c r="W200" s="153">
        <f>$C200*INDEX(Curves!$V$8:$V$68,W$4-$B200+1)</f>
        <v/>
      </c>
      <c r="X200" s="153">
        <f>$C200*INDEX(Curves!$V$8:$V$68,X$4-$B200+1)</f>
        <v/>
      </c>
      <c r="Y200" s="153">
        <f>$C200*INDEX(Curves!$V$8:$V$68,Y$4-$B200+1)</f>
        <v/>
      </c>
      <c r="Z200" s="153">
        <f>$C200*INDEX(Curves!$V$8:$V$68,Z$4-$B200+1)</f>
        <v/>
      </c>
      <c r="AA200" s="153">
        <f>$C200*INDEX(Curves!$V$8:$V$68,AA$4-$B200+1)</f>
        <v/>
      </c>
      <c r="AB200" s="153">
        <f>$C200*INDEX(Curves!$V$8:$V$68,AB$4-$B200+1)</f>
        <v/>
      </c>
      <c r="AC200" s="153">
        <f>$C200*INDEX(Curves!$V$8:$V$68,AC$4-$B200+1)</f>
        <v/>
      </c>
      <c r="AD200" s="153">
        <f>$C200*INDEX(Curves!$V$8:$V$68,AD$4-$B200+1)</f>
        <v/>
      </c>
      <c r="AE200" s="153">
        <f>$C200*INDEX(Curves!$V$8:$V$68,AE$4-$B200+1)</f>
        <v/>
      </c>
      <c r="AF200" s="153">
        <f>$C200*INDEX(Curves!$V$8:$V$68,AF$4-$B200+1)</f>
        <v/>
      </c>
      <c r="AG200" s="153">
        <f>$C200*INDEX(Curves!$V$8:$V$68,AG$4-$B200+1)</f>
        <v/>
      </c>
      <c r="AH200" s="153">
        <f>$C200*INDEX(Curves!$V$8:$V$68,AH$4-$B200+1)</f>
        <v/>
      </c>
      <c r="AI200" s="153">
        <f>$C200*INDEX(Curves!$V$8:$V$68,AI$4-$B200+1)</f>
        <v/>
      </c>
      <c r="AJ200" s="153">
        <f>$C200*INDEX(Curves!$V$8:$V$68,AJ$4-$B200+1)</f>
        <v/>
      </c>
      <c r="AK200" s="153">
        <f>$C200*INDEX(Curves!$V$8:$V$68,AK$4-$B200+1)</f>
        <v/>
      </c>
      <c r="AL200" s="153">
        <f>$C200*INDEX(Curves!$V$8:$V$68,AL$4-$B200+1)</f>
        <v/>
      </c>
      <c r="AM200" s="153">
        <f>$C200*INDEX(Curves!$V$8:$V$68,AM$4-$B200+1)</f>
        <v/>
      </c>
      <c r="AN200" s="153">
        <f>$C200*INDEX(Curves!$V$8:$V$68,AN$4-$B200+1)</f>
        <v/>
      </c>
      <c r="AO200" s="153">
        <f>$C200*INDEX(Curves!$V$8:$V$68,AO$4-$B200+1)</f>
        <v/>
      </c>
      <c r="AP200" s="153">
        <f>$C200*INDEX(Curves!$V$8:$V$68,AP$4-$B200+1)</f>
        <v/>
      </c>
      <c r="AQ200" s="153">
        <f>$C200*INDEX(Curves!$V$8:$V$68,AQ$4-$B200+1)</f>
        <v/>
      </c>
      <c r="AR200" s="153">
        <f>$C200*INDEX(Curves!$V$8:$V$68,AR$4-$B200+1)</f>
        <v/>
      </c>
      <c r="AS200" s="153">
        <f>$C200*INDEX(Curves!$V$8:$V$68,AS$4-$B200+1)</f>
        <v/>
      </c>
      <c r="AT200" s="153">
        <f>$C200*INDEX(Curves!$V$8:$V$68,AT$4-$B200+1)</f>
        <v/>
      </c>
      <c r="AU200" s="153">
        <f>$C200*INDEX(Curves!$V$8:$V$68,AU$4-$B200+1)</f>
        <v/>
      </c>
      <c r="AV200" s="153">
        <f>$C200*INDEX(Curves!$V$8:$V$68,AV$4-$B200+1)</f>
        <v/>
      </c>
      <c r="AW200" s="153">
        <f>$C200*INDEX(Curves!$V$8:$V$68,AW$4-$B200+1)</f>
        <v/>
      </c>
      <c r="AX200" s="153">
        <f>$C200*INDEX(Curves!$V$8:$V$68,AX$4-$B200+1)</f>
        <v/>
      </c>
      <c r="AY200" s="153">
        <f>$C200*INDEX(Curves!$V$8:$V$68,AY$4-$B200+1)</f>
        <v/>
      </c>
      <c r="AZ200" s="153">
        <f>$C200*INDEX(Curves!$V$8:$V$68,AZ$4-$B200+1)</f>
        <v/>
      </c>
      <c r="BA200" s="153">
        <f>$C200*INDEX(Curves!$V$8:$V$68,BA$4-$B200+1)</f>
        <v/>
      </c>
      <c r="BB200" s="153">
        <f>$C200*INDEX(Curves!$V$8:$V$68,BB$4-$B200+1)</f>
        <v/>
      </c>
      <c r="BC200" s="153">
        <f>$C200*INDEX(Curves!$V$8:$V$68,BC$4-$B200+1)</f>
        <v/>
      </c>
      <c r="BD200" s="153">
        <f>$C200*INDEX(Curves!$V$8:$V$68,BD$4-$B200+1)</f>
        <v/>
      </c>
      <c r="BE200" s="153">
        <f>$C200*INDEX(Curves!$V$8:$V$68,BE$4-$B200+1)</f>
        <v/>
      </c>
      <c r="BF200" s="153">
        <f>$C200*INDEX(Curves!$V$8:$V$68,BF$4-$B200+1)</f>
        <v/>
      </c>
      <c r="BG200" s="153">
        <f>$C200*INDEX(Curves!$V$8:$V$68,BG$4-$B200+1)</f>
        <v/>
      </c>
      <c r="BH200" s="153">
        <f>$C200*INDEX(Curves!$V$8:$V$68,BH$4-$B200+1)</f>
        <v/>
      </c>
      <c r="BI200" s="153">
        <f>$C200*INDEX(Curves!$V$8:$V$68,BI$4-$B200+1)</f>
        <v/>
      </c>
      <c r="BJ200" s="153">
        <f>$C200*INDEX(Curves!$V$8:$V$68,BJ$4-$B200+1)</f>
        <v/>
      </c>
      <c r="BK200" s="153">
        <f>$C200*INDEX(Curves!$V$8:$V$68,BK$4-$B200+1)</f>
        <v/>
      </c>
      <c r="BL200" s="153">
        <f>$C200*INDEX(Curves!$V$8:$V$68,BL$4-$B200+1)</f>
        <v/>
      </c>
    </row>
    <row r="201">
      <c r="A201" s="147" t="inlineStr">
        <is>
          <t>Cohort month 3</t>
        </is>
      </c>
      <c r="B201" s="147" t="n">
        <v>3</v>
      </c>
      <c r="C201" s="41">
        <f>INDEX(Ops!$E$35:$BL$35,1,$B201)</f>
        <v/>
      </c>
      <c r="H201" s="153">
        <f>$C201*INDEX(Curves!$V$8:$V$68,H$4-$B201+1)</f>
        <v/>
      </c>
      <c r="I201" s="153">
        <f>$C201*INDEX(Curves!$V$8:$V$68,I$4-$B201+1)</f>
        <v/>
      </c>
      <c r="J201" s="153">
        <f>$C201*INDEX(Curves!$V$8:$V$68,J$4-$B201+1)</f>
        <v/>
      </c>
      <c r="K201" s="153">
        <f>$C201*INDEX(Curves!$V$8:$V$68,K$4-$B201+1)</f>
        <v/>
      </c>
      <c r="L201" s="153">
        <f>$C201*INDEX(Curves!$V$8:$V$68,L$4-$B201+1)</f>
        <v/>
      </c>
      <c r="M201" s="153">
        <f>$C201*INDEX(Curves!$V$8:$V$68,M$4-$B201+1)</f>
        <v/>
      </c>
      <c r="N201" s="153">
        <f>$C201*INDEX(Curves!$V$8:$V$68,N$4-$B201+1)</f>
        <v/>
      </c>
      <c r="O201" s="153">
        <f>$C201*INDEX(Curves!$V$8:$V$68,O$4-$B201+1)</f>
        <v/>
      </c>
      <c r="P201" s="153">
        <f>$C201*INDEX(Curves!$V$8:$V$68,P$4-$B201+1)</f>
        <v/>
      </c>
      <c r="Q201" s="153">
        <f>$C201*INDEX(Curves!$V$8:$V$68,Q$4-$B201+1)</f>
        <v/>
      </c>
      <c r="R201" s="153">
        <f>$C201*INDEX(Curves!$V$8:$V$68,R$4-$B201+1)</f>
        <v/>
      </c>
      <c r="S201" s="153">
        <f>$C201*INDEX(Curves!$V$8:$V$68,S$4-$B201+1)</f>
        <v/>
      </c>
      <c r="T201" s="153">
        <f>$C201*INDEX(Curves!$V$8:$V$68,T$4-$B201+1)</f>
        <v/>
      </c>
      <c r="U201" s="153">
        <f>$C201*INDEX(Curves!$V$8:$V$68,U$4-$B201+1)</f>
        <v/>
      </c>
      <c r="V201" s="153">
        <f>$C201*INDEX(Curves!$V$8:$V$68,V$4-$B201+1)</f>
        <v/>
      </c>
      <c r="W201" s="153">
        <f>$C201*INDEX(Curves!$V$8:$V$68,W$4-$B201+1)</f>
        <v/>
      </c>
      <c r="X201" s="153">
        <f>$C201*INDEX(Curves!$V$8:$V$68,X$4-$B201+1)</f>
        <v/>
      </c>
      <c r="Y201" s="153">
        <f>$C201*INDEX(Curves!$V$8:$V$68,Y$4-$B201+1)</f>
        <v/>
      </c>
      <c r="Z201" s="153">
        <f>$C201*INDEX(Curves!$V$8:$V$68,Z$4-$B201+1)</f>
        <v/>
      </c>
      <c r="AA201" s="153">
        <f>$C201*INDEX(Curves!$V$8:$V$68,AA$4-$B201+1)</f>
        <v/>
      </c>
      <c r="AB201" s="153">
        <f>$C201*INDEX(Curves!$V$8:$V$68,AB$4-$B201+1)</f>
        <v/>
      </c>
      <c r="AC201" s="153">
        <f>$C201*INDEX(Curves!$V$8:$V$68,AC$4-$B201+1)</f>
        <v/>
      </c>
      <c r="AD201" s="153">
        <f>$C201*INDEX(Curves!$V$8:$V$68,AD$4-$B201+1)</f>
        <v/>
      </c>
      <c r="AE201" s="153">
        <f>$C201*INDEX(Curves!$V$8:$V$68,AE$4-$B201+1)</f>
        <v/>
      </c>
      <c r="AF201" s="153">
        <f>$C201*INDEX(Curves!$V$8:$V$68,AF$4-$B201+1)</f>
        <v/>
      </c>
      <c r="AG201" s="153">
        <f>$C201*INDEX(Curves!$V$8:$V$68,AG$4-$B201+1)</f>
        <v/>
      </c>
      <c r="AH201" s="153">
        <f>$C201*INDEX(Curves!$V$8:$V$68,AH$4-$B201+1)</f>
        <v/>
      </c>
      <c r="AI201" s="153">
        <f>$C201*INDEX(Curves!$V$8:$V$68,AI$4-$B201+1)</f>
        <v/>
      </c>
      <c r="AJ201" s="153">
        <f>$C201*INDEX(Curves!$V$8:$V$68,AJ$4-$B201+1)</f>
        <v/>
      </c>
      <c r="AK201" s="153">
        <f>$C201*INDEX(Curves!$V$8:$V$68,AK$4-$B201+1)</f>
        <v/>
      </c>
      <c r="AL201" s="153">
        <f>$C201*INDEX(Curves!$V$8:$V$68,AL$4-$B201+1)</f>
        <v/>
      </c>
      <c r="AM201" s="153">
        <f>$C201*INDEX(Curves!$V$8:$V$68,AM$4-$B201+1)</f>
        <v/>
      </c>
      <c r="AN201" s="153">
        <f>$C201*INDEX(Curves!$V$8:$V$68,AN$4-$B201+1)</f>
        <v/>
      </c>
      <c r="AO201" s="153">
        <f>$C201*INDEX(Curves!$V$8:$V$68,AO$4-$B201+1)</f>
        <v/>
      </c>
      <c r="AP201" s="153">
        <f>$C201*INDEX(Curves!$V$8:$V$68,AP$4-$B201+1)</f>
        <v/>
      </c>
      <c r="AQ201" s="153">
        <f>$C201*INDEX(Curves!$V$8:$V$68,AQ$4-$B201+1)</f>
        <v/>
      </c>
      <c r="AR201" s="153">
        <f>$C201*INDEX(Curves!$V$8:$V$68,AR$4-$B201+1)</f>
        <v/>
      </c>
      <c r="AS201" s="153">
        <f>$C201*INDEX(Curves!$V$8:$V$68,AS$4-$B201+1)</f>
        <v/>
      </c>
      <c r="AT201" s="153">
        <f>$C201*INDEX(Curves!$V$8:$V$68,AT$4-$B201+1)</f>
        <v/>
      </c>
      <c r="AU201" s="153">
        <f>$C201*INDEX(Curves!$V$8:$V$68,AU$4-$B201+1)</f>
        <v/>
      </c>
      <c r="AV201" s="153">
        <f>$C201*INDEX(Curves!$V$8:$V$68,AV$4-$B201+1)</f>
        <v/>
      </c>
      <c r="AW201" s="153">
        <f>$C201*INDEX(Curves!$V$8:$V$68,AW$4-$B201+1)</f>
        <v/>
      </c>
      <c r="AX201" s="153">
        <f>$C201*INDEX(Curves!$V$8:$V$68,AX$4-$B201+1)</f>
        <v/>
      </c>
      <c r="AY201" s="153">
        <f>$C201*INDEX(Curves!$V$8:$V$68,AY$4-$B201+1)</f>
        <v/>
      </c>
      <c r="AZ201" s="153">
        <f>$C201*INDEX(Curves!$V$8:$V$68,AZ$4-$B201+1)</f>
        <v/>
      </c>
      <c r="BA201" s="153">
        <f>$C201*INDEX(Curves!$V$8:$V$68,BA$4-$B201+1)</f>
        <v/>
      </c>
      <c r="BB201" s="153">
        <f>$C201*INDEX(Curves!$V$8:$V$68,BB$4-$B201+1)</f>
        <v/>
      </c>
      <c r="BC201" s="153">
        <f>$C201*INDEX(Curves!$V$8:$V$68,BC$4-$B201+1)</f>
        <v/>
      </c>
      <c r="BD201" s="153">
        <f>$C201*INDEX(Curves!$V$8:$V$68,BD$4-$B201+1)</f>
        <v/>
      </c>
      <c r="BE201" s="153">
        <f>$C201*INDEX(Curves!$V$8:$V$68,BE$4-$B201+1)</f>
        <v/>
      </c>
      <c r="BF201" s="153">
        <f>$C201*INDEX(Curves!$V$8:$V$68,BF$4-$B201+1)</f>
        <v/>
      </c>
      <c r="BG201" s="153">
        <f>$C201*INDEX(Curves!$V$8:$V$68,BG$4-$B201+1)</f>
        <v/>
      </c>
      <c r="BH201" s="153">
        <f>$C201*INDEX(Curves!$V$8:$V$68,BH$4-$B201+1)</f>
        <v/>
      </c>
      <c r="BI201" s="153">
        <f>$C201*INDEX(Curves!$V$8:$V$68,BI$4-$B201+1)</f>
        <v/>
      </c>
      <c r="BJ201" s="153">
        <f>$C201*INDEX(Curves!$V$8:$V$68,BJ$4-$B201+1)</f>
        <v/>
      </c>
      <c r="BK201" s="153">
        <f>$C201*INDEX(Curves!$V$8:$V$68,BK$4-$B201+1)</f>
        <v/>
      </c>
      <c r="BL201" s="153">
        <f>$C201*INDEX(Curves!$V$8:$V$68,BL$4-$B201+1)</f>
        <v/>
      </c>
    </row>
    <row r="202">
      <c r="A202" s="147" t="inlineStr">
        <is>
          <t>Cohort month 4</t>
        </is>
      </c>
      <c r="B202" s="147" t="n">
        <v>4</v>
      </c>
      <c r="C202" s="41">
        <f>INDEX(Ops!$E$35:$BL$35,1,$B202)</f>
        <v/>
      </c>
      <c r="I202" s="153">
        <f>$C202*INDEX(Curves!$V$8:$V$68,I$4-$B202+1)</f>
        <v/>
      </c>
      <c r="J202" s="153">
        <f>$C202*INDEX(Curves!$V$8:$V$68,J$4-$B202+1)</f>
        <v/>
      </c>
      <c r="K202" s="153">
        <f>$C202*INDEX(Curves!$V$8:$V$68,K$4-$B202+1)</f>
        <v/>
      </c>
      <c r="L202" s="153">
        <f>$C202*INDEX(Curves!$V$8:$V$68,L$4-$B202+1)</f>
        <v/>
      </c>
      <c r="M202" s="153">
        <f>$C202*INDEX(Curves!$V$8:$V$68,M$4-$B202+1)</f>
        <v/>
      </c>
      <c r="N202" s="153">
        <f>$C202*INDEX(Curves!$V$8:$V$68,N$4-$B202+1)</f>
        <v/>
      </c>
      <c r="O202" s="153">
        <f>$C202*INDEX(Curves!$V$8:$V$68,O$4-$B202+1)</f>
        <v/>
      </c>
      <c r="P202" s="153">
        <f>$C202*INDEX(Curves!$V$8:$V$68,P$4-$B202+1)</f>
        <v/>
      </c>
      <c r="Q202" s="153">
        <f>$C202*INDEX(Curves!$V$8:$V$68,Q$4-$B202+1)</f>
        <v/>
      </c>
      <c r="R202" s="153">
        <f>$C202*INDEX(Curves!$V$8:$V$68,R$4-$B202+1)</f>
        <v/>
      </c>
      <c r="S202" s="153">
        <f>$C202*INDEX(Curves!$V$8:$V$68,S$4-$B202+1)</f>
        <v/>
      </c>
      <c r="T202" s="153">
        <f>$C202*INDEX(Curves!$V$8:$V$68,T$4-$B202+1)</f>
        <v/>
      </c>
      <c r="U202" s="153">
        <f>$C202*INDEX(Curves!$V$8:$V$68,U$4-$B202+1)</f>
        <v/>
      </c>
      <c r="V202" s="153">
        <f>$C202*INDEX(Curves!$V$8:$V$68,V$4-$B202+1)</f>
        <v/>
      </c>
      <c r="W202" s="153">
        <f>$C202*INDEX(Curves!$V$8:$V$68,W$4-$B202+1)</f>
        <v/>
      </c>
      <c r="X202" s="153">
        <f>$C202*INDEX(Curves!$V$8:$V$68,X$4-$B202+1)</f>
        <v/>
      </c>
      <c r="Y202" s="153">
        <f>$C202*INDEX(Curves!$V$8:$V$68,Y$4-$B202+1)</f>
        <v/>
      </c>
      <c r="Z202" s="153">
        <f>$C202*INDEX(Curves!$V$8:$V$68,Z$4-$B202+1)</f>
        <v/>
      </c>
      <c r="AA202" s="153">
        <f>$C202*INDEX(Curves!$V$8:$V$68,AA$4-$B202+1)</f>
        <v/>
      </c>
      <c r="AB202" s="153">
        <f>$C202*INDEX(Curves!$V$8:$V$68,AB$4-$B202+1)</f>
        <v/>
      </c>
      <c r="AC202" s="153">
        <f>$C202*INDEX(Curves!$V$8:$V$68,AC$4-$B202+1)</f>
        <v/>
      </c>
      <c r="AD202" s="153">
        <f>$C202*INDEX(Curves!$V$8:$V$68,AD$4-$B202+1)</f>
        <v/>
      </c>
      <c r="AE202" s="153">
        <f>$C202*INDEX(Curves!$V$8:$V$68,AE$4-$B202+1)</f>
        <v/>
      </c>
      <c r="AF202" s="153">
        <f>$C202*INDEX(Curves!$V$8:$V$68,AF$4-$B202+1)</f>
        <v/>
      </c>
      <c r="AG202" s="153">
        <f>$C202*INDEX(Curves!$V$8:$V$68,AG$4-$B202+1)</f>
        <v/>
      </c>
      <c r="AH202" s="153">
        <f>$C202*INDEX(Curves!$V$8:$V$68,AH$4-$B202+1)</f>
        <v/>
      </c>
      <c r="AI202" s="153">
        <f>$C202*INDEX(Curves!$V$8:$V$68,AI$4-$B202+1)</f>
        <v/>
      </c>
      <c r="AJ202" s="153">
        <f>$C202*INDEX(Curves!$V$8:$V$68,AJ$4-$B202+1)</f>
        <v/>
      </c>
      <c r="AK202" s="153">
        <f>$C202*INDEX(Curves!$V$8:$V$68,AK$4-$B202+1)</f>
        <v/>
      </c>
      <c r="AL202" s="153">
        <f>$C202*INDEX(Curves!$V$8:$V$68,AL$4-$B202+1)</f>
        <v/>
      </c>
      <c r="AM202" s="153">
        <f>$C202*INDEX(Curves!$V$8:$V$68,AM$4-$B202+1)</f>
        <v/>
      </c>
      <c r="AN202" s="153">
        <f>$C202*INDEX(Curves!$V$8:$V$68,AN$4-$B202+1)</f>
        <v/>
      </c>
      <c r="AO202" s="153">
        <f>$C202*INDEX(Curves!$V$8:$V$68,AO$4-$B202+1)</f>
        <v/>
      </c>
      <c r="AP202" s="153">
        <f>$C202*INDEX(Curves!$V$8:$V$68,AP$4-$B202+1)</f>
        <v/>
      </c>
      <c r="AQ202" s="153">
        <f>$C202*INDEX(Curves!$V$8:$V$68,AQ$4-$B202+1)</f>
        <v/>
      </c>
      <c r="AR202" s="153">
        <f>$C202*INDEX(Curves!$V$8:$V$68,AR$4-$B202+1)</f>
        <v/>
      </c>
      <c r="AS202" s="153">
        <f>$C202*INDEX(Curves!$V$8:$V$68,AS$4-$B202+1)</f>
        <v/>
      </c>
      <c r="AT202" s="153">
        <f>$C202*INDEX(Curves!$V$8:$V$68,AT$4-$B202+1)</f>
        <v/>
      </c>
      <c r="AU202" s="153">
        <f>$C202*INDEX(Curves!$V$8:$V$68,AU$4-$B202+1)</f>
        <v/>
      </c>
      <c r="AV202" s="153">
        <f>$C202*INDEX(Curves!$V$8:$V$68,AV$4-$B202+1)</f>
        <v/>
      </c>
      <c r="AW202" s="153">
        <f>$C202*INDEX(Curves!$V$8:$V$68,AW$4-$B202+1)</f>
        <v/>
      </c>
      <c r="AX202" s="153">
        <f>$C202*INDEX(Curves!$V$8:$V$68,AX$4-$B202+1)</f>
        <v/>
      </c>
      <c r="AY202" s="153">
        <f>$C202*INDEX(Curves!$V$8:$V$68,AY$4-$B202+1)</f>
        <v/>
      </c>
      <c r="AZ202" s="153">
        <f>$C202*INDEX(Curves!$V$8:$V$68,AZ$4-$B202+1)</f>
        <v/>
      </c>
      <c r="BA202" s="153">
        <f>$C202*INDEX(Curves!$V$8:$V$68,BA$4-$B202+1)</f>
        <v/>
      </c>
      <c r="BB202" s="153">
        <f>$C202*INDEX(Curves!$V$8:$V$68,BB$4-$B202+1)</f>
        <v/>
      </c>
      <c r="BC202" s="153">
        <f>$C202*INDEX(Curves!$V$8:$V$68,BC$4-$B202+1)</f>
        <v/>
      </c>
      <c r="BD202" s="153">
        <f>$C202*INDEX(Curves!$V$8:$V$68,BD$4-$B202+1)</f>
        <v/>
      </c>
      <c r="BE202" s="153">
        <f>$C202*INDEX(Curves!$V$8:$V$68,BE$4-$B202+1)</f>
        <v/>
      </c>
      <c r="BF202" s="153">
        <f>$C202*INDEX(Curves!$V$8:$V$68,BF$4-$B202+1)</f>
        <v/>
      </c>
      <c r="BG202" s="153">
        <f>$C202*INDEX(Curves!$V$8:$V$68,BG$4-$B202+1)</f>
        <v/>
      </c>
      <c r="BH202" s="153">
        <f>$C202*INDEX(Curves!$V$8:$V$68,BH$4-$B202+1)</f>
        <v/>
      </c>
      <c r="BI202" s="153">
        <f>$C202*INDEX(Curves!$V$8:$V$68,BI$4-$B202+1)</f>
        <v/>
      </c>
      <c r="BJ202" s="153">
        <f>$C202*INDEX(Curves!$V$8:$V$68,BJ$4-$B202+1)</f>
        <v/>
      </c>
      <c r="BK202" s="153">
        <f>$C202*INDEX(Curves!$V$8:$V$68,BK$4-$B202+1)</f>
        <v/>
      </c>
      <c r="BL202" s="153">
        <f>$C202*INDEX(Curves!$V$8:$V$68,BL$4-$B202+1)</f>
        <v/>
      </c>
    </row>
    <row r="203">
      <c r="A203" s="147" t="inlineStr">
        <is>
          <t>Cohort month 5</t>
        </is>
      </c>
      <c r="B203" s="147" t="n">
        <v>5</v>
      </c>
      <c r="C203" s="41">
        <f>INDEX(Ops!$E$35:$BL$35,1,$B203)</f>
        <v/>
      </c>
      <c r="J203" s="153">
        <f>$C203*INDEX(Curves!$V$8:$V$68,J$4-$B203+1)</f>
        <v/>
      </c>
      <c r="K203" s="153">
        <f>$C203*INDEX(Curves!$V$8:$V$68,K$4-$B203+1)</f>
        <v/>
      </c>
      <c r="L203" s="153">
        <f>$C203*INDEX(Curves!$V$8:$V$68,L$4-$B203+1)</f>
        <v/>
      </c>
      <c r="M203" s="153">
        <f>$C203*INDEX(Curves!$V$8:$V$68,M$4-$B203+1)</f>
        <v/>
      </c>
      <c r="N203" s="153">
        <f>$C203*INDEX(Curves!$V$8:$V$68,N$4-$B203+1)</f>
        <v/>
      </c>
      <c r="O203" s="153">
        <f>$C203*INDEX(Curves!$V$8:$V$68,O$4-$B203+1)</f>
        <v/>
      </c>
      <c r="P203" s="153">
        <f>$C203*INDEX(Curves!$V$8:$V$68,P$4-$B203+1)</f>
        <v/>
      </c>
      <c r="Q203" s="153">
        <f>$C203*INDEX(Curves!$V$8:$V$68,Q$4-$B203+1)</f>
        <v/>
      </c>
      <c r="R203" s="153">
        <f>$C203*INDEX(Curves!$V$8:$V$68,R$4-$B203+1)</f>
        <v/>
      </c>
      <c r="S203" s="153">
        <f>$C203*INDEX(Curves!$V$8:$V$68,S$4-$B203+1)</f>
        <v/>
      </c>
      <c r="T203" s="153">
        <f>$C203*INDEX(Curves!$V$8:$V$68,T$4-$B203+1)</f>
        <v/>
      </c>
      <c r="U203" s="153">
        <f>$C203*INDEX(Curves!$V$8:$V$68,U$4-$B203+1)</f>
        <v/>
      </c>
      <c r="V203" s="153">
        <f>$C203*INDEX(Curves!$V$8:$V$68,V$4-$B203+1)</f>
        <v/>
      </c>
      <c r="W203" s="153">
        <f>$C203*INDEX(Curves!$V$8:$V$68,W$4-$B203+1)</f>
        <v/>
      </c>
      <c r="X203" s="153">
        <f>$C203*INDEX(Curves!$V$8:$V$68,X$4-$B203+1)</f>
        <v/>
      </c>
      <c r="Y203" s="153">
        <f>$C203*INDEX(Curves!$V$8:$V$68,Y$4-$B203+1)</f>
        <v/>
      </c>
      <c r="Z203" s="153">
        <f>$C203*INDEX(Curves!$V$8:$V$68,Z$4-$B203+1)</f>
        <v/>
      </c>
      <c r="AA203" s="153">
        <f>$C203*INDEX(Curves!$V$8:$V$68,AA$4-$B203+1)</f>
        <v/>
      </c>
      <c r="AB203" s="153">
        <f>$C203*INDEX(Curves!$V$8:$V$68,AB$4-$B203+1)</f>
        <v/>
      </c>
      <c r="AC203" s="153">
        <f>$C203*INDEX(Curves!$V$8:$V$68,AC$4-$B203+1)</f>
        <v/>
      </c>
      <c r="AD203" s="153">
        <f>$C203*INDEX(Curves!$V$8:$V$68,AD$4-$B203+1)</f>
        <v/>
      </c>
      <c r="AE203" s="153">
        <f>$C203*INDEX(Curves!$V$8:$V$68,AE$4-$B203+1)</f>
        <v/>
      </c>
      <c r="AF203" s="153">
        <f>$C203*INDEX(Curves!$V$8:$V$68,AF$4-$B203+1)</f>
        <v/>
      </c>
      <c r="AG203" s="153">
        <f>$C203*INDEX(Curves!$V$8:$V$68,AG$4-$B203+1)</f>
        <v/>
      </c>
      <c r="AH203" s="153">
        <f>$C203*INDEX(Curves!$V$8:$V$68,AH$4-$B203+1)</f>
        <v/>
      </c>
      <c r="AI203" s="153">
        <f>$C203*INDEX(Curves!$V$8:$V$68,AI$4-$B203+1)</f>
        <v/>
      </c>
      <c r="AJ203" s="153">
        <f>$C203*INDEX(Curves!$V$8:$V$68,AJ$4-$B203+1)</f>
        <v/>
      </c>
      <c r="AK203" s="153">
        <f>$C203*INDEX(Curves!$V$8:$V$68,AK$4-$B203+1)</f>
        <v/>
      </c>
      <c r="AL203" s="153">
        <f>$C203*INDEX(Curves!$V$8:$V$68,AL$4-$B203+1)</f>
        <v/>
      </c>
      <c r="AM203" s="153">
        <f>$C203*INDEX(Curves!$V$8:$V$68,AM$4-$B203+1)</f>
        <v/>
      </c>
      <c r="AN203" s="153">
        <f>$C203*INDEX(Curves!$V$8:$V$68,AN$4-$B203+1)</f>
        <v/>
      </c>
      <c r="AO203" s="153">
        <f>$C203*INDEX(Curves!$V$8:$V$68,AO$4-$B203+1)</f>
        <v/>
      </c>
      <c r="AP203" s="153">
        <f>$C203*INDEX(Curves!$V$8:$V$68,AP$4-$B203+1)</f>
        <v/>
      </c>
      <c r="AQ203" s="153">
        <f>$C203*INDEX(Curves!$V$8:$V$68,AQ$4-$B203+1)</f>
        <v/>
      </c>
      <c r="AR203" s="153">
        <f>$C203*INDEX(Curves!$V$8:$V$68,AR$4-$B203+1)</f>
        <v/>
      </c>
      <c r="AS203" s="153">
        <f>$C203*INDEX(Curves!$V$8:$V$68,AS$4-$B203+1)</f>
        <v/>
      </c>
      <c r="AT203" s="153">
        <f>$C203*INDEX(Curves!$V$8:$V$68,AT$4-$B203+1)</f>
        <v/>
      </c>
      <c r="AU203" s="153">
        <f>$C203*INDEX(Curves!$V$8:$V$68,AU$4-$B203+1)</f>
        <v/>
      </c>
      <c r="AV203" s="153">
        <f>$C203*INDEX(Curves!$V$8:$V$68,AV$4-$B203+1)</f>
        <v/>
      </c>
      <c r="AW203" s="153">
        <f>$C203*INDEX(Curves!$V$8:$V$68,AW$4-$B203+1)</f>
        <v/>
      </c>
      <c r="AX203" s="153">
        <f>$C203*INDEX(Curves!$V$8:$V$68,AX$4-$B203+1)</f>
        <v/>
      </c>
      <c r="AY203" s="153">
        <f>$C203*INDEX(Curves!$V$8:$V$68,AY$4-$B203+1)</f>
        <v/>
      </c>
      <c r="AZ203" s="153">
        <f>$C203*INDEX(Curves!$V$8:$V$68,AZ$4-$B203+1)</f>
        <v/>
      </c>
      <c r="BA203" s="153">
        <f>$C203*INDEX(Curves!$V$8:$V$68,BA$4-$B203+1)</f>
        <v/>
      </c>
      <c r="BB203" s="153">
        <f>$C203*INDEX(Curves!$V$8:$V$68,BB$4-$B203+1)</f>
        <v/>
      </c>
      <c r="BC203" s="153">
        <f>$C203*INDEX(Curves!$V$8:$V$68,BC$4-$B203+1)</f>
        <v/>
      </c>
      <c r="BD203" s="153">
        <f>$C203*INDEX(Curves!$V$8:$V$68,BD$4-$B203+1)</f>
        <v/>
      </c>
      <c r="BE203" s="153">
        <f>$C203*INDEX(Curves!$V$8:$V$68,BE$4-$B203+1)</f>
        <v/>
      </c>
      <c r="BF203" s="153">
        <f>$C203*INDEX(Curves!$V$8:$V$68,BF$4-$B203+1)</f>
        <v/>
      </c>
      <c r="BG203" s="153">
        <f>$C203*INDEX(Curves!$V$8:$V$68,BG$4-$B203+1)</f>
        <v/>
      </c>
      <c r="BH203" s="153">
        <f>$C203*INDEX(Curves!$V$8:$V$68,BH$4-$B203+1)</f>
        <v/>
      </c>
      <c r="BI203" s="153">
        <f>$C203*INDEX(Curves!$V$8:$V$68,BI$4-$B203+1)</f>
        <v/>
      </c>
      <c r="BJ203" s="153">
        <f>$C203*INDEX(Curves!$V$8:$V$68,BJ$4-$B203+1)</f>
        <v/>
      </c>
      <c r="BK203" s="153">
        <f>$C203*INDEX(Curves!$V$8:$V$68,BK$4-$B203+1)</f>
        <v/>
      </c>
      <c r="BL203" s="153">
        <f>$C203*INDEX(Curves!$V$8:$V$68,BL$4-$B203+1)</f>
        <v/>
      </c>
    </row>
    <row r="204">
      <c r="A204" s="147" t="inlineStr">
        <is>
          <t>Cohort month 6</t>
        </is>
      </c>
      <c r="B204" s="147" t="n">
        <v>6</v>
      </c>
      <c r="C204" s="41">
        <f>INDEX(Ops!$E$35:$BL$35,1,$B204)</f>
        <v/>
      </c>
      <c r="K204" s="153">
        <f>$C204*INDEX(Curves!$V$8:$V$68,K$4-$B204+1)</f>
        <v/>
      </c>
      <c r="L204" s="153">
        <f>$C204*INDEX(Curves!$V$8:$V$68,L$4-$B204+1)</f>
        <v/>
      </c>
      <c r="M204" s="153">
        <f>$C204*INDEX(Curves!$V$8:$V$68,M$4-$B204+1)</f>
        <v/>
      </c>
      <c r="N204" s="153">
        <f>$C204*INDEX(Curves!$V$8:$V$68,N$4-$B204+1)</f>
        <v/>
      </c>
      <c r="O204" s="153">
        <f>$C204*INDEX(Curves!$V$8:$V$68,O$4-$B204+1)</f>
        <v/>
      </c>
      <c r="P204" s="153">
        <f>$C204*INDEX(Curves!$V$8:$V$68,P$4-$B204+1)</f>
        <v/>
      </c>
      <c r="Q204" s="153">
        <f>$C204*INDEX(Curves!$V$8:$V$68,Q$4-$B204+1)</f>
        <v/>
      </c>
      <c r="R204" s="153">
        <f>$C204*INDEX(Curves!$V$8:$V$68,R$4-$B204+1)</f>
        <v/>
      </c>
      <c r="S204" s="153">
        <f>$C204*INDEX(Curves!$V$8:$V$68,S$4-$B204+1)</f>
        <v/>
      </c>
      <c r="T204" s="153">
        <f>$C204*INDEX(Curves!$V$8:$V$68,T$4-$B204+1)</f>
        <v/>
      </c>
      <c r="U204" s="153">
        <f>$C204*INDEX(Curves!$V$8:$V$68,U$4-$B204+1)</f>
        <v/>
      </c>
      <c r="V204" s="153">
        <f>$C204*INDEX(Curves!$V$8:$V$68,V$4-$B204+1)</f>
        <v/>
      </c>
      <c r="W204" s="153">
        <f>$C204*INDEX(Curves!$V$8:$V$68,W$4-$B204+1)</f>
        <v/>
      </c>
      <c r="X204" s="153">
        <f>$C204*INDEX(Curves!$V$8:$V$68,X$4-$B204+1)</f>
        <v/>
      </c>
      <c r="Y204" s="153">
        <f>$C204*INDEX(Curves!$V$8:$V$68,Y$4-$B204+1)</f>
        <v/>
      </c>
      <c r="Z204" s="153">
        <f>$C204*INDEX(Curves!$V$8:$V$68,Z$4-$B204+1)</f>
        <v/>
      </c>
      <c r="AA204" s="153">
        <f>$C204*INDEX(Curves!$V$8:$V$68,AA$4-$B204+1)</f>
        <v/>
      </c>
      <c r="AB204" s="153">
        <f>$C204*INDEX(Curves!$V$8:$V$68,AB$4-$B204+1)</f>
        <v/>
      </c>
      <c r="AC204" s="153">
        <f>$C204*INDEX(Curves!$V$8:$V$68,AC$4-$B204+1)</f>
        <v/>
      </c>
      <c r="AD204" s="153">
        <f>$C204*INDEX(Curves!$V$8:$V$68,AD$4-$B204+1)</f>
        <v/>
      </c>
      <c r="AE204" s="153">
        <f>$C204*INDEX(Curves!$V$8:$V$68,AE$4-$B204+1)</f>
        <v/>
      </c>
      <c r="AF204" s="153">
        <f>$C204*INDEX(Curves!$V$8:$V$68,AF$4-$B204+1)</f>
        <v/>
      </c>
      <c r="AG204" s="153">
        <f>$C204*INDEX(Curves!$V$8:$V$68,AG$4-$B204+1)</f>
        <v/>
      </c>
      <c r="AH204" s="153">
        <f>$C204*INDEX(Curves!$V$8:$V$68,AH$4-$B204+1)</f>
        <v/>
      </c>
      <c r="AI204" s="153">
        <f>$C204*INDEX(Curves!$V$8:$V$68,AI$4-$B204+1)</f>
        <v/>
      </c>
      <c r="AJ204" s="153">
        <f>$C204*INDEX(Curves!$V$8:$V$68,AJ$4-$B204+1)</f>
        <v/>
      </c>
      <c r="AK204" s="153">
        <f>$C204*INDEX(Curves!$V$8:$V$68,AK$4-$B204+1)</f>
        <v/>
      </c>
      <c r="AL204" s="153">
        <f>$C204*INDEX(Curves!$V$8:$V$68,AL$4-$B204+1)</f>
        <v/>
      </c>
      <c r="AM204" s="153">
        <f>$C204*INDEX(Curves!$V$8:$V$68,AM$4-$B204+1)</f>
        <v/>
      </c>
      <c r="AN204" s="153">
        <f>$C204*INDEX(Curves!$V$8:$V$68,AN$4-$B204+1)</f>
        <v/>
      </c>
      <c r="AO204" s="153">
        <f>$C204*INDEX(Curves!$V$8:$V$68,AO$4-$B204+1)</f>
        <v/>
      </c>
      <c r="AP204" s="153">
        <f>$C204*INDEX(Curves!$V$8:$V$68,AP$4-$B204+1)</f>
        <v/>
      </c>
      <c r="AQ204" s="153">
        <f>$C204*INDEX(Curves!$V$8:$V$68,AQ$4-$B204+1)</f>
        <v/>
      </c>
      <c r="AR204" s="153">
        <f>$C204*INDEX(Curves!$V$8:$V$68,AR$4-$B204+1)</f>
        <v/>
      </c>
      <c r="AS204" s="153">
        <f>$C204*INDEX(Curves!$V$8:$V$68,AS$4-$B204+1)</f>
        <v/>
      </c>
      <c r="AT204" s="153">
        <f>$C204*INDEX(Curves!$V$8:$V$68,AT$4-$B204+1)</f>
        <v/>
      </c>
      <c r="AU204" s="153">
        <f>$C204*INDEX(Curves!$V$8:$V$68,AU$4-$B204+1)</f>
        <v/>
      </c>
      <c r="AV204" s="153">
        <f>$C204*INDEX(Curves!$V$8:$V$68,AV$4-$B204+1)</f>
        <v/>
      </c>
      <c r="AW204" s="153">
        <f>$C204*INDEX(Curves!$V$8:$V$68,AW$4-$B204+1)</f>
        <v/>
      </c>
      <c r="AX204" s="153">
        <f>$C204*INDEX(Curves!$V$8:$V$68,AX$4-$B204+1)</f>
        <v/>
      </c>
      <c r="AY204" s="153">
        <f>$C204*INDEX(Curves!$V$8:$V$68,AY$4-$B204+1)</f>
        <v/>
      </c>
      <c r="AZ204" s="153">
        <f>$C204*INDEX(Curves!$V$8:$V$68,AZ$4-$B204+1)</f>
        <v/>
      </c>
      <c r="BA204" s="153">
        <f>$C204*INDEX(Curves!$V$8:$V$68,BA$4-$B204+1)</f>
        <v/>
      </c>
      <c r="BB204" s="153">
        <f>$C204*INDEX(Curves!$V$8:$V$68,BB$4-$B204+1)</f>
        <v/>
      </c>
      <c r="BC204" s="153">
        <f>$C204*INDEX(Curves!$V$8:$V$68,BC$4-$B204+1)</f>
        <v/>
      </c>
      <c r="BD204" s="153">
        <f>$C204*INDEX(Curves!$V$8:$V$68,BD$4-$B204+1)</f>
        <v/>
      </c>
      <c r="BE204" s="153">
        <f>$C204*INDEX(Curves!$V$8:$V$68,BE$4-$B204+1)</f>
        <v/>
      </c>
      <c r="BF204" s="153">
        <f>$C204*INDEX(Curves!$V$8:$V$68,BF$4-$B204+1)</f>
        <v/>
      </c>
      <c r="BG204" s="153">
        <f>$C204*INDEX(Curves!$V$8:$V$68,BG$4-$B204+1)</f>
        <v/>
      </c>
      <c r="BH204" s="153">
        <f>$C204*INDEX(Curves!$V$8:$V$68,BH$4-$B204+1)</f>
        <v/>
      </c>
      <c r="BI204" s="153">
        <f>$C204*INDEX(Curves!$V$8:$V$68,BI$4-$B204+1)</f>
        <v/>
      </c>
      <c r="BJ204" s="153">
        <f>$C204*INDEX(Curves!$V$8:$V$68,BJ$4-$B204+1)</f>
        <v/>
      </c>
      <c r="BK204" s="153">
        <f>$C204*INDEX(Curves!$V$8:$V$68,BK$4-$B204+1)</f>
        <v/>
      </c>
      <c r="BL204" s="153">
        <f>$C204*INDEX(Curves!$V$8:$V$68,BL$4-$B204+1)</f>
        <v/>
      </c>
    </row>
    <row r="205">
      <c r="A205" s="147" t="inlineStr">
        <is>
          <t>Cohort month 7</t>
        </is>
      </c>
      <c r="B205" s="147" t="n">
        <v>7</v>
      </c>
      <c r="C205" s="41">
        <f>INDEX(Ops!$E$35:$BL$35,1,$B205)</f>
        <v/>
      </c>
      <c r="L205" s="153">
        <f>$C205*INDEX(Curves!$V$8:$V$68,L$4-$B205+1)</f>
        <v/>
      </c>
      <c r="M205" s="153">
        <f>$C205*INDEX(Curves!$V$8:$V$68,M$4-$B205+1)</f>
        <v/>
      </c>
      <c r="N205" s="153">
        <f>$C205*INDEX(Curves!$V$8:$V$68,N$4-$B205+1)</f>
        <v/>
      </c>
      <c r="O205" s="153">
        <f>$C205*INDEX(Curves!$V$8:$V$68,O$4-$B205+1)</f>
        <v/>
      </c>
      <c r="P205" s="153">
        <f>$C205*INDEX(Curves!$V$8:$V$68,P$4-$B205+1)</f>
        <v/>
      </c>
      <c r="Q205" s="153">
        <f>$C205*INDEX(Curves!$V$8:$V$68,Q$4-$B205+1)</f>
        <v/>
      </c>
      <c r="R205" s="153">
        <f>$C205*INDEX(Curves!$V$8:$V$68,R$4-$B205+1)</f>
        <v/>
      </c>
      <c r="S205" s="153">
        <f>$C205*INDEX(Curves!$V$8:$V$68,S$4-$B205+1)</f>
        <v/>
      </c>
      <c r="T205" s="153">
        <f>$C205*INDEX(Curves!$V$8:$V$68,T$4-$B205+1)</f>
        <v/>
      </c>
      <c r="U205" s="153">
        <f>$C205*INDEX(Curves!$V$8:$V$68,U$4-$B205+1)</f>
        <v/>
      </c>
      <c r="V205" s="153">
        <f>$C205*INDEX(Curves!$V$8:$V$68,V$4-$B205+1)</f>
        <v/>
      </c>
      <c r="W205" s="153">
        <f>$C205*INDEX(Curves!$V$8:$V$68,W$4-$B205+1)</f>
        <v/>
      </c>
      <c r="X205" s="153">
        <f>$C205*INDEX(Curves!$V$8:$V$68,X$4-$B205+1)</f>
        <v/>
      </c>
      <c r="Y205" s="153">
        <f>$C205*INDEX(Curves!$V$8:$V$68,Y$4-$B205+1)</f>
        <v/>
      </c>
      <c r="Z205" s="153">
        <f>$C205*INDEX(Curves!$V$8:$V$68,Z$4-$B205+1)</f>
        <v/>
      </c>
      <c r="AA205" s="153">
        <f>$C205*INDEX(Curves!$V$8:$V$68,AA$4-$B205+1)</f>
        <v/>
      </c>
      <c r="AB205" s="153">
        <f>$C205*INDEX(Curves!$V$8:$V$68,AB$4-$B205+1)</f>
        <v/>
      </c>
      <c r="AC205" s="153">
        <f>$C205*INDEX(Curves!$V$8:$V$68,AC$4-$B205+1)</f>
        <v/>
      </c>
      <c r="AD205" s="153">
        <f>$C205*INDEX(Curves!$V$8:$V$68,AD$4-$B205+1)</f>
        <v/>
      </c>
      <c r="AE205" s="153">
        <f>$C205*INDEX(Curves!$V$8:$V$68,AE$4-$B205+1)</f>
        <v/>
      </c>
      <c r="AF205" s="153">
        <f>$C205*INDEX(Curves!$V$8:$V$68,AF$4-$B205+1)</f>
        <v/>
      </c>
      <c r="AG205" s="153">
        <f>$C205*INDEX(Curves!$V$8:$V$68,AG$4-$B205+1)</f>
        <v/>
      </c>
      <c r="AH205" s="153">
        <f>$C205*INDEX(Curves!$V$8:$V$68,AH$4-$B205+1)</f>
        <v/>
      </c>
      <c r="AI205" s="153">
        <f>$C205*INDEX(Curves!$V$8:$V$68,AI$4-$B205+1)</f>
        <v/>
      </c>
      <c r="AJ205" s="153">
        <f>$C205*INDEX(Curves!$V$8:$V$68,AJ$4-$B205+1)</f>
        <v/>
      </c>
      <c r="AK205" s="153">
        <f>$C205*INDEX(Curves!$V$8:$V$68,AK$4-$B205+1)</f>
        <v/>
      </c>
      <c r="AL205" s="153">
        <f>$C205*INDEX(Curves!$V$8:$V$68,AL$4-$B205+1)</f>
        <v/>
      </c>
      <c r="AM205" s="153">
        <f>$C205*INDEX(Curves!$V$8:$V$68,AM$4-$B205+1)</f>
        <v/>
      </c>
      <c r="AN205" s="153">
        <f>$C205*INDEX(Curves!$V$8:$V$68,AN$4-$B205+1)</f>
        <v/>
      </c>
      <c r="AO205" s="153">
        <f>$C205*INDEX(Curves!$V$8:$V$68,AO$4-$B205+1)</f>
        <v/>
      </c>
      <c r="AP205" s="153">
        <f>$C205*INDEX(Curves!$V$8:$V$68,AP$4-$B205+1)</f>
        <v/>
      </c>
      <c r="AQ205" s="153">
        <f>$C205*INDEX(Curves!$V$8:$V$68,AQ$4-$B205+1)</f>
        <v/>
      </c>
      <c r="AR205" s="153">
        <f>$C205*INDEX(Curves!$V$8:$V$68,AR$4-$B205+1)</f>
        <v/>
      </c>
      <c r="AS205" s="153">
        <f>$C205*INDEX(Curves!$V$8:$V$68,AS$4-$B205+1)</f>
        <v/>
      </c>
      <c r="AT205" s="153">
        <f>$C205*INDEX(Curves!$V$8:$V$68,AT$4-$B205+1)</f>
        <v/>
      </c>
      <c r="AU205" s="153">
        <f>$C205*INDEX(Curves!$V$8:$V$68,AU$4-$B205+1)</f>
        <v/>
      </c>
      <c r="AV205" s="153">
        <f>$C205*INDEX(Curves!$V$8:$V$68,AV$4-$B205+1)</f>
        <v/>
      </c>
      <c r="AW205" s="153">
        <f>$C205*INDEX(Curves!$V$8:$V$68,AW$4-$B205+1)</f>
        <v/>
      </c>
      <c r="AX205" s="153">
        <f>$C205*INDEX(Curves!$V$8:$V$68,AX$4-$B205+1)</f>
        <v/>
      </c>
      <c r="AY205" s="153">
        <f>$C205*INDEX(Curves!$V$8:$V$68,AY$4-$B205+1)</f>
        <v/>
      </c>
      <c r="AZ205" s="153">
        <f>$C205*INDEX(Curves!$V$8:$V$68,AZ$4-$B205+1)</f>
        <v/>
      </c>
      <c r="BA205" s="153">
        <f>$C205*INDEX(Curves!$V$8:$V$68,BA$4-$B205+1)</f>
        <v/>
      </c>
      <c r="BB205" s="153">
        <f>$C205*INDEX(Curves!$V$8:$V$68,BB$4-$B205+1)</f>
        <v/>
      </c>
      <c r="BC205" s="153">
        <f>$C205*INDEX(Curves!$V$8:$V$68,BC$4-$B205+1)</f>
        <v/>
      </c>
      <c r="BD205" s="153">
        <f>$C205*INDEX(Curves!$V$8:$V$68,BD$4-$B205+1)</f>
        <v/>
      </c>
      <c r="BE205" s="153">
        <f>$C205*INDEX(Curves!$V$8:$V$68,BE$4-$B205+1)</f>
        <v/>
      </c>
      <c r="BF205" s="153">
        <f>$C205*INDEX(Curves!$V$8:$V$68,BF$4-$B205+1)</f>
        <v/>
      </c>
      <c r="BG205" s="153">
        <f>$C205*INDEX(Curves!$V$8:$V$68,BG$4-$B205+1)</f>
        <v/>
      </c>
      <c r="BH205" s="153">
        <f>$C205*INDEX(Curves!$V$8:$V$68,BH$4-$B205+1)</f>
        <v/>
      </c>
      <c r="BI205" s="153">
        <f>$C205*INDEX(Curves!$V$8:$V$68,BI$4-$B205+1)</f>
        <v/>
      </c>
      <c r="BJ205" s="153">
        <f>$C205*INDEX(Curves!$V$8:$V$68,BJ$4-$B205+1)</f>
        <v/>
      </c>
      <c r="BK205" s="153">
        <f>$C205*INDEX(Curves!$V$8:$V$68,BK$4-$B205+1)</f>
        <v/>
      </c>
      <c r="BL205" s="153">
        <f>$C205*INDEX(Curves!$V$8:$V$68,BL$4-$B205+1)</f>
        <v/>
      </c>
    </row>
    <row r="206">
      <c r="A206" s="147" t="inlineStr">
        <is>
          <t>Cohort month 8</t>
        </is>
      </c>
      <c r="B206" s="147" t="n">
        <v>8</v>
      </c>
      <c r="C206" s="41">
        <f>INDEX(Ops!$E$35:$BL$35,1,$B206)</f>
        <v/>
      </c>
      <c r="M206" s="153">
        <f>$C206*INDEX(Curves!$V$8:$V$68,M$4-$B206+1)</f>
        <v/>
      </c>
      <c r="N206" s="153">
        <f>$C206*INDEX(Curves!$V$8:$V$68,N$4-$B206+1)</f>
        <v/>
      </c>
      <c r="O206" s="153">
        <f>$C206*INDEX(Curves!$V$8:$V$68,O$4-$B206+1)</f>
        <v/>
      </c>
      <c r="P206" s="153">
        <f>$C206*INDEX(Curves!$V$8:$V$68,P$4-$B206+1)</f>
        <v/>
      </c>
      <c r="Q206" s="153">
        <f>$C206*INDEX(Curves!$V$8:$V$68,Q$4-$B206+1)</f>
        <v/>
      </c>
      <c r="R206" s="153">
        <f>$C206*INDEX(Curves!$V$8:$V$68,R$4-$B206+1)</f>
        <v/>
      </c>
      <c r="S206" s="153">
        <f>$C206*INDEX(Curves!$V$8:$V$68,S$4-$B206+1)</f>
        <v/>
      </c>
      <c r="T206" s="153">
        <f>$C206*INDEX(Curves!$V$8:$V$68,T$4-$B206+1)</f>
        <v/>
      </c>
      <c r="U206" s="153">
        <f>$C206*INDEX(Curves!$V$8:$V$68,U$4-$B206+1)</f>
        <v/>
      </c>
      <c r="V206" s="153">
        <f>$C206*INDEX(Curves!$V$8:$V$68,V$4-$B206+1)</f>
        <v/>
      </c>
      <c r="W206" s="153">
        <f>$C206*INDEX(Curves!$V$8:$V$68,W$4-$B206+1)</f>
        <v/>
      </c>
      <c r="X206" s="153">
        <f>$C206*INDEX(Curves!$V$8:$V$68,X$4-$B206+1)</f>
        <v/>
      </c>
      <c r="Y206" s="153">
        <f>$C206*INDEX(Curves!$V$8:$V$68,Y$4-$B206+1)</f>
        <v/>
      </c>
      <c r="Z206" s="153">
        <f>$C206*INDEX(Curves!$V$8:$V$68,Z$4-$B206+1)</f>
        <v/>
      </c>
      <c r="AA206" s="153">
        <f>$C206*INDEX(Curves!$V$8:$V$68,AA$4-$B206+1)</f>
        <v/>
      </c>
      <c r="AB206" s="153">
        <f>$C206*INDEX(Curves!$V$8:$V$68,AB$4-$B206+1)</f>
        <v/>
      </c>
      <c r="AC206" s="153">
        <f>$C206*INDEX(Curves!$V$8:$V$68,AC$4-$B206+1)</f>
        <v/>
      </c>
      <c r="AD206" s="153">
        <f>$C206*INDEX(Curves!$V$8:$V$68,AD$4-$B206+1)</f>
        <v/>
      </c>
      <c r="AE206" s="153">
        <f>$C206*INDEX(Curves!$V$8:$V$68,AE$4-$B206+1)</f>
        <v/>
      </c>
      <c r="AF206" s="153">
        <f>$C206*INDEX(Curves!$V$8:$V$68,AF$4-$B206+1)</f>
        <v/>
      </c>
      <c r="AG206" s="153">
        <f>$C206*INDEX(Curves!$V$8:$V$68,AG$4-$B206+1)</f>
        <v/>
      </c>
      <c r="AH206" s="153">
        <f>$C206*INDEX(Curves!$V$8:$V$68,AH$4-$B206+1)</f>
        <v/>
      </c>
      <c r="AI206" s="153">
        <f>$C206*INDEX(Curves!$V$8:$V$68,AI$4-$B206+1)</f>
        <v/>
      </c>
      <c r="AJ206" s="153">
        <f>$C206*INDEX(Curves!$V$8:$V$68,AJ$4-$B206+1)</f>
        <v/>
      </c>
      <c r="AK206" s="153">
        <f>$C206*INDEX(Curves!$V$8:$V$68,AK$4-$B206+1)</f>
        <v/>
      </c>
      <c r="AL206" s="153">
        <f>$C206*INDEX(Curves!$V$8:$V$68,AL$4-$B206+1)</f>
        <v/>
      </c>
      <c r="AM206" s="153">
        <f>$C206*INDEX(Curves!$V$8:$V$68,AM$4-$B206+1)</f>
        <v/>
      </c>
      <c r="AN206" s="153">
        <f>$C206*INDEX(Curves!$V$8:$V$68,AN$4-$B206+1)</f>
        <v/>
      </c>
      <c r="AO206" s="153">
        <f>$C206*INDEX(Curves!$V$8:$V$68,AO$4-$B206+1)</f>
        <v/>
      </c>
      <c r="AP206" s="153">
        <f>$C206*INDEX(Curves!$V$8:$V$68,AP$4-$B206+1)</f>
        <v/>
      </c>
      <c r="AQ206" s="153">
        <f>$C206*INDEX(Curves!$V$8:$V$68,AQ$4-$B206+1)</f>
        <v/>
      </c>
      <c r="AR206" s="153">
        <f>$C206*INDEX(Curves!$V$8:$V$68,AR$4-$B206+1)</f>
        <v/>
      </c>
      <c r="AS206" s="153">
        <f>$C206*INDEX(Curves!$V$8:$V$68,AS$4-$B206+1)</f>
        <v/>
      </c>
      <c r="AT206" s="153">
        <f>$C206*INDEX(Curves!$V$8:$V$68,AT$4-$B206+1)</f>
        <v/>
      </c>
      <c r="AU206" s="153">
        <f>$C206*INDEX(Curves!$V$8:$V$68,AU$4-$B206+1)</f>
        <v/>
      </c>
      <c r="AV206" s="153">
        <f>$C206*INDEX(Curves!$V$8:$V$68,AV$4-$B206+1)</f>
        <v/>
      </c>
      <c r="AW206" s="153">
        <f>$C206*INDEX(Curves!$V$8:$V$68,AW$4-$B206+1)</f>
        <v/>
      </c>
      <c r="AX206" s="153">
        <f>$C206*INDEX(Curves!$V$8:$V$68,AX$4-$B206+1)</f>
        <v/>
      </c>
      <c r="AY206" s="153">
        <f>$C206*INDEX(Curves!$V$8:$V$68,AY$4-$B206+1)</f>
        <v/>
      </c>
      <c r="AZ206" s="153">
        <f>$C206*INDEX(Curves!$V$8:$V$68,AZ$4-$B206+1)</f>
        <v/>
      </c>
      <c r="BA206" s="153">
        <f>$C206*INDEX(Curves!$V$8:$V$68,BA$4-$B206+1)</f>
        <v/>
      </c>
      <c r="BB206" s="153">
        <f>$C206*INDEX(Curves!$V$8:$V$68,BB$4-$B206+1)</f>
        <v/>
      </c>
      <c r="BC206" s="153">
        <f>$C206*INDEX(Curves!$V$8:$V$68,BC$4-$B206+1)</f>
        <v/>
      </c>
      <c r="BD206" s="153">
        <f>$C206*INDEX(Curves!$V$8:$V$68,BD$4-$B206+1)</f>
        <v/>
      </c>
      <c r="BE206" s="153">
        <f>$C206*INDEX(Curves!$V$8:$V$68,BE$4-$B206+1)</f>
        <v/>
      </c>
      <c r="BF206" s="153">
        <f>$C206*INDEX(Curves!$V$8:$V$68,BF$4-$B206+1)</f>
        <v/>
      </c>
      <c r="BG206" s="153">
        <f>$C206*INDEX(Curves!$V$8:$V$68,BG$4-$B206+1)</f>
        <v/>
      </c>
      <c r="BH206" s="153">
        <f>$C206*INDEX(Curves!$V$8:$V$68,BH$4-$B206+1)</f>
        <v/>
      </c>
      <c r="BI206" s="153">
        <f>$C206*INDEX(Curves!$V$8:$V$68,BI$4-$B206+1)</f>
        <v/>
      </c>
      <c r="BJ206" s="153">
        <f>$C206*INDEX(Curves!$V$8:$V$68,BJ$4-$B206+1)</f>
        <v/>
      </c>
      <c r="BK206" s="153">
        <f>$C206*INDEX(Curves!$V$8:$V$68,BK$4-$B206+1)</f>
        <v/>
      </c>
      <c r="BL206" s="153">
        <f>$C206*INDEX(Curves!$V$8:$V$68,BL$4-$B206+1)</f>
        <v/>
      </c>
    </row>
    <row r="207">
      <c r="A207" s="147" t="inlineStr">
        <is>
          <t>Cohort month 9</t>
        </is>
      </c>
      <c r="B207" s="147" t="n">
        <v>9</v>
      </c>
      <c r="C207" s="41">
        <f>INDEX(Ops!$E$35:$BL$35,1,$B207)</f>
        <v/>
      </c>
      <c r="N207" s="153">
        <f>$C207*INDEX(Curves!$V$8:$V$68,N$4-$B207+1)</f>
        <v/>
      </c>
      <c r="O207" s="153">
        <f>$C207*INDEX(Curves!$V$8:$V$68,O$4-$B207+1)</f>
        <v/>
      </c>
      <c r="P207" s="153">
        <f>$C207*INDEX(Curves!$V$8:$V$68,P$4-$B207+1)</f>
        <v/>
      </c>
      <c r="Q207" s="153">
        <f>$C207*INDEX(Curves!$V$8:$V$68,Q$4-$B207+1)</f>
        <v/>
      </c>
      <c r="R207" s="153">
        <f>$C207*INDEX(Curves!$V$8:$V$68,R$4-$B207+1)</f>
        <v/>
      </c>
      <c r="S207" s="153">
        <f>$C207*INDEX(Curves!$V$8:$V$68,S$4-$B207+1)</f>
        <v/>
      </c>
      <c r="T207" s="153">
        <f>$C207*INDEX(Curves!$V$8:$V$68,T$4-$B207+1)</f>
        <v/>
      </c>
      <c r="U207" s="153">
        <f>$C207*INDEX(Curves!$V$8:$V$68,U$4-$B207+1)</f>
        <v/>
      </c>
      <c r="V207" s="153">
        <f>$C207*INDEX(Curves!$V$8:$V$68,V$4-$B207+1)</f>
        <v/>
      </c>
      <c r="W207" s="153">
        <f>$C207*INDEX(Curves!$V$8:$V$68,W$4-$B207+1)</f>
        <v/>
      </c>
      <c r="X207" s="153">
        <f>$C207*INDEX(Curves!$V$8:$V$68,X$4-$B207+1)</f>
        <v/>
      </c>
      <c r="Y207" s="153">
        <f>$C207*INDEX(Curves!$V$8:$V$68,Y$4-$B207+1)</f>
        <v/>
      </c>
      <c r="Z207" s="153">
        <f>$C207*INDEX(Curves!$V$8:$V$68,Z$4-$B207+1)</f>
        <v/>
      </c>
      <c r="AA207" s="153">
        <f>$C207*INDEX(Curves!$V$8:$V$68,AA$4-$B207+1)</f>
        <v/>
      </c>
      <c r="AB207" s="153">
        <f>$C207*INDEX(Curves!$V$8:$V$68,AB$4-$B207+1)</f>
        <v/>
      </c>
      <c r="AC207" s="153">
        <f>$C207*INDEX(Curves!$V$8:$V$68,AC$4-$B207+1)</f>
        <v/>
      </c>
      <c r="AD207" s="153">
        <f>$C207*INDEX(Curves!$V$8:$V$68,AD$4-$B207+1)</f>
        <v/>
      </c>
      <c r="AE207" s="153">
        <f>$C207*INDEX(Curves!$V$8:$V$68,AE$4-$B207+1)</f>
        <v/>
      </c>
      <c r="AF207" s="153">
        <f>$C207*INDEX(Curves!$V$8:$V$68,AF$4-$B207+1)</f>
        <v/>
      </c>
      <c r="AG207" s="153">
        <f>$C207*INDEX(Curves!$V$8:$V$68,AG$4-$B207+1)</f>
        <v/>
      </c>
      <c r="AH207" s="153">
        <f>$C207*INDEX(Curves!$V$8:$V$68,AH$4-$B207+1)</f>
        <v/>
      </c>
      <c r="AI207" s="153">
        <f>$C207*INDEX(Curves!$V$8:$V$68,AI$4-$B207+1)</f>
        <v/>
      </c>
      <c r="AJ207" s="153">
        <f>$C207*INDEX(Curves!$V$8:$V$68,AJ$4-$B207+1)</f>
        <v/>
      </c>
      <c r="AK207" s="153">
        <f>$C207*INDEX(Curves!$V$8:$V$68,AK$4-$B207+1)</f>
        <v/>
      </c>
      <c r="AL207" s="153">
        <f>$C207*INDEX(Curves!$V$8:$V$68,AL$4-$B207+1)</f>
        <v/>
      </c>
      <c r="AM207" s="153">
        <f>$C207*INDEX(Curves!$V$8:$V$68,AM$4-$B207+1)</f>
        <v/>
      </c>
      <c r="AN207" s="153">
        <f>$C207*INDEX(Curves!$V$8:$V$68,AN$4-$B207+1)</f>
        <v/>
      </c>
      <c r="AO207" s="153">
        <f>$C207*INDEX(Curves!$V$8:$V$68,AO$4-$B207+1)</f>
        <v/>
      </c>
      <c r="AP207" s="153">
        <f>$C207*INDEX(Curves!$V$8:$V$68,AP$4-$B207+1)</f>
        <v/>
      </c>
      <c r="AQ207" s="153">
        <f>$C207*INDEX(Curves!$V$8:$V$68,AQ$4-$B207+1)</f>
        <v/>
      </c>
      <c r="AR207" s="153">
        <f>$C207*INDEX(Curves!$V$8:$V$68,AR$4-$B207+1)</f>
        <v/>
      </c>
      <c r="AS207" s="153">
        <f>$C207*INDEX(Curves!$V$8:$V$68,AS$4-$B207+1)</f>
        <v/>
      </c>
      <c r="AT207" s="153">
        <f>$C207*INDEX(Curves!$V$8:$V$68,AT$4-$B207+1)</f>
        <v/>
      </c>
      <c r="AU207" s="153">
        <f>$C207*INDEX(Curves!$V$8:$V$68,AU$4-$B207+1)</f>
        <v/>
      </c>
      <c r="AV207" s="153">
        <f>$C207*INDEX(Curves!$V$8:$V$68,AV$4-$B207+1)</f>
        <v/>
      </c>
      <c r="AW207" s="153">
        <f>$C207*INDEX(Curves!$V$8:$V$68,AW$4-$B207+1)</f>
        <v/>
      </c>
      <c r="AX207" s="153">
        <f>$C207*INDEX(Curves!$V$8:$V$68,AX$4-$B207+1)</f>
        <v/>
      </c>
      <c r="AY207" s="153">
        <f>$C207*INDEX(Curves!$V$8:$V$68,AY$4-$B207+1)</f>
        <v/>
      </c>
      <c r="AZ207" s="153">
        <f>$C207*INDEX(Curves!$V$8:$V$68,AZ$4-$B207+1)</f>
        <v/>
      </c>
      <c r="BA207" s="153">
        <f>$C207*INDEX(Curves!$V$8:$V$68,BA$4-$B207+1)</f>
        <v/>
      </c>
      <c r="BB207" s="153">
        <f>$C207*INDEX(Curves!$V$8:$V$68,BB$4-$B207+1)</f>
        <v/>
      </c>
      <c r="BC207" s="153">
        <f>$C207*INDEX(Curves!$V$8:$V$68,BC$4-$B207+1)</f>
        <v/>
      </c>
      <c r="BD207" s="153">
        <f>$C207*INDEX(Curves!$V$8:$V$68,BD$4-$B207+1)</f>
        <v/>
      </c>
      <c r="BE207" s="153">
        <f>$C207*INDEX(Curves!$V$8:$V$68,BE$4-$B207+1)</f>
        <v/>
      </c>
      <c r="BF207" s="153">
        <f>$C207*INDEX(Curves!$V$8:$V$68,BF$4-$B207+1)</f>
        <v/>
      </c>
      <c r="BG207" s="153">
        <f>$C207*INDEX(Curves!$V$8:$V$68,BG$4-$B207+1)</f>
        <v/>
      </c>
      <c r="BH207" s="153">
        <f>$C207*INDEX(Curves!$V$8:$V$68,BH$4-$B207+1)</f>
        <v/>
      </c>
      <c r="BI207" s="153">
        <f>$C207*INDEX(Curves!$V$8:$V$68,BI$4-$B207+1)</f>
        <v/>
      </c>
      <c r="BJ207" s="153">
        <f>$C207*INDEX(Curves!$V$8:$V$68,BJ$4-$B207+1)</f>
        <v/>
      </c>
      <c r="BK207" s="153">
        <f>$C207*INDEX(Curves!$V$8:$V$68,BK$4-$B207+1)</f>
        <v/>
      </c>
      <c r="BL207" s="153">
        <f>$C207*INDEX(Curves!$V$8:$V$68,BL$4-$B207+1)</f>
        <v/>
      </c>
    </row>
    <row r="208">
      <c r="A208" s="147" t="inlineStr">
        <is>
          <t>Cohort month 10</t>
        </is>
      </c>
      <c r="B208" s="147" t="n">
        <v>10</v>
      </c>
      <c r="C208" s="41">
        <f>INDEX(Ops!$E$35:$BL$35,1,$B208)</f>
        <v/>
      </c>
      <c r="O208" s="153">
        <f>$C208*INDEX(Curves!$V$8:$V$68,O$4-$B208+1)</f>
        <v/>
      </c>
      <c r="P208" s="153">
        <f>$C208*INDEX(Curves!$V$8:$V$68,P$4-$B208+1)</f>
        <v/>
      </c>
      <c r="Q208" s="153">
        <f>$C208*INDEX(Curves!$V$8:$V$68,Q$4-$B208+1)</f>
        <v/>
      </c>
      <c r="R208" s="153">
        <f>$C208*INDEX(Curves!$V$8:$V$68,R$4-$B208+1)</f>
        <v/>
      </c>
      <c r="S208" s="153">
        <f>$C208*INDEX(Curves!$V$8:$V$68,S$4-$B208+1)</f>
        <v/>
      </c>
      <c r="T208" s="153">
        <f>$C208*INDEX(Curves!$V$8:$V$68,T$4-$B208+1)</f>
        <v/>
      </c>
      <c r="U208" s="153">
        <f>$C208*INDEX(Curves!$V$8:$V$68,U$4-$B208+1)</f>
        <v/>
      </c>
      <c r="V208" s="153">
        <f>$C208*INDEX(Curves!$V$8:$V$68,V$4-$B208+1)</f>
        <v/>
      </c>
      <c r="W208" s="153">
        <f>$C208*INDEX(Curves!$V$8:$V$68,W$4-$B208+1)</f>
        <v/>
      </c>
      <c r="X208" s="153">
        <f>$C208*INDEX(Curves!$V$8:$V$68,X$4-$B208+1)</f>
        <v/>
      </c>
      <c r="Y208" s="153">
        <f>$C208*INDEX(Curves!$V$8:$V$68,Y$4-$B208+1)</f>
        <v/>
      </c>
      <c r="Z208" s="153">
        <f>$C208*INDEX(Curves!$V$8:$V$68,Z$4-$B208+1)</f>
        <v/>
      </c>
      <c r="AA208" s="153">
        <f>$C208*INDEX(Curves!$V$8:$V$68,AA$4-$B208+1)</f>
        <v/>
      </c>
      <c r="AB208" s="153">
        <f>$C208*INDEX(Curves!$V$8:$V$68,AB$4-$B208+1)</f>
        <v/>
      </c>
      <c r="AC208" s="153">
        <f>$C208*INDEX(Curves!$V$8:$V$68,AC$4-$B208+1)</f>
        <v/>
      </c>
      <c r="AD208" s="153">
        <f>$C208*INDEX(Curves!$V$8:$V$68,AD$4-$B208+1)</f>
        <v/>
      </c>
      <c r="AE208" s="153">
        <f>$C208*INDEX(Curves!$V$8:$V$68,AE$4-$B208+1)</f>
        <v/>
      </c>
      <c r="AF208" s="153">
        <f>$C208*INDEX(Curves!$V$8:$V$68,AF$4-$B208+1)</f>
        <v/>
      </c>
      <c r="AG208" s="153">
        <f>$C208*INDEX(Curves!$V$8:$V$68,AG$4-$B208+1)</f>
        <v/>
      </c>
      <c r="AH208" s="153">
        <f>$C208*INDEX(Curves!$V$8:$V$68,AH$4-$B208+1)</f>
        <v/>
      </c>
      <c r="AI208" s="153">
        <f>$C208*INDEX(Curves!$V$8:$V$68,AI$4-$B208+1)</f>
        <v/>
      </c>
      <c r="AJ208" s="153">
        <f>$C208*INDEX(Curves!$V$8:$V$68,AJ$4-$B208+1)</f>
        <v/>
      </c>
      <c r="AK208" s="153">
        <f>$C208*INDEX(Curves!$V$8:$V$68,AK$4-$B208+1)</f>
        <v/>
      </c>
      <c r="AL208" s="153">
        <f>$C208*INDEX(Curves!$V$8:$V$68,AL$4-$B208+1)</f>
        <v/>
      </c>
      <c r="AM208" s="153">
        <f>$C208*INDEX(Curves!$V$8:$V$68,AM$4-$B208+1)</f>
        <v/>
      </c>
      <c r="AN208" s="153">
        <f>$C208*INDEX(Curves!$V$8:$V$68,AN$4-$B208+1)</f>
        <v/>
      </c>
      <c r="AO208" s="153">
        <f>$C208*INDEX(Curves!$V$8:$V$68,AO$4-$B208+1)</f>
        <v/>
      </c>
      <c r="AP208" s="153">
        <f>$C208*INDEX(Curves!$V$8:$V$68,AP$4-$B208+1)</f>
        <v/>
      </c>
      <c r="AQ208" s="153">
        <f>$C208*INDEX(Curves!$V$8:$V$68,AQ$4-$B208+1)</f>
        <v/>
      </c>
      <c r="AR208" s="153">
        <f>$C208*INDEX(Curves!$V$8:$V$68,AR$4-$B208+1)</f>
        <v/>
      </c>
      <c r="AS208" s="153">
        <f>$C208*INDEX(Curves!$V$8:$V$68,AS$4-$B208+1)</f>
        <v/>
      </c>
      <c r="AT208" s="153">
        <f>$C208*INDEX(Curves!$V$8:$V$68,AT$4-$B208+1)</f>
        <v/>
      </c>
      <c r="AU208" s="153">
        <f>$C208*INDEX(Curves!$V$8:$V$68,AU$4-$B208+1)</f>
        <v/>
      </c>
      <c r="AV208" s="153">
        <f>$C208*INDEX(Curves!$V$8:$V$68,AV$4-$B208+1)</f>
        <v/>
      </c>
      <c r="AW208" s="153">
        <f>$C208*INDEX(Curves!$V$8:$V$68,AW$4-$B208+1)</f>
        <v/>
      </c>
      <c r="AX208" s="153">
        <f>$C208*INDEX(Curves!$V$8:$V$68,AX$4-$B208+1)</f>
        <v/>
      </c>
      <c r="AY208" s="153">
        <f>$C208*INDEX(Curves!$V$8:$V$68,AY$4-$B208+1)</f>
        <v/>
      </c>
      <c r="AZ208" s="153">
        <f>$C208*INDEX(Curves!$V$8:$V$68,AZ$4-$B208+1)</f>
        <v/>
      </c>
      <c r="BA208" s="153">
        <f>$C208*INDEX(Curves!$V$8:$V$68,BA$4-$B208+1)</f>
        <v/>
      </c>
      <c r="BB208" s="153">
        <f>$C208*INDEX(Curves!$V$8:$V$68,BB$4-$B208+1)</f>
        <v/>
      </c>
      <c r="BC208" s="153">
        <f>$C208*INDEX(Curves!$V$8:$V$68,BC$4-$B208+1)</f>
        <v/>
      </c>
      <c r="BD208" s="153">
        <f>$C208*INDEX(Curves!$V$8:$V$68,BD$4-$B208+1)</f>
        <v/>
      </c>
      <c r="BE208" s="153">
        <f>$C208*INDEX(Curves!$V$8:$V$68,BE$4-$B208+1)</f>
        <v/>
      </c>
      <c r="BF208" s="153">
        <f>$C208*INDEX(Curves!$V$8:$V$68,BF$4-$B208+1)</f>
        <v/>
      </c>
      <c r="BG208" s="153">
        <f>$C208*INDEX(Curves!$V$8:$V$68,BG$4-$B208+1)</f>
        <v/>
      </c>
      <c r="BH208" s="153">
        <f>$C208*INDEX(Curves!$V$8:$V$68,BH$4-$B208+1)</f>
        <v/>
      </c>
      <c r="BI208" s="153">
        <f>$C208*INDEX(Curves!$V$8:$V$68,BI$4-$B208+1)</f>
        <v/>
      </c>
      <c r="BJ208" s="153">
        <f>$C208*INDEX(Curves!$V$8:$V$68,BJ$4-$B208+1)</f>
        <v/>
      </c>
      <c r="BK208" s="153">
        <f>$C208*INDEX(Curves!$V$8:$V$68,BK$4-$B208+1)</f>
        <v/>
      </c>
      <c r="BL208" s="153">
        <f>$C208*INDEX(Curves!$V$8:$V$68,BL$4-$B208+1)</f>
        <v/>
      </c>
    </row>
    <row r="209">
      <c r="A209" s="147" t="inlineStr">
        <is>
          <t>Cohort month 11</t>
        </is>
      </c>
      <c r="B209" s="147" t="n">
        <v>11</v>
      </c>
      <c r="C209" s="41">
        <f>INDEX(Ops!$E$35:$BL$35,1,$B209)</f>
        <v/>
      </c>
      <c r="P209" s="153">
        <f>$C209*INDEX(Curves!$V$8:$V$68,P$4-$B209+1)</f>
        <v/>
      </c>
      <c r="Q209" s="153">
        <f>$C209*INDEX(Curves!$V$8:$V$68,Q$4-$B209+1)</f>
        <v/>
      </c>
      <c r="R209" s="153">
        <f>$C209*INDEX(Curves!$V$8:$V$68,R$4-$B209+1)</f>
        <v/>
      </c>
      <c r="S209" s="153">
        <f>$C209*INDEX(Curves!$V$8:$V$68,S$4-$B209+1)</f>
        <v/>
      </c>
      <c r="T209" s="153">
        <f>$C209*INDEX(Curves!$V$8:$V$68,T$4-$B209+1)</f>
        <v/>
      </c>
      <c r="U209" s="153">
        <f>$C209*INDEX(Curves!$V$8:$V$68,U$4-$B209+1)</f>
        <v/>
      </c>
      <c r="V209" s="153">
        <f>$C209*INDEX(Curves!$V$8:$V$68,V$4-$B209+1)</f>
        <v/>
      </c>
      <c r="W209" s="153">
        <f>$C209*INDEX(Curves!$V$8:$V$68,W$4-$B209+1)</f>
        <v/>
      </c>
      <c r="X209" s="153">
        <f>$C209*INDEX(Curves!$V$8:$V$68,X$4-$B209+1)</f>
        <v/>
      </c>
      <c r="Y209" s="153">
        <f>$C209*INDEX(Curves!$V$8:$V$68,Y$4-$B209+1)</f>
        <v/>
      </c>
      <c r="Z209" s="153">
        <f>$C209*INDEX(Curves!$V$8:$V$68,Z$4-$B209+1)</f>
        <v/>
      </c>
      <c r="AA209" s="153">
        <f>$C209*INDEX(Curves!$V$8:$V$68,AA$4-$B209+1)</f>
        <v/>
      </c>
      <c r="AB209" s="153">
        <f>$C209*INDEX(Curves!$V$8:$V$68,AB$4-$B209+1)</f>
        <v/>
      </c>
      <c r="AC209" s="153">
        <f>$C209*INDEX(Curves!$V$8:$V$68,AC$4-$B209+1)</f>
        <v/>
      </c>
      <c r="AD209" s="153">
        <f>$C209*INDEX(Curves!$V$8:$V$68,AD$4-$B209+1)</f>
        <v/>
      </c>
      <c r="AE209" s="153">
        <f>$C209*INDEX(Curves!$V$8:$V$68,AE$4-$B209+1)</f>
        <v/>
      </c>
      <c r="AF209" s="153">
        <f>$C209*INDEX(Curves!$V$8:$V$68,AF$4-$B209+1)</f>
        <v/>
      </c>
      <c r="AG209" s="153">
        <f>$C209*INDEX(Curves!$V$8:$V$68,AG$4-$B209+1)</f>
        <v/>
      </c>
      <c r="AH209" s="153">
        <f>$C209*INDEX(Curves!$V$8:$V$68,AH$4-$B209+1)</f>
        <v/>
      </c>
      <c r="AI209" s="153">
        <f>$C209*INDEX(Curves!$V$8:$V$68,AI$4-$B209+1)</f>
        <v/>
      </c>
      <c r="AJ209" s="153">
        <f>$C209*INDEX(Curves!$V$8:$V$68,AJ$4-$B209+1)</f>
        <v/>
      </c>
      <c r="AK209" s="153">
        <f>$C209*INDEX(Curves!$V$8:$V$68,AK$4-$B209+1)</f>
        <v/>
      </c>
      <c r="AL209" s="153">
        <f>$C209*INDEX(Curves!$V$8:$V$68,AL$4-$B209+1)</f>
        <v/>
      </c>
      <c r="AM209" s="153">
        <f>$C209*INDEX(Curves!$V$8:$V$68,AM$4-$B209+1)</f>
        <v/>
      </c>
      <c r="AN209" s="153">
        <f>$C209*INDEX(Curves!$V$8:$V$68,AN$4-$B209+1)</f>
        <v/>
      </c>
      <c r="AO209" s="153">
        <f>$C209*INDEX(Curves!$V$8:$V$68,AO$4-$B209+1)</f>
        <v/>
      </c>
      <c r="AP209" s="153">
        <f>$C209*INDEX(Curves!$V$8:$V$68,AP$4-$B209+1)</f>
        <v/>
      </c>
      <c r="AQ209" s="153">
        <f>$C209*INDEX(Curves!$V$8:$V$68,AQ$4-$B209+1)</f>
        <v/>
      </c>
      <c r="AR209" s="153">
        <f>$C209*INDEX(Curves!$V$8:$V$68,AR$4-$B209+1)</f>
        <v/>
      </c>
      <c r="AS209" s="153">
        <f>$C209*INDEX(Curves!$V$8:$V$68,AS$4-$B209+1)</f>
        <v/>
      </c>
      <c r="AT209" s="153">
        <f>$C209*INDEX(Curves!$V$8:$V$68,AT$4-$B209+1)</f>
        <v/>
      </c>
      <c r="AU209" s="153">
        <f>$C209*INDEX(Curves!$V$8:$V$68,AU$4-$B209+1)</f>
        <v/>
      </c>
      <c r="AV209" s="153">
        <f>$C209*INDEX(Curves!$V$8:$V$68,AV$4-$B209+1)</f>
        <v/>
      </c>
      <c r="AW209" s="153">
        <f>$C209*INDEX(Curves!$V$8:$V$68,AW$4-$B209+1)</f>
        <v/>
      </c>
      <c r="AX209" s="153">
        <f>$C209*INDEX(Curves!$V$8:$V$68,AX$4-$B209+1)</f>
        <v/>
      </c>
      <c r="AY209" s="153">
        <f>$C209*INDEX(Curves!$V$8:$V$68,AY$4-$B209+1)</f>
        <v/>
      </c>
      <c r="AZ209" s="153">
        <f>$C209*INDEX(Curves!$V$8:$V$68,AZ$4-$B209+1)</f>
        <v/>
      </c>
      <c r="BA209" s="153">
        <f>$C209*INDEX(Curves!$V$8:$V$68,BA$4-$B209+1)</f>
        <v/>
      </c>
      <c r="BB209" s="153">
        <f>$C209*INDEX(Curves!$V$8:$V$68,BB$4-$B209+1)</f>
        <v/>
      </c>
      <c r="BC209" s="153">
        <f>$C209*INDEX(Curves!$V$8:$V$68,BC$4-$B209+1)</f>
        <v/>
      </c>
      <c r="BD209" s="153">
        <f>$C209*INDEX(Curves!$V$8:$V$68,BD$4-$B209+1)</f>
        <v/>
      </c>
      <c r="BE209" s="153">
        <f>$C209*INDEX(Curves!$V$8:$V$68,BE$4-$B209+1)</f>
        <v/>
      </c>
      <c r="BF209" s="153">
        <f>$C209*INDEX(Curves!$V$8:$V$68,BF$4-$B209+1)</f>
        <v/>
      </c>
      <c r="BG209" s="153">
        <f>$C209*INDEX(Curves!$V$8:$V$68,BG$4-$B209+1)</f>
        <v/>
      </c>
      <c r="BH209" s="153">
        <f>$C209*INDEX(Curves!$V$8:$V$68,BH$4-$B209+1)</f>
        <v/>
      </c>
      <c r="BI209" s="153">
        <f>$C209*INDEX(Curves!$V$8:$V$68,BI$4-$B209+1)</f>
        <v/>
      </c>
      <c r="BJ209" s="153">
        <f>$C209*INDEX(Curves!$V$8:$V$68,BJ$4-$B209+1)</f>
        <v/>
      </c>
      <c r="BK209" s="153">
        <f>$C209*INDEX(Curves!$V$8:$V$68,BK$4-$B209+1)</f>
        <v/>
      </c>
      <c r="BL209" s="153">
        <f>$C209*INDEX(Curves!$V$8:$V$68,BL$4-$B209+1)</f>
        <v/>
      </c>
    </row>
    <row r="210">
      <c r="A210" s="147" t="inlineStr">
        <is>
          <t>Cohort month 12</t>
        </is>
      </c>
      <c r="B210" s="147" t="n">
        <v>12</v>
      </c>
      <c r="C210" s="41">
        <f>INDEX(Ops!$E$35:$BL$35,1,$B210)</f>
        <v/>
      </c>
      <c r="Q210" s="153">
        <f>$C210*INDEX(Curves!$V$8:$V$68,Q$4-$B210+1)</f>
        <v/>
      </c>
      <c r="R210" s="153">
        <f>$C210*INDEX(Curves!$V$8:$V$68,R$4-$B210+1)</f>
        <v/>
      </c>
      <c r="S210" s="153">
        <f>$C210*INDEX(Curves!$V$8:$V$68,S$4-$B210+1)</f>
        <v/>
      </c>
      <c r="T210" s="153">
        <f>$C210*INDEX(Curves!$V$8:$V$68,T$4-$B210+1)</f>
        <v/>
      </c>
      <c r="U210" s="153">
        <f>$C210*INDEX(Curves!$V$8:$V$68,U$4-$B210+1)</f>
        <v/>
      </c>
      <c r="V210" s="153">
        <f>$C210*INDEX(Curves!$V$8:$V$68,V$4-$B210+1)</f>
        <v/>
      </c>
      <c r="W210" s="153">
        <f>$C210*INDEX(Curves!$V$8:$V$68,W$4-$B210+1)</f>
        <v/>
      </c>
      <c r="X210" s="153">
        <f>$C210*INDEX(Curves!$V$8:$V$68,X$4-$B210+1)</f>
        <v/>
      </c>
      <c r="Y210" s="153">
        <f>$C210*INDEX(Curves!$V$8:$V$68,Y$4-$B210+1)</f>
        <v/>
      </c>
      <c r="Z210" s="153">
        <f>$C210*INDEX(Curves!$V$8:$V$68,Z$4-$B210+1)</f>
        <v/>
      </c>
      <c r="AA210" s="153">
        <f>$C210*INDEX(Curves!$V$8:$V$68,AA$4-$B210+1)</f>
        <v/>
      </c>
      <c r="AB210" s="153">
        <f>$C210*INDEX(Curves!$V$8:$V$68,AB$4-$B210+1)</f>
        <v/>
      </c>
      <c r="AC210" s="153">
        <f>$C210*INDEX(Curves!$V$8:$V$68,AC$4-$B210+1)</f>
        <v/>
      </c>
      <c r="AD210" s="153">
        <f>$C210*INDEX(Curves!$V$8:$V$68,AD$4-$B210+1)</f>
        <v/>
      </c>
      <c r="AE210" s="153">
        <f>$C210*INDEX(Curves!$V$8:$V$68,AE$4-$B210+1)</f>
        <v/>
      </c>
      <c r="AF210" s="153">
        <f>$C210*INDEX(Curves!$V$8:$V$68,AF$4-$B210+1)</f>
        <v/>
      </c>
      <c r="AG210" s="153">
        <f>$C210*INDEX(Curves!$V$8:$V$68,AG$4-$B210+1)</f>
        <v/>
      </c>
      <c r="AH210" s="153">
        <f>$C210*INDEX(Curves!$V$8:$V$68,AH$4-$B210+1)</f>
        <v/>
      </c>
      <c r="AI210" s="153">
        <f>$C210*INDEX(Curves!$V$8:$V$68,AI$4-$B210+1)</f>
        <v/>
      </c>
      <c r="AJ210" s="153">
        <f>$C210*INDEX(Curves!$V$8:$V$68,AJ$4-$B210+1)</f>
        <v/>
      </c>
      <c r="AK210" s="153">
        <f>$C210*INDEX(Curves!$V$8:$V$68,AK$4-$B210+1)</f>
        <v/>
      </c>
      <c r="AL210" s="153">
        <f>$C210*INDEX(Curves!$V$8:$V$68,AL$4-$B210+1)</f>
        <v/>
      </c>
      <c r="AM210" s="153">
        <f>$C210*INDEX(Curves!$V$8:$V$68,AM$4-$B210+1)</f>
        <v/>
      </c>
      <c r="AN210" s="153">
        <f>$C210*INDEX(Curves!$V$8:$V$68,AN$4-$B210+1)</f>
        <v/>
      </c>
      <c r="AO210" s="153">
        <f>$C210*INDEX(Curves!$V$8:$V$68,AO$4-$B210+1)</f>
        <v/>
      </c>
      <c r="AP210" s="153">
        <f>$C210*INDEX(Curves!$V$8:$V$68,AP$4-$B210+1)</f>
        <v/>
      </c>
      <c r="AQ210" s="153">
        <f>$C210*INDEX(Curves!$V$8:$V$68,AQ$4-$B210+1)</f>
        <v/>
      </c>
      <c r="AR210" s="153">
        <f>$C210*INDEX(Curves!$V$8:$V$68,AR$4-$B210+1)</f>
        <v/>
      </c>
      <c r="AS210" s="153">
        <f>$C210*INDEX(Curves!$V$8:$V$68,AS$4-$B210+1)</f>
        <v/>
      </c>
      <c r="AT210" s="153">
        <f>$C210*INDEX(Curves!$V$8:$V$68,AT$4-$B210+1)</f>
        <v/>
      </c>
      <c r="AU210" s="153">
        <f>$C210*INDEX(Curves!$V$8:$V$68,AU$4-$B210+1)</f>
        <v/>
      </c>
      <c r="AV210" s="153">
        <f>$C210*INDEX(Curves!$V$8:$V$68,AV$4-$B210+1)</f>
        <v/>
      </c>
      <c r="AW210" s="153">
        <f>$C210*INDEX(Curves!$V$8:$V$68,AW$4-$B210+1)</f>
        <v/>
      </c>
      <c r="AX210" s="153">
        <f>$C210*INDEX(Curves!$V$8:$V$68,AX$4-$B210+1)</f>
        <v/>
      </c>
      <c r="AY210" s="153">
        <f>$C210*INDEX(Curves!$V$8:$V$68,AY$4-$B210+1)</f>
        <v/>
      </c>
      <c r="AZ210" s="153">
        <f>$C210*INDEX(Curves!$V$8:$V$68,AZ$4-$B210+1)</f>
        <v/>
      </c>
      <c r="BA210" s="153">
        <f>$C210*INDEX(Curves!$V$8:$V$68,BA$4-$B210+1)</f>
        <v/>
      </c>
      <c r="BB210" s="153">
        <f>$C210*INDEX(Curves!$V$8:$V$68,BB$4-$B210+1)</f>
        <v/>
      </c>
      <c r="BC210" s="153">
        <f>$C210*INDEX(Curves!$V$8:$V$68,BC$4-$B210+1)</f>
        <v/>
      </c>
      <c r="BD210" s="153">
        <f>$C210*INDEX(Curves!$V$8:$V$68,BD$4-$B210+1)</f>
        <v/>
      </c>
      <c r="BE210" s="153">
        <f>$C210*INDEX(Curves!$V$8:$V$68,BE$4-$B210+1)</f>
        <v/>
      </c>
      <c r="BF210" s="153">
        <f>$C210*INDEX(Curves!$V$8:$V$68,BF$4-$B210+1)</f>
        <v/>
      </c>
      <c r="BG210" s="153">
        <f>$C210*INDEX(Curves!$V$8:$V$68,BG$4-$B210+1)</f>
        <v/>
      </c>
      <c r="BH210" s="153">
        <f>$C210*INDEX(Curves!$V$8:$V$68,BH$4-$B210+1)</f>
        <v/>
      </c>
      <c r="BI210" s="153">
        <f>$C210*INDEX(Curves!$V$8:$V$68,BI$4-$B210+1)</f>
        <v/>
      </c>
      <c r="BJ210" s="153">
        <f>$C210*INDEX(Curves!$V$8:$V$68,BJ$4-$B210+1)</f>
        <v/>
      </c>
      <c r="BK210" s="153">
        <f>$C210*INDEX(Curves!$V$8:$V$68,BK$4-$B210+1)</f>
        <v/>
      </c>
      <c r="BL210" s="153">
        <f>$C210*INDEX(Curves!$V$8:$V$68,BL$4-$B210+1)</f>
        <v/>
      </c>
    </row>
    <row r="211">
      <c r="A211" s="147" t="inlineStr">
        <is>
          <t>Cohort month 13</t>
        </is>
      </c>
      <c r="B211" s="147" t="n">
        <v>13</v>
      </c>
      <c r="C211" s="41">
        <f>INDEX(Ops!$E$35:$BL$35,1,$B211)</f>
        <v/>
      </c>
      <c r="R211" s="153">
        <f>$C211*INDEX(Curves!$V$8:$V$68,R$4-$B211+1)</f>
        <v/>
      </c>
      <c r="S211" s="153">
        <f>$C211*INDEX(Curves!$V$8:$V$68,S$4-$B211+1)</f>
        <v/>
      </c>
      <c r="T211" s="153">
        <f>$C211*INDEX(Curves!$V$8:$V$68,T$4-$B211+1)</f>
        <v/>
      </c>
      <c r="U211" s="153">
        <f>$C211*INDEX(Curves!$V$8:$V$68,U$4-$B211+1)</f>
        <v/>
      </c>
      <c r="V211" s="153">
        <f>$C211*INDEX(Curves!$V$8:$V$68,V$4-$B211+1)</f>
        <v/>
      </c>
      <c r="W211" s="153">
        <f>$C211*INDEX(Curves!$V$8:$V$68,W$4-$B211+1)</f>
        <v/>
      </c>
      <c r="X211" s="153">
        <f>$C211*INDEX(Curves!$V$8:$V$68,X$4-$B211+1)</f>
        <v/>
      </c>
      <c r="Y211" s="153">
        <f>$C211*INDEX(Curves!$V$8:$V$68,Y$4-$B211+1)</f>
        <v/>
      </c>
      <c r="Z211" s="153">
        <f>$C211*INDEX(Curves!$V$8:$V$68,Z$4-$B211+1)</f>
        <v/>
      </c>
      <c r="AA211" s="153">
        <f>$C211*INDEX(Curves!$V$8:$V$68,AA$4-$B211+1)</f>
        <v/>
      </c>
      <c r="AB211" s="153">
        <f>$C211*INDEX(Curves!$V$8:$V$68,AB$4-$B211+1)</f>
        <v/>
      </c>
      <c r="AC211" s="153">
        <f>$C211*INDEX(Curves!$V$8:$V$68,AC$4-$B211+1)</f>
        <v/>
      </c>
      <c r="AD211" s="153">
        <f>$C211*INDEX(Curves!$V$8:$V$68,AD$4-$B211+1)</f>
        <v/>
      </c>
      <c r="AE211" s="153">
        <f>$C211*INDEX(Curves!$V$8:$V$68,AE$4-$B211+1)</f>
        <v/>
      </c>
      <c r="AF211" s="153">
        <f>$C211*INDEX(Curves!$V$8:$V$68,AF$4-$B211+1)</f>
        <v/>
      </c>
      <c r="AG211" s="153">
        <f>$C211*INDEX(Curves!$V$8:$V$68,AG$4-$B211+1)</f>
        <v/>
      </c>
      <c r="AH211" s="153">
        <f>$C211*INDEX(Curves!$V$8:$V$68,AH$4-$B211+1)</f>
        <v/>
      </c>
      <c r="AI211" s="153">
        <f>$C211*INDEX(Curves!$V$8:$V$68,AI$4-$B211+1)</f>
        <v/>
      </c>
      <c r="AJ211" s="153">
        <f>$C211*INDEX(Curves!$V$8:$V$68,AJ$4-$B211+1)</f>
        <v/>
      </c>
      <c r="AK211" s="153">
        <f>$C211*INDEX(Curves!$V$8:$V$68,AK$4-$B211+1)</f>
        <v/>
      </c>
      <c r="AL211" s="153">
        <f>$C211*INDEX(Curves!$V$8:$V$68,AL$4-$B211+1)</f>
        <v/>
      </c>
      <c r="AM211" s="153">
        <f>$C211*INDEX(Curves!$V$8:$V$68,AM$4-$B211+1)</f>
        <v/>
      </c>
      <c r="AN211" s="153">
        <f>$C211*INDEX(Curves!$V$8:$V$68,AN$4-$B211+1)</f>
        <v/>
      </c>
      <c r="AO211" s="153">
        <f>$C211*INDEX(Curves!$V$8:$V$68,AO$4-$B211+1)</f>
        <v/>
      </c>
      <c r="AP211" s="153">
        <f>$C211*INDEX(Curves!$V$8:$V$68,AP$4-$B211+1)</f>
        <v/>
      </c>
      <c r="AQ211" s="153">
        <f>$C211*INDEX(Curves!$V$8:$V$68,AQ$4-$B211+1)</f>
        <v/>
      </c>
      <c r="AR211" s="153">
        <f>$C211*INDEX(Curves!$V$8:$V$68,AR$4-$B211+1)</f>
        <v/>
      </c>
      <c r="AS211" s="153">
        <f>$C211*INDEX(Curves!$V$8:$V$68,AS$4-$B211+1)</f>
        <v/>
      </c>
      <c r="AT211" s="153">
        <f>$C211*INDEX(Curves!$V$8:$V$68,AT$4-$B211+1)</f>
        <v/>
      </c>
      <c r="AU211" s="153">
        <f>$C211*INDEX(Curves!$V$8:$V$68,AU$4-$B211+1)</f>
        <v/>
      </c>
      <c r="AV211" s="153">
        <f>$C211*INDEX(Curves!$V$8:$V$68,AV$4-$B211+1)</f>
        <v/>
      </c>
      <c r="AW211" s="153">
        <f>$C211*INDEX(Curves!$V$8:$V$68,AW$4-$B211+1)</f>
        <v/>
      </c>
      <c r="AX211" s="153">
        <f>$C211*INDEX(Curves!$V$8:$V$68,AX$4-$B211+1)</f>
        <v/>
      </c>
      <c r="AY211" s="153">
        <f>$C211*INDEX(Curves!$V$8:$V$68,AY$4-$B211+1)</f>
        <v/>
      </c>
      <c r="AZ211" s="153">
        <f>$C211*INDEX(Curves!$V$8:$V$68,AZ$4-$B211+1)</f>
        <v/>
      </c>
      <c r="BA211" s="153">
        <f>$C211*INDEX(Curves!$V$8:$V$68,BA$4-$B211+1)</f>
        <v/>
      </c>
      <c r="BB211" s="153">
        <f>$C211*INDEX(Curves!$V$8:$V$68,BB$4-$B211+1)</f>
        <v/>
      </c>
      <c r="BC211" s="153">
        <f>$C211*INDEX(Curves!$V$8:$V$68,BC$4-$B211+1)</f>
        <v/>
      </c>
      <c r="BD211" s="153">
        <f>$C211*INDEX(Curves!$V$8:$V$68,BD$4-$B211+1)</f>
        <v/>
      </c>
      <c r="BE211" s="153">
        <f>$C211*INDEX(Curves!$V$8:$V$68,BE$4-$B211+1)</f>
        <v/>
      </c>
      <c r="BF211" s="153">
        <f>$C211*INDEX(Curves!$V$8:$V$68,BF$4-$B211+1)</f>
        <v/>
      </c>
      <c r="BG211" s="153">
        <f>$C211*INDEX(Curves!$V$8:$V$68,BG$4-$B211+1)</f>
        <v/>
      </c>
      <c r="BH211" s="153">
        <f>$C211*INDEX(Curves!$V$8:$V$68,BH$4-$B211+1)</f>
        <v/>
      </c>
      <c r="BI211" s="153">
        <f>$C211*INDEX(Curves!$V$8:$V$68,BI$4-$B211+1)</f>
        <v/>
      </c>
      <c r="BJ211" s="153">
        <f>$C211*INDEX(Curves!$V$8:$V$68,BJ$4-$B211+1)</f>
        <v/>
      </c>
      <c r="BK211" s="153">
        <f>$C211*INDEX(Curves!$V$8:$V$68,BK$4-$B211+1)</f>
        <v/>
      </c>
      <c r="BL211" s="153">
        <f>$C211*INDEX(Curves!$V$8:$V$68,BL$4-$B211+1)</f>
        <v/>
      </c>
    </row>
    <row r="212">
      <c r="A212" s="147" t="inlineStr">
        <is>
          <t>Cohort month 14</t>
        </is>
      </c>
      <c r="B212" s="147" t="n">
        <v>14</v>
      </c>
      <c r="C212" s="41">
        <f>INDEX(Ops!$E$35:$BL$35,1,$B212)</f>
        <v/>
      </c>
      <c r="S212" s="153">
        <f>$C212*INDEX(Curves!$V$8:$V$68,S$4-$B212+1)</f>
        <v/>
      </c>
      <c r="T212" s="153">
        <f>$C212*INDEX(Curves!$V$8:$V$68,T$4-$B212+1)</f>
        <v/>
      </c>
      <c r="U212" s="153">
        <f>$C212*INDEX(Curves!$V$8:$V$68,U$4-$B212+1)</f>
        <v/>
      </c>
      <c r="V212" s="153">
        <f>$C212*INDEX(Curves!$V$8:$V$68,V$4-$B212+1)</f>
        <v/>
      </c>
      <c r="W212" s="153">
        <f>$C212*INDEX(Curves!$V$8:$V$68,W$4-$B212+1)</f>
        <v/>
      </c>
      <c r="X212" s="153">
        <f>$C212*INDEX(Curves!$V$8:$V$68,X$4-$B212+1)</f>
        <v/>
      </c>
      <c r="Y212" s="153">
        <f>$C212*INDEX(Curves!$V$8:$V$68,Y$4-$B212+1)</f>
        <v/>
      </c>
      <c r="Z212" s="153">
        <f>$C212*INDEX(Curves!$V$8:$V$68,Z$4-$B212+1)</f>
        <v/>
      </c>
      <c r="AA212" s="153">
        <f>$C212*INDEX(Curves!$V$8:$V$68,AA$4-$B212+1)</f>
        <v/>
      </c>
      <c r="AB212" s="153">
        <f>$C212*INDEX(Curves!$V$8:$V$68,AB$4-$B212+1)</f>
        <v/>
      </c>
      <c r="AC212" s="153">
        <f>$C212*INDEX(Curves!$V$8:$V$68,AC$4-$B212+1)</f>
        <v/>
      </c>
      <c r="AD212" s="153">
        <f>$C212*INDEX(Curves!$V$8:$V$68,AD$4-$B212+1)</f>
        <v/>
      </c>
      <c r="AE212" s="153">
        <f>$C212*INDEX(Curves!$V$8:$V$68,AE$4-$B212+1)</f>
        <v/>
      </c>
      <c r="AF212" s="153">
        <f>$C212*INDEX(Curves!$V$8:$V$68,AF$4-$B212+1)</f>
        <v/>
      </c>
      <c r="AG212" s="153">
        <f>$C212*INDEX(Curves!$V$8:$V$68,AG$4-$B212+1)</f>
        <v/>
      </c>
      <c r="AH212" s="153">
        <f>$C212*INDEX(Curves!$V$8:$V$68,AH$4-$B212+1)</f>
        <v/>
      </c>
      <c r="AI212" s="153">
        <f>$C212*INDEX(Curves!$V$8:$V$68,AI$4-$B212+1)</f>
        <v/>
      </c>
      <c r="AJ212" s="153">
        <f>$C212*INDEX(Curves!$V$8:$V$68,AJ$4-$B212+1)</f>
        <v/>
      </c>
      <c r="AK212" s="153">
        <f>$C212*INDEX(Curves!$V$8:$V$68,AK$4-$B212+1)</f>
        <v/>
      </c>
      <c r="AL212" s="153">
        <f>$C212*INDEX(Curves!$V$8:$V$68,AL$4-$B212+1)</f>
        <v/>
      </c>
      <c r="AM212" s="153">
        <f>$C212*INDEX(Curves!$V$8:$V$68,AM$4-$B212+1)</f>
        <v/>
      </c>
      <c r="AN212" s="153">
        <f>$C212*INDEX(Curves!$V$8:$V$68,AN$4-$B212+1)</f>
        <v/>
      </c>
      <c r="AO212" s="153">
        <f>$C212*INDEX(Curves!$V$8:$V$68,AO$4-$B212+1)</f>
        <v/>
      </c>
      <c r="AP212" s="153">
        <f>$C212*INDEX(Curves!$V$8:$V$68,AP$4-$B212+1)</f>
        <v/>
      </c>
      <c r="AQ212" s="153">
        <f>$C212*INDEX(Curves!$V$8:$V$68,AQ$4-$B212+1)</f>
        <v/>
      </c>
      <c r="AR212" s="153">
        <f>$C212*INDEX(Curves!$V$8:$V$68,AR$4-$B212+1)</f>
        <v/>
      </c>
      <c r="AS212" s="153">
        <f>$C212*INDEX(Curves!$V$8:$V$68,AS$4-$B212+1)</f>
        <v/>
      </c>
      <c r="AT212" s="153">
        <f>$C212*INDEX(Curves!$V$8:$V$68,AT$4-$B212+1)</f>
        <v/>
      </c>
      <c r="AU212" s="153">
        <f>$C212*INDEX(Curves!$V$8:$V$68,AU$4-$B212+1)</f>
        <v/>
      </c>
      <c r="AV212" s="153">
        <f>$C212*INDEX(Curves!$V$8:$V$68,AV$4-$B212+1)</f>
        <v/>
      </c>
      <c r="AW212" s="153">
        <f>$C212*INDEX(Curves!$V$8:$V$68,AW$4-$B212+1)</f>
        <v/>
      </c>
      <c r="AX212" s="153">
        <f>$C212*INDEX(Curves!$V$8:$V$68,AX$4-$B212+1)</f>
        <v/>
      </c>
      <c r="AY212" s="153">
        <f>$C212*INDEX(Curves!$V$8:$V$68,AY$4-$B212+1)</f>
        <v/>
      </c>
      <c r="AZ212" s="153">
        <f>$C212*INDEX(Curves!$V$8:$V$68,AZ$4-$B212+1)</f>
        <v/>
      </c>
      <c r="BA212" s="153">
        <f>$C212*INDEX(Curves!$V$8:$V$68,BA$4-$B212+1)</f>
        <v/>
      </c>
      <c r="BB212" s="153">
        <f>$C212*INDEX(Curves!$V$8:$V$68,BB$4-$B212+1)</f>
        <v/>
      </c>
      <c r="BC212" s="153">
        <f>$C212*INDEX(Curves!$V$8:$V$68,BC$4-$B212+1)</f>
        <v/>
      </c>
      <c r="BD212" s="153">
        <f>$C212*INDEX(Curves!$V$8:$V$68,BD$4-$B212+1)</f>
        <v/>
      </c>
      <c r="BE212" s="153">
        <f>$C212*INDEX(Curves!$V$8:$V$68,BE$4-$B212+1)</f>
        <v/>
      </c>
      <c r="BF212" s="153">
        <f>$C212*INDEX(Curves!$V$8:$V$68,BF$4-$B212+1)</f>
        <v/>
      </c>
      <c r="BG212" s="153">
        <f>$C212*INDEX(Curves!$V$8:$V$68,BG$4-$B212+1)</f>
        <v/>
      </c>
      <c r="BH212" s="153">
        <f>$C212*INDEX(Curves!$V$8:$V$68,BH$4-$B212+1)</f>
        <v/>
      </c>
      <c r="BI212" s="153">
        <f>$C212*INDEX(Curves!$V$8:$V$68,BI$4-$B212+1)</f>
        <v/>
      </c>
      <c r="BJ212" s="153">
        <f>$C212*INDEX(Curves!$V$8:$V$68,BJ$4-$B212+1)</f>
        <v/>
      </c>
      <c r="BK212" s="153">
        <f>$C212*INDEX(Curves!$V$8:$V$68,BK$4-$B212+1)</f>
        <v/>
      </c>
      <c r="BL212" s="153">
        <f>$C212*INDEX(Curves!$V$8:$V$68,BL$4-$B212+1)</f>
        <v/>
      </c>
    </row>
    <row r="213">
      <c r="A213" s="147" t="inlineStr">
        <is>
          <t>Cohort month 15</t>
        </is>
      </c>
      <c r="B213" s="147" t="n">
        <v>15</v>
      </c>
      <c r="C213" s="41">
        <f>INDEX(Ops!$E$35:$BL$35,1,$B213)</f>
        <v/>
      </c>
      <c r="T213" s="153">
        <f>$C213*INDEX(Curves!$V$8:$V$68,T$4-$B213+1)</f>
        <v/>
      </c>
      <c r="U213" s="153">
        <f>$C213*INDEX(Curves!$V$8:$V$68,U$4-$B213+1)</f>
        <v/>
      </c>
      <c r="V213" s="153">
        <f>$C213*INDEX(Curves!$V$8:$V$68,V$4-$B213+1)</f>
        <v/>
      </c>
      <c r="W213" s="153">
        <f>$C213*INDEX(Curves!$V$8:$V$68,W$4-$B213+1)</f>
        <v/>
      </c>
      <c r="X213" s="153">
        <f>$C213*INDEX(Curves!$V$8:$V$68,X$4-$B213+1)</f>
        <v/>
      </c>
      <c r="Y213" s="153">
        <f>$C213*INDEX(Curves!$V$8:$V$68,Y$4-$B213+1)</f>
        <v/>
      </c>
      <c r="Z213" s="153">
        <f>$C213*INDEX(Curves!$V$8:$V$68,Z$4-$B213+1)</f>
        <v/>
      </c>
      <c r="AA213" s="153">
        <f>$C213*INDEX(Curves!$V$8:$V$68,AA$4-$B213+1)</f>
        <v/>
      </c>
      <c r="AB213" s="153">
        <f>$C213*INDEX(Curves!$V$8:$V$68,AB$4-$B213+1)</f>
        <v/>
      </c>
      <c r="AC213" s="153">
        <f>$C213*INDEX(Curves!$V$8:$V$68,AC$4-$B213+1)</f>
        <v/>
      </c>
      <c r="AD213" s="153">
        <f>$C213*INDEX(Curves!$V$8:$V$68,AD$4-$B213+1)</f>
        <v/>
      </c>
      <c r="AE213" s="153">
        <f>$C213*INDEX(Curves!$V$8:$V$68,AE$4-$B213+1)</f>
        <v/>
      </c>
      <c r="AF213" s="153">
        <f>$C213*INDEX(Curves!$V$8:$V$68,AF$4-$B213+1)</f>
        <v/>
      </c>
      <c r="AG213" s="153">
        <f>$C213*INDEX(Curves!$V$8:$V$68,AG$4-$B213+1)</f>
        <v/>
      </c>
      <c r="AH213" s="153">
        <f>$C213*INDEX(Curves!$V$8:$V$68,AH$4-$B213+1)</f>
        <v/>
      </c>
      <c r="AI213" s="153">
        <f>$C213*INDEX(Curves!$V$8:$V$68,AI$4-$B213+1)</f>
        <v/>
      </c>
      <c r="AJ213" s="153">
        <f>$C213*INDEX(Curves!$V$8:$V$68,AJ$4-$B213+1)</f>
        <v/>
      </c>
      <c r="AK213" s="153">
        <f>$C213*INDEX(Curves!$V$8:$V$68,AK$4-$B213+1)</f>
        <v/>
      </c>
      <c r="AL213" s="153">
        <f>$C213*INDEX(Curves!$V$8:$V$68,AL$4-$B213+1)</f>
        <v/>
      </c>
      <c r="AM213" s="153">
        <f>$C213*INDEX(Curves!$V$8:$V$68,AM$4-$B213+1)</f>
        <v/>
      </c>
      <c r="AN213" s="153">
        <f>$C213*INDEX(Curves!$V$8:$V$68,AN$4-$B213+1)</f>
        <v/>
      </c>
      <c r="AO213" s="153">
        <f>$C213*INDEX(Curves!$V$8:$V$68,AO$4-$B213+1)</f>
        <v/>
      </c>
      <c r="AP213" s="153">
        <f>$C213*INDEX(Curves!$V$8:$V$68,AP$4-$B213+1)</f>
        <v/>
      </c>
      <c r="AQ213" s="153">
        <f>$C213*INDEX(Curves!$V$8:$V$68,AQ$4-$B213+1)</f>
        <v/>
      </c>
      <c r="AR213" s="153">
        <f>$C213*INDEX(Curves!$V$8:$V$68,AR$4-$B213+1)</f>
        <v/>
      </c>
      <c r="AS213" s="153">
        <f>$C213*INDEX(Curves!$V$8:$V$68,AS$4-$B213+1)</f>
        <v/>
      </c>
      <c r="AT213" s="153">
        <f>$C213*INDEX(Curves!$V$8:$V$68,AT$4-$B213+1)</f>
        <v/>
      </c>
      <c r="AU213" s="153">
        <f>$C213*INDEX(Curves!$V$8:$V$68,AU$4-$B213+1)</f>
        <v/>
      </c>
      <c r="AV213" s="153">
        <f>$C213*INDEX(Curves!$V$8:$V$68,AV$4-$B213+1)</f>
        <v/>
      </c>
      <c r="AW213" s="153">
        <f>$C213*INDEX(Curves!$V$8:$V$68,AW$4-$B213+1)</f>
        <v/>
      </c>
      <c r="AX213" s="153">
        <f>$C213*INDEX(Curves!$V$8:$V$68,AX$4-$B213+1)</f>
        <v/>
      </c>
      <c r="AY213" s="153">
        <f>$C213*INDEX(Curves!$V$8:$V$68,AY$4-$B213+1)</f>
        <v/>
      </c>
      <c r="AZ213" s="153">
        <f>$C213*INDEX(Curves!$V$8:$V$68,AZ$4-$B213+1)</f>
        <v/>
      </c>
      <c r="BA213" s="153">
        <f>$C213*INDEX(Curves!$V$8:$V$68,BA$4-$B213+1)</f>
        <v/>
      </c>
      <c r="BB213" s="153">
        <f>$C213*INDEX(Curves!$V$8:$V$68,BB$4-$B213+1)</f>
        <v/>
      </c>
      <c r="BC213" s="153">
        <f>$C213*INDEX(Curves!$V$8:$V$68,BC$4-$B213+1)</f>
        <v/>
      </c>
      <c r="BD213" s="153">
        <f>$C213*INDEX(Curves!$V$8:$V$68,BD$4-$B213+1)</f>
        <v/>
      </c>
      <c r="BE213" s="153">
        <f>$C213*INDEX(Curves!$V$8:$V$68,BE$4-$B213+1)</f>
        <v/>
      </c>
      <c r="BF213" s="153">
        <f>$C213*INDEX(Curves!$V$8:$V$68,BF$4-$B213+1)</f>
        <v/>
      </c>
      <c r="BG213" s="153">
        <f>$C213*INDEX(Curves!$V$8:$V$68,BG$4-$B213+1)</f>
        <v/>
      </c>
      <c r="BH213" s="153">
        <f>$C213*INDEX(Curves!$V$8:$V$68,BH$4-$B213+1)</f>
        <v/>
      </c>
      <c r="BI213" s="153">
        <f>$C213*INDEX(Curves!$V$8:$V$68,BI$4-$B213+1)</f>
        <v/>
      </c>
      <c r="BJ213" s="153">
        <f>$C213*INDEX(Curves!$V$8:$V$68,BJ$4-$B213+1)</f>
        <v/>
      </c>
      <c r="BK213" s="153">
        <f>$C213*INDEX(Curves!$V$8:$V$68,BK$4-$B213+1)</f>
        <v/>
      </c>
      <c r="BL213" s="153">
        <f>$C213*INDEX(Curves!$V$8:$V$68,BL$4-$B213+1)</f>
        <v/>
      </c>
    </row>
    <row r="214">
      <c r="A214" s="147" t="inlineStr">
        <is>
          <t>Cohort month 16</t>
        </is>
      </c>
      <c r="B214" s="147" t="n">
        <v>16</v>
      </c>
      <c r="C214" s="41">
        <f>INDEX(Ops!$E$35:$BL$35,1,$B214)</f>
        <v/>
      </c>
      <c r="U214" s="153">
        <f>$C214*INDEX(Curves!$V$8:$V$68,U$4-$B214+1)</f>
        <v/>
      </c>
      <c r="V214" s="153">
        <f>$C214*INDEX(Curves!$V$8:$V$68,V$4-$B214+1)</f>
        <v/>
      </c>
      <c r="W214" s="153">
        <f>$C214*INDEX(Curves!$V$8:$V$68,W$4-$B214+1)</f>
        <v/>
      </c>
      <c r="X214" s="153">
        <f>$C214*INDEX(Curves!$V$8:$V$68,X$4-$B214+1)</f>
        <v/>
      </c>
      <c r="Y214" s="153">
        <f>$C214*INDEX(Curves!$V$8:$V$68,Y$4-$B214+1)</f>
        <v/>
      </c>
      <c r="Z214" s="153">
        <f>$C214*INDEX(Curves!$V$8:$V$68,Z$4-$B214+1)</f>
        <v/>
      </c>
      <c r="AA214" s="153">
        <f>$C214*INDEX(Curves!$V$8:$V$68,AA$4-$B214+1)</f>
        <v/>
      </c>
      <c r="AB214" s="153">
        <f>$C214*INDEX(Curves!$V$8:$V$68,AB$4-$B214+1)</f>
        <v/>
      </c>
      <c r="AC214" s="153">
        <f>$C214*INDEX(Curves!$V$8:$V$68,AC$4-$B214+1)</f>
        <v/>
      </c>
      <c r="AD214" s="153">
        <f>$C214*INDEX(Curves!$V$8:$V$68,AD$4-$B214+1)</f>
        <v/>
      </c>
      <c r="AE214" s="153">
        <f>$C214*INDEX(Curves!$V$8:$V$68,AE$4-$B214+1)</f>
        <v/>
      </c>
      <c r="AF214" s="153">
        <f>$C214*INDEX(Curves!$V$8:$V$68,AF$4-$B214+1)</f>
        <v/>
      </c>
      <c r="AG214" s="153">
        <f>$C214*INDEX(Curves!$V$8:$V$68,AG$4-$B214+1)</f>
        <v/>
      </c>
      <c r="AH214" s="153">
        <f>$C214*INDEX(Curves!$V$8:$V$68,AH$4-$B214+1)</f>
        <v/>
      </c>
      <c r="AI214" s="153">
        <f>$C214*INDEX(Curves!$V$8:$V$68,AI$4-$B214+1)</f>
        <v/>
      </c>
      <c r="AJ214" s="153">
        <f>$C214*INDEX(Curves!$V$8:$V$68,AJ$4-$B214+1)</f>
        <v/>
      </c>
      <c r="AK214" s="153">
        <f>$C214*INDEX(Curves!$V$8:$V$68,AK$4-$B214+1)</f>
        <v/>
      </c>
      <c r="AL214" s="153">
        <f>$C214*INDEX(Curves!$V$8:$V$68,AL$4-$B214+1)</f>
        <v/>
      </c>
      <c r="AM214" s="153">
        <f>$C214*INDEX(Curves!$V$8:$V$68,AM$4-$B214+1)</f>
        <v/>
      </c>
      <c r="AN214" s="153">
        <f>$C214*INDEX(Curves!$V$8:$V$68,AN$4-$B214+1)</f>
        <v/>
      </c>
      <c r="AO214" s="153">
        <f>$C214*INDEX(Curves!$V$8:$V$68,AO$4-$B214+1)</f>
        <v/>
      </c>
      <c r="AP214" s="153">
        <f>$C214*INDEX(Curves!$V$8:$V$68,AP$4-$B214+1)</f>
        <v/>
      </c>
      <c r="AQ214" s="153">
        <f>$C214*INDEX(Curves!$V$8:$V$68,AQ$4-$B214+1)</f>
        <v/>
      </c>
      <c r="AR214" s="153">
        <f>$C214*INDEX(Curves!$V$8:$V$68,AR$4-$B214+1)</f>
        <v/>
      </c>
      <c r="AS214" s="153">
        <f>$C214*INDEX(Curves!$V$8:$V$68,AS$4-$B214+1)</f>
        <v/>
      </c>
      <c r="AT214" s="153">
        <f>$C214*INDEX(Curves!$V$8:$V$68,AT$4-$B214+1)</f>
        <v/>
      </c>
      <c r="AU214" s="153">
        <f>$C214*INDEX(Curves!$V$8:$V$68,AU$4-$B214+1)</f>
        <v/>
      </c>
      <c r="AV214" s="153">
        <f>$C214*INDEX(Curves!$V$8:$V$68,AV$4-$B214+1)</f>
        <v/>
      </c>
      <c r="AW214" s="153">
        <f>$C214*INDEX(Curves!$V$8:$V$68,AW$4-$B214+1)</f>
        <v/>
      </c>
      <c r="AX214" s="153">
        <f>$C214*INDEX(Curves!$V$8:$V$68,AX$4-$B214+1)</f>
        <v/>
      </c>
      <c r="AY214" s="153">
        <f>$C214*INDEX(Curves!$V$8:$V$68,AY$4-$B214+1)</f>
        <v/>
      </c>
      <c r="AZ214" s="153">
        <f>$C214*INDEX(Curves!$V$8:$V$68,AZ$4-$B214+1)</f>
        <v/>
      </c>
      <c r="BA214" s="153">
        <f>$C214*INDEX(Curves!$V$8:$V$68,BA$4-$B214+1)</f>
        <v/>
      </c>
      <c r="BB214" s="153">
        <f>$C214*INDEX(Curves!$V$8:$V$68,BB$4-$B214+1)</f>
        <v/>
      </c>
      <c r="BC214" s="153">
        <f>$C214*INDEX(Curves!$V$8:$V$68,BC$4-$B214+1)</f>
        <v/>
      </c>
      <c r="BD214" s="153">
        <f>$C214*INDEX(Curves!$V$8:$V$68,BD$4-$B214+1)</f>
        <v/>
      </c>
      <c r="BE214" s="153">
        <f>$C214*INDEX(Curves!$V$8:$V$68,BE$4-$B214+1)</f>
        <v/>
      </c>
      <c r="BF214" s="153">
        <f>$C214*INDEX(Curves!$V$8:$V$68,BF$4-$B214+1)</f>
        <v/>
      </c>
      <c r="BG214" s="153">
        <f>$C214*INDEX(Curves!$V$8:$V$68,BG$4-$B214+1)</f>
        <v/>
      </c>
      <c r="BH214" s="153">
        <f>$C214*INDEX(Curves!$V$8:$V$68,BH$4-$B214+1)</f>
        <v/>
      </c>
      <c r="BI214" s="153">
        <f>$C214*INDEX(Curves!$V$8:$V$68,BI$4-$B214+1)</f>
        <v/>
      </c>
      <c r="BJ214" s="153">
        <f>$C214*INDEX(Curves!$V$8:$V$68,BJ$4-$B214+1)</f>
        <v/>
      </c>
      <c r="BK214" s="153">
        <f>$C214*INDEX(Curves!$V$8:$V$68,BK$4-$B214+1)</f>
        <v/>
      </c>
      <c r="BL214" s="153">
        <f>$C214*INDEX(Curves!$V$8:$V$68,BL$4-$B214+1)</f>
        <v/>
      </c>
    </row>
    <row r="215">
      <c r="A215" s="147" t="inlineStr">
        <is>
          <t>Cohort month 17</t>
        </is>
      </c>
      <c r="B215" s="147" t="n">
        <v>17</v>
      </c>
      <c r="C215" s="41">
        <f>INDEX(Ops!$E$35:$BL$35,1,$B215)</f>
        <v/>
      </c>
      <c r="V215" s="153">
        <f>$C215*INDEX(Curves!$V$8:$V$68,V$4-$B215+1)</f>
        <v/>
      </c>
      <c r="W215" s="153">
        <f>$C215*INDEX(Curves!$V$8:$V$68,W$4-$B215+1)</f>
        <v/>
      </c>
      <c r="X215" s="153">
        <f>$C215*INDEX(Curves!$V$8:$V$68,X$4-$B215+1)</f>
        <v/>
      </c>
      <c r="Y215" s="153">
        <f>$C215*INDEX(Curves!$V$8:$V$68,Y$4-$B215+1)</f>
        <v/>
      </c>
      <c r="Z215" s="153">
        <f>$C215*INDEX(Curves!$V$8:$V$68,Z$4-$B215+1)</f>
        <v/>
      </c>
      <c r="AA215" s="153">
        <f>$C215*INDEX(Curves!$V$8:$V$68,AA$4-$B215+1)</f>
        <v/>
      </c>
      <c r="AB215" s="153">
        <f>$C215*INDEX(Curves!$V$8:$V$68,AB$4-$B215+1)</f>
        <v/>
      </c>
      <c r="AC215" s="153">
        <f>$C215*INDEX(Curves!$V$8:$V$68,AC$4-$B215+1)</f>
        <v/>
      </c>
      <c r="AD215" s="153">
        <f>$C215*INDEX(Curves!$V$8:$V$68,AD$4-$B215+1)</f>
        <v/>
      </c>
      <c r="AE215" s="153">
        <f>$C215*INDEX(Curves!$V$8:$V$68,AE$4-$B215+1)</f>
        <v/>
      </c>
      <c r="AF215" s="153">
        <f>$C215*INDEX(Curves!$V$8:$V$68,AF$4-$B215+1)</f>
        <v/>
      </c>
      <c r="AG215" s="153">
        <f>$C215*INDEX(Curves!$V$8:$V$68,AG$4-$B215+1)</f>
        <v/>
      </c>
      <c r="AH215" s="153">
        <f>$C215*INDEX(Curves!$V$8:$V$68,AH$4-$B215+1)</f>
        <v/>
      </c>
      <c r="AI215" s="153">
        <f>$C215*INDEX(Curves!$V$8:$V$68,AI$4-$B215+1)</f>
        <v/>
      </c>
      <c r="AJ215" s="153">
        <f>$C215*INDEX(Curves!$V$8:$V$68,AJ$4-$B215+1)</f>
        <v/>
      </c>
      <c r="AK215" s="153">
        <f>$C215*INDEX(Curves!$V$8:$V$68,AK$4-$B215+1)</f>
        <v/>
      </c>
      <c r="AL215" s="153">
        <f>$C215*INDEX(Curves!$V$8:$V$68,AL$4-$B215+1)</f>
        <v/>
      </c>
      <c r="AM215" s="153">
        <f>$C215*INDEX(Curves!$V$8:$V$68,AM$4-$B215+1)</f>
        <v/>
      </c>
      <c r="AN215" s="153">
        <f>$C215*INDEX(Curves!$V$8:$V$68,AN$4-$B215+1)</f>
        <v/>
      </c>
      <c r="AO215" s="153">
        <f>$C215*INDEX(Curves!$V$8:$V$68,AO$4-$B215+1)</f>
        <v/>
      </c>
      <c r="AP215" s="153">
        <f>$C215*INDEX(Curves!$V$8:$V$68,AP$4-$B215+1)</f>
        <v/>
      </c>
      <c r="AQ215" s="153">
        <f>$C215*INDEX(Curves!$V$8:$V$68,AQ$4-$B215+1)</f>
        <v/>
      </c>
      <c r="AR215" s="153">
        <f>$C215*INDEX(Curves!$V$8:$V$68,AR$4-$B215+1)</f>
        <v/>
      </c>
      <c r="AS215" s="153">
        <f>$C215*INDEX(Curves!$V$8:$V$68,AS$4-$B215+1)</f>
        <v/>
      </c>
      <c r="AT215" s="153">
        <f>$C215*INDEX(Curves!$V$8:$V$68,AT$4-$B215+1)</f>
        <v/>
      </c>
      <c r="AU215" s="153">
        <f>$C215*INDEX(Curves!$V$8:$V$68,AU$4-$B215+1)</f>
        <v/>
      </c>
      <c r="AV215" s="153">
        <f>$C215*INDEX(Curves!$V$8:$V$68,AV$4-$B215+1)</f>
        <v/>
      </c>
      <c r="AW215" s="153">
        <f>$C215*INDEX(Curves!$V$8:$V$68,AW$4-$B215+1)</f>
        <v/>
      </c>
      <c r="AX215" s="153">
        <f>$C215*INDEX(Curves!$V$8:$V$68,AX$4-$B215+1)</f>
        <v/>
      </c>
      <c r="AY215" s="153">
        <f>$C215*INDEX(Curves!$V$8:$V$68,AY$4-$B215+1)</f>
        <v/>
      </c>
      <c r="AZ215" s="153">
        <f>$C215*INDEX(Curves!$V$8:$V$68,AZ$4-$B215+1)</f>
        <v/>
      </c>
      <c r="BA215" s="153">
        <f>$C215*INDEX(Curves!$V$8:$V$68,BA$4-$B215+1)</f>
        <v/>
      </c>
      <c r="BB215" s="153">
        <f>$C215*INDEX(Curves!$V$8:$V$68,BB$4-$B215+1)</f>
        <v/>
      </c>
      <c r="BC215" s="153">
        <f>$C215*INDEX(Curves!$V$8:$V$68,BC$4-$B215+1)</f>
        <v/>
      </c>
      <c r="BD215" s="153">
        <f>$C215*INDEX(Curves!$V$8:$V$68,BD$4-$B215+1)</f>
        <v/>
      </c>
      <c r="BE215" s="153">
        <f>$C215*INDEX(Curves!$V$8:$V$68,BE$4-$B215+1)</f>
        <v/>
      </c>
      <c r="BF215" s="153">
        <f>$C215*INDEX(Curves!$V$8:$V$68,BF$4-$B215+1)</f>
        <v/>
      </c>
      <c r="BG215" s="153">
        <f>$C215*INDEX(Curves!$V$8:$V$68,BG$4-$B215+1)</f>
        <v/>
      </c>
      <c r="BH215" s="153">
        <f>$C215*INDEX(Curves!$V$8:$V$68,BH$4-$B215+1)</f>
        <v/>
      </c>
      <c r="BI215" s="153">
        <f>$C215*INDEX(Curves!$V$8:$V$68,BI$4-$B215+1)</f>
        <v/>
      </c>
      <c r="BJ215" s="153">
        <f>$C215*INDEX(Curves!$V$8:$V$68,BJ$4-$B215+1)</f>
        <v/>
      </c>
      <c r="BK215" s="153">
        <f>$C215*INDEX(Curves!$V$8:$V$68,BK$4-$B215+1)</f>
        <v/>
      </c>
      <c r="BL215" s="153">
        <f>$C215*INDEX(Curves!$V$8:$V$68,BL$4-$B215+1)</f>
        <v/>
      </c>
    </row>
    <row r="216">
      <c r="A216" s="147" t="inlineStr">
        <is>
          <t>Cohort month 18</t>
        </is>
      </c>
      <c r="B216" s="147" t="n">
        <v>18</v>
      </c>
      <c r="C216" s="41">
        <f>INDEX(Ops!$E$35:$BL$35,1,$B216)</f>
        <v/>
      </c>
      <c r="W216" s="153">
        <f>$C216*INDEX(Curves!$V$8:$V$68,W$4-$B216+1)</f>
        <v/>
      </c>
      <c r="X216" s="153">
        <f>$C216*INDEX(Curves!$V$8:$V$68,X$4-$B216+1)</f>
        <v/>
      </c>
      <c r="Y216" s="153">
        <f>$C216*INDEX(Curves!$V$8:$V$68,Y$4-$B216+1)</f>
        <v/>
      </c>
      <c r="Z216" s="153">
        <f>$C216*INDEX(Curves!$V$8:$V$68,Z$4-$B216+1)</f>
        <v/>
      </c>
      <c r="AA216" s="153">
        <f>$C216*INDEX(Curves!$V$8:$V$68,AA$4-$B216+1)</f>
        <v/>
      </c>
      <c r="AB216" s="153">
        <f>$C216*INDEX(Curves!$V$8:$V$68,AB$4-$B216+1)</f>
        <v/>
      </c>
      <c r="AC216" s="153">
        <f>$C216*INDEX(Curves!$V$8:$V$68,AC$4-$B216+1)</f>
        <v/>
      </c>
      <c r="AD216" s="153">
        <f>$C216*INDEX(Curves!$V$8:$V$68,AD$4-$B216+1)</f>
        <v/>
      </c>
      <c r="AE216" s="153">
        <f>$C216*INDEX(Curves!$V$8:$V$68,AE$4-$B216+1)</f>
        <v/>
      </c>
      <c r="AF216" s="153">
        <f>$C216*INDEX(Curves!$V$8:$V$68,AF$4-$B216+1)</f>
        <v/>
      </c>
      <c r="AG216" s="153">
        <f>$C216*INDEX(Curves!$V$8:$V$68,AG$4-$B216+1)</f>
        <v/>
      </c>
      <c r="AH216" s="153">
        <f>$C216*INDEX(Curves!$V$8:$V$68,AH$4-$B216+1)</f>
        <v/>
      </c>
      <c r="AI216" s="153">
        <f>$C216*INDEX(Curves!$V$8:$V$68,AI$4-$B216+1)</f>
        <v/>
      </c>
      <c r="AJ216" s="153">
        <f>$C216*INDEX(Curves!$V$8:$V$68,AJ$4-$B216+1)</f>
        <v/>
      </c>
      <c r="AK216" s="153">
        <f>$C216*INDEX(Curves!$V$8:$V$68,AK$4-$B216+1)</f>
        <v/>
      </c>
      <c r="AL216" s="153">
        <f>$C216*INDEX(Curves!$V$8:$V$68,AL$4-$B216+1)</f>
        <v/>
      </c>
      <c r="AM216" s="153">
        <f>$C216*INDEX(Curves!$V$8:$V$68,AM$4-$B216+1)</f>
        <v/>
      </c>
      <c r="AN216" s="153">
        <f>$C216*INDEX(Curves!$V$8:$V$68,AN$4-$B216+1)</f>
        <v/>
      </c>
      <c r="AO216" s="153">
        <f>$C216*INDEX(Curves!$V$8:$V$68,AO$4-$B216+1)</f>
        <v/>
      </c>
      <c r="AP216" s="153">
        <f>$C216*INDEX(Curves!$V$8:$V$68,AP$4-$B216+1)</f>
        <v/>
      </c>
      <c r="AQ216" s="153">
        <f>$C216*INDEX(Curves!$V$8:$V$68,AQ$4-$B216+1)</f>
        <v/>
      </c>
      <c r="AR216" s="153">
        <f>$C216*INDEX(Curves!$V$8:$V$68,AR$4-$B216+1)</f>
        <v/>
      </c>
      <c r="AS216" s="153">
        <f>$C216*INDEX(Curves!$V$8:$V$68,AS$4-$B216+1)</f>
        <v/>
      </c>
      <c r="AT216" s="153">
        <f>$C216*INDEX(Curves!$V$8:$V$68,AT$4-$B216+1)</f>
        <v/>
      </c>
      <c r="AU216" s="153">
        <f>$C216*INDEX(Curves!$V$8:$V$68,AU$4-$B216+1)</f>
        <v/>
      </c>
      <c r="AV216" s="153">
        <f>$C216*INDEX(Curves!$V$8:$V$68,AV$4-$B216+1)</f>
        <v/>
      </c>
      <c r="AW216" s="153">
        <f>$C216*INDEX(Curves!$V$8:$V$68,AW$4-$B216+1)</f>
        <v/>
      </c>
      <c r="AX216" s="153">
        <f>$C216*INDEX(Curves!$V$8:$V$68,AX$4-$B216+1)</f>
        <v/>
      </c>
      <c r="AY216" s="153">
        <f>$C216*INDEX(Curves!$V$8:$V$68,AY$4-$B216+1)</f>
        <v/>
      </c>
      <c r="AZ216" s="153">
        <f>$C216*INDEX(Curves!$V$8:$V$68,AZ$4-$B216+1)</f>
        <v/>
      </c>
      <c r="BA216" s="153">
        <f>$C216*INDEX(Curves!$V$8:$V$68,BA$4-$B216+1)</f>
        <v/>
      </c>
      <c r="BB216" s="153">
        <f>$C216*INDEX(Curves!$V$8:$V$68,BB$4-$B216+1)</f>
        <v/>
      </c>
      <c r="BC216" s="153">
        <f>$C216*INDEX(Curves!$V$8:$V$68,BC$4-$B216+1)</f>
        <v/>
      </c>
      <c r="BD216" s="153">
        <f>$C216*INDEX(Curves!$V$8:$V$68,BD$4-$B216+1)</f>
        <v/>
      </c>
      <c r="BE216" s="153">
        <f>$C216*INDEX(Curves!$V$8:$V$68,BE$4-$B216+1)</f>
        <v/>
      </c>
      <c r="BF216" s="153">
        <f>$C216*INDEX(Curves!$V$8:$V$68,BF$4-$B216+1)</f>
        <v/>
      </c>
      <c r="BG216" s="153">
        <f>$C216*INDEX(Curves!$V$8:$V$68,BG$4-$B216+1)</f>
        <v/>
      </c>
      <c r="BH216" s="153">
        <f>$C216*INDEX(Curves!$V$8:$V$68,BH$4-$B216+1)</f>
        <v/>
      </c>
      <c r="BI216" s="153">
        <f>$C216*INDEX(Curves!$V$8:$V$68,BI$4-$B216+1)</f>
        <v/>
      </c>
      <c r="BJ216" s="153">
        <f>$C216*INDEX(Curves!$V$8:$V$68,BJ$4-$B216+1)</f>
        <v/>
      </c>
      <c r="BK216" s="153">
        <f>$C216*INDEX(Curves!$V$8:$V$68,BK$4-$B216+1)</f>
        <v/>
      </c>
      <c r="BL216" s="153">
        <f>$C216*INDEX(Curves!$V$8:$V$68,BL$4-$B216+1)</f>
        <v/>
      </c>
    </row>
    <row r="217">
      <c r="A217" s="147" t="inlineStr">
        <is>
          <t>Cohort month 19</t>
        </is>
      </c>
      <c r="B217" s="147" t="n">
        <v>19</v>
      </c>
      <c r="C217" s="41">
        <f>INDEX(Ops!$E$35:$BL$35,1,$B217)</f>
        <v/>
      </c>
      <c r="X217" s="153">
        <f>$C217*INDEX(Curves!$V$8:$V$68,X$4-$B217+1)</f>
        <v/>
      </c>
      <c r="Y217" s="153">
        <f>$C217*INDEX(Curves!$V$8:$V$68,Y$4-$B217+1)</f>
        <v/>
      </c>
      <c r="Z217" s="153">
        <f>$C217*INDEX(Curves!$V$8:$V$68,Z$4-$B217+1)</f>
        <v/>
      </c>
      <c r="AA217" s="153">
        <f>$C217*INDEX(Curves!$V$8:$V$68,AA$4-$B217+1)</f>
        <v/>
      </c>
      <c r="AB217" s="153">
        <f>$C217*INDEX(Curves!$V$8:$V$68,AB$4-$B217+1)</f>
        <v/>
      </c>
      <c r="AC217" s="153">
        <f>$C217*INDEX(Curves!$V$8:$V$68,AC$4-$B217+1)</f>
        <v/>
      </c>
      <c r="AD217" s="153">
        <f>$C217*INDEX(Curves!$V$8:$V$68,AD$4-$B217+1)</f>
        <v/>
      </c>
      <c r="AE217" s="153">
        <f>$C217*INDEX(Curves!$V$8:$V$68,AE$4-$B217+1)</f>
        <v/>
      </c>
      <c r="AF217" s="153">
        <f>$C217*INDEX(Curves!$V$8:$V$68,AF$4-$B217+1)</f>
        <v/>
      </c>
      <c r="AG217" s="153">
        <f>$C217*INDEX(Curves!$V$8:$V$68,AG$4-$B217+1)</f>
        <v/>
      </c>
      <c r="AH217" s="153">
        <f>$C217*INDEX(Curves!$V$8:$V$68,AH$4-$B217+1)</f>
        <v/>
      </c>
      <c r="AI217" s="153">
        <f>$C217*INDEX(Curves!$V$8:$V$68,AI$4-$B217+1)</f>
        <v/>
      </c>
      <c r="AJ217" s="153">
        <f>$C217*INDEX(Curves!$V$8:$V$68,AJ$4-$B217+1)</f>
        <v/>
      </c>
      <c r="AK217" s="153">
        <f>$C217*INDEX(Curves!$V$8:$V$68,AK$4-$B217+1)</f>
        <v/>
      </c>
      <c r="AL217" s="153">
        <f>$C217*INDEX(Curves!$V$8:$V$68,AL$4-$B217+1)</f>
        <v/>
      </c>
      <c r="AM217" s="153">
        <f>$C217*INDEX(Curves!$V$8:$V$68,AM$4-$B217+1)</f>
        <v/>
      </c>
      <c r="AN217" s="153">
        <f>$C217*INDEX(Curves!$V$8:$V$68,AN$4-$B217+1)</f>
        <v/>
      </c>
      <c r="AO217" s="153">
        <f>$C217*INDEX(Curves!$V$8:$V$68,AO$4-$B217+1)</f>
        <v/>
      </c>
      <c r="AP217" s="153">
        <f>$C217*INDEX(Curves!$V$8:$V$68,AP$4-$B217+1)</f>
        <v/>
      </c>
      <c r="AQ217" s="153">
        <f>$C217*INDEX(Curves!$V$8:$V$68,AQ$4-$B217+1)</f>
        <v/>
      </c>
      <c r="AR217" s="153">
        <f>$C217*INDEX(Curves!$V$8:$V$68,AR$4-$B217+1)</f>
        <v/>
      </c>
      <c r="AS217" s="153">
        <f>$C217*INDEX(Curves!$V$8:$V$68,AS$4-$B217+1)</f>
        <v/>
      </c>
      <c r="AT217" s="153">
        <f>$C217*INDEX(Curves!$V$8:$V$68,AT$4-$B217+1)</f>
        <v/>
      </c>
      <c r="AU217" s="153">
        <f>$C217*INDEX(Curves!$V$8:$V$68,AU$4-$B217+1)</f>
        <v/>
      </c>
      <c r="AV217" s="153">
        <f>$C217*INDEX(Curves!$V$8:$V$68,AV$4-$B217+1)</f>
        <v/>
      </c>
      <c r="AW217" s="153">
        <f>$C217*INDEX(Curves!$V$8:$V$68,AW$4-$B217+1)</f>
        <v/>
      </c>
      <c r="AX217" s="153">
        <f>$C217*INDEX(Curves!$V$8:$V$68,AX$4-$B217+1)</f>
        <v/>
      </c>
      <c r="AY217" s="153">
        <f>$C217*INDEX(Curves!$V$8:$V$68,AY$4-$B217+1)</f>
        <v/>
      </c>
      <c r="AZ217" s="153">
        <f>$C217*INDEX(Curves!$V$8:$V$68,AZ$4-$B217+1)</f>
        <v/>
      </c>
      <c r="BA217" s="153">
        <f>$C217*INDEX(Curves!$V$8:$V$68,BA$4-$B217+1)</f>
        <v/>
      </c>
      <c r="BB217" s="153">
        <f>$C217*INDEX(Curves!$V$8:$V$68,BB$4-$B217+1)</f>
        <v/>
      </c>
      <c r="BC217" s="153">
        <f>$C217*INDEX(Curves!$V$8:$V$68,BC$4-$B217+1)</f>
        <v/>
      </c>
      <c r="BD217" s="153">
        <f>$C217*INDEX(Curves!$V$8:$V$68,BD$4-$B217+1)</f>
        <v/>
      </c>
      <c r="BE217" s="153">
        <f>$C217*INDEX(Curves!$V$8:$V$68,BE$4-$B217+1)</f>
        <v/>
      </c>
      <c r="BF217" s="153">
        <f>$C217*INDEX(Curves!$V$8:$V$68,BF$4-$B217+1)</f>
        <v/>
      </c>
      <c r="BG217" s="153">
        <f>$C217*INDEX(Curves!$V$8:$V$68,BG$4-$B217+1)</f>
        <v/>
      </c>
      <c r="BH217" s="153">
        <f>$C217*INDEX(Curves!$V$8:$V$68,BH$4-$B217+1)</f>
        <v/>
      </c>
      <c r="BI217" s="153">
        <f>$C217*INDEX(Curves!$V$8:$V$68,BI$4-$B217+1)</f>
        <v/>
      </c>
      <c r="BJ217" s="153">
        <f>$C217*INDEX(Curves!$V$8:$V$68,BJ$4-$B217+1)</f>
        <v/>
      </c>
      <c r="BK217" s="153">
        <f>$C217*INDEX(Curves!$V$8:$V$68,BK$4-$B217+1)</f>
        <v/>
      </c>
      <c r="BL217" s="153">
        <f>$C217*INDEX(Curves!$V$8:$V$68,BL$4-$B217+1)</f>
        <v/>
      </c>
    </row>
    <row r="218">
      <c r="A218" s="147" t="inlineStr">
        <is>
          <t>Cohort month 20</t>
        </is>
      </c>
      <c r="B218" s="147" t="n">
        <v>20</v>
      </c>
      <c r="C218" s="41">
        <f>INDEX(Ops!$E$35:$BL$35,1,$B218)</f>
        <v/>
      </c>
      <c r="Y218" s="153">
        <f>$C218*INDEX(Curves!$V$8:$V$68,Y$4-$B218+1)</f>
        <v/>
      </c>
      <c r="Z218" s="153">
        <f>$C218*INDEX(Curves!$V$8:$V$68,Z$4-$B218+1)</f>
        <v/>
      </c>
      <c r="AA218" s="153">
        <f>$C218*INDEX(Curves!$V$8:$V$68,AA$4-$B218+1)</f>
        <v/>
      </c>
      <c r="AB218" s="153">
        <f>$C218*INDEX(Curves!$V$8:$V$68,AB$4-$B218+1)</f>
        <v/>
      </c>
      <c r="AC218" s="153">
        <f>$C218*INDEX(Curves!$V$8:$V$68,AC$4-$B218+1)</f>
        <v/>
      </c>
      <c r="AD218" s="153">
        <f>$C218*INDEX(Curves!$V$8:$V$68,AD$4-$B218+1)</f>
        <v/>
      </c>
      <c r="AE218" s="153">
        <f>$C218*INDEX(Curves!$V$8:$V$68,AE$4-$B218+1)</f>
        <v/>
      </c>
      <c r="AF218" s="153">
        <f>$C218*INDEX(Curves!$V$8:$V$68,AF$4-$B218+1)</f>
        <v/>
      </c>
      <c r="AG218" s="153">
        <f>$C218*INDEX(Curves!$V$8:$V$68,AG$4-$B218+1)</f>
        <v/>
      </c>
      <c r="AH218" s="153">
        <f>$C218*INDEX(Curves!$V$8:$V$68,AH$4-$B218+1)</f>
        <v/>
      </c>
      <c r="AI218" s="153">
        <f>$C218*INDEX(Curves!$V$8:$V$68,AI$4-$B218+1)</f>
        <v/>
      </c>
      <c r="AJ218" s="153">
        <f>$C218*INDEX(Curves!$V$8:$V$68,AJ$4-$B218+1)</f>
        <v/>
      </c>
      <c r="AK218" s="153">
        <f>$C218*INDEX(Curves!$V$8:$V$68,AK$4-$B218+1)</f>
        <v/>
      </c>
      <c r="AL218" s="153">
        <f>$C218*INDEX(Curves!$V$8:$V$68,AL$4-$B218+1)</f>
        <v/>
      </c>
      <c r="AM218" s="153">
        <f>$C218*INDEX(Curves!$V$8:$V$68,AM$4-$B218+1)</f>
        <v/>
      </c>
      <c r="AN218" s="153">
        <f>$C218*INDEX(Curves!$V$8:$V$68,AN$4-$B218+1)</f>
        <v/>
      </c>
      <c r="AO218" s="153">
        <f>$C218*INDEX(Curves!$V$8:$V$68,AO$4-$B218+1)</f>
        <v/>
      </c>
      <c r="AP218" s="153">
        <f>$C218*INDEX(Curves!$V$8:$V$68,AP$4-$B218+1)</f>
        <v/>
      </c>
      <c r="AQ218" s="153">
        <f>$C218*INDEX(Curves!$V$8:$V$68,AQ$4-$B218+1)</f>
        <v/>
      </c>
      <c r="AR218" s="153">
        <f>$C218*INDEX(Curves!$V$8:$V$68,AR$4-$B218+1)</f>
        <v/>
      </c>
      <c r="AS218" s="153">
        <f>$C218*INDEX(Curves!$V$8:$V$68,AS$4-$B218+1)</f>
        <v/>
      </c>
      <c r="AT218" s="153">
        <f>$C218*INDEX(Curves!$V$8:$V$68,AT$4-$B218+1)</f>
        <v/>
      </c>
      <c r="AU218" s="153">
        <f>$C218*INDEX(Curves!$V$8:$V$68,AU$4-$B218+1)</f>
        <v/>
      </c>
      <c r="AV218" s="153">
        <f>$C218*INDEX(Curves!$V$8:$V$68,AV$4-$B218+1)</f>
        <v/>
      </c>
      <c r="AW218" s="153">
        <f>$C218*INDEX(Curves!$V$8:$V$68,AW$4-$B218+1)</f>
        <v/>
      </c>
      <c r="AX218" s="153">
        <f>$C218*INDEX(Curves!$V$8:$V$68,AX$4-$B218+1)</f>
        <v/>
      </c>
      <c r="AY218" s="153">
        <f>$C218*INDEX(Curves!$V$8:$V$68,AY$4-$B218+1)</f>
        <v/>
      </c>
      <c r="AZ218" s="153">
        <f>$C218*INDEX(Curves!$V$8:$V$68,AZ$4-$B218+1)</f>
        <v/>
      </c>
      <c r="BA218" s="153">
        <f>$C218*INDEX(Curves!$V$8:$V$68,BA$4-$B218+1)</f>
        <v/>
      </c>
      <c r="BB218" s="153">
        <f>$C218*INDEX(Curves!$V$8:$V$68,BB$4-$B218+1)</f>
        <v/>
      </c>
      <c r="BC218" s="153">
        <f>$C218*INDEX(Curves!$V$8:$V$68,BC$4-$B218+1)</f>
        <v/>
      </c>
      <c r="BD218" s="153">
        <f>$C218*INDEX(Curves!$V$8:$V$68,BD$4-$B218+1)</f>
        <v/>
      </c>
      <c r="BE218" s="153">
        <f>$C218*INDEX(Curves!$V$8:$V$68,BE$4-$B218+1)</f>
        <v/>
      </c>
      <c r="BF218" s="153">
        <f>$C218*INDEX(Curves!$V$8:$V$68,BF$4-$B218+1)</f>
        <v/>
      </c>
      <c r="BG218" s="153">
        <f>$C218*INDEX(Curves!$V$8:$V$68,BG$4-$B218+1)</f>
        <v/>
      </c>
      <c r="BH218" s="153">
        <f>$C218*INDEX(Curves!$V$8:$V$68,BH$4-$B218+1)</f>
        <v/>
      </c>
      <c r="BI218" s="153">
        <f>$C218*INDEX(Curves!$V$8:$V$68,BI$4-$B218+1)</f>
        <v/>
      </c>
      <c r="BJ218" s="153">
        <f>$C218*INDEX(Curves!$V$8:$V$68,BJ$4-$B218+1)</f>
        <v/>
      </c>
      <c r="BK218" s="153">
        <f>$C218*INDEX(Curves!$V$8:$V$68,BK$4-$B218+1)</f>
        <v/>
      </c>
      <c r="BL218" s="153">
        <f>$C218*INDEX(Curves!$V$8:$V$68,BL$4-$B218+1)</f>
        <v/>
      </c>
    </row>
    <row r="219">
      <c r="A219" s="147" t="inlineStr">
        <is>
          <t>Cohort month 21</t>
        </is>
      </c>
      <c r="B219" s="147" t="n">
        <v>21</v>
      </c>
      <c r="C219" s="41">
        <f>INDEX(Ops!$E$35:$BL$35,1,$B219)</f>
        <v/>
      </c>
      <c r="Z219" s="153">
        <f>$C219*INDEX(Curves!$V$8:$V$68,Z$4-$B219+1)</f>
        <v/>
      </c>
      <c r="AA219" s="153">
        <f>$C219*INDEX(Curves!$V$8:$V$68,AA$4-$B219+1)</f>
        <v/>
      </c>
      <c r="AB219" s="153">
        <f>$C219*INDEX(Curves!$V$8:$V$68,AB$4-$B219+1)</f>
        <v/>
      </c>
      <c r="AC219" s="153">
        <f>$C219*INDEX(Curves!$V$8:$V$68,AC$4-$B219+1)</f>
        <v/>
      </c>
      <c r="AD219" s="153">
        <f>$C219*INDEX(Curves!$V$8:$V$68,AD$4-$B219+1)</f>
        <v/>
      </c>
      <c r="AE219" s="153">
        <f>$C219*INDEX(Curves!$V$8:$V$68,AE$4-$B219+1)</f>
        <v/>
      </c>
      <c r="AF219" s="153">
        <f>$C219*INDEX(Curves!$V$8:$V$68,AF$4-$B219+1)</f>
        <v/>
      </c>
      <c r="AG219" s="153">
        <f>$C219*INDEX(Curves!$V$8:$V$68,AG$4-$B219+1)</f>
        <v/>
      </c>
      <c r="AH219" s="153">
        <f>$C219*INDEX(Curves!$V$8:$V$68,AH$4-$B219+1)</f>
        <v/>
      </c>
      <c r="AI219" s="153">
        <f>$C219*INDEX(Curves!$V$8:$V$68,AI$4-$B219+1)</f>
        <v/>
      </c>
      <c r="AJ219" s="153">
        <f>$C219*INDEX(Curves!$V$8:$V$68,AJ$4-$B219+1)</f>
        <v/>
      </c>
      <c r="AK219" s="153">
        <f>$C219*INDEX(Curves!$V$8:$V$68,AK$4-$B219+1)</f>
        <v/>
      </c>
      <c r="AL219" s="153">
        <f>$C219*INDEX(Curves!$V$8:$V$68,AL$4-$B219+1)</f>
        <v/>
      </c>
      <c r="AM219" s="153">
        <f>$C219*INDEX(Curves!$V$8:$V$68,AM$4-$B219+1)</f>
        <v/>
      </c>
      <c r="AN219" s="153">
        <f>$C219*INDEX(Curves!$V$8:$V$68,AN$4-$B219+1)</f>
        <v/>
      </c>
      <c r="AO219" s="153">
        <f>$C219*INDEX(Curves!$V$8:$V$68,AO$4-$B219+1)</f>
        <v/>
      </c>
      <c r="AP219" s="153">
        <f>$C219*INDEX(Curves!$V$8:$V$68,AP$4-$B219+1)</f>
        <v/>
      </c>
      <c r="AQ219" s="153">
        <f>$C219*INDEX(Curves!$V$8:$V$68,AQ$4-$B219+1)</f>
        <v/>
      </c>
      <c r="AR219" s="153">
        <f>$C219*INDEX(Curves!$V$8:$V$68,AR$4-$B219+1)</f>
        <v/>
      </c>
      <c r="AS219" s="153">
        <f>$C219*INDEX(Curves!$V$8:$V$68,AS$4-$B219+1)</f>
        <v/>
      </c>
      <c r="AT219" s="153">
        <f>$C219*INDEX(Curves!$V$8:$V$68,AT$4-$B219+1)</f>
        <v/>
      </c>
      <c r="AU219" s="153">
        <f>$C219*INDEX(Curves!$V$8:$V$68,AU$4-$B219+1)</f>
        <v/>
      </c>
      <c r="AV219" s="153">
        <f>$C219*INDEX(Curves!$V$8:$V$68,AV$4-$B219+1)</f>
        <v/>
      </c>
      <c r="AW219" s="153">
        <f>$C219*INDEX(Curves!$V$8:$V$68,AW$4-$B219+1)</f>
        <v/>
      </c>
      <c r="AX219" s="153">
        <f>$C219*INDEX(Curves!$V$8:$V$68,AX$4-$B219+1)</f>
        <v/>
      </c>
      <c r="AY219" s="153">
        <f>$C219*INDEX(Curves!$V$8:$V$68,AY$4-$B219+1)</f>
        <v/>
      </c>
      <c r="AZ219" s="153">
        <f>$C219*INDEX(Curves!$V$8:$V$68,AZ$4-$B219+1)</f>
        <v/>
      </c>
      <c r="BA219" s="153">
        <f>$C219*INDEX(Curves!$V$8:$V$68,BA$4-$B219+1)</f>
        <v/>
      </c>
      <c r="BB219" s="153">
        <f>$C219*INDEX(Curves!$V$8:$V$68,BB$4-$B219+1)</f>
        <v/>
      </c>
      <c r="BC219" s="153">
        <f>$C219*INDEX(Curves!$V$8:$V$68,BC$4-$B219+1)</f>
        <v/>
      </c>
      <c r="BD219" s="153">
        <f>$C219*INDEX(Curves!$V$8:$V$68,BD$4-$B219+1)</f>
        <v/>
      </c>
      <c r="BE219" s="153">
        <f>$C219*INDEX(Curves!$V$8:$V$68,BE$4-$B219+1)</f>
        <v/>
      </c>
      <c r="BF219" s="153">
        <f>$C219*INDEX(Curves!$V$8:$V$68,BF$4-$B219+1)</f>
        <v/>
      </c>
      <c r="BG219" s="153">
        <f>$C219*INDEX(Curves!$V$8:$V$68,BG$4-$B219+1)</f>
        <v/>
      </c>
      <c r="BH219" s="153">
        <f>$C219*INDEX(Curves!$V$8:$V$68,BH$4-$B219+1)</f>
        <v/>
      </c>
      <c r="BI219" s="153">
        <f>$C219*INDEX(Curves!$V$8:$V$68,BI$4-$B219+1)</f>
        <v/>
      </c>
      <c r="BJ219" s="153">
        <f>$C219*INDEX(Curves!$V$8:$V$68,BJ$4-$B219+1)</f>
        <v/>
      </c>
      <c r="BK219" s="153">
        <f>$C219*INDEX(Curves!$V$8:$V$68,BK$4-$B219+1)</f>
        <v/>
      </c>
      <c r="BL219" s="153">
        <f>$C219*INDEX(Curves!$V$8:$V$68,BL$4-$B219+1)</f>
        <v/>
      </c>
    </row>
    <row r="220">
      <c r="A220" s="147" t="inlineStr">
        <is>
          <t>Cohort month 22</t>
        </is>
      </c>
      <c r="B220" s="147" t="n">
        <v>22</v>
      </c>
      <c r="C220" s="41">
        <f>INDEX(Ops!$E$35:$BL$35,1,$B220)</f>
        <v/>
      </c>
      <c r="AA220" s="153">
        <f>$C220*INDEX(Curves!$V$8:$V$68,AA$4-$B220+1)</f>
        <v/>
      </c>
      <c r="AB220" s="153">
        <f>$C220*INDEX(Curves!$V$8:$V$68,AB$4-$B220+1)</f>
        <v/>
      </c>
      <c r="AC220" s="153">
        <f>$C220*INDEX(Curves!$V$8:$V$68,AC$4-$B220+1)</f>
        <v/>
      </c>
      <c r="AD220" s="153">
        <f>$C220*INDEX(Curves!$V$8:$V$68,AD$4-$B220+1)</f>
        <v/>
      </c>
      <c r="AE220" s="153">
        <f>$C220*INDEX(Curves!$V$8:$V$68,AE$4-$B220+1)</f>
        <v/>
      </c>
      <c r="AF220" s="153">
        <f>$C220*INDEX(Curves!$V$8:$V$68,AF$4-$B220+1)</f>
        <v/>
      </c>
      <c r="AG220" s="153">
        <f>$C220*INDEX(Curves!$V$8:$V$68,AG$4-$B220+1)</f>
        <v/>
      </c>
      <c r="AH220" s="153">
        <f>$C220*INDEX(Curves!$V$8:$V$68,AH$4-$B220+1)</f>
        <v/>
      </c>
      <c r="AI220" s="153">
        <f>$C220*INDEX(Curves!$V$8:$V$68,AI$4-$B220+1)</f>
        <v/>
      </c>
      <c r="AJ220" s="153">
        <f>$C220*INDEX(Curves!$V$8:$V$68,AJ$4-$B220+1)</f>
        <v/>
      </c>
      <c r="AK220" s="153">
        <f>$C220*INDEX(Curves!$V$8:$V$68,AK$4-$B220+1)</f>
        <v/>
      </c>
      <c r="AL220" s="153">
        <f>$C220*INDEX(Curves!$V$8:$V$68,AL$4-$B220+1)</f>
        <v/>
      </c>
      <c r="AM220" s="153">
        <f>$C220*INDEX(Curves!$V$8:$V$68,AM$4-$B220+1)</f>
        <v/>
      </c>
      <c r="AN220" s="153">
        <f>$C220*INDEX(Curves!$V$8:$V$68,AN$4-$B220+1)</f>
        <v/>
      </c>
      <c r="AO220" s="153">
        <f>$C220*INDEX(Curves!$V$8:$V$68,AO$4-$B220+1)</f>
        <v/>
      </c>
      <c r="AP220" s="153">
        <f>$C220*INDEX(Curves!$V$8:$V$68,AP$4-$B220+1)</f>
        <v/>
      </c>
      <c r="AQ220" s="153">
        <f>$C220*INDEX(Curves!$V$8:$V$68,AQ$4-$B220+1)</f>
        <v/>
      </c>
      <c r="AR220" s="153">
        <f>$C220*INDEX(Curves!$V$8:$V$68,AR$4-$B220+1)</f>
        <v/>
      </c>
      <c r="AS220" s="153">
        <f>$C220*INDEX(Curves!$V$8:$V$68,AS$4-$B220+1)</f>
        <v/>
      </c>
      <c r="AT220" s="153">
        <f>$C220*INDEX(Curves!$V$8:$V$68,AT$4-$B220+1)</f>
        <v/>
      </c>
      <c r="AU220" s="153">
        <f>$C220*INDEX(Curves!$V$8:$V$68,AU$4-$B220+1)</f>
        <v/>
      </c>
      <c r="AV220" s="153">
        <f>$C220*INDEX(Curves!$V$8:$V$68,AV$4-$B220+1)</f>
        <v/>
      </c>
      <c r="AW220" s="153">
        <f>$C220*INDEX(Curves!$V$8:$V$68,AW$4-$B220+1)</f>
        <v/>
      </c>
      <c r="AX220" s="153">
        <f>$C220*INDEX(Curves!$V$8:$V$68,AX$4-$B220+1)</f>
        <v/>
      </c>
      <c r="AY220" s="153">
        <f>$C220*INDEX(Curves!$V$8:$V$68,AY$4-$B220+1)</f>
        <v/>
      </c>
      <c r="AZ220" s="153">
        <f>$C220*INDEX(Curves!$V$8:$V$68,AZ$4-$B220+1)</f>
        <v/>
      </c>
      <c r="BA220" s="153">
        <f>$C220*INDEX(Curves!$V$8:$V$68,BA$4-$B220+1)</f>
        <v/>
      </c>
      <c r="BB220" s="153">
        <f>$C220*INDEX(Curves!$V$8:$V$68,BB$4-$B220+1)</f>
        <v/>
      </c>
      <c r="BC220" s="153">
        <f>$C220*INDEX(Curves!$V$8:$V$68,BC$4-$B220+1)</f>
        <v/>
      </c>
      <c r="BD220" s="153">
        <f>$C220*INDEX(Curves!$V$8:$V$68,BD$4-$B220+1)</f>
        <v/>
      </c>
      <c r="BE220" s="153">
        <f>$C220*INDEX(Curves!$V$8:$V$68,BE$4-$B220+1)</f>
        <v/>
      </c>
      <c r="BF220" s="153">
        <f>$C220*INDEX(Curves!$V$8:$V$68,BF$4-$B220+1)</f>
        <v/>
      </c>
      <c r="BG220" s="153">
        <f>$C220*INDEX(Curves!$V$8:$V$68,BG$4-$B220+1)</f>
        <v/>
      </c>
      <c r="BH220" s="153">
        <f>$C220*INDEX(Curves!$V$8:$V$68,BH$4-$B220+1)</f>
        <v/>
      </c>
      <c r="BI220" s="153">
        <f>$C220*INDEX(Curves!$V$8:$V$68,BI$4-$B220+1)</f>
        <v/>
      </c>
      <c r="BJ220" s="153">
        <f>$C220*INDEX(Curves!$V$8:$V$68,BJ$4-$B220+1)</f>
        <v/>
      </c>
      <c r="BK220" s="153">
        <f>$C220*INDEX(Curves!$V$8:$V$68,BK$4-$B220+1)</f>
        <v/>
      </c>
      <c r="BL220" s="153">
        <f>$C220*INDEX(Curves!$V$8:$V$68,BL$4-$B220+1)</f>
        <v/>
      </c>
    </row>
    <row r="221">
      <c r="A221" s="147" t="inlineStr">
        <is>
          <t>Cohort month 23</t>
        </is>
      </c>
      <c r="B221" s="147" t="n">
        <v>23</v>
      </c>
      <c r="C221" s="41">
        <f>INDEX(Ops!$E$35:$BL$35,1,$B221)</f>
        <v/>
      </c>
      <c r="AB221" s="153">
        <f>$C221*INDEX(Curves!$V$8:$V$68,AB$4-$B221+1)</f>
        <v/>
      </c>
      <c r="AC221" s="153">
        <f>$C221*INDEX(Curves!$V$8:$V$68,AC$4-$B221+1)</f>
        <v/>
      </c>
      <c r="AD221" s="153">
        <f>$C221*INDEX(Curves!$V$8:$V$68,AD$4-$B221+1)</f>
        <v/>
      </c>
      <c r="AE221" s="153">
        <f>$C221*INDEX(Curves!$V$8:$V$68,AE$4-$B221+1)</f>
        <v/>
      </c>
      <c r="AF221" s="153">
        <f>$C221*INDEX(Curves!$V$8:$V$68,AF$4-$B221+1)</f>
        <v/>
      </c>
      <c r="AG221" s="153">
        <f>$C221*INDEX(Curves!$V$8:$V$68,AG$4-$B221+1)</f>
        <v/>
      </c>
      <c r="AH221" s="153">
        <f>$C221*INDEX(Curves!$V$8:$V$68,AH$4-$B221+1)</f>
        <v/>
      </c>
      <c r="AI221" s="153">
        <f>$C221*INDEX(Curves!$V$8:$V$68,AI$4-$B221+1)</f>
        <v/>
      </c>
      <c r="AJ221" s="153">
        <f>$C221*INDEX(Curves!$V$8:$V$68,AJ$4-$B221+1)</f>
        <v/>
      </c>
      <c r="AK221" s="153">
        <f>$C221*INDEX(Curves!$V$8:$V$68,AK$4-$B221+1)</f>
        <v/>
      </c>
      <c r="AL221" s="153">
        <f>$C221*INDEX(Curves!$V$8:$V$68,AL$4-$B221+1)</f>
        <v/>
      </c>
      <c r="AM221" s="153">
        <f>$C221*INDEX(Curves!$V$8:$V$68,AM$4-$B221+1)</f>
        <v/>
      </c>
      <c r="AN221" s="153">
        <f>$C221*INDEX(Curves!$V$8:$V$68,AN$4-$B221+1)</f>
        <v/>
      </c>
      <c r="AO221" s="153">
        <f>$C221*INDEX(Curves!$V$8:$V$68,AO$4-$B221+1)</f>
        <v/>
      </c>
      <c r="AP221" s="153">
        <f>$C221*INDEX(Curves!$V$8:$V$68,AP$4-$B221+1)</f>
        <v/>
      </c>
      <c r="AQ221" s="153">
        <f>$C221*INDEX(Curves!$V$8:$V$68,AQ$4-$B221+1)</f>
        <v/>
      </c>
      <c r="AR221" s="153">
        <f>$C221*INDEX(Curves!$V$8:$V$68,AR$4-$B221+1)</f>
        <v/>
      </c>
      <c r="AS221" s="153">
        <f>$C221*INDEX(Curves!$V$8:$V$68,AS$4-$B221+1)</f>
        <v/>
      </c>
      <c r="AT221" s="153">
        <f>$C221*INDEX(Curves!$V$8:$V$68,AT$4-$B221+1)</f>
        <v/>
      </c>
      <c r="AU221" s="153">
        <f>$C221*INDEX(Curves!$V$8:$V$68,AU$4-$B221+1)</f>
        <v/>
      </c>
      <c r="AV221" s="153">
        <f>$C221*INDEX(Curves!$V$8:$V$68,AV$4-$B221+1)</f>
        <v/>
      </c>
      <c r="AW221" s="153">
        <f>$C221*INDEX(Curves!$V$8:$V$68,AW$4-$B221+1)</f>
        <v/>
      </c>
      <c r="AX221" s="153">
        <f>$C221*INDEX(Curves!$V$8:$V$68,AX$4-$B221+1)</f>
        <v/>
      </c>
      <c r="AY221" s="153">
        <f>$C221*INDEX(Curves!$V$8:$V$68,AY$4-$B221+1)</f>
        <v/>
      </c>
      <c r="AZ221" s="153">
        <f>$C221*INDEX(Curves!$V$8:$V$68,AZ$4-$B221+1)</f>
        <v/>
      </c>
      <c r="BA221" s="153">
        <f>$C221*INDEX(Curves!$V$8:$V$68,BA$4-$B221+1)</f>
        <v/>
      </c>
      <c r="BB221" s="153">
        <f>$C221*INDEX(Curves!$V$8:$V$68,BB$4-$B221+1)</f>
        <v/>
      </c>
      <c r="BC221" s="153">
        <f>$C221*INDEX(Curves!$V$8:$V$68,BC$4-$B221+1)</f>
        <v/>
      </c>
      <c r="BD221" s="153">
        <f>$C221*INDEX(Curves!$V$8:$V$68,BD$4-$B221+1)</f>
        <v/>
      </c>
      <c r="BE221" s="153">
        <f>$C221*INDEX(Curves!$V$8:$V$68,BE$4-$B221+1)</f>
        <v/>
      </c>
      <c r="BF221" s="153">
        <f>$C221*INDEX(Curves!$V$8:$V$68,BF$4-$B221+1)</f>
        <v/>
      </c>
      <c r="BG221" s="153">
        <f>$C221*INDEX(Curves!$V$8:$V$68,BG$4-$B221+1)</f>
        <v/>
      </c>
      <c r="BH221" s="153">
        <f>$C221*INDEX(Curves!$V$8:$V$68,BH$4-$B221+1)</f>
        <v/>
      </c>
      <c r="BI221" s="153">
        <f>$C221*INDEX(Curves!$V$8:$V$68,BI$4-$B221+1)</f>
        <v/>
      </c>
      <c r="BJ221" s="153">
        <f>$C221*INDEX(Curves!$V$8:$V$68,BJ$4-$B221+1)</f>
        <v/>
      </c>
      <c r="BK221" s="153">
        <f>$C221*INDEX(Curves!$V$8:$V$68,BK$4-$B221+1)</f>
        <v/>
      </c>
      <c r="BL221" s="153">
        <f>$C221*INDEX(Curves!$V$8:$V$68,BL$4-$B221+1)</f>
        <v/>
      </c>
    </row>
    <row r="222">
      <c r="A222" s="147" t="inlineStr">
        <is>
          <t>Cohort month 24</t>
        </is>
      </c>
      <c r="B222" s="147" t="n">
        <v>24</v>
      </c>
      <c r="C222" s="41">
        <f>INDEX(Ops!$E$35:$BL$35,1,$B222)</f>
        <v/>
      </c>
      <c r="AC222" s="153">
        <f>$C222*INDEX(Curves!$V$8:$V$68,AC$4-$B222+1)</f>
        <v/>
      </c>
      <c r="AD222" s="153">
        <f>$C222*INDEX(Curves!$V$8:$V$68,AD$4-$B222+1)</f>
        <v/>
      </c>
      <c r="AE222" s="153">
        <f>$C222*INDEX(Curves!$V$8:$V$68,AE$4-$B222+1)</f>
        <v/>
      </c>
      <c r="AF222" s="153">
        <f>$C222*INDEX(Curves!$V$8:$V$68,AF$4-$B222+1)</f>
        <v/>
      </c>
      <c r="AG222" s="153">
        <f>$C222*INDEX(Curves!$V$8:$V$68,AG$4-$B222+1)</f>
        <v/>
      </c>
      <c r="AH222" s="153">
        <f>$C222*INDEX(Curves!$V$8:$V$68,AH$4-$B222+1)</f>
        <v/>
      </c>
      <c r="AI222" s="153">
        <f>$C222*INDEX(Curves!$V$8:$V$68,AI$4-$B222+1)</f>
        <v/>
      </c>
      <c r="AJ222" s="153">
        <f>$C222*INDEX(Curves!$V$8:$V$68,AJ$4-$B222+1)</f>
        <v/>
      </c>
      <c r="AK222" s="153">
        <f>$C222*INDEX(Curves!$V$8:$V$68,AK$4-$B222+1)</f>
        <v/>
      </c>
      <c r="AL222" s="153">
        <f>$C222*INDEX(Curves!$V$8:$V$68,AL$4-$B222+1)</f>
        <v/>
      </c>
      <c r="AM222" s="153">
        <f>$C222*INDEX(Curves!$V$8:$V$68,AM$4-$B222+1)</f>
        <v/>
      </c>
      <c r="AN222" s="153">
        <f>$C222*INDEX(Curves!$V$8:$V$68,AN$4-$B222+1)</f>
        <v/>
      </c>
      <c r="AO222" s="153">
        <f>$C222*INDEX(Curves!$V$8:$V$68,AO$4-$B222+1)</f>
        <v/>
      </c>
      <c r="AP222" s="153">
        <f>$C222*INDEX(Curves!$V$8:$V$68,AP$4-$B222+1)</f>
        <v/>
      </c>
      <c r="AQ222" s="153">
        <f>$C222*INDEX(Curves!$V$8:$V$68,AQ$4-$B222+1)</f>
        <v/>
      </c>
      <c r="AR222" s="153">
        <f>$C222*INDEX(Curves!$V$8:$V$68,AR$4-$B222+1)</f>
        <v/>
      </c>
      <c r="AS222" s="153">
        <f>$C222*INDEX(Curves!$V$8:$V$68,AS$4-$B222+1)</f>
        <v/>
      </c>
      <c r="AT222" s="153">
        <f>$C222*INDEX(Curves!$V$8:$V$68,AT$4-$B222+1)</f>
        <v/>
      </c>
      <c r="AU222" s="153">
        <f>$C222*INDEX(Curves!$V$8:$V$68,AU$4-$B222+1)</f>
        <v/>
      </c>
      <c r="AV222" s="153">
        <f>$C222*INDEX(Curves!$V$8:$V$68,AV$4-$B222+1)</f>
        <v/>
      </c>
      <c r="AW222" s="153">
        <f>$C222*INDEX(Curves!$V$8:$V$68,AW$4-$B222+1)</f>
        <v/>
      </c>
      <c r="AX222" s="153">
        <f>$C222*INDEX(Curves!$V$8:$V$68,AX$4-$B222+1)</f>
        <v/>
      </c>
      <c r="AY222" s="153">
        <f>$C222*INDEX(Curves!$V$8:$V$68,AY$4-$B222+1)</f>
        <v/>
      </c>
      <c r="AZ222" s="153">
        <f>$C222*INDEX(Curves!$V$8:$V$68,AZ$4-$B222+1)</f>
        <v/>
      </c>
      <c r="BA222" s="153">
        <f>$C222*INDEX(Curves!$V$8:$V$68,BA$4-$B222+1)</f>
        <v/>
      </c>
      <c r="BB222" s="153">
        <f>$C222*INDEX(Curves!$V$8:$V$68,BB$4-$B222+1)</f>
        <v/>
      </c>
      <c r="BC222" s="153">
        <f>$C222*INDEX(Curves!$V$8:$V$68,BC$4-$B222+1)</f>
        <v/>
      </c>
      <c r="BD222" s="153">
        <f>$C222*INDEX(Curves!$V$8:$V$68,BD$4-$B222+1)</f>
        <v/>
      </c>
      <c r="BE222" s="153">
        <f>$C222*INDEX(Curves!$V$8:$V$68,BE$4-$B222+1)</f>
        <v/>
      </c>
      <c r="BF222" s="153">
        <f>$C222*INDEX(Curves!$V$8:$V$68,BF$4-$B222+1)</f>
        <v/>
      </c>
      <c r="BG222" s="153">
        <f>$C222*INDEX(Curves!$V$8:$V$68,BG$4-$B222+1)</f>
        <v/>
      </c>
      <c r="BH222" s="153">
        <f>$C222*INDEX(Curves!$V$8:$V$68,BH$4-$B222+1)</f>
        <v/>
      </c>
      <c r="BI222" s="153">
        <f>$C222*INDEX(Curves!$V$8:$V$68,BI$4-$B222+1)</f>
        <v/>
      </c>
      <c r="BJ222" s="153">
        <f>$C222*INDEX(Curves!$V$8:$V$68,BJ$4-$B222+1)</f>
        <v/>
      </c>
      <c r="BK222" s="153">
        <f>$C222*INDEX(Curves!$V$8:$V$68,BK$4-$B222+1)</f>
        <v/>
      </c>
      <c r="BL222" s="153">
        <f>$C222*INDEX(Curves!$V$8:$V$68,BL$4-$B222+1)</f>
        <v/>
      </c>
    </row>
    <row r="223">
      <c r="A223" s="147" t="inlineStr">
        <is>
          <t>Cohort month 25</t>
        </is>
      </c>
      <c r="B223" s="147" t="n">
        <v>25</v>
      </c>
      <c r="C223" s="41">
        <f>INDEX(Ops!$E$35:$BL$35,1,$B223)</f>
        <v/>
      </c>
      <c r="AD223" s="153">
        <f>$C223*INDEX(Curves!$V$8:$V$68,AD$4-$B223+1)</f>
        <v/>
      </c>
      <c r="AE223" s="153">
        <f>$C223*INDEX(Curves!$V$8:$V$68,AE$4-$B223+1)</f>
        <v/>
      </c>
      <c r="AF223" s="153">
        <f>$C223*INDEX(Curves!$V$8:$V$68,AF$4-$B223+1)</f>
        <v/>
      </c>
      <c r="AG223" s="153">
        <f>$C223*INDEX(Curves!$V$8:$V$68,AG$4-$B223+1)</f>
        <v/>
      </c>
      <c r="AH223" s="153">
        <f>$C223*INDEX(Curves!$V$8:$V$68,AH$4-$B223+1)</f>
        <v/>
      </c>
      <c r="AI223" s="153">
        <f>$C223*INDEX(Curves!$V$8:$V$68,AI$4-$B223+1)</f>
        <v/>
      </c>
      <c r="AJ223" s="153">
        <f>$C223*INDEX(Curves!$V$8:$V$68,AJ$4-$B223+1)</f>
        <v/>
      </c>
      <c r="AK223" s="153">
        <f>$C223*INDEX(Curves!$V$8:$V$68,AK$4-$B223+1)</f>
        <v/>
      </c>
      <c r="AL223" s="153">
        <f>$C223*INDEX(Curves!$V$8:$V$68,AL$4-$B223+1)</f>
        <v/>
      </c>
      <c r="AM223" s="153">
        <f>$C223*INDEX(Curves!$V$8:$V$68,AM$4-$B223+1)</f>
        <v/>
      </c>
      <c r="AN223" s="153">
        <f>$C223*INDEX(Curves!$V$8:$V$68,AN$4-$B223+1)</f>
        <v/>
      </c>
      <c r="AO223" s="153">
        <f>$C223*INDEX(Curves!$V$8:$V$68,AO$4-$B223+1)</f>
        <v/>
      </c>
      <c r="AP223" s="153">
        <f>$C223*INDEX(Curves!$V$8:$V$68,AP$4-$B223+1)</f>
        <v/>
      </c>
      <c r="AQ223" s="153">
        <f>$C223*INDEX(Curves!$V$8:$V$68,AQ$4-$B223+1)</f>
        <v/>
      </c>
      <c r="AR223" s="153">
        <f>$C223*INDEX(Curves!$V$8:$V$68,AR$4-$B223+1)</f>
        <v/>
      </c>
      <c r="AS223" s="153">
        <f>$C223*INDEX(Curves!$V$8:$V$68,AS$4-$B223+1)</f>
        <v/>
      </c>
      <c r="AT223" s="153">
        <f>$C223*INDEX(Curves!$V$8:$V$68,AT$4-$B223+1)</f>
        <v/>
      </c>
      <c r="AU223" s="153">
        <f>$C223*INDEX(Curves!$V$8:$V$68,AU$4-$B223+1)</f>
        <v/>
      </c>
      <c r="AV223" s="153">
        <f>$C223*INDEX(Curves!$V$8:$V$68,AV$4-$B223+1)</f>
        <v/>
      </c>
      <c r="AW223" s="153">
        <f>$C223*INDEX(Curves!$V$8:$V$68,AW$4-$B223+1)</f>
        <v/>
      </c>
      <c r="AX223" s="153">
        <f>$C223*INDEX(Curves!$V$8:$V$68,AX$4-$B223+1)</f>
        <v/>
      </c>
      <c r="AY223" s="153">
        <f>$C223*INDEX(Curves!$V$8:$V$68,AY$4-$B223+1)</f>
        <v/>
      </c>
      <c r="AZ223" s="153">
        <f>$C223*INDEX(Curves!$V$8:$V$68,AZ$4-$B223+1)</f>
        <v/>
      </c>
      <c r="BA223" s="153">
        <f>$C223*INDEX(Curves!$V$8:$V$68,BA$4-$B223+1)</f>
        <v/>
      </c>
      <c r="BB223" s="153">
        <f>$C223*INDEX(Curves!$V$8:$V$68,BB$4-$B223+1)</f>
        <v/>
      </c>
      <c r="BC223" s="153">
        <f>$C223*INDEX(Curves!$V$8:$V$68,BC$4-$B223+1)</f>
        <v/>
      </c>
      <c r="BD223" s="153">
        <f>$C223*INDEX(Curves!$V$8:$V$68,BD$4-$B223+1)</f>
        <v/>
      </c>
      <c r="BE223" s="153">
        <f>$C223*INDEX(Curves!$V$8:$V$68,BE$4-$B223+1)</f>
        <v/>
      </c>
      <c r="BF223" s="153">
        <f>$C223*INDEX(Curves!$V$8:$V$68,BF$4-$B223+1)</f>
        <v/>
      </c>
      <c r="BG223" s="153">
        <f>$C223*INDEX(Curves!$V$8:$V$68,BG$4-$B223+1)</f>
        <v/>
      </c>
      <c r="BH223" s="153">
        <f>$C223*INDEX(Curves!$V$8:$V$68,BH$4-$B223+1)</f>
        <v/>
      </c>
      <c r="BI223" s="153">
        <f>$C223*INDEX(Curves!$V$8:$V$68,BI$4-$B223+1)</f>
        <v/>
      </c>
      <c r="BJ223" s="153">
        <f>$C223*INDEX(Curves!$V$8:$V$68,BJ$4-$B223+1)</f>
        <v/>
      </c>
      <c r="BK223" s="153">
        <f>$C223*INDEX(Curves!$V$8:$V$68,BK$4-$B223+1)</f>
        <v/>
      </c>
      <c r="BL223" s="153">
        <f>$C223*INDEX(Curves!$V$8:$V$68,BL$4-$B223+1)</f>
        <v/>
      </c>
    </row>
    <row r="224">
      <c r="A224" s="147" t="inlineStr">
        <is>
          <t>Cohort month 26</t>
        </is>
      </c>
      <c r="B224" s="147" t="n">
        <v>26</v>
      </c>
      <c r="C224" s="41">
        <f>INDEX(Ops!$E$35:$BL$35,1,$B224)</f>
        <v/>
      </c>
      <c r="AE224" s="153">
        <f>$C224*INDEX(Curves!$V$8:$V$68,AE$4-$B224+1)</f>
        <v/>
      </c>
      <c r="AF224" s="153">
        <f>$C224*INDEX(Curves!$V$8:$V$68,AF$4-$B224+1)</f>
        <v/>
      </c>
      <c r="AG224" s="153">
        <f>$C224*INDEX(Curves!$V$8:$V$68,AG$4-$B224+1)</f>
        <v/>
      </c>
      <c r="AH224" s="153">
        <f>$C224*INDEX(Curves!$V$8:$V$68,AH$4-$B224+1)</f>
        <v/>
      </c>
      <c r="AI224" s="153">
        <f>$C224*INDEX(Curves!$V$8:$V$68,AI$4-$B224+1)</f>
        <v/>
      </c>
      <c r="AJ224" s="153">
        <f>$C224*INDEX(Curves!$V$8:$V$68,AJ$4-$B224+1)</f>
        <v/>
      </c>
      <c r="AK224" s="153">
        <f>$C224*INDEX(Curves!$V$8:$V$68,AK$4-$B224+1)</f>
        <v/>
      </c>
      <c r="AL224" s="153">
        <f>$C224*INDEX(Curves!$V$8:$V$68,AL$4-$B224+1)</f>
        <v/>
      </c>
      <c r="AM224" s="153">
        <f>$C224*INDEX(Curves!$V$8:$V$68,AM$4-$B224+1)</f>
        <v/>
      </c>
      <c r="AN224" s="153">
        <f>$C224*INDEX(Curves!$V$8:$V$68,AN$4-$B224+1)</f>
        <v/>
      </c>
      <c r="AO224" s="153">
        <f>$C224*INDEX(Curves!$V$8:$V$68,AO$4-$B224+1)</f>
        <v/>
      </c>
      <c r="AP224" s="153">
        <f>$C224*INDEX(Curves!$V$8:$V$68,AP$4-$B224+1)</f>
        <v/>
      </c>
      <c r="AQ224" s="153">
        <f>$C224*INDEX(Curves!$V$8:$V$68,AQ$4-$B224+1)</f>
        <v/>
      </c>
      <c r="AR224" s="153">
        <f>$C224*INDEX(Curves!$V$8:$V$68,AR$4-$B224+1)</f>
        <v/>
      </c>
      <c r="AS224" s="153">
        <f>$C224*INDEX(Curves!$V$8:$V$68,AS$4-$B224+1)</f>
        <v/>
      </c>
      <c r="AT224" s="153">
        <f>$C224*INDEX(Curves!$V$8:$V$68,AT$4-$B224+1)</f>
        <v/>
      </c>
      <c r="AU224" s="153">
        <f>$C224*INDEX(Curves!$V$8:$V$68,AU$4-$B224+1)</f>
        <v/>
      </c>
      <c r="AV224" s="153">
        <f>$C224*INDEX(Curves!$V$8:$V$68,AV$4-$B224+1)</f>
        <v/>
      </c>
      <c r="AW224" s="153">
        <f>$C224*INDEX(Curves!$V$8:$V$68,AW$4-$B224+1)</f>
        <v/>
      </c>
      <c r="AX224" s="153">
        <f>$C224*INDEX(Curves!$V$8:$V$68,AX$4-$B224+1)</f>
        <v/>
      </c>
      <c r="AY224" s="153">
        <f>$C224*INDEX(Curves!$V$8:$V$68,AY$4-$B224+1)</f>
        <v/>
      </c>
      <c r="AZ224" s="153">
        <f>$C224*INDEX(Curves!$V$8:$V$68,AZ$4-$B224+1)</f>
        <v/>
      </c>
      <c r="BA224" s="153">
        <f>$C224*INDEX(Curves!$V$8:$V$68,BA$4-$B224+1)</f>
        <v/>
      </c>
      <c r="BB224" s="153">
        <f>$C224*INDEX(Curves!$V$8:$V$68,BB$4-$B224+1)</f>
        <v/>
      </c>
      <c r="BC224" s="153">
        <f>$C224*INDEX(Curves!$V$8:$V$68,BC$4-$B224+1)</f>
        <v/>
      </c>
      <c r="BD224" s="153">
        <f>$C224*INDEX(Curves!$V$8:$V$68,BD$4-$B224+1)</f>
        <v/>
      </c>
      <c r="BE224" s="153">
        <f>$C224*INDEX(Curves!$V$8:$V$68,BE$4-$B224+1)</f>
        <v/>
      </c>
      <c r="BF224" s="153">
        <f>$C224*INDEX(Curves!$V$8:$V$68,BF$4-$B224+1)</f>
        <v/>
      </c>
      <c r="BG224" s="153">
        <f>$C224*INDEX(Curves!$V$8:$V$68,BG$4-$B224+1)</f>
        <v/>
      </c>
      <c r="BH224" s="153">
        <f>$C224*INDEX(Curves!$V$8:$V$68,BH$4-$B224+1)</f>
        <v/>
      </c>
      <c r="BI224" s="153">
        <f>$C224*INDEX(Curves!$V$8:$V$68,BI$4-$B224+1)</f>
        <v/>
      </c>
      <c r="BJ224" s="153">
        <f>$C224*INDEX(Curves!$V$8:$V$68,BJ$4-$B224+1)</f>
        <v/>
      </c>
      <c r="BK224" s="153">
        <f>$C224*INDEX(Curves!$V$8:$V$68,BK$4-$B224+1)</f>
        <v/>
      </c>
      <c r="BL224" s="153">
        <f>$C224*INDEX(Curves!$V$8:$V$68,BL$4-$B224+1)</f>
        <v/>
      </c>
    </row>
    <row r="225">
      <c r="A225" s="147" t="inlineStr">
        <is>
          <t>Cohort month 27</t>
        </is>
      </c>
      <c r="B225" s="147" t="n">
        <v>27</v>
      </c>
      <c r="C225" s="41">
        <f>INDEX(Ops!$E$35:$BL$35,1,$B225)</f>
        <v/>
      </c>
      <c r="AF225" s="153">
        <f>$C225*INDEX(Curves!$V$8:$V$68,AF$4-$B225+1)</f>
        <v/>
      </c>
      <c r="AG225" s="153">
        <f>$C225*INDEX(Curves!$V$8:$V$68,AG$4-$B225+1)</f>
        <v/>
      </c>
      <c r="AH225" s="153">
        <f>$C225*INDEX(Curves!$V$8:$V$68,AH$4-$B225+1)</f>
        <v/>
      </c>
      <c r="AI225" s="153">
        <f>$C225*INDEX(Curves!$V$8:$V$68,AI$4-$B225+1)</f>
        <v/>
      </c>
      <c r="AJ225" s="153">
        <f>$C225*INDEX(Curves!$V$8:$V$68,AJ$4-$B225+1)</f>
        <v/>
      </c>
      <c r="AK225" s="153">
        <f>$C225*INDEX(Curves!$V$8:$V$68,AK$4-$B225+1)</f>
        <v/>
      </c>
      <c r="AL225" s="153">
        <f>$C225*INDEX(Curves!$V$8:$V$68,AL$4-$B225+1)</f>
        <v/>
      </c>
      <c r="AM225" s="153">
        <f>$C225*INDEX(Curves!$V$8:$V$68,AM$4-$B225+1)</f>
        <v/>
      </c>
      <c r="AN225" s="153">
        <f>$C225*INDEX(Curves!$V$8:$V$68,AN$4-$B225+1)</f>
        <v/>
      </c>
      <c r="AO225" s="153">
        <f>$C225*INDEX(Curves!$V$8:$V$68,AO$4-$B225+1)</f>
        <v/>
      </c>
      <c r="AP225" s="153">
        <f>$C225*INDEX(Curves!$V$8:$V$68,AP$4-$B225+1)</f>
        <v/>
      </c>
      <c r="AQ225" s="153">
        <f>$C225*INDEX(Curves!$V$8:$V$68,AQ$4-$B225+1)</f>
        <v/>
      </c>
      <c r="AR225" s="153">
        <f>$C225*INDEX(Curves!$V$8:$V$68,AR$4-$B225+1)</f>
        <v/>
      </c>
      <c r="AS225" s="153">
        <f>$C225*INDEX(Curves!$V$8:$V$68,AS$4-$B225+1)</f>
        <v/>
      </c>
      <c r="AT225" s="153">
        <f>$C225*INDEX(Curves!$V$8:$V$68,AT$4-$B225+1)</f>
        <v/>
      </c>
      <c r="AU225" s="153">
        <f>$C225*INDEX(Curves!$V$8:$V$68,AU$4-$B225+1)</f>
        <v/>
      </c>
      <c r="AV225" s="153">
        <f>$C225*INDEX(Curves!$V$8:$V$68,AV$4-$B225+1)</f>
        <v/>
      </c>
      <c r="AW225" s="153">
        <f>$C225*INDEX(Curves!$V$8:$V$68,AW$4-$B225+1)</f>
        <v/>
      </c>
      <c r="AX225" s="153">
        <f>$C225*INDEX(Curves!$V$8:$V$68,AX$4-$B225+1)</f>
        <v/>
      </c>
      <c r="AY225" s="153">
        <f>$C225*INDEX(Curves!$V$8:$V$68,AY$4-$B225+1)</f>
        <v/>
      </c>
      <c r="AZ225" s="153">
        <f>$C225*INDEX(Curves!$V$8:$V$68,AZ$4-$B225+1)</f>
        <v/>
      </c>
      <c r="BA225" s="153">
        <f>$C225*INDEX(Curves!$V$8:$V$68,BA$4-$B225+1)</f>
        <v/>
      </c>
      <c r="BB225" s="153">
        <f>$C225*INDEX(Curves!$V$8:$V$68,BB$4-$B225+1)</f>
        <v/>
      </c>
      <c r="BC225" s="153">
        <f>$C225*INDEX(Curves!$V$8:$V$68,BC$4-$B225+1)</f>
        <v/>
      </c>
      <c r="BD225" s="153">
        <f>$C225*INDEX(Curves!$V$8:$V$68,BD$4-$B225+1)</f>
        <v/>
      </c>
      <c r="BE225" s="153">
        <f>$C225*INDEX(Curves!$V$8:$V$68,BE$4-$B225+1)</f>
        <v/>
      </c>
      <c r="BF225" s="153">
        <f>$C225*INDEX(Curves!$V$8:$V$68,BF$4-$B225+1)</f>
        <v/>
      </c>
      <c r="BG225" s="153">
        <f>$C225*INDEX(Curves!$V$8:$V$68,BG$4-$B225+1)</f>
        <v/>
      </c>
      <c r="BH225" s="153">
        <f>$C225*INDEX(Curves!$V$8:$V$68,BH$4-$B225+1)</f>
        <v/>
      </c>
      <c r="BI225" s="153">
        <f>$C225*INDEX(Curves!$V$8:$V$68,BI$4-$B225+1)</f>
        <v/>
      </c>
      <c r="BJ225" s="153">
        <f>$C225*INDEX(Curves!$V$8:$V$68,BJ$4-$B225+1)</f>
        <v/>
      </c>
      <c r="BK225" s="153">
        <f>$C225*INDEX(Curves!$V$8:$V$68,BK$4-$B225+1)</f>
        <v/>
      </c>
      <c r="BL225" s="153">
        <f>$C225*INDEX(Curves!$V$8:$V$68,BL$4-$B225+1)</f>
        <v/>
      </c>
    </row>
    <row r="226">
      <c r="A226" s="147" t="inlineStr">
        <is>
          <t>Cohort month 28</t>
        </is>
      </c>
      <c r="B226" s="147" t="n">
        <v>28</v>
      </c>
      <c r="C226" s="41">
        <f>INDEX(Ops!$E$35:$BL$35,1,$B226)</f>
        <v/>
      </c>
      <c r="AG226" s="153">
        <f>$C226*INDEX(Curves!$V$8:$V$68,AG$4-$B226+1)</f>
        <v/>
      </c>
      <c r="AH226" s="153">
        <f>$C226*INDEX(Curves!$V$8:$V$68,AH$4-$B226+1)</f>
        <v/>
      </c>
      <c r="AI226" s="153">
        <f>$C226*INDEX(Curves!$V$8:$V$68,AI$4-$B226+1)</f>
        <v/>
      </c>
      <c r="AJ226" s="153">
        <f>$C226*INDEX(Curves!$V$8:$V$68,AJ$4-$B226+1)</f>
        <v/>
      </c>
      <c r="AK226" s="153">
        <f>$C226*INDEX(Curves!$V$8:$V$68,AK$4-$B226+1)</f>
        <v/>
      </c>
      <c r="AL226" s="153">
        <f>$C226*INDEX(Curves!$V$8:$V$68,AL$4-$B226+1)</f>
        <v/>
      </c>
      <c r="AM226" s="153">
        <f>$C226*INDEX(Curves!$V$8:$V$68,AM$4-$B226+1)</f>
        <v/>
      </c>
      <c r="AN226" s="153">
        <f>$C226*INDEX(Curves!$V$8:$V$68,AN$4-$B226+1)</f>
        <v/>
      </c>
      <c r="AO226" s="153">
        <f>$C226*INDEX(Curves!$V$8:$V$68,AO$4-$B226+1)</f>
        <v/>
      </c>
      <c r="AP226" s="153">
        <f>$C226*INDEX(Curves!$V$8:$V$68,AP$4-$B226+1)</f>
        <v/>
      </c>
      <c r="AQ226" s="153">
        <f>$C226*INDEX(Curves!$V$8:$V$68,AQ$4-$B226+1)</f>
        <v/>
      </c>
      <c r="AR226" s="153">
        <f>$C226*INDEX(Curves!$V$8:$V$68,AR$4-$B226+1)</f>
        <v/>
      </c>
      <c r="AS226" s="153">
        <f>$C226*INDEX(Curves!$V$8:$V$68,AS$4-$B226+1)</f>
        <v/>
      </c>
      <c r="AT226" s="153">
        <f>$C226*INDEX(Curves!$V$8:$V$68,AT$4-$B226+1)</f>
        <v/>
      </c>
      <c r="AU226" s="153">
        <f>$C226*INDEX(Curves!$V$8:$V$68,AU$4-$B226+1)</f>
        <v/>
      </c>
      <c r="AV226" s="153">
        <f>$C226*INDEX(Curves!$V$8:$V$68,AV$4-$B226+1)</f>
        <v/>
      </c>
      <c r="AW226" s="153">
        <f>$C226*INDEX(Curves!$V$8:$V$68,AW$4-$B226+1)</f>
        <v/>
      </c>
      <c r="AX226" s="153">
        <f>$C226*INDEX(Curves!$V$8:$V$68,AX$4-$B226+1)</f>
        <v/>
      </c>
      <c r="AY226" s="153">
        <f>$C226*INDEX(Curves!$V$8:$V$68,AY$4-$B226+1)</f>
        <v/>
      </c>
      <c r="AZ226" s="153">
        <f>$C226*INDEX(Curves!$V$8:$V$68,AZ$4-$B226+1)</f>
        <v/>
      </c>
      <c r="BA226" s="153">
        <f>$C226*INDEX(Curves!$V$8:$V$68,BA$4-$B226+1)</f>
        <v/>
      </c>
      <c r="BB226" s="153">
        <f>$C226*INDEX(Curves!$V$8:$V$68,BB$4-$B226+1)</f>
        <v/>
      </c>
      <c r="BC226" s="153">
        <f>$C226*INDEX(Curves!$V$8:$V$68,BC$4-$B226+1)</f>
        <v/>
      </c>
      <c r="BD226" s="153">
        <f>$C226*INDEX(Curves!$V$8:$V$68,BD$4-$B226+1)</f>
        <v/>
      </c>
      <c r="BE226" s="153">
        <f>$C226*INDEX(Curves!$V$8:$V$68,BE$4-$B226+1)</f>
        <v/>
      </c>
      <c r="BF226" s="153">
        <f>$C226*INDEX(Curves!$V$8:$V$68,BF$4-$B226+1)</f>
        <v/>
      </c>
      <c r="BG226" s="153">
        <f>$C226*INDEX(Curves!$V$8:$V$68,BG$4-$B226+1)</f>
        <v/>
      </c>
      <c r="BH226" s="153">
        <f>$C226*INDEX(Curves!$V$8:$V$68,BH$4-$B226+1)</f>
        <v/>
      </c>
      <c r="BI226" s="153">
        <f>$C226*INDEX(Curves!$V$8:$V$68,BI$4-$B226+1)</f>
        <v/>
      </c>
      <c r="BJ226" s="153">
        <f>$C226*INDEX(Curves!$V$8:$V$68,BJ$4-$B226+1)</f>
        <v/>
      </c>
      <c r="BK226" s="153">
        <f>$C226*INDEX(Curves!$V$8:$V$68,BK$4-$B226+1)</f>
        <v/>
      </c>
      <c r="BL226" s="153">
        <f>$C226*INDEX(Curves!$V$8:$V$68,BL$4-$B226+1)</f>
        <v/>
      </c>
    </row>
    <row r="227">
      <c r="A227" s="147" t="inlineStr">
        <is>
          <t>Cohort month 29</t>
        </is>
      </c>
      <c r="B227" s="147" t="n">
        <v>29</v>
      </c>
      <c r="C227" s="41">
        <f>INDEX(Ops!$E$35:$BL$35,1,$B227)</f>
        <v/>
      </c>
      <c r="AH227" s="153">
        <f>$C227*INDEX(Curves!$V$8:$V$68,AH$4-$B227+1)</f>
        <v/>
      </c>
      <c r="AI227" s="153">
        <f>$C227*INDEX(Curves!$V$8:$V$68,AI$4-$B227+1)</f>
        <v/>
      </c>
      <c r="AJ227" s="153">
        <f>$C227*INDEX(Curves!$V$8:$V$68,AJ$4-$B227+1)</f>
        <v/>
      </c>
      <c r="AK227" s="153">
        <f>$C227*INDEX(Curves!$V$8:$V$68,AK$4-$B227+1)</f>
        <v/>
      </c>
      <c r="AL227" s="153">
        <f>$C227*INDEX(Curves!$V$8:$V$68,AL$4-$B227+1)</f>
        <v/>
      </c>
      <c r="AM227" s="153">
        <f>$C227*INDEX(Curves!$V$8:$V$68,AM$4-$B227+1)</f>
        <v/>
      </c>
      <c r="AN227" s="153">
        <f>$C227*INDEX(Curves!$V$8:$V$68,AN$4-$B227+1)</f>
        <v/>
      </c>
      <c r="AO227" s="153">
        <f>$C227*INDEX(Curves!$V$8:$V$68,AO$4-$B227+1)</f>
        <v/>
      </c>
      <c r="AP227" s="153">
        <f>$C227*INDEX(Curves!$V$8:$V$68,AP$4-$B227+1)</f>
        <v/>
      </c>
      <c r="AQ227" s="153">
        <f>$C227*INDEX(Curves!$V$8:$V$68,AQ$4-$B227+1)</f>
        <v/>
      </c>
      <c r="AR227" s="153">
        <f>$C227*INDEX(Curves!$V$8:$V$68,AR$4-$B227+1)</f>
        <v/>
      </c>
      <c r="AS227" s="153">
        <f>$C227*INDEX(Curves!$V$8:$V$68,AS$4-$B227+1)</f>
        <v/>
      </c>
      <c r="AT227" s="153">
        <f>$C227*INDEX(Curves!$V$8:$V$68,AT$4-$B227+1)</f>
        <v/>
      </c>
      <c r="AU227" s="153">
        <f>$C227*INDEX(Curves!$V$8:$V$68,AU$4-$B227+1)</f>
        <v/>
      </c>
      <c r="AV227" s="153">
        <f>$C227*INDEX(Curves!$V$8:$V$68,AV$4-$B227+1)</f>
        <v/>
      </c>
      <c r="AW227" s="153">
        <f>$C227*INDEX(Curves!$V$8:$V$68,AW$4-$B227+1)</f>
        <v/>
      </c>
      <c r="AX227" s="153">
        <f>$C227*INDEX(Curves!$V$8:$V$68,AX$4-$B227+1)</f>
        <v/>
      </c>
      <c r="AY227" s="153">
        <f>$C227*INDEX(Curves!$V$8:$V$68,AY$4-$B227+1)</f>
        <v/>
      </c>
      <c r="AZ227" s="153">
        <f>$C227*INDEX(Curves!$V$8:$V$68,AZ$4-$B227+1)</f>
        <v/>
      </c>
      <c r="BA227" s="153">
        <f>$C227*INDEX(Curves!$V$8:$V$68,BA$4-$B227+1)</f>
        <v/>
      </c>
      <c r="BB227" s="153">
        <f>$C227*INDEX(Curves!$V$8:$V$68,BB$4-$B227+1)</f>
        <v/>
      </c>
      <c r="BC227" s="153">
        <f>$C227*INDEX(Curves!$V$8:$V$68,BC$4-$B227+1)</f>
        <v/>
      </c>
      <c r="BD227" s="153">
        <f>$C227*INDEX(Curves!$V$8:$V$68,BD$4-$B227+1)</f>
        <v/>
      </c>
      <c r="BE227" s="153">
        <f>$C227*INDEX(Curves!$V$8:$V$68,BE$4-$B227+1)</f>
        <v/>
      </c>
      <c r="BF227" s="153">
        <f>$C227*INDEX(Curves!$V$8:$V$68,BF$4-$B227+1)</f>
        <v/>
      </c>
      <c r="BG227" s="153">
        <f>$C227*INDEX(Curves!$V$8:$V$68,BG$4-$B227+1)</f>
        <v/>
      </c>
      <c r="BH227" s="153">
        <f>$C227*INDEX(Curves!$V$8:$V$68,BH$4-$B227+1)</f>
        <v/>
      </c>
      <c r="BI227" s="153">
        <f>$C227*INDEX(Curves!$V$8:$V$68,BI$4-$B227+1)</f>
        <v/>
      </c>
      <c r="BJ227" s="153">
        <f>$C227*INDEX(Curves!$V$8:$V$68,BJ$4-$B227+1)</f>
        <v/>
      </c>
      <c r="BK227" s="153">
        <f>$C227*INDEX(Curves!$V$8:$V$68,BK$4-$B227+1)</f>
        <v/>
      </c>
      <c r="BL227" s="153">
        <f>$C227*INDEX(Curves!$V$8:$V$68,BL$4-$B227+1)</f>
        <v/>
      </c>
    </row>
    <row r="228">
      <c r="A228" s="147" t="inlineStr">
        <is>
          <t>Cohort month 30</t>
        </is>
      </c>
      <c r="B228" s="147" t="n">
        <v>30</v>
      </c>
      <c r="C228" s="41">
        <f>INDEX(Ops!$E$35:$BL$35,1,$B228)</f>
        <v/>
      </c>
      <c r="AI228" s="153">
        <f>$C228*INDEX(Curves!$V$8:$V$68,AI$4-$B228+1)</f>
        <v/>
      </c>
      <c r="AJ228" s="153">
        <f>$C228*INDEX(Curves!$V$8:$V$68,AJ$4-$B228+1)</f>
        <v/>
      </c>
      <c r="AK228" s="153">
        <f>$C228*INDEX(Curves!$V$8:$V$68,AK$4-$B228+1)</f>
        <v/>
      </c>
      <c r="AL228" s="153">
        <f>$C228*INDEX(Curves!$V$8:$V$68,AL$4-$B228+1)</f>
        <v/>
      </c>
      <c r="AM228" s="153">
        <f>$C228*INDEX(Curves!$V$8:$V$68,AM$4-$B228+1)</f>
        <v/>
      </c>
      <c r="AN228" s="153">
        <f>$C228*INDEX(Curves!$V$8:$V$68,AN$4-$B228+1)</f>
        <v/>
      </c>
      <c r="AO228" s="153">
        <f>$C228*INDEX(Curves!$V$8:$V$68,AO$4-$B228+1)</f>
        <v/>
      </c>
      <c r="AP228" s="153">
        <f>$C228*INDEX(Curves!$V$8:$V$68,AP$4-$B228+1)</f>
        <v/>
      </c>
      <c r="AQ228" s="153">
        <f>$C228*INDEX(Curves!$V$8:$V$68,AQ$4-$B228+1)</f>
        <v/>
      </c>
      <c r="AR228" s="153">
        <f>$C228*INDEX(Curves!$V$8:$V$68,AR$4-$B228+1)</f>
        <v/>
      </c>
      <c r="AS228" s="153">
        <f>$C228*INDEX(Curves!$V$8:$V$68,AS$4-$B228+1)</f>
        <v/>
      </c>
      <c r="AT228" s="153">
        <f>$C228*INDEX(Curves!$V$8:$V$68,AT$4-$B228+1)</f>
        <v/>
      </c>
      <c r="AU228" s="153">
        <f>$C228*INDEX(Curves!$V$8:$V$68,AU$4-$B228+1)</f>
        <v/>
      </c>
      <c r="AV228" s="153">
        <f>$C228*INDEX(Curves!$V$8:$V$68,AV$4-$B228+1)</f>
        <v/>
      </c>
      <c r="AW228" s="153">
        <f>$C228*INDEX(Curves!$V$8:$V$68,AW$4-$B228+1)</f>
        <v/>
      </c>
      <c r="AX228" s="153">
        <f>$C228*INDEX(Curves!$V$8:$V$68,AX$4-$B228+1)</f>
        <v/>
      </c>
      <c r="AY228" s="153">
        <f>$C228*INDEX(Curves!$V$8:$V$68,AY$4-$B228+1)</f>
        <v/>
      </c>
      <c r="AZ228" s="153">
        <f>$C228*INDEX(Curves!$V$8:$V$68,AZ$4-$B228+1)</f>
        <v/>
      </c>
      <c r="BA228" s="153">
        <f>$C228*INDEX(Curves!$V$8:$V$68,BA$4-$B228+1)</f>
        <v/>
      </c>
      <c r="BB228" s="153">
        <f>$C228*INDEX(Curves!$V$8:$V$68,BB$4-$B228+1)</f>
        <v/>
      </c>
      <c r="BC228" s="153">
        <f>$C228*INDEX(Curves!$V$8:$V$68,BC$4-$B228+1)</f>
        <v/>
      </c>
      <c r="BD228" s="153">
        <f>$C228*INDEX(Curves!$V$8:$V$68,BD$4-$B228+1)</f>
        <v/>
      </c>
      <c r="BE228" s="153">
        <f>$C228*INDEX(Curves!$V$8:$V$68,BE$4-$B228+1)</f>
        <v/>
      </c>
      <c r="BF228" s="153">
        <f>$C228*INDEX(Curves!$V$8:$V$68,BF$4-$B228+1)</f>
        <v/>
      </c>
      <c r="BG228" s="153">
        <f>$C228*INDEX(Curves!$V$8:$V$68,BG$4-$B228+1)</f>
        <v/>
      </c>
      <c r="BH228" s="153">
        <f>$C228*INDEX(Curves!$V$8:$V$68,BH$4-$B228+1)</f>
        <v/>
      </c>
      <c r="BI228" s="153">
        <f>$C228*INDEX(Curves!$V$8:$V$68,BI$4-$B228+1)</f>
        <v/>
      </c>
      <c r="BJ228" s="153">
        <f>$C228*INDEX(Curves!$V$8:$V$68,BJ$4-$B228+1)</f>
        <v/>
      </c>
      <c r="BK228" s="153">
        <f>$C228*INDEX(Curves!$V$8:$V$68,BK$4-$B228+1)</f>
        <v/>
      </c>
      <c r="BL228" s="153">
        <f>$C228*INDEX(Curves!$V$8:$V$68,BL$4-$B228+1)</f>
        <v/>
      </c>
    </row>
    <row r="229">
      <c r="A229" s="147" t="inlineStr">
        <is>
          <t>Cohort month 31</t>
        </is>
      </c>
      <c r="B229" s="147" t="n">
        <v>31</v>
      </c>
      <c r="C229" s="41">
        <f>INDEX(Ops!$E$35:$BL$35,1,$B229)</f>
        <v/>
      </c>
      <c r="AJ229" s="153">
        <f>$C229*INDEX(Curves!$V$8:$V$68,AJ$4-$B229+1)</f>
        <v/>
      </c>
      <c r="AK229" s="153">
        <f>$C229*INDEX(Curves!$V$8:$V$68,AK$4-$B229+1)</f>
        <v/>
      </c>
      <c r="AL229" s="153">
        <f>$C229*INDEX(Curves!$V$8:$V$68,AL$4-$B229+1)</f>
        <v/>
      </c>
      <c r="AM229" s="153">
        <f>$C229*INDEX(Curves!$V$8:$V$68,AM$4-$B229+1)</f>
        <v/>
      </c>
      <c r="AN229" s="153">
        <f>$C229*INDEX(Curves!$V$8:$V$68,AN$4-$B229+1)</f>
        <v/>
      </c>
      <c r="AO229" s="153">
        <f>$C229*INDEX(Curves!$V$8:$V$68,AO$4-$B229+1)</f>
        <v/>
      </c>
      <c r="AP229" s="153">
        <f>$C229*INDEX(Curves!$V$8:$V$68,AP$4-$B229+1)</f>
        <v/>
      </c>
      <c r="AQ229" s="153">
        <f>$C229*INDEX(Curves!$V$8:$V$68,AQ$4-$B229+1)</f>
        <v/>
      </c>
      <c r="AR229" s="153">
        <f>$C229*INDEX(Curves!$V$8:$V$68,AR$4-$B229+1)</f>
        <v/>
      </c>
      <c r="AS229" s="153">
        <f>$C229*INDEX(Curves!$V$8:$V$68,AS$4-$B229+1)</f>
        <v/>
      </c>
      <c r="AT229" s="153">
        <f>$C229*INDEX(Curves!$V$8:$V$68,AT$4-$B229+1)</f>
        <v/>
      </c>
      <c r="AU229" s="153">
        <f>$C229*INDEX(Curves!$V$8:$V$68,AU$4-$B229+1)</f>
        <v/>
      </c>
      <c r="AV229" s="153">
        <f>$C229*INDEX(Curves!$V$8:$V$68,AV$4-$B229+1)</f>
        <v/>
      </c>
      <c r="AW229" s="153">
        <f>$C229*INDEX(Curves!$V$8:$V$68,AW$4-$B229+1)</f>
        <v/>
      </c>
      <c r="AX229" s="153">
        <f>$C229*INDEX(Curves!$V$8:$V$68,AX$4-$B229+1)</f>
        <v/>
      </c>
      <c r="AY229" s="153">
        <f>$C229*INDEX(Curves!$V$8:$V$68,AY$4-$B229+1)</f>
        <v/>
      </c>
      <c r="AZ229" s="153">
        <f>$C229*INDEX(Curves!$V$8:$V$68,AZ$4-$B229+1)</f>
        <v/>
      </c>
      <c r="BA229" s="153">
        <f>$C229*INDEX(Curves!$V$8:$V$68,BA$4-$B229+1)</f>
        <v/>
      </c>
      <c r="BB229" s="153">
        <f>$C229*INDEX(Curves!$V$8:$V$68,BB$4-$B229+1)</f>
        <v/>
      </c>
      <c r="BC229" s="153">
        <f>$C229*INDEX(Curves!$V$8:$V$68,BC$4-$B229+1)</f>
        <v/>
      </c>
      <c r="BD229" s="153">
        <f>$C229*INDEX(Curves!$V$8:$V$68,BD$4-$B229+1)</f>
        <v/>
      </c>
      <c r="BE229" s="153">
        <f>$C229*INDEX(Curves!$V$8:$V$68,BE$4-$B229+1)</f>
        <v/>
      </c>
      <c r="BF229" s="153">
        <f>$C229*INDEX(Curves!$V$8:$V$68,BF$4-$B229+1)</f>
        <v/>
      </c>
      <c r="BG229" s="153">
        <f>$C229*INDEX(Curves!$V$8:$V$68,BG$4-$B229+1)</f>
        <v/>
      </c>
      <c r="BH229" s="153">
        <f>$C229*INDEX(Curves!$V$8:$V$68,BH$4-$B229+1)</f>
        <v/>
      </c>
      <c r="BI229" s="153">
        <f>$C229*INDEX(Curves!$V$8:$V$68,BI$4-$B229+1)</f>
        <v/>
      </c>
      <c r="BJ229" s="153">
        <f>$C229*INDEX(Curves!$V$8:$V$68,BJ$4-$B229+1)</f>
        <v/>
      </c>
      <c r="BK229" s="153">
        <f>$C229*INDEX(Curves!$V$8:$V$68,BK$4-$B229+1)</f>
        <v/>
      </c>
      <c r="BL229" s="153">
        <f>$C229*INDEX(Curves!$V$8:$V$68,BL$4-$B229+1)</f>
        <v/>
      </c>
    </row>
    <row r="230">
      <c r="A230" s="147" t="inlineStr">
        <is>
          <t>Cohort month 32</t>
        </is>
      </c>
      <c r="B230" s="147" t="n">
        <v>32</v>
      </c>
      <c r="C230" s="41">
        <f>INDEX(Ops!$E$35:$BL$35,1,$B230)</f>
        <v/>
      </c>
      <c r="AK230" s="153">
        <f>$C230*INDEX(Curves!$V$8:$V$68,AK$4-$B230+1)</f>
        <v/>
      </c>
      <c r="AL230" s="153">
        <f>$C230*INDEX(Curves!$V$8:$V$68,AL$4-$B230+1)</f>
        <v/>
      </c>
      <c r="AM230" s="153">
        <f>$C230*INDEX(Curves!$V$8:$V$68,AM$4-$B230+1)</f>
        <v/>
      </c>
      <c r="AN230" s="153">
        <f>$C230*INDEX(Curves!$V$8:$V$68,AN$4-$B230+1)</f>
        <v/>
      </c>
      <c r="AO230" s="153">
        <f>$C230*INDEX(Curves!$V$8:$V$68,AO$4-$B230+1)</f>
        <v/>
      </c>
      <c r="AP230" s="153">
        <f>$C230*INDEX(Curves!$V$8:$V$68,AP$4-$B230+1)</f>
        <v/>
      </c>
      <c r="AQ230" s="153">
        <f>$C230*INDEX(Curves!$V$8:$V$68,AQ$4-$B230+1)</f>
        <v/>
      </c>
      <c r="AR230" s="153">
        <f>$C230*INDEX(Curves!$V$8:$V$68,AR$4-$B230+1)</f>
        <v/>
      </c>
      <c r="AS230" s="153">
        <f>$C230*INDEX(Curves!$V$8:$V$68,AS$4-$B230+1)</f>
        <v/>
      </c>
      <c r="AT230" s="153">
        <f>$C230*INDEX(Curves!$V$8:$V$68,AT$4-$B230+1)</f>
        <v/>
      </c>
      <c r="AU230" s="153">
        <f>$C230*INDEX(Curves!$V$8:$V$68,AU$4-$B230+1)</f>
        <v/>
      </c>
      <c r="AV230" s="153">
        <f>$C230*INDEX(Curves!$V$8:$V$68,AV$4-$B230+1)</f>
        <v/>
      </c>
      <c r="AW230" s="153">
        <f>$C230*INDEX(Curves!$V$8:$V$68,AW$4-$B230+1)</f>
        <v/>
      </c>
      <c r="AX230" s="153">
        <f>$C230*INDEX(Curves!$V$8:$V$68,AX$4-$B230+1)</f>
        <v/>
      </c>
      <c r="AY230" s="153">
        <f>$C230*INDEX(Curves!$V$8:$V$68,AY$4-$B230+1)</f>
        <v/>
      </c>
      <c r="AZ230" s="153">
        <f>$C230*INDEX(Curves!$V$8:$V$68,AZ$4-$B230+1)</f>
        <v/>
      </c>
      <c r="BA230" s="153">
        <f>$C230*INDEX(Curves!$V$8:$V$68,BA$4-$B230+1)</f>
        <v/>
      </c>
      <c r="BB230" s="153">
        <f>$C230*INDEX(Curves!$V$8:$V$68,BB$4-$B230+1)</f>
        <v/>
      </c>
      <c r="BC230" s="153">
        <f>$C230*INDEX(Curves!$V$8:$V$68,BC$4-$B230+1)</f>
        <v/>
      </c>
      <c r="BD230" s="153">
        <f>$C230*INDEX(Curves!$V$8:$V$68,BD$4-$B230+1)</f>
        <v/>
      </c>
      <c r="BE230" s="153">
        <f>$C230*INDEX(Curves!$V$8:$V$68,BE$4-$B230+1)</f>
        <v/>
      </c>
      <c r="BF230" s="153">
        <f>$C230*INDEX(Curves!$V$8:$V$68,BF$4-$B230+1)</f>
        <v/>
      </c>
      <c r="BG230" s="153">
        <f>$C230*INDEX(Curves!$V$8:$V$68,BG$4-$B230+1)</f>
        <v/>
      </c>
      <c r="BH230" s="153">
        <f>$C230*INDEX(Curves!$V$8:$V$68,BH$4-$B230+1)</f>
        <v/>
      </c>
      <c r="BI230" s="153">
        <f>$C230*INDEX(Curves!$V$8:$V$68,BI$4-$B230+1)</f>
        <v/>
      </c>
      <c r="BJ230" s="153">
        <f>$C230*INDEX(Curves!$V$8:$V$68,BJ$4-$B230+1)</f>
        <v/>
      </c>
      <c r="BK230" s="153">
        <f>$C230*INDEX(Curves!$V$8:$V$68,BK$4-$B230+1)</f>
        <v/>
      </c>
      <c r="BL230" s="153">
        <f>$C230*INDEX(Curves!$V$8:$V$68,BL$4-$B230+1)</f>
        <v/>
      </c>
    </row>
    <row r="231">
      <c r="A231" s="147" t="inlineStr">
        <is>
          <t>Cohort month 33</t>
        </is>
      </c>
      <c r="B231" s="147" t="n">
        <v>33</v>
      </c>
      <c r="C231" s="41">
        <f>INDEX(Ops!$E$35:$BL$35,1,$B231)</f>
        <v/>
      </c>
      <c r="AL231" s="153">
        <f>$C231*INDEX(Curves!$V$8:$V$68,AL$4-$B231+1)</f>
        <v/>
      </c>
      <c r="AM231" s="153">
        <f>$C231*INDEX(Curves!$V$8:$V$68,AM$4-$B231+1)</f>
        <v/>
      </c>
      <c r="AN231" s="153">
        <f>$C231*INDEX(Curves!$V$8:$V$68,AN$4-$B231+1)</f>
        <v/>
      </c>
      <c r="AO231" s="153">
        <f>$C231*INDEX(Curves!$V$8:$V$68,AO$4-$B231+1)</f>
        <v/>
      </c>
      <c r="AP231" s="153">
        <f>$C231*INDEX(Curves!$V$8:$V$68,AP$4-$B231+1)</f>
        <v/>
      </c>
      <c r="AQ231" s="153">
        <f>$C231*INDEX(Curves!$V$8:$V$68,AQ$4-$B231+1)</f>
        <v/>
      </c>
      <c r="AR231" s="153">
        <f>$C231*INDEX(Curves!$V$8:$V$68,AR$4-$B231+1)</f>
        <v/>
      </c>
      <c r="AS231" s="153">
        <f>$C231*INDEX(Curves!$V$8:$V$68,AS$4-$B231+1)</f>
        <v/>
      </c>
      <c r="AT231" s="153">
        <f>$C231*INDEX(Curves!$V$8:$V$68,AT$4-$B231+1)</f>
        <v/>
      </c>
      <c r="AU231" s="153">
        <f>$C231*INDEX(Curves!$V$8:$V$68,AU$4-$B231+1)</f>
        <v/>
      </c>
      <c r="AV231" s="153">
        <f>$C231*INDEX(Curves!$V$8:$V$68,AV$4-$B231+1)</f>
        <v/>
      </c>
      <c r="AW231" s="153">
        <f>$C231*INDEX(Curves!$V$8:$V$68,AW$4-$B231+1)</f>
        <v/>
      </c>
      <c r="AX231" s="153">
        <f>$C231*INDEX(Curves!$V$8:$V$68,AX$4-$B231+1)</f>
        <v/>
      </c>
      <c r="AY231" s="153">
        <f>$C231*INDEX(Curves!$V$8:$V$68,AY$4-$B231+1)</f>
        <v/>
      </c>
      <c r="AZ231" s="153">
        <f>$C231*INDEX(Curves!$V$8:$V$68,AZ$4-$B231+1)</f>
        <v/>
      </c>
      <c r="BA231" s="153">
        <f>$C231*INDEX(Curves!$V$8:$V$68,BA$4-$B231+1)</f>
        <v/>
      </c>
      <c r="BB231" s="153">
        <f>$C231*INDEX(Curves!$V$8:$V$68,BB$4-$B231+1)</f>
        <v/>
      </c>
      <c r="BC231" s="153">
        <f>$C231*INDEX(Curves!$V$8:$V$68,BC$4-$B231+1)</f>
        <v/>
      </c>
      <c r="BD231" s="153">
        <f>$C231*INDEX(Curves!$V$8:$V$68,BD$4-$B231+1)</f>
        <v/>
      </c>
      <c r="BE231" s="153">
        <f>$C231*INDEX(Curves!$V$8:$V$68,BE$4-$B231+1)</f>
        <v/>
      </c>
      <c r="BF231" s="153">
        <f>$C231*INDEX(Curves!$V$8:$V$68,BF$4-$B231+1)</f>
        <v/>
      </c>
      <c r="BG231" s="153">
        <f>$C231*INDEX(Curves!$V$8:$V$68,BG$4-$B231+1)</f>
        <v/>
      </c>
      <c r="BH231" s="153">
        <f>$C231*INDEX(Curves!$V$8:$V$68,BH$4-$B231+1)</f>
        <v/>
      </c>
      <c r="BI231" s="153">
        <f>$C231*INDEX(Curves!$V$8:$V$68,BI$4-$B231+1)</f>
        <v/>
      </c>
      <c r="BJ231" s="153">
        <f>$C231*INDEX(Curves!$V$8:$V$68,BJ$4-$B231+1)</f>
        <v/>
      </c>
      <c r="BK231" s="153">
        <f>$C231*INDEX(Curves!$V$8:$V$68,BK$4-$B231+1)</f>
        <v/>
      </c>
      <c r="BL231" s="153">
        <f>$C231*INDEX(Curves!$V$8:$V$68,BL$4-$B231+1)</f>
        <v/>
      </c>
    </row>
    <row r="232">
      <c r="A232" s="147" t="inlineStr">
        <is>
          <t>Cohort month 34</t>
        </is>
      </c>
      <c r="B232" s="147" t="n">
        <v>34</v>
      </c>
      <c r="C232" s="41">
        <f>INDEX(Ops!$E$35:$BL$35,1,$B232)</f>
        <v/>
      </c>
      <c r="AM232" s="153">
        <f>$C232*INDEX(Curves!$V$8:$V$68,AM$4-$B232+1)</f>
        <v/>
      </c>
      <c r="AN232" s="153">
        <f>$C232*INDEX(Curves!$V$8:$V$68,AN$4-$B232+1)</f>
        <v/>
      </c>
      <c r="AO232" s="153">
        <f>$C232*INDEX(Curves!$V$8:$V$68,AO$4-$B232+1)</f>
        <v/>
      </c>
      <c r="AP232" s="153">
        <f>$C232*INDEX(Curves!$V$8:$V$68,AP$4-$B232+1)</f>
        <v/>
      </c>
      <c r="AQ232" s="153">
        <f>$C232*INDEX(Curves!$V$8:$V$68,AQ$4-$B232+1)</f>
        <v/>
      </c>
      <c r="AR232" s="153">
        <f>$C232*INDEX(Curves!$V$8:$V$68,AR$4-$B232+1)</f>
        <v/>
      </c>
      <c r="AS232" s="153">
        <f>$C232*INDEX(Curves!$V$8:$V$68,AS$4-$B232+1)</f>
        <v/>
      </c>
      <c r="AT232" s="153">
        <f>$C232*INDEX(Curves!$V$8:$V$68,AT$4-$B232+1)</f>
        <v/>
      </c>
      <c r="AU232" s="153">
        <f>$C232*INDEX(Curves!$V$8:$V$68,AU$4-$B232+1)</f>
        <v/>
      </c>
      <c r="AV232" s="153">
        <f>$C232*INDEX(Curves!$V$8:$V$68,AV$4-$B232+1)</f>
        <v/>
      </c>
      <c r="AW232" s="153">
        <f>$C232*INDEX(Curves!$V$8:$V$68,AW$4-$B232+1)</f>
        <v/>
      </c>
      <c r="AX232" s="153">
        <f>$C232*INDEX(Curves!$V$8:$V$68,AX$4-$B232+1)</f>
        <v/>
      </c>
      <c r="AY232" s="153">
        <f>$C232*INDEX(Curves!$V$8:$V$68,AY$4-$B232+1)</f>
        <v/>
      </c>
      <c r="AZ232" s="153">
        <f>$C232*INDEX(Curves!$V$8:$V$68,AZ$4-$B232+1)</f>
        <v/>
      </c>
      <c r="BA232" s="153">
        <f>$C232*INDEX(Curves!$V$8:$V$68,BA$4-$B232+1)</f>
        <v/>
      </c>
      <c r="BB232" s="153">
        <f>$C232*INDEX(Curves!$V$8:$V$68,BB$4-$B232+1)</f>
        <v/>
      </c>
      <c r="BC232" s="153">
        <f>$C232*INDEX(Curves!$V$8:$V$68,BC$4-$B232+1)</f>
        <v/>
      </c>
      <c r="BD232" s="153">
        <f>$C232*INDEX(Curves!$V$8:$V$68,BD$4-$B232+1)</f>
        <v/>
      </c>
      <c r="BE232" s="153">
        <f>$C232*INDEX(Curves!$V$8:$V$68,BE$4-$B232+1)</f>
        <v/>
      </c>
      <c r="BF232" s="153">
        <f>$C232*INDEX(Curves!$V$8:$V$68,BF$4-$B232+1)</f>
        <v/>
      </c>
      <c r="BG232" s="153">
        <f>$C232*INDEX(Curves!$V$8:$V$68,BG$4-$B232+1)</f>
        <v/>
      </c>
      <c r="BH232" s="153">
        <f>$C232*INDEX(Curves!$V$8:$V$68,BH$4-$B232+1)</f>
        <v/>
      </c>
      <c r="BI232" s="153">
        <f>$C232*INDEX(Curves!$V$8:$V$68,BI$4-$B232+1)</f>
        <v/>
      </c>
      <c r="BJ232" s="153">
        <f>$C232*INDEX(Curves!$V$8:$V$68,BJ$4-$B232+1)</f>
        <v/>
      </c>
      <c r="BK232" s="153">
        <f>$C232*INDEX(Curves!$V$8:$V$68,BK$4-$B232+1)</f>
        <v/>
      </c>
      <c r="BL232" s="153">
        <f>$C232*INDEX(Curves!$V$8:$V$68,BL$4-$B232+1)</f>
        <v/>
      </c>
    </row>
    <row r="233">
      <c r="A233" s="147" t="inlineStr">
        <is>
          <t>Cohort month 35</t>
        </is>
      </c>
      <c r="B233" s="147" t="n">
        <v>35</v>
      </c>
      <c r="C233" s="41">
        <f>INDEX(Ops!$E$35:$BL$35,1,$B233)</f>
        <v/>
      </c>
      <c r="AN233" s="153">
        <f>$C233*INDEX(Curves!$V$8:$V$68,AN$4-$B233+1)</f>
        <v/>
      </c>
      <c r="AO233" s="153">
        <f>$C233*INDEX(Curves!$V$8:$V$68,AO$4-$B233+1)</f>
        <v/>
      </c>
      <c r="AP233" s="153">
        <f>$C233*INDEX(Curves!$V$8:$V$68,AP$4-$B233+1)</f>
        <v/>
      </c>
      <c r="AQ233" s="153">
        <f>$C233*INDEX(Curves!$V$8:$V$68,AQ$4-$B233+1)</f>
        <v/>
      </c>
      <c r="AR233" s="153">
        <f>$C233*INDEX(Curves!$V$8:$V$68,AR$4-$B233+1)</f>
        <v/>
      </c>
      <c r="AS233" s="153">
        <f>$C233*INDEX(Curves!$V$8:$V$68,AS$4-$B233+1)</f>
        <v/>
      </c>
      <c r="AT233" s="153">
        <f>$C233*INDEX(Curves!$V$8:$V$68,AT$4-$B233+1)</f>
        <v/>
      </c>
      <c r="AU233" s="153">
        <f>$C233*INDEX(Curves!$V$8:$V$68,AU$4-$B233+1)</f>
        <v/>
      </c>
      <c r="AV233" s="153">
        <f>$C233*INDEX(Curves!$V$8:$V$68,AV$4-$B233+1)</f>
        <v/>
      </c>
      <c r="AW233" s="153">
        <f>$C233*INDEX(Curves!$V$8:$V$68,AW$4-$B233+1)</f>
        <v/>
      </c>
      <c r="AX233" s="153">
        <f>$C233*INDEX(Curves!$V$8:$V$68,AX$4-$B233+1)</f>
        <v/>
      </c>
      <c r="AY233" s="153">
        <f>$C233*INDEX(Curves!$V$8:$V$68,AY$4-$B233+1)</f>
        <v/>
      </c>
      <c r="AZ233" s="153">
        <f>$C233*INDEX(Curves!$V$8:$V$68,AZ$4-$B233+1)</f>
        <v/>
      </c>
      <c r="BA233" s="153">
        <f>$C233*INDEX(Curves!$V$8:$V$68,BA$4-$B233+1)</f>
        <v/>
      </c>
      <c r="BB233" s="153">
        <f>$C233*INDEX(Curves!$V$8:$V$68,BB$4-$B233+1)</f>
        <v/>
      </c>
      <c r="BC233" s="153">
        <f>$C233*INDEX(Curves!$V$8:$V$68,BC$4-$B233+1)</f>
        <v/>
      </c>
      <c r="BD233" s="153">
        <f>$C233*INDEX(Curves!$V$8:$V$68,BD$4-$B233+1)</f>
        <v/>
      </c>
      <c r="BE233" s="153">
        <f>$C233*INDEX(Curves!$V$8:$V$68,BE$4-$B233+1)</f>
        <v/>
      </c>
      <c r="BF233" s="153">
        <f>$C233*INDEX(Curves!$V$8:$V$68,BF$4-$B233+1)</f>
        <v/>
      </c>
      <c r="BG233" s="153">
        <f>$C233*INDEX(Curves!$V$8:$V$68,BG$4-$B233+1)</f>
        <v/>
      </c>
      <c r="BH233" s="153">
        <f>$C233*INDEX(Curves!$V$8:$V$68,BH$4-$B233+1)</f>
        <v/>
      </c>
      <c r="BI233" s="153">
        <f>$C233*INDEX(Curves!$V$8:$V$68,BI$4-$B233+1)</f>
        <v/>
      </c>
      <c r="BJ233" s="153">
        <f>$C233*INDEX(Curves!$V$8:$V$68,BJ$4-$B233+1)</f>
        <v/>
      </c>
      <c r="BK233" s="153">
        <f>$C233*INDEX(Curves!$V$8:$V$68,BK$4-$B233+1)</f>
        <v/>
      </c>
      <c r="BL233" s="153">
        <f>$C233*INDEX(Curves!$V$8:$V$68,BL$4-$B233+1)</f>
        <v/>
      </c>
    </row>
    <row r="234">
      <c r="A234" s="147" t="inlineStr">
        <is>
          <t>Cohort month 36</t>
        </is>
      </c>
      <c r="B234" s="147" t="n">
        <v>36</v>
      </c>
      <c r="C234" s="41">
        <f>INDEX(Ops!$E$35:$BL$35,1,$B234)</f>
        <v/>
      </c>
      <c r="AO234" s="153">
        <f>$C234*INDEX(Curves!$V$8:$V$68,AO$4-$B234+1)</f>
        <v/>
      </c>
      <c r="AP234" s="153">
        <f>$C234*INDEX(Curves!$V$8:$V$68,AP$4-$B234+1)</f>
        <v/>
      </c>
      <c r="AQ234" s="153">
        <f>$C234*INDEX(Curves!$V$8:$V$68,AQ$4-$B234+1)</f>
        <v/>
      </c>
      <c r="AR234" s="153">
        <f>$C234*INDEX(Curves!$V$8:$V$68,AR$4-$B234+1)</f>
        <v/>
      </c>
      <c r="AS234" s="153">
        <f>$C234*INDEX(Curves!$V$8:$V$68,AS$4-$B234+1)</f>
        <v/>
      </c>
      <c r="AT234" s="153">
        <f>$C234*INDEX(Curves!$V$8:$V$68,AT$4-$B234+1)</f>
        <v/>
      </c>
      <c r="AU234" s="153">
        <f>$C234*INDEX(Curves!$V$8:$V$68,AU$4-$B234+1)</f>
        <v/>
      </c>
      <c r="AV234" s="153">
        <f>$C234*INDEX(Curves!$V$8:$V$68,AV$4-$B234+1)</f>
        <v/>
      </c>
      <c r="AW234" s="153">
        <f>$C234*INDEX(Curves!$V$8:$V$68,AW$4-$B234+1)</f>
        <v/>
      </c>
      <c r="AX234" s="153">
        <f>$C234*INDEX(Curves!$V$8:$V$68,AX$4-$B234+1)</f>
        <v/>
      </c>
      <c r="AY234" s="153">
        <f>$C234*INDEX(Curves!$V$8:$V$68,AY$4-$B234+1)</f>
        <v/>
      </c>
      <c r="AZ234" s="153">
        <f>$C234*INDEX(Curves!$V$8:$V$68,AZ$4-$B234+1)</f>
        <v/>
      </c>
      <c r="BA234" s="153">
        <f>$C234*INDEX(Curves!$V$8:$V$68,BA$4-$B234+1)</f>
        <v/>
      </c>
      <c r="BB234" s="153">
        <f>$C234*INDEX(Curves!$V$8:$V$68,BB$4-$B234+1)</f>
        <v/>
      </c>
      <c r="BC234" s="153">
        <f>$C234*INDEX(Curves!$V$8:$V$68,BC$4-$B234+1)</f>
        <v/>
      </c>
      <c r="BD234" s="153">
        <f>$C234*INDEX(Curves!$V$8:$V$68,BD$4-$B234+1)</f>
        <v/>
      </c>
      <c r="BE234" s="153">
        <f>$C234*INDEX(Curves!$V$8:$V$68,BE$4-$B234+1)</f>
        <v/>
      </c>
      <c r="BF234" s="153">
        <f>$C234*INDEX(Curves!$V$8:$V$68,BF$4-$B234+1)</f>
        <v/>
      </c>
      <c r="BG234" s="153">
        <f>$C234*INDEX(Curves!$V$8:$V$68,BG$4-$B234+1)</f>
        <v/>
      </c>
      <c r="BH234" s="153">
        <f>$C234*INDEX(Curves!$V$8:$V$68,BH$4-$B234+1)</f>
        <v/>
      </c>
      <c r="BI234" s="153">
        <f>$C234*INDEX(Curves!$V$8:$V$68,BI$4-$B234+1)</f>
        <v/>
      </c>
      <c r="BJ234" s="153">
        <f>$C234*INDEX(Curves!$V$8:$V$68,BJ$4-$B234+1)</f>
        <v/>
      </c>
      <c r="BK234" s="153">
        <f>$C234*INDEX(Curves!$V$8:$V$68,BK$4-$B234+1)</f>
        <v/>
      </c>
      <c r="BL234" s="153">
        <f>$C234*INDEX(Curves!$V$8:$V$68,BL$4-$B234+1)</f>
        <v/>
      </c>
    </row>
    <row r="235">
      <c r="A235" s="147" t="inlineStr">
        <is>
          <t>Cohort month 37</t>
        </is>
      </c>
      <c r="B235" s="147" t="n">
        <v>37</v>
      </c>
      <c r="C235" s="41">
        <f>INDEX(Ops!$E$35:$BL$35,1,$B235)</f>
        <v/>
      </c>
      <c r="AP235" s="153">
        <f>$C235*INDEX(Curves!$V$8:$V$68,AP$4-$B235+1)</f>
        <v/>
      </c>
      <c r="AQ235" s="153">
        <f>$C235*INDEX(Curves!$V$8:$V$68,AQ$4-$B235+1)</f>
        <v/>
      </c>
      <c r="AR235" s="153">
        <f>$C235*INDEX(Curves!$V$8:$V$68,AR$4-$B235+1)</f>
        <v/>
      </c>
      <c r="AS235" s="153">
        <f>$C235*INDEX(Curves!$V$8:$V$68,AS$4-$B235+1)</f>
        <v/>
      </c>
      <c r="AT235" s="153">
        <f>$C235*INDEX(Curves!$V$8:$V$68,AT$4-$B235+1)</f>
        <v/>
      </c>
      <c r="AU235" s="153">
        <f>$C235*INDEX(Curves!$V$8:$V$68,AU$4-$B235+1)</f>
        <v/>
      </c>
      <c r="AV235" s="153">
        <f>$C235*INDEX(Curves!$V$8:$V$68,AV$4-$B235+1)</f>
        <v/>
      </c>
      <c r="AW235" s="153">
        <f>$C235*INDEX(Curves!$V$8:$V$68,AW$4-$B235+1)</f>
        <v/>
      </c>
      <c r="AX235" s="153">
        <f>$C235*INDEX(Curves!$V$8:$V$68,AX$4-$B235+1)</f>
        <v/>
      </c>
      <c r="AY235" s="153">
        <f>$C235*INDEX(Curves!$V$8:$V$68,AY$4-$B235+1)</f>
        <v/>
      </c>
      <c r="AZ235" s="153">
        <f>$C235*INDEX(Curves!$V$8:$V$68,AZ$4-$B235+1)</f>
        <v/>
      </c>
      <c r="BA235" s="153">
        <f>$C235*INDEX(Curves!$V$8:$V$68,BA$4-$B235+1)</f>
        <v/>
      </c>
      <c r="BB235" s="153">
        <f>$C235*INDEX(Curves!$V$8:$V$68,BB$4-$B235+1)</f>
        <v/>
      </c>
      <c r="BC235" s="153">
        <f>$C235*INDEX(Curves!$V$8:$V$68,BC$4-$B235+1)</f>
        <v/>
      </c>
      <c r="BD235" s="153">
        <f>$C235*INDEX(Curves!$V$8:$V$68,BD$4-$B235+1)</f>
        <v/>
      </c>
      <c r="BE235" s="153">
        <f>$C235*INDEX(Curves!$V$8:$V$68,BE$4-$B235+1)</f>
        <v/>
      </c>
      <c r="BF235" s="153">
        <f>$C235*INDEX(Curves!$V$8:$V$68,BF$4-$B235+1)</f>
        <v/>
      </c>
      <c r="BG235" s="153">
        <f>$C235*INDEX(Curves!$V$8:$V$68,BG$4-$B235+1)</f>
        <v/>
      </c>
      <c r="BH235" s="153">
        <f>$C235*INDEX(Curves!$V$8:$V$68,BH$4-$B235+1)</f>
        <v/>
      </c>
      <c r="BI235" s="153">
        <f>$C235*INDEX(Curves!$V$8:$V$68,BI$4-$B235+1)</f>
        <v/>
      </c>
      <c r="BJ235" s="153">
        <f>$C235*INDEX(Curves!$V$8:$V$68,BJ$4-$B235+1)</f>
        <v/>
      </c>
      <c r="BK235" s="153">
        <f>$C235*INDEX(Curves!$V$8:$V$68,BK$4-$B235+1)</f>
        <v/>
      </c>
      <c r="BL235" s="153">
        <f>$C235*INDEX(Curves!$V$8:$V$68,BL$4-$B235+1)</f>
        <v/>
      </c>
    </row>
    <row r="236">
      <c r="A236" s="147" t="inlineStr">
        <is>
          <t>Cohort month 38</t>
        </is>
      </c>
      <c r="B236" s="147" t="n">
        <v>38</v>
      </c>
      <c r="C236" s="41">
        <f>INDEX(Ops!$E$35:$BL$35,1,$B236)</f>
        <v/>
      </c>
      <c r="AQ236" s="153">
        <f>$C236*INDEX(Curves!$V$8:$V$68,AQ$4-$B236+1)</f>
        <v/>
      </c>
      <c r="AR236" s="153">
        <f>$C236*INDEX(Curves!$V$8:$V$68,AR$4-$B236+1)</f>
        <v/>
      </c>
      <c r="AS236" s="153">
        <f>$C236*INDEX(Curves!$V$8:$V$68,AS$4-$B236+1)</f>
        <v/>
      </c>
      <c r="AT236" s="153">
        <f>$C236*INDEX(Curves!$V$8:$V$68,AT$4-$B236+1)</f>
        <v/>
      </c>
      <c r="AU236" s="153">
        <f>$C236*INDEX(Curves!$V$8:$V$68,AU$4-$B236+1)</f>
        <v/>
      </c>
      <c r="AV236" s="153">
        <f>$C236*INDEX(Curves!$V$8:$V$68,AV$4-$B236+1)</f>
        <v/>
      </c>
      <c r="AW236" s="153">
        <f>$C236*INDEX(Curves!$V$8:$V$68,AW$4-$B236+1)</f>
        <v/>
      </c>
      <c r="AX236" s="153">
        <f>$C236*INDEX(Curves!$V$8:$V$68,AX$4-$B236+1)</f>
        <v/>
      </c>
      <c r="AY236" s="153">
        <f>$C236*INDEX(Curves!$V$8:$V$68,AY$4-$B236+1)</f>
        <v/>
      </c>
      <c r="AZ236" s="153">
        <f>$C236*INDEX(Curves!$V$8:$V$68,AZ$4-$B236+1)</f>
        <v/>
      </c>
      <c r="BA236" s="153">
        <f>$C236*INDEX(Curves!$V$8:$V$68,BA$4-$B236+1)</f>
        <v/>
      </c>
      <c r="BB236" s="153">
        <f>$C236*INDEX(Curves!$V$8:$V$68,BB$4-$B236+1)</f>
        <v/>
      </c>
      <c r="BC236" s="153">
        <f>$C236*INDEX(Curves!$V$8:$V$68,BC$4-$B236+1)</f>
        <v/>
      </c>
      <c r="BD236" s="153">
        <f>$C236*INDEX(Curves!$V$8:$V$68,BD$4-$B236+1)</f>
        <v/>
      </c>
      <c r="BE236" s="153">
        <f>$C236*INDEX(Curves!$V$8:$V$68,BE$4-$B236+1)</f>
        <v/>
      </c>
      <c r="BF236" s="153">
        <f>$C236*INDEX(Curves!$V$8:$V$68,BF$4-$B236+1)</f>
        <v/>
      </c>
      <c r="BG236" s="153">
        <f>$C236*INDEX(Curves!$V$8:$V$68,BG$4-$B236+1)</f>
        <v/>
      </c>
      <c r="BH236" s="153">
        <f>$C236*INDEX(Curves!$V$8:$V$68,BH$4-$B236+1)</f>
        <v/>
      </c>
      <c r="BI236" s="153">
        <f>$C236*INDEX(Curves!$V$8:$V$68,BI$4-$B236+1)</f>
        <v/>
      </c>
      <c r="BJ236" s="153">
        <f>$C236*INDEX(Curves!$V$8:$V$68,BJ$4-$B236+1)</f>
        <v/>
      </c>
      <c r="BK236" s="153">
        <f>$C236*INDEX(Curves!$V$8:$V$68,BK$4-$B236+1)</f>
        <v/>
      </c>
      <c r="BL236" s="153">
        <f>$C236*INDEX(Curves!$V$8:$V$68,BL$4-$B236+1)</f>
        <v/>
      </c>
    </row>
    <row r="237">
      <c r="A237" s="147" t="inlineStr">
        <is>
          <t>Cohort month 39</t>
        </is>
      </c>
      <c r="B237" s="147" t="n">
        <v>39</v>
      </c>
      <c r="C237" s="41">
        <f>INDEX(Ops!$E$35:$BL$35,1,$B237)</f>
        <v/>
      </c>
      <c r="AR237" s="153">
        <f>$C237*INDEX(Curves!$V$8:$V$68,AR$4-$B237+1)</f>
        <v/>
      </c>
      <c r="AS237" s="153">
        <f>$C237*INDEX(Curves!$V$8:$V$68,AS$4-$B237+1)</f>
        <v/>
      </c>
      <c r="AT237" s="153">
        <f>$C237*INDEX(Curves!$V$8:$V$68,AT$4-$B237+1)</f>
        <v/>
      </c>
      <c r="AU237" s="153">
        <f>$C237*INDEX(Curves!$V$8:$V$68,AU$4-$B237+1)</f>
        <v/>
      </c>
      <c r="AV237" s="153">
        <f>$C237*INDEX(Curves!$V$8:$V$68,AV$4-$B237+1)</f>
        <v/>
      </c>
      <c r="AW237" s="153">
        <f>$C237*INDEX(Curves!$V$8:$V$68,AW$4-$B237+1)</f>
        <v/>
      </c>
      <c r="AX237" s="153">
        <f>$C237*INDEX(Curves!$V$8:$V$68,AX$4-$B237+1)</f>
        <v/>
      </c>
      <c r="AY237" s="153">
        <f>$C237*INDEX(Curves!$V$8:$V$68,AY$4-$B237+1)</f>
        <v/>
      </c>
      <c r="AZ237" s="153">
        <f>$C237*INDEX(Curves!$V$8:$V$68,AZ$4-$B237+1)</f>
        <v/>
      </c>
      <c r="BA237" s="153">
        <f>$C237*INDEX(Curves!$V$8:$V$68,BA$4-$B237+1)</f>
        <v/>
      </c>
      <c r="BB237" s="153">
        <f>$C237*INDEX(Curves!$V$8:$V$68,BB$4-$B237+1)</f>
        <v/>
      </c>
      <c r="BC237" s="153">
        <f>$C237*INDEX(Curves!$V$8:$V$68,BC$4-$B237+1)</f>
        <v/>
      </c>
      <c r="BD237" s="153">
        <f>$C237*INDEX(Curves!$V$8:$V$68,BD$4-$B237+1)</f>
        <v/>
      </c>
      <c r="BE237" s="153">
        <f>$C237*INDEX(Curves!$V$8:$V$68,BE$4-$B237+1)</f>
        <v/>
      </c>
      <c r="BF237" s="153">
        <f>$C237*INDEX(Curves!$V$8:$V$68,BF$4-$B237+1)</f>
        <v/>
      </c>
      <c r="BG237" s="153">
        <f>$C237*INDEX(Curves!$V$8:$V$68,BG$4-$B237+1)</f>
        <v/>
      </c>
      <c r="BH237" s="153">
        <f>$C237*INDEX(Curves!$V$8:$V$68,BH$4-$B237+1)</f>
        <v/>
      </c>
      <c r="BI237" s="153">
        <f>$C237*INDEX(Curves!$V$8:$V$68,BI$4-$B237+1)</f>
        <v/>
      </c>
      <c r="BJ237" s="153">
        <f>$C237*INDEX(Curves!$V$8:$V$68,BJ$4-$B237+1)</f>
        <v/>
      </c>
      <c r="BK237" s="153">
        <f>$C237*INDEX(Curves!$V$8:$V$68,BK$4-$B237+1)</f>
        <v/>
      </c>
      <c r="BL237" s="153">
        <f>$C237*INDEX(Curves!$V$8:$V$68,BL$4-$B237+1)</f>
        <v/>
      </c>
    </row>
    <row r="238">
      <c r="A238" s="147" t="inlineStr">
        <is>
          <t>Cohort month 40</t>
        </is>
      </c>
      <c r="B238" s="147" t="n">
        <v>40</v>
      </c>
      <c r="C238" s="41">
        <f>INDEX(Ops!$E$35:$BL$35,1,$B238)</f>
        <v/>
      </c>
      <c r="AS238" s="153">
        <f>$C238*INDEX(Curves!$V$8:$V$68,AS$4-$B238+1)</f>
        <v/>
      </c>
      <c r="AT238" s="153">
        <f>$C238*INDEX(Curves!$V$8:$V$68,AT$4-$B238+1)</f>
        <v/>
      </c>
      <c r="AU238" s="153">
        <f>$C238*INDEX(Curves!$V$8:$V$68,AU$4-$B238+1)</f>
        <v/>
      </c>
      <c r="AV238" s="153">
        <f>$C238*INDEX(Curves!$V$8:$V$68,AV$4-$B238+1)</f>
        <v/>
      </c>
      <c r="AW238" s="153">
        <f>$C238*INDEX(Curves!$V$8:$V$68,AW$4-$B238+1)</f>
        <v/>
      </c>
      <c r="AX238" s="153">
        <f>$C238*INDEX(Curves!$V$8:$V$68,AX$4-$B238+1)</f>
        <v/>
      </c>
      <c r="AY238" s="153">
        <f>$C238*INDEX(Curves!$V$8:$V$68,AY$4-$B238+1)</f>
        <v/>
      </c>
      <c r="AZ238" s="153">
        <f>$C238*INDEX(Curves!$V$8:$V$68,AZ$4-$B238+1)</f>
        <v/>
      </c>
      <c r="BA238" s="153">
        <f>$C238*INDEX(Curves!$V$8:$V$68,BA$4-$B238+1)</f>
        <v/>
      </c>
      <c r="BB238" s="153">
        <f>$C238*INDEX(Curves!$V$8:$V$68,BB$4-$B238+1)</f>
        <v/>
      </c>
      <c r="BC238" s="153">
        <f>$C238*INDEX(Curves!$V$8:$V$68,BC$4-$B238+1)</f>
        <v/>
      </c>
      <c r="BD238" s="153">
        <f>$C238*INDEX(Curves!$V$8:$V$68,BD$4-$B238+1)</f>
        <v/>
      </c>
      <c r="BE238" s="153">
        <f>$C238*INDEX(Curves!$V$8:$V$68,BE$4-$B238+1)</f>
        <v/>
      </c>
      <c r="BF238" s="153">
        <f>$C238*INDEX(Curves!$V$8:$V$68,BF$4-$B238+1)</f>
        <v/>
      </c>
      <c r="BG238" s="153">
        <f>$C238*INDEX(Curves!$V$8:$V$68,BG$4-$B238+1)</f>
        <v/>
      </c>
      <c r="BH238" s="153">
        <f>$C238*INDEX(Curves!$V$8:$V$68,BH$4-$B238+1)</f>
        <v/>
      </c>
      <c r="BI238" s="153">
        <f>$C238*INDEX(Curves!$V$8:$V$68,BI$4-$B238+1)</f>
        <v/>
      </c>
      <c r="BJ238" s="153">
        <f>$C238*INDEX(Curves!$V$8:$V$68,BJ$4-$B238+1)</f>
        <v/>
      </c>
      <c r="BK238" s="153">
        <f>$C238*INDEX(Curves!$V$8:$V$68,BK$4-$B238+1)</f>
        <v/>
      </c>
      <c r="BL238" s="153">
        <f>$C238*INDEX(Curves!$V$8:$V$68,BL$4-$B238+1)</f>
        <v/>
      </c>
    </row>
    <row r="239">
      <c r="A239" s="147" t="inlineStr">
        <is>
          <t>Cohort month 41</t>
        </is>
      </c>
      <c r="B239" s="147" t="n">
        <v>41</v>
      </c>
      <c r="C239" s="41">
        <f>INDEX(Ops!$E$35:$BL$35,1,$B239)</f>
        <v/>
      </c>
      <c r="AT239" s="153">
        <f>$C239*INDEX(Curves!$V$8:$V$68,AT$4-$B239+1)</f>
        <v/>
      </c>
      <c r="AU239" s="153">
        <f>$C239*INDEX(Curves!$V$8:$V$68,AU$4-$B239+1)</f>
        <v/>
      </c>
      <c r="AV239" s="153">
        <f>$C239*INDEX(Curves!$V$8:$V$68,AV$4-$B239+1)</f>
        <v/>
      </c>
      <c r="AW239" s="153">
        <f>$C239*INDEX(Curves!$V$8:$V$68,AW$4-$B239+1)</f>
        <v/>
      </c>
      <c r="AX239" s="153">
        <f>$C239*INDEX(Curves!$V$8:$V$68,AX$4-$B239+1)</f>
        <v/>
      </c>
      <c r="AY239" s="153">
        <f>$C239*INDEX(Curves!$V$8:$V$68,AY$4-$B239+1)</f>
        <v/>
      </c>
      <c r="AZ239" s="153">
        <f>$C239*INDEX(Curves!$V$8:$V$68,AZ$4-$B239+1)</f>
        <v/>
      </c>
      <c r="BA239" s="153">
        <f>$C239*INDEX(Curves!$V$8:$V$68,BA$4-$B239+1)</f>
        <v/>
      </c>
      <c r="BB239" s="153">
        <f>$C239*INDEX(Curves!$V$8:$V$68,BB$4-$B239+1)</f>
        <v/>
      </c>
      <c r="BC239" s="153">
        <f>$C239*INDEX(Curves!$V$8:$V$68,BC$4-$B239+1)</f>
        <v/>
      </c>
      <c r="BD239" s="153">
        <f>$C239*INDEX(Curves!$V$8:$V$68,BD$4-$B239+1)</f>
        <v/>
      </c>
      <c r="BE239" s="153">
        <f>$C239*INDEX(Curves!$V$8:$V$68,BE$4-$B239+1)</f>
        <v/>
      </c>
      <c r="BF239" s="153">
        <f>$C239*INDEX(Curves!$V$8:$V$68,BF$4-$B239+1)</f>
        <v/>
      </c>
      <c r="BG239" s="153">
        <f>$C239*INDEX(Curves!$V$8:$V$68,BG$4-$B239+1)</f>
        <v/>
      </c>
      <c r="BH239" s="153">
        <f>$C239*INDEX(Curves!$V$8:$V$68,BH$4-$B239+1)</f>
        <v/>
      </c>
      <c r="BI239" s="153">
        <f>$C239*INDEX(Curves!$V$8:$V$68,BI$4-$B239+1)</f>
        <v/>
      </c>
      <c r="BJ239" s="153">
        <f>$C239*INDEX(Curves!$V$8:$V$68,BJ$4-$B239+1)</f>
        <v/>
      </c>
      <c r="BK239" s="153">
        <f>$C239*INDEX(Curves!$V$8:$V$68,BK$4-$B239+1)</f>
        <v/>
      </c>
      <c r="BL239" s="153">
        <f>$C239*INDEX(Curves!$V$8:$V$68,BL$4-$B239+1)</f>
        <v/>
      </c>
    </row>
    <row r="240">
      <c r="A240" s="147" t="inlineStr">
        <is>
          <t>Cohort month 42</t>
        </is>
      </c>
      <c r="B240" s="147" t="n">
        <v>42</v>
      </c>
      <c r="C240" s="41">
        <f>INDEX(Ops!$E$35:$BL$35,1,$B240)</f>
        <v/>
      </c>
      <c r="AU240" s="153">
        <f>$C240*INDEX(Curves!$V$8:$V$68,AU$4-$B240+1)</f>
        <v/>
      </c>
      <c r="AV240" s="153">
        <f>$C240*INDEX(Curves!$V$8:$V$68,AV$4-$B240+1)</f>
        <v/>
      </c>
      <c r="AW240" s="153">
        <f>$C240*INDEX(Curves!$V$8:$V$68,AW$4-$B240+1)</f>
        <v/>
      </c>
      <c r="AX240" s="153">
        <f>$C240*INDEX(Curves!$V$8:$V$68,AX$4-$B240+1)</f>
        <v/>
      </c>
      <c r="AY240" s="153">
        <f>$C240*INDEX(Curves!$V$8:$V$68,AY$4-$B240+1)</f>
        <v/>
      </c>
      <c r="AZ240" s="153">
        <f>$C240*INDEX(Curves!$V$8:$V$68,AZ$4-$B240+1)</f>
        <v/>
      </c>
      <c r="BA240" s="153">
        <f>$C240*INDEX(Curves!$V$8:$V$68,BA$4-$B240+1)</f>
        <v/>
      </c>
      <c r="BB240" s="153">
        <f>$C240*INDEX(Curves!$V$8:$V$68,BB$4-$B240+1)</f>
        <v/>
      </c>
      <c r="BC240" s="153">
        <f>$C240*INDEX(Curves!$V$8:$V$68,BC$4-$B240+1)</f>
        <v/>
      </c>
      <c r="BD240" s="153">
        <f>$C240*INDEX(Curves!$V$8:$V$68,BD$4-$B240+1)</f>
        <v/>
      </c>
      <c r="BE240" s="153">
        <f>$C240*INDEX(Curves!$V$8:$V$68,BE$4-$B240+1)</f>
        <v/>
      </c>
      <c r="BF240" s="153">
        <f>$C240*INDEX(Curves!$V$8:$V$68,BF$4-$B240+1)</f>
        <v/>
      </c>
      <c r="BG240" s="153">
        <f>$C240*INDEX(Curves!$V$8:$V$68,BG$4-$B240+1)</f>
        <v/>
      </c>
      <c r="BH240" s="153">
        <f>$C240*INDEX(Curves!$V$8:$V$68,BH$4-$B240+1)</f>
        <v/>
      </c>
      <c r="BI240" s="153">
        <f>$C240*INDEX(Curves!$V$8:$V$68,BI$4-$B240+1)</f>
        <v/>
      </c>
      <c r="BJ240" s="153">
        <f>$C240*INDEX(Curves!$V$8:$V$68,BJ$4-$B240+1)</f>
        <v/>
      </c>
      <c r="BK240" s="153">
        <f>$C240*INDEX(Curves!$V$8:$V$68,BK$4-$B240+1)</f>
        <v/>
      </c>
      <c r="BL240" s="153">
        <f>$C240*INDEX(Curves!$V$8:$V$68,BL$4-$B240+1)</f>
        <v/>
      </c>
    </row>
    <row r="241">
      <c r="A241" s="147" t="inlineStr">
        <is>
          <t>Cohort month 43</t>
        </is>
      </c>
      <c r="B241" s="147" t="n">
        <v>43</v>
      </c>
      <c r="C241" s="41">
        <f>INDEX(Ops!$E$35:$BL$35,1,$B241)</f>
        <v/>
      </c>
      <c r="AV241" s="153">
        <f>$C241*INDEX(Curves!$V$8:$V$68,AV$4-$B241+1)</f>
        <v/>
      </c>
      <c r="AW241" s="153">
        <f>$C241*INDEX(Curves!$V$8:$V$68,AW$4-$B241+1)</f>
        <v/>
      </c>
      <c r="AX241" s="153">
        <f>$C241*INDEX(Curves!$V$8:$V$68,AX$4-$B241+1)</f>
        <v/>
      </c>
      <c r="AY241" s="153">
        <f>$C241*INDEX(Curves!$V$8:$V$68,AY$4-$B241+1)</f>
        <v/>
      </c>
      <c r="AZ241" s="153">
        <f>$C241*INDEX(Curves!$V$8:$V$68,AZ$4-$B241+1)</f>
        <v/>
      </c>
      <c r="BA241" s="153">
        <f>$C241*INDEX(Curves!$V$8:$V$68,BA$4-$B241+1)</f>
        <v/>
      </c>
      <c r="BB241" s="153">
        <f>$C241*INDEX(Curves!$V$8:$V$68,BB$4-$B241+1)</f>
        <v/>
      </c>
      <c r="BC241" s="153">
        <f>$C241*INDEX(Curves!$V$8:$V$68,BC$4-$B241+1)</f>
        <v/>
      </c>
      <c r="BD241" s="153">
        <f>$C241*INDEX(Curves!$V$8:$V$68,BD$4-$B241+1)</f>
        <v/>
      </c>
      <c r="BE241" s="153">
        <f>$C241*INDEX(Curves!$V$8:$V$68,BE$4-$B241+1)</f>
        <v/>
      </c>
      <c r="BF241" s="153">
        <f>$C241*INDEX(Curves!$V$8:$V$68,BF$4-$B241+1)</f>
        <v/>
      </c>
      <c r="BG241" s="153">
        <f>$C241*INDEX(Curves!$V$8:$V$68,BG$4-$B241+1)</f>
        <v/>
      </c>
      <c r="BH241" s="153">
        <f>$C241*INDEX(Curves!$V$8:$V$68,BH$4-$B241+1)</f>
        <v/>
      </c>
      <c r="BI241" s="153">
        <f>$C241*INDEX(Curves!$V$8:$V$68,BI$4-$B241+1)</f>
        <v/>
      </c>
      <c r="BJ241" s="153">
        <f>$C241*INDEX(Curves!$V$8:$V$68,BJ$4-$B241+1)</f>
        <v/>
      </c>
      <c r="BK241" s="153">
        <f>$C241*INDEX(Curves!$V$8:$V$68,BK$4-$B241+1)</f>
        <v/>
      </c>
      <c r="BL241" s="153">
        <f>$C241*INDEX(Curves!$V$8:$V$68,BL$4-$B241+1)</f>
        <v/>
      </c>
    </row>
    <row r="242">
      <c r="A242" s="147" t="inlineStr">
        <is>
          <t>Cohort month 44</t>
        </is>
      </c>
      <c r="B242" s="147" t="n">
        <v>44</v>
      </c>
      <c r="C242" s="41">
        <f>INDEX(Ops!$E$35:$BL$35,1,$B242)</f>
        <v/>
      </c>
      <c r="AW242" s="153">
        <f>$C242*INDEX(Curves!$V$8:$V$68,AW$4-$B242+1)</f>
        <v/>
      </c>
      <c r="AX242" s="153">
        <f>$C242*INDEX(Curves!$V$8:$V$68,AX$4-$B242+1)</f>
        <v/>
      </c>
      <c r="AY242" s="153">
        <f>$C242*INDEX(Curves!$V$8:$V$68,AY$4-$B242+1)</f>
        <v/>
      </c>
      <c r="AZ242" s="153">
        <f>$C242*INDEX(Curves!$V$8:$V$68,AZ$4-$B242+1)</f>
        <v/>
      </c>
      <c r="BA242" s="153">
        <f>$C242*INDEX(Curves!$V$8:$V$68,BA$4-$B242+1)</f>
        <v/>
      </c>
      <c r="BB242" s="153">
        <f>$C242*INDEX(Curves!$V$8:$V$68,BB$4-$B242+1)</f>
        <v/>
      </c>
      <c r="BC242" s="153">
        <f>$C242*INDEX(Curves!$V$8:$V$68,BC$4-$B242+1)</f>
        <v/>
      </c>
      <c r="BD242" s="153">
        <f>$C242*INDEX(Curves!$V$8:$V$68,BD$4-$B242+1)</f>
        <v/>
      </c>
      <c r="BE242" s="153">
        <f>$C242*INDEX(Curves!$V$8:$V$68,BE$4-$B242+1)</f>
        <v/>
      </c>
      <c r="BF242" s="153">
        <f>$C242*INDEX(Curves!$V$8:$V$68,BF$4-$B242+1)</f>
        <v/>
      </c>
      <c r="BG242" s="153">
        <f>$C242*INDEX(Curves!$V$8:$V$68,BG$4-$B242+1)</f>
        <v/>
      </c>
      <c r="BH242" s="153">
        <f>$C242*INDEX(Curves!$V$8:$V$68,BH$4-$B242+1)</f>
        <v/>
      </c>
      <c r="BI242" s="153">
        <f>$C242*INDEX(Curves!$V$8:$V$68,BI$4-$B242+1)</f>
        <v/>
      </c>
      <c r="BJ242" s="153">
        <f>$C242*INDEX(Curves!$V$8:$V$68,BJ$4-$B242+1)</f>
        <v/>
      </c>
      <c r="BK242" s="153">
        <f>$C242*INDEX(Curves!$V$8:$V$68,BK$4-$B242+1)</f>
        <v/>
      </c>
      <c r="BL242" s="153">
        <f>$C242*INDEX(Curves!$V$8:$V$68,BL$4-$B242+1)</f>
        <v/>
      </c>
    </row>
    <row r="243">
      <c r="A243" s="147" t="inlineStr">
        <is>
          <t>Cohort month 45</t>
        </is>
      </c>
      <c r="B243" s="147" t="n">
        <v>45</v>
      </c>
      <c r="C243" s="41">
        <f>INDEX(Ops!$E$35:$BL$35,1,$B243)</f>
        <v/>
      </c>
      <c r="AX243" s="153">
        <f>$C243*INDEX(Curves!$V$8:$V$68,AX$4-$B243+1)</f>
        <v/>
      </c>
      <c r="AY243" s="153">
        <f>$C243*INDEX(Curves!$V$8:$V$68,AY$4-$B243+1)</f>
        <v/>
      </c>
      <c r="AZ243" s="153">
        <f>$C243*INDEX(Curves!$V$8:$V$68,AZ$4-$B243+1)</f>
        <v/>
      </c>
      <c r="BA243" s="153">
        <f>$C243*INDEX(Curves!$V$8:$V$68,BA$4-$B243+1)</f>
        <v/>
      </c>
      <c r="BB243" s="153">
        <f>$C243*INDEX(Curves!$V$8:$V$68,BB$4-$B243+1)</f>
        <v/>
      </c>
      <c r="BC243" s="153">
        <f>$C243*INDEX(Curves!$V$8:$V$68,BC$4-$B243+1)</f>
        <v/>
      </c>
      <c r="BD243" s="153">
        <f>$C243*INDEX(Curves!$V$8:$V$68,BD$4-$B243+1)</f>
        <v/>
      </c>
      <c r="BE243" s="153">
        <f>$C243*INDEX(Curves!$V$8:$V$68,BE$4-$B243+1)</f>
        <v/>
      </c>
      <c r="BF243" s="153">
        <f>$C243*INDEX(Curves!$V$8:$V$68,BF$4-$B243+1)</f>
        <v/>
      </c>
      <c r="BG243" s="153">
        <f>$C243*INDEX(Curves!$V$8:$V$68,BG$4-$B243+1)</f>
        <v/>
      </c>
      <c r="BH243" s="153">
        <f>$C243*INDEX(Curves!$V$8:$V$68,BH$4-$B243+1)</f>
        <v/>
      </c>
      <c r="BI243" s="153">
        <f>$C243*INDEX(Curves!$V$8:$V$68,BI$4-$B243+1)</f>
        <v/>
      </c>
      <c r="BJ243" s="153">
        <f>$C243*INDEX(Curves!$V$8:$V$68,BJ$4-$B243+1)</f>
        <v/>
      </c>
      <c r="BK243" s="153">
        <f>$C243*INDEX(Curves!$V$8:$V$68,BK$4-$B243+1)</f>
        <v/>
      </c>
      <c r="BL243" s="153">
        <f>$C243*INDEX(Curves!$V$8:$V$68,BL$4-$B243+1)</f>
        <v/>
      </c>
    </row>
    <row r="244">
      <c r="A244" s="147" t="inlineStr">
        <is>
          <t>Cohort month 46</t>
        </is>
      </c>
      <c r="B244" s="147" t="n">
        <v>46</v>
      </c>
      <c r="C244" s="41">
        <f>INDEX(Ops!$E$35:$BL$35,1,$B244)</f>
        <v/>
      </c>
      <c r="AY244" s="153">
        <f>$C244*INDEX(Curves!$V$8:$V$68,AY$4-$B244+1)</f>
        <v/>
      </c>
      <c r="AZ244" s="153">
        <f>$C244*INDEX(Curves!$V$8:$V$68,AZ$4-$B244+1)</f>
        <v/>
      </c>
      <c r="BA244" s="153">
        <f>$C244*INDEX(Curves!$V$8:$V$68,BA$4-$B244+1)</f>
        <v/>
      </c>
      <c r="BB244" s="153">
        <f>$C244*INDEX(Curves!$V$8:$V$68,BB$4-$B244+1)</f>
        <v/>
      </c>
      <c r="BC244" s="153">
        <f>$C244*INDEX(Curves!$V$8:$V$68,BC$4-$B244+1)</f>
        <v/>
      </c>
      <c r="BD244" s="153">
        <f>$C244*INDEX(Curves!$V$8:$V$68,BD$4-$B244+1)</f>
        <v/>
      </c>
      <c r="BE244" s="153">
        <f>$C244*INDEX(Curves!$V$8:$V$68,BE$4-$B244+1)</f>
        <v/>
      </c>
      <c r="BF244" s="153">
        <f>$C244*INDEX(Curves!$V$8:$V$68,BF$4-$B244+1)</f>
        <v/>
      </c>
      <c r="BG244" s="153">
        <f>$C244*INDEX(Curves!$V$8:$V$68,BG$4-$B244+1)</f>
        <v/>
      </c>
      <c r="BH244" s="153">
        <f>$C244*INDEX(Curves!$V$8:$V$68,BH$4-$B244+1)</f>
        <v/>
      </c>
      <c r="BI244" s="153">
        <f>$C244*INDEX(Curves!$V$8:$V$68,BI$4-$B244+1)</f>
        <v/>
      </c>
      <c r="BJ244" s="153">
        <f>$C244*INDEX(Curves!$V$8:$V$68,BJ$4-$B244+1)</f>
        <v/>
      </c>
      <c r="BK244" s="153">
        <f>$C244*INDEX(Curves!$V$8:$V$68,BK$4-$B244+1)</f>
        <v/>
      </c>
      <c r="BL244" s="153">
        <f>$C244*INDEX(Curves!$V$8:$V$68,BL$4-$B244+1)</f>
        <v/>
      </c>
    </row>
    <row r="245">
      <c r="A245" s="147" t="inlineStr">
        <is>
          <t>Cohort month 47</t>
        </is>
      </c>
      <c r="B245" s="147" t="n">
        <v>47</v>
      </c>
      <c r="C245" s="41">
        <f>INDEX(Ops!$E$35:$BL$35,1,$B245)</f>
        <v/>
      </c>
      <c r="AZ245" s="153">
        <f>$C245*INDEX(Curves!$V$8:$V$68,AZ$4-$B245+1)</f>
        <v/>
      </c>
      <c r="BA245" s="153">
        <f>$C245*INDEX(Curves!$V$8:$V$68,BA$4-$B245+1)</f>
        <v/>
      </c>
      <c r="BB245" s="153">
        <f>$C245*INDEX(Curves!$V$8:$V$68,BB$4-$B245+1)</f>
        <v/>
      </c>
      <c r="BC245" s="153">
        <f>$C245*INDEX(Curves!$V$8:$V$68,BC$4-$B245+1)</f>
        <v/>
      </c>
      <c r="BD245" s="153">
        <f>$C245*INDEX(Curves!$V$8:$V$68,BD$4-$B245+1)</f>
        <v/>
      </c>
      <c r="BE245" s="153">
        <f>$C245*INDEX(Curves!$V$8:$V$68,BE$4-$B245+1)</f>
        <v/>
      </c>
      <c r="BF245" s="153">
        <f>$C245*INDEX(Curves!$V$8:$V$68,BF$4-$B245+1)</f>
        <v/>
      </c>
      <c r="BG245" s="153">
        <f>$C245*INDEX(Curves!$V$8:$V$68,BG$4-$B245+1)</f>
        <v/>
      </c>
      <c r="BH245" s="153">
        <f>$C245*INDEX(Curves!$V$8:$V$68,BH$4-$B245+1)</f>
        <v/>
      </c>
      <c r="BI245" s="153">
        <f>$C245*INDEX(Curves!$V$8:$V$68,BI$4-$B245+1)</f>
        <v/>
      </c>
      <c r="BJ245" s="153">
        <f>$C245*INDEX(Curves!$V$8:$V$68,BJ$4-$B245+1)</f>
        <v/>
      </c>
      <c r="BK245" s="153">
        <f>$C245*INDEX(Curves!$V$8:$V$68,BK$4-$B245+1)</f>
        <v/>
      </c>
      <c r="BL245" s="153">
        <f>$C245*INDEX(Curves!$V$8:$V$68,BL$4-$B245+1)</f>
        <v/>
      </c>
    </row>
    <row r="246">
      <c r="A246" s="147" t="inlineStr">
        <is>
          <t>Cohort month 48</t>
        </is>
      </c>
      <c r="B246" s="147" t="n">
        <v>48</v>
      </c>
      <c r="C246" s="41">
        <f>INDEX(Ops!$E$35:$BL$35,1,$B246)</f>
        <v/>
      </c>
      <c r="BA246" s="153">
        <f>$C246*INDEX(Curves!$V$8:$V$68,BA$4-$B246+1)</f>
        <v/>
      </c>
      <c r="BB246" s="153">
        <f>$C246*INDEX(Curves!$V$8:$V$68,BB$4-$B246+1)</f>
        <v/>
      </c>
      <c r="BC246" s="153">
        <f>$C246*INDEX(Curves!$V$8:$V$68,BC$4-$B246+1)</f>
        <v/>
      </c>
      <c r="BD246" s="153">
        <f>$C246*INDEX(Curves!$V$8:$V$68,BD$4-$B246+1)</f>
        <v/>
      </c>
      <c r="BE246" s="153">
        <f>$C246*INDEX(Curves!$V$8:$V$68,BE$4-$B246+1)</f>
        <v/>
      </c>
      <c r="BF246" s="153">
        <f>$C246*INDEX(Curves!$V$8:$V$68,BF$4-$B246+1)</f>
        <v/>
      </c>
      <c r="BG246" s="153">
        <f>$C246*INDEX(Curves!$V$8:$V$68,BG$4-$B246+1)</f>
        <v/>
      </c>
      <c r="BH246" s="153">
        <f>$C246*INDEX(Curves!$V$8:$V$68,BH$4-$B246+1)</f>
        <v/>
      </c>
      <c r="BI246" s="153">
        <f>$C246*INDEX(Curves!$V$8:$V$68,BI$4-$B246+1)</f>
        <v/>
      </c>
      <c r="BJ246" s="153">
        <f>$C246*INDEX(Curves!$V$8:$V$68,BJ$4-$B246+1)</f>
        <v/>
      </c>
      <c r="BK246" s="153">
        <f>$C246*INDEX(Curves!$V$8:$V$68,BK$4-$B246+1)</f>
        <v/>
      </c>
      <c r="BL246" s="153">
        <f>$C246*INDEX(Curves!$V$8:$V$68,BL$4-$B246+1)</f>
        <v/>
      </c>
    </row>
    <row r="247">
      <c r="A247" s="147" t="inlineStr">
        <is>
          <t>Cohort month 49</t>
        </is>
      </c>
      <c r="B247" s="147" t="n">
        <v>49</v>
      </c>
      <c r="C247" s="41">
        <f>INDEX(Ops!$E$35:$BL$35,1,$B247)</f>
        <v/>
      </c>
      <c r="BB247" s="153">
        <f>$C247*INDEX(Curves!$V$8:$V$68,BB$4-$B247+1)</f>
        <v/>
      </c>
      <c r="BC247" s="153">
        <f>$C247*INDEX(Curves!$V$8:$V$68,BC$4-$B247+1)</f>
        <v/>
      </c>
      <c r="BD247" s="153">
        <f>$C247*INDEX(Curves!$V$8:$V$68,BD$4-$B247+1)</f>
        <v/>
      </c>
      <c r="BE247" s="153">
        <f>$C247*INDEX(Curves!$V$8:$V$68,BE$4-$B247+1)</f>
        <v/>
      </c>
      <c r="BF247" s="153">
        <f>$C247*INDEX(Curves!$V$8:$V$68,BF$4-$B247+1)</f>
        <v/>
      </c>
      <c r="BG247" s="153">
        <f>$C247*INDEX(Curves!$V$8:$V$68,BG$4-$B247+1)</f>
        <v/>
      </c>
      <c r="BH247" s="153">
        <f>$C247*INDEX(Curves!$V$8:$V$68,BH$4-$B247+1)</f>
        <v/>
      </c>
      <c r="BI247" s="153">
        <f>$C247*INDEX(Curves!$V$8:$V$68,BI$4-$B247+1)</f>
        <v/>
      </c>
      <c r="BJ247" s="153">
        <f>$C247*INDEX(Curves!$V$8:$V$68,BJ$4-$B247+1)</f>
        <v/>
      </c>
      <c r="BK247" s="153">
        <f>$C247*INDEX(Curves!$V$8:$V$68,BK$4-$B247+1)</f>
        <v/>
      </c>
      <c r="BL247" s="153">
        <f>$C247*INDEX(Curves!$V$8:$V$68,BL$4-$B247+1)</f>
        <v/>
      </c>
    </row>
    <row r="248">
      <c r="A248" s="147" t="inlineStr">
        <is>
          <t>Cohort month 50</t>
        </is>
      </c>
      <c r="B248" s="147" t="n">
        <v>50</v>
      </c>
      <c r="C248" s="41">
        <f>INDEX(Ops!$E$35:$BL$35,1,$B248)</f>
        <v/>
      </c>
      <c r="BC248" s="153">
        <f>$C248*INDEX(Curves!$V$8:$V$68,BC$4-$B248+1)</f>
        <v/>
      </c>
      <c r="BD248" s="153">
        <f>$C248*INDEX(Curves!$V$8:$V$68,BD$4-$B248+1)</f>
        <v/>
      </c>
      <c r="BE248" s="153">
        <f>$C248*INDEX(Curves!$V$8:$V$68,BE$4-$B248+1)</f>
        <v/>
      </c>
      <c r="BF248" s="153">
        <f>$C248*INDEX(Curves!$V$8:$V$68,BF$4-$B248+1)</f>
        <v/>
      </c>
      <c r="BG248" s="153">
        <f>$C248*INDEX(Curves!$V$8:$V$68,BG$4-$B248+1)</f>
        <v/>
      </c>
      <c r="BH248" s="153">
        <f>$C248*INDEX(Curves!$V$8:$V$68,BH$4-$B248+1)</f>
        <v/>
      </c>
      <c r="BI248" s="153">
        <f>$C248*INDEX(Curves!$V$8:$V$68,BI$4-$B248+1)</f>
        <v/>
      </c>
      <c r="BJ248" s="153">
        <f>$C248*INDEX(Curves!$V$8:$V$68,BJ$4-$B248+1)</f>
        <v/>
      </c>
      <c r="BK248" s="153">
        <f>$C248*INDEX(Curves!$V$8:$V$68,BK$4-$B248+1)</f>
        <v/>
      </c>
      <c r="BL248" s="153">
        <f>$C248*INDEX(Curves!$V$8:$V$68,BL$4-$B248+1)</f>
        <v/>
      </c>
    </row>
    <row r="249">
      <c r="A249" s="147" t="inlineStr">
        <is>
          <t>Cohort month 51</t>
        </is>
      </c>
      <c r="B249" s="147" t="n">
        <v>51</v>
      </c>
      <c r="C249" s="41">
        <f>INDEX(Ops!$E$35:$BL$35,1,$B249)</f>
        <v/>
      </c>
      <c r="BD249" s="153">
        <f>$C249*INDEX(Curves!$V$8:$V$68,BD$4-$B249+1)</f>
        <v/>
      </c>
      <c r="BE249" s="153">
        <f>$C249*INDEX(Curves!$V$8:$V$68,BE$4-$B249+1)</f>
        <v/>
      </c>
      <c r="BF249" s="153">
        <f>$C249*INDEX(Curves!$V$8:$V$68,BF$4-$B249+1)</f>
        <v/>
      </c>
      <c r="BG249" s="153">
        <f>$C249*INDEX(Curves!$V$8:$V$68,BG$4-$B249+1)</f>
        <v/>
      </c>
      <c r="BH249" s="153">
        <f>$C249*INDEX(Curves!$V$8:$V$68,BH$4-$B249+1)</f>
        <v/>
      </c>
      <c r="BI249" s="153">
        <f>$C249*INDEX(Curves!$V$8:$V$68,BI$4-$B249+1)</f>
        <v/>
      </c>
      <c r="BJ249" s="153">
        <f>$C249*INDEX(Curves!$V$8:$V$68,BJ$4-$B249+1)</f>
        <v/>
      </c>
      <c r="BK249" s="153">
        <f>$C249*INDEX(Curves!$V$8:$V$68,BK$4-$B249+1)</f>
        <v/>
      </c>
      <c r="BL249" s="153">
        <f>$C249*INDEX(Curves!$V$8:$V$68,BL$4-$B249+1)</f>
        <v/>
      </c>
    </row>
    <row r="250">
      <c r="A250" s="147" t="inlineStr">
        <is>
          <t>Cohort month 52</t>
        </is>
      </c>
      <c r="B250" s="147" t="n">
        <v>52</v>
      </c>
      <c r="C250" s="41">
        <f>INDEX(Ops!$E$35:$BL$35,1,$B250)</f>
        <v/>
      </c>
      <c r="BE250" s="153">
        <f>$C250*INDEX(Curves!$V$8:$V$68,BE$4-$B250+1)</f>
        <v/>
      </c>
      <c r="BF250" s="153">
        <f>$C250*INDEX(Curves!$V$8:$V$68,BF$4-$B250+1)</f>
        <v/>
      </c>
      <c r="BG250" s="153">
        <f>$C250*INDEX(Curves!$V$8:$V$68,BG$4-$B250+1)</f>
        <v/>
      </c>
      <c r="BH250" s="153">
        <f>$C250*INDEX(Curves!$V$8:$V$68,BH$4-$B250+1)</f>
        <v/>
      </c>
      <c r="BI250" s="153">
        <f>$C250*INDEX(Curves!$V$8:$V$68,BI$4-$B250+1)</f>
        <v/>
      </c>
      <c r="BJ250" s="153">
        <f>$C250*INDEX(Curves!$V$8:$V$68,BJ$4-$B250+1)</f>
        <v/>
      </c>
      <c r="BK250" s="153">
        <f>$C250*INDEX(Curves!$V$8:$V$68,BK$4-$B250+1)</f>
        <v/>
      </c>
      <c r="BL250" s="153">
        <f>$C250*INDEX(Curves!$V$8:$V$68,BL$4-$B250+1)</f>
        <v/>
      </c>
    </row>
    <row r="251">
      <c r="A251" s="147" t="inlineStr">
        <is>
          <t>Cohort month 53</t>
        </is>
      </c>
      <c r="B251" s="147" t="n">
        <v>53</v>
      </c>
      <c r="C251" s="41">
        <f>INDEX(Ops!$E$35:$BL$35,1,$B251)</f>
        <v/>
      </c>
      <c r="BF251" s="153">
        <f>$C251*INDEX(Curves!$V$8:$V$68,BF$4-$B251+1)</f>
        <v/>
      </c>
      <c r="BG251" s="153">
        <f>$C251*INDEX(Curves!$V$8:$V$68,BG$4-$B251+1)</f>
        <v/>
      </c>
      <c r="BH251" s="153">
        <f>$C251*INDEX(Curves!$V$8:$V$68,BH$4-$B251+1)</f>
        <v/>
      </c>
      <c r="BI251" s="153">
        <f>$C251*INDEX(Curves!$V$8:$V$68,BI$4-$B251+1)</f>
        <v/>
      </c>
      <c r="BJ251" s="153">
        <f>$C251*INDEX(Curves!$V$8:$V$68,BJ$4-$B251+1)</f>
        <v/>
      </c>
      <c r="BK251" s="153">
        <f>$C251*INDEX(Curves!$V$8:$V$68,BK$4-$B251+1)</f>
        <v/>
      </c>
      <c r="BL251" s="153">
        <f>$C251*INDEX(Curves!$V$8:$V$68,BL$4-$B251+1)</f>
        <v/>
      </c>
    </row>
    <row r="252">
      <c r="A252" s="147" t="inlineStr">
        <is>
          <t>Cohort month 54</t>
        </is>
      </c>
      <c r="B252" s="147" t="n">
        <v>54</v>
      </c>
      <c r="C252" s="41">
        <f>INDEX(Ops!$E$35:$BL$35,1,$B252)</f>
        <v/>
      </c>
      <c r="BG252" s="153">
        <f>$C252*INDEX(Curves!$V$8:$V$68,BG$4-$B252+1)</f>
        <v/>
      </c>
      <c r="BH252" s="153">
        <f>$C252*INDEX(Curves!$V$8:$V$68,BH$4-$B252+1)</f>
        <v/>
      </c>
      <c r="BI252" s="153">
        <f>$C252*INDEX(Curves!$V$8:$V$68,BI$4-$B252+1)</f>
        <v/>
      </c>
      <c r="BJ252" s="153">
        <f>$C252*INDEX(Curves!$V$8:$V$68,BJ$4-$B252+1)</f>
        <v/>
      </c>
      <c r="BK252" s="153">
        <f>$C252*INDEX(Curves!$V$8:$V$68,BK$4-$B252+1)</f>
        <v/>
      </c>
      <c r="BL252" s="153">
        <f>$C252*INDEX(Curves!$V$8:$V$68,BL$4-$B252+1)</f>
        <v/>
      </c>
    </row>
    <row r="253">
      <c r="A253" s="147" t="inlineStr">
        <is>
          <t>Cohort month 55</t>
        </is>
      </c>
      <c r="B253" s="147" t="n">
        <v>55</v>
      </c>
      <c r="C253" s="41">
        <f>INDEX(Ops!$E$35:$BL$35,1,$B253)</f>
        <v/>
      </c>
      <c r="BH253" s="153">
        <f>$C253*INDEX(Curves!$V$8:$V$68,BH$4-$B253+1)</f>
        <v/>
      </c>
      <c r="BI253" s="153">
        <f>$C253*INDEX(Curves!$V$8:$V$68,BI$4-$B253+1)</f>
        <v/>
      </c>
      <c r="BJ253" s="153">
        <f>$C253*INDEX(Curves!$V$8:$V$68,BJ$4-$B253+1)</f>
        <v/>
      </c>
      <c r="BK253" s="153">
        <f>$C253*INDEX(Curves!$V$8:$V$68,BK$4-$B253+1)</f>
        <v/>
      </c>
      <c r="BL253" s="153">
        <f>$C253*INDEX(Curves!$V$8:$V$68,BL$4-$B253+1)</f>
        <v/>
      </c>
    </row>
    <row r="254">
      <c r="A254" s="147" t="inlineStr">
        <is>
          <t>Cohort month 56</t>
        </is>
      </c>
      <c r="B254" s="147" t="n">
        <v>56</v>
      </c>
      <c r="C254" s="41">
        <f>INDEX(Ops!$E$35:$BL$35,1,$B254)</f>
        <v/>
      </c>
      <c r="BI254" s="153">
        <f>$C254*INDEX(Curves!$V$8:$V$68,BI$4-$B254+1)</f>
        <v/>
      </c>
      <c r="BJ254" s="153">
        <f>$C254*INDEX(Curves!$V$8:$V$68,BJ$4-$B254+1)</f>
        <v/>
      </c>
      <c r="BK254" s="153">
        <f>$C254*INDEX(Curves!$V$8:$V$68,BK$4-$B254+1)</f>
        <v/>
      </c>
      <c r="BL254" s="153">
        <f>$C254*INDEX(Curves!$V$8:$V$68,BL$4-$B254+1)</f>
        <v/>
      </c>
    </row>
    <row r="255">
      <c r="A255" s="147" t="inlineStr">
        <is>
          <t>Cohort month 57</t>
        </is>
      </c>
      <c r="B255" s="147" t="n">
        <v>57</v>
      </c>
      <c r="C255" s="41">
        <f>INDEX(Ops!$E$35:$BL$35,1,$B255)</f>
        <v/>
      </c>
      <c r="BJ255" s="153">
        <f>$C255*INDEX(Curves!$V$8:$V$68,BJ$4-$B255+1)</f>
        <v/>
      </c>
      <c r="BK255" s="153">
        <f>$C255*INDEX(Curves!$V$8:$V$68,BK$4-$B255+1)</f>
        <v/>
      </c>
      <c r="BL255" s="153">
        <f>$C255*INDEX(Curves!$V$8:$V$68,BL$4-$B255+1)</f>
        <v/>
      </c>
    </row>
    <row r="256">
      <c r="A256" s="147" t="inlineStr">
        <is>
          <t>Cohort month 58</t>
        </is>
      </c>
      <c r="B256" s="147" t="n">
        <v>58</v>
      </c>
      <c r="C256" s="41">
        <f>INDEX(Ops!$E$35:$BL$35,1,$B256)</f>
        <v/>
      </c>
      <c r="BK256" s="153">
        <f>$C256*INDEX(Curves!$V$8:$V$68,BK$4-$B256+1)</f>
        <v/>
      </c>
      <c r="BL256" s="153">
        <f>$C256*INDEX(Curves!$V$8:$V$68,BL$4-$B256+1)</f>
        <v/>
      </c>
    </row>
    <row r="257">
      <c r="A257" s="147" t="inlineStr">
        <is>
          <t>Cohort month 59</t>
        </is>
      </c>
      <c r="B257" s="147" t="n">
        <v>59</v>
      </c>
      <c r="C257" s="41">
        <f>INDEX(Ops!$E$35:$BL$35,1,$B257)</f>
        <v/>
      </c>
      <c r="BL257" s="153">
        <f>$C257*INDEX(Curves!$V$8:$V$68,BL$4-$B257+1)</f>
        <v/>
      </c>
    </row>
    <row r="258">
      <c r="A258" s="147" t="inlineStr">
        <is>
          <t>Cohort month 60</t>
        </is>
      </c>
      <c r="B258" s="147" t="n">
        <v>60</v>
      </c>
      <c r="C258" s="41">
        <f>INDEX(Ops!$E$35:$BL$35,1,$B258)</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40.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Cohort (vintage) analysis: Tier 3: Large SHS + DC fridge</t>
        </is>
      </c>
    </row>
    <row r="2">
      <c r="A2" s="18" t="inlineStr">
        <is>
          <t>[FORECAST]  Rows = sales cohort (month of sale); columns = calendar month. Cohort size in column C.</t>
        </is>
      </c>
    </row>
    <row r="3"/>
    <row r="4">
      <c r="A4" s="94" t="inlineStr">
        <is>
          <t>Month #</t>
        </is>
      </c>
      <c r="B4" s="95" t="n"/>
      <c r="C4" s="95" t="n"/>
      <c r="D4" s="94" t="inlineStr">
        <is>
          <t>Opening</t>
        </is>
      </c>
      <c r="E4" s="96">
        <f>Timeline!E4</f>
        <v/>
      </c>
      <c r="F4" s="96">
        <f>Timeline!F4</f>
        <v/>
      </c>
      <c r="G4" s="96">
        <f>Timeline!G4</f>
        <v/>
      </c>
      <c r="H4" s="96">
        <f>Timeline!H4</f>
        <v/>
      </c>
      <c r="I4" s="96">
        <f>Timeline!I4</f>
        <v/>
      </c>
      <c r="J4" s="96">
        <f>Timeline!J4</f>
        <v/>
      </c>
      <c r="K4" s="96">
        <f>Timeline!K4</f>
        <v/>
      </c>
      <c r="L4" s="96">
        <f>Timeline!L4</f>
        <v/>
      </c>
      <c r="M4" s="96">
        <f>Timeline!M4</f>
        <v/>
      </c>
      <c r="N4" s="96">
        <f>Timeline!N4</f>
        <v/>
      </c>
      <c r="O4" s="96">
        <f>Timeline!O4</f>
        <v/>
      </c>
      <c r="P4" s="96">
        <f>Timeline!P4</f>
        <v/>
      </c>
      <c r="Q4" s="96">
        <f>Timeline!Q4</f>
        <v/>
      </c>
      <c r="R4" s="96">
        <f>Timeline!R4</f>
        <v/>
      </c>
      <c r="S4" s="96">
        <f>Timeline!S4</f>
        <v/>
      </c>
      <c r="T4" s="96">
        <f>Timeline!T4</f>
        <v/>
      </c>
      <c r="U4" s="96">
        <f>Timeline!U4</f>
        <v/>
      </c>
      <c r="V4" s="96">
        <f>Timeline!V4</f>
        <v/>
      </c>
      <c r="W4" s="96">
        <f>Timeline!W4</f>
        <v/>
      </c>
      <c r="X4" s="96">
        <f>Timeline!X4</f>
        <v/>
      </c>
      <c r="Y4" s="96">
        <f>Timeline!Y4</f>
        <v/>
      </c>
      <c r="Z4" s="96">
        <f>Timeline!Z4</f>
        <v/>
      </c>
      <c r="AA4" s="96">
        <f>Timeline!AA4</f>
        <v/>
      </c>
      <c r="AB4" s="96">
        <f>Timeline!AB4</f>
        <v/>
      </c>
      <c r="AC4" s="96">
        <f>Timeline!AC4</f>
        <v/>
      </c>
      <c r="AD4" s="96">
        <f>Timeline!AD4</f>
        <v/>
      </c>
      <c r="AE4" s="96">
        <f>Timeline!AE4</f>
        <v/>
      </c>
      <c r="AF4" s="96">
        <f>Timeline!AF4</f>
        <v/>
      </c>
      <c r="AG4" s="96">
        <f>Timeline!AG4</f>
        <v/>
      </c>
      <c r="AH4" s="96">
        <f>Timeline!AH4</f>
        <v/>
      </c>
      <c r="AI4" s="96">
        <f>Timeline!AI4</f>
        <v/>
      </c>
      <c r="AJ4" s="96">
        <f>Timeline!AJ4</f>
        <v/>
      </c>
      <c r="AK4" s="96">
        <f>Timeline!AK4</f>
        <v/>
      </c>
      <c r="AL4" s="96">
        <f>Timeline!AL4</f>
        <v/>
      </c>
      <c r="AM4" s="96">
        <f>Timeline!AM4</f>
        <v/>
      </c>
      <c r="AN4" s="96">
        <f>Timeline!AN4</f>
        <v/>
      </c>
      <c r="AO4" s="96">
        <f>Timeline!AO4</f>
        <v/>
      </c>
      <c r="AP4" s="96">
        <f>Timeline!AP4</f>
        <v/>
      </c>
      <c r="AQ4" s="96">
        <f>Timeline!AQ4</f>
        <v/>
      </c>
      <c r="AR4" s="96">
        <f>Timeline!AR4</f>
        <v/>
      </c>
      <c r="AS4" s="96">
        <f>Timeline!AS4</f>
        <v/>
      </c>
      <c r="AT4" s="96">
        <f>Timeline!AT4</f>
        <v/>
      </c>
      <c r="AU4" s="96">
        <f>Timeline!AU4</f>
        <v/>
      </c>
      <c r="AV4" s="96">
        <f>Timeline!AV4</f>
        <v/>
      </c>
      <c r="AW4" s="96">
        <f>Timeline!AW4</f>
        <v/>
      </c>
      <c r="AX4" s="96">
        <f>Timeline!AX4</f>
        <v/>
      </c>
      <c r="AY4" s="96">
        <f>Timeline!AY4</f>
        <v/>
      </c>
      <c r="AZ4" s="96">
        <f>Timeline!AZ4</f>
        <v/>
      </c>
      <c r="BA4" s="96">
        <f>Timeline!BA4</f>
        <v/>
      </c>
      <c r="BB4" s="96">
        <f>Timeline!BB4</f>
        <v/>
      </c>
      <c r="BC4" s="96">
        <f>Timeline!BC4</f>
        <v/>
      </c>
      <c r="BD4" s="96">
        <f>Timeline!BD4</f>
        <v/>
      </c>
      <c r="BE4" s="96">
        <f>Timeline!BE4</f>
        <v/>
      </c>
      <c r="BF4" s="96">
        <f>Timeline!BF4</f>
        <v/>
      </c>
      <c r="BG4" s="96">
        <f>Timeline!BG4</f>
        <v/>
      </c>
      <c r="BH4" s="96">
        <f>Timeline!BH4</f>
        <v/>
      </c>
      <c r="BI4" s="96">
        <f>Timeline!BI4</f>
        <v/>
      </c>
      <c r="BJ4" s="96">
        <f>Timeline!BJ4</f>
        <v/>
      </c>
      <c r="BK4" s="96">
        <f>Timeline!BK4</f>
        <v/>
      </c>
      <c r="BL4" s="96">
        <f>Timeline!BL4</f>
        <v/>
      </c>
    </row>
    <row r="5">
      <c r="A5" s="94" t="inlineStr">
        <is>
          <t>Period end</t>
        </is>
      </c>
      <c r="B5" s="95" t="n"/>
      <c r="C5" s="95" t="n"/>
      <c r="D5" s="94" t="n"/>
      <c r="E5" s="97">
        <f>Timeline!E5</f>
        <v/>
      </c>
      <c r="F5" s="97">
        <f>Timeline!F5</f>
        <v/>
      </c>
      <c r="G5" s="97">
        <f>Timeline!G5</f>
        <v/>
      </c>
      <c r="H5" s="97">
        <f>Timeline!H5</f>
        <v/>
      </c>
      <c r="I5" s="97">
        <f>Timeline!I5</f>
        <v/>
      </c>
      <c r="J5" s="97">
        <f>Timeline!J5</f>
        <v/>
      </c>
      <c r="K5" s="97">
        <f>Timeline!K5</f>
        <v/>
      </c>
      <c r="L5" s="97">
        <f>Timeline!L5</f>
        <v/>
      </c>
      <c r="M5" s="97">
        <f>Timeline!M5</f>
        <v/>
      </c>
      <c r="N5" s="97">
        <f>Timeline!N5</f>
        <v/>
      </c>
      <c r="O5" s="97">
        <f>Timeline!O5</f>
        <v/>
      </c>
      <c r="P5" s="97">
        <f>Timeline!P5</f>
        <v/>
      </c>
      <c r="Q5" s="97">
        <f>Timeline!Q5</f>
        <v/>
      </c>
      <c r="R5" s="97">
        <f>Timeline!R5</f>
        <v/>
      </c>
      <c r="S5" s="97">
        <f>Timeline!S5</f>
        <v/>
      </c>
      <c r="T5" s="97">
        <f>Timeline!T5</f>
        <v/>
      </c>
      <c r="U5" s="97">
        <f>Timeline!U5</f>
        <v/>
      </c>
      <c r="V5" s="97">
        <f>Timeline!V5</f>
        <v/>
      </c>
      <c r="W5" s="97">
        <f>Timeline!W5</f>
        <v/>
      </c>
      <c r="X5" s="97">
        <f>Timeline!X5</f>
        <v/>
      </c>
      <c r="Y5" s="97">
        <f>Timeline!Y5</f>
        <v/>
      </c>
      <c r="Z5" s="97">
        <f>Timeline!Z5</f>
        <v/>
      </c>
      <c r="AA5" s="97">
        <f>Timeline!AA5</f>
        <v/>
      </c>
      <c r="AB5" s="97">
        <f>Timeline!AB5</f>
        <v/>
      </c>
      <c r="AC5" s="97">
        <f>Timeline!AC5</f>
        <v/>
      </c>
      <c r="AD5" s="97">
        <f>Timeline!AD5</f>
        <v/>
      </c>
      <c r="AE5" s="97">
        <f>Timeline!AE5</f>
        <v/>
      </c>
      <c r="AF5" s="97">
        <f>Timeline!AF5</f>
        <v/>
      </c>
      <c r="AG5" s="97">
        <f>Timeline!AG5</f>
        <v/>
      </c>
      <c r="AH5" s="97">
        <f>Timeline!AH5</f>
        <v/>
      </c>
      <c r="AI5" s="97">
        <f>Timeline!AI5</f>
        <v/>
      </c>
      <c r="AJ5" s="97">
        <f>Timeline!AJ5</f>
        <v/>
      </c>
      <c r="AK5" s="97">
        <f>Timeline!AK5</f>
        <v/>
      </c>
      <c r="AL5" s="97">
        <f>Timeline!AL5</f>
        <v/>
      </c>
      <c r="AM5" s="97">
        <f>Timeline!AM5</f>
        <v/>
      </c>
      <c r="AN5" s="97">
        <f>Timeline!AN5</f>
        <v/>
      </c>
      <c r="AO5" s="97">
        <f>Timeline!AO5</f>
        <v/>
      </c>
      <c r="AP5" s="97">
        <f>Timeline!AP5</f>
        <v/>
      </c>
      <c r="AQ5" s="97">
        <f>Timeline!AQ5</f>
        <v/>
      </c>
      <c r="AR5" s="97">
        <f>Timeline!AR5</f>
        <v/>
      </c>
      <c r="AS5" s="97">
        <f>Timeline!AS5</f>
        <v/>
      </c>
      <c r="AT5" s="97">
        <f>Timeline!AT5</f>
        <v/>
      </c>
      <c r="AU5" s="97">
        <f>Timeline!AU5</f>
        <v/>
      </c>
      <c r="AV5" s="97">
        <f>Timeline!AV5</f>
        <v/>
      </c>
      <c r="AW5" s="97">
        <f>Timeline!AW5</f>
        <v/>
      </c>
      <c r="AX5" s="97">
        <f>Timeline!AX5</f>
        <v/>
      </c>
      <c r="AY5" s="97">
        <f>Timeline!AY5</f>
        <v/>
      </c>
      <c r="AZ5" s="97">
        <f>Timeline!AZ5</f>
        <v/>
      </c>
      <c r="BA5" s="97">
        <f>Timeline!BA5</f>
        <v/>
      </c>
      <c r="BB5" s="97">
        <f>Timeline!BB5</f>
        <v/>
      </c>
      <c r="BC5" s="97">
        <f>Timeline!BC5</f>
        <v/>
      </c>
      <c r="BD5" s="97">
        <f>Timeline!BD5</f>
        <v/>
      </c>
      <c r="BE5" s="97">
        <f>Timeline!BE5</f>
        <v/>
      </c>
      <c r="BF5" s="97">
        <f>Timeline!BF5</f>
        <v/>
      </c>
      <c r="BG5" s="97">
        <f>Timeline!BG5</f>
        <v/>
      </c>
      <c r="BH5" s="97">
        <f>Timeline!BH5</f>
        <v/>
      </c>
      <c r="BI5" s="97">
        <f>Timeline!BI5</f>
        <v/>
      </c>
      <c r="BJ5" s="97">
        <f>Timeline!BJ5</f>
        <v/>
      </c>
      <c r="BK5" s="97">
        <f>Timeline!BK5</f>
        <v/>
      </c>
      <c r="BL5" s="97">
        <f>Timeline!BL5</f>
        <v/>
      </c>
    </row>
    <row r="6">
      <c r="A6" s="94" t="inlineStr">
        <is>
          <t>Year #</t>
        </is>
      </c>
      <c r="B6" s="95" t="n"/>
      <c r="C6" s="95" t="n"/>
      <c r="D6" s="94" t="n"/>
      <c r="E6" s="96">
        <f>Timeline!E6</f>
        <v/>
      </c>
      <c r="F6" s="96">
        <f>Timeline!F6</f>
        <v/>
      </c>
      <c r="G6" s="96">
        <f>Timeline!G6</f>
        <v/>
      </c>
      <c r="H6" s="96">
        <f>Timeline!H6</f>
        <v/>
      </c>
      <c r="I6" s="96">
        <f>Timeline!I6</f>
        <v/>
      </c>
      <c r="J6" s="96">
        <f>Timeline!J6</f>
        <v/>
      </c>
      <c r="K6" s="96">
        <f>Timeline!K6</f>
        <v/>
      </c>
      <c r="L6" s="96">
        <f>Timeline!L6</f>
        <v/>
      </c>
      <c r="M6" s="96">
        <f>Timeline!M6</f>
        <v/>
      </c>
      <c r="N6" s="96">
        <f>Timeline!N6</f>
        <v/>
      </c>
      <c r="O6" s="96">
        <f>Timeline!O6</f>
        <v/>
      </c>
      <c r="P6" s="96">
        <f>Timeline!P6</f>
        <v/>
      </c>
      <c r="Q6" s="96">
        <f>Timeline!Q6</f>
        <v/>
      </c>
      <c r="R6" s="96">
        <f>Timeline!R6</f>
        <v/>
      </c>
      <c r="S6" s="96">
        <f>Timeline!S6</f>
        <v/>
      </c>
      <c r="T6" s="96">
        <f>Timeline!T6</f>
        <v/>
      </c>
      <c r="U6" s="96">
        <f>Timeline!U6</f>
        <v/>
      </c>
      <c r="V6" s="96">
        <f>Timeline!V6</f>
        <v/>
      </c>
      <c r="W6" s="96">
        <f>Timeline!W6</f>
        <v/>
      </c>
      <c r="X6" s="96">
        <f>Timeline!X6</f>
        <v/>
      </c>
      <c r="Y6" s="96">
        <f>Timeline!Y6</f>
        <v/>
      </c>
      <c r="Z6" s="96">
        <f>Timeline!Z6</f>
        <v/>
      </c>
      <c r="AA6" s="96">
        <f>Timeline!AA6</f>
        <v/>
      </c>
      <c r="AB6" s="96">
        <f>Timeline!AB6</f>
        <v/>
      </c>
      <c r="AC6" s="96">
        <f>Timeline!AC6</f>
        <v/>
      </c>
      <c r="AD6" s="96">
        <f>Timeline!AD6</f>
        <v/>
      </c>
      <c r="AE6" s="96">
        <f>Timeline!AE6</f>
        <v/>
      </c>
      <c r="AF6" s="96">
        <f>Timeline!AF6</f>
        <v/>
      </c>
      <c r="AG6" s="96">
        <f>Timeline!AG6</f>
        <v/>
      </c>
      <c r="AH6" s="96">
        <f>Timeline!AH6</f>
        <v/>
      </c>
      <c r="AI6" s="96">
        <f>Timeline!AI6</f>
        <v/>
      </c>
      <c r="AJ6" s="96">
        <f>Timeline!AJ6</f>
        <v/>
      </c>
      <c r="AK6" s="96">
        <f>Timeline!AK6</f>
        <v/>
      </c>
      <c r="AL6" s="96">
        <f>Timeline!AL6</f>
        <v/>
      </c>
      <c r="AM6" s="96">
        <f>Timeline!AM6</f>
        <v/>
      </c>
      <c r="AN6" s="96">
        <f>Timeline!AN6</f>
        <v/>
      </c>
      <c r="AO6" s="96">
        <f>Timeline!AO6</f>
        <v/>
      </c>
      <c r="AP6" s="96">
        <f>Timeline!AP6</f>
        <v/>
      </c>
      <c r="AQ6" s="96">
        <f>Timeline!AQ6</f>
        <v/>
      </c>
      <c r="AR6" s="96">
        <f>Timeline!AR6</f>
        <v/>
      </c>
      <c r="AS6" s="96">
        <f>Timeline!AS6</f>
        <v/>
      </c>
      <c r="AT6" s="96">
        <f>Timeline!AT6</f>
        <v/>
      </c>
      <c r="AU6" s="96">
        <f>Timeline!AU6</f>
        <v/>
      </c>
      <c r="AV6" s="96">
        <f>Timeline!AV6</f>
        <v/>
      </c>
      <c r="AW6" s="96">
        <f>Timeline!AW6</f>
        <v/>
      </c>
      <c r="AX6" s="96">
        <f>Timeline!AX6</f>
        <v/>
      </c>
      <c r="AY6" s="96">
        <f>Timeline!AY6</f>
        <v/>
      </c>
      <c r="AZ6" s="96">
        <f>Timeline!AZ6</f>
        <v/>
      </c>
      <c r="BA6" s="96">
        <f>Timeline!BA6</f>
        <v/>
      </c>
      <c r="BB6" s="96">
        <f>Timeline!BB6</f>
        <v/>
      </c>
      <c r="BC6" s="96">
        <f>Timeline!BC6</f>
        <v/>
      </c>
      <c r="BD6" s="96">
        <f>Timeline!BD6</f>
        <v/>
      </c>
      <c r="BE6" s="96">
        <f>Timeline!BE6</f>
        <v/>
      </c>
      <c r="BF6" s="96">
        <f>Timeline!BF6</f>
        <v/>
      </c>
      <c r="BG6" s="96">
        <f>Timeline!BG6</f>
        <v/>
      </c>
      <c r="BH6" s="96">
        <f>Timeline!BH6</f>
        <v/>
      </c>
      <c r="BI6" s="96">
        <f>Timeline!BI6</f>
        <v/>
      </c>
      <c r="BJ6" s="96">
        <f>Timeline!BJ6</f>
        <v/>
      </c>
      <c r="BK6" s="96">
        <f>Timeline!BK6</f>
        <v/>
      </c>
      <c r="BL6" s="96">
        <f>Timeline!BL6</f>
        <v/>
      </c>
    </row>
    <row r="7"/>
    <row r="8">
      <c r="A8" s="21" t="inlineStr">
        <is>
          <t>Instalments collected by cohort (LCY)</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100" t="inlineStr">
        <is>
          <t>Total</t>
        </is>
      </c>
      <c r="B9" s="101" t="inlineStr"/>
      <c r="C9" s="103" t="n"/>
      <c r="D9" s="103" t="n"/>
      <c r="E9" s="104">
        <f>SUM(E10:E69)</f>
        <v/>
      </c>
      <c r="F9" s="104">
        <f>SUM(F10:F69)</f>
        <v/>
      </c>
      <c r="G9" s="104">
        <f>SUM(G10:G69)</f>
        <v/>
      </c>
      <c r="H9" s="104">
        <f>SUM(H10:H69)</f>
        <v/>
      </c>
      <c r="I9" s="104">
        <f>SUM(I10:I69)</f>
        <v/>
      </c>
      <c r="J9" s="104">
        <f>SUM(J10:J69)</f>
        <v/>
      </c>
      <c r="K9" s="104">
        <f>SUM(K10:K69)</f>
        <v/>
      </c>
      <c r="L9" s="104">
        <f>SUM(L10:L69)</f>
        <v/>
      </c>
      <c r="M9" s="104">
        <f>SUM(M10:M69)</f>
        <v/>
      </c>
      <c r="N9" s="104">
        <f>SUM(N10:N69)</f>
        <v/>
      </c>
      <c r="O9" s="104">
        <f>SUM(O10:O69)</f>
        <v/>
      </c>
      <c r="P9" s="104">
        <f>SUM(P10:P69)</f>
        <v/>
      </c>
      <c r="Q9" s="104">
        <f>SUM(Q10:Q69)</f>
        <v/>
      </c>
      <c r="R9" s="104">
        <f>SUM(R10:R69)</f>
        <v/>
      </c>
      <c r="S9" s="104">
        <f>SUM(S10:S69)</f>
        <v/>
      </c>
      <c r="T9" s="104">
        <f>SUM(T10:T69)</f>
        <v/>
      </c>
      <c r="U9" s="104">
        <f>SUM(U10:U69)</f>
        <v/>
      </c>
      <c r="V9" s="104">
        <f>SUM(V10:V69)</f>
        <v/>
      </c>
      <c r="W9" s="104">
        <f>SUM(W10:W69)</f>
        <v/>
      </c>
      <c r="X9" s="104">
        <f>SUM(X10:X69)</f>
        <v/>
      </c>
      <c r="Y9" s="104">
        <f>SUM(Y10:Y69)</f>
        <v/>
      </c>
      <c r="Z9" s="104">
        <f>SUM(Z10:Z69)</f>
        <v/>
      </c>
      <c r="AA9" s="104">
        <f>SUM(AA10:AA69)</f>
        <v/>
      </c>
      <c r="AB9" s="104">
        <f>SUM(AB10:AB69)</f>
        <v/>
      </c>
      <c r="AC9" s="104">
        <f>SUM(AC10:AC69)</f>
        <v/>
      </c>
      <c r="AD9" s="104">
        <f>SUM(AD10:AD69)</f>
        <v/>
      </c>
      <c r="AE9" s="104">
        <f>SUM(AE10:AE69)</f>
        <v/>
      </c>
      <c r="AF9" s="104">
        <f>SUM(AF10:AF69)</f>
        <v/>
      </c>
      <c r="AG9" s="104">
        <f>SUM(AG10:AG69)</f>
        <v/>
      </c>
      <c r="AH9" s="104">
        <f>SUM(AH10:AH69)</f>
        <v/>
      </c>
      <c r="AI9" s="104">
        <f>SUM(AI10:AI69)</f>
        <v/>
      </c>
      <c r="AJ9" s="104">
        <f>SUM(AJ10:AJ69)</f>
        <v/>
      </c>
      <c r="AK9" s="104">
        <f>SUM(AK10:AK69)</f>
        <v/>
      </c>
      <c r="AL9" s="104">
        <f>SUM(AL10:AL69)</f>
        <v/>
      </c>
      <c r="AM9" s="104">
        <f>SUM(AM10:AM69)</f>
        <v/>
      </c>
      <c r="AN9" s="104">
        <f>SUM(AN10:AN69)</f>
        <v/>
      </c>
      <c r="AO9" s="104">
        <f>SUM(AO10:AO69)</f>
        <v/>
      </c>
      <c r="AP9" s="104">
        <f>SUM(AP10:AP69)</f>
        <v/>
      </c>
      <c r="AQ9" s="104">
        <f>SUM(AQ10:AQ69)</f>
        <v/>
      </c>
      <c r="AR9" s="104">
        <f>SUM(AR10:AR69)</f>
        <v/>
      </c>
      <c r="AS9" s="104">
        <f>SUM(AS10:AS69)</f>
        <v/>
      </c>
      <c r="AT9" s="104">
        <f>SUM(AT10:AT69)</f>
        <v/>
      </c>
      <c r="AU9" s="104">
        <f>SUM(AU10:AU69)</f>
        <v/>
      </c>
      <c r="AV9" s="104">
        <f>SUM(AV10:AV69)</f>
        <v/>
      </c>
      <c r="AW9" s="104">
        <f>SUM(AW10:AW69)</f>
        <v/>
      </c>
      <c r="AX9" s="104">
        <f>SUM(AX10:AX69)</f>
        <v/>
      </c>
      <c r="AY9" s="104">
        <f>SUM(AY10:AY69)</f>
        <v/>
      </c>
      <c r="AZ9" s="104">
        <f>SUM(AZ10:AZ69)</f>
        <v/>
      </c>
      <c r="BA9" s="104">
        <f>SUM(BA10:BA69)</f>
        <v/>
      </c>
      <c r="BB9" s="104">
        <f>SUM(BB10:BB69)</f>
        <v/>
      </c>
      <c r="BC9" s="104">
        <f>SUM(BC10:BC69)</f>
        <v/>
      </c>
      <c r="BD9" s="104">
        <f>SUM(BD10:BD69)</f>
        <v/>
      </c>
      <c r="BE9" s="104">
        <f>SUM(BE10:BE69)</f>
        <v/>
      </c>
      <c r="BF9" s="104">
        <f>SUM(BF10:BF69)</f>
        <v/>
      </c>
      <c r="BG9" s="104">
        <f>SUM(BG10:BG69)</f>
        <v/>
      </c>
      <c r="BH9" s="104">
        <f>SUM(BH10:BH69)</f>
        <v/>
      </c>
      <c r="BI9" s="104">
        <f>SUM(BI10:BI69)</f>
        <v/>
      </c>
      <c r="BJ9" s="104">
        <f>SUM(BJ10:BJ69)</f>
        <v/>
      </c>
      <c r="BK9" s="104">
        <f>SUM(BK10:BK69)</f>
        <v/>
      </c>
      <c r="BL9" s="104">
        <f>SUM(BL10:BL69)</f>
        <v/>
      </c>
    </row>
    <row r="10">
      <c r="A10" s="147" t="inlineStr">
        <is>
          <t>Cohort month 1</t>
        </is>
      </c>
      <c r="B10" s="147" t="n">
        <v>1</v>
      </c>
      <c r="C10" s="41">
        <f>INDEX(Ops!$E$60:$BL$60,1,$B10)</f>
        <v/>
      </c>
      <c r="F10" s="153">
        <f>$C10*INDEX(Curves!$AD$8:$AD$68,F$4-$B10+1)</f>
        <v/>
      </c>
      <c r="G10" s="153">
        <f>$C10*INDEX(Curves!$AD$8:$AD$68,G$4-$B10+1)</f>
        <v/>
      </c>
      <c r="H10" s="153">
        <f>$C10*INDEX(Curves!$AD$8:$AD$68,H$4-$B10+1)</f>
        <v/>
      </c>
      <c r="I10" s="153">
        <f>$C10*INDEX(Curves!$AD$8:$AD$68,I$4-$B10+1)</f>
        <v/>
      </c>
      <c r="J10" s="153">
        <f>$C10*INDEX(Curves!$AD$8:$AD$68,J$4-$B10+1)</f>
        <v/>
      </c>
      <c r="K10" s="153">
        <f>$C10*INDEX(Curves!$AD$8:$AD$68,K$4-$B10+1)</f>
        <v/>
      </c>
      <c r="L10" s="153">
        <f>$C10*INDEX(Curves!$AD$8:$AD$68,L$4-$B10+1)</f>
        <v/>
      </c>
      <c r="M10" s="153">
        <f>$C10*INDEX(Curves!$AD$8:$AD$68,M$4-$B10+1)</f>
        <v/>
      </c>
      <c r="N10" s="153">
        <f>$C10*INDEX(Curves!$AD$8:$AD$68,N$4-$B10+1)</f>
        <v/>
      </c>
      <c r="O10" s="153">
        <f>$C10*INDEX(Curves!$AD$8:$AD$68,O$4-$B10+1)</f>
        <v/>
      </c>
      <c r="P10" s="153">
        <f>$C10*INDEX(Curves!$AD$8:$AD$68,P$4-$B10+1)</f>
        <v/>
      </c>
      <c r="Q10" s="153">
        <f>$C10*INDEX(Curves!$AD$8:$AD$68,Q$4-$B10+1)</f>
        <v/>
      </c>
      <c r="R10" s="153">
        <f>$C10*INDEX(Curves!$AD$8:$AD$68,R$4-$B10+1)</f>
        <v/>
      </c>
      <c r="S10" s="153">
        <f>$C10*INDEX(Curves!$AD$8:$AD$68,S$4-$B10+1)</f>
        <v/>
      </c>
      <c r="T10" s="153">
        <f>$C10*INDEX(Curves!$AD$8:$AD$68,T$4-$B10+1)</f>
        <v/>
      </c>
      <c r="U10" s="153">
        <f>$C10*INDEX(Curves!$AD$8:$AD$68,U$4-$B10+1)</f>
        <v/>
      </c>
      <c r="V10" s="153">
        <f>$C10*INDEX(Curves!$AD$8:$AD$68,V$4-$B10+1)</f>
        <v/>
      </c>
      <c r="W10" s="153">
        <f>$C10*INDEX(Curves!$AD$8:$AD$68,W$4-$B10+1)</f>
        <v/>
      </c>
      <c r="X10" s="153">
        <f>$C10*INDEX(Curves!$AD$8:$AD$68,X$4-$B10+1)</f>
        <v/>
      </c>
      <c r="Y10" s="153">
        <f>$C10*INDEX(Curves!$AD$8:$AD$68,Y$4-$B10+1)</f>
        <v/>
      </c>
      <c r="Z10" s="153">
        <f>$C10*INDEX(Curves!$AD$8:$AD$68,Z$4-$B10+1)</f>
        <v/>
      </c>
      <c r="AA10" s="153">
        <f>$C10*INDEX(Curves!$AD$8:$AD$68,AA$4-$B10+1)</f>
        <v/>
      </c>
      <c r="AB10" s="153">
        <f>$C10*INDEX(Curves!$AD$8:$AD$68,AB$4-$B10+1)</f>
        <v/>
      </c>
      <c r="AC10" s="153">
        <f>$C10*INDEX(Curves!$AD$8:$AD$68,AC$4-$B10+1)</f>
        <v/>
      </c>
      <c r="AD10" s="153">
        <f>$C10*INDEX(Curves!$AD$8:$AD$68,AD$4-$B10+1)</f>
        <v/>
      </c>
      <c r="AE10" s="153">
        <f>$C10*INDEX(Curves!$AD$8:$AD$68,AE$4-$B10+1)</f>
        <v/>
      </c>
      <c r="AF10" s="153">
        <f>$C10*INDEX(Curves!$AD$8:$AD$68,AF$4-$B10+1)</f>
        <v/>
      </c>
      <c r="AG10" s="153">
        <f>$C10*INDEX(Curves!$AD$8:$AD$68,AG$4-$B10+1)</f>
        <v/>
      </c>
      <c r="AH10" s="153">
        <f>$C10*INDEX(Curves!$AD$8:$AD$68,AH$4-$B10+1)</f>
        <v/>
      </c>
      <c r="AI10" s="153">
        <f>$C10*INDEX(Curves!$AD$8:$AD$68,AI$4-$B10+1)</f>
        <v/>
      </c>
      <c r="AJ10" s="153">
        <f>$C10*INDEX(Curves!$AD$8:$AD$68,AJ$4-$B10+1)</f>
        <v/>
      </c>
      <c r="AK10" s="153">
        <f>$C10*INDEX(Curves!$AD$8:$AD$68,AK$4-$B10+1)</f>
        <v/>
      </c>
      <c r="AL10" s="153">
        <f>$C10*INDEX(Curves!$AD$8:$AD$68,AL$4-$B10+1)</f>
        <v/>
      </c>
      <c r="AM10" s="153">
        <f>$C10*INDEX(Curves!$AD$8:$AD$68,AM$4-$B10+1)</f>
        <v/>
      </c>
      <c r="AN10" s="153">
        <f>$C10*INDEX(Curves!$AD$8:$AD$68,AN$4-$B10+1)</f>
        <v/>
      </c>
      <c r="AO10" s="153">
        <f>$C10*INDEX(Curves!$AD$8:$AD$68,AO$4-$B10+1)</f>
        <v/>
      </c>
      <c r="AP10" s="153">
        <f>$C10*INDEX(Curves!$AD$8:$AD$68,AP$4-$B10+1)</f>
        <v/>
      </c>
      <c r="AQ10" s="153">
        <f>$C10*INDEX(Curves!$AD$8:$AD$68,AQ$4-$B10+1)</f>
        <v/>
      </c>
      <c r="AR10" s="153">
        <f>$C10*INDEX(Curves!$AD$8:$AD$68,AR$4-$B10+1)</f>
        <v/>
      </c>
      <c r="AS10" s="153">
        <f>$C10*INDEX(Curves!$AD$8:$AD$68,AS$4-$B10+1)</f>
        <v/>
      </c>
      <c r="AT10" s="153">
        <f>$C10*INDEX(Curves!$AD$8:$AD$68,AT$4-$B10+1)</f>
        <v/>
      </c>
      <c r="AU10" s="153">
        <f>$C10*INDEX(Curves!$AD$8:$AD$68,AU$4-$B10+1)</f>
        <v/>
      </c>
      <c r="AV10" s="153">
        <f>$C10*INDEX(Curves!$AD$8:$AD$68,AV$4-$B10+1)</f>
        <v/>
      </c>
      <c r="AW10" s="153">
        <f>$C10*INDEX(Curves!$AD$8:$AD$68,AW$4-$B10+1)</f>
        <v/>
      </c>
      <c r="AX10" s="153">
        <f>$C10*INDEX(Curves!$AD$8:$AD$68,AX$4-$B10+1)</f>
        <v/>
      </c>
      <c r="AY10" s="153">
        <f>$C10*INDEX(Curves!$AD$8:$AD$68,AY$4-$B10+1)</f>
        <v/>
      </c>
      <c r="AZ10" s="153">
        <f>$C10*INDEX(Curves!$AD$8:$AD$68,AZ$4-$B10+1)</f>
        <v/>
      </c>
      <c r="BA10" s="153">
        <f>$C10*INDEX(Curves!$AD$8:$AD$68,BA$4-$B10+1)</f>
        <v/>
      </c>
      <c r="BB10" s="153">
        <f>$C10*INDEX(Curves!$AD$8:$AD$68,BB$4-$B10+1)</f>
        <v/>
      </c>
      <c r="BC10" s="153">
        <f>$C10*INDEX(Curves!$AD$8:$AD$68,BC$4-$B10+1)</f>
        <v/>
      </c>
      <c r="BD10" s="153">
        <f>$C10*INDEX(Curves!$AD$8:$AD$68,BD$4-$B10+1)</f>
        <v/>
      </c>
      <c r="BE10" s="153">
        <f>$C10*INDEX(Curves!$AD$8:$AD$68,BE$4-$B10+1)</f>
        <v/>
      </c>
      <c r="BF10" s="153">
        <f>$C10*INDEX(Curves!$AD$8:$AD$68,BF$4-$B10+1)</f>
        <v/>
      </c>
      <c r="BG10" s="153">
        <f>$C10*INDEX(Curves!$AD$8:$AD$68,BG$4-$B10+1)</f>
        <v/>
      </c>
      <c r="BH10" s="153">
        <f>$C10*INDEX(Curves!$AD$8:$AD$68,BH$4-$B10+1)</f>
        <v/>
      </c>
      <c r="BI10" s="153">
        <f>$C10*INDEX(Curves!$AD$8:$AD$68,BI$4-$B10+1)</f>
        <v/>
      </c>
      <c r="BJ10" s="153">
        <f>$C10*INDEX(Curves!$AD$8:$AD$68,BJ$4-$B10+1)</f>
        <v/>
      </c>
      <c r="BK10" s="153">
        <f>$C10*INDEX(Curves!$AD$8:$AD$68,BK$4-$B10+1)</f>
        <v/>
      </c>
      <c r="BL10" s="153">
        <f>$C10*INDEX(Curves!$AD$8:$AD$68,BL$4-$B10+1)</f>
        <v/>
      </c>
    </row>
    <row r="11">
      <c r="A11" s="147" t="inlineStr">
        <is>
          <t>Cohort month 2</t>
        </is>
      </c>
      <c r="B11" s="147" t="n">
        <v>2</v>
      </c>
      <c r="C11" s="41">
        <f>INDEX(Ops!$E$60:$BL$60,1,$B11)</f>
        <v/>
      </c>
      <c r="G11" s="153">
        <f>$C11*INDEX(Curves!$AD$8:$AD$68,G$4-$B11+1)</f>
        <v/>
      </c>
      <c r="H11" s="153">
        <f>$C11*INDEX(Curves!$AD$8:$AD$68,H$4-$B11+1)</f>
        <v/>
      </c>
      <c r="I11" s="153">
        <f>$C11*INDEX(Curves!$AD$8:$AD$68,I$4-$B11+1)</f>
        <v/>
      </c>
      <c r="J11" s="153">
        <f>$C11*INDEX(Curves!$AD$8:$AD$68,J$4-$B11+1)</f>
        <v/>
      </c>
      <c r="K11" s="153">
        <f>$C11*INDEX(Curves!$AD$8:$AD$68,K$4-$B11+1)</f>
        <v/>
      </c>
      <c r="L11" s="153">
        <f>$C11*INDEX(Curves!$AD$8:$AD$68,L$4-$B11+1)</f>
        <v/>
      </c>
      <c r="M11" s="153">
        <f>$C11*INDEX(Curves!$AD$8:$AD$68,M$4-$B11+1)</f>
        <v/>
      </c>
      <c r="N11" s="153">
        <f>$C11*INDEX(Curves!$AD$8:$AD$68,N$4-$B11+1)</f>
        <v/>
      </c>
      <c r="O11" s="153">
        <f>$C11*INDEX(Curves!$AD$8:$AD$68,O$4-$B11+1)</f>
        <v/>
      </c>
      <c r="P11" s="153">
        <f>$C11*INDEX(Curves!$AD$8:$AD$68,P$4-$B11+1)</f>
        <v/>
      </c>
      <c r="Q11" s="153">
        <f>$C11*INDEX(Curves!$AD$8:$AD$68,Q$4-$B11+1)</f>
        <v/>
      </c>
      <c r="R11" s="153">
        <f>$C11*INDEX(Curves!$AD$8:$AD$68,R$4-$B11+1)</f>
        <v/>
      </c>
      <c r="S11" s="153">
        <f>$C11*INDEX(Curves!$AD$8:$AD$68,S$4-$B11+1)</f>
        <v/>
      </c>
      <c r="T11" s="153">
        <f>$C11*INDEX(Curves!$AD$8:$AD$68,T$4-$B11+1)</f>
        <v/>
      </c>
      <c r="U11" s="153">
        <f>$C11*INDEX(Curves!$AD$8:$AD$68,U$4-$B11+1)</f>
        <v/>
      </c>
      <c r="V11" s="153">
        <f>$C11*INDEX(Curves!$AD$8:$AD$68,V$4-$B11+1)</f>
        <v/>
      </c>
      <c r="W11" s="153">
        <f>$C11*INDEX(Curves!$AD$8:$AD$68,W$4-$B11+1)</f>
        <v/>
      </c>
      <c r="X11" s="153">
        <f>$C11*INDEX(Curves!$AD$8:$AD$68,X$4-$B11+1)</f>
        <v/>
      </c>
      <c r="Y11" s="153">
        <f>$C11*INDEX(Curves!$AD$8:$AD$68,Y$4-$B11+1)</f>
        <v/>
      </c>
      <c r="Z11" s="153">
        <f>$C11*INDEX(Curves!$AD$8:$AD$68,Z$4-$B11+1)</f>
        <v/>
      </c>
      <c r="AA11" s="153">
        <f>$C11*INDEX(Curves!$AD$8:$AD$68,AA$4-$B11+1)</f>
        <v/>
      </c>
      <c r="AB11" s="153">
        <f>$C11*INDEX(Curves!$AD$8:$AD$68,AB$4-$B11+1)</f>
        <v/>
      </c>
      <c r="AC11" s="153">
        <f>$C11*INDEX(Curves!$AD$8:$AD$68,AC$4-$B11+1)</f>
        <v/>
      </c>
      <c r="AD11" s="153">
        <f>$C11*INDEX(Curves!$AD$8:$AD$68,AD$4-$B11+1)</f>
        <v/>
      </c>
      <c r="AE11" s="153">
        <f>$C11*INDEX(Curves!$AD$8:$AD$68,AE$4-$B11+1)</f>
        <v/>
      </c>
      <c r="AF11" s="153">
        <f>$C11*INDEX(Curves!$AD$8:$AD$68,AF$4-$B11+1)</f>
        <v/>
      </c>
      <c r="AG11" s="153">
        <f>$C11*INDEX(Curves!$AD$8:$AD$68,AG$4-$B11+1)</f>
        <v/>
      </c>
      <c r="AH11" s="153">
        <f>$C11*INDEX(Curves!$AD$8:$AD$68,AH$4-$B11+1)</f>
        <v/>
      </c>
      <c r="AI11" s="153">
        <f>$C11*INDEX(Curves!$AD$8:$AD$68,AI$4-$B11+1)</f>
        <v/>
      </c>
      <c r="AJ11" s="153">
        <f>$C11*INDEX(Curves!$AD$8:$AD$68,AJ$4-$B11+1)</f>
        <v/>
      </c>
      <c r="AK11" s="153">
        <f>$C11*INDEX(Curves!$AD$8:$AD$68,AK$4-$B11+1)</f>
        <v/>
      </c>
      <c r="AL11" s="153">
        <f>$C11*INDEX(Curves!$AD$8:$AD$68,AL$4-$B11+1)</f>
        <v/>
      </c>
      <c r="AM11" s="153">
        <f>$C11*INDEX(Curves!$AD$8:$AD$68,AM$4-$B11+1)</f>
        <v/>
      </c>
      <c r="AN11" s="153">
        <f>$C11*INDEX(Curves!$AD$8:$AD$68,AN$4-$B11+1)</f>
        <v/>
      </c>
      <c r="AO11" s="153">
        <f>$C11*INDEX(Curves!$AD$8:$AD$68,AO$4-$B11+1)</f>
        <v/>
      </c>
      <c r="AP11" s="153">
        <f>$C11*INDEX(Curves!$AD$8:$AD$68,AP$4-$B11+1)</f>
        <v/>
      </c>
      <c r="AQ11" s="153">
        <f>$C11*INDEX(Curves!$AD$8:$AD$68,AQ$4-$B11+1)</f>
        <v/>
      </c>
      <c r="AR11" s="153">
        <f>$C11*INDEX(Curves!$AD$8:$AD$68,AR$4-$B11+1)</f>
        <v/>
      </c>
      <c r="AS11" s="153">
        <f>$C11*INDEX(Curves!$AD$8:$AD$68,AS$4-$B11+1)</f>
        <v/>
      </c>
      <c r="AT11" s="153">
        <f>$C11*INDEX(Curves!$AD$8:$AD$68,AT$4-$B11+1)</f>
        <v/>
      </c>
      <c r="AU11" s="153">
        <f>$C11*INDEX(Curves!$AD$8:$AD$68,AU$4-$B11+1)</f>
        <v/>
      </c>
      <c r="AV11" s="153">
        <f>$C11*INDEX(Curves!$AD$8:$AD$68,AV$4-$B11+1)</f>
        <v/>
      </c>
      <c r="AW11" s="153">
        <f>$C11*INDEX(Curves!$AD$8:$AD$68,AW$4-$B11+1)</f>
        <v/>
      </c>
      <c r="AX11" s="153">
        <f>$C11*INDEX(Curves!$AD$8:$AD$68,AX$4-$B11+1)</f>
        <v/>
      </c>
      <c r="AY11" s="153">
        <f>$C11*INDEX(Curves!$AD$8:$AD$68,AY$4-$B11+1)</f>
        <v/>
      </c>
      <c r="AZ11" s="153">
        <f>$C11*INDEX(Curves!$AD$8:$AD$68,AZ$4-$B11+1)</f>
        <v/>
      </c>
      <c r="BA11" s="153">
        <f>$C11*INDEX(Curves!$AD$8:$AD$68,BA$4-$B11+1)</f>
        <v/>
      </c>
      <c r="BB11" s="153">
        <f>$C11*INDEX(Curves!$AD$8:$AD$68,BB$4-$B11+1)</f>
        <v/>
      </c>
      <c r="BC11" s="153">
        <f>$C11*INDEX(Curves!$AD$8:$AD$68,BC$4-$B11+1)</f>
        <v/>
      </c>
      <c r="BD11" s="153">
        <f>$C11*INDEX(Curves!$AD$8:$AD$68,BD$4-$B11+1)</f>
        <v/>
      </c>
      <c r="BE11" s="153">
        <f>$C11*INDEX(Curves!$AD$8:$AD$68,BE$4-$B11+1)</f>
        <v/>
      </c>
      <c r="BF11" s="153">
        <f>$C11*INDEX(Curves!$AD$8:$AD$68,BF$4-$B11+1)</f>
        <v/>
      </c>
      <c r="BG11" s="153">
        <f>$C11*INDEX(Curves!$AD$8:$AD$68,BG$4-$B11+1)</f>
        <v/>
      </c>
      <c r="BH11" s="153">
        <f>$C11*INDEX(Curves!$AD$8:$AD$68,BH$4-$B11+1)</f>
        <v/>
      </c>
      <c r="BI11" s="153">
        <f>$C11*INDEX(Curves!$AD$8:$AD$68,BI$4-$B11+1)</f>
        <v/>
      </c>
      <c r="BJ11" s="153">
        <f>$C11*INDEX(Curves!$AD$8:$AD$68,BJ$4-$B11+1)</f>
        <v/>
      </c>
      <c r="BK11" s="153">
        <f>$C11*INDEX(Curves!$AD$8:$AD$68,BK$4-$B11+1)</f>
        <v/>
      </c>
      <c r="BL11" s="153">
        <f>$C11*INDEX(Curves!$AD$8:$AD$68,BL$4-$B11+1)</f>
        <v/>
      </c>
    </row>
    <row r="12">
      <c r="A12" s="147" t="inlineStr">
        <is>
          <t>Cohort month 3</t>
        </is>
      </c>
      <c r="B12" s="147" t="n">
        <v>3</v>
      </c>
      <c r="C12" s="41">
        <f>INDEX(Ops!$E$60:$BL$60,1,$B12)</f>
        <v/>
      </c>
      <c r="H12" s="153">
        <f>$C12*INDEX(Curves!$AD$8:$AD$68,H$4-$B12+1)</f>
        <v/>
      </c>
      <c r="I12" s="153">
        <f>$C12*INDEX(Curves!$AD$8:$AD$68,I$4-$B12+1)</f>
        <v/>
      </c>
      <c r="J12" s="153">
        <f>$C12*INDEX(Curves!$AD$8:$AD$68,J$4-$B12+1)</f>
        <v/>
      </c>
      <c r="K12" s="153">
        <f>$C12*INDEX(Curves!$AD$8:$AD$68,K$4-$B12+1)</f>
        <v/>
      </c>
      <c r="L12" s="153">
        <f>$C12*INDEX(Curves!$AD$8:$AD$68,L$4-$B12+1)</f>
        <v/>
      </c>
      <c r="M12" s="153">
        <f>$C12*INDEX(Curves!$AD$8:$AD$68,M$4-$B12+1)</f>
        <v/>
      </c>
      <c r="N12" s="153">
        <f>$C12*INDEX(Curves!$AD$8:$AD$68,N$4-$B12+1)</f>
        <v/>
      </c>
      <c r="O12" s="153">
        <f>$C12*INDEX(Curves!$AD$8:$AD$68,O$4-$B12+1)</f>
        <v/>
      </c>
      <c r="P12" s="153">
        <f>$C12*INDEX(Curves!$AD$8:$AD$68,P$4-$B12+1)</f>
        <v/>
      </c>
      <c r="Q12" s="153">
        <f>$C12*INDEX(Curves!$AD$8:$AD$68,Q$4-$B12+1)</f>
        <v/>
      </c>
      <c r="R12" s="153">
        <f>$C12*INDEX(Curves!$AD$8:$AD$68,R$4-$B12+1)</f>
        <v/>
      </c>
      <c r="S12" s="153">
        <f>$C12*INDEX(Curves!$AD$8:$AD$68,S$4-$B12+1)</f>
        <v/>
      </c>
      <c r="T12" s="153">
        <f>$C12*INDEX(Curves!$AD$8:$AD$68,T$4-$B12+1)</f>
        <v/>
      </c>
      <c r="U12" s="153">
        <f>$C12*INDEX(Curves!$AD$8:$AD$68,U$4-$B12+1)</f>
        <v/>
      </c>
      <c r="V12" s="153">
        <f>$C12*INDEX(Curves!$AD$8:$AD$68,V$4-$B12+1)</f>
        <v/>
      </c>
      <c r="W12" s="153">
        <f>$C12*INDEX(Curves!$AD$8:$AD$68,W$4-$B12+1)</f>
        <v/>
      </c>
      <c r="X12" s="153">
        <f>$C12*INDEX(Curves!$AD$8:$AD$68,X$4-$B12+1)</f>
        <v/>
      </c>
      <c r="Y12" s="153">
        <f>$C12*INDEX(Curves!$AD$8:$AD$68,Y$4-$B12+1)</f>
        <v/>
      </c>
      <c r="Z12" s="153">
        <f>$C12*INDEX(Curves!$AD$8:$AD$68,Z$4-$B12+1)</f>
        <v/>
      </c>
      <c r="AA12" s="153">
        <f>$C12*INDEX(Curves!$AD$8:$AD$68,AA$4-$B12+1)</f>
        <v/>
      </c>
      <c r="AB12" s="153">
        <f>$C12*INDEX(Curves!$AD$8:$AD$68,AB$4-$B12+1)</f>
        <v/>
      </c>
      <c r="AC12" s="153">
        <f>$C12*INDEX(Curves!$AD$8:$AD$68,AC$4-$B12+1)</f>
        <v/>
      </c>
      <c r="AD12" s="153">
        <f>$C12*INDEX(Curves!$AD$8:$AD$68,AD$4-$B12+1)</f>
        <v/>
      </c>
      <c r="AE12" s="153">
        <f>$C12*INDEX(Curves!$AD$8:$AD$68,AE$4-$B12+1)</f>
        <v/>
      </c>
      <c r="AF12" s="153">
        <f>$C12*INDEX(Curves!$AD$8:$AD$68,AF$4-$B12+1)</f>
        <v/>
      </c>
      <c r="AG12" s="153">
        <f>$C12*INDEX(Curves!$AD$8:$AD$68,AG$4-$B12+1)</f>
        <v/>
      </c>
      <c r="AH12" s="153">
        <f>$C12*INDEX(Curves!$AD$8:$AD$68,AH$4-$B12+1)</f>
        <v/>
      </c>
      <c r="AI12" s="153">
        <f>$C12*INDEX(Curves!$AD$8:$AD$68,AI$4-$B12+1)</f>
        <v/>
      </c>
      <c r="AJ12" s="153">
        <f>$C12*INDEX(Curves!$AD$8:$AD$68,AJ$4-$B12+1)</f>
        <v/>
      </c>
      <c r="AK12" s="153">
        <f>$C12*INDEX(Curves!$AD$8:$AD$68,AK$4-$B12+1)</f>
        <v/>
      </c>
      <c r="AL12" s="153">
        <f>$C12*INDEX(Curves!$AD$8:$AD$68,AL$4-$B12+1)</f>
        <v/>
      </c>
      <c r="AM12" s="153">
        <f>$C12*INDEX(Curves!$AD$8:$AD$68,AM$4-$B12+1)</f>
        <v/>
      </c>
      <c r="AN12" s="153">
        <f>$C12*INDEX(Curves!$AD$8:$AD$68,AN$4-$B12+1)</f>
        <v/>
      </c>
      <c r="AO12" s="153">
        <f>$C12*INDEX(Curves!$AD$8:$AD$68,AO$4-$B12+1)</f>
        <v/>
      </c>
      <c r="AP12" s="153">
        <f>$C12*INDEX(Curves!$AD$8:$AD$68,AP$4-$B12+1)</f>
        <v/>
      </c>
      <c r="AQ12" s="153">
        <f>$C12*INDEX(Curves!$AD$8:$AD$68,AQ$4-$B12+1)</f>
        <v/>
      </c>
      <c r="AR12" s="153">
        <f>$C12*INDEX(Curves!$AD$8:$AD$68,AR$4-$B12+1)</f>
        <v/>
      </c>
      <c r="AS12" s="153">
        <f>$C12*INDEX(Curves!$AD$8:$AD$68,AS$4-$B12+1)</f>
        <v/>
      </c>
      <c r="AT12" s="153">
        <f>$C12*INDEX(Curves!$AD$8:$AD$68,AT$4-$B12+1)</f>
        <v/>
      </c>
      <c r="AU12" s="153">
        <f>$C12*INDEX(Curves!$AD$8:$AD$68,AU$4-$B12+1)</f>
        <v/>
      </c>
      <c r="AV12" s="153">
        <f>$C12*INDEX(Curves!$AD$8:$AD$68,AV$4-$B12+1)</f>
        <v/>
      </c>
      <c r="AW12" s="153">
        <f>$C12*INDEX(Curves!$AD$8:$AD$68,AW$4-$B12+1)</f>
        <v/>
      </c>
      <c r="AX12" s="153">
        <f>$C12*INDEX(Curves!$AD$8:$AD$68,AX$4-$B12+1)</f>
        <v/>
      </c>
      <c r="AY12" s="153">
        <f>$C12*INDEX(Curves!$AD$8:$AD$68,AY$4-$B12+1)</f>
        <v/>
      </c>
      <c r="AZ12" s="153">
        <f>$C12*INDEX(Curves!$AD$8:$AD$68,AZ$4-$B12+1)</f>
        <v/>
      </c>
      <c r="BA12" s="153">
        <f>$C12*INDEX(Curves!$AD$8:$AD$68,BA$4-$B12+1)</f>
        <v/>
      </c>
      <c r="BB12" s="153">
        <f>$C12*INDEX(Curves!$AD$8:$AD$68,BB$4-$B12+1)</f>
        <v/>
      </c>
      <c r="BC12" s="153">
        <f>$C12*INDEX(Curves!$AD$8:$AD$68,BC$4-$B12+1)</f>
        <v/>
      </c>
      <c r="BD12" s="153">
        <f>$C12*INDEX(Curves!$AD$8:$AD$68,BD$4-$B12+1)</f>
        <v/>
      </c>
      <c r="BE12" s="153">
        <f>$C12*INDEX(Curves!$AD$8:$AD$68,BE$4-$B12+1)</f>
        <v/>
      </c>
      <c r="BF12" s="153">
        <f>$C12*INDEX(Curves!$AD$8:$AD$68,BF$4-$B12+1)</f>
        <v/>
      </c>
      <c r="BG12" s="153">
        <f>$C12*INDEX(Curves!$AD$8:$AD$68,BG$4-$B12+1)</f>
        <v/>
      </c>
      <c r="BH12" s="153">
        <f>$C12*INDEX(Curves!$AD$8:$AD$68,BH$4-$B12+1)</f>
        <v/>
      </c>
      <c r="BI12" s="153">
        <f>$C12*INDEX(Curves!$AD$8:$AD$68,BI$4-$B12+1)</f>
        <v/>
      </c>
      <c r="BJ12" s="153">
        <f>$C12*INDEX(Curves!$AD$8:$AD$68,BJ$4-$B12+1)</f>
        <v/>
      </c>
      <c r="BK12" s="153">
        <f>$C12*INDEX(Curves!$AD$8:$AD$68,BK$4-$B12+1)</f>
        <v/>
      </c>
      <c r="BL12" s="153">
        <f>$C12*INDEX(Curves!$AD$8:$AD$68,BL$4-$B12+1)</f>
        <v/>
      </c>
    </row>
    <row r="13">
      <c r="A13" s="147" t="inlineStr">
        <is>
          <t>Cohort month 4</t>
        </is>
      </c>
      <c r="B13" s="147" t="n">
        <v>4</v>
      </c>
      <c r="C13" s="41">
        <f>INDEX(Ops!$E$60:$BL$60,1,$B13)</f>
        <v/>
      </c>
      <c r="I13" s="153">
        <f>$C13*INDEX(Curves!$AD$8:$AD$68,I$4-$B13+1)</f>
        <v/>
      </c>
      <c r="J13" s="153">
        <f>$C13*INDEX(Curves!$AD$8:$AD$68,J$4-$B13+1)</f>
        <v/>
      </c>
      <c r="K13" s="153">
        <f>$C13*INDEX(Curves!$AD$8:$AD$68,K$4-$B13+1)</f>
        <v/>
      </c>
      <c r="L13" s="153">
        <f>$C13*INDEX(Curves!$AD$8:$AD$68,L$4-$B13+1)</f>
        <v/>
      </c>
      <c r="M13" s="153">
        <f>$C13*INDEX(Curves!$AD$8:$AD$68,M$4-$B13+1)</f>
        <v/>
      </c>
      <c r="N13" s="153">
        <f>$C13*INDEX(Curves!$AD$8:$AD$68,N$4-$B13+1)</f>
        <v/>
      </c>
      <c r="O13" s="153">
        <f>$C13*INDEX(Curves!$AD$8:$AD$68,O$4-$B13+1)</f>
        <v/>
      </c>
      <c r="P13" s="153">
        <f>$C13*INDEX(Curves!$AD$8:$AD$68,P$4-$B13+1)</f>
        <v/>
      </c>
      <c r="Q13" s="153">
        <f>$C13*INDEX(Curves!$AD$8:$AD$68,Q$4-$B13+1)</f>
        <v/>
      </c>
      <c r="R13" s="153">
        <f>$C13*INDEX(Curves!$AD$8:$AD$68,R$4-$B13+1)</f>
        <v/>
      </c>
      <c r="S13" s="153">
        <f>$C13*INDEX(Curves!$AD$8:$AD$68,S$4-$B13+1)</f>
        <v/>
      </c>
      <c r="T13" s="153">
        <f>$C13*INDEX(Curves!$AD$8:$AD$68,T$4-$B13+1)</f>
        <v/>
      </c>
      <c r="U13" s="153">
        <f>$C13*INDEX(Curves!$AD$8:$AD$68,U$4-$B13+1)</f>
        <v/>
      </c>
      <c r="V13" s="153">
        <f>$C13*INDEX(Curves!$AD$8:$AD$68,V$4-$B13+1)</f>
        <v/>
      </c>
      <c r="W13" s="153">
        <f>$C13*INDEX(Curves!$AD$8:$AD$68,W$4-$B13+1)</f>
        <v/>
      </c>
      <c r="X13" s="153">
        <f>$C13*INDEX(Curves!$AD$8:$AD$68,X$4-$B13+1)</f>
        <v/>
      </c>
      <c r="Y13" s="153">
        <f>$C13*INDEX(Curves!$AD$8:$AD$68,Y$4-$B13+1)</f>
        <v/>
      </c>
      <c r="Z13" s="153">
        <f>$C13*INDEX(Curves!$AD$8:$AD$68,Z$4-$B13+1)</f>
        <v/>
      </c>
      <c r="AA13" s="153">
        <f>$C13*INDEX(Curves!$AD$8:$AD$68,AA$4-$B13+1)</f>
        <v/>
      </c>
      <c r="AB13" s="153">
        <f>$C13*INDEX(Curves!$AD$8:$AD$68,AB$4-$B13+1)</f>
        <v/>
      </c>
      <c r="AC13" s="153">
        <f>$C13*INDEX(Curves!$AD$8:$AD$68,AC$4-$B13+1)</f>
        <v/>
      </c>
      <c r="AD13" s="153">
        <f>$C13*INDEX(Curves!$AD$8:$AD$68,AD$4-$B13+1)</f>
        <v/>
      </c>
      <c r="AE13" s="153">
        <f>$C13*INDEX(Curves!$AD$8:$AD$68,AE$4-$B13+1)</f>
        <v/>
      </c>
      <c r="AF13" s="153">
        <f>$C13*INDEX(Curves!$AD$8:$AD$68,AF$4-$B13+1)</f>
        <v/>
      </c>
      <c r="AG13" s="153">
        <f>$C13*INDEX(Curves!$AD$8:$AD$68,AG$4-$B13+1)</f>
        <v/>
      </c>
      <c r="AH13" s="153">
        <f>$C13*INDEX(Curves!$AD$8:$AD$68,AH$4-$B13+1)</f>
        <v/>
      </c>
      <c r="AI13" s="153">
        <f>$C13*INDEX(Curves!$AD$8:$AD$68,AI$4-$B13+1)</f>
        <v/>
      </c>
      <c r="AJ13" s="153">
        <f>$C13*INDEX(Curves!$AD$8:$AD$68,AJ$4-$B13+1)</f>
        <v/>
      </c>
      <c r="AK13" s="153">
        <f>$C13*INDEX(Curves!$AD$8:$AD$68,AK$4-$B13+1)</f>
        <v/>
      </c>
      <c r="AL13" s="153">
        <f>$C13*INDEX(Curves!$AD$8:$AD$68,AL$4-$B13+1)</f>
        <v/>
      </c>
      <c r="AM13" s="153">
        <f>$C13*INDEX(Curves!$AD$8:$AD$68,AM$4-$B13+1)</f>
        <v/>
      </c>
      <c r="AN13" s="153">
        <f>$C13*INDEX(Curves!$AD$8:$AD$68,AN$4-$B13+1)</f>
        <v/>
      </c>
      <c r="AO13" s="153">
        <f>$C13*INDEX(Curves!$AD$8:$AD$68,AO$4-$B13+1)</f>
        <v/>
      </c>
      <c r="AP13" s="153">
        <f>$C13*INDEX(Curves!$AD$8:$AD$68,AP$4-$B13+1)</f>
        <v/>
      </c>
      <c r="AQ13" s="153">
        <f>$C13*INDEX(Curves!$AD$8:$AD$68,AQ$4-$B13+1)</f>
        <v/>
      </c>
      <c r="AR13" s="153">
        <f>$C13*INDEX(Curves!$AD$8:$AD$68,AR$4-$B13+1)</f>
        <v/>
      </c>
      <c r="AS13" s="153">
        <f>$C13*INDEX(Curves!$AD$8:$AD$68,AS$4-$B13+1)</f>
        <v/>
      </c>
      <c r="AT13" s="153">
        <f>$C13*INDEX(Curves!$AD$8:$AD$68,AT$4-$B13+1)</f>
        <v/>
      </c>
      <c r="AU13" s="153">
        <f>$C13*INDEX(Curves!$AD$8:$AD$68,AU$4-$B13+1)</f>
        <v/>
      </c>
      <c r="AV13" s="153">
        <f>$C13*INDEX(Curves!$AD$8:$AD$68,AV$4-$B13+1)</f>
        <v/>
      </c>
      <c r="AW13" s="153">
        <f>$C13*INDEX(Curves!$AD$8:$AD$68,AW$4-$B13+1)</f>
        <v/>
      </c>
      <c r="AX13" s="153">
        <f>$C13*INDEX(Curves!$AD$8:$AD$68,AX$4-$B13+1)</f>
        <v/>
      </c>
      <c r="AY13" s="153">
        <f>$C13*INDEX(Curves!$AD$8:$AD$68,AY$4-$B13+1)</f>
        <v/>
      </c>
      <c r="AZ13" s="153">
        <f>$C13*INDEX(Curves!$AD$8:$AD$68,AZ$4-$B13+1)</f>
        <v/>
      </c>
      <c r="BA13" s="153">
        <f>$C13*INDEX(Curves!$AD$8:$AD$68,BA$4-$B13+1)</f>
        <v/>
      </c>
      <c r="BB13" s="153">
        <f>$C13*INDEX(Curves!$AD$8:$AD$68,BB$4-$B13+1)</f>
        <v/>
      </c>
      <c r="BC13" s="153">
        <f>$C13*INDEX(Curves!$AD$8:$AD$68,BC$4-$B13+1)</f>
        <v/>
      </c>
      <c r="BD13" s="153">
        <f>$C13*INDEX(Curves!$AD$8:$AD$68,BD$4-$B13+1)</f>
        <v/>
      </c>
      <c r="BE13" s="153">
        <f>$C13*INDEX(Curves!$AD$8:$AD$68,BE$4-$B13+1)</f>
        <v/>
      </c>
      <c r="BF13" s="153">
        <f>$C13*INDEX(Curves!$AD$8:$AD$68,BF$4-$B13+1)</f>
        <v/>
      </c>
      <c r="BG13" s="153">
        <f>$C13*INDEX(Curves!$AD$8:$AD$68,BG$4-$B13+1)</f>
        <v/>
      </c>
      <c r="BH13" s="153">
        <f>$C13*INDEX(Curves!$AD$8:$AD$68,BH$4-$B13+1)</f>
        <v/>
      </c>
      <c r="BI13" s="153">
        <f>$C13*INDEX(Curves!$AD$8:$AD$68,BI$4-$B13+1)</f>
        <v/>
      </c>
      <c r="BJ13" s="153">
        <f>$C13*INDEX(Curves!$AD$8:$AD$68,BJ$4-$B13+1)</f>
        <v/>
      </c>
      <c r="BK13" s="153">
        <f>$C13*INDEX(Curves!$AD$8:$AD$68,BK$4-$B13+1)</f>
        <v/>
      </c>
      <c r="BL13" s="153">
        <f>$C13*INDEX(Curves!$AD$8:$AD$68,BL$4-$B13+1)</f>
        <v/>
      </c>
    </row>
    <row r="14">
      <c r="A14" s="147" t="inlineStr">
        <is>
          <t>Cohort month 5</t>
        </is>
      </c>
      <c r="B14" s="147" t="n">
        <v>5</v>
      </c>
      <c r="C14" s="41">
        <f>INDEX(Ops!$E$60:$BL$60,1,$B14)</f>
        <v/>
      </c>
      <c r="J14" s="153">
        <f>$C14*INDEX(Curves!$AD$8:$AD$68,J$4-$B14+1)</f>
        <v/>
      </c>
      <c r="K14" s="153">
        <f>$C14*INDEX(Curves!$AD$8:$AD$68,K$4-$B14+1)</f>
        <v/>
      </c>
      <c r="L14" s="153">
        <f>$C14*INDEX(Curves!$AD$8:$AD$68,L$4-$B14+1)</f>
        <v/>
      </c>
      <c r="M14" s="153">
        <f>$C14*INDEX(Curves!$AD$8:$AD$68,M$4-$B14+1)</f>
        <v/>
      </c>
      <c r="N14" s="153">
        <f>$C14*INDEX(Curves!$AD$8:$AD$68,N$4-$B14+1)</f>
        <v/>
      </c>
      <c r="O14" s="153">
        <f>$C14*INDEX(Curves!$AD$8:$AD$68,O$4-$B14+1)</f>
        <v/>
      </c>
      <c r="P14" s="153">
        <f>$C14*INDEX(Curves!$AD$8:$AD$68,P$4-$B14+1)</f>
        <v/>
      </c>
      <c r="Q14" s="153">
        <f>$C14*INDEX(Curves!$AD$8:$AD$68,Q$4-$B14+1)</f>
        <v/>
      </c>
      <c r="R14" s="153">
        <f>$C14*INDEX(Curves!$AD$8:$AD$68,R$4-$B14+1)</f>
        <v/>
      </c>
      <c r="S14" s="153">
        <f>$C14*INDEX(Curves!$AD$8:$AD$68,S$4-$B14+1)</f>
        <v/>
      </c>
      <c r="T14" s="153">
        <f>$C14*INDEX(Curves!$AD$8:$AD$68,T$4-$B14+1)</f>
        <v/>
      </c>
      <c r="U14" s="153">
        <f>$C14*INDEX(Curves!$AD$8:$AD$68,U$4-$B14+1)</f>
        <v/>
      </c>
      <c r="V14" s="153">
        <f>$C14*INDEX(Curves!$AD$8:$AD$68,V$4-$B14+1)</f>
        <v/>
      </c>
      <c r="W14" s="153">
        <f>$C14*INDEX(Curves!$AD$8:$AD$68,W$4-$B14+1)</f>
        <v/>
      </c>
      <c r="X14" s="153">
        <f>$C14*INDEX(Curves!$AD$8:$AD$68,X$4-$B14+1)</f>
        <v/>
      </c>
      <c r="Y14" s="153">
        <f>$C14*INDEX(Curves!$AD$8:$AD$68,Y$4-$B14+1)</f>
        <v/>
      </c>
      <c r="Z14" s="153">
        <f>$C14*INDEX(Curves!$AD$8:$AD$68,Z$4-$B14+1)</f>
        <v/>
      </c>
      <c r="AA14" s="153">
        <f>$C14*INDEX(Curves!$AD$8:$AD$68,AA$4-$B14+1)</f>
        <v/>
      </c>
      <c r="AB14" s="153">
        <f>$C14*INDEX(Curves!$AD$8:$AD$68,AB$4-$B14+1)</f>
        <v/>
      </c>
      <c r="AC14" s="153">
        <f>$C14*INDEX(Curves!$AD$8:$AD$68,AC$4-$B14+1)</f>
        <v/>
      </c>
      <c r="AD14" s="153">
        <f>$C14*INDEX(Curves!$AD$8:$AD$68,AD$4-$B14+1)</f>
        <v/>
      </c>
      <c r="AE14" s="153">
        <f>$C14*INDEX(Curves!$AD$8:$AD$68,AE$4-$B14+1)</f>
        <v/>
      </c>
      <c r="AF14" s="153">
        <f>$C14*INDEX(Curves!$AD$8:$AD$68,AF$4-$B14+1)</f>
        <v/>
      </c>
      <c r="AG14" s="153">
        <f>$C14*INDEX(Curves!$AD$8:$AD$68,AG$4-$B14+1)</f>
        <v/>
      </c>
      <c r="AH14" s="153">
        <f>$C14*INDEX(Curves!$AD$8:$AD$68,AH$4-$B14+1)</f>
        <v/>
      </c>
      <c r="AI14" s="153">
        <f>$C14*INDEX(Curves!$AD$8:$AD$68,AI$4-$B14+1)</f>
        <v/>
      </c>
      <c r="AJ14" s="153">
        <f>$C14*INDEX(Curves!$AD$8:$AD$68,AJ$4-$B14+1)</f>
        <v/>
      </c>
      <c r="AK14" s="153">
        <f>$C14*INDEX(Curves!$AD$8:$AD$68,AK$4-$B14+1)</f>
        <v/>
      </c>
      <c r="AL14" s="153">
        <f>$C14*INDEX(Curves!$AD$8:$AD$68,AL$4-$B14+1)</f>
        <v/>
      </c>
      <c r="AM14" s="153">
        <f>$C14*INDEX(Curves!$AD$8:$AD$68,AM$4-$B14+1)</f>
        <v/>
      </c>
      <c r="AN14" s="153">
        <f>$C14*INDEX(Curves!$AD$8:$AD$68,AN$4-$B14+1)</f>
        <v/>
      </c>
      <c r="AO14" s="153">
        <f>$C14*INDEX(Curves!$AD$8:$AD$68,AO$4-$B14+1)</f>
        <v/>
      </c>
      <c r="AP14" s="153">
        <f>$C14*INDEX(Curves!$AD$8:$AD$68,AP$4-$B14+1)</f>
        <v/>
      </c>
      <c r="AQ14" s="153">
        <f>$C14*INDEX(Curves!$AD$8:$AD$68,AQ$4-$B14+1)</f>
        <v/>
      </c>
      <c r="AR14" s="153">
        <f>$C14*INDEX(Curves!$AD$8:$AD$68,AR$4-$B14+1)</f>
        <v/>
      </c>
      <c r="AS14" s="153">
        <f>$C14*INDEX(Curves!$AD$8:$AD$68,AS$4-$B14+1)</f>
        <v/>
      </c>
      <c r="AT14" s="153">
        <f>$C14*INDEX(Curves!$AD$8:$AD$68,AT$4-$B14+1)</f>
        <v/>
      </c>
      <c r="AU14" s="153">
        <f>$C14*INDEX(Curves!$AD$8:$AD$68,AU$4-$B14+1)</f>
        <v/>
      </c>
      <c r="AV14" s="153">
        <f>$C14*INDEX(Curves!$AD$8:$AD$68,AV$4-$B14+1)</f>
        <v/>
      </c>
      <c r="AW14" s="153">
        <f>$C14*INDEX(Curves!$AD$8:$AD$68,AW$4-$B14+1)</f>
        <v/>
      </c>
      <c r="AX14" s="153">
        <f>$C14*INDEX(Curves!$AD$8:$AD$68,AX$4-$B14+1)</f>
        <v/>
      </c>
      <c r="AY14" s="153">
        <f>$C14*INDEX(Curves!$AD$8:$AD$68,AY$4-$B14+1)</f>
        <v/>
      </c>
      <c r="AZ14" s="153">
        <f>$C14*INDEX(Curves!$AD$8:$AD$68,AZ$4-$B14+1)</f>
        <v/>
      </c>
      <c r="BA14" s="153">
        <f>$C14*INDEX(Curves!$AD$8:$AD$68,BA$4-$B14+1)</f>
        <v/>
      </c>
      <c r="BB14" s="153">
        <f>$C14*INDEX(Curves!$AD$8:$AD$68,BB$4-$B14+1)</f>
        <v/>
      </c>
      <c r="BC14" s="153">
        <f>$C14*INDEX(Curves!$AD$8:$AD$68,BC$4-$B14+1)</f>
        <v/>
      </c>
      <c r="BD14" s="153">
        <f>$C14*INDEX(Curves!$AD$8:$AD$68,BD$4-$B14+1)</f>
        <v/>
      </c>
      <c r="BE14" s="153">
        <f>$C14*INDEX(Curves!$AD$8:$AD$68,BE$4-$B14+1)</f>
        <v/>
      </c>
      <c r="BF14" s="153">
        <f>$C14*INDEX(Curves!$AD$8:$AD$68,BF$4-$B14+1)</f>
        <v/>
      </c>
      <c r="BG14" s="153">
        <f>$C14*INDEX(Curves!$AD$8:$AD$68,BG$4-$B14+1)</f>
        <v/>
      </c>
      <c r="BH14" s="153">
        <f>$C14*INDEX(Curves!$AD$8:$AD$68,BH$4-$B14+1)</f>
        <v/>
      </c>
      <c r="BI14" s="153">
        <f>$C14*INDEX(Curves!$AD$8:$AD$68,BI$4-$B14+1)</f>
        <v/>
      </c>
      <c r="BJ14" s="153">
        <f>$C14*INDEX(Curves!$AD$8:$AD$68,BJ$4-$B14+1)</f>
        <v/>
      </c>
      <c r="BK14" s="153">
        <f>$C14*INDEX(Curves!$AD$8:$AD$68,BK$4-$B14+1)</f>
        <v/>
      </c>
      <c r="BL14" s="153">
        <f>$C14*INDEX(Curves!$AD$8:$AD$68,BL$4-$B14+1)</f>
        <v/>
      </c>
    </row>
    <row r="15">
      <c r="A15" s="147" t="inlineStr">
        <is>
          <t>Cohort month 6</t>
        </is>
      </c>
      <c r="B15" s="147" t="n">
        <v>6</v>
      </c>
      <c r="C15" s="41">
        <f>INDEX(Ops!$E$60:$BL$60,1,$B15)</f>
        <v/>
      </c>
      <c r="K15" s="153">
        <f>$C15*INDEX(Curves!$AD$8:$AD$68,K$4-$B15+1)</f>
        <v/>
      </c>
      <c r="L15" s="153">
        <f>$C15*INDEX(Curves!$AD$8:$AD$68,L$4-$B15+1)</f>
        <v/>
      </c>
      <c r="M15" s="153">
        <f>$C15*INDEX(Curves!$AD$8:$AD$68,M$4-$B15+1)</f>
        <v/>
      </c>
      <c r="N15" s="153">
        <f>$C15*INDEX(Curves!$AD$8:$AD$68,N$4-$B15+1)</f>
        <v/>
      </c>
      <c r="O15" s="153">
        <f>$C15*INDEX(Curves!$AD$8:$AD$68,O$4-$B15+1)</f>
        <v/>
      </c>
      <c r="P15" s="153">
        <f>$C15*INDEX(Curves!$AD$8:$AD$68,P$4-$B15+1)</f>
        <v/>
      </c>
      <c r="Q15" s="153">
        <f>$C15*INDEX(Curves!$AD$8:$AD$68,Q$4-$B15+1)</f>
        <v/>
      </c>
      <c r="R15" s="153">
        <f>$C15*INDEX(Curves!$AD$8:$AD$68,R$4-$B15+1)</f>
        <v/>
      </c>
      <c r="S15" s="153">
        <f>$C15*INDEX(Curves!$AD$8:$AD$68,S$4-$B15+1)</f>
        <v/>
      </c>
      <c r="T15" s="153">
        <f>$C15*INDEX(Curves!$AD$8:$AD$68,T$4-$B15+1)</f>
        <v/>
      </c>
      <c r="U15" s="153">
        <f>$C15*INDEX(Curves!$AD$8:$AD$68,U$4-$B15+1)</f>
        <v/>
      </c>
      <c r="V15" s="153">
        <f>$C15*INDEX(Curves!$AD$8:$AD$68,V$4-$B15+1)</f>
        <v/>
      </c>
      <c r="W15" s="153">
        <f>$C15*INDEX(Curves!$AD$8:$AD$68,W$4-$B15+1)</f>
        <v/>
      </c>
      <c r="X15" s="153">
        <f>$C15*INDEX(Curves!$AD$8:$AD$68,X$4-$B15+1)</f>
        <v/>
      </c>
      <c r="Y15" s="153">
        <f>$C15*INDEX(Curves!$AD$8:$AD$68,Y$4-$B15+1)</f>
        <v/>
      </c>
      <c r="Z15" s="153">
        <f>$C15*INDEX(Curves!$AD$8:$AD$68,Z$4-$B15+1)</f>
        <v/>
      </c>
      <c r="AA15" s="153">
        <f>$C15*INDEX(Curves!$AD$8:$AD$68,AA$4-$B15+1)</f>
        <v/>
      </c>
      <c r="AB15" s="153">
        <f>$C15*INDEX(Curves!$AD$8:$AD$68,AB$4-$B15+1)</f>
        <v/>
      </c>
      <c r="AC15" s="153">
        <f>$C15*INDEX(Curves!$AD$8:$AD$68,AC$4-$B15+1)</f>
        <v/>
      </c>
      <c r="AD15" s="153">
        <f>$C15*INDEX(Curves!$AD$8:$AD$68,AD$4-$B15+1)</f>
        <v/>
      </c>
      <c r="AE15" s="153">
        <f>$C15*INDEX(Curves!$AD$8:$AD$68,AE$4-$B15+1)</f>
        <v/>
      </c>
      <c r="AF15" s="153">
        <f>$C15*INDEX(Curves!$AD$8:$AD$68,AF$4-$B15+1)</f>
        <v/>
      </c>
      <c r="AG15" s="153">
        <f>$C15*INDEX(Curves!$AD$8:$AD$68,AG$4-$B15+1)</f>
        <v/>
      </c>
      <c r="AH15" s="153">
        <f>$C15*INDEX(Curves!$AD$8:$AD$68,AH$4-$B15+1)</f>
        <v/>
      </c>
      <c r="AI15" s="153">
        <f>$C15*INDEX(Curves!$AD$8:$AD$68,AI$4-$B15+1)</f>
        <v/>
      </c>
      <c r="AJ15" s="153">
        <f>$C15*INDEX(Curves!$AD$8:$AD$68,AJ$4-$B15+1)</f>
        <v/>
      </c>
      <c r="AK15" s="153">
        <f>$C15*INDEX(Curves!$AD$8:$AD$68,AK$4-$B15+1)</f>
        <v/>
      </c>
      <c r="AL15" s="153">
        <f>$C15*INDEX(Curves!$AD$8:$AD$68,AL$4-$B15+1)</f>
        <v/>
      </c>
      <c r="AM15" s="153">
        <f>$C15*INDEX(Curves!$AD$8:$AD$68,AM$4-$B15+1)</f>
        <v/>
      </c>
      <c r="AN15" s="153">
        <f>$C15*INDEX(Curves!$AD$8:$AD$68,AN$4-$B15+1)</f>
        <v/>
      </c>
      <c r="AO15" s="153">
        <f>$C15*INDEX(Curves!$AD$8:$AD$68,AO$4-$B15+1)</f>
        <v/>
      </c>
      <c r="AP15" s="153">
        <f>$C15*INDEX(Curves!$AD$8:$AD$68,AP$4-$B15+1)</f>
        <v/>
      </c>
      <c r="AQ15" s="153">
        <f>$C15*INDEX(Curves!$AD$8:$AD$68,AQ$4-$B15+1)</f>
        <v/>
      </c>
      <c r="AR15" s="153">
        <f>$C15*INDEX(Curves!$AD$8:$AD$68,AR$4-$B15+1)</f>
        <v/>
      </c>
      <c r="AS15" s="153">
        <f>$C15*INDEX(Curves!$AD$8:$AD$68,AS$4-$B15+1)</f>
        <v/>
      </c>
      <c r="AT15" s="153">
        <f>$C15*INDEX(Curves!$AD$8:$AD$68,AT$4-$B15+1)</f>
        <v/>
      </c>
      <c r="AU15" s="153">
        <f>$C15*INDEX(Curves!$AD$8:$AD$68,AU$4-$B15+1)</f>
        <v/>
      </c>
      <c r="AV15" s="153">
        <f>$C15*INDEX(Curves!$AD$8:$AD$68,AV$4-$B15+1)</f>
        <v/>
      </c>
      <c r="AW15" s="153">
        <f>$C15*INDEX(Curves!$AD$8:$AD$68,AW$4-$B15+1)</f>
        <v/>
      </c>
      <c r="AX15" s="153">
        <f>$C15*INDEX(Curves!$AD$8:$AD$68,AX$4-$B15+1)</f>
        <v/>
      </c>
      <c r="AY15" s="153">
        <f>$C15*INDEX(Curves!$AD$8:$AD$68,AY$4-$B15+1)</f>
        <v/>
      </c>
      <c r="AZ15" s="153">
        <f>$C15*INDEX(Curves!$AD$8:$AD$68,AZ$4-$B15+1)</f>
        <v/>
      </c>
      <c r="BA15" s="153">
        <f>$C15*INDEX(Curves!$AD$8:$AD$68,BA$4-$B15+1)</f>
        <v/>
      </c>
      <c r="BB15" s="153">
        <f>$C15*INDEX(Curves!$AD$8:$AD$68,BB$4-$B15+1)</f>
        <v/>
      </c>
      <c r="BC15" s="153">
        <f>$C15*INDEX(Curves!$AD$8:$AD$68,BC$4-$B15+1)</f>
        <v/>
      </c>
      <c r="BD15" s="153">
        <f>$C15*INDEX(Curves!$AD$8:$AD$68,BD$4-$B15+1)</f>
        <v/>
      </c>
      <c r="BE15" s="153">
        <f>$C15*INDEX(Curves!$AD$8:$AD$68,BE$4-$B15+1)</f>
        <v/>
      </c>
      <c r="BF15" s="153">
        <f>$C15*INDEX(Curves!$AD$8:$AD$68,BF$4-$B15+1)</f>
        <v/>
      </c>
      <c r="BG15" s="153">
        <f>$C15*INDEX(Curves!$AD$8:$AD$68,BG$4-$B15+1)</f>
        <v/>
      </c>
      <c r="BH15" s="153">
        <f>$C15*INDEX(Curves!$AD$8:$AD$68,BH$4-$B15+1)</f>
        <v/>
      </c>
      <c r="BI15" s="153">
        <f>$C15*INDEX(Curves!$AD$8:$AD$68,BI$4-$B15+1)</f>
        <v/>
      </c>
      <c r="BJ15" s="153">
        <f>$C15*INDEX(Curves!$AD$8:$AD$68,BJ$4-$B15+1)</f>
        <v/>
      </c>
      <c r="BK15" s="153">
        <f>$C15*INDEX(Curves!$AD$8:$AD$68,BK$4-$B15+1)</f>
        <v/>
      </c>
      <c r="BL15" s="153">
        <f>$C15*INDEX(Curves!$AD$8:$AD$68,BL$4-$B15+1)</f>
        <v/>
      </c>
    </row>
    <row r="16">
      <c r="A16" s="147" t="inlineStr">
        <is>
          <t>Cohort month 7</t>
        </is>
      </c>
      <c r="B16" s="147" t="n">
        <v>7</v>
      </c>
      <c r="C16" s="41">
        <f>INDEX(Ops!$E$60:$BL$60,1,$B16)</f>
        <v/>
      </c>
      <c r="L16" s="153">
        <f>$C16*INDEX(Curves!$AD$8:$AD$68,L$4-$B16+1)</f>
        <v/>
      </c>
      <c r="M16" s="153">
        <f>$C16*INDEX(Curves!$AD$8:$AD$68,M$4-$B16+1)</f>
        <v/>
      </c>
      <c r="N16" s="153">
        <f>$C16*INDEX(Curves!$AD$8:$AD$68,N$4-$B16+1)</f>
        <v/>
      </c>
      <c r="O16" s="153">
        <f>$C16*INDEX(Curves!$AD$8:$AD$68,O$4-$B16+1)</f>
        <v/>
      </c>
      <c r="P16" s="153">
        <f>$C16*INDEX(Curves!$AD$8:$AD$68,P$4-$B16+1)</f>
        <v/>
      </c>
      <c r="Q16" s="153">
        <f>$C16*INDEX(Curves!$AD$8:$AD$68,Q$4-$B16+1)</f>
        <v/>
      </c>
      <c r="R16" s="153">
        <f>$C16*INDEX(Curves!$AD$8:$AD$68,R$4-$B16+1)</f>
        <v/>
      </c>
      <c r="S16" s="153">
        <f>$C16*INDEX(Curves!$AD$8:$AD$68,S$4-$B16+1)</f>
        <v/>
      </c>
      <c r="T16" s="153">
        <f>$C16*INDEX(Curves!$AD$8:$AD$68,T$4-$B16+1)</f>
        <v/>
      </c>
      <c r="U16" s="153">
        <f>$C16*INDEX(Curves!$AD$8:$AD$68,U$4-$B16+1)</f>
        <v/>
      </c>
      <c r="V16" s="153">
        <f>$C16*INDEX(Curves!$AD$8:$AD$68,V$4-$B16+1)</f>
        <v/>
      </c>
      <c r="W16" s="153">
        <f>$C16*INDEX(Curves!$AD$8:$AD$68,W$4-$B16+1)</f>
        <v/>
      </c>
      <c r="X16" s="153">
        <f>$C16*INDEX(Curves!$AD$8:$AD$68,X$4-$B16+1)</f>
        <v/>
      </c>
      <c r="Y16" s="153">
        <f>$C16*INDEX(Curves!$AD$8:$AD$68,Y$4-$B16+1)</f>
        <v/>
      </c>
      <c r="Z16" s="153">
        <f>$C16*INDEX(Curves!$AD$8:$AD$68,Z$4-$B16+1)</f>
        <v/>
      </c>
      <c r="AA16" s="153">
        <f>$C16*INDEX(Curves!$AD$8:$AD$68,AA$4-$B16+1)</f>
        <v/>
      </c>
      <c r="AB16" s="153">
        <f>$C16*INDEX(Curves!$AD$8:$AD$68,AB$4-$B16+1)</f>
        <v/>
      </c>
      <c r="AC16" s="153">
        <f>$C16*INDEX(Curves!$AD$8:$AD$68,AC$4-$B16+1)</f>
        <v/>
      </c>
      <c r="AD16" s="153">
        <f>$C16*INDEX(Curves!$AD$8:$AD$68,AD$4-$B16+1)</f>
        <v/>
      </c>
      <c r="AE16" s="153">
        <f>$C16*INDEX(Curves!$AD$8:$AD$68,AE$4-$B16+1)</f>
        <v/>
      </c>
      <c r="AF16" s="153">
        <f>$C16*INDEX(Curves!$AD$8:$AD$68,AF$4-$B16+1)</f>
        <v/>
      </c>
      <c r="AG16" s="153">
        <f>$C16*INDEX(Curves!$AD$8:$AD$68,AG$4-$B16+1)</f>
        <v/>
      </c>
      <c r="AH16" s="153">
        <f>$C16*INDEX(Curves!$AD$8:$AD$68,AH$4-$B16+1)</f>
        <v/>
      </c>
      <c r="AI16" s="153">
        <f>$C16*INDEX(Curves!$AD$8:$AD$68,AI$4-$B16+1)</f>
        <v/>
      </c>
      <c r="AJ16" s="153">
        <f>$C16*INDEX(Curves!$AD$8:$AD$68,AJ$4-$B16+1)</f>
        <v/>
      </c>
      <c r="AK16" s="153">
        <f>$C16*INDEX(Curves!$AD$8:$AD$68,AK$4-$B16+1)</f>
        <v/>
      </c>
      <c r="AL16" s="153">
        <f>$C16*INDEX(Curves!$AD$8:$AD$68,AL$4-$B16+1)</f>
        <v/>
      </c>
      <c r="AM16" s="153">
        <f>$C16*INDEX(Curves!$AD$8:$AD$68,AM$4-$B16+1)</f>
        <v/>
      </c>
      <c r="AN16" s="153">
        <f>$C16*INDEX(Curves!$AD$8:$AD$68,AN$4-$B16+1)</f>
        <v/>
      </c>
      <c r="AO16" s="153">
        <f>$C16*INDEX(Curves!$AD$8:$AD$68,AO$4-$B16+1)</f>
        <v/>
      </c>
      <c r="AP16" s="153">
        <f>$C16*INDEX(Curves!$AD$8:$AD$68,AP$4-$B16+1)</f>
        <v/>
      </c>
      <c r="AQ16" s="153">
        <f>$C16*INDEX(Curves!$AD$8:$AD$68,AQ$4-$B16+1)</f>
        <v/>
      </c>
      <c r="AR16" s="153">
        <f>$C16*INDEX(Curves!$AD$8:$AD$68,AR$4-$B16+1)</f>
        <v/>
      </c>
      <c r="AS16" s="153">
        <f>$C16*INDEX(Curves!$AD$8:$AD$68,AS$4-$B16+1)</f>
        <v/>
      </c>
      <c r="AT16" s="153">
        <f>$C16*INDEX(Curves!$AD$8:$AD$68,AT$4-$B16+1)</f>
        <v/>
      </c>
      <c r="AU16" s="153">
        <f>$C16*INDEX(Curves!$AD$8:$AD$68,AU$4-$B16+1)</f>
        <v/>
      </c>
      <c r="AV16" s="153">
        <f>$C16*INDEX(Curves!$AD$8:$AD$68,AV$4-$B16+1)</f>
        <v/>
      </c>
      <c r="AW16" s="153">
        <f>$C16*INDEX(Curves!$AD$8:$AD$68,AW$4-$B16+1)</f>
        <v/>
      </c>
      <c r="AX16" s="153">
        <f>$C16*INDEX(Curves!$AD$8:$AD$68,AX$4-$B16+1)</f>
        <v/>
      </c>
      <c r="AY16" s="153">
        <f>$C16*INDEX(Curves!$AD$8:$AD$68,AY$4-$B16+1)</f>
        <v/>
      </c>
      <c r="AZ16" s="153">
        <f>$C16*INDEX(Curves!$AD$8:$AD$68,AZ$4-$B16+1)</f>
        <v/>
      </c>
      <c r="BA16" s="153">
        <f>$C16*INDEX(Curves!$AD$8:$AD$68,BA$4-$B16+1)</f>
        <v/>
      </c>
      <c r="BB16" s="153">
        <f>$C16*INDEX(Curves!$AD$8:$AD$68,BB$4-$B16+1)</f>
        <v/>
      </c>
      <c r="BC16" s="153">
        <f>$C16*INDEX(Curves!$AD$8:$AD$68,BC$4-$B16+1)</f>
        <v/>
      </c>
      <c r="BD16" s="153">
        <f>$C16*INDEX(Curves!$AD$8:$AD$68,BD$4-$B16+1)</f>
        <v/>
      </c>
      <c r="BE16" s="153">
        <f>$C16*INDEX(Curves!$AD$8:$AD$68,BE$4-$B16+1)</f>
        <v/>
      </c>
      <c r="BF16" s="153">
        <f>$C16*INDEX(Curves!$AD$8:$AD$68,BF$4-$B16+1)</f>
        <v/>
      </c>
      <c r="BG16" s="153">
        <f>$C16*INDEX(Curves!$AD$8:$AD$68,BG$4-$B16+1)</f>
        <v/>
      </c>
      <c r="BH16" s="153">
        <f>$C16*INDEX(Curves!$AD$8:$AD$68,BH$4-$B16+1)</f>
        <v/>
      </c>
      <c r="BI16" s="153">
        <f>$C16*INDEX(Curves!$AD$8:$AD$68,BI$4-$B16+1)</f>
        <v/>
      </c>
      <c r="BJ16" s="153">
        <f>$C16*INDEX(Curves!$AD$8:$AD$68,BJ$4-$B16+1)</f>
        <v/>
      </c>
      <c r="BK16" s="153">
        <f>$C16*INDEX(Curves!$AD$8:$AD$68,BK$4-$B16+1)</f>
        <v/>
      </c>
      <c r="BL16" s="153">
        <f>$C16*INDEX(Curves!$AD$8:$AD$68,BL$4-$B16+1)</f>
        <v/>
      </c>
    </row>
    <row r="17">
      <c r="A17" s="147" t="inlineStr">
        <is>
          <t>Cohort month 8</t>
        </is>
      </c>
      <c r="B17" s="147" t="n">
        <v>8</v>
      </c>
      <c r="C17" s="41">
        <f>INDEX(Ops!$E$60:$BL$60,1,$B17)</f>
        <v/>
      </c>
      <c r="M17" s="153">
        <f>$C17*INDEX(Curves!$AD$8:$AD$68,M$4-$B17+1)</f>
        <v/>
      </c>
      <c r="N17" s="153">
        <f>$C17*INDEX(Curves!$AD$8:$AD$68,N$4-$B17+1)</f>
        <v/>
      </c>
      <c r="O17" s="153">
        <f>$C17*INDEX(Curves!$AD$8:$AD$68,O$4-$B17+1)</f>
        <v/>
      </c>
      <c r="P17" s="153">
        <f>$C17*INDEX(Curves!$AD$8:$AD$68,P$4-$B17+1)</f>
        <v/>
      </c>
      <c r="Q17" s="153">
        <f>$C17*INDEX(Curves!$AD$8:$AD$68,Q$4-$B17+1)</f>
        <v/>
      </c>
      <c r="R17" s="153">
        <f>$C17*INDEX(Curves!$AD$8:$AD$68,R$4-$B17+1)</f>
        <v/>
      </c>
      <c r="S17" s="153">
        <f>$C17*INDEX(Curves!$AD$8:$AD$68,S$4-$B17+1)</f>
        <v/>
      </c>
      <c r="T17" s="153">
        <f>$C17*INDEX(Curves!$AD$8:$AD$68,T$4-$B17+1)</f>
        <v/>
      </c>
      <c r="U17" s="153">
        <f>$C17*INDEX(Curves!$AD$8:$AD$68,U$4-$B17+1)</f>
        <v/>
      </c>
      <c r="V17" s="153">
        <f>$C17*INDEX(Curves!$AD$8:$AD$68,V$4-$B17+1)</f>
        <v/>
      </c>
      <c r="W17" s="153">
        <f>$C17*INDEX(Curves!$AD$8:$AD$68,W$4-$B17+1)</f>
        <v/>
      </c>
      <c r="X17" s="153">
        <f>$C17*INDEX(Curves!$AD$8:$AD$68,X$4-$B17+1)</f>
        <v/>
      </c>
      <c r="Y17" s="153">
        <f>$C17*INDEX(Curves!$AD$8:$AD$68,Y$4-$B17+1)</f>
        <v/>
      </c>
      <c r="Z17" s="153">
        <f>$C17*INDEX(Curves!$AD$8:$AD$68,Z$4-$B17+1)</f>
        <v/>
      </c>
      <c r="AA17" s="153">
        <f>$C17*INDEX(Curves!$AD$8:$AD$68,AA$4-$B17+1)</f>
        <v/>
      </c>
      <c r="AB17" s="153">
        <f>$C17*INDEX(Curves!$AD$8:$AD$68,AB$4-$B17+1)</f>
        <v/>
      </c>
      <c r="AC17" s="153">
        <f>$C17*INDEX(Curves!$AD$8:$AD$68,AC$4-$B17+1)</f>
        <v/>
      </c>
      <c r="AD17" s="153">
        <f>$C17*INDEX(Curves!$AD$8:$AD$68,AD$4-$B17+1)</f>
        <v/>
      </c>
      <c r="AE17" s="153">
        <f>$C17*INDEX(Curves!$AD$8:$AD$68,AE$4-$B17+1)</f>
        <v/>
      </c>
      <c r="AF17" s="153">
        <f>$C17*INDEX(Curves!$AD$8:$AD$68,AF$4-$B17+1)</f>
        <v/>
      </c>
      <c r="AG17" s="153">
        <f>$C17*INDEX(Curves!$AD$8:$AD$68,AG$4-$B17+1)</f>
        <v/>
      </c>
      <c r="AH17" s="153">
        <f>$C17*INDEX(Curves!$AD$8:$AD$68,AH$4-$B17+1)</f>
        <v/>
      </c>
      <c r="AI17" s="153">
        <f>$C17*INDEX(Curves!$AD$8:$AD$68,AI$4-$B17+1)</f>
        <v/>
      </c>
      <c r="AJ17" s="153">
        <f>$C17*INDEX(Curves!$AD$8:$AD$68,AJ$4-$B17+1)</f>
        <v/>
      </c>
      <c r="AK17" s="153">
        <f>$C17*INDEX(Curves!$AD$8:$AD$68,AK$4-$B17+1)</f>
        <v/>
      </c>
      <c r="AL17" s="153">
        <f>$C17*INDEX(Curves!$AD$8:$AD$68,AL$4-$B17+1)</f>
        <v/>
      </c>
      <c r="AM17" s="153">
        <f>$C17*INDEX(Curves!$AD$8:$AD$68,AM$4-$B17+1)</f>
        <v/>
      </c>
      <c r="AN17" s="153">
        <f>$C17*INDEX(Curves!$AD$8:$AD$68,AN$4-$B17+1)</f>
        <v/>
      </c>
      <c r="AO17" s="153">
        <f>$C17*INDEX(Curves!$AD$8:$AD$68,AO$4-$B17+1)</f>
        <v/>
      </c>
      <c r="AP17" s="153">
        <f>$C17*INDEX(Curves!$AD$8:$AD$68,AP$4-$B17+1)</f>
        <v/>
      </c>
      <c r="AQ17" s="153">
        <f>$C17*INDEX(Curves!$AD$8:$AD$68,AQ$4-$B17+1)</f>
        <v/>
      </c>
      <c r="AR17" s="153">
        <f>$C17*INDEX(Curves!$AD$8:$AD$68,AR$4-$B17+1)</f>
        <v/>
      </c>
      <c r="AS17" s="153">
        <f>$C17*INDEX(Curves!$AD$8:$AD$68,AS$4-$B17+1)</f>
        <v/>
      </c>
      <c r="AT17" s="153">
        <f>$C17*INDEX(Curves!$AD$8:$AD$68,AT$4-$B17+1)</f>
        <v/>
      </c>
      <c r="AU17" s="153">
        <f>$C17*INDEX(Curves!$AD$8:$AD$68,AU$4-$B17+1)</f>
        <v/>
      </c>
      <c r="AV17" s="153">
        <f>$C17*INDEX(Curves!$AD$8:$AD$68,AV$4-$B17+1)</f>
        <v/>
      </c>
      <c r="AW17" s="153">
        <f>$C17*INDEX(Curves!$AD$8:$AD$68,AW$4-$B17+1)</f>
        <v/>
      </c>
      <c r="AX17" s="153">
        <f>$C17*INDEX(Curves!$AD$8:$AD$68,AX$4-$B17+1)</f>
        <v/>
      </c>
      <c r="AY17" s="153">
        <f>$C17*INDEX(Curves!$AD$8:$AD$68,AY$4-$B17+1)</f>
        <v/>
      </c>
      <c r="AZ17" s="153">
        <f>$C17*INDEX(Curves!$AD$8:$AD$68,AZ$4-$B17+1)</f>
        <v/>
      </c>
      <c r="BA17" s="153">
        <f>$C17*INDEX(Curves!$AD$8:$AD$68,BA$4-$B17+1)</f>
        <v/>
      </c>
      <c r="BB17" s="153">
        <f>$C17*INDEX(Curves!$AD$8:$AD$68,BB$4-$B17+1)</f>
        <v/>
      </c>
      <c r="BC17" s="153">
        <f>$C17*INDEX(Curves!$AD$8:$AD$68,BC$4-$B17+1)</f>
        <v/>
      </c>
      <c r="BD17" s="153">
        <f>$C17*INDEX(Curves!$AD$8:$AD$68,BD$4-$B17+1)</f>
        <v/>
      </c>
      <c r="BE17" s="153">
        <f>$C17*INDEX(Curves!$AD$8:$AD$68,BE$4-$B17+1)</f>
        <v/>
      </c>
      <c r="BF17" s="153">
        <f>$C17*INDEX(Curves!$AD$8:$AD$68,BF$4-$B17+1)</f>
        <v/>
      </c>
      <c r="BG17" s="153">
        <f>$C17*INDEX(Curves!$AD$8:$AD$68,BG$4-$B17+1)</f>
        <v/>
      </c>
      <c r="BH17" s="153">
        <f>$C17*INDEX(Curves!$AD$8:$AD$68,BH$4-$B17+1)</f>
        <v/>
      </c>
      <c r="BI17" s="153">
        <f>$C17*INDEX(Curves!$AD$8:$AD$68,BI$4-$B17+1)</f>
        <v/>
      </c>
      <c r="BJ17" s="153">
        <f>$C17*INDEX(Curves!$AD$8:$AD$68,BJ$4-$B17+1)</f>
        <v/>
      </c>
      <c r="BK17" s="153">
        <f>$C17*INDEX(Curves!$AD$8:$AD$68,BK$4-$B17+1)</f>
        <v/>
      </c>
      <c r="BL17" s="153">
        <f>$C17*INDEX(Curves!$AD$8:$AD$68,BL$4-$B17+1)</f>
        <v/>
      </c>
    </row>
    <row r="18">
      <c r="A18" s="147" t="inlineStr">
        <is>
          <t>Cohort month 9</t>
        </is>
      </c>
      <c r="B18" s="147" t="n">
        <v>9</v>
      </c>
      <c r="C18" s="41">
        <f>INDEX(Ops!$E$60:$BL$60,1,$B18)</f>
        <v/>
      </c>
      <c r="N18" s="153">
        <f>$C18*INDEX(Curves!$AD$8:$AD$68,N$4-$B18+1)</f>
        <v/>
      </c>
      <c r="O18" s="153">
        <f>$C18*INDEX(Curves!$AD$8:$AD$68,O$4-$B18+1)</f>
        <v/>
      </c>
      <c r="P18" s="153">
        <f>$C18*INDEX(Curves!$AD$8:$AD$68,P$4-$B18+1)</f>
        <v/>
      </c>
      <c r="Q18" s="153">
        <f>$C18*INDEX(Curves!$AD$8:$AD$68,Q$4-$B18+1)</f>
        <v/>
      </c>
      <c r="R18" s="153">
        <f>$C18*INDEX(Curves!$AD$8:$AD$68,R$4-$B18+1)</f>
        <v/>
      </c>
      <c r="S18" s="153">
        <f>$C18*INDEX(Curves!$AD$8:$AD$68,S$4-$B18+1)</f>
        <v/>
      </c>
      <c r="T18" s="153">
        <f>$C18*INDEX(Curves!$AD$8:$AD$68,T$4-$B18+1)</f>
        <v/>
      </c>
      <c r="U18" s="153">
        <f>$C18*INDEX(Curves!$AD$8:$AD$68,U$4-$B18+1)</f>
        <v/>
      </c>
      <c r="V18" s="153">
        <f>$C18*INDEX(Curves!$AD$8:$AD$68,V$4-$B18+1)</f>
        <v/>
      </c>
      <c r="W18" s="153">
        <f>$C18*INDEX(Curves!$AD$8:$AD$68,W$4-$B18+1)</f>
        <v/>
      </c>
      <c r="X18" s="153">
        <f>$C18*INDEX(Curves!$AD$8:$AD$68,X$4-$B18+1)</f>
        <v/>
      </c>
      <c r="Y18" s="153">
        <f>$C18*INDEX(Curves!$AD$8:$AD$68,Y$4-$B18+1)</f>
        <v/>
      </c>
      <c r="Z18" s="153">
        <f>$C18*INDEX(Curves!$AD$8:$AD$68,Z$4-$B18+1)</f>
        <v/>
      </c>
      <c r="AA18" s="153">
        <f>$C18*INDEX(Curves!$AD$8:$AD$68,AA$4-$B18+1)</f>
        <v/>
      </c>
      <c r="AB18" s="153">
        <f>$C18*INDEX(Curves!$AD$8:$AD$68,AB$4-$B18+1)</f>
        <v/>
      </c>
      <c r="AC18" s="153">
        <f>$C18*INDEX(Curves!$AD$8:$AD$68,AC$4-$B18+1)</f>
        <v/>
      </c>
      <c r="AD18" s="153">
        <f>$C18*INDEX(Curves!$AD$8:$AD$68,AD$4-$B18+1)</f>
        <v/>
      </c>
      <c r="AE18" s="153">
        <f>$C18*INDEX(Curves!$AD$8:$AD$68,AE$4-$B18+1)</f>
        <v/>
      </c>
      <c r="AF18" s="153">
        <f>$C18*INDEX(Curves!$AD$8:$AD$68,AF$4-$B18+1)</f>
        <v/>
      </c>
      <c r="AG18" s="153">
        <f>$C18*INDEX(Curves!$AD$8:$AD$68,AG$4-$B18+1)</f>
        <v/>
      </c>
      <c r="AH18" s="153">
        <f>$C18*INDEX(Curves!$AD$8:$AD$68,AH$4-$B18+1)</f>
        <v/>
      </c>
      <c r="AI18" s="153">
        <f>$C18*INDEX(Curves!$AD$8:$AD$68,AI$4-$B18+1)</f>
        <v/>
      </c>
      <c r="AJ18" s="153">
        <f>$C18*INDEX(Curves!$AD$8:$AD$68,AJ$4-$B18+1)</f>
        <v/>
      </c>
      <c r="AK18" s="153">
        <f>$C18*INDEX(Curves!$AD$8:$AD$68,AK$4-$B18+1)</f>
        <v/>
      </c>
      <c r="AL18" s="153">
        <f>$C18*INDEX(Curves!$AD$8:$AD$68,AL$4-$B18+1)</f>
        <v/>
      </c>
      <c r="AM18" s="153">
        <f>$C18*INDEX(Curves!$AD$8:$AD$68,AM$4-$B18+1)</f>
        <v/>
      </c>
      <c r="AN18" s="153">
        <f>$C18*INDEX(Curves!$AD$8:$AD$68,AN$4-$B18+1)</f>
        <v/>
      </c>
      <c r="AO18" s="153">
        <f>$C18*INDEX(Curves!$AD$8:$AD$68,AO$4-$B18+1)</f>
        <v/>
      </c>
      <c r="AP18" s="153">
        <f>$C18*INDEX(Curves!$AD$8:$AD$68,AP$4-$B18+1)</f>
        <v/>
      </c>
      <c r="AQ18" s="153">
        <f>$C18*INDEX(Curves!$AD$8:$AD$68,AQ$4-$B18+1)</f>
        <v/>
      </c>
      <c r="AR18" s="153">
        <f>$C18*INDEX(Curves!$AD$8:$AD$68,AR$4-$B18+1)</f>
        <v/>
      </c>
      <c r="AS18" s="153">
        <f>$C18*INDEX(Curves!$AD$8:$AD$68,AS$4-$B18+1)</f>
        <v/>
      </c>
      <c r="AT18" s="153">
        <f>$C18*INDEX(Curves!$AD$8:$AD$68,AT$4-$B18+1)</f>
        <v/>
      </c>
      <c r="AU18" s="153">
        <f>$C18*INDEX(Curves!$AD$8:$AD$68,AU$4-$B18+1)</f>
        <v/>
      </c>
      <c r="AV18" s="153">
        <f>$C18*INDEX(Curves!$AD$8:$AD$68,AV$4-$B18+1)</f>
        <v/>
      </c>
      <c r="AW18" s="153">
        <f>$C18*INDEX(Curves!$AD$8:$AD$68,AW$4-$B18+1)</f>
        <v/>
      </c>
      <c r="AX18" s="153">
        <f>$C18*INDEX(Curves!$AD$8:$AD$68,AX$4-$B18+1)</f>
        <v/>
      </c>
      <c r="AY18" s="153">
        <f>$C18*INDEX(Curves!$AD$8:$AD$68,AY$4-$B18+1)</f>
        <v/>
      </c>
      <c r="AZ18" s="153">
        <f>$C18*INDEX(Curves!$AD$8:$AD$68,AZ$4-$B18+1)</f>
        <v/>
      </c>
      <c r="BA18" s="153">
        <f>$C18*INDEX(Curves!$AD$8:$AD$68,BA$4-$B18+1)</f>
        <v/>
      </c>
      <c r="BB18" s="153">
        <f>$C18*INDEX(Curves!$AD$8:$AD$68,BB$4-$B18+1)</f>
        <v/>
      </c>
      <c r="BC18" s="153">
        <f>$C18*INDEX(Curves!$AD$8:$AD$68,BC$4-$B18+1)</f>
        <v/>
      </c>
      <c r="BD18" s="153">
        <f>$C18*INDEX(Curves!$AD$8:$AD$68,BD$4-$B18+1)</f>
        <v/>
      </c>
      <c r="BE18" s="153">
        <f>$C18*INDEX(Curves!$AD$8:$AD$68,BE$4-$B18+1)</f>
        <v/>
      </c>
      <c r="BF18" s="153">
        <f>$C18*INDEX(Curves!$AD$8:$AD$68,BF$4-$B18+1)</f>
        <v/>
      </c>
      <c r="BG18" s="153">
        <f>$C18*INDEX(Curves!$AD$8:$AD$68,BG$4-$B18+1)</f>
        <v/>
      </c>
      <c r="BH18" s="153">
        <f>$C18*INDEX(Curves!$AD$8:$AD$68,BH$4-$B18+1)</f>
        <v/>
      </c>
      <c r="BI18" s="153">
        <f>$C18*INDEX(Curves!$AD$8:$AD$68,BI$4-$B18+1)</f>
        <v/>
      </c>
      <c r="BJ18" s="153">
        <f>$C18*INDEX(Curves!$AD$8:$AD$68,BJ$4-$B18+1)</f>
        <v/>
      </c>
      <c r="BK18" s="153">
        <f>$C18*INDEX(Curves!$AD$8:$AD$68,BK$4-$B18+1)</f>
        <v/>
      </c>
      <c r="BL18" s="153">
        <f>$C18*INDEX(Curves!$AD$8:$AD$68,BL$4-$B18+1)</f>
        <v/>
      </c>
    </row>
    <row r="19">
      <c r="A19" s="147" t="inlineStr">
        <is>
          <t>Cohort month 10</t>
        </is>
      </c>
      <c r="B19" s="147" t="n">
        <v>10</v>
      </c>
      <c r="C19" s="41">
        <f>INDEX(Ops!$E$60:$BL$60,1,$B19)</f>
        <v/>
      </c>
      <c r="O19" s="153">
        <f>$C19*INDEX(Curves!$AD$8:$AD$68,O$4-$B19+1)</f>
        <v/>
      </c>
      <c r="P19" s="153">
        <f>$C19*INDEX(Curves!$AD$8:$AD$68,P$4-$B19+1)</f>
        <v/>
      </c>
      <c r="Q19" s="153">
        <f>$C19*INDEX(Curves!$AD$8:$AD$68,Q$4-$B19+1)</f>
        <v/>
      </c>
      <c r="R19" s="153">
        <f>$C19*INDEX(Curves!$AD$8:$AD$68,R$4-$B19+1)</f>
        <v/>
      </c>
      <c r="S19" s="153">
        <f>$C19*INDEX(Curves!$AD$8:$AD$68,S$4-$B19+1)</f>
        <v/>
      </c>
      <c r="T19" s="153">
        <f>$C19*INDEX(Curves!$AD$8:$AD$68,T$4-$B19+1)</f>
        <v/>
      </c>
      <c r="U19" s="153">
        <f>$C19*INDEX(Curves!$AD$8:$AD$68,U$4-$B19+1)</f>
        <v/>
      </c>
      <c r="V19" s="153">
        <f>$C19*INDEX(Curves!$AD$8:$AD$68,V$4-$B19+1)</f>
        <v/>
      </c>
      <c r="W19" s="153">
        <f>$C19*INDEX(Curves!$AD$8:$AD$68,W$4-$B19+1)</f>
        <v/>
      </c>
      <c r="X19" s="153">
        <f>$C19*INDEX(Curves!$AD$8:$AD$68,X$4-$B19+1)</f>
        <v/>
      </c>
      <c r="Y19" s="153">
        <f>$C19*INDEX(Curves!$AD$8:$AD$68,Y$4-$B19+1)</f>
        <v/>
      </c>
      <c r="Z19" s="153">
        <f>$C19*INDEX(Curves!$AD$8:$AD$68,Z$4-$B19+1)</f>
        <v/>
      </c>
      <c r="AA19" s="153">
        <f>$C19*INDEX(Curves!$AD$8:$AD$68,AA$4-$B19+1)</f>
        <v/>
      </c>
      <c r="AB19" s="153">
        <f>$C19*INDEX(Curves!$AD$8:$AD$68,AB$4-$B19+1)</f>
        <v/>
      </c>
      <c r="AC19" s="153">
        <f>$C19*INDEX(Curves!$AD$8:$AD$68,AC$4-$B19+1)</f>
        <v/>
      </c>
      <c r="AD19" s="153">
        <f>$C19*INDEX(Curves!$AD$8:$AD$68,AD$4-$B19+1)</f>
        <v/>
      </c>
      <c r="AE19" s="153">
        <f>$C19*INDEX(Curves!$AD$8:$AD$68,AE$4-$B19+1)</f>
        <v/>
      </c>
      <c r="AF19" s="153">
        <f>$C19*INDEX(Curves!$AD$8:$AD$68,AF$4-$B19+1)</f>
        <v/>
      </c>
      <c r="AG19" s="153">
        <f>$C19*INDEX(Curves!$AD$8:$AD$68,AG$4-$B19+1)</f>
        <v/>
      </c>
      <c r="AH19" s="153">
        <f>$C19*INDEX(Curves!$AD$8:$AD$68,AH$4-$B19+1)</f>
        <v/>
      </c>
      <c r="AI19" s="153">
        <f>$C19*INDEX(Curves!$AD$8:$AD$68,AI$4-$B19+1)</f>
        <v/>
      </c>
      <c r="AJ19" s="153">
        <f>$C19*INDEX(Curves!$AD$8:$AD$68,AJ$4-$B19+1)</f>
        <v/>
      </c>
      <c r="AK19" s="153">
        <f>$C19*INDEX(Curves!$AD$8:$AD$68,AK$4-$B19+1)</f>
        <v/>
      </c>
      <c r="AL19" s="153">
        <f>$C19*INDEX(Curves!$AD$8:$AD$68,AL$4-$B19+1)</f>
        <v/>
      </c>
      <c r="AM19" s="153">
        <f>$C19*INDEX(Curves!$AD$8:$AD$68,AM$4-$B19+1)</f>
        <v/>
      </c>
      <c r="AN19" s="153">
        <f>$C19*INDEX(Curves!$AD$8:$AD$68,AN$4-$B19+1)</f>
        <v/>
      </c>
      <c r="AO19" s="153">
        <f>$C19*INDEX(Curves!$AD$8:$AD$68,AO$4-$B19+1)</f>
        <v/>
      </c>
      <c r="AP19" s="153">
        <f>$C19*INDEX(Curves!$AD$8:$AD$68,AP$4-$B19+1)</f>
        <v/>
      </c>
      <c r="AQ19" s="153">
        <f>$C19*INDEX(Curves!$AD$8:$AD$68,AQ$4-$B19+1)</f>
        <v/>
      </c>
      <c r="AR19" s="153">
        <f>$C19*INDEX(Curves!$AD$8:$AD$68,AR$4-$B19+1)</f>
        <v/>
      </c>
      <c r="AS19" s="153">
        <f>$C19*INDEX(Curves!$AD$8:$AD$68,AS$4-$B19+1)</f>
        <v/>
      </c>
      <c r="AT19" s="153">
        <f>$C19*INDEX(Curves!$AD$8:$AD$68,AT$4-$B19+1)</f>
        <v/>
      </c>
      <c r="AU19" s="153">
        <f>$C19*INDEX(Curves!$AD$8:$AD$68,AU$4-$B19+1)</f>
        <v/>
      </c>
      <c r="AV19" s="153">
        <f>$C19*INDEX(Curves!$AD$8:$AD$68,AV$4-$B19+1)</f>
        <v/>
      </c>
      <c r="AW19" s="153">
        <f>$C19*INDEX(Curves!$AD$8:$AD$68,AW$4-$B19+1)</f>
        <v/>
      </c>
      <c r="AX19" s="153">
        <f>$C19*INDEX(Curves!$AD$8:$AD$68,AX$4-$B19+1)</f>
        <v/>
      </c>
      <c r="AY19" s="153">
        <f>$C19*INDEX(Curves!$AD$8:$AD$68,AY$4-$B19+1)</f>
        <v/>
      </c>
      <c r="AZ19" s="153">
        <f>$C19*INDEX(Curves!$AD$8:$AD$68,AZ$4-$B19+1)</f>
        <v/>
      </c>
      <c r="BA19" s="153">
        <f>$C19*INDEX(Curves!$AD$8:$AD$68,BA$4-$B19+1)</f>
        <v/>
      </c>
      <c r="BB19" s="153">
        <f>$C19*INDEX(Curves!$AD$8:$AD$68,BB$4-$B19+1)</f>
        <v/>
      </c>
      <c r="BC19" s="153">
        <f>$C19*INDEX(Curves!$AD$8:$AD$68,BC$4-$B19+1)</f>
        <v/>
      </c>
      <c r="BD19" s="153">
        <f>$C19*INDEX(Curves!$AD$8:$AD$68,BD$4-$B19+1)</f>
        <v/>
      </c>
      <c r="BE19" s="153">
        <f>$C19*INDEX(Curves!$AD$8:$AD$68,BE$4-$B19+1)</f>
        <v/>
      </c>
      <c r="BF19" s="153">
        <f>$C19*INDEX(Curves!$AD$8:$AD$68,BF$4-$B19+1)</f>
        <v/>
      </c>
      <c r="BG19" s="153">
        <f>$C19*INDEX(Curves!$AD$8:$AD$68,BG$4-$B19+1)</f>
        <v/>
      </c>
      <c r="BH19" s="153">
        <f>$C19*INDEX(Curves!$AD$8:$AD$68,BH$4-$B19+1)</f>
        <v/>
      </c>
      <c r="BI19" s="153">
        <f>$C19*INDEX(Curves!$AD$8:$AD$68,BI$4-$B19+1)</f>
        <v/>
      </c>
      <c r="BJ19" s="153">
        <f>$C19*INDEX(Curves!$AD$8:$AD$68,BJ$4-$B19+1)</f>
        <v/>
      </c>
      <c r="BK19" s="153">
        <f>$C19*INDEX(Curves!$AD$8:$AD$68,BK$4-$B19+1)</f>
        <v/>
      </c>
      <c r="BL19" s="153">
        <f>$C19*INDEX(Curves!$AD$8:$AD$68,BL$4-$B19+1)</f>
        <v/>
      </c>
    </row>
    <row r="20">
      <c r="A20" s="147" t="inlineStr">
        <is>
          <t>Cohort month 11</t>
        </is>
      </c>
      <c r="B20" s="147" t="n">
        <v>11</v>
      </c>
      <c r="C20" s="41">
        <f>INDEX(Ops!$E$60:$BL$60,1,$B20)</f>
        <v/>
      </c>
      <c r="P20" s="153">
        <f>$C20*INDEX(Curves!$AD$8:$AD$68,P$4-$B20+1)</f>
        <v/>
      </c>
      <c r="Q20" s="153">
        <f>$C20*INDEX(Curves!$AD$8:$AD$68,Q$4-$B20+1)</f>
        <v/>
      </c>
      <c r="R20" s="153">
        <f>$C20*INDEX(Curves!$AD$8:$AD$68,R$4-$B20+1)</f>
        <v/>
      </c>
      <c r="S20" s="153">
        <f>$C20*INDEX(Curves!$AD$8:$AD$68,S$4-$B20+1)</f>
        <v/>
      </c>
      <c r="T20" s="153">
        <f>$C20*INDEX(Curves!$AD$8:$AD$68,T$4-$B20+1)</f>
        <v/>
      </c>
      <c r="U20" s="153">
        <f>$C20*INDEX(Curves!$AD$8:$AD$68,U$4-$B20+1)</f>
        <v/>
      </c>
      <c r="V20" s="153">
        <f>$C20*INDEX(Curves!$AD$8:$AD$68,V$4-$B20+1)</f>
        <v/>
      </c>
      <c r="W20" s="153">
        <f>$C20*INDEX(Curves!$AD$8:$AD$68,W$4-$B20+1)</f>
        <v/>
      </c>
      <c r="X20" s="153">
        <f>$C20*INDEX(Curves!$AD$8:$AD$68,X$4-$B20+1)</f>
        <v/>
      </c>
      <c r="Y20" s="153">
        <f>$C20*INDEX(Curves!$AD$8:$AD$68,Y$4-$B20+1)</f>
        <v/>
      </c>
      <c r="Z20" s="153">
        <f>$C20*INDEX(Curves!$AD$8:$AD$68,Z$4-$B20+1)</f>
        <v/>
      </c>
      <c r="AA20" s="153">
        <f>$C20*INDEX(Curves!$AD$8:$AD$68,AA$4-$B20+1)</f>
        <v/>
      </c>
      <c r="AB20" s="153">
        <f>$C20*INDEX(Curves!$AD$8:$AD$68,AB$4-$B20+1)</f>
        <v/>
      </c>
      <c r="AC20" s="153">
        <f>$C20*INDEX(Curves!$AD$8:$AD$68,AC$4-$B20+1)</f>
        <v/>
      </c>
      <c r="AD20" s="153">
        <f>$C20*INDEX(Curves!$AD$8:$AD$68,AD$4-$B20+1)</f>
        <v/>
      </c>
      <c r="AE20" s="153">
        <f>$C20*INDEX(Curves!$AD$8:$AD$68,AE$4-$B20+1)</f>
        <v/>
      </c>
      <c r="AF20" s="153">
        <f>$C20*INDEX(Curves!$AD$8:$AD$68,AF$4-$B20+1)</f>
        <v/>
      </c>
      <c r="AG20" s="153">
        <f>$C20*INDEX(Curves!$AD$8:$AD$68,AG$4-$B20+1)</f>
        <v/>
      </c>
      <c r="AH20" s="153">
        <f>$C20*INDEX(Curves!$AD$8:$AD$68,AH$4-$B20+1)</f>
        <v/>
      </c>
      <c r="AI20" s="153">
        <f>$C20*INDEX(Curves!$AD$8:$AD$68,AI$4-$B20+1)</f>
        <v/>
      </c>
      <c r="AJ20" s="153">
        <f>$C20*INDEX(Curves!$AD$8:$AD$68,AJ$4-$B20+1)</f>
        <v/>
      </c>
      <c r="AK20" s="153">
        <f>$C20*INDEX(Curves!$AD$8:$AD$68,AK$4-$B20+1)</f>
        <v/>
      </c>
      <c r="AL20" s="153">
        <f>$C20*INDEX(Curves!$AD$8:$AD$68,AL$4-$B20+1)</f>
        <v/>
      </c>
      <c r="AM20" s="153">
        <f>$C20*INDEX(Curves!$AD$8:$AD$68,AM$4-$B20+1)</f>
        <v/>
      </c>
      <c r="AN20" s="153">
        <f>$C20*INDEX(Curves!$AD$8:$AD$68,AN$4-$B20+1)</f>
        <v/>
      </c>
      <c r="AO20" s="153">
        <f>$C20*INDEX(Curves!$AD$8:$AD$68,AO$4-$B20+1)</f>
        <v/>
      </c>
      <c r="AP20" s="153">
        <f>$C20*INDEX(Curves!$AD$8:$AD$68,AP$4-$B20+1)</f>
        <v/>
      </c>
      <c r="AQ20" s="153">
        <f>$C20*INDEX(Curves!$AD$8:$AD$68,AQ$4-$B20+1)</f>
        <v/>
      </c>
      <c r="AR20" s="153">
        <f>$C20*INDEX(Curves!$AD$8:$AD$68,AR$4-$B20+1)</f>
        <v/>
      </c>
      <c r="AS20" s="153">
        <f>$C20*INDEX(Curves!$AD$8:$AD$68,AS$4-$B20+1)</f>
        <v/>
      </c>
      <c r="AT20" s="153">
        <f>$C20*INDEX(Curves!$AD$8:$AD$68,AT$4-$B20+1)</f>
        <v/>
      </c>
      <c r="AU20" s="153">
        <f>$C20*INDEX(Curves!$AD$8:$AD$68,AU$4-$B20+1)</f>
        <v/>
      </c>
      <c r="AV20" s="153">
        <f>$C20*INDEX(Curves!$AD$8:$AD$68,AV$4-$B20+1)</f>
        <v/>
      </c>
      <c r="AW20" s="153">
        <f>$C20*INDEX(Curves!$AD$8:$AD$68,AW$4-$B20+1)</f>
        <v/>
      </c>
      <c r="AX20" s="153">
        <f>$C20*INDEX(Curves!$AD$8:$AD$68,AX$4-$B20+1)</f>
        <v/>
      </c>
      <c r="AY20" s="153">
        <f>$C20*INDEX(Curves!$AD$8:$AD$68,AY$4-$B20+1)</f>
        <v/>
      </c>
      <c r="AZ20" s="153">
        <f>$C20*INDEX(Curves!$AD$8:$AD$68,AZ$4-$B20+1)</f>
        <v/>
      </c>
      <c r="BA20" s="153">
        <f>$C20*INDEX(Curves!$AD$8:$AD$68,BA$4-$B20+1)</f>
        <v/>
      </c>
      <c r="BB20" s="153">
        <f>$C20*INDEX(Curves!$AD$8:$AD$68,BB$4-$B20+1)</f>
        <v/>
      </c>
      <c r="BC20" s="153">
        <f>$C20*INDEX(Curves!$AD$8:$AD$68,BC$4-$B20+1)</f>
        <v/>
      </c>
      <c r="BD20" s="153">
        <f>$C20*INDEX(Curves!$AD$8:$AD$68,BD$4-$B20+1)</f>
        <v/>
      </c>
      <c r="BE20" s="153">
        <f>$C20*INDEX(Curves!$AD$8:$AD$68,BE$4-$B20+1)</f>
        <v/>
      </c>
      <c r="BF20" s="153">
        <f>$C20*INDEX(Curves!$AD$8:$AD$68,BF$4-$B20+1)</f>
        <v/>
      </c>
      <c r="BG20" s="153">
        <f>$C20*INDEX(Curves!$AD$8:$AD$68,BG$4-$B20+1)</f>
        <v/>
      </c>
      <c r="BH20" s="153">
        <f>$C20*INDEX(Curves!$AD$8:$AD$68,BH$4-$B20+1)</f>
        <v/>
      </c>
      <c r="BI20" s="153">
        <f>$C20*INDEX(Curves!$AD$8:$AD$68,BI$4-$B20+1)</f>
        <v/>
      </c>
      <c r="BJ20" s="153">
        <f>$C20*INDEX(Curves!$AD$8:$AD$68,BJ$4-$B20+1)</f>
        <v/>
      </c>
      <c r="BK20" s="153">
        <f>$C20*INDEX(Curves!$AD$8:$AD$68,BK$4-$B20+1)</f>
        <v/>
      </c>
      <c r="BL20" s="153">
        <f>$C20*INDEX(Curves!$AD$8:$AD$68,BL$4-$B20+1)</f>
        <v/>
      </c>
    </row>
    <row r="21">
      <c r="A21" s="147" t="inlineStr">
        <is>
          <t>Cohort month 12</t>
        </is>
      </c>
      <c r="B21" s="147" t="n">
        <v>12</v>
      </c>
      <c r="C21" s="41">
        <f>INDEX(Ops!$E$60:$BL$60,1,$B21)</f>
        <v/>
      </c>
      <c r="Q21" s="153">
        <f>$C21*INDEX(Curves!$AD$8:$AD$68,Q$4-$B21+1)</f>
        <v/>
      </c>
      <c r="R21" s="153">
        <f>$C21*INDEX(Curves!$AD$8:$AD$68,R$4-$B21+1)</f>
        <v/>
      </c>
      <c r="S21" s="153">
        <f>$C21*INDEX(Curves!$AD$8:$AD$68,S$4-$B21+1)</f>
        <v/>
      </c>
      <c r="T21" s="153">
        <f>$C21*INDEX(Curves!$AD$8:$AD$68,T$4-$B21+1)</f>
        <v/>
      </c>
      <c r="U21" s="153">
        <f>$C21*INDEX(Curves!$AD$8:$AD$68,U$4-$B21+1)</f>
        <v/>
      </c>
      <c r="V21" s="153">
        <f>$C21*INDEX(Curves!$AD$8:$AD$68,V$4-$B21+1)</f>
        <v/>
      </c>
      <c r="W21" s="153">
        <f>$C21*INDEX(Curves!$AD$8:$AD$68,W$4-$B21+1)</f>
        <v/>
      </c>
      <c r="X21" s="153">
        <f>$C21*INDEX(Curves!$AD$8:$AD$68,X$4-$B21+1)</f>
        <v/>
      </c>
      <c r="Y21" s="153">
        <f>$C21*INDEX(Curves!$AD$8:$AD$68,Y$4-$B21+1)</f>
        <v/>
      </c>
      <c r="Z21" s="153">
        <f>$C21*INDEX(Curves!$AD$8:$AD$68,Z$4-$B21+1)</f>
        <v/>
      </c>
      <c r="AA21" s="153">
        <f>$C21*INDEX(Curves!$AD$8:$AD$68,AA$4-$B21+1)</f>
        <v/>
      </c>
      <c r="AB21" s="153">
        <f>$C21*INDEX(Curves!$AD$8:$AD$68,AB$4-$B21+1)</f>
        <v/>
      </c>
      <c r="AC21" s="153">
        <f>$C21*INDEX(Curves!$AD$8:$AD$68,AC$4-$B21+1)</f>
        <v/>
      </c>
      <c r="AD21" s="153">
        <f>$C21*INDEX(Curves!$AD$8:$AD$68,AD$4-$B21+1)</f>
        <v/>
      </c>
      <c r="AE21" s="153">
        <f>$C21*INDEX(Curves!$AD$8:$AD$68,AE$4-$B21+1)</f>
        <v/>
      </c>
      <c r="AF21" s="153">
        <f>$C21*INDEX(Curves!$AD$8:$AD$68,AF$4-$B21+1)</f>
        <v/>
      </c>
      <c r="AG21" s="153">
        <f>$C21*INDEX(Curves!$AD$8:$AD$68,AG$4-$B21+1)</f>
        <v/>
      </c>
      <c r="AH21" s="153">
        <f>$C21*INDEX(Curves!$AD$8:$AD$68,AH$4-$B21+1)</f>
        <v/>
      </c>
      <c r="AI21" s="153">
        <f>$C21*INDEX(Curves!$AD$8:$AD$68,AI$4-$B21+1)</f>
        <v/>
      </c>
      <c r="AJ21" s="153">
        <f>$C21*INDEX(Curves!$AD$8:$AD$68,AJ$4-$B21+1)</f>
        <v/>
      </c>
      <c r="AK21" s="153">
        <f>$C21*INDEX(Curves!$AD$8:$AD$68,AK$4-$B21+1)</f>
        <v/>
      </c>
      <c r="AL21" s="153">
        <f>$C21*INDEX(Curves!$AD$8:$AD$68,AL$4-$B21+1)</f>
        <v/>
      </c>
      <c r="AM21" s="153">
        <f>$C21*INDEX(Curves!$AD$8:$AD$68,AM$4-$B21+1)</f>
        <v/>
      </c>
      <c r="AN21" s="153">
        <f>$C21*INDEX(Curves!$AD$8:$AD$68,AN$4-$B21+1)</f>
        <v/>
      </c>
      <c r="AO21" s="153">
        <f>$C21*INDEX(Curves!$AD$8:$AD$68,AO$4-$B21+1)</f>
        <v/>
      </c>
      <c r="AP21" s="153">
        <f>$C21*INDEX(Curves!$AD$8:$AD$68,AP$4-$B21+1)</f>
        <v/>
      </c>
      <c r="AQ21" s="153">
        <f>$C21*INDEX(Curves!$AD$8:$AD$68,AQ$4-$B21+1)</f>
        <v/>
      </c>
      <c r="AR21" s="153">
        <f>$C21*INDEX(Curves!$AD$8:$AD$68,AR$4-$B21+1)</f>
        <v/>
      </c>
      <c r="AS21" s="153">
        <f>$C21*INDEX(Curves!$AD$8:$AD$68,AS$4-$B21+1)</f>
        <v/>
      </c>
      <c r="AT21" s="153">
        <f>$C21*INDEX(Curves!$AD$8:$AD$68,AT$4-$B21+1)</f>
        <v/>
      </c>
      <c r="AU21" s="153">
        <f>$C21*INDEX(Curves!$AD$8:$AD$68,AU$4-$B21+1)</f>
        <v/>
      </c>
      <c r="AV21" s="153">
        <f>$C21*INDEX(Curves!$AD$8:$AD$68,AV$4-$B21+1)</f>
        <v/>
      </c>
      <c r="AW21" s="153">
        <f>$C21*INDEX(Curves!$AD$8:$AD$68,AW$4-$B21+1)</f>
        <v/>
      </c>
      <c r="AX21" s="153">
        <f>$C21*INDEX(Curves!$AD$8:$AD$68,AX$4-$B21+1)</f>
        <v/>
      </c>
      <c r="AY21" s="153">
        <f>$C21*INDEX(Curves!$AD$8:$AD$68,AY$4-$B21+1)</f>
        <v/>
      </c>
      <c r="AZ21" s="153">
        <f>$C21*INDEX(Curves!$AD$8:$AD$68,AZ$4-$B21+1)</f>
        <v/>
      </c>
      <c r="BA21" s="153">
        <f>$C21*INDEX(Curves!$AD$8:$AD$68,BA$4-$B21+1)</f>
        <v/>
      </c>
      <c r="BB21" s="153">
        <f>$C21*INDEX(Curves!$AD$8:$AD$68,BB$4-$B21+1)</f>
        <v/>
      </c>
      <c r="BC21" s="153">
        <f>$C21*INDEX(Curves!$AD$8:$AD$68,BC$4-$B21+1)</f>
        <v/>
      </c>
      <c r="BD21" s="153">
        <f>$C21*INDEX(Curves!$AD$8:$AD$68,BD$4-$B21+1)</f>
        <v/>
      </c>
      <c r="BE21" s="153">
        <f>$C21*INDEX(Curves!$AD$8:$AD$68,BE$4-$B21+1)</f>
        <v/>
      </c>
      <c r="BF21" s="153">
        <f>$C21*INDEX(Curves!$AD$8:$AD$68,BF$4-$B21+1)</f>
        <v/>
      </c>
      <c r="BG21" s="153">
        <f>$C21*INDEX(Curves!$AD$8:$AD$68,BG$4-$B21+1)</f>
        <v/>
      </c>
      <c r="BH21" s="153">
        <f>$C21*INDEX(Curves!$AD$8:$AD$68,BH$4-$B21+1)</f>
        <v/>
      </c>
      <c r="BI21" s="153">
        <f>$C21*INDEX(Curves!$AD$8:$AD$68,BI$4-$B21+1)</f>
        <v/>
      </c>
      <c r="BJ21" s="153">
        <f>$C21*INDEX(Curves!$AD$8:$AD$68,BJ$4-$B21+1)</f>
        <v/>
      </c>
      <c r="BK21" s="153">
        <f>$C21*INDEX(Curves!$AD$8:$AD$68,BK$4-$B21+1)</f>
        <v/>
      </c>
      <c r="BL21" s="153">
        <f>$C21*INDEX(Curves!$AD$8:$AD$68,BL$4-$B21+1)</f>
        <v/>
      </c>
    </row>
    <row r="22">
      <c r="A22" s="147" t="inlineStr">
        <is>
          <t>Cohort month 13</t>
        </is>
      </c>
      <c r="B22" s="147" t="n">
        <v>13</v>
      </c>
      <c r="C22" s="41">
        <f>INDEX(Ops!$E$60:$BL$60,1,$B22)</f>
        <v/>
      </c>
      <c r="R22" s="153">
        <f>$C22*INDEX(Curves!$AD$8:$AD$68,R$4-$B22+1)</f>
        <v/>
      </c>
      <c r="S22" s="153">
        <f>$C22*INDEX(Curves!$AD$8:$AD$68,S$4-$B22+1)</f>
        <v/>
      </c>
      <c r="T22" s="153">
        <f>$C22*INDEX(Curves!$AD$8:$AD$68,T$4-$B22+1)</f>
        <v/>
      </c>
      <c r="U22" s="153">
        <f>$C22*INDEX(Curves!$AD$8:$AD$68,U$4-$B22+1)</f>
        <v/>
      </c>
      <c r="V22" s="153">
        <f>$C22*INDEX(Curves!$AD$8:$AD$68,V$4-$B22+1)</f>
        <v/>
      </c>
      <c r="W22" s="153">
        <f>$C22*INDEX(Curves!$AD$8:$AD$68,W$4-$B22+1)</f>
        <v/>
      </c>
      <c r="X22" s="153">
        <f>$C22*INDEX(Curves!$AD$8:$AD$68,X$4-$B22+1)</f>
        <v/>
      </c>
      <c r="Y22" s="153">
        <f>$C22*INDEX(Curves!$AD$8:$AD$68,Y$4-$B22+1)</f>
        <v/>
      </c>
      <c r="Z22" s="153">
        <f>$C22*INDEX(Curves!$AD$8:$AD$68,Z$4-$B22+1)</f>
        <v/>
      </c>
      <c r="AA22" s="153">
        <f>$C22*INDEX(Curves!$AD$8:$AD$68,AA$4-$B22+1)</f>
        <v/>
      </c>
      <c r="AB22" s="153">
        <f>$C22*INDEX(Curves!$AD$8:$AD$68,AB$4-$B22+1)</f>
        <v/>
      </c>
      <c r="AC22" s="153">
        <f>$C22*INDEX(Curves!$AD$8:$AD$68,AC$4-$B22+1)</f>
        <v/>
      </c>
      <c r="AD22" s="153">
        <f>$C22*INDEX(Curves!$AD$8:$AD$68,AD$4-$B22+1)</f>
        <v/>
      </c>
      <c r="AE22" s="153">
        <f>$C22*INDEX(Curves!$AD$8:$AD$68,AE$4-$B22+1)</f>
        <v/>
      </c>
      <c r="AF22" s="153">
        <f>$C22*INDEX(Curves!$AD$8:$AD$68,AF$4-$B22+1)</f>
        <v/>
      </c>
      <c r="AG22" s="153">
        <f>$C22*INDEX(Curves!$AD$8:$AD$68,AG$4-$B22+1)</f>
        <v/>
      </c>
      <c r="AH22" s="153">
        <f>$C22*INDEX(Curves!$AD$8:$AD$68,AH$4-$B22+1)</f>
        <v/>
      </c>
      <c r="AI22" s="153">
        <f>$C22*INDEX(Curves!$AD$8:$AD$68,AI$4-$B22+1)</f>
        <v/>
      </c>
      <c r="AJ22" s="153">
        <f>$C22*INDEX(Curves!$AD$8:$AD$68,AJ$4-$B22+1)</f>
        <v/>
      </c>
      <c r="AK22" s="153">
        <f>$C22*INDEX(Curves!$AD$8:$AD$68,AK$4-$B22+1)</f>
        <v/>
      </c>
      <c r="AL22" s="153">
        <f>$C22*INDEX(Curves!$AD$8:$AD$68,AL$4-$B22+1)</f>
        <v/>
      </c>
      <c r="AM22" s="153">
        <f>$C22*INDEX(Curves!$AD$8:$AD$68,AM$4-$B22+1)</f>
        <v/>
      </c>
      <c r="AN22" s="153">
        <f>$C22*INDEX(Curves!$AD$8:$AD$68,AN$4-$B22+1)</f>
        <v/>
      </c>
      <c r="AO22" s="153">
        <f>$C22*INDEX(Curves!$AD$8:$AD$68,AO$4-$B22+1)</f>
        <v/>
      </c>
      <c r="AP22" s="153">
        <f>$C22*INDEX(Curves!$AD$8:$AD$68,AP$4-$B22+1)</f>
        <v/>
      </c>
      <c r="AQ22" s="153">
        <f>$C22*INDEX(Curves!$AD$8:$AD$68,AQ$4-$B22+1)</f>
        <v/>
      </c>
      <c r="AR22" s="153">
        <f>$C22*INDEX(Curves!$AD$8:$AD$68,AR$4-$B22+1)</f>
        <v/>
      </c>
      <c r="AS22" s="153">
        <f>$C22*INDEX(Curves!$AD$8:$AD$68,AS$4-$B22+1)</f>
        <v/>
      </c>
      <c r="AT22" s="153">
        <f>$C22*INDEX(Curves!$AD$8:$AD$68,AT$4-$B22+1)</f>
        <v/>
      </c>
      <c r="AU22" s="153">
        <f>$C22*INDEX(Curves!$AD$8:$AD$68,AU$4-$B22+1)</f>
        <v/>
      </c>
      <c r="AV22" s="153">
        <f>$C22*INDEX(Curves!$AD$8:$AD$68,AV$4-$B22+1)</f>
        <v/>
      </c>
      <c r="AW22" s="153">
        <f>$C22*INDEX(Curves!$AD$8:$AD$68,AW$4-$B22+1)</f>
        <v/>
      </c>
      <c r="AX22" s="153">
        <f>$C22*INDEX(Curves!$AD$8:$AD$68,AX$4-$B22+1)</f>
        <v/>
      </c>
      <c r="AY22" s="153">
        <f>$C22*INDEX(Curves!$AD$8:$AD$68,AY$4-$B22+1)</f>
        <v/>
      </c>
      <c r="AZ22" s="153">
        <f>$C22*INDEX(Curves!$AD$8:$AD$68,AZ$4-$B22+1)</f>
        <v/>
      </c>
      <c r="BA22" s="153">
        <f>$C22*INDEX(Curves!$AD$8:$AD$68,BA$4-$B22+1)</f>
        <v/>
      </c>
      <c r="BB22" s="153">
        <f>$C22*INDEX(Curves!$AD$8:$AD$68,BB$4-$B22+1)</f>
        <v/>
      </c>
      <c r="BC22" s="153">
        <f>$C22*INDEX(Curves!$AD$8:$AD$68,BC$4-$B22+1)</f>
        <v/>
      </c>
      <c r="BD22" s="153">
        <f>$C22*INDEX(Curves!$AD$8:$AD$68,BD$4-$B22+1)</f>
        <v/>
      </c>
      <c r="BE22" s="153">
        <f>$C22*INDEX(Curves!$AD$8:$AD$68,BE$4-$B22+1)</f>
        <v/>
      </c>
      <c r="BF22" s="153">
        <f>$C22*INDEX(Curves!$AD$8:$AD$68,BF$4-$B22+1)</f>
        <v/>
      </c>
      <c r="BG22" s="153">
        <f>$C22*INDEX(Curves!$AD$8:$AD$68,BG$4-$B22+1)</f>
        <v/>
      </c>
      <c r="BH22" s="153">
        <f>$C22*INDEX(Curves!$AD$8:$AD$68,BH$4-$B22+1)</f>
        <v/>
      </c>
      <c r="BI22" s="153">
        <f>$C22*INDEX(Curves!$AD$8:$AD$68,BI$4-$B22+1)</f>
        <v/>
      </c>
      <c r="BJ22" s="153">
        <f>$C22*INDEX(Curves!$AD$8:$AD$68,BJ$4-$B22+1)</f>
        <v/>
      </c>
      <c r="BK22" s="153">
        <f>$C22*INDEX(Curves!$AD$8:$AD$68,BK$4-$B22+1)</f>
        <v/>
      </c>
      <c r="BL22" s="153">
        <f>$C22*INDEX(Curves!$AD$8:$AD$68,BL$4-$B22+1)</f>
        <v/>
      </c>
    </row>
    <row r="23">
      <c r="A23" s="147" t="inlineStr">
        <is>
          <t>Cohort month 14</t>
        </is>
      </c>
      <c r="B23" s="147" t="n">
        <v>14</v>
      </c>
      <c r="C23" s="41">
        <f>INDEX(Ops!$E$60:$BL$60,1,$B23)</f>
        <v/>
      </c>
      <c r="S23" s="153">
        <f>$C23*INDEX(Curves!$AD$8:$AD$68,S$4-$B23+1)</f>
        <v/>
      </c>
      <c r="T23" s="153">
        <f>$C23*INDEX(Curves!$AD$8:$AD$68,T$4-$B23+1)</f>
        <v/>
      </c>
      <c r="U23" s="153">
        <f>$C23*INDEX(Curves!$AD$8:$AD$68,U$4-$B23+1)</f>
        <v/>
      </c>
      <c r="V23" s="153">
        <f>$C23*INDEX(Curves!$AD$8:$AD$68,V$4-$B23+1)</f>
        <v/>
      </c>
      <c r="W23" s="153">
        <f>$C23*INDEX(Curves!$AD$8:$AD$68,W$4-$B23+1)</f>
        <v/>
      </c>
      <c r="X23" s="153">
        <f>$C23*INDEX(Curves!$AD$8:$AD$68,X$4-$B23+1)</f>
        <v/>
      </c>
      <c r="Y23" s="153">
        <f>$C23*INDEX(Curves!$AD$8:$AD$68,Y$4-$B23+1)</f>
        <v/>
      </c>
      <c r="Z23" s="153">
        <f>$C23*INDEX(Curves!$AD$8:$AD$68,Z$4-$B23+1)</f>
        <v/>
      </c>
      <c r="AA23" s="153">
        <f>$C23*INDEX(Curves!$AD$8:$AD$68,AA$4-$B23+1)</f>
        <v/>
      </c>
      <c r="AB23" s="153">
        <f>$C23*INDEX(Curves!$AD$8:$AD$68,AB$4-$B23+1)</f>
        <v/>
      </c>
      <c r="AC23" s="153">
        <f>$C23*INDEX(Curves!$AD$8:$AD$68,AC$4-$B23+1)</f>
        <v/>
      </c>
      <c r="AD23" s="153">
        <f>$C23*INDEX(Curves!$AD$8:$AD$68,AD$4-$B23+1)</f>
        <v/>
      </c>
      <c r="AE23" s="153">
        <f>$C23*INDEX(Curves!$AD$8:$AD$68,AE$4-$B23+1)</f>
        <v/>
      </c>
      <c r="AF23" s="153">
        <f>$C23*INDEX(Curves!$AD$8:$AD$68,AF$4-$B23+1)</f>
        <v/>
      </c>
      <c r="AG23" s="153">
        <f>$C23*INDEX(Curves!$AD$8:$AD$68,AG$4-$B23+1)</f>
        <v/>
      </c>
      <c r="AH23" s="153">
        <f>$C23*INDEX(Curves!$AD$8:$AD$68,AH$4-$B23+1)</f>
        <v/>
      </c>
      <c r="AI23" s="153">
        <f>$C23*INDEX(Curves!$AD$8:$AD$68,AI$4-$B23+1)</f>
        <v/>
      </c>
      <c r="AJ23" s="153">
        <f>$C23*INDEX(Curves!$AD$8:$AD$68,AJ$4-$B23+1)</f>
        <v/>
      </c>
      <c r="AK23" s="153">
        <f>$C23*INDEX(Curves!$AD$8:$AD$68,AK$4-$B23+1)</f>
        <v/>
      </c>
      <c r="AL23" s="153">
        <f>$C23*INDEX(Curves!$AD$8:$AD$68,AL$4-$B23+1)</f>
        <v/>
      </c>
      <c r="AM23" s="153">
        <f>$C23*INDEX(Curves!$AD$8:$AD$68,AM$4-$B23+1)</f>
        <v/>
      </c>
      <c r="AN23" s="153">
        <f>$C23*INDEX(Curves!$AD$8:$AD$68,AN$4-$B23+1)</f>
        <v/>
      </c>
      <c r="AO23" s="153">
        <f>$C23*INDEX(Curves!$AD$8:$AD$68,AO$4-$B23+1)</f>
        <v/>
      </c>
      <c r="AP23" s="153">
        <f>$C23*INDEX(Curves!$AD$8:$AD$68,AP$4-$B23+1)</f>
        <v/>
      </c>
      <c r="AQ23" s="153">
        <f>$C23*INDEX(Curves!$AD$8:$AD$68,AQ$4-$B23+1)</f>
        <v/>
      </c>
      <c r="AR23" s="153">
        <f>$C23*INDEX(Curves!$AD$8:$AD$68,AR$4-$B23+1)</f>
        <v/>
      </c>
      <c r="AS23" s="153">
        <f>$C23*INDEX(Curves!$AD$8:$AD$68,AS$4-$B23+1)</f>
        <v/>
      </c>
      <c r="AT23" s="153">
        <f>$C23*INDEX(Curves!$AD$8:$AD$68,AT$4-$B23+1)</f>
        <v/>
      </c>
      <c r="AU23" s="153">
        <f>$C23*INDEX(Curves!$AD$8:$AD$68,AU$4-$B23+1)</f>
        <v/>
      </c>
      <c r="AV23" s="153">
        <f>$C23*INDEX(Curves!$AD$8:$AD$68,AV$4-$B23+1)</f>
        <v/>
      </c>
      <c r="AW23" s="153">
        <f>$C23*INDEX(Curves!$AD$8:$AD$68,AW$4-$B23+1)</f>
        <v/>
      </c>
      <c r="AX23" s="153">
        <f>$C23*INDEX(Curves!$AD$8:$AD$68,AX$4-$B23+1)</f>
        <v/>
      </c>
      <c r="AY23" s="153">
        <f>$C23*INDEX(Curves!$AD$8:$AD$68,AY$4-$B23+1)</f>
        <v/>
      </c>
      <c r="AZ23" s="153">
        <f>$C23*INDEX(Curves!$AD$8:$AD$68,AZ$4-$B23+1)</f>
        <v/>
      </c>
      <c r="BA23" s="153">
        <f>$C23*INDEX(Curves!$AD$8:$AD$68,BA$4-$B23+1)</f>
        <v/>
      </c>
      <c r="BB23" s="153">
        <f>$C23*INDEX(Curves!$AD$8:$AD$68,BB$4-$B23+1)</f>
        <v/>
      </c>
      <c r="BC23" s="153">
        <f>$C23*INDEX(Curves!$AD$8:$AD$68,BC$4-$B23+1)</f>
        <v/>
      </c>
      <c r="BD23" s="153">
        <f>$C23*INDEX(Curves!$AD$8:$AD$68,BD$4-$B23+1)</f>
        <v/>
      </c>
      <c r="BE23" s="153">
        <f>$C23*INDEX(Curves!$AD$8:$AD$68,BE$4-$B23+1)</f>
        <v/>
      </c>
      <c r="BF23" s="153">
        <f>$C23*INDEX(Curves!$AD$8:$AD$68,BF$4-$B23+1)</f>
        <v/>
      </c>
      <c r="BG23" s="153">
        <f>$C23*INDEX(Curves!$AD$8:$AD$68,BG$4-$B23+1)</f>
        <v/>
      </c>
      <c r="BH23" s="153">
        <f>$C23*INDEX(Curves!$AD$8:$AD$68,BH$4-$B23+1)</f>
        <v/>
      </c>
      <c r="BI23" s="153">
        <f>$C23*INDEX(Curves!$AD$8:$AD$68,BI$4-$B23+1)</f>
        <v/>
      </c>
      <c r="BJ23" s="153">
        <f>$C23*INDEX(Curves!$AD$8:$AD$68,BJ$4-$B23+1)</f>
        <v/>
      </c>
      <c r="BK23" s="153">
        <f>$C23*INDEX(Curves!$AD$8:$AD$68,BK$4-$B23+1)</f>
        <v/>
      </c>
      <c r="BL23" s="153">
        <f>$C23*INDEX(Curves!$AD$8:$AD$68,BL$4-$B23+1)</f>
        <v/>
      </c>
    </row>
    <row r="24">
      <c r="A24" s="147" t="inlineStr">
        <is>
          <t>Cohort month 15</t>
        </is>
      </c>
      <c r="B24" s="147" t="n">
        <v>15</v>
      </c>
      <c r="C24" s="41">
        <f>INDEX(Ops!$E$60:$BL$60,1,$B24)</f>
        <v/>
      </c>
      <c r="T24" s="153">
        <f>$C24*INDEX(Curves!$AD$8:$AD$68,T$4-$B24+1)</f>
        <v/>
      </c>
      <c r="U24" s="153">
        <f>$C24*INDEX(Curves!$AD$8:$AD$68,U$4-$B24+1)</f>
        <v/>
      </c>
      <c r="V24" s="153">
        <f>$C24*INDEX(Curves!$AD$8:$AD$68,V$4-$B24+1)</f>
        <v/>
      </c>
      <c r="W24" s="153">
        <f>$C24*INDEX(Curves!$AD$8:$AD$68,W$4-$B24+1)</f>
        <v/>
      </c>
      <c r="X24" s="153">
        <f>$C24*INDEX(Curves!$AD$8:$AD$68,X$4-$B24+1)</f>
        <v/>
      </c>
      <c r="Y24" s="153">
        <f>$C24*INDEX(Curves!$AD$8:$AD$68,Y$4-$B24+1)</f>
        <v/>
      </c>
      <c r="Z24" s="153">
        <f>$C24*INDEX(Curves!$AD$8:$AD$68,Z$4-$B24+1)</f>
        <v/>
      </c>
      <c r="AA24" s="153">
        <f>$C24*INDEX(Curves!$AD$8:$AD$68,AA$4-$B24+1)</f>
        <v/>
      </c>
      <c r="AB24" s="153">
        <f>$C24*INDEX(Curves!$AD$8:$AD$68,AB$4-$B24+1)</f>
        <v/>
      </c>
      <c r="AC24" s="153">
        <f>$C24*INDEX(Curves!$AD$8:$AD$68,AC$4-$B24+1)</f>
        <v/>
      </c>
      <c r="AD24" s="153">
        <f>$C24*INDEX(Curves!$AD$8:$AD$68,AD$4-$B24+1)</f>
        <v/>
      </c>
      <c r="AE24" s="153">
        <f>$C24*INDEX(Curves!$AD$8:$AD$68,AE$4-$B24+1)</f>
        <v/>
      </c>
      <c r="AF24" s="153">
        <f>$C24*INDEX(Curves!$AD$8:$AD$68,AF$4-$B24+1)</f>
        <v/>
      </c>
      <c r="AG24" s="153">
        <f>$C24*INDEX(Curves!$AD$8:$AD$68,AG$4-$B24+1)</f>
        <v/>
      </c>
      <c r="AH24" s="153">
        <f>$C24*INDEX(Curves!$AD$8:$AD$68,AH$4-$B24+1)</f>
        <v/>
      </c>
      <c r="AI24" s="153">
        <f>$C24*INDEX(Curves!$AD$8:$AD$68,AI$4-$B24+1)</f>
        <v/>
      </c>
      <c r="AJ24" s="153">
        <f>$C24*INDEX(Curves!$AD$8:$AD$68,AJ$4-$B24+1)</f>
        <v/>
      </c>
      <c r="AK24" s="153">
        <f>$C24*INDEX(Curves!$AD$8:$AD$68,AK$4-$B24+1)</f>
        <v/>
      </c>
      <c r="AL24" s="153">
        <f>$C24*INDEX(Curves!$AD$8:$AD$68,AL$4-$B24+1)</f>
        <v/>
      </c>
      <c r="AM24" s="153">
        <f>$C24*INDEX(Curves!$AD$8:$AD$68,AM$4-$B24+1)</f>
        <v/>
      </c>
      <c r="AN24" s="153">
        <f>$C24*INDEX(Curves!$AD$8:$AD$68,AN$4-$B24+1)</f>
        <v/>
      </c>
      <c r="AO24" s="153">
        <f>$C24*INDEX(Curves!$AD$8:$AD$68,AO$4-$B24+1)</f>
        <v/>
      </c>
      <c r="AP24" s="153">
        <f>$C24*INDEX(Curves!$AD$8:$AD$68,AP$4-$B24+1)</f>
        <v/>
      </c>
      <c r="AQ24" s="153">
        <f>$C24*INDEX(Curves!$AD$8:$AD$68,AQ$4-$B24+1)</f>
        <v/>
      </c>
      <c r="AR24" s="153">
        <f>$C24*INDEX(Curves!$AD$8:$AD$68,AR$4-$B24+1)</f>
        <v/>
      </c>
      <c r="AS24" s="153">
        <f>$C24*INDEX(Curves!$AD$8:$AD$68,AS$4-$B24+1)</f>
        <v/>
      </c>
      <c r="AT24" s="153">
        <f>$C24*INDEX(Curves!$AD$8:$AD$68,AT$4-$B24+1)</f>
        <v/>
      </c>
      <c r="AU24" s="153">
        <f>$C24*INDEX(Curves!$AD$8:$AD$68,AU$4-$B24+1)</f>
        <v/>
      </c>
      <c r="AV24" s="153">
        <f>$C24*INDEX(Curves!$AD$8:$AD$68,AV$4-$B24+1)</f>
        <v/>
      </c>
      <c r="AW24" s="153">
        <f>$C24*INDEX(Curves!$AD$8:$AD$68,AW$4-$B24+1)</f>
        <v/>
      </c>
      <c r="AX24" s="153">
        <f>$C24*INDEX(Curves!$AD$8:$AD$68,AX$4-$B24+1)</f>
        <v/>
      </c>
      <c r="AY24" s="153">
        <f>$C24*INDEX(Curves!$AD$8:$AD$68,AY$4-$B24+1)</f>
        <v/>
      </c>
      <c r="AZ24" s="153">
        <f>$C24*INDEX(Curves!$AD$8:$AD$68,AZ$4-$B24+1)</f>
        <v/>
      </c>
      <c r="BA24" s="153">
        <f>$C24*INDEX(Curves!$AD$8:$AD$68,BA$4-$B24+1)</f>
        <v/>
      </c>
      <c r="BB24" s="153">
        <f>$C24*INDEX(Curves!$AD$8:$AD$68,BB$4-$B24+1)</f>
        <v/>
      </c>
      <c r="BC24" s="153">
        <f>$C24*INDEX(Curves!$AD$8:$AD$68,BC$4-$B24+1)</f>
        <v/>
      </c>
      <c r="BD24" s="153">
        <f>$C24*INDEX(Curves!$AD$8:$AD$68,BD$4-$B24+1)</f>
        <v/>
      </c>
      <c r="BE24" s="153">
        <f>$C24*INDEX(Curves!$AD$8:$AD$68,BE$4-$B24+1)</f>
        <v/>
      </c>
      <c r="BF24" s="153">
        <f>$C24*INDEX(Curves!$AD$8:$AD$68,BF$4-$B24+1)</f>
        <v/>
      </c>
      <c r="BG24" s="153">
        <f>$C24*INDEX(Curves!$AD$8:$AD$68,BG$4-$B24+1)</f>
        <v/>
      </c>
      <c r="BH24" s="153">
        <f>$C24*INDEX(Curves!$AD$8:$AD$68,BH$4-$B24+1)</f>
        <v/>
      </c>
      <c r="BI24" s="153">
        <f>$C24*INDEX(Curves!$AD$8:$AD$68,BI$4-$B24+1)</f>
        <v/>
      </c>
      <c r="BJ24" s="153">
        <f>$C24*INDEX(Curves!$AD$8:$AD$68,BJ$4-$B24+1)</f>
        <v/>
      </c>
      <c r="BK24" s="153">
        <f>$C24*INDEX(Curves!$AD$8:$AD$68,BK$4-$B24+1)</f>
        <v/>
      </c>
      <c r="BL24" s="153">
        <f>$C24*INDEX(Curves!$AD$8:$AD$68,BL$4-$B24+1)</f>
        <v/>
      </c>
    </row>
    <row r="25">
      <c r="A25" s="147" t="inlineStr">
        <is>
          <t>Cohort month 16</t>
        </is>
      </c>
      <c r="B25" s="147" t="n">
        <v>16</v>
      </c>
      <c r="C25" s="41">
        <f>INDEX(Ops!$E$60:$BL$60,1,$B25)</f>
        <v/>
      </c>
      <c r="U25" s="153">
        <f>$C25*INDEX(Curves!$AD$8:$AD$68,U$4-$B25+1)</f>
        <v/>
      </c>
      <c r="V25" s="153">
        <f>$C25*INDEX(Curves!$AD$8:$AD$68,V$4-$B25+1)</f>
        <v/>
      </c>
      <c r="W25" s="153">
        <f>$C25*INDEX(Curves!$AD$8:$AD$68,W$4-$B25+1)</f>
        <v/>
      </c>
      <c r="X25" s="153">
        <f>$C25*INDEX(Curves!$AD$8:$AD$68,X$4-$B25+1)</f>
        <v/>
      </c>
      <c r="Y25" s="153">
        <f>$C25*INDEX(Curves!$AD$8:$AD$68,Y$4-$B25+1)</f>
        <v/>
      </c>
      <c r="Z25" s="153">
        <f>$C25*INDEX(Curves!$AD$8:$AD$68,Z$4-$B25+1)</f>
        <v/>
      </c>
      <c r="AA25" s="153">
        <f>$C25*INDEX(Curves!$AD$8:$AD$68,AA$4-$B25+1)</f>
        <v/>
      </c>
      <c r="AB25" s="153">
        <f>$C25*INDEX(Curves!$AD$8:$AD$68,AB$4-$B25+1)</f>
        <v/>
      </c>
      <c r="AC25" s="153">
        <f>$C25*INDEX(Curves!$AD$8:$AD$68,AC$4-$B25+1)</f>
        <v/>
      </c>
      <c r="AD25" s="153">
        <f>$C25*INDEX(Curves!$AD$8:$AD$68,AD$4-$B25+1)</f>
        <v/>
      </c>
      <c r="AE25" s="153">
        <f>$C25*INDEX(Curves!$AD$8:$AD$68,AE$4-$B25+1)</f>
        <v/>
      </c>
      <c r="AF25" s="153">
        <f>$C25*INDEX(Curves!$AD$8:$AD$68,AF$4-$B25+1)</f>
        <v/>
      </c>
      <c r="AG25" s="153">
        <f>$C25*INDEX(Curves!$AD$8:$AD$68,AG$4-$B25+1)</f>
        <v/>
      </c>
      <c r="AH25" s="153">
        <f>$C25*INDEX(Curves!$AD$8:$AD$68,AH$4-$B25+1)</f>
        <v/>
      </c>
      <c r="AI25" s="153">
        <f>$C25*INDEX(Curves!$AD$8:$AD$68,AI$4-$B25+1)</f>
        <v/>
      </c>
      <c r="AJ25" s="153">
        <f>$C25*INDEX(Curves!$AD$8:$AD$68,AJ$4-$B25+1)</f>
        <v/>
      </c>
      <c r="AK25" s="153">
        <f>$C25*INDEX(Curves!$AD$8:$AD$68,AK$4-$B25+1)</f>
        <v/>
      </c>
      <c r="AL25" s="153">
        <f>$C25*INDEX(Curves!$AD$8:$AD$68,AL$4-$B25+1)</f>
        <v/>
      </c>
      <c r="AM25" s="153">
        <f>$C25*INDEX(Curves!$AD$8:$AD$68,AM$4-$B25+1)</f>
        <v/>
      </c>
      <c r="AN25" s="153">
        <f>$C25*INDEX(Curves!$AD$8:$AD$68,AN$4-$B25+1)</f>
        <v/>
      </c>
      <c r="AO25" s="153">
        <f>$C25*INDEX(Curves!$AD$8:$AD$68,AO$4-$B25+1)</f>
        <v/>
      </c>
      <c r="AP25" s="153">
        <f>$C25*INDEX(Curves!$AD$8:$AD$68,AP$4-$B25+1)</f>
        <v/>
      </c>
      <c r="AQ25" s="153">
        <f>$C25*INDEX(Curves!$AD$8:$AD$68,AQ$4-$B25+1)</f>
        <v/>
      </c>
      <c r="AR25" s="153">
        <f>$C25*INDEX(Curves!$AD$8:$AD$68,AR$4-$B25+1)</f>
        <v/>
      </c>
      <c r="AS25" s="153">
        <f>$C25*INDEX(Curves!$AD$8:$AD$68,AS$4-$B25+1)</f>
        <v/>
      </c>
      <c r="AT25" s="153">
        <f>$C25*INDEX(Curves!$AD$8:$AD$68,AT$4-$B25+1)</f>
        <v/>
      </c>
      <c r="AU25" s="153">
        <f>$C25*INDEX(Curves!$AD$8:$AD$68,AU$4-$B25+1)</f>
        <v/>
      </c>
      <c r="AV25" s="153">
        <f>$C25*INDEX(Curves!$AD$8:$AD$68,AV$4-$B25+1)</f>
        <v/>
      </c>
      <c r="AW25" s="153">
        <f>$C25*INDEX(Curves!$AD$8:$AD$68,AW$4-$B25+1)</f>
        <v/>
      </c>
      <c r="AX25" s="153">
        <f>$C25*INDEX(Curves!$AD$8:$AD$68,AX$4-$B25+1)</f>
        <v/>
      </c>
      <c r="AY25" s="153">
        <f>$C25*INDEX(Curves!$AD$8:$AD$68,AY$4-$B25+1)</f>
        <v/>
      </c>
      <c r="AZ25" s="153">
        <f>$C25*INDEX(Curves!$AD$8:$AD$68,AZ$4-$B25+1)</f>
        <v/>
      </c>
      <c r="BA25" s="153">
        <f>$C25*INDEX(Curves!$AD$8:$AD$68,BA$4-$B25+1)</f>
        <v/>
      </c>
      <c r="BB25" s="153">
        <f>$C25*INDEX(Curves!$AD$8:$AD$68,BB$4-$B25+1)</f>
        <v/>
      </c>
      <c r="BC25" s="153">
        <f>$C25*INDEX(Curves!$AD$8:$AD$68,BC$4-$B25+1)</f>
        <v/>
      </c>
      <c r="BD25" s="153">
        <f>$C25*INDEX(Curves!$AD$8:$AD$68,BD$4-$B25+1)</f>
        <v/>
      </c>
      <c r="BE25" s="153">
        <f>$C25*INDEX(Curves!$AD$8:$AD$68,BE$4-$B25+1)</f>
        <v/>
      </c>
      <c r="BF25" s="153">
        <f>$C25*INDEX(Curves!$AD$8:$AD$68,BF$4-$B25+1)</f>
        <v/>
      </c>
      <c r="BG25" s="153">
        <f>$C25*INDEX(Curves!$AD$8:$AD$68,BG$4-$B25+1)</f>
        <v/>
      </c>
      <c r="BH25" s="153">
        <f>$C25*INDEX(Curves!$AD$8:$AD$68,BH$4-$B25+1)</f>
        <v/>
      </c>
      <c r="BI25" s="153">
        <f>$C25*INDEX(Curves!$AD$8:$AD$68,BI$4-$B25+1)</f>
        <v/>
      </c>
      <c r="BJ25" s="153">
        <f>$C25*INDEX(Curves!$AD$8:$AD$68,BJ$4-$B25+1)</f>
        <v/>
      </c>
      <c r="BK25" s="153">
        <f>$C25*INDEX(Curves!$AD$8:$AD$68,BK$4-$B25+1)</f>
        <v/>
      </c>
      <c r="BL25" s="153">
        <f>$C25*INDEX(Curves!$AD$8:$AD$68,BL$4-$B25+1)</f>
        <v/>
      </c>
    </row>
    <row r="26">
      <c r="A26" s="147" t="inlineStr">
        <is>
          <t>Cohort month 17</t>
        </is>
      </c>
      <c r="B26" s="147" t="n">
        <v>17</v>
      </c>
      <c r="C26" s="41">
        <f>INDEX(Ops!$E$60:$BL$60,1,$B26)</f>
        <v/>
      </c>
      <c r="V26" s="153">
        <f>$C26*INDEX(Curves!$AD$8:$AD$68,V$4-$B26+1)</f>
        <v/>
      </c>
      <c r="W26" s="153">
        <f>$C26*INDEX(Curves!$AD$8:$AD$68,W$4-$B26+1)</f>
        <v/>
      </c>
      <c r="X26" s="153">
        <f>$C26*INDEX(Curves!$AD$8:$AD$68,X$4-$B26+1)</f>
        <v/>
      </c>
      <c r="Y26" s="153">
        <f>$C26*INDEX(Curves!$AD$8:$AD$68,Y$4-$B26+1)</f>
        <v/>
      </c>
      <c r="Z26" s="153">
        <f>$C26*INDEX(Curves!$AD$8:$AD$68,Z$4-$B26+1)</f>
        <v/>
      </c>
      <c r="AA26" s="153">
        <f>$C26*INDEX(Curves!$AD$8:$AD$68,AA$4-$B26+1)</f>
        <v/>
      </c>
      <c r="AB26" s="153">
        <f>$C26*INDEX(Curves!$AD$8:$AD$68,AB$4-$B26+1)</f>
        <v/>
      </c>
      <c r="AC26" s="153">
        <f>$C26*INDEX(Curves!$AD$8:$AD$68,AC$4-$B26+1)</f>
        <v/>
      </c>
      <c r="AD26" s="153">
        <f>$C26*INDEX(Curves!$AD$8:$AD$68,AD$4-$B26+1)</f>
        <v/>
      </c>
      <c r="AE26" s="153">
        <f>$C26*INDEX(Curves!$AD$8:$AD$68,AE$4-$B26+1)</f>
        <v/>
      </c>
      <c r="AF26" s="153">
        <f>$C26*INDEX(Curves!$AD$8:$AD$68,AF$4-$B26+1)</f>
        <v/>
      </c>
      <c r="AG26" s="153">
        <f>$C26*INDEX(Curves!$AD$8:$AD$68,AG$4-$B26+1)</f>
        <v/>
      </c>
      <c r="AH26" s="153">
        <f>$C26*INDEX(Curves!$AD$8:$AD$68,AH$4-$B26+1)</f>
        <v/>
      </c>
      <c r="AI26" s="153">
        <f>$C26*INDEX(Curves!$AD$8:$AD$68,AI$4-$B26+1)</f>
        <v/>
      </c>
      <c r="AJ26" s="153">
        <f>$C26*INDEX(Curves!$AD$8:$AD$68,AJ$4-$B26+1)</f>
        <v/>
      </c>
      <c r="AK26" s="153">
        <f>$C26*INDEX(Curves!$AD$8:$AD$68,AK$4-$B26+1)</f>
        <v/>
      </c>
      <c r="AL26" s="153">
        <f>$C26*INDEX(Curves!$AD$8:$AD$68,AL$4-$B26+1)</f>
        <v/>
      </c>
      <c r="AM26" s="153">
        <f>$C26*INDEX(Curves!$AD$8:$AD$68,AM$4-$B26+1)</f>
        <v/>
      </c>
      <c r="AN26" s="153">
        <f>$C26*INDEX(Curves!$AD$8:$AD$68,AN$4-$B26+1)</f>
        <v/>
      </c>
      <c r="AO26" s="153">
        <f>$C26*INDEX(Curves!$AD$8:$AD$68,AO$4-$B26+1)</f>
        <v/>
      </c>
      <c r="AP26" s="153">
        <f>$C26*INDEX(Curves!$AD$8:$AD$68,AP$4-$B26+1)</f>
        <v/>
      </c>
      <c r="AQ26" s="153">
        <f>$C26*INDEX(Curves!$AD$8:$AD$68,AQ$4-$B26+1)</f>
        <v/>
      </c>
      <c r="AR26" s="153">
        <f>$C26*INDEX(Curves!$AD$8:$AD$68,AR$4-$B26+1)</f>
        <v/>
      </c>
      <c r="AS26" s="153">
        <f>$C26*INDEX(Curves!$AD$8:$AD$68,AS$4-$B26+1)</f>
        <v/>
      </c>
      <c r="AT26" s="153">
        <f>$C26*INDEX(Curves!$AD$8:$AD$68,AT$4-$B26+1)</f>
        <v/>
      </c>
      <c r="AU26" s="153">
        <f>$C26*INDEX(Curves!$AD$8:$AD$68,AU$4-$B26+1)</f>
        <v/>
      </c>
      <c r="AV26" s="153">
        <f>$C26*INDEX(Curves!$AD$8:$AD$68,AV$4-$B26+1)</f>
        <v/>
      </c>
      <c r="AW26" s="153">
        <f>$C26*INDEX(Curves!$AD$8:$AD$68,AW$4-$B26+1)</f>
        <v/>
      </c>
      <c r="AX26" s="153">
        <f>$C26*INDEX(Curves!$AD$8:$AD$68,AX$4-$B26+1)</f>
        <v/>
      </c>
      <c r="AY26" s="153">
        <f>$C26*INDEX(Curves!$AD$8:$AD$68,AY$4-$B26+1)</f>
        <v/>
      </c>
      <c r="AZ26" s="153">
        <f>$C26*INDEX(Curves!$AD$8:$AD$68,AZ$4-$B26+1)</f>
        <v/>
      </c>
      <c r="BA26" s="153">
        <f>$C26*INDEX(Curves!$AD$8:$AD$68,BA$4-$B26+1)</f>
        <v/>
      </c>
      <c r="BB26" s="153">
        <f>$C26*INDEX(Curves!$AD$8:$AD$68,BB$4-$B26+1)</f>
        <v/>
      </c>
      <c r="BC26" s="153">
        <f>$C26*INDEX(Curves!$AD$8:$AD$68,BC$4-$B26+1)</f>
        <v/>
      </c>
      <c r="BD26" s="153">
        <f>$C26*INDEX(Curves!$AD$8:$AD$68,BD$4-$B26+1)</f>
        <v/>
      </c>
      <c r="BE26" s="153">
        <f>$C26*INDEX(Curves!$AD$8:$AD$68,BE$4-$B26+1)</f>
        <v/>
      </c>
      <c r="BF26" s="153">
        <f>$C26*INDEX(Curves!$AD$8:$AD$68,BF$4-$B26+1)</f>
        <v/>
      </c>
      <c r="BG26" s="153">
        <f>$C26*INDEX(Curves!$AD$8:$AD$68,BG$4-$B26+1)</f>
        <v/>
      </c>
      <c r="BH26" s="153">
        <f>$C26*INDEX(Curves!$AD$8:$AD$68,BH$4-$B26+1)</f>
        <v/>
      </c>
      <c r="BI26" s="153">
        <f>$C26*INDEX(Curves!$AD$8:$AD$68,BI$4-$B26+1)</f>
        <v/>
      </c>
      <c r="BJ26" s="153">
        <f>$C26*INDEX(Curves!$AD$8:$AD$68,BJ$4-$B26+1)</f>
        <v/>
      </c>
      <c r="BK26" s="153">
        <f>$C26*INDEX(Curves!$AD$8:$AD$68,BK$4-$B26+1)</f>
        <v/>
      </c>
      <c r="BL26" s="153">
        <f>$C26*INDEX(Curves!$AD$8:$AD$68,BL$4-$B26+1)</f>
        <v/>
      </c>
    </row>
    <row r="27">
      <c r="A27" s="147" t="inlineStr">
        <is>
          <t>Cohort month 18</t>
        </is>
      </c>
      <c r="B27" s="147" t="n">
        <v>18</v>
      </c>
      <c r="C27" s="41">
        <f>INDEX(Ops!$E$60:$BL$60,1,$B27)</f>
        <v/>
      </c>
      <c r="W27" s="153">
        <f>$C27*INDEX(Curves!$AD$8:$AD$68,W$4-$B27+1)</f>
        <v/>
      </c>
      <c r="X27" s="153">
        <f>$C27*INDEX(Curves!$AD$8:$AD$68,X$4-$B27+1)</f>
        <v/>
      </c>
      <c r="Y27" s="153">
        <f>$C27*INDEX(Curves!$AD$8:$AD$68,Y$4-$B27+1)</f>
        <v/>
      </c>
      <c r="Z27" s="153">
        <f>$C27*INDEX(Curves!$AD$8:$AD$68,Z$4-$B27+1)</f>
        <v/>
      </c>
      <c r="AA27" s="153">
        <f>$C27*INDEX(Curves!$AD$8:$AD$68,AA$4-$B27+1)</f>
        <v/>
      </c>
      <c r="AB27" s="153">
        <f>$C27*INDEX(Curves!$AD$8:$AD$68,AB$4-$B27+1)</f>
        <v/>
      </c>
      <c r="AC27" s="153">
        <f>$C27*INDEX(Curves!$AD$8:$AD$68,AC$4-$B27+1)</f>
        <v/>
      </c>
      <c r="AD27" s="153">
        <f>$C27*INDEX(Curves!$AD$8:$AD$68,AD$4-$B27+1)</f>
        <v/>
      </c>
      <c r="AE27" s="153">
        <f>$C27*INDEX(Curves!$AD$8:$AD$68,AE$4-$B27+1)</f>
        <v/>
      </c>
      <c r="AF27" s="153">
        <f>$C27*INDEX(Curves!$AD$8:$AD$68,AF$4-$B27+1)</f>
        <v/>
      </c>
      <c r="AG27" s="153">
        <f>$C27*INDEX(Curves!$AD$8:$AD$68,AG$4-$B27+1)</f>
        <v/>
      </c>
      <c r="AH27" s="153">
        <f>$C27*INDEX(Curves!$AD$8:$AD$68,AH$4-$B27+1)</f>
        <v/>
      </c>
      <c r="AI27" s="153">
        <f>$C27*INDEX(Curves!$AD$8:$AD$68,AI$4-$B27+1)</f>
        <v/>
      </c>
      <c r="AJ27" s="153">
        <f>$C27*INDEX(Curves!$AD$8:$AD$68,AJ$4-$B27+1)</f>
        <v/>
      </c>
      <c r="AK27" s="153">
        <f>$C27*INDEX(Curves!$AD$8:$AD$68,AK$4-$B27+1)</f>
        <v/>
      </c>
      <c r="AL27" s="153">
        <f>$C27*INDEX(Curves!$AD$8:$AD$68,AL$4-$B27+1)</f>
        <v/>
      </c>
      <c r="AM27" s="153">
        <f>$C27*INDEX(Curves!$AD$8:$AD$68,AM$4-$B27+1)</f>
        <v/>
      </c>
      <c r="AN27" s="153">
        <f>$C27*INDEX(Curves!$AD$8:$AD$68,AN$4-$B27+1)</f>
        <v/>
      </c>
      <c r="AO27" s="153">
        <f>$C27*INDEX(Curves!$AD$8:$AD$68,AO$4-$B27+1)</f>
        <v/>
      </c>
      <c r="AP27" s="153">
        <f>$C27*INDEX(Curves!$AD$8:$AD$68,AP$4-$B27+1)</f>
        <v/>
      </c>
      <c r="AQ27" s="153">
        <f>$C27*INDEX(Curves!$AD$8:$AD$68,AQ$4-$B27+1)</f>
        <v/>
      </c>
      <c r="AR27" s="153">
        <f>$C27*INDEX(Curves!$AD$8:$AD$68,AR$4-$B27+1)</f>
        <v/>
      </c>
      <c r="AS27" s="153">
        <f>$C27*INDEX(Curves!$AD$8:$AD$68,AS$4-$B27+1)</f>
        <v/>
      </c>
      <c r="AT27" s="153">
        <f>$C27*INDEX(Curves!$AD$8:$AD$68,AT$4-$B27+1)</f>
        <v/>
      </c>
      <c r="AU27" s="153">
        <f>$C27*INDEX(Curves!$AD$8:$AD$68,AU$4-$B27+1)</f>
        <v/>
      </c>
      <c r="AV27" s="153">
        <f>$C27*INDEX(Curves!$AD$8:$AD$68,AV$4-$B27+1)</f>
        <v/>
      </c>
      <c r="AW27" s="153">
        <f>$C27*INDEX(Curves!$AD$8:$AD$68,AW$4-$B27+1)</f>
        <v/>
      </c>
      <c r="AX27" s="153">
        <f>$C27*INDEX(Curves!$AD$8:$AD$68,AX$4-$B27+1)</f>
        <v/>
      </c>
      <c r="AY27" s="153">
        <f>$C27*INDEX(Curves!$AD$8:$AD$68,AY$4-$B27+1)</f>
        <v/>
      </c>
      <c r="AZ27" s="153">
        <f>$C27*INDEX(Curves!$AD$8:$AD$68,AZ$4-$B27+1)</f>
        <v/>
      </c>
      <c r="BA27" s="153">
        <f>$C27*INDEX(Curves!$AD$8:$AD$68,BA$4-$B27+1)</f>
        <v/>
      </c>
      <c r="BB27" s="153">
        <f>$C27*INDEX(Curves!$AD$8:$AD$68,BB$4-$B27+1)</f>
        <v/>
      </c>
      <c r="BC27" s="153">
        <f>$C27*INDEX(Curves!$AD$8:$AD$68,BC$4-$B27+1)</f>
        <v/>
      </c>
      <c r="BD27" s="153">
        <f>$C27*INDEX(Curves!$AD$8:$AD$68,BD$4-$B27+1)</f>
        <v/>
      </c>
      <c r="BE27" s="153">
        <f>$C27*INDEX(Curves!$AD$8:$AD$68,BE$4-$B27+1)</f>
        <v/>
      </c>
      <c r="BF27" s="153">
        <f>$C27*INDEX(Curves!$AD$8:$AD$68,BF$4-$B27+1)</f>
        <v/>
      </c>
      <c r="BG27" s="153">
        <f>$C27*INDEX(Curves!$AD$8:$AD$68,BG$4-$B27+1)</f>
        <v/>
      </c>
      <c r="BH27" s="153">
        <f>$C27*INDEX(Curves!$AD$8:$AD$68,BH$4-$B27+1)</f>
        <v/>
      </c>
      <c r="BI27" s="153">
        <f>$C27*INDEX(Curves!$AD$8:$AD$68,BI$4-$B27+1)</f>
        <v/>
      </c>
      <c r="BJ27" s="153">
        <f>$C27*INDEX(Curves!$AD$8:$AD$68,BJ$4-$B27+1)</f>
        <v/>
      </c>
      <c r="BK27" s="153">
        <f>$C27*INDEX(Curves!$AD$8:$AD$68,BK$4-$B27+1)</f>
        <v/>
      </c>
      <c r="BL27" s="153">
        <f>$C27*INDEX(Curves!$AD$8:$AD$68,BL$4-$B27+1)</f>
        <v/>
      </c>
    </row>
    <row r="28">
      <c r="A28" s="147" t="inlineStr">
        <is>
          <t>Cohort month 19</t>
        </is>
      </c>
      <c r="B28" s="147" t="n">
        <v>19</v>
      </c>
      <c r="C28" s="41">
        <f>INDEX(Ops!$E$60:$BL$60,1,$B28)</f>
        <v/>
      </c>
      <c r="X28" s="153">
        <f>$C28*INDEX(Curves!$AD$8:$AD$68,X$4-$B28+1)</f>
        <v/>
      </c>
      <c r="Y28" s="153">
        <f>$C28*INDEX(Curves!$AD$8:$AD$68,Y$4-$B28+1)</f>
        <v/>
      </c>
      <c r="Z28" s="153">
        <f>$C28*INDEX(Curves!$AD$8:$AD$68,Z$4-$B28+1)</f>
        <v/>
      </c>
      <c r="AA28" s="153">
        <f>$C28*INDEX(Curves!$AD$8:$AD$68,AA$4-$B28+1)</f>
        <v/>
      </c>
      <c r="AB28" s="153">
        <f>$C28*INDEX(Curves!$AD$8:$AD$68,AB$4-$B28+1)</f>
        <v/>
      </c>
      <c r="AC28" s="153">
        <f>$C28*INDEX(Curves!$AD$8:$AD$68,AC$4-$B28+1)</f>
        <v/>
      </c>
      <c r="AD28" s="153">
        <f>$C28*INDEX(Curves!$AD$8:$AD$68,AD$4-$B28+1)</f>
        <v/>
      </c>
      <c r="AE28" s="153">
        <f>$C28*INDEX(Curves!$AD$8:$AD$68,AE$4-$B28+1)</f>
        <v/>
      </c>
      <c r="AF28" s="153">
        <f>$C28*INDEX(Curves!$AD$8:$AD$68,AF$4-$B28+1)</f>
        <v/>
      </c>
      <c r="AG28" s="153">
        <f>$C28*INDEX(Curves!$AD$8:$AD$68,AG$4-$B28+1)</f>
        <v/>
      </c>
      <c r="AH28" s="153">
        <f>$C28*INDEX(Curves!$AD$8:$AD$68,AH$4-$B28+1)</f>
        <v/>
      </c>
      <c r="AI28" s="153">
        <f>$C28*INDEX(Curves!$AD$8:$AD$68,AI$4-$B28+1)</f>
        <v/>
      </c>
      <c r="AJ28" s="153">
        <f>$C28*INDEX(Curves!$AD$8:$AD$68,AJ$4-$B28+1)</f>
        <v/>
      </c>
      <c r="AK28" s="153">
        <f>$C28*INDEX(Curves!$AD$8:$AD$68,AK$4-$B28+1)</f>
        <v/>
      </c>
      <c r="AL28" s="153">
        <f>$C28*INDEX(Curves!$AD$8:$AD$68,AL$4-$B28+1)</f>
        <v/>
      </c>
      <c r="AM28" s="153">
        <f>$C28*INDEX(Curves!$AD$8:$AD$68,AM$4-$B28+1)</f>
        <v/>
      </c>
      <c r="AN28" s="153">
        <f>$C28*INDEX(Curves!$AD$8:$AD$68,AN$4-$B28+1)</f>
        <v/>
      </c>
      <c r="AO28" s="153">
        <f>$C28*INDEX(Curves!$AD$8:$AD$68,AO$4-$B28+1)</f>
        <v/>
      </c>
      <c r="AP28" s="153">
        <f>$C28*INDEX(Curves!$AD$8:$AD$68,AP$4-$B28+1)</f>
        <v/>
      </c>
      <c r="AQ28" s="153">
        <f>$C28*INDEX(Curves!$AD$8:$AD$68,AQ$4-$B28+1)</f>
        <v/>
      </c>
      <c r="AR28" s="153">
        <f>$C28*INDEX(Curves!$AD$8:$AD$68,AR$4-$B28+1)</f>
        <v/>
      </c>
      <c r="AS28" s="153">
        <f>$C28*INDEX(Curves!$AD$8:$AD$68,AS$4-$B28+1)</f>
        <v/>
      </c>
      <c r="AT28" s="153">
        <f>$C28*INDEX(Curves!$AD$8:$AD$68,AT$4-$B28+1)</f>
        <v/>
      </c>
      <c r="AU28" s="153">
        <f>$C28*INDEX(Curves!$AD$8:$AD$68,AU$4-$B28+1)</f>
        <v/>
      </c>
      <c r="AV28" s="153">
        <f>$C28*INDEX(Curves!$AD$8:$AD$68,AV$4-$B28+1)</f>
        <v/>
      </c>
      <c r="AW28" s="153">
        <f>$C28*INDEX(Curves!$AD$8:$AD$68,AW$4-$B28+1)</f>
        <v/>
      </c>
      <c r="AX28" s="153">
        <f>$C28*INDEX(Curves!$AD$8:$AD$68,AX$4-$B28+1)</f>
        <v/>
      </c>
      <c r="AY28" s="153">
        <f>$C28*INDEX(Curves!$AD$8:$AD$68,AY$4-$B28+1)</f>
        <v/>
      </c>
      <c r="AZ28" s="153">
        <f>$C28*INDEX(Curves!$AD$8:$AD$68,AZ$4-$B28+1)</f>
        <v/>
      </c>
      <c r="BA28" s="153">
        <f>$C28*INDEX(Curves!$AD$8:$AD$68,BA$4-$B28+1)</f>
        <v/>
      </c>
      <c r="BB28" s="153">
        <f>$C28*INDEX(Curves!$AD$8:$AD$68,BB$4-$B28+1)</f>
        <v/>
      </c>
      <c r="BC28" s="153">
        <f>$C28*INDEX(Curves!$AD$8:$AD$68,BC$4-$B28+1)</f>
        <v/>
      </c>
      <c r="BD28" s="153">
        <f>$C28*INDEX(Curves!$AD$8:$AD$68,BD$4-$B28+1)</f>
        <v/>
      </c>
      <c r="BE28" s="153">
        <f>$C28*INDEX(Curves!$AD$8:$AD$68,BE$4-$B28+1)</f>
        <v/>
      </c>
      <c r="BF28" s="153">
        <f>$C28*INDEX(Curves!$AD$8:$AD$68,BF$4-$B28+1)</f>
        <v/>
      </c>
      <c r="BG28" s="153">
        <f>$C28*INDEX(Curves!$AD$8:$AD$68,BG$4-$B28+1)</f>
        <v/>
      </c>
      <c r="BH28" s="153">
        <f>$C28*INDEX(Curves!$AD$8:$AD$68,BH$4-$B28+1)</f>
        <v/>
      </c>
      <c r="BI28" s="153">
        <f>$C28*INDEX(Curves!$AD$8:$AD$68,BI$4-$B28+1)</f>
        <v/>
      </c>
      <c r="BJ28" s="153">
        <f>$C28*INDEX(Curves!$AD$8:$AD$68,BJ$4-$B28+1)</f>
        <v/>
      </c>
      <c r="BK28" s="153">
        <f>$C28*INDEX(Curves!$AD$8:$AD$68,BK$4-$B28+1)</f>
        <v/>
      </c>
      <c r="BL28" s="153">
        <f>$C28*INDEX(Curves!$AD$8:$AD$68,BL$4-$B28+1)</f>
        <v/>
      </c>
    </row>
    <row r="29">
      <c r="A29" s="147" t="inlineStr">
        <is>
          <t>Cohort month 20</t>
        </is>
      </c>
      <c r="B29" s="147" t="n">
        <v>20</v>
      </c>
      <c r="C29" s="41">
        <f>INDEX(Ops!$E$60:$BL$60,1,$B29)</f>
        <v/>
      </c>
      <c r="Y29" s="153">
        <f>$C29*INDEX(Curves!$AD$8:$AD$68,Y$4-$B29+1)</f>
        <v/>
      </c>
      <c r="Z29" s="153">
        <f>$C29*INDEX(Curves!$AD$8:$AD$68,Z$4-$B29+1)</f>
        <v/>
      </c>
      <c r="AA29" s="153">
        <f>$C29*INDEX(Curves!$AD$8:$AD$68,AA$4-$B29+1)</f>
        <v/>
      </c>
      <c r="AB29" s="153">
        <f>$C29*INDEX(Curves!$AD$8:$AD$68,AB$4-$B29+1)</f>
        <v/>
      </c>
      <c r="AC29" s="153">
        <f>$C29*INDEX(Curves!$AD$8:$AD$68,AC$4-$B29+1)</f>
        <v/>
      </c>
      <c r="AD29" s="153">
        <f>$C29*INDEX(Curves!$AD$8:$AD$68,AD$4-$B29+1)</f>
        <v/>
      </c>
      <c r="AE29" s="153">
        <f>$C29*INDEX(Curves!$AD$8:$AD$68,AE$4-$B29+1)</f>
        <v/>
      </c>
      <c r="AF29" s="153">
        <f>$C29*INDEX(Curves!$AD$8:$AD$68,AF$4-$B29+1)</f>
        <v/>
      </c>
      <c r="AG29" s="153">
        <f>$C29*INDEX(Curves!$AD$8:$AD$68,AG$4-$B29+1)</f>
        <v/>
      </c>
      <c r="AH29" s="153">
        <f>$C29*INDEX(Curves!$AD$8:$AD$68,AH$4-$B29+1)</f>
        <v/>
      </c>
      <c r="AI29" s="153">
        <f>$C29*INDEX(Curves!$AD$8:$AD$68,AI$4-$B29+1)</f>
        <v/>
      </c>
      <c r="AJ29" s="153">
        <f>$C29*INDEX(Curves!$AD$8:$AD$68,AJ$4-$B29+1)</f>
        <v/>
      </c>
      <c r="AK29" s="153">
        <f>$C29*INDEX(Curves!$AD$8:$AD$68,AK$4-$B29+1)</f>
        <v/>
      </c>
      <c r="AL29" s="153">
        <f>$C29*INDEX(Curves!$AD$8:$AD$68,AL$4-$B29+1)</f>
        <v/>
      </c>
      <c r="AM29" s="153">
        <f>$C29*INDEX(Curves!$AD$8:$AD$68,AM$4-$B29+1)</f>
        <v/>
      </c>
      <c r="AN29" s="153">
        <f>$C29*INDEX(Curves!$AD$8:$AD$68,AN$4-$B29+1)</f>
        <v/>
      </c>
      <c r="AO29" s="153">
        <f>$C29*INDEX(Curves!$AD$8:$AD$68,AO$4-$B29+1)</f>
        <v/>
      </c>
      <c r="AP29" s="153">
        <f>$C29*INDEX(Curves!$AD$8:$AD$68,AP$4-$B29+1)</f>
        <v/>
      </c>
      <c r="AQ29" s="153">
        <f>$C29*INDEX(Curves!$AD$8:$AD$68,AQ$4-$B29+1)</f>
        <v/>
      </c>
      <c r="AR29" s="153">
        <f>$C29*INDEX(Curves!$AD$8:$AD$68,AR$4-$B29+1)</f>
        <v/>
      </c>
      <c r="AS29" s="153">
        <f>$C29*INDEX(Curves!$AD$8:$AD$68,AS$4-$B29+1)</f>
        <v/>
      </c>
      <c r="AT29" s="153">
        <f>$C29*INDEX(Curves!$AD$8:$AD$68,AT$4-$B29+1)</f>
        <v/>
      </c>
      <c r="AU29" s="153">
        <f>$C29*INDEX(Curves!$AD$8:$AD$68,AU$4-$B29+1)</f>
        <v/>
      </c>
      <c r="AV29" s="153">
        <f>$C29*INDEX(Curves!$AD$8:$AD$68,AV$4-$B29+1)</f>
        <v/>
      </c>
      <c r="AW29" s="153">
        <f>$C29*INDEX(Curves!$AD$8:$AD$68,AW$4-$B29+1)</f>
        <v/>
      </c>
      <c r="AX29" s="153">
        <f>$C29*INDEX(Curves!$AD$8:$AD$68,AX$4-$B29+1)</f>
        <v/>
      </c>
      <c r="AY29" s="153">
        <f>$C29*INDEX(Curves!$AD$8:$AD$68,AY$4-$B29+1)</f>
        <v/>
      </c>
      <c r="AZ29" s="153">
        <f>$C29*INDEX(Curves!$AD$8:$AD$68,AZ$4-$B29+1)</f>
        <v/>
      </c>
      <c r="BA29" s="153">
        <f>$C29*INDEX(Curves!$AD$8:$AD$68,BA$4-$B29+1)</f>
        <v/>
      </c>
      <c r="BB29" s="153">
        <f>$C29*INDEX(Curves!$AD$8:$AD$68,BB$4-$B29+1)</f>
        <v/>
      </c>
      <c r="BC29" s="153">
        <f>$C29*INDEX(Curves!$AD$8:$AD$68,BC$4-$B29+1)</f>
        <v/>
      </c>
      <c r="BD29" s="153">
        <f>$C29*INDEX(Curves!$AD$8:$AD$68,BD$4-$B29+1)</f>
        <v/>
      </c>
      <c r="BE29" s="153">
        <f>$C29*INDEX(Curves!$AD$8:$AD$68,BE$4-$B29+1)</f>
        <v/>
      </c>
      <c r="BF29" s="153">
        <f>$C29*INDEX(Curves!$AD$8:$AD$68,BF$4-$B29+1)</f>
        <v/>
      </c>
      <c r="BG29" s="153">
        <f>$C29*INDEX(Curves!$AD$8:$AD$68,BG$4-$B29+1)</f>
        <v/>
      </c>
      <c r="BH29" s="153">
        <f>$C29*INDEX(Curves!$AD$8:$AD$68,BH$4-$B29+1)</f>
        <v/>
      </c>
      <c r="BI29" s="153">
        <f>$C29*INDEX(Curves!$AD$8:$AD$68,BI$4-$B29+1)</f>
        <v/>
      </c>
      <c r="BJ29" s="153">
        <f>$C29*INDEX(Curves!$AD$8:$AD$68,BJ$4-$B29+1)</f>
        <v/>
      </c>
      <c r="BK29" s="153">
        <f>$C29*INDEX(Curves!$AD$8:$AD$68,BK$4-$B29+1)</f>
        <v/>
      </c>
      <c r="BL29" s="153">
        <f>$C29*INDEX(Curves!$AD$8:$AD$68,BL$4-$B29+1)</f>
        <v/>
      </c>
    </row>
    <row r="30">
      <c r="A30" s="147" t="inlineStr">
        <is>
          <t>Cohort month 21</t>
        </is>
      </c>
      <c r="B30" s="147" t="n">
        <v>21</v>
      </c>
      <c r="C30" s="41">
        <f>INDEX(Ops!$E$60:$BL$60,1,$B30)</f>
        <v/>
      </c>
      <c r="Z30" s="153">
        <f>$C30*INDEX(Curves!$AD$8:$AD$68,Z$4-$B30+1)</f>
        <v/>
      </c>
      <c r="AA30" s="153">
        <f>$C30*INDEX(Curves!$AD$8:$AD$68,AA$4-$B30+1)</f>
        <v/>
      </c>
      <c r="AB30" s="153">
        <f>$C30*INDEX(Curves!$AD$8:$AD$68,AB$4-$B30+1)</f>
        <v/>
      </c>
      <c r="AC30" s="153">
        <f>$C30*INDEX(Curves!$AD$8:$AD$68,AC$4-$B30+1)</f>
        <v/>
      </c>
      <c r="AD30" s="153">
        <f>$C30*INDEX(Curves!$AD$8:$AD$68,AD$4-$B30+1)</f>
        <v/>
      </c>
      <c r="AE30" s="153">
        <f>$C30*INDEX(Curves!$AD$8:$AD$68,AE$4-$B30+1)</f>
        <v/>
      </c>
      <c r="AF30" s="153">
        <f>$C30*INDEX(Curves!$AD$8:$AD$68,AF$4-$B30+1)</f>
        <v/>
      </c>
      <c r="AG30" s="153">
        <f>$C30*INDEX(Curves!$AD$8:$AD$68,AG$4-$B30+1)</f>
        <v/>
      </c>
      <c r="AH30" s="153">
        <f>$C30*INDEX(Curves!$AD$8:$AD$68,AH$4-$B30+1)</f>
        <v/>
      </c>
      <c r="AI30" s="153">
        <f>$C30*INDEX(Curves!$AD$8:$AD$68,AI$4-$B30+1)</f>
        <v/>
      </c>
      <c r="AJ30" s="153">
        <f>$C30*INDEX(Curves!$AD$8:$AD$68,AJ$4-$B30+1)</f>
        <v/>
      </c>
      <c r="AK30" s="153">
        <f>$C30*INDEX(Curves!$AD$8:$AD$68,AK$4-$B30+1)</f>
        <v/>
      </c>
      <c r="AL30" s="153">
        <f>$C30*INDEX(Curves!$AD$8:$AD$68,AL$4-$B30+1)</f>
        <v/>
      </c>
      <c r="AM30" s="153">
        <f>$C30*INDEX(Curves!$AD$8:$AD$68,AM$4-$B30+1)</f>
        <v/>
      </c>
      <c r="AN30" s="153">
        <f>$C30*INDEX(Curves!$AD$8:$AD$68,AN$4-$B30+1)</f>
        <v/>
      </c>
      <c r="AO30" s="153">
        <f>$C30*INDEX(Curves!$AD$8:$AD$68,AO$4-$B30+1)</f>
        <v/>
      </c>
      <c r="AP30" s="153">
        <f>$C30*INDEX(Curves!$AD$8:$AD$68,AP$4-$B30+1)</f>
        <v/>
      </c>
      <c r="AQ30" s="153">
        <f>$C30*INDEX(Curves!$AD$8:$AD$68,AQ$4-$B30+1)</f>
        <v/>
      </c>
      <c r="AR30" s="153">
        <f>$C30*INDEX(Curves!$AD$8:$AD$68,AR$4-$B30+1)</f>
        <v/>
      </c>
      <c r="AS30" s="153">
        <f>$C30*INDEX(Curves!$AD$8:$AD$68,AS$4-$B30+1)</f>
        <v/>
      </c>
      <c r="AT30" s="153">
        <f>$C30*INDEX(Curves!$AD$8:$AD$68,AT$4-$B30+1)</f>
        <v/>
      </c>
      <c r="AU30" s="153">
        <f>$C30*INDEX(Curves!$AD$8:$AD$68,AU$4-$B30+1)</f>
        <v/>
      </c>
      <c r="AV30" s="153">
        <f>$C30*INDEX(Curves!$AD$8:$AD$68,AV$4-$B30+1)</f>
        <v/>
      </c>
      <c r="AW30" s="153">
        <f>$C30*INDEX(Curves!$AD$8:$AD$68,AW$4-$B30+1)</f>
        <v/>
      </c>
      <c r="AX30" s="153">
        <f>$C30*INDEX(Curves!$AD$8:$AD$68,AX$4-$B30+1)</f>
        <v/>
      </c>
      <c r="AY30" s="153">
        <f>$C30*INDEX(Curves!$AD$8:$AD$68,AY$4-$B30+1)</f>
        <v/>
      </c>
      <c r="AZ30" s="153">
        <f>$C30*INDEX(Curves!$AD$8:$AD$68,AZ$4-$B30+1)</f>
        <v/>
      </c>
      <c r="BA30" s="153">
        <f>$C30*INDEX(Curves!$AD$8:$AD$68,BA$4-$B30+1)</f>
        <v/>
      </c>
      <c r="BB30" s="153">
        <f>$C30*INDEX(Curves!$AD$8:$AD$68,BB$4-$B30+1)</f>
        <v/>
      </c>
      <c r="BC30" s="153">
        <f>$C30*INDEX(Curves!$AD$8:$AD$68,BC$4-$B30+1)</f>
        <v/>
      </c>
      <c r="BD30" s="153">
        <f>$C30*INDEX(Curves!$AD$8:$AD$68,BD$4-$B30+1)</f>
        <v/>
      </c>
      <c r="BE30" s="153">
        <f>$C30*INDEX(Curves!$AD$8:$AD$68,BE$4-$B30+1)</f>
        <v/>
      </c>
      <c r="BF30" s="153">
        <f>$C30*INDEX(Curves!$AD$8:$AD$68,BF$4-$B30+1)</f>
        <v/>
      </c>
      <c r="BG30" s="153">
        <f>$C30*INDEX(Curves!$AD$8:$AD$68,BG$4-$B30+1)</f>
        <v/>
      </c>
      <c r="BH30" s="153">
        <f>$C30*INDEX(Curves!$AD$8:$AD$68,BH$4-$B30+1)</f>
        <v/>
      </c>
      <c r="BI30" s="153">
        <f>$C30*INDEX(Curves!$AD$8:$AD$68,BI$4-$B30+1)</f>
        <v/>
      </c>
      <c r="BJ30" s="153">
        <f>$C30*INDEX(Curves!$AD$8:$AD$68,BJ$4-$B30+1)</f>
        <v/>
      </c>
      <c r="BK30" s="153">
        <f>$C30*INDEX(Curves!$AD$8:$AD$68,BK$4-$B30+1)</f>
        <v/>
      </c>
      <c r="BL30" s="153">
        <f>$C30*INDEX(Curves!$AD$8:$AD$68,BL$4-$B30+1)</f>
        <v/>
      </c>
    </row>
    <row r="31">
      <c r="A31" s="147" t="inlineStr">
        <is>
          <t>Cohort month 22</t>
        </is>
      </c>
      <c r="B31" s="147" t="n">
        <v>22</v>
      </c>
      <c r="C31" s="41">
        <f>INDEX(Ops!$E$60:$BL$60,1,$B31)</f>
        <v/>
      </c>
      <c r="AA31" s="153">
        <f>$C31*INDEX(Curves!$AD$8:$AD$68,AA$4-$B31+1)</f>
        <v/>
      </c>
      <c r="AB31" s="153">
        <f>$C31*INDEX(Curves!$AD$8:$AD$68,AB$4-$B31+1)</f>
        <v/>
      </c>
      <c r="AC31" s="153">
        <f>$C31*INDEX(Curves!$AD$8:$AD$68,AC$4-$B31+1)</f>
        <v/>
      </c>
      <c r="AD31" s="153">
        <f>$C31*INDEX(Curves!$AD$8:$AD$68,AD$4-$B31+1)</f>
        <v/>
      </c>
      <c r="AE31" s="153">
        <f>$C31*INDEX(Curves!$AD$8:$AD$68,AE$4-$B31+1)</f>
        <v/>
      </c>
      <c r="AF31" s="153">
        <f>$C31*INDEX(Curves!$AD$8:$AD$68,AF$4-$B31+1)</f>
        <v/>
      </c>
      <c r="AG31" s="153">
        <f>$C31*INDEX(Curves!$AD$8:$AD$68,AG$4-$B31+1)</f>
        <v/>
      </c>
      <c r="AH31" s="153">
        <f>$C31*INDEX(Curves!$AD$8:$AD$68,AH$4-$B31+1)</f>
        <v/>
      </c>
      <c r="AI31" s="153">
        <f>$C31*INDEX(Curves!$AD$8:$AD$68,AI$4-$B31+1)</f>
        <v/>
      </c>
      <c r="AJ31" s="153">
        <f>$C31*INDEX(Curves!$AD$8:$AD$68,AJ$4-$B31+1)</f>
        <v/>
      </c>
      <c r="AK31" s="153">
        <f>$C31*INDEX(Curves!$AD$8:$AD$68,AK$4-$B31+1)</f>
        <v/>
      </c>
      <c r="AL31" s="153">
        <f>$C31*INDEX(Curves!$AD$8:$AD$68,AL$4-$B31+1)</f>
        <v/>
      </c>
      <c r="AM31" s="153">
        <f>$C31*INDEX(Curves!$AD$8:$AD$68,AM$4-$B31+1)</f>
        <v/>
      </c>
      <c r="AN31" s="153">
        <f>$C31*INDEX(Curves!$AD$8:$AD$68,AN$4-$B31+1)</f>
        <v/>
      </c>
      <c r="AO31" s="153">
        <f>$C31*INDEX(Curves!$AD$8:$AD$68,AO$4-$B31+1)</f>
        <v/>
      </c>
      <c r="AP31" s="153">
        <f>$C31*INDEX(Curves!$AD$8:$AD$68,AP$4-$B31+1)</f>
        <v/>
      </c>
      <c r="AQ31" s="153">
        <f>$C31*INDEX(Curves!$AD$8:$AD$68,AQ$4-$B31+1)</f>
        <v/>
      </c>
      <c r="AR31" s="153">
        <f>$C31*INDEX(Curves!$AD$8:$AD$68,AR$4-$B31+1)</f>
        <v/>
      </c>
      <c r="AS31" s="153">
        <f>$C31*INDEX(Curves!$AD$8:$AD$68,AS$4-$B31+1)</f>
        <v/>
      </c>
      <c r="AT31" s="153">
        <f>$C31*INDEX(Curves!$AD$8:$AD$68,AT$4-$B31+1)</f>
        <v/>
      </c>
      <c r="AU31" s="153">
        <f>$C31*INDEX(Curves!$AD$8:$AD$68,AU$4-$B31+1)</f>
        <v/>
      </c>
      <c r="AV31" s="153">
        <f>$C31*INDEX(Curves!$AD$8:$AD$68,AV$4-$B31+1)</f>
        <v/>
      </c>
      <c r="AW31" s="153">
        <f>$C31*INDEX(Curves!$AD$8:$AD$68,AW$4-$B31+1)</f>
        <v/>
      </c>
      <c r="AX31" s="153">
        <f>$C31*INDEX(Curves!$AD$8:$AD$68,AX$4-$B31+1)</f>
        <v/>
      </c>
      <c r="AY31" s="153">
        <f>$C31*INDEX(Curves!$AD$8:$AD$68,AY$4-$B31+1)</f>
        <v/>
      </c>
      <c r="AZ31" s="153">
        <f>$C31*INDEX(Curves!$AD$8:$AD$68,AZ$4-$B31+1)</f>
        <v/>
      </c>
      <c r="BA31" s="153">
        <f>$C31*INDEX(Curves!$AD$8:$AD$68,BA$4-$B31+1)</f>
        <v/>
      </c>
      <c r="BB31" s="153">
        <f>$C31*INDEX(Curves!$AD$8:$AD$68,BB$4-$B31+1)</f>
        <v/>
      </c>
      <c r="BC31" s="153">
        <f>$C31*INDEX(Curves!$AD$8:$AD$68,BC$4-$B31+1)</f>
        <v/>
      </c>
      <c r="BD31" s="153">
        <f>$C31*INDEX(Curves!$AD$8:$AD$68,BD$4-$B31+1)</f>
        <v/>
      </c>
      <c r="BE31" s="153">
        <f>$C31*INDEX(Curves!$AD$8:$AD$68,BE$4-$B31+1)</f>
        <v/>
      </c>
      <c r="BF31" s="153">
        <f>$C31*INDEX(Curves!$AD$8:$AD$68,BF$4-$B31+1)</f>
        <v/>
      </c>
      <c r="BG31" s="153">
        <f>$C31*INDEX(Curves!$AD$8:$AD$68,BG$4-$B31+1)</f>
        <v/>
      </c>
      <c r="BH31" s="153">
        <f>$C31*INDEX(Curves!$AD$8:$AD$68,BH$4-$B31+1)</f>
        <v/>
      </c>
      <c r="BI31" s="153">
        <f>$C31*INDEX(Curves!$AD$8:$AD$68,BI$4-$B31+1)</f>
        <v/>
      </c>
      <c r="BJ31" s="153">
        <f>$C31*INDEX(Curves!$AD$8:$AD$68,BJ$4-$B31+1)</f>
        <v/>
      </c>
      <c r="BK31" s="153">
        <f>$C31*INDEX(Curves!$AD$8:$AD$68,BK$4-$B31+1)</f>
        <v/>
      </c>
      <c r="BL31" s="153">
        <f>$C31*INDEX(Curves!$AD$8:$AD$68,BL$4-$B31+1)</f>
        <v/>
      </c>
    </row>
    <row r="32">
      <c r="A32" s="147" t="inlineStr">
        <is>
          <t>Cohort month 23</t>
        </is>
      </c>
      <c r="B32" s="147" t="n">
        <v>23</v>
      </c>
      <c r="C32" s="41">
        <f>INDEX(Ops!$E$60:$BL$60,1,$B32)</f>
        <v/>
      </c>
      <c r="AB32" s="153">
        <f>$C32*INDEX(Curves!$AD$8:$AD$68,AB$4-$B32+1)</f>
        <v/>
      </c>
      <c r="AC32" s="153">
        <f>$C32*INDEX(Curves!$AD$8:$AD$68,AC$4-$B32+1)</f>
        <v/>
      </c>
      <c r="AD32" s="153">
        <f>$C32*INDEX(Curves!$AD$8:$AD$68,AD$4-$B32+1)</f>
        <v/>
      </c>
      <c r="AE32" s="153">
        <f>$C32*INDEX(Curves!$AD$8:$AD$68,AE$4-$B32+1)</f>
        <v/>
      </c>
      <c r="AF32" s="153">
        <f>$C32*INDEX(Curves!$AD$8:$AD$68,AF$4-$B32+1)</f>
        <v/>
      </c>
      <c r="AG32" s="153">
        <f>$C32*INDEX(Curves!$AD$8:$AD$68,AG$4-$B32+1)</f>
        <v/>
      </c>
      <c r="AH32" s="153">
        <f>$C32*INDEX(Curves!$AD$8:$AD$68,AH$4-$B32+1)</f>
        <v/>
      </c>
      <c r="AI32" s="153">
        <f>$C32*INDEX(Curves!$AD$8:$AD$68,AI$4-$B32+1)</f>
        <v/>
      </c>
      <c r="AJ32" s="153">
        <f>$C32*INDEX(Curves!$AD$8:$AD$68,AJ$4-$B32+1)</f>
        <v/>
      </c>
      <c r="AK32" s="153">
        <f>$C32*INDEX(Curves!$AD$8:$AD$68,AK$4-$B32+1)</f>
        <v/>
      </c>
      <c r="AL32" s="153">
        <f>$C32*INDEX(Curves!$AD$8:$AD$68,AL$4-$B32+1)</f>
        <v/>
      </c>
      <c r="AM32" s="153">
        <f>$C32*INDEX(Curves!$AD$8:$AD$68,AM$4-$B32+1)</f>
        <v/>
      </c>
      <c r="AN32" s="153">
        <f>$C32*INDEX(Curves!$AD$8:$AD$68,AN$4-$B32+1)</f>
        <v/>
      </c>
      <c r="AO32" s="153">
        <f>$C32*INDEX(Curves!$AD$8:$AD$68,AO$4-$B32+1)</f>
        <v/>
      </c>
      <c r="AP32" s="153">
        <f>$C32*INDEX(Curves!$AD$8:$AD$68,AP$4-$B32+1)</f>
        <v/>
      </c>
      <c r="AQ32" s="153">
        <f>$C32*INDEX(Curves!$AD$8:$AD$68,AQ$4-$B32+1)</f>
        <v/>
      </c>
      <c r="AR32" s="153">
        <f>$C32*INDEX(Curves!$AD$8:$AD$68,AR$4-$B32+1)</f>
        <v/>
      </c>
      <c r="AS32" s="153">
        <f>$C32*INDEX(Curves!$AD$8:$AD$68,AS$4-$B32+1)</f>
        <v/>
      </c>
      <c r="AT32" s="153">
        <f>$C32*INDEX(Curves!$AD$8:$AD$68,AT$4-$B32+1)</f>
        <v/>
      </c>
      <c r="AU32" s="153">
        <f>$C32*INDEX(Curves!$AD$8:$AD$68,AU$4-$B32+1)</f>
        <v/>
      </c>
      <c r="AV32" s="153">
        <f>$C32*INDEX(Curves!$AD$8:$AD$68,AV$4-$B32+1)</f>
        <v/>
      </c>
      <c r="AW32" s="153">
        <f>$C32*INDEX(Curves!$AD$8:$AD$68,AW$4-$B32+1)</f>
        <v/>
      </c>
      <c r="AX32" s="153">
        <f>$C32*INDEX(Curves!$AD$8:$AD$68,AX$4-$B32+1)</f>
        <v/>
      </c>
      <c r="AY32" s="153">
        <f>$C32*INDEX(Curves!$AD$8:$AD$68,AY$4-$B32+1)</f>
        <v/>
      </c>
      <c r="AZ32" s="153">
        <f>$C32*INDEX(Curves!$AD$8:$AD$68,AZ$4-$B32+1)</f>
        <v/>
      </c>
      <c r="BA32" s="153">
        <f>$C32*INDEX(Curves!$AD$8:$AD$68,BA$4-$B32+1)</f>
        <v/>
      </c>
      <c r="BB32" s="153">
        <f>$C32*INDEX(Curves!$AD$8:$AD$68,BB$4-$B32+1)</f>
        <v/>
      </c>
      <c r="BC32" s="153">
        <f>$C32*INDEX(Curves!$AD$8:$AD$68,BC$4-$B32+1)</f>
        <v/>
      </c>
      <c r="BD32" s="153">
        <f>$C32*INDEX(Curves!$AD$8:$AD$68,BD$4-$B32+1)</f>
        <v/>
      </c>
      <c r="BE32" s="153">
        <f>$C32*INDEX(Curves!$AD$8:$AD$68,BE$4-$B32+1)</f>
        <v/>
      </c>
      <c r="BF32" s="153">
        <f>$C32*INDEX(Curves!$AD$8:$AD$68,BF$4-$B32+1)</f>
        <v/>
      </c>
      <c r="BG32" s="153">
        <f>$C32*INDEX(Curves!$AD$8:$AD$68,BG$4-$B32+1)</f>
        <v/>
      </c>
      <c r="BH32" s="153">
        <f>$C32*INDEX(Curves!$AD$8:$AD$68,BH$4-$B32+1)</f>
        <v/>
      </c>
      <c r="BI32" s="153">
        <f>$C32*INDEX(Curves!$AD$8:$AD$68,BI$4-$B32+1)</f>
        <v/>
      </c>
      <c r="BJ32" s="153">
        <f>$C32*INDEX(Curves!$AD$8:$AD$68,BJ$4-$B32+1)</f>
        <v/>
      </c>
      <c r="BK32" s="153">
        <f>$C32*INDEX(Curves!$AD$8:$AD$68,BK$4-$B32+1)</f>
        <v/>
      </c>
      <c r="BL32" s="153">
        <f>$C32*INDEX(Curves!$AD$8:$AD$68,BL$4-$B32+1)</f>
        <v/>
      </c>
    </row>
    <row r="33">
      <c r="A33" s="147" t="inlineStr">
        <is>
          <t>Cohort month 24</t>
        </is>
      </c>
      <c r="B33" s="147" t="n">
        <v>24</v>
      </c>
      <c r="C33" s="41">
        <f>INDEX(Ops!$E$60:$BL$60,1,$B33)</f>
        <v/>
      </c>
      <c r="AC33" s="153">
        <f>$C33*INDEX(Curves!$AD$8:$AD$68,AC$4-$B33+1)</f>
        <v/>
      </c>
      <c r="AD33" s="153">
        <f>$C33*INDEX(Curves!$AD$8:$AD$68,AD$4-$B33+1)</f>
        <v/>
      </c>
      <c r="AE33" s="153">
        <f>$C33*INDEX(Curves!$AD$8:$AD$68,AE$4-$B33+1)</f>
        <v/>
      </c>
      <c r="AF33" s="153">
        <f>$C33*INDEX(Curves!$AD$8:$AD$68,AF$4-$B33+1)</f>
        <v/>
      </c>
      <c r="AG33" s="153">
        <f>$C33*INDEX(Curves!$AD$8:$AD$68,AG$4-$B33+1)</f>
        <v/>
      </c>
      <c r="AH33" s="153">
        <f>$C33*INDEX(Curves!$AD$8:$AD$68,AH$4-$B33+1)</f>
        <v/>
      </c>
      <c r="AI33" s="153">
        <f>$C33*INDEX(Curves!$AD$8:$AD$68,AI$4-$B33+1)</f>
        <v/>
      </c>
      <c r="AJ33" s="153">
        <f>$C33*INDEX(Curves!$AD$8:$AD$68,AJ$4-$B33+1)</f>
        <v/>
      </c>
      <c r="AK33" s="153">
        <f>$C33*INDEX(Curves!$AD$8:$AD$68,AK$4-$B33+1)</f>
        <v/>
      </c>
      <c r="AL33" s="153">
        <f>$C33*INDEX(Curves!$AD$8:$AD$68,AL$4-$B33+1)</f>
        <v/>
      </c>
      <c r="AM33" s="153">
        <f>$C33*INDEX(Curves!$AD$8:$AD$68,AM$4-$B33+1)</f>
        <v/>
      </c>
      <c r="AN33" s="153">
        <f>$C33*INDEX(Curves!$AD$8:$AD$68,AN$4-$B33+1)</f>
        <v/>
      </c>
      <c r="AO33" s="153">
        <f>$C33*INDEX(Curves!$AD$8:$AD$68,AO$4-$B33+1)</f>
        <v/>
      </c>
      <c r="AP33" s="153">
        <f>$C33*INDEX(Curves!$AD$8:$AD$68,AP$4-$B33+1)</f>
        <v/>
      </c>
      <c r="AQ33" s="153">
        <f>$C33*INDEX(Curves!$AD$8:$AD$68,AQ$4-$B33+1)</f>
        <v/>
      </c>
      <c r="AR33" s="153">
        <f>$C33*INDEX(Curves!$AD$8:$AD$68,AR$4-$B33+1)</f>
        <v/>
      </c>
      <c r="AS33" s="153">
        <f>$C33*INDEX(Curves!$AD$8:$AD$68,AS$4-$B33+1)</f>
        <v/>
      </c>
      <c r="AT33" s="153">
        <f>$C33*INDEX(Curves!$AD$8:$AD$68,AT$4-$B33+1)</f>
        <v/>
      </c>
      <c r="AU33" s="153">
        <f>$C33*INDEX(Curves!$AD$8:$AD$68,AU$4-$B33+1)</f>
        <v/>
      </c>
      <c r="AV33" s="153">
        <f>$C33*INDEX(Curves!$AD$8:$AD$68,AV$4-$B33+1)</f>
        <v/>
      </c>
      <c r="AW33" s="153">
        <f>$C33*INDEX(Curves!$AD$8:$AD$68,AW$4-$B33+1)</f>
        <v/>
      </c>
      <c r="AX33" s="153">
        <f>$C33*INDEX(Curves!$AD$8:$AD$68,AX$4-$B33+1)</f>
        <v/>
      </c>
      <c r="AY33" s="153">
        <f>$C33*INDEX(Curves!$AD$8:$AD$68,AY$4-$B33+1)</f>
        <v/>
      </c>
      <c r="AZ33" s="153">
        <f>$C33*INDEX(Curves!$AD$8:$AD$68,AZ$4-$B33+1)</f>
        <v/>
      </c>
      <c r="BA33" s="153">
        <f>$C33*INDEX(Curves!$AD$8:$AD$68,BA$4-$B33+1)</f>
        <v/>
      </c>
      <c r="BB33" s="153">
        <f>$C33*INDEX(Curves!$AD$8:$AD$68,BB$4-$B33+1)</f>
        <v/>
      </c>
      <c r="BC33" s="153">
        <f>$C33*INDEX(Curves!$AD$8:$AD$68,BC$4-$B33+1)</f>
        <v/>
      </c>
      <c r="BD33" s="153">
        <f>$C33*INDEX(Curves!$AD$8:$AD$68,BD$4-$B33+1)</f>
        <v/>
      </c>
      <c r="BE33" s="153">
        <f>$C33*INDEX(Curves!$AD$8:$AD$68,BE$4-$B33+1)</f>
        <v/>
      </c>
      <c r="BF33" s="153">
        <f>$C33*INDEX(Curves!$AD$8:$AD$68,BF$4-$B33+1)</f>
        <v/>
      </c>
      <c r="BG33" s="153">
        <f>$C33*INDEX(Curves!$AD$8:$AD$68,BG$4-$B33+1)</f>
        <v/>
      </c>
      <c r="BH33" s="153">
        <f>$C33*INDEX(Curves!$AD$8:$AD$68,BH$4-$B33+1)</f>
        <v/>
      </c>
      <c r="BI33" s="153">
        <f>$C33*INDEX(Curves!$AD$8:$AD$68,BI$4-$B33+1)</f>
        <v/>
      </c>
      <c r="BJ33" s="153">
        <f>$C33*INDEX(Curves!$AD$8:$AD$68,BJ$4-$B33+1)</f>
        <v/>
      </c>
      <c r="BK33" s="153">
        <f>$C33*INDEX(Curves!$AD$8:$AD$68,BK$4-$B33+1)</f>
        <v/>
      </c>
      <c r="BL33" s="153">
        <f>$C33*INDEX(Curves!$AD$8:$AD$68,BL$4-$B33+1)</f>
        <v/>
      </c>
    </row>
    <row r="34">
      <c r="A34" s="147" t="inlineStr">
        <is>
          <t>Cohort month 25</t>
        </is>
      </c>
      <c r="B34" s="147" t="n">
        <v>25</v>
      </c>
      <c r="C34" s="41">
        <f>INDEX(Ops!$E$60:$BL$60,1,$B34)</f>
        <v/>
      </c>
      <c r="AD34" s="153">
        <f>$C34*INDEX(Curves!$AD$8:$AD$68,AD$4-$B34+1)</f>
        <v/>
      </c>
      <c r="AE34" s="153">
        <f>$C34*INDEX(Curves!$AD$8:$AD$68,AE$4-$B34+1)</f>
        <v/>
      </c>
      <c r="AF34" s="153">
        <f>$C34*INDEX(Curves!$AD$8:$AD$68,AF$4-$B34+1)</f>
        <v/>
      </c>
      <c r="AG34" s="153">
        <f>$C34*INDEX(Curves!$AD$8:$AD$68,AG$4-$B34+1)</f>
        <v/>
      </c>
      <c r="AH34" s="153">
        <f>$C34*INDEX(Curves!$AD$8:$AD$68,AH$4-$B34+1)</f>
        <v/>
      </c>
      <c r="AI34" s="153">
        <f>$C34*INDEX(Curves!$AD$8:$AD$68,AI$4-$B34+1)</f>
        <v/>
      </c>
      <c r="AJ34" s="153">
        <f>$C34*INDEX(Curves!$AD$8:$AD$68,AJ$4-$B34+1)</f>
        <v/>
      </c>
      <c r="AK34" s="153">
        <f>$C34*INDEX(Curves!$AD$8:$AD$68,AK$4-$B34+1)</f>
        <v/>
      </c>
      <c r="AL34" s="153">
        <f>$C34*INDEX(Curves!$AD$8:$AD$68,AL$4-$B34+1)</f>
        <v/>
      </c>
      <c r="AM34" s="153">
        <f>$C34*INDEX(Curves!$AD$8:$AD$68,AM$4-$B34+1)</f>
        <v/>
      </c>
      <c r="AN34" s="153">
        <f>$C34*INDEX(Curves!$AD$8:$AD$68,AN$4-$B34+1)</f>
        <v/>
      </c>
      <c r="AO34" s="153">
        <f>$C34*INDEX(Curves!$AD$8:$AD$68,AO$4-$B34+1)</f>
        <v/>
      </c>
      <c r="AP34" s="153">
        <f>$C34*INDEX(Curves!$AD$8:$AD$68,AP$4-$B34+1)</f>
        <v/>
      </c>
      <c r="AQ34" s="153">
        <f>$C34*INDEX(Curves!$AD$8:$AD$68,AQ$4-$B34+1)</f>
        <v/>
      </c>
      <c r="AR34" s="153">
        <f>$C34*INDEX(Curves!$AD$8:$AD$68,AR$4-$B34+1)</f>
        <v/>
      </c>
      <c r="AS34" s="153">
        <f>$C34*INDEX(Curves!$AD$8:$AD$68,AS$4-$B34+1)</f>
        <v/>
      </c>
      <c r="AT34" s="153">
        <f>$C34*INDEX(Curves!$AD$8:$AD$68,AT$4-$B34+1)</f>
        <v/>
      </c>
      <c r="AU34" s="153">
        <f>$C34*INDEX(Curves!$AD$8:$AD$68,AU$4-$B34+1)</f>
        <v/>
      </c>
      <c r="AV34" s="153">
        <f>$C34*INDEX(Curves!$AD$8:$AD$68,AV$4-$B34+1)</f>
        <v/>
      </c>
      <c r="AW34" s="153">
        <f>$C34*INDEX(Curves!$AD$8:$AD$68,AW$4-$B34+1)</f>
        <v/>
      </c>
      <c r="AX34" s="153">
        <f>$C34*INDEX(Curves!$AD$8:$AD$68,AX$4-$B34+1)</f>
        <v/>
      </c>
      <c r="AY34" s="153">
        <f>$C34*INDEX(Curves!$AD$8:$AD$68,AY$4-$B34+1)</f>
        <v/>
      </c>
      <c r="AZ34" s="153">
        <f>$C34*INDEX(Curves!$AD$8:$AD$68,AZ$4-$B34+1)</f>
        <v/>
      </c>
      <c r="BA34" s="153">
        <f>$C34*INDEX(Curves!$AD$8:$AD$68,BA$4-$B34+1)</f>
        <v/>
      </c>
      <c r="BB34" s="153">
        <f>$C34*INDEX(Curves!$AD$8:$AD$68,BB$4-$B34+1)</f>
        <v/>
      </c>
      <c r="BC34" s="153">
        <f>$C34*INDEX(Curves!$AD$8:$AD$68,BC$4-$B34+1)</f>
        <v/>
      </c>
      <c r="BD34" s="153">
        <f>$C34*INDEX(Curves!$AD$8:$AD$68,BD$4-$B34+1)</f>
        <v/>
      </c>
      <c r="BE34" s="153">
        <f>$C34*INDEX(Curves!$AD$8:$AD$68,BE$4-$B34+1)</f>
        <v/>
      </c>
      <c r="BF34" s="153">
        <f>$C34*INDEX(Curves!$AD$8:$AD$68,BF$4-$B34+1)</f>
        <v/>
      </c>
      <c r="BG34" s="153">
        <f>$C34*INDEX(Curves!$AD$8:$AD$68,BG$4-$B34+1)</f>
        <v/>
      </c>
      <c r="BH34" s="153">
        <f>$C34*INDEX(Curves!$AD$8:$AD$68,BH$4-$B34+1)</f>
        <v/>
      </c>
      <c r="BI34" s="153">
        <f>$C34*INDEX(Curves!$AD$8:$AD$68,BI$4-$B34+1)</f>
        <v/>
      </c>
      <c r="BJ34" s="153">
        <f>$C34*INDEX(Curves!$AD$8:$AD$68,BJ$4-$B34+1)</f>
        <v/>
      </c>
      <c r="BK34" s="153">
        <f>$C34*INDEX(Curves!$AD$8:$AD$68,BK$4-$B34+1)</f>
        <v/>
      </c>
      <c r="BL34" s="153">
        <f>$C34*INDEX(Curves!$AD$8:$AD$68,BL$4-$B34+1)</f>
        <v/>
      </c>
    </row>
    <row r="35">
      <c r="A35" s="147" t="inlineStr">
        <is>
          <t>Cohort month 26</t>
        </is>
      </c>
      <c r="B35" s="147" t="n">
        <v>26</v>
      </c>
      <c r="C35" s="41">
        <f>INDEX(Ops!$E$60:$BL$60,1,$B35)</f>
        <v/>
      </c>
      <c r="AE35" s="153">
        <f>$C35*INDEX(Curves!$AD$8:$AD$68,AE$4-$B35+1)</f>
        <v/>
      </c>
      <c r="AF35" s="153">
        <f>$C35*INDEX(Curves!$AD$8:$AD$68,AF$4-$B35+1)</f>
        <v/>
      </c>
      <c r="AG35" s="153">
        <f>$C35*INDEX(Curves!$AD$8:$AD$68,AG$4-$B35+1)</f>
        <v/>
      </c>
      <c r="AH35" s="153">
        <f>$C35*INDEX(Curves!$AD$8:$AD$68,AH$4-$B35+1)</f>
        <v/>
      </c>
      <c r="AI35" s="153">
        <f>$C35*INDEX(Curves!$AD$8:$AD$68,AI$4-$B35+1)</f>
        <v/>
      </c>
      <c r="AJ35" s="153">
        <f>$C35*INDEX(Curves!$AD$8:$AD$68,AJ$4-$B35+1)</f>
        <v/>
      </c>
      <c r="AK35" s="153">
        <f>$C35*INDEX(Curves!$AD$8:$AD$68,AK$4-$B35+1)</f>
        <v/>
      </c>
      <c r="AL35" s="153">
        <f>$C35*INDEX(Curves!$AD$8:$AD$68,AL$4-$B35+1)</f>
        <v/>
      </c>
      <c r="AM35" s="153">
        <f>$C35*INDEX(Curves!$AD$8:$AD$68,AM$4-$B35+1)</f>
        <v/>
      </c>
      <c r="AN35" s="153">
        <f>$C35*INDEX(Curves!$AD$8:$AD$68,AN$4-$B35+1)</f>
        <v/>
      </c>
      <c r="AO35" s="153">
        <f>$C35*INDEX(Curves!$AD$8:$AD$68,AO$4-$B35+1)</f>
        <v/>
      </c>
      <c r="AP35" s="153">
        <f>$C35*INDEX(Curves!$AD$8:$AD$68,AP$4-$B35+1)</f>
        <v/>
      </c>
      <c r="AQ35" s="153">
        <f>$C35*INDEX(Curves!$AD$8:$AD$68,AQ$4-$B35+1)</f>
        <v/>
      </c>
      <c r="AR35" s="153">
        <f>$C35*INDEX(Curves!$AD$8:$AD$68,AR$4-$B35+1)</f>
        <v/>
      </c>
      <c r="AS35" s="153">
        <f>$C35*INDEX(Curves!$AD$8:$AD$68,AS$4-$B35+1)</f>
        <v/>
      </c>
      <c r="AT35" s="153">
        <f>$C35*INDEX(Curves!$AD$8:$AD$68,AT$4-$B35+1)</f>
        <v/>
      </c>
      <c r="AU35" s="153">
        <f>$C35*INDEX(Curves!$AD$8:$AD$68,AU$4-$B35+1)</f>
        <v/>
      </c>
      <c r="AV35" s="153">
        <f>$C35*INDEX(Curves!$AD$8:$AD$68,AV$4-$B35+1)</f>
        <v/>
      </c>
      <c r="AW35" s="153">
        <f>$C35*INDEX(Curves!$AD$8:$AD$68,AW$4-$B35+1)</f>
        <v/>
      </c>
      <c r="AX35" s="153">
        <f>$C35*INDEX(Curves!$AD$8:$AD$68,AX$4-$B35+1)</f>
        <v/>
      </c>
      <c r="AY35" s="153">
        <f>$C35*INDEX(Curves!$AD$8:$AD$68,AY$4-$B35+1)</f>
        <v/>
      </c>
      <c r="AZ35" s="153">
        <f>$C35*INDEX(Curves!$AD$8:$AD$68,AZ$4-$B35+1)</f>
        <v/>
      </c>
      <c r="BA35" s="153">
        <f>$C35*INDEX(Curves!$AD$8:$AD$68,BA$4-$B35+1)</f>
        <v/>
      </c>
      <c r="BB35" s="153">
        <f>$C35*INDEX(Curves!$AD$8:$AD$68,BB$4-$B35+1)</f>
        <v/>
      </c>
      <c r="BC35" s="153">
        <f>$C35*INDEX(Curves!$AD$8:$AD$68,BC$4-$B35+1)</f>
        <v/>
      </c>
      <c r="BD35" s="153">
        <f>$C35*INDEX(Curves!$AD$8:$AD$68,BD$4-$B35+1)</f>
        <v/>
      </c>
      <c r="BE35" s="153">
        <f>$C35*INDEX(Curves!$AD$8:$AD$68,BE$4-$B35+1)</f>
        <v/>
      </c>
      <c r="BF35" s="153">
        <f>$C35*INDEX(Curves!$AD$8:$AD$68,BF$4-$B35+1)</f>
        <v/>
      </c>
      <c r="BG35" s="153">
        <f>$C35*INDEX(Curves!$AD$8:$AD$68,BG$4-$B35+1)</f>
        <v/>
      </c>
      <c r="BH35" s="153">
        <f>$C35*INDEX(Curves!$AD$8:$AD$68,BH$4-$B35+1)</f>
        <v/>
      </c>
      <c r="BI35" s="153">
        <f>$C35*INDEX(Curves!$AD$8:$AD$68,BI$4-$B35+1)</f>
        <v/>
      </c>
      <c r="BJ35" s="153">
        <f>$C35*INDEX(Curves!$AD$8:$AD$68,BJ$4-$B35+1)</f>
        <v/>
      </c>
      <c r="BK35" s="153">
        <f>$C35*INDEX(Curves!$AD$8:$AD$68,BK$4-$B35+1)</f>
        <v/>
      </c>
      <c r="BL35" s="153">
        <f>$C35*INDEX(Curves!$AD$8:$AD$68,BL$4-$B35+1)</f>
        <v/>
      </c>
    </row>
    <row r="36">
      <c r="A36" s="147" t="inlineStr">
        <is>
          <t>Cohort month 27</t>
        </is>
      </c>
      <c r="B36" s="147" t="n">
        <v>27</v>
      </c>
      <c r="C36" s="41">
        <f>INDEX(Ops!$E$60:$BL$60,1,$B36)</f>
        <v/>
      </c>
      <c r="AF36" s="153">
        <f>$C36*INDEX(Curves!$AD$8:$AD$68,AF$4-$B36+1)</f>
        <v/>
      </c>
      <c r="AG36" s="153">
        <f>$C36*INDEX(Curves!$AD$8:$AD$68,AG$4-$B36+1)</f>
        <v/>
      </c>
      <c r="AH36" s="153">
        <f>$C36*INDEX(Curves!$AD$8:$AD$68,AH$4-$B36+1)</f>
        <v/>
      </c>
      <c r="AI36" s="153">
        <f>$C36*INDEX(Curves!$AD$8:$AD$68,AI$4-$B36+1)</f>
        <v/>
      </c>
      <c r="AJ36" s="153">
        <f>$C36*INDEX(Curves!$AD$8:$AD$68,AJ$4-$B36+1)</f>
        <v/>
      </c>
      <c r="AK36" s="153">
        <f>$C36*INDEX(Curves!$AD$8:$AD$68,AK$4-$B36+1)</f>
        <v/>
      </c>
      <c r="AL36" s="153">
        <f>$C36*INDEX(Curves!$AD$8:$AD$68,AL$4-$B36+1)</f>
        <v/>
      </c>
      <c r="AM36" s="153">
        <f>$C36*INDEX(Curves!$AD$8:$AD$68,AM$4-$B36+1)</f>
        <v/>
      </c>
      <c r="AN36" s="153">
        <f>$C36*INDEX(Curves!$AD$8:$AD$68,AN$4-$B36+1)</f>
        <v/>
      </c>
      <c r="AO36" s="153">
        <f>$C36*INDEX(Curves!$AD$8:$AD$68,AO$4-$B36+1)</f>
        <v/>
      </c>
      <c r="AP36" s="153">
        <f>$C36*INDEX(Curves!$AD$8:$AD$68,AP$4-$B36+1)</f>
        <v/>
      </c>
      <c r="AQ36" s="153">
        <f>$C36*INDEX(Curves!$AD$8:$AD$68,AQ$4-$B36+1)</f>
        <v/>
      </c>
      <c r="AR36" s="153">
        <f>$C36*INDEX(Curves!$AD$8:$AD$68,AR$4-$B36+1)</f>
        <v/>
      </c>
      <c r="AS36" s="153">
        <f>$C36*INDEX(Curves!$AD$8:$AD$68,AS$4-$B36+1)</f>
        <v/>
      </c>
      <c r="AT36" s="153">
        <f>$C36*INDEX(Curves!$AD$8:$AD$68,AT$4-$B36+1)</f>
        <v/>
      </c>
      <c r="AU36" s="153">
        <f>$C36*INDEX(Curves!$AD$8:$AD$68,AU$4-$B36+1)</f>
        <v/>
      </c>
      <c r="AV36" s="153">
        <f>$C36*INDEX(Curves!$AD$8:$AD$68,AV$4-$B36+1)</f>
        <v/>
      </c>
      <c r="AW36" s="153">
        <f>$C36*INDEX(Curves!$AD$8:$AD$68,AW$4-$B36+1)</f>
        <v/>
      </c>
      <c r="AX36" s="153">
        <f>$C36*INDEX(Curves!$AD$8:$AD$68,AX$4-$B36+1)</f>
        <v/>
      </c>
      <c r="AY36" s="153">
        <f>$C36*INDEX(Curves!$AD$8:$AD$68,AY$4-$B36+1)</f>
        <v/>
      </c>
      <c r="AZ36" s="153">
        <f>$C36*INDEX(Curves!$AD$8:$AD$68,AZ$4-$B36+1)</f>
        <v/>
      </c>
      <c r="BA36" s="153">
        <f>$C36*INDEX(Curves!$AD$8:$AD$68,BA$4-$B36+1)</f>
        <v/>
      </c>
      <c r="BB36" s="153">
        <f>$C36*INDEX(Curves!$AD$8:$AD$68,BB$4-$B36+1)</f>
        <v/>
      </c>
      <c r="BC36" s="153">
        <f>$C36*INDEX(Curves!$AD$8:$AD$68,BC$4-$B36+1)</f>
        <v/>
      </c>
      <c r="BD36" s="153">
        <f>$C36*INDEX(Curves!$AD$8:$AD$68,BD$4-$B36+1)</f>
        <v/>
      </c>
      <c r="BE36" s="153">
        <f>$C36*INDEX(Curves!$AD$8:$AD$68,BE$4-$B36+1)</f>
        <v/>
      </c>
      <c r="BF36" s="153">
        <f>$C36*INDEX(Curves!$AD$8:$AD$68,BF$4-$B36+1)</f>
        <v/>
      </c>
      <c r="BG36" s="153">
        <f>$C36*INDEX(Curves!$AD$8:$AD$68,BG$4-$B36+1)</f>
        <v/>
      </c>
      <c r="BH36" s="153">
        <f>$C36*INDEX(Curves!$AD$8:$AD$68,BH$4-$B36+1)</f>
        <v/>
      </c>
      <c r="BI36" s="153">
        <f>$C36*INDEX(Curves!$AD$8:$AD$68,BI$4-$B36+1)</f>
        <v/>
      </c>
      <c r="BJ36" s="153">
        <f>$C36*INDEX(Curves!$AD$8:$AD$68,BJ$4-$B36+1)</f>
        <v/>
      </c>
      <c r="BK36" s="153">
        <f>$C36*INDEX(Curves!$AD$8:$AD$68,BK$4-$B36+1)</f>
        <v/>
      </c>
      <c r="BL36" s="153">
        <f>$C36*INDEX(Curves!$AD$8:$AD$68,BL$4-$B36+1)</f>
        <v/>
      </c>
    </row>
    <row r="37">
      <c r="A37" s="147" t="inlineStr">
        <is>
          <t>Cohort month 28</t>
        </is>
      </c>
      <c r="B37" s="147" t="n">
        <v>28</v>
      </c>
      <c r="C37" s="41">
        <f>INDEX(Ops!$E$60:$BL$60,1,$B37)</f>
        <v/>
      </c>
      <c r="AG37" s="153">
        <f>$C37*INDEX(Curves!$AD$8:$AD$68,AG$4-$B37+1)</f>
        <v/>
      </c>
      <c r="AH37" s="153">
        <f>$C37*INDEX(Curves!$AD$8:$AD$68,AH$4-$B37+1)</f>
        <v/>
      </c>
      <c r="AI37" s="153">
        <f>$C37*INDEX(Curves!$AD$8:$AD$68,AI$4-$B37+1)</f>
        <v/>
      </c>
      <c r="AJ37" s="153">
        <f>$C37*INDEX(Curves!$AD$8:$AD$68,AJ$4-$B37+1)</f>
        <v/>
      </c>
      <c r="AK37" s="153">
        <f>$C37*INDEX(Curves!$AD$8:$AD$68,AK$4-$B37+1)</f>
        <v/>
      </c>
      <c r="AL37" s="153">
        <f>$C37*INDEX(Curves!$AD$8:$AD$68,AL$4-$B37+1)</f>
        <v/>
      </c>
      <c r="AM37" s="153">
        <f>$C37*INDEX(Curves!$AD$8:$AD$68,AM$4-$B37+1)</f>
        <v/>
      </c>
      <c r="AN37" s="153">
        <f>$C37*INDEX(Curves!$AD$8:$AD$68,AN$4-$B37+1)</f>
        <v/>
      </c>
      <c r="AO37" s="153">
        <f>$C37*INDEX(Curves!$AD$8:$AD$68,AO$4-$B37+1)</f>
        <v/>
      </c>
      <c r="AP37" s="153">
        <f>$C37*INDEX(Curves!$AD$8:$AD$68,AP$4-$B37+1)</f>
        <v/>
      </c>
      <c r="AQ37" s="153">
        <f>$C37*INDEX(Curves!$AD$8:$AD$68,AQ$4-$B37+1)</f>
        <v/>
      </c>
      <c r="AR37" s="153">
        <f>$C37*INDEX(Curves!$AD$8:$AD$68,AR$4-$B37+1)</f>
        <v/>
      </c>
      <c r="AS37" s="153">
        <f>$C37*INDEX(Curves!$AD$8:$AD$68,AS$4-$B37+1)</f>
        <v/>
      </c>
      <c r="AT37" s="153">
        <f>$C37*INDEX(Curves!$AD$8:$AD$68,AT$4-$B37+1)</f>
        <v/>
      </c>
      <c r="AU37" s="153">
        <f>$C37*INDEX(Curves!$AD$8:$AD$68,AU$4-$B37+1)</f>
        <v/>
      </c>
      <c r="AV37" s="153">
        <f>$C37*INDEX(Curves!$AD$8:$AD$68,AV$4-$B37+1)</f>
        <v/>
      </c>
      <c r="AW37" s="153">
        <f>$C37*INDEX(Curves!$AD$8:$AD$68,AW$4-$B37+1)</f>
        <v/>
      </c>
      <c r="AX37" s="153">
        <f>$C37*INDEX(Curves!$AD$8:$AD$68,AX$4-$B37+1)</f>
        <v/>
      </c>
      <c r="AY37" s="153">
        <f>$C37*INDEX(Curves!$AD$8:$AD$68,AY$4-$B37+1)</f>
        <v/>
      </c>
      <c r="AZ37" s="153">
        <f>$C37*INDEX(Curves!$AD$8:$AD$68,AZ$4-$B37+1)</f>
        <v/>
      </c>
      <c r="BA37" s="153">
        <f>$C37*INDEX(Curves!$AD$8:$AD$68,BA$4-$B37+1)</f>
        <v/>
      </c>
      <c r="BB37" s="153">
        <f>$C37*INDEX(Curves!$AD$8:$AD$68,BB$4-$B37+1)</f>
        <v/>
      </c>
      <c r="BC37" s="153">
        <f>$C37*INDEX(Curves!$AD$8:$AD$68,BC$4-$B37+1)</f>
        <v/>
      </c>
      <c r="BD37" s="153">
        <f>$C37*INDEX(Curves!$AD$8:$AD$68,BD$4-$B37+1)</f>
        <v/>
      </c>
      <c r="BE37" s="153">
        <f>$C37*INDEX(Curves!$AD$8:$AD$68,BE$4-$B37+1)</f>
        <v/>
      </c>
      <c r="BF37" s="153">
        <f>$C37*INDEX(Curves!$AD$8:$AD$68,BF$4-$B37+1)</f>
        <v/>
      </c>
      <c r="BG37" s="153">
        <f>$C37*INDEX(Curves!$AD$8:$AD$68,BG$4-$B37+1)</f>
        <v/>
      </c>
      <c r="BH37" s="153">
        <f>$C37*INDEX(Curves!$AD$8:$AD$68,BH$4-$B37+1)</f>
        <v/>
      </c>
      <c r="BI37" s="153">
        <f>$C37*INDEX(Curves!$AD$8:$AD$68,BI$4-$B37+1)</f>
        <v/>
      </c>
      <c r="BJ37" s="153">
        <f>$C37*INDEX(Curves!$AD$8:$AD$68,BJ$4-$B37+1)</f>
        <v/>
      </c>
      <c r="BK37" s="153">
        <f>$C37*INDEX(Curves!$AD$8:$AD$68,BK$4-$B37+1)</f>
        <v/>
      </c>
      <c r="BL37" s="153">
        <f>$C37*INDEX(Curves!$AD$8:$AD$68,BL$4-$B37+1)</f>
        <v/>
      </c>
    </row>
    <row r="38">
      <c r="A38" s="147" t="inlineStr">
        <is>
          <t>Cohort month 29</t>
        </is>
      </c>
      <c r="B38" s="147" t="n">
        <v>29</v>
      </c>
      <c r="C38" s="41">
        <f>INDEX(Ops!$E$60:$BL$60,1,$B38)</f>
        <v/>
      </c>
      <c r="AH38" s="153">
        <f>$C38*INDEX(Curves!$AD$8:$AD$68,AH$4-$B38+1)</f>
        <v/>
      </c>
      <c r="AI38" s="153">
        <f>$C38*INDEX(Curves!$AD$8:$AD$68,AI$4-$B38+1)</f>
        <v/>
      </c>
      <c r="AJ38" s="153">
        <f>$C38*INDEX(Curves!$AD$8:$AD$68,AJ$4-$B38+1)</f>
        <v/>
      </c>
      <c r="AK38" s="153">
        <f>$C38*INDEX(Curves!$AD$8:$AD$68,AK$4-$B38+1)</f>
        <v/>
      </c>
      <c r="AL38" s="153">
        <f>$C38*INDEX(Curves!$AD$8:$AD$68,AL$4-$B38+1)</f>
        <v/>
      </c>
      <c r="AM38" s="153">
        <f>$C38*INDEX(Curves!$AD$8:$AD$68,AM$4-$B38+1)</f>
        <v/>
      </c>
      <c r="AN38" s="153">
        <f>$C38*INDEX(Curves!$AD$8:$AD$68,AN$4-$B38+1)</f>
        <v/>
      </c>
      <c r="AO38" s="153">
        <f>$C38*INDEX(Curves!$AD$8:$AD$68,AO$4-$B38+1)</f>
        <v/>
      </c>
      <c r="AP38" s="153">
        <f>$C38*INDEX(Curves!$AD$8:$AD$68,AP$4-$B38+1)</f>
        <v/>
      </c>
      <c r="AQ38" s="153">
        <f>$C38*INDEX(Curves!$AD$8:$AD$68,AQ$4-$B38+1)</f>
        <v/>
      </c>
      <c r="AR38" s="153">
        <f>$C38*INDEX(Curves!$AD$8:$AD$68,AR$4-$B38+1)</f>
        <v/>
      </c>
      <c r="AS38" s="153">
        <f>$C38*INDEX(Curves!$AD$8:$AD$68,AS$4-$B38+1)</f>
        <v/>
      </c>
      <c r="AT38" s="153">
        <f>$C38*INDEX(Curves!$AD$8:$AD$68,AT$4-$B38+1)</f>
        <v/>
      </c>
      <c r="AU38" s="153">
        <f>$C38*INDEX(Curves!$AD$8:$AD$68,AU$4-$B38+1)</f>
        <v/>
      </c>
      <c r="AV38" s="153">
        <f>$C38*INDEX(Curves!$AD$8:$AD$68,AV$4-$B38+1)</f>
        <v/>
      </c>
      <c r="AW38" s="153">
        <f>$C38*INDEX(Curves!$AD$8:$AD$68,AW$4-$B38+1)</f>
        <v/>
      </c>
      <c r="AX38" s="153">
        <f>$C38*INDEX(Curves!$AD$8:$AD$68,AX$4-$B38+1)</f>
        <v/>
      </c>
      <c r="AY38" s="153">
        <f>$C38*INDEX(Curves!$AD$8:$AD$68,AY$4-$B38+1)</f>
        <v/>
      </c>
      <c r="AZ38" s="153">
        <f>$C38*INDEX(Curves!$AD$8:$AD$68,AZ$4-$B38+1)</f>
        <v/>
      </c>
      <c r="BA38" s="153">
        <f>$C38*INDEX(Curves!$AD$8:$AD$68,BA$4-$B38+1)</f>
        <v/>
      </c>
      <c r="BB38" s="153">
        <f>$C38*INDEX(Curves!$AD$8:$AD$68,BB$4-$B38+1)</f>
        <v/>
      </c>
      <c r="BC38" s="153">
        <f>$C38*INDEX(Curves!$AD$8:$AD$68,BC$4-$B38+1)</f>
        <v/>
      </c>
      <c r="BD38" s="153">
        <f>$C38*INDEX(Curves!$AD$8:$AD$68,BD$4-$B38+1)</f>
        <v/>
      </c>
      <c r="BE38" s="153">
        <f>$C38*INDEX(Curves!$AD$8:$AD$68,BE$4-$B38+1)</f>
        <v/>
      </c>
      <c r="BF38" s="153">
        <f>$C38*INDEX(Curves!$AD$8:$AD$68,BF$4-$B38+1)</f>
        <v/>
      </c>
      <c r="BG38" s="153">
        <f>$C38*INDEX(Curves!$AD$8:$AD$68,BG$4-$B38+1)</f>
        <v/>
      </c>
      <c r="BH38" s="153">
        <f>$C38*INDEX(Curves!$AD$8:$AD$68,BH$4-$B38+1)</f>
        <v/>
      </c>
      <c r="BI38" s="153">
        <f>$C38*INDEX(Curves!$AD$8:$AD$68,BI$4-$B38+1)</f>
        <v/>
      </c>
      <c r="BJ38" s="153">
        <f>$C38*INDEX(Curves!$AD$8:$AD$68,BJ$4-$B38+1)</f>
        <v/>
      </c>
      <c r="BK38" s="153">
        <f>$C38*INDEX(Curves!$AD$8:$AD$68,BK$4-$B38+1)</f>
        <v/>
      </c>
      <c r="BL38" s="153">
        <f>$C38*INDEX(Curves!$AD$8:$AD$68,BL$4-$B38+1)</f>
        <v/>
      </c>
    </row>
    <row r="39">
      <c r="A39" s="147" t="inlineStr">
        <is>
          <t>Cohort month 30</t>
        </is>
      </c>
      <c r="B39" s="147" t="n">
        <v>30</v>
      </c>
      <c r="C39" s="41">
        <f>INDEX(Ops!$E$60:$BL$60,1,$B39)</f>
        <v/>
      </c>
      <c r="AI39" s="153">
        <f>$C39*INDEX(Curves!$AD$8:$AD$68,AI$4-$B39+1)</f>
        <v/>
      </c>
      <c r="AJ39" s="153">
        <f>$C39*INDEX(Curves!$AD$8:$AD$68,AJ$4-$B39+1)</f>
        <v/>
      </c>
      <c r="AK39" s="153">
        <f>$C39*INDEX(Curves!$AD$8:$AD$68,AK$4-$B39+1)</f>
        <v/>
      </c>
      <c r="AL39" s="153">
        <f>$C39*INDEX(Curves!$AD$8:$AD$68,AL$4-$B39+1)</f>
        <v/>
      </c>
      <c r="AM39" s="153">
        <f>$C39*INDEX(Curves!$AD$8:$AD$68,AM$4-$B39+1)</f>
        <v/>
      </c>
      <c r="AN39" s="153">
        <f>$C39*INDEX(Curves!$AD$8:$AD$68,AN$4-$B39+1)</f>
        <v/>
      </c>
      <c r="AO39" s="153">
        <f>$C39*INDEX(Curves!$AD$8:$AD$68,AO$4-$B39+1)</f>
        <v/>
      </c>
      <c r="AP39" s="153">
        <f>$C39*INDEX(Curves!$AD$8:$AD$68,AP$4-$B39+1)</f>
        <v/>
      </c>
      <c r="AQ39" s="153">
        <f>$C39*INDEX(Curves!$AD$8:$AD$68,AQ$4-$B39+1)</f>
        <v/>
      </c>
      <c r="AR39" s="153">
        <f>$C39*INDEX(Curves!$AD$8:$AD$68,AR$4-$B39+1)</f>
        <v/>
      </c>
      <c r="AS39" s="153">
        <f>$C39*INDEX(Curves!$AD$8:$AD$68,AS$4-$B39+1)</f>
        <v/>
      </c>
      <c r="AT39" s="153">
        <f>$C39*INDEX(Curves!$AD$8:$AD$68,AT$4-$B39+1)</f>
        <v/>
      </c>
      <c r="AU39" s="153">
        <f>$C39*INDEX(Curves!$AD$8:$AD$68,AU$4-$B39+1)</f>
        <v/>
      </c>
      <c r="AV39" s="153">
        <f>$C39*INDEX(Curves!$AD$8:$AD$68,AV$4-$B39+1)</f>
        <v/>
      </c>
      <c r="AW39" s="153">
        <f>$C39*INDEX(Curves!$AD$8:$AD$68,AW$4-$B39+1)</f>
        <v/>
      </c>
      <c r="AX39" s="153">
        <f>$C39*INDEX(Curves!$AD$8:$AD$68,AX$4-$B39+1)</f>
        <v/>
      </c>
      <c r="AY39" s="153">
        <f>$C39*INDEX(Curves!$AD$8:$AD$68,AY$4-$B39+1)</f>
        <v/>
      </c>
      <c r="AZ39" s="153">
        <f>$C39*INDEX(Curves!$AD$8:$AD$68,AZ$4-$B39+1)</f>
        <v/>
      </c>
      <c r="BA39" s="153">
        <f>$C39*INDEX(Curves!$AD$8:$AD$68,BA$4-$B39+1)</f>
        <v/>
      </c>
      <c r="BB39" s="153">
        <f>$C39*INDEX(Curves!$AD$8:$AD$68,BB$4-$B39+1)</f>
        <v/>
      </c>
      <c r="BC39" s="153">
        <f>$C39*INDEX(Curves!$AD$8:$AD$68,BC$4-$B39+1)</f>
        <v/>
      </c>
      <c r="BD39" s="153">
        <f>$C39*INDEX(Curves!$AD$8:$AD$68,BD$4-$B39+1)</f>
        <v/>
      </c>
      <c r="BE39" s="153">
        <f>$C39*INDEX(Curves!$AD$8:$AD$68,BE$4-$B39+1)</f>
        <v/>
      </c>
      <c r="BF39" s="153">
        <f>$C39*INDEX(Curves!$AD$8:$AD$68,BF$4-$B39+1)</f>
        <v/>
      </c>
      <c r="BG39" s="153">
        <f>$C39*INDEX(Curves!$AD$8:$AD$68,BG$4-$B39+1)</f>
        <v/>
      </c>
      <c r="BH39" s="153">
        <f>$C39*INDEX(Curves!$AD$8:$AD$68,BH$4-$B39+1)</f>
        <v/>
      </c>
      <c r="BI39" s="153">
        <f>$C39*INDEX(Curves!$AD$8:$AD$68,BI$4-$B39+1)</f>
        <v/>
      </c>
      <c r="BJ39" s="153">
        <f>$C39*INDEX(Curves!$AD$8:$AD$68,BJ$4-$B39+1)</f>
        <v/>
      </c>
      <c r="BK39" s="153">
        <f>$C39*INDEX(Curves!$AD$8:$AD$68,BK$4-$B39+1)</f>
        <v/>
      </c>
      <c r="BL39" s="153">
        <f>$C39*INDEX(Curves!$AD$8:$AD$68,BL$4-$B39+1)</f>
        <v/>
      </c>
    </row>
    <row r="40">
      <c r="A40" s="147" t="inlineStr">
        <is>
          <t>Cohort month 31</t>
        </is>
      </c>
      <c r="B40" s="147" t="n">
        <v>31</v>
      </c>
      <c r="C40" s="41">
        <f>INDEX(Ops!$E$60:$BL$60,1,$B40)</f>
        <v/>
      </c>
      <c r="AJ40" s="153">
        <f>$C40*INDEX(Curves!$AD$8:$AD$68,AJ$4-$B40+1)</f>
        <v/>
      </c>
      <c r="AK40" s="153">
        <f>$C40*INDEX(Curves!$AD$8:$AD$68,AK$4-$B40+1)</f>
        <v/>
      </c>
      <c r="AL40" s="153">
        <f>$C40*INDEX(Curves!$AD$8:$AD$68,AL$4-$B40+1)</f>
        <v/>
      </c>
      <c r="AM40" s="153">
        <f>$C40*INDEX(Curves!$AD$8:$AD$68,AM$4-$B40+1)</f>
        <v/>
      </c>
      <c r="AN40" s="153">
        <f>$C40*INDEX(Curves!$AD$8:$AD$68,AN$4-$B40+1)</f>
        <v/>
      </c>
      <c r="AO40" s="153">
        <f>$C40*INDEX(Curves!$AD$8:$AD$68,AO$4-$B40+1)</f>
        <v/>
      </c>
      <c r="AP40" s="153">
        <f>$C40*INDEX(Curves!$AD$8:$AD$68,AP$4-$B40+1)</f>
        <v/>
      </c>
      <c r="AQ40" s="153">
        <f>$C40*INDEX(Curves!$AD$8:$AD$68,AQ$4-$B40+1)</f>
        <v/>
      </c>
      <c r="AR40" s="153">
        <f>$C40*INDEX(Curves!$AD$8:$AD$68,AR$4-$B40+1)</f>
        <v/>
      </c>
      <c r="AS40" s="153">
        <f>$C40*INDEX(Curves!$AD$8:$AD$68,AS$4-$B40+1)</f>
        <v/>
      </c>
      <c r="AT40" s="153">
        <f>$C40*INDEX(Curves!$AD$8:$AD$68,AT$4-$B40+1)</f>
        <v/>
      </c>
      <c r="AU40" s="153">
        <f>$C40*INDEX(Curves!$AD$8:$AD$68,AU$4-$B40+1)</f>
        <v/>
      </c>
      <c r="AV40" s="153">
        <f>$C40*INDEX(Curves!$AD$8:$AD$68,AV$4-$B40+1)</f>
        <v/>
      </c>
      <c r="AW40" s="153">
        <f>$C40*INDEX(Curves!$AD$8:$AD$68,AW$4-$B40+1)</f>
        <v/>
      </c>
      <c r="AX40" s="153">
        <f>$C40*INDEX(Curves!$AD$8:$AD$68,AX$4-$B40+1)</f>
        <v/>
      </c>
      <c r="AY40" s="153">
        <f>$C40*INDEX(Curves!$AD$8:$AD$68,AY$4-$B40+1)</f>
        <v/>
      </c>
      <c r="AZ40" s="153">
        <f>$C40*INDEX(Curves!$AD$8:$AD$68,AZ$4-$B40+1)</f>
        <v/>
      </c>
      <c r="BA40" s="153">
        <f>$C40*INDEX(Curves!$AD$8:$AD$68,BA$4-$B40+1)</f>
        <v/>
      </c>
      <c r="BB40" s="153">
        <f>$C40*INDEX(Curves!$AD$8:$AD$68,BB$4-$B40+1)</f>
        <v/>
      </c>
      <c r="BC40" s="153">
        <f>$C40*INDEX(Curves!$AD$8:$AD$68,BC$4-$B40+1)</f>
        <v/>
      </c>
      <c r="BD40" s="153">
        <f>$C40*INDEX(Curves!$AD$8:$AD$68,BD$4-$B40+1)</f>
        <v/>
      </c>
      <c r="BE40" s="153">
        <f>$C40*INDEX(Curves!$AD$8:$AD$68,BE$4-$B40+1)</f>
        <v/>
      </c>
      <c r="BF40" s="153">
        <f>$C40*INDEX(Curves!$AD$8:$AD$68,BF$4-$B40+1)</f>
        <v/>
      </c>
      <c r="BG40" s="153">
        <f>$C40*INDEX(Curves!$AD$8:$AD$68,BG$4-$B40+1)</f>
        <v/>
      </c>
      <c r="BH40" s="153">
        <f>$C40*INDEX(Curves!$AD$8:$AD$68,BH$4-$B40+1)</f>
        <v/>
      </c>
      <c r="BI40" s="153">
        <f>$C40*INDEX(Curves!$AD$8:$AD$68,BI$4-$B40+1)</f>
        <v/>
      </c>
      <c r="BJ40" s="153">
        <f>$C40*INDEX(Curves!$AD$8:$AD$68,BJ$4-$B40+1)</f>
        <v/>
      </c>
      <c r="BK40" s="153">
        <f>$C40*INDEX(Curves!$AD$8:$AD$68,BK$4-$B40+1)</f>
        <v/>
      </c>
      <c r="BL40" s="153">
        <f>$C40*INDEX(Curves!$AD$8:$AD$68,BL$4-$B40+1)</f>
        <v/>
      </c>
    </row>
    <row r="41">
      <c r="A41" s="147" t="inlineStr">
        <is>
          <t>Cohort month 32</t>
        </is>
      </c>
      <c r="B41" s="147" t="n">
        <v>32</v>
      </c>
      <c r="C41" s="41">
        <f>INDEX(Ops!$E$60:$BL$60,1,$B41)</f>
        <v/>
      </c>
      <c r="AK41" s="153">
        <f>$C41*INDEX(Curves!$AD$8:$AD$68,AK$4-$B41+1)</f>
        <v/>
      </c>
      <c r="AL41" s="153">
        <f>$C41*INDEX(Curves!$AD$8:$AD$68,AL$4-$B41+1)</f>
        <v/>
      </c>
      <c r="AM41" s="153">
        <f>$C41*INDEX(Curves!$AD$8:$AD$68,AM$4-$B41+1)</f>
        <v/>
      </c>
      <c r="AN41" s="153">
        <f>$C41*INDEX(Curves!$AD$8:$AD$68,AN$4-$B41+1)</f>
        <v/>
      </c>
      <c r="AO41" s="153">
        <f>$C41*INDEX(Curves!$AD$8:$AD$68,AO$4-$B41+1)</f>
        <v/>
      </c>
      <c r="AP41" s="153">
        <f>$C41*INDEX(Curves!$AD$8:$AD$68,AP$4-$B41+1)</f>
        <v/>
      </c>
      <c r="AQ41" s="153">
        <f>$C41*INDEX(Curves!$AD$8:$AD$68,AQ$4-$B41+1)</f>
        <v/>
      </c>
      <c r="AR41" s="153">
        <f>$C41*INDEX(Curves!$AD$8:$AD$68,AR$4-$B41+1)</f>
        <v/>
      </c>
      <c r="AS41" s="153">
        <f>$C41*INDEX(Curves!$AD$8:$AD$68,AS$4-$B41+1)</f>
        <v/>
      </c>
      <c r="AT41" s="153">
        <f>$C41*INDEX(Curves!$AD$8:$AD$68,AT$4-$B41+1)</f>
        <v/>
      </c>
      <c r="AU41" s="153">
        <f>$C41*INDEX(Curves!$AD$8:$AD$68,AU$4-$B41+1)</f>
        <v/>
      </c>
      <c r="AV41" s="153">
        <f>$C41*INDEX(Curves!$AD$8:$AD$68,AV$4-$B41+1)</f>
        <v/>
      </c>
      <c r="AW41" s="153">
        <f>$C41*INDEX(Curves!$AD$8:$AD$68,AW$4-$B41+1)</f>
        <v/>
      </c>
      <c r="AX41" s="153">
        <f>$C41*INDEX(Curves!$AD$8:$AD$68,AX$4-$B41+1)</f>
        <v/>
      </c>
      <c r="AY41" s="153">
        <f>$C41*INDEX(Curves!$AD$8:$AD$68,AY$4-$B41+1)</f>
        <v/>
      </c>
      <c r="AZ41" s="153">
        <f>$C41*INDEX(Curves!$AD$8:$AD$68,AZ$4-$B41+1)</f>
        <v/>
      </c>
      <c r="BA41" s="153">
        <f>$C41*INDEX(Curves!$AD$8:$AD$68,BA$4-$B41+1)</f>
        <v/>
      </c>
      <c r="BB41" s="153">
        <f>$C41*INDEX(Curves!$AD$8:$AD$68,BB$4-$B41+1)</f>
        <v/>
      </c>
      <c r="BC41" s="153">
        <f>$C41*INDEX(Curves!$AD$8:$AD$68,BC$4-$B41+1)</f>
        <v/>
      </c>
      <c r="BD41" s="153">
        <f>$C41*INDEX(Curves!$AD$8:$AD$68,BD$4-$B41+1)</f>
        <v/>
      </c>
      <c r="BE41" s="153">
        <f>$C41*INDEX(Curves!$AD$8:$AD$68,BE$4-$B41+1)</f>
        <v/>
      </c>
      <c r="BF41" s="153">
        <f>$C41*INDEX(Curves!$AD$8:$AD$68,BF$4-$B41+1)</f>
        <v/>
      </c>
      <c r="BG41" s="153">
        <f>$C41*INDEX(Curves!$AD$8:$AD$68,BG$4-$B41+1)</f>
        <v/>
      </c>
      <c r="BH41" s="153">
        <f>$C41*INDEX(Curves!$AD$8:$AD$68,BH$4-$B41+1)</f>
        <v/>
      </c>
      <c r="BI41" s="153">
        <f>$C41*INDEX(Curves!$AD$8:$AD$68,BI$4-$B41+1)</f>
        <v/>
      </c>
      <c r="BJ41" s="153">
        <f>$C41*INDEX(Curves!$AD$8:$AD$68,BJ$4-$B41+1)</f>
        <v/>
      </c>
      <c r="BK41" s="153">
        <f>$C41*INDEX(Curves!$AD$8:$AD$68,BK$4-$B41+1)</f>
        <v/>
      </c>
      <c r="BL41" s="153">
        <f>$C41*INDEX(Curves!$AD$8:$AD$68,BL$4-$B41+1)</f>
        <v/>
      </c>
    </row>
    <row r="42">
      <c r="A42" s="147" t="inlineStr">
        <is>
          <t>Cohort month 33</t>
        </is>
      </c>
      <c r="B42" s="147" t="n">
        <v>33</v>
      </c>
      <c r="C42" s="41">
        <f>INDEX(Ops!$E$60:$BL$60,1,$B42)</f>
        <v/>
      </c>
      <c r="AL42" s="153">
        <f>$C42*INDEX(Curves!$AD$8:$AD$68,AL$4-$B42+1)</f>
        <v/>
      </c>
      <c r="AM42" s="153">
        <f>$C42*INDEX(Curves!$AD$8:$AD$68,AM$4-$B42+1)</f>
        <v/>
      </c>
      <c r="AN42" s="153">
        <f>$C42*INDEX(Curves!$AD$8:$AD$68,AN$4-$B42+1)</f>
        <v/>
      </c>
      <c r="AO42" s="153">
        <f>$C42*INDEX(Curves!$AD$8:$AD$68,AO$4-$B42+1)</f>
        <v/>
      </c>
      <c r="AP42" s="153">
        <f>$C42*INDEX(Curves!$AD$8:$AD$68,AP$4-$B42+1)</f>
        <v/>
      </c>
      <c r="AQ42" s="153">
        <f>$C42*INDEX(Curves!$AD$8:$AD$68,AQ$4-$B42+1)</f>
        <v/>
      </c>
      <c r="AR42" s="153">
        <f>$C42*INDEX(Curves!$AD$8:$AD$68,AR$4-$B42+1)</f>
        <v/>
      </c>
      <c r="AS42" s="153">
        <f>$C42*INDEX(Curves!$AD$8:$AD$68,AS$4-$B42+1)</f>
        <v/>
      </c>
      <c r="AT42" s="153">
        <f>$C42*INDEX(Curves!$AD$8:$AD$68,AT$4-$B42+1)</f>
        <v/>
      </c>
      <c r="AU42" s="153">
        <f>$C42*INDEX(Curves!$AD$8:$AD$68,AU$4-$B42+1)</f>
        <v/>
      </c>
      <c r="AV42" s="153">
        <f>$C42*INDEX(Curves!$AD$8:$AD$68,AV$4-$B42+1)</f>
        <v/>
      </c>
      <c r="AW42" s="153">
        <f>$C42*INDEX(Curves!$AD$8:$AD$68,AW$4-$B42+1)</f>
        <v/>
      </c>
      <c r="AX42" s="153">
        <f>$C42*INDEX(Curves!$AD$8:$AD$68,AX$4-$B42+1)</f>
        <v/>
      </c>
      <c r="AY42" s="153">
        <f>$C42*INDEX(Curves!$AD$8:$AD$68,AY$4-$B42+1)</f>
        <v/>
      </c>
      <c r="AZ42" s="153">
        <f>$C42*INDEX(Curves!$AD$8:$AD$68,AZ$4-$B42+1)</f>
        <v/>
      </c>
      <c r="BA42" s="153">
        <f>$C42*INDEX(Curves!$AD$8:$AD$68,BA$4-$B42+1)</f>
        <v/>
      </c>
      <c r="BB42" s="153">
        <f>$C42*INDEX(Curves!$AD$8:$AD$68,BB$4-$B42+1)</f>
        <v/>
      </c>
      <c r="BC42" s="153">
        <f>$C42*INDEX(Curves!$AD$8:$AD$68,BC$4-$B42+1)</f>
        <v/>
      </c>
      <c r="BD42" s="153">
        <f>$C42*INDEX(Curves!$AD$8:$AD$68,BD$4-$B42+1)</f>
        <v/>
      </c>
      <c r="BE42" s="153">
        <f>$C42*INDEX(Curves!$AD$8:$AD$68,BE$4-$B42+1)</f>
        <v/>
      </c>
      <c r="BF42" s="153">
        <f>$C42*INDEX(Curves!$AD$8:$AD$68,BF$4-$B42+1)</f>
        <v/>
      </c>
      <c r="BG42" s="153">
        <f>$C42*INDEX(Curves!$AD$8:$AD$68,BG$4-$B42+1)</f>
        <v/>
      </c>
      <c r="BH42" s="153">
        <f>$C42*INDEX(Curves!$AD$8:$AD$68,BH$4-$B42+1)</f>
        <v/>
      </c>
      <c r="BI42" s="153">
        <f>$C42*INDEX(Curves!$AD$8:$AD$68,BI$4-$B42+1)</f>
        <v/>
      </c>
      <c r="BJ42" s="153">
        <f>$C42*INDEX(Curves!$AD$8:$AD$68,BJ$4-$B42+1)</f>
        <v/>
      </c>
      <c r="BK42" s="153">
        <f>$C42*INDEX(Curves!$AD$8:$AD$68,BK$4-$B42+1)</f>
        <v/>
      </c>
      <c r="BL42" s="153">
        <f>$C42*INDEX(Curves!$AD$8:$AD$68,BL$4-$B42+1)</f>
        <v/>
      </c>
    </row>
    <row r="43">
      <c r="A43" s="147" t="inlineStr">
        <is>
          <t>Cohort month 34</t>
        </is>
      </c>
      <c r="B43" s="147" t="n">
        <v>34</v>
      </c>
      <c r="C43" s="41">
        <f>INDEX(Ops!$E$60:$BL$60,1,$B43)</f>
        <v/>
      </c>
      <c r="AM43" s="153">
        <f>$C43*INDEX(Curves!$AD$8:$AD$68,AM$4-$B43+1)</f>
        <v/>
      </c>
      <c r="AN43" s="153">
        <f>$C43*INDEX(Curves!$AD$8:$AD$68,AN$4-$B43+1)</f>
        <v/>
      </c>
      <c r="AO43" s="153">
        <f>$C43*INDEX(Curves!$AD$8:$AD$68,AO$4-$B43+1)</f>
        <v/>
      </c>
      <c r="AP43" s="153">
        <f>$C43*INDEX(Curves!$AD$8:$AD$68,AP$4-$B43+1)</f>
        <v/>
      </c>
      <c r="AQ43" s="153">
        <f>$C43*INDEX(Curves!$AD$8:$AD$68,AQ$4-$B43+1)</f>
        <v/>
      </c>
      <c r="AR43" s="153">
        <f>$C43*INDEX(Curves!$AD$8:$AD$68,AR$4-$B43+1)</f>
        <v/>
      </c>
      <c r="AS43" s="153">
        <f>$C43*INDEX(Curves!$AD$8:$AD$68,AS$4-$B43+1)</f>
        <v/>
      </c>
      <c r="AT43" s="153">
        <f>$C43*INDEX(Curves!$AD$8:$AD$68,AT$4-$B43+1)</f>
        <v/>
      </c>
      <c r="AU43" s="153">
        <f>$C43*INDEX(Curves!$AD$8:$AD$68,AU$4-$B43+1)</f>
        <v/>
      </c>
      <c r="AV43" s="153">
        <f>$C43*INDEX(Curves!$AD$8:$AD$68,AV$4-$B43+1)</f>
        <v/>
      </c>
      <c r="AW43" s="153">
        <f>$C43*INDEX(Curves!$AD$8:$AD$68,AW$4-$B43+1)</f>
        <v/>
      </c>
      <c r="AX43" s="153">
        <f>$C43*INDEX(Curves!$AD$8:$AD$68,AX$4-$B43+1)</f>
        <v/>
      </c>
      <c r="AY43" s="153">
        <f>$C43*INDEX(Curves!$AD$8:$AD$68,AY$4-$B43+1)</f>
        <v/>
      </c>
      <c r="AZ43" s="153">
        <f>$C43*INDEX(Curves!$AD$8:$AD$68,AZ$4-$B43+1)</f>
        <v/>
      </c>
      <c r="BA43" s="153">
        <f>$C43*INDEX(Curves!$AD$8:$AD$68,BA$4-$B43+1)</f>
        <v/>
      </c>
      <c r="BB43" s="153">
        <f>$C43*INDEX(Curves!$AD$8:$AD$68,BB$4-$B43+1)</f>
        <v/>
      </c>
      <c r="BC43" s="153">
        <f>$C43*INDEX(Curves!$AD$8:$AD$68,BC$4-$B43+1)</f>
        <v/>
      </c>
      <c r="BD43" s="153">
        <f>$C43*INDEX(Curves!$AD$8:$AD$68,BD$4-$B43+1)</f>
        <v/>
      </c>
      <c r="BE43" s="153">
        <f>$C43*INDEX(Curves!$AD$8:$AD$68,BE$4-$B43+1)</f>
        <v/>
      </c>
      <c r="BF43" s="153">
        <f>$C43*INDEX(Curves!$AD$8:$AD$68,BF$4-$B43+1)</f>
        <v/>
      </c>
      <c r="BG43" s="153">
        <f>$C43*INDEX(Curves!$AD$8:$AD$68,BG$4-$B43+1)</f>
        <v/>
      </c>
      <c r="BH43" s="153">
        <f>$C43*INDEX(Curves!$AD$8:$AD$68,BH$4-$B43+1)</f>
        <v/>
      </c>
      <c r="BI43" s="153">
        <f>$C43*INDEX(Curves!$AD$8:$AD$68,BI$4-$B43+1)</f>
        <v/>
      </c>
      <c r="BJ43" s="153">
        <f>$C43*INDEX(Curves!$AD$8:$AD$68,BJ$4-$B43+1)</f>
        <v/>
      </c>
      <c r="BK43" s="153">
        <f>$C43*INDEX(Curves!$AD$8:$AD$68,BK$4-$B43+1)</f>
        <v/>
      </c>
      <c r="BL43" s="153">
        <f>$C43*INDEX(Curves!$AD$8:$AD$68,BL$4-$B43+1)</f>
        <v/>
      </c>
    </row>
    <row r="44">
      <c r="A44" s="147" t="inlineStr">
        <is>
          <t>Cohort month 35</t>
        </is>
      </c>
      <c r="B44" s="147" t="n">
        <v>35</v>
      </c>
      <c r="C44" s="41">
        <f>INDEX(Ops!$E$60:$BL$60,1,$B44)</f>
        <v/>
      </c>
      <c r="AN44" s="153">
        <f>$C44*INDEX(Curves!$AD$8:$AD$68,AN$4-$B44+1)</f>
        <v/>
      </c>
      <c r="AO44" s="153">
        <f>$C44*INDEX(Curves!$AD$8:$AD$68,AO$4-$B44+1)</f>
        <v/>
      </c>
      <c r="AP44" s="153">
        <f>$C44*INDEX(Curves!$AD$8:$AD$68,AP$4-$B44+1)</f>
        <v/>
      </c>
      <c r="AQ44" s="153">
        <f>$C44*INDEX(Curves!$AD$8:$AD$68,AQ$4-$B44+1)</f>
        <v/>
      </c>
      <c r="AR44" s="153">
        <f>$C44*INDEX(Curves!$AD$8:$AD$68,AR$4-$B44+1)</f>
        <v/>
      </c>
      <c r="AS44" s="153">
        <f>$C44*INDEX(Curves!$AD$8:$AD$68,AS$4-$B44+1)</f>
        <v/>
      </c>
      <c r="AT44" s="153">
        <f>$C44*INDEX(Curves!$AD$8:$AD$68,AT$4-$B44+1)</f>
        <v/>
      </c>
      <c r="AU44" s="153">
        <f>$C44*INDEX(Curves!$AD$8:$AD$68,AU$4-$B44+1)</f>
        <v/>
      </c>
      <c r="AV44" s="153">
        <f>$C44*INDEX(Curves!$AD$8:$AD$68,AV$4-$B44+1)</f>
        <v/>
      </c>
      <c r="AW44" s="153">
        <f>$C44*INDEX(Curves!$AD$8:$AD$68,AW$4-$B44+1)</f>
        <v/>
      </c>
      <c r="AX44" s="153">
        <f>$C44*INDEX(Curves!$AD$8:$AD$68,AX$4-$B44+1)</f>
        <v/>
      </c>
      <c r="AY44" s="153">
        <f>$C44*INDEX(Curves!$AD$8:$AD$68,AY$4-$B44+1)</f>
        <v/>
      </c>
      <c r="AZ44" s="153">
        <f>$C44*INDEX(Curves!$AD$8:$AD$68,AZ$4-$B44+1)</f>
        <v/>
      </c>
      <c r="BA44" s="153">
        <f>$C44*INDEX(Curves!$AD$8:$AD$68,BA$4-$B44+1)</f>
        <v/>
      </c>
      <c r="BB44" s="153">
        <f>$C44*INDEX(Curves!$AD$8:$AD$68,BB$4-$B44+1)</f>
        <v/>
      </c>
      <c r="BC44" s="153">
        <f>$C44*INDEX(Curves!$AD$8:$AD$68,BC$4-$B44+1)</f>
        <v/>
      </c>
      <c r="BD44" s="153">
        <f>$C44*INDEX(Curves!$AD$8:$AD$68,BD$4-$B44+1)</f>
        <v/>
      </c>
      <c r="BE44" s="153">
        <f>$C44*INDEX(Curves!$AD$8:$AD$68,BE$4-$B44+1)</f>
        <v/>
      </c>
      <c r="BF44" s="153">
        <f>$C44*INDEX(Curves!$AD$8:$AD$68,BF$4-$B44+1)</f>
        <v/>
      </c>
      <c r="BG44" s="153">
        <f>$C44*INDEX(Curves!$AD$8:$AD$68,BG$4-$B44+1)</f>
        <v/>
      </c>
      <c r="BH44" s="153">
        <f>$C44*INDEX(Curves!$AD$8:$AD$68,BH$4-$B44+1)</f>
        <v/>
      </c>
      <c r="BI44" s="153">
        <f>$C44*INDEX(Curves!$AD$8:$AD$68,BI$4-$B44+1)</f>
        <v/>
      </c>
      <c r="BJ44" s="153">
        <f>$C44*INDEX(Curves!$AD$8:$AD$68,BJ$4-$B44+1)</f>
        <v/>
      </c>
      <c r="BK44" s="153">
        <f>$C44*INDEX(Curves!$AD$8:$AD$68,BK$4-$B44+1)</f>
        <v/>
      </c>
      <c r="BL44" s="153">
        <f>$C44*INDEX(Curves!$AD$8:$AD$68,BL$4-$B44+1)</f>
        <v/>
      </c>
    </row>
    <row r="45">
      <c r="A45" s="147" t="inlineStr">
        <is>
          <t>Cohort month 36</t>
        </is>
      </c>
      <c r="B45" s="147" t="n">
        <v>36</v>
      </c>
      <c r="C45" s="41">
        <f>INDEX(Ops!$E$60:$BL$60,1,$B45)</f>
        <v/>
      </c>
      <c r="AO45" s="153">
        <f>$C45*INDEX(Curves!$AD$8:$AD$68,AO$4-$B45+1)</f>
        <v/>
      </c>
      <c r="AP45" s="153">
        <f>$C45*INDEX(Curves!$AD$8:$AD$68,AP$4-$B45+1)</f>
        <v/>
      </c>
      <c r="AQ45" s="153">
        <f>$C45*INDEX(Curves!$AD$8:$AD$68,AQ$4-$B45+1)</f>
        <v/>
      </c>
      <c r="AR45" s="153">
        <f>$C45*INDEX(Curves!$AD$8:$AD$68,AR$4-$B45+1)</f>
        <v/>
      </c>
      <c r="AS45" s="153">
        <f>$C45*INDEX(Curves!$AD$8:$AD$68,AS$4-$B45+1)</f>
        <v/>
      </c>
      <c r="AT45" s="153">
        <f>$C45*INDEX(Curves!$AD$8:$AD$68,AT$4-$B45+1)</f>
        <v/>
      </c>
      <c r="AU45" s="153">
        <f>$C45*INDEX(Curves!$AD$8:$AD$68,AU$4-$B45+1)</f>
        <v/>
      </c>
      <c r="AV45" s="153">
        <f>$C45*INDEX(Curves!$AD$8:$AD$68,AV$4-$B45+1)</f>
        <v/>
      </c>
      <c r="AW45" s="153">
        <f>$C45*INDEX(Curves!$AD$8:$AD$68,AW$4-$B45+1)</f>
        <v/>
      </c>
      <c r="AX45" s="153">
        <f>$C45*INDEX(Curves!$AD$8:$AD$68,AX$4-$B45+1)</f>
        <v/>
      </c>
      <c r="AY45" s="153">
        <f>$C45*INDEX(Curves!$AD$8:$AD$68,AY$4-$B45+1)</f>
        <v/>
      </c>
      <c r="AZ45" s="153">
        <f>$C45*INDEX(Curves!$AD$8:$AD$68,AZ$4-$B45+1)</f>
        <v/>
      </c>
      <c r="BA45" s="153">
        <f>$C45*INDEX(Curves!$AD$8:$AD$68,BA$4-$B45+1)</f>
        <v/>
      </c>
      <c r="BB45" s="153">
        <f>$C45*INDEX(Curves!$AD$8:$AD$68,BB$4-$B45+1)</f>
        <v/>
      </c>
      <c r="BC45" s="153">
        <f>$C45*INDEX(Curves!$AD$8:$AD$68,BC$4-$B45+1)</f>
        <v/>
      </c>
      <c r="BD45" s="153">
        <f>$C45*INDEX(Curves!$AD$8:$AD$68,BD$4-$B45+1)</f>
        <v/>
      </c>
      <c r="BE45" s="153">
        <f>$C45*INDEX(Curves!$AD$8:$AD$68,BE$4-$B45+1)</f>
        <v/>
      </c>
      <c r="BF45" s="153">
        <f>$C45*INDEX(Curves!$AD$8:$AD$68,BF$4-$B45+1)</f>
        <v/>
      </c>
      <c r="BG45" s="153">
        <f>$C45*INDEX(Curves!$AD$8:$AD$68,BG$4-$B45+1)</f>
        <v/>
      </c>
      <c r="BH45" s="153">
        <f>$C45*INDEX(Curves!$AD$8:$AD$68,BH$4-$B45+1)</f>
        <v/>
      </c>
      <c r="BI45" s="153">
        <f>$C45*INDEX(Curves!$AD$8:$AD$68,BI$4-$B45+1)</f>
        <v/>
      </c>
      <c r="BJ45" s="153">
        <f>$C45*INDEX(Curves!$AD$8:$AD$68,BJ$4-$B45+1)</f>
        <v/>
      </c>
      <c r="BK45" s="153">
        <f>$C45*INDEX(Curves!$AD$8:$AD$68,BK$4-$B45+1)</f>
        <v/>
      </c>
      <c r="BL45" s="153">
        <f>$C45*INDEX(Curves!$AD$8:$AD$68,BL$4-$B45+1)</f>
        <v/>
      </c>
    </row>
    <row r="46">
      <c r="A46" s="147" t="inlineStr">
        <is>
          <t>Cohort month 37</t>
        </is>
      </c>
      <c r="B46" s="147" t="n">
        <v>37</v>
      </c>
      <c r="C46" s="41">
        <f>INDEX(Ops!$E$60:$BL$60,1,$B46)</f>
        <v/>
      </c>
      <c r="AP46" s="153">
        <f>$C46*INDEX(Curves!$AD$8:$AD$68,AP$4-$B46+1)</f>
        <v/>
      </c>
      <c r="AQ46" s="153">
        <f>$C46*INDEX(Curves!$AD$8:$AD$68,AQ$4-$B46+1)</f>
        <v/>
      </c>
      <c r="AR46" s="153">
        <f>$C46*INDEX(Curves!$AD$8:$AD$68,AR$4-$B46+1)</f>
        <v/>
      </c>
      <c r="AS46" s="153">
        <f>$C46*INDEX(Curves!$AD$8:$AD$68,AS$4-$B46+1)</f>
        <v/>
      </c>
      <c r="AT46" s="153">
        <f>$C46*INDEX(Curves!$AD$8:$AD$68,AT$4-$B46+1)</f>
        <v/>
      </c>
      <c r="AU46" s="153">
        <f>$C46*INDEX(Curves!$AD$8:$AD$68,AU$4-$B46+1)</f>
        <v/>
      </c>
      <c r="AV46" s="153">
        <f>$C46*INDEX(Curves!$AD$8:$AD$68,AV$4-$B46+1)</f>
        <v/>
      </c>
      <c r="AW46" s="153">
        <f>$C46*INDEX(Curves!$AD$8:$AD$68,AW$4-$B46+1)</f>
        <v/>
      </c>
      <c r="AX46" s="153">
        <f>$C46*INDEX(Curves!$AD$8:$AD$68,AX$4-$B46+1)</f>
        <v/>
      </c>
      <c r="AY46" s="153">
        <f>$C46*INDEX(Curves!$AD$8:$AD$68,AY$4-$B46+1)</f>
        <v/>
      </c>
      <c r="AZ46" s="153">
        <f>$C46*INDEX(Curves!$AD$8:$AD$68,AZ$4-$B46+1)</f>
        <v/>
      </c>
      <c r="BA46" s="153">
        <f>$C46*INDEX(Curves!$AD$8:$AD$68,BA$4-$B46+1)</f>
        <v/>
      </c>
      <c r="BB46" s="153">
        <f>$C46*INDEX(Curves!$AD$8:$AD$68,BB$4-$B46+1)</f>
        <v/>
      </c>
      <c r="BC46" s="153">
        <f>$C46*INDEX(Curves!$AD$8:$AD$68,BC$4-$B46+1)</f>
        <v/>
      </c>
      <c r="BD46" s="153">
        <f>$C46*INDEX(Curves!$AD$8:$AD$68,BD$4-$B46+1)</f>
        <v/>
      </c>
      <c r="BE46" s="153">
        <f>$C46*INDEX(Curves!$AD$8:$AD$68,BE$4-$B46+1)</f>
        <v/>
      </c>
      <c r="BF46" s="153">
        <f>$C46*INDEX(Curves!$AD$8:$AD$68,BF$4-$B46+1)</f>
        <v/>
      </c>
      <c r="BG46" s="153">
        <f>$C46*INDEX(Curves!$AD$8:$AD$68,BG$4-$B46+1)</f>
        <v/>
      </c>
      <c r="BH46" s="153">
        <f>$C46*INDEX(Curves!$AD$8:$AD$68,BH$4-$B46+1)</f>
        <v/>
      </c>
      <c r="BI46" s="153">
        <f>$C46*INDEX(Curves!$AD$8:$AD$68,BI$4-$B46+1)</f>
        <v/>
      </c>
      <c r="BJ46" s="153">
        <f>$C46*INDEX(Curves!$AD$8:$AD$68,BJ$4-$B46+1)</f>
        <v/>
      </c>
      <c r="BK46" s="153">
        <f>$C46*INDEX(Curves!$AD$8:$AD$68,BK$4-$B46+1)</f>
        <v/>
      </c>
      <c r="BL46" s="153">
        <f>$C46*INDEX(Curves!$AD$8:$AD$68,BL$4-$B46+1)</f>
        <v/>
      </c>
    </row>
    <row r="47">
      <c r="A47" s="147" t="inlineStr">
        <is>
          <t>Cohort month 38</t>
        </is>
      </c>
      <c r="B47" s="147" t="n">
        <v>38</v>
      </c>
      <c r="C47" s="41">
        <f>INDEX(Ops!$E$60:$BL$60,1,$B47)</f>
        <v/>
      </c>
      <c r="AQ47" s="153">
        <f>$C47*INDEX(Curves!$AD$8:$AD$68,AQ$4-$B47+1)</f>
        <v/>
      </c>
      <c r="AR47" s="153">
        <f>$C47*INDEX(Curves!$AD$8:$AD$68,AR$4-$B47+1)</f>
        <v/>
      </c>
      <c r="AS47" s="153">
        <f>$C47*INDEX(Curves!$AD$8:$AD$68,AS$4-$B47+1)</f>
        <v/>
      </c>
      <c r="AT47" s="153">
        <f>$C47*INDEX(Curves!$AD$8:$AD$68,AT$4-$B47+1)</f>
        <v/>
      </c>
      <c r="AU47" s="153">
        <f>$C47*INDEX(Curves!$AD$8:$AD$68,AU$4-$B47+1)</f>
        <v/>
      </c>
      <c r="AV47" s="153">
        <f>$C47*INDEX(Curves!$AD$8:$AD$68,AV$4-$B47+1)</f>
        <v/>
      </c>
      <c r="AW47" s="153">
        <f>$C47*INDEX(Curves!$AD$8:$AD$68,AW$4-$B47+1)</f>
        <v/>
      </c>
      <c r="AX47" s="153">
        <f>$C47*INDEX(Curves!$AD$8:$AD$68,AX$4-$B47+1)</f>
        <v/>
      </c>
      <c r="AY47" s="153">
        <f>$C47*INDEX(Curves!$AD$8:$AD$68,AY$4-$B47+1)</f>
        <v/>
      </c>
      <c r="AZ47" s="153">
        <f>$C47*INDEX(Curves!$AD$8:$AD$68,AZ$4-$B47+1)</f>
        <v/>
      </c>
      <c r="BA47" s="153">
        <f>$C47*INDEX(Curves!$AD$8:$AD$68,BA$4-$B47+1)</f>
        <v/>
      </c>
      <c r="BB47" s="153">
        <f>$C47*INDEX(Curves!$AD$8:$AD$68,BB$4-$B47+1)</f>
        <v/>
      </c>
      <c r="BC47" s="153">
        <f>$C47*INDEX(Curves!$AD$8:$AD$68,BC$4-$B47+1)</f>
        <v/>
      </c>
      <c r="BD47" s="153">
        <f>$C47*INDEX(Curves!$AD$8:$AD$68,BD$4-$B47+1)</f>
        <v/>
      </c>
      <c r="BE47" s="153">
        <f>$C47*INDEX(Curves!$AD$8:$AD$68,BE$4-$B47+1)</f>
        <v/>
      </c>
      <c r="BF47" s="153">
        <f>$C47*INDEX(Curves!$AD$8:$AD$68,BF$4-$B47+1)</f>
        <v/>
      </c>
      <c r="BG47" s="153">
        <f>$C47*INDEX(Curves!$AD$8:$AD$68,BG$4-$B47+1)</f>
        <v/>
      </c>
      <c r="BH47" s="153">
        <f>$C47*INDEX(Curves!$AD$8:$AD$68,BH$4-$B47+1)</f>
        <v/>
      </c>
      <c r="BI47" s="153">
        <f>$C47*INDEX(Curves!$AD$8:$AD$68,BI$4-$B47+1)</f>
        <v/>
      </c>
      <c r="BJ47" s="153">
        <f>$C47*INDEX(Curves!$AD$8:$AD$68,BJ$4-$B47+1)</f>
        <v/>
      </c>
      <c r="BK47" s="153">
        <f>$C47*INDEX(Curves!$AD$8:$AD$68,BK$4-$B47+1)</f>
        <v/>
      </c>
      <c r="BL47" s="153">
        <f>$C47*INDEX(Curves!$AD$8:$AD$68,BL$4-$B47+1)</f>
        <v/>
      </c>
    </row>
    <row r="48">
      <c r="A48" s="147" t="inlineStr">
        <is>
          <t>Cohort month 39</t>
        </is>
      </c>
      <c r="B48" s="147" t="n">
        <v>39</v>
      </c>
      <c r="C48" s="41">
        <f>INDEX(Ops!$E$60:$BL$60,1,$B48)</f>
        <v/>
      </c>
      <c r="AR48" s="153">
        <f>$C48*INDEX(Curves!$AD$8:$AD$68,AR$4-$B48+1)</f>
        <v/>
      </c>
      <c r="AS48" s="153">
        <f>$C48*INDEX(Curves!$AD$8:$AD$68,AS$4-$B48+1)</f>
        <v/>
      </c>
      <c r="AT48" s="153">
        <f>$C48*INDEX(Curves!$AD$8:$AD$68,AT$4-$B48+1)</f>
        <v/>
      </c>
      <c r="AU48" s="153">
        <f>$C48*INDEX(Curves!$AD$8:$AD$68,AU$4-$B48+1)</f>
        <v/>
      </c>
      <c r="AV48" s="153">
        <f>$C48*INDEX(Curves!$AD$8:$AD$68,AV$4-$B48+1)</f>
        <v/>
      </c>
      <c r="AW48" s="153">
        <f>$C48*INDEX(Curves!$AD$8:$AD$68,AW$4-$B48+1)</f>
        <v/>
      </c>
      <c r="AX48" s="153">
        <f>$C48*INDEX(Curves!$AD$8:$AD$68,AX$4-$B48+1)</f>
        <v/>
      </c>
      <c r="AY48" s="153">
        <f>$C48*INDEX(Curves!$AD$8:$AD$68,AY$4-$B48+1)</f>
        <v/>
      </c>
      <c r="AZ48" s="153">
        <f>$C48*INDEX(Curves!$AD$8:$AD$68,AZ$4-$B48+1)</f>
        <v/>
      </c>
      <c r="BA48" s="153">
        <f>$C48*INDEX(Curves!$AD$8:$AD$68,BA$4-$B48+1)</f>
        <v/>
      </c>
      <c r="BB48" s="153">
        <f>$C48*INDEX(Curves!$AD$8:$AD$68,BB$4-$B48+1)</f>
        <v/>
      </c>
      <c r="BC48" s="153">
        <f>$C48*INDEX(Curves!$AD$8:$AD$68,BC$4-$B48+1)</f>
        <v/>
      </c>
      <c r="BD48" s="153">
        <f>$C48*INDEX(Curves!$AD$8:$AD$68,BD$4-$B48+1)</f>
        <v/>
      </c>
      <c r="BE48" s="153">
        <f>$C48*INDEX(Curves!$AD$8:$AD$68,BE$4-$B48+1)</f>
        <v/>
      </c>
      <c r="BF48" s="153">
        <f>$C48*INDEX(Curves!$AD$8:$AD$68,BF$4-$B48+1)</f>
        <v/>
      </c>
      <c r="BG48" s="153">
        <f>$C48*INDEX(Curves!$AD$8:$AD$68,BG$4-$B48+1)</f>
        <v/>
      </c>
      <c r="BH48" s="153">
        <f>$C48*INDEX(Curves!$AD$8:$AD$68,BH$4-$B48+1)</f>
        <v/>
      </c>
      <c r="BI48" s="153">
        <f>$C48*INDEX(Curves!$AD$8:$AD$68,BI$4-$B48+1)</f>
        <v/>
      </c>
      <c r="BJ48" s="153">
        <f>$C48*INDEX(Curves!$AD$8:$AD$68,BJ$4-$B48+1)</f>
        <v/>
      </c>
      <c r="BK48" s="153">
        <f>$C48*INDEX(Curves!$AD$8:$AD$68,BK$4-$B48+1)</f>
        <v/>
      </c>
      <c r="BL48" s="153">
        <f>$C48*INDEX(Curves!$AD$8:$AD$68,BL$4-$B48+1)</f>
        <v/>
      </c>
    </row>
    <row r="49">
      <c r="A49" s="147" t="inlineStr">
        <is>
          <t>Cohort month 40</t>
        </is>
      </c>
      <c r="B49" s="147" t="n">
        <v>40</v>
      </c>
      <c r="C49" s="41">
        <f>INDEX(Ops!$E$60:$BL$60,1,$B49)</f>
        <v/>
      </c>
      <c r="AS49" s="153">
        <f>$C49*INDEX(Curves!$AD$8:$AD$68,AS$4-$B49+1)</f>
        <v/>
      </c>
      <c r="AT49" s="153">
        <f>$C49*INDEX(Curves!$AD$8:$AD$68,AT$4-$B49+1)</f>
        <v/>
      </c>
      <c r="AU49" s="153">
        <f>$C49*INDEX(Curves!$AD$8:$AD$68,AU$4-$B49+1)</f>
        <v/>
      </c>
      <c r="AV49" s="153">
        <f>$C49*INDEX(Curves!$AD$8:$AD$68,AV$4-$B49+1)</f>
        <v/>
      </c>
      <c r="AW49" s="153">
        <f>$C49*INDEX(Curves!$AD$8:$AD$68,AW$4-$B49+1)</f>
        <v/>
      </c>
      <c r="AX49" s="153">
        <f>$C49*INDEX(Curves!$AD$8:$AD$68,AX$4-$B49+1)</f>
        <v/>
      </c>
      <c r="AY49" s="153">
        <f>$C49*INDEX(Curves!$AD$8:$AD$68,AY$4-$B49+1)</f>
        <v/>
      </c>
      <c r="AZ49" s="153">
        <f>$C49*INDEX(Curves!$AD$8:$AD$68,AZ$4-$B49+1)</f>
        <v/>
      </c>
      <c r="BA49" s="153">
        <f>$C49*INDEX(Curves!$AD$8:$AD$68,BA$4-$B49+1)</f>
        <v/>
      </c>
      <c r="BB49" s="153">
        <f>$C49*INDEX(Curves!$AD$8:$AD$68,BB$4-$B49+1)</f>
        <v/>
      </c>
      <c r="BC49" s="153">
        <f>$C49*INDEX(Curves!$AD$8:$AD$68,BC$4-$B49+1)</f>
        <v/>
      </c>
      <c r="BD49" s="153">
        <f>$C49*INDEX(Curves!$AD$8:$AD$68,BD$4-$B49+1)</f>
        <v/>
      </c>
      <c r="BE49" s="153">
        <f>$C49*INDEX(Curves!$AD$8:$AD$68,BE$4-$B49+1)</f>
        <v/>
      </c>
      <c r="BF49" s="153">
        <f>$C49*INDEX(Curves!$AD$8:$AD$68,BF$4-$B49+1)</f>
        <v/>
      </c>
      <c r="BG49" s="153">
        <f>$C49*INDEX(Curves!$AD$8:$AD$68,BG$4-$B49+1)</f>
        <v/>
      </c>
      <c r="BH49" s="153">
        <f>$C49*INDEX(Curves!$AD$8:$AD$68,BH$4-$B49+1)</f>
        <v/>
      </c>
      <c r="BI49" s="153">
        <f>$C49*INDEX(Curves!$AD$8:$AD$68,BI$4-$B49+1)</f>
        <v/>
      </c>
      <c r="BJ49" s="153">
        <f>$C49*INDEX(Curves!$AD$8:$AD$68,BJ$4-$B49+1)</f>
        <v/>
      </c>
      <c r="BK49" s="153">
        <f>$C49*INDEX(Curves!$AD$8:$AD$68,BK$4-$B49+1)</f>
        <v/>
      </c>
      <c r="BL49" s="153">
        <f>$C49*INDEX(Curves!$AD$8:$AD$68,BL$4-$B49+1)</f>
        <v/>
      </c>
    </row>
    <row r="50">
      <c r="A50" s="147" t="inlineStr">
        <is>
          <t>Cohort month 41</t>
        </is>
      </c>
      <c r="B50" s="147" t="n">
        <v>41</v>
      </c>
      <c r="C50" s="41">
        <f>INDEX(Ops!$E$60:$BL$60,1,$B50)</f>
        <v/>
      </c>
      <c r="AT50" s="153">
        <f>$C50*INDEX(Curves!$AD$8:$AD$68,AT$4-$B50+1)</f>
        <v/>
      </c>
      <c r="AU50" s="153">
        <f>$C50*INDEX(Curves!$AD$8:$AD$68,AU$4-$B50+1)</f>
        <v/>
      </c>
      <c r="AV50" s="153">
        <f>$C50*INDEX(Curves!$AD$8:$AD$68,AV$4-$B50+1)</f>
        <v/>
      </c>
      <c r="AW50" s="153">
        <f>$C50*INDEX(Curves!$AD$8:$AD$68,AW$4-$B50+1)</f>
        <v/>
      </c>
      <c r="AX50" s="153">
        <f>$C50*INDEX(Curves!$AD$8:$AD$68,AX$4-$B50+1)</f>
        <v/>
      </c>
      <c r="AY50" s="153">
        <f>$C50*INDEX(Curves!$AD$8:$AD$68,AY$4-$B50+1)</f>
        <v/>
      </c>
      <c r="AZ50" s="153">
        <f>$C50*INDEX(Curves!$AD$8:$AD$68,AZ$4-$B50+1)</f>
        <v/>
      </c>
      <c r="BA50" s="153">
        <f>$C50*INDEX(Curves!$AD$8:$AD$68,BA$4-$B50+1)</f>
        <v/>
      </c>
      <c r="BB50" s="153">
        <f>$C50*INDEX(Curves!$AD$8:$AD$68,BB$4-$B50+1)</f>
        <v/>
      </c>
      <c r="BC50" s="153">
        <f>$C50*INDEX(Curves!$AD$8:$AD$68,BC$4-$B50+1)</f>
        <v/>
      </c>
      <c r="BD50" s="153">
        <f>$C50*INDEX(Curves!$AD$8:$AD$68,BD$4-$B50+1)</f>
        <v/>
      </c>
      <c r="BE50" s="153">
        <f>$C50*INDEX(Curves!$AD$8:$AD$68,BE$4-$B50+1)</f>
        <v/>
      </c>
      <c r="BF50" s="153">
        <f>$C50*INDEX(Curves!$AD$8:$AD$68,BF$4-$B50+1)</f>
        <v/>
      </c>
      <c r="BG50" s="153">
        <f>$C50*INDEX(Curves!$AD$8:$AD$68,BG$4-$B50+1)</f>
        <v/>
      </c>
      <c r="BH50" s="153">
        <f>$C50*INDEX(Curves!$AD$8:$AD$68,BH$4-$B50+1)</f>
        <v/>
      </c>
      <c r="BI50" s="153">
        <f>$C50*INDEX(Curves!$AD$8:$AD$68,BI$4-$B50+1)</f>
        <v/>
      </c>
      <c r="BJ50" s="153">
        <f>$C50*INDEX(Curves!$AD$8:$AD$68,BJ$4-$B50+1)</f>
        <v/>
      </c>
      <c r="BK50" s="153">
        <f>$C50*INDEX(Curves!$AD$8:$AD$68,BK$4-$B50+1)</f>
        <v/>
      </c>
      <c r="BL50" s="153">
        <f>$C50*INDEX(Curves!$AD$8:$AD$68,BL$4-$B50+1)</f>
        <v/>
      </c>
    </row>
    <row r="51">
      <c r="A51" s="147" t="inlineStr">
        <is>
          <t>Cohort month 42</t>
        </is>
      </c>
      <c r="B51" s="147" t="n">
        <v>42</v>
      </c>
      <c r="C51" s="41">
        <f>INDEX(Ops!$E$60:$BL$60,1,$B51)</f>
        <v/>
      </c>
      <c r="AU51" s="153">
        <f>$C51*INDEX(Curves!$AD$8:$AD$68,AU$4-$B51+1)</f>
        <v/>
      </c>
      <c r="AV51" s="153">
        <f>$C51*INDEX(Curves!$AD$8:$AD$68,AV$4-$B51+1)</f>
        <v/>
      </c>
      <c r="AW51" s="153">
        <f>$C51*INDEX(Curves!$AD$8:$AD$68,AW$4-$B51+1)</f>
        <v/>
      </c>
      <c r="AX51" s="153">
        <f>$C51*INDEX(Curves!$AD$8:$AD$68,AX$4-$B51+1)</f>
        <v/>
      </c>
      <c r="AY51" s="153">
        <f>$C51*INDEX(Curves!$AD$8:$AD$68,AY$4-$B51+1)</f>
        <v/>
      </c>
      <c r="AZ51" s="153">
        <f>$C51*INDEX(Curves!$AD$8:$AD$68,AZ$4-$B51+1)</f>
        <v/>
      </c>
      <c r="BA51" s="153">
        <f>$C51*INDEX(Curves!$AD$8:$AD$68,BA$4-$B51+1)</f>
        <v/>
      </c>
      <c r="BB51" s="153">
        <f>$C51*INDEX(Curves!$AD$8:$AD$68,BB$4-$B51+1)</f>
        <v/>
      </c>
      <c r="BC51" s="153">
        <f>$C51*INDEX(Curves!$AD$8:$AD$68,BC$4-$B51+1)</f>
        <v/>
      </c>
      <c r="BD51" s="153">
        <f>$C51*INDEX(Curves!$AD$8:$AD$68,BD$4-$B51+1)</f>
        <v/>
      </c>
      <c r="BE51" s="153">
        <f>$C51*INDEX(Curves!$AD$8:$AD$68,BE$4-$B51+1)</f>
        <v/>
      </c>
      <c r="BF51" s="153">
        <f>$C51*INDEX(Curves!$AD$8:$AD$68,BF$4-$B51+1)</f>
        <v/>
      </c>
      <c r="BG51" s="153">
        <f>$C51*INDEX(Curves!$AD$8:$AD$68,BG$4-$B51+1)</f>
        <v/>
      </c>
      <c r="BH51" s="153">
        <f>$C51*INDEX(Curves!$AD$8:$AD$68,BH$4-$B51+1)</f>
        <v/>
      </c>
      <c r="BI51" s="153">
        <f>$C51*INDEX(Curves!$AD$8:$AD$68,BI$4-$B51+1)</f>
        <v/>
      </c>
      <c r="BJ51" s="153">
        <f>$C51*INDEX(Curves!$AD$8:$AD$68,BJ$4-$B51+1)</f>
        <v/>
      </c>
      <c r="BK51" s="153">
        <f>$C51*INDEX(Curves!$AD$8:$AD$68,BK$4-$B51+1)</f>
        <v/>
      </c>
      <c r="BL51" s="153">
        <f>$C51*INDEX(Curves!$AD$8:$AD$68,BL$4-$B51+1)</f>
        <v/>
      </c>
    </row>
    <row r="52">
      <c r="A52" s="147" t="inlineStr">
        <is>
          <t>Cohort month 43</t>
        </is>
      </c>
      <c r="B52" s="147" t="n">
        <v>43</v>
      </c>
      <c r="C52" s="41">
        <f>INDEX(Ops!$E$60:$BL$60,1,$B52)</f>
        <v/>
      </c>
      <c r="AV52" s="153">
        <f>$C52*INDEX(Curves!$AD$8:$AD$68,AV$4-$B52+1)</f>
        <v/>
      </c>
      <c r="AW52" s="153">
        <f>$C52*INDEX(Curves!$AD$8:$AD$68,AW$4-$B52+1)</f>
        <v/>
      </c>
      <c r="AX52" s="153">
        <f>$C52*INDEX(Curves!$AD$8:$AD$68,AX$4-$B52+1)</f>
        <v/>
      </c>
      <c r="AY52" s="153">
        <f>$C52*INDEX(Curves!$AD$8:$AD$68,AY$4-$B52+1)</f>
        <v/>
      </c>
      <c r="AZ52" s="153">
        <f>$C52*INDEX(Curves!$AD$8:$AD$68,AZ$4-$B52+1)</f>
        <v/>
      </c>
      <c r="BA52" s="153">
        <f>$C52*INDEX(Curves!$AD$8:$AD$68,BA$4-$B52+1)</f>
        <v/>
      </c>
      <c r="BB52" s="153">
        <f>$C52*INDEX(Curves!$AD$8:$AD$68,BB$4-$B52+1)</f>
        <v/>
      </c>
      <c r="BC52" s="153">
        <f>$C52*INDEX(Curves!$AD$8:$AD$68,BC$4-$B52+1)</f>
        <v/>
      </c>
      <c r="BD52" s="153">
        <f>$C52*INDEX(Curves!$AD$8:$AD$68,BD$4-$B52+1)</f>
        <v/>
      </c>
      <c r="BE52" s="153">
        <f>$C52*INDEX(Curves!$AD$8:$AD$68,BE$4-$B52+1)</f>
        <v/>
      </c>
      <c r="BF52" s="153">
        <f>$C52*INDEX(Curves!$AD$8:$AD$68,BF$4-$B52+1)</f>
        <v/>
      </c>
      <c r="BG52" s="153">
        <f>$C52*INDEX(Curves!$AD$8:$AD$68,BG$4-$B52+1)</f>
        <v/>
      </c>
      <c r="BH52" s="153">
        <f>$C52*INDEX(Curves!$AD$8:$AD$68,BH$4-$B52+1)</f>
        <v/>
      </c>
      <c r="BI52" s="153">
        <f>$C52*INDEX(Curves!$AD$8:$AD$68,BI$4-$B52+1)</f>
        <v/>
      </c>
      <c r="BJ52" s="153">
        <f>$C52*INDEX(Curves!$AD$8:$AD$68,BJ$4-$B52+1)</f>
        <v/>
      </c>
      <c r="BK52" s="153">
        <f>$C52*INDEX(Curves!$AD$8:$AD$68,BK$4-$B52+1)</f>
        <v/>
      </c>
      <c r="BL52" s="153">
        <f>$C52*INDEX(Curves!$AD$8:$AD$68,BL$4-$B52+1)</f>
        <v/>
      </c>
    </row>
    <row r="53">
      <c r="A53" s="147" t="inlineStr">
        <is>
          <t>Cohort month 44</t>
        </is>
      </c>
      <c r="B53" s="147" t="n">
        <v>44</v>
      </c>
      <c r="C53" s="41">
        <f>INDEX(Ops!$E$60:$BL$60,1,$B53)</f>
        <v/>
      </c>
      <c r="AW53" s="153">
        <f>$C53*INDEX(Curves!$AD$8:$AD$68,AW$4-$B53+1)</f>
        <v/>
      </c>
      <c r="AX53" s="153">
        <f>$C53*INDEX(Curves!$AD$8:$AD$68,AX$4-$B53+1)</f>
        <v/>
      </c>
      <c r="AY53" s="153">
        <f>$C53*INDEX(Curves!$AD$8:$AD$68,AY$4-$B53+1)</f>
        <v/>
      </c>
      <c r="AZ53" s="153">
        <f>$C53*INDEX(Curves!$AD$8:$AD$68,AZ$4-$B53+1)</f>
        <v/>
      </c>
      <c r="BA53" s="153">
        <f>$C53*INDEX(Curves!$AD$8:$AD$68,BA$4-$B53+1)</f>
        <v/>
      </c>
      <c r="BB53" s="153">
        <f>$C53*INDEX(Curves!$AD$8:$AD$68,BB$4-$B53+1)</f>
        <v/>
      </c>
      <c r="BC53" s="153">
        <f>$C53*INDEX(Curves!$AD$8:$AD$68,BC$4-$B53+1)</f>
        <v/>
      </c>
      <c r="BD53" s="153">
        <f>$C53*INDEX(Curves!$AD$8:$AD$68,BD$4-$B53+1)</f>
        <v/>
      </c>
      <c r="BE53" s="153">
        <f>$C53*INDEX(Curves!$AD$8:$AD$68,BE$4-$B53+1)</f>
        <v/>
      </c>
      <c r="BF53" s="153">
        <f>$C53*INDEX(Curves!$AD$8:$AD$68,BF$4-$B53+1)</f>
        <v/>
      </c>
      <c r="BG53" s="153">
        <f>$C53*INDEX(Curves!$AD$8:$AD$68,BG$4-$B53+1)</f>
        <v/>
      </c>
      <c r="BH53" s="153">
        <f>$C53*INDEX(Curves!$AD$8:$AD$68,BH$4-$B53+1)</f>
        <v/>
      </c>
      <c r="BI53" s="153">
        <f>$C53*INDEX(Curves!$AD$8:$AD$68,BI$4-$B53+1)</f>
        <v/>
      </c>
      <c r="BJ53" s="153">
        <f>$C53*INDEX(Curves!$AD$8:$AD$68,BJ$4-$B53+1)</f>
        <v/>
      </c>
      <c r="BK53" s="153">
        <f>$C53*INDEX(Curves!$AD$8:$AD$68,BK$4-$B53+1)</f>
        <v/>
      </c>
      <c r="BL53" s="153">
        <f>$C53*INDEX(Curves!$AD$8:$AD$68,BL$4-$B53+1)</f>
        <v/>
      </c>
    </row>
    <row r="54">
      <c r="A54" s="147" t="inlineStr">
        <is>
          <t>Cohort month 45</t>
        </is>
      </c>
      <c r="B54" s="147" t="n">
        <v>45</v>
      </c>
      <c r="C54" s="41">
        <f>INDEX(Ops!$E$60:$BL$60,1,$B54)</f>
        <v/>
      </c>
      <c r="AX54" s="153">
        <f>$C54*INDEX(Curves!$AD$8:$AD$68,AX$4-$B54+1)</f>
        <v/>
      </c>
      <c r="AY54" s="153">
        <f>$C54*INDEX(Curves!$AD$8:$AD$68,AY$4-$B54+1)</f>
        <v/>
      </c>
      <c r="AZ54" s="153">
        <f>$C54*INDEX(Curves!$AD$8:$AD$68,AZ$4-$B54+1)</f>
        <v/>
      </c>
      <c r="BA54" s="153">
        <f>$C54*INDEX(Curves!$AD$8:$AD$68,BA$4-$B54+1)</f>
        <v/>
      </c>
      <c r="BB54" s="153">
        <f>$C54*INDEX(Curves!$AD$8:$AD$68,BB$4-$B54+1)</f>
        <v/>
      </c>
      <c r="BC54" s="153">
        <f>$C54*INDEX(Curves!$AD$8:$AD$68,BC$4-$B54+1)</f>
        <v/>
      </c>
      <c r="BD54" s="153">
        <f>$C54*INDEX(Curves!$AD$8:$AD$68,BD$4-$B54+1)</f>
        <v/>
      </c>
      <c r="BE54" s="153">
        <f>$C54*INDEX(Curves!$AD$8:$AD$68,BE$4-$B54+1)</f>
        <v/>
      </c>
      <c r="BF54" s="153">
        <f>$C54*INDEX(Curves!$AD$8:$AD$68,BF$4-$B54+1)</f>
        <v/>
      </c>
      <c r="BG54" s="153">
        <f>$C54*INDEX(Curves!$AD$8:$AD$68,BG$4-$B54+1)</f>
        <v/>
      </c>
      <c r="BH54" s="153">
        <f>$C54*INDEX(Curves!$AD$8:$AD$68,BH$4-$B54+1)</f>
        <v/>
      </c>
      <c r="BI54" s="153">
        <f>$C54*INDEX(Curves!$AD$8:$AD$68,BI$4-$B54+1)</f>
        <v/>
      </c>
      <c r="BJ54" s="153">
        <f>$C54*INDEX(Curves!$AD$8:$AD$68,BJ$4-$B54+1)</f>
        <v/>
      </c>
      <c r="BK54" s="153">
        <f>$C54*INDEX(Curves!$AD$8:$AD$68,BK$4-$B54+1)</f>
        <v/>
      </c>
      <c r="BL54" s="153">
        <f>$C54*INDEX(Curves!$AD$8:$AD$68,BL$4-$B54+1)</f>
        <v/>
      </c>
    </row>
    <row r="55">
      <c r="A55" s="147" t="inlineStr">
        <is>
          <t>Cohort month 46</t>
        </is>
      </c>
      <c r="B55" s="147" t="n">
        <v>46</v>
      </c>
      <c r="C55" s="41">
        <f>INDEX(Ops!$E$60:$BL$60,1,$B55)</f>
        <v/>
      </c>
      <c r="AY55" s="153">
        <f>$C55*INDEX(Curves!$AD$8:$AD$68,AY$4-$B55+1)</f>
        <v/>
      </c>
      <c r="AZ55" s="153">
        <f>$C55*INDEX(Curves!$AD$8:$AD$68,AZ$4-$B55+1)</f>
        <v/>
      </c>
      <c r="BA55" s="153">
        <f>$C55*INDEX(Curves!$AD$8:$AD$68,BA$4-$B55+1)</f>
        <v/>
      </c>
      <c r="BB55" s="153">
        <f>$C55*INDEX(Curves!$AD$8:$AD$68,BB$4-$B55+1)</f>
        <v/>
      </c>
      <c r="BC55" s="153">
        <f>$C55*INDEX(Curves!$AD$8:$AD$68,BC$4-$B55+1)</f>
        <v/>
      </c>
      <c r="BD55" s="153">
        <f>$C55*INDEX(Curves!$AD$8:$AD$68,BD$4-$B55+1)</f>
        <v/>
      </c>
      <c r="BE55" s="153">
        <f>$C55*INDEX(Curves!$AD$8:$AD$68,BE$4-$B55+1)</f>
        <v/>
      </c>
      <c r="BF55" s="153">
        <f>$C55*INDEX(Curves!$AD$8:$AD$68,BF$4-$B55+1)</f>
        <v/>
      </c>
      <c r="BG55" s="153">
        <f>$C55*INDEX(Curves!$AD$8:$AD$68,BG$4-$B55+1)</f>
        <v/>
      </c>
      <c r="BH55" s="153">
        <f>$C55*INDEX(Curves!$AD$8:$AD$68,BH$4-$B55+1)</f>
        <v/>
      </c>
      <c r="BI55" s="153">
        <f>$C55*INDEX(Curves!$AD$8:$AD$68,BI$4-$B55+1)</f>
        <v/>
      </c>
      <c r="BJ55" s="153">
        <f>$C55*INDEX(Curves!$AD$8:$AD$68,BJ$4-$B55+1)</f>
        <v/>
      </c>
      <c r="BK55" s="153">
        <f>$C55*INDEX(Curves!$AD$8:$AD$68,BK$4-$B55+1)</f>
        <v/>
      </c>
      <c r="BL55" s="153">
        <f>$C55*INDEX(Curves!$AD$8:$AD$68,BL$4-$B55+1)</f>
        <v/>
      </c>
    </row>
    <row r="56">
      <c r="A56" s="147" t="inlineStr">
        <is>
          <t>Cohort month 47</t>
        </is>
      </c>
      <c r="B56" s="147" t="n">
        <v>47</v>
      </c>
      <c r="C56" s="41">
        <f>INDEX(Ops!$E$60:$BL$60,1,$B56)</f>
        <v/>
      </c>
      <c r="AZ56" s="153">
        <f>$C56*INDEX(Curves!$AD$8:$AD$68,AZ$4-$B56+1)</f>
        <v/>
      </c>
      <c r="BA56" s="153">
        <f>$C56*INDEX(Curves!$AD$8:$AD$68,BA$4-$B56+1)</f>
        <v/>
      </c>
      <c r="BB56" s="153">
        <f>$C56*INDEX(Curves!$AD$8:$AD$68,BB$4-$B56+1)</f>
        <v/>
      </c>
      <c r="BC56" s="153">
        <f>$C56*INDEX(Curves!$AD$8:$AD$68,BC$4-$B56+1)</f>
        <v/>
      </c>
      <c r="BD56" s="153">
        <f>$C56*INDEX(Curves!$AD$8:$AD$68,BD$4-$B56+1)</f>
        <v/>
      </c>
      <c r="BE56" s="153">
        <f>$C56*INDEX(Curves!$AD$8:$AD$68,BE$4-$B56+1)</f>
        <v/>
      </c>
      <c r="BF56" s="153">
        <f>$C56*INDEX(Curves!$AD$8:$AD$68,BF$4-$B56+1)</f>
        <v/>
      </c>
      <c r="BG56" s="153">
        <f>$C56*INDEX(Curves!$AD$8:$AD$68,BG$4-$B56+1)</f>
        <v/>
      </c>
      <c r="BH56" s="153">
        <f>$C56*INDEX(Curves!$AD$8:$AD$68,BH$4-$B56+1)</f>
        <v/>
      </c>
      <c r="BI56" s="153">
        <f>$C56*INDEX(Curves!$AD$8:$AD$68,BI$4-$B56+1)</f>
        <v/>
      </c>
      <c r="BJ56" s="153">
        <f>$C56*INDEX(Curves!$AD$8:$AD$68,BJ$4-$B56+1)</f>
        <v/>
      </c>
      <c r="BK56" s="153">
        <f>$C56*INDEX(Curves!$AD$8:$AD$68,BK$4-$B56+1)</f>
        <v/>
      </c>
      <c r="BL56" s="153">
        <f>$C56*INDEX(Curves!$AD$8:$AD$68,BL$4-$B56+1)</f>
        <v/>
      </c>
    </row>
    <row r="57">
      <c r="A57" s="147" t="inlineStr">
        <is>
          <t>Cohort month 48</t>
        </is>
      </c>
      <c r="B57" s="147" t="n">
        <v>48</v>
      </c>
      <c r="C57" s="41">
        <f>INDEX(Ops!$E$60:$BL$60,1,$B57)</f>
        <v/>
      </c>
      <c r="BA57" s="153">
        <f>$C57*INDEX(Curves!$AD$8:$AD$68,BA$4-$B57+1)</f>
        <v/>
      </c>
      <c r="BB57" s="153">
        <f>$C57*INDEX(Curves!$AD$8:$AD$68,BB$4-$B57+1)</f>
        <v/>
      </c>
      <c r="BC57" s="153">
        <f>$C57*INDEX(Curves!$AD$8:$AD$68,BC$4-$B57+1)</f>
        <v/>
      </c>
      <c r="BD57" s="153">
        <f>$C57*INDEX(Curves!$AD$8:$AD$68,BD$4-$B57+1)</f>
        <v/>
      </c>
      <c r="BE57" s="153">
        <f>$C57*INDEX(Curves!$AD$8:$AD$68,BE$4-$B57+1)</f>
        <v/>
      </c>
      <c r="BF57" s="153">
        <f>$C57*INDEX(Curves!$AD$8:$AD$68,BF$4-$B57+1)</f>
        <v/>
      </c>
      <c r="BG57" s="153">
        <f>$C57*INDEX(Curves!$AD$8:$AD$68,BG$4-$B57+1)</f>
        <v/>
      </c>
      <c r="BH57" s="153">
        <f>$C57*INDEX(Curves!$AD$8:$AD$68,BH$4-$B57+1)</f>
        <v/>
      </c>
      <c r="BI57" s="153">
        <f>$C57*INDEX(Curves!$AD$8:$AD$68,BI$4-$B57+1)</f>
        <v/>
      </c>
      <c r="BJ57" s="153">
        <f>$C57*INDEX(Curves!$AD$8:$AD$68,BJ$4-$B57+1)</f>
        <v/>
      </c>
      <c r="BK57" s="153">
        <f>$C57*INDEX(Curves!$AD$8:$AD$68,BK$4-$B57+1)</f>
        <v/>
      </c>
      <c r="BL57" s="153">
        <f>$C57*INDEX(Curves!$AD$8:$AD$68,BL$4-$B57+1)</f>
        <v/>
      </c>
    </row>
    <row r="58">
      <c r="A58" s="147" t="inlineStr">
        <is>
          <t>Cohort month 49</t>
        </is>
      </c>
      <c r="B58" s="147" t="n">
        <v>49</v>
      </c>
      <c r="C58" s="41">
        <f>INDEX(Ops!$E$60:$BL$60,1,$B58)</f>
        <v/>
      </c>
      <c r="BB58" s="153">
        <f>$C58*INDEX(Curves!$AD$8:$AD$68,BB$4-$B58+1)</f>
        <v/>
      </c>
      <c r="BC58" s="153">
        <f>$C58*INDEX(Curves!$AD$8:$AD$68,BC$4-$B58+1)</f>
        <v/>
      </c>
      <c r="BD58" s="153">
        <f>$C58*INDEX(Curves!$AD$8:$AD$68,BD$4-$B58+1)</f>
        <v/>
      </c>
      <c r="BE58" s="153">
        <f>$C58*INDEX(Curves!$AD$8:$AD$68,BE$4-$B58+1)</f>
        <v/>
      </c>
      <c r="BF58" s="153">
        <f>$C58*INDEX(Curves!$AD$8:$AD$68,BF$4-$B58+1)</f>
        <v/>
      </c>
      <c r="BG58" s="153">
        <f>$C58*INDEX(Curves!$AD$8:$AD$68,BG$4-$B58+1)</f>
        <v/>
      </c>
      <c r="BH58" s="153">
        <f>$C58*INDEX(Curves!$AD$8:$AD$68,BH$4-$B58+1)</f>
        <v/>
      </c>
      <c r="BI58" s="153">
        <f>$C58*INDEX(Curves!$AD$8:$AD$68,BI$4-$B58+1)</f>
        <v/>
      </c>
      <c r="BJ58" s="153">
        <f>$C58*INDEX(Curves!$AD$8:$AD$68,BJ$4-$B58+1)</f>
        <v/>
      </c>
      <c r="BK58" s="153">
        <f>$C58*INDEX(Curves!$AD$8:$AD$68,BK$4-$B58+1)</f>
        <v/>
      </c>
      <c r="BL58" s="153">
        <f>$C58*INDEX(Curves!$AD$8:$AD$68,BL$4-$B58+1)</f>
        <v/>
      </c>
    </row>
    <row r="59">
      <c r="A59" s="147" t="inlineStr">
        <is>
          <t>Cohort month 50</t>
        </is>
      </c>
      <c r="B59" s="147" t="n">
        <v>50</v>
      </c>
      <c r="C59" s="41">
        <f>INDEX(Ops!$E$60:$BL$60,1,$B59)</f>
        <v/>
      </c>
      <c r="BC59" s="153">
        <f>$C59*INDEX(Curves!$AD$8:$AD$68,BC$4-$B59+1)</f>
        <v/>
      </c>
      <c r="BD59" s="153">
        <f>$C59*INDEX(Curves!$AD$8:$AD$68,BD$4-$B59+1)</f>
        <v/>
      </c>
      <c r="BE59" s="153">
        <f>$C59*INDEX(Curves!$AD$8:$AD$68,BE$4-$B59+1)</f>
        <v/>
      </c>
      <c r="BF59" s="153">
        <f>$C59*INDEX(Curves!$AD$8:$AD$68,BF$4-$B59+1)</f>
        <v/>
      </c>
      <c r="BG59" s="153">
        <f>$C59*INDEX(Curves!$AD$8:$AD$68,BG$4-$B59+1)</f>
        <v/>
      </c>
      <c r="BH59" s="153">
        <f>$C59*INDEX(Curves!$AD$8:$AD$68,BH$4-$B59+1)</f>
        <v/>
      </c>
      <c r="BI59" s="153">
        <f>$C59*INDEX(Curves!$AD$8:$AD$68,BI$4-$B59+1)</f>
        <v/>
      </c>
      <c r="BJ59" s="153">
        <f>$C59*INDEX(Curves!$AD$8:$AD$68,BJ$4-$B59+1)</f>
        <v/>
      </c>
      <c r="BK59" s="153">
        <f>$C59*INDEX(Curves!$AD$8:$AD$68,BK$4-$B59+1)</f>
        <v/>
      </c>
      <c r="BL59" s="153">
        <f>$C59*INDEX(Curves!$AD$8:$AD$68,BL$4-$B59+1)</f>
        <v/>
      </c>
    </row>
    <row r="60">
      <c r="A60" s="147" t="inlineStr">
        <is>
          <t>Cohort month 51</t>
        </is>
      </c>
      <c r="B60" s="147" t="n">
        <v>51</v>
      </c>
      <c r="C60" s="41">
        <f>INDEX(Ops!$E$60:$BL$60,1,$B60)</f>
        <v/>
      </c>
      <c r="BD60" s="153">
        <f>$C60*INDEX(Curves!$AD$8:$AD$68,BD$4-$B60+1)</f>
        <v/>
      </c>
      <c r="BE60" s="153">
        <f>$C60*INDEX(Curves!$AD$8:$AD$68,BE$4-$B60+1)</f>
        <v/>
      </c>
      <c r="BF60" s="153">
        <f>$C60*INDEX(Curves!$AD$8:$AD$68,BF$4-$B60+1)</f>
        <v/>
      </c>
      <c r="BG60" s="153">
        <f>$C60*INDEX(Curves!$AD$8:$AD$68,BG$4-$B60+1)</f>
        <v/>
      </c>
      <c r="BH60" s="153">
        <f>$C60*INDEX(Curves!$AD$8:$AD$68,BH$4-$B60+1)</f>
        <v/>
      </c>
      <c r="BI60" s="153">
        <f>$C60*INDEX(Curves!$AD$8:$AD$68,BI$4-$B60+1)</f>
        <v/>
      </c>
      <c r="BJ60" s="153">
        <f>$C60*INDEX(Curves!$AD$8:$AD$68,BJ$4-$B60+1)</f>
        <v/>
      </c>
      <c r="BK60" s="153">
        <f>$C60*INDEX(Curves!$AD$8:$AD$68,BK$4-$B60+1)</f>
        <v/>
      </c>
      <c r="BL60" s="153">
        <f>$C60*INDEX(Curves!$AD$8:$AD$68,BL$4-$B60+1)</f>
        <v/>
      </c>
    </row>
    <row r="61">
      <c r="A61" s="147" t="inlineStr">
        <is>
          <t>Cohort month 52</t>
        </is>
      </c>
      <c r="B61" s="147" t="n">
        <v>52</v>
      </c>
      <c r="C61" s="41">
        <f>INDEX(Ops!$E$60:$BL$60,1,$B61)</f>
        <v/>
      </c>
      <c r="BE61" s="153">
        <f>$C61*INDEX(Curves!$AD$8:$AD$68,BE$4-$B61+1)</f>
        <v/>
      </c>
      <c r="BF61" s="153">
        <f>$C61*INDEX(Curves!$AD$8:$AD$68,BF$4-$B61+1)</f>
        <v/>
      </c>
      <c r="BG61" s="153">
        <f>$C61*INDEX(Curves!$AD$8:$AD$68,BG$4-$B61+1)</f>
        <v/>
      </c>
      <c r="BH61" s="153">
        <f>$C61*INDEX(Curves!$AD$8:$AD$68,BH$4-$B61+1)</f>
        <v/>
      </c>
      <c r="BI61" s="153">
        <f>$C61*INDEX(Curves!$AD$8:$AD$68,BI$4-$B61+1)</f>
        <v/>
      </c>
      <c r="BJ61" s="153">
        <f>$C61*INDEX(Curves!$AD$8:$AD$68,BJ$4-$B61+1)</f>
        <v/>
      </c>
      <c r="BK61" s="153">
        <f>$C61*INDEX(Curves!$AD$8:$AD$68,BK$4-$B61+1)</f>
        <v/>
      </c>
      <c r="BL61" s="153">
        <f>$C61*INDEX(Curves!$AD$8:$AD$68,BL$4-$B61+1)</f>
        <v/>
      </c>
    </row>
    <row r="62">
      <c r="A62" s="147" t="inlineStr">
        <is>
          <t>Cohort month 53</t>
        </is>
      </c>
      <c r="B62" s="147" t="n">
        <v>53</v>
      </c>
      <c r="C62" s="41">
        <f>INDEX(Ops!$E$60:$BL$60,1,$B62)</f>
        <v/>
      </c>
      <c r="BF62" s="153">
        <f>$C62*INDEX(Curves!$AD$8:$AD$68,BF$4-$B62+1)</f>
        <v/>
      </c>
      <c r="BG62" s="153">
        <f>$C62*INDEX(Curves!$AD$8:$AD$68,BG$4-$B62+1)</f>
        <v/>
      </c>
      <c r="BH62" s="153">
        <f>$C62*INDEX(Curves!$AD$8:$AD$68,BH$4-$B62+1)</f>
        <v/>
      </c>
      <c r="BI62" s="153">
        <f>$C62*INDEX(Curves!$AD$8:$AD$68,BI$4-$B62+1)</f>
        <v/>
      </c>
      <c r="BJ62" s="153">
        <f>$C62*INDEX(Curves!$AD$8:$AD$68,BJ$4-$B62+1)</f>
        <v/>
      </c>
      <c r="BK62" s="153">
        <f>$C62*INDEX(Curves!$AD$8:$AD$68,BK$4-$B62+1)</f>
        <v/>
      </c>
      <c r="BL62" s="153">
        <f>$C62*INDEX(Curves!$AD$8:$AD$68,BL$4-$B62+1)</f>
        <v/>
      </c>
    </row>
    <row r="63">
      <c r="A63" s="147" t="inlineStr">
        <is>
          <t>Cohort month 54</t>
        </is>
      </c>
      <c r="B63" s="147" t="n">
        <v>54</v>
      </c>
      <c r="C63" s="41">
        <f>INDEX(Ops!$E$60:$BL$60,1,$B63)</f>
        <v/>
      </c>
      <c r="BG63" s="153">
        <f>$C63*INDEX(Curves!$AD$8:$AD$68,BG$4-$B63+1)</f>
        <v/>
      </c>
      <c r="BH63" s="153">
        <f>$C63*INDEX(Curves!$AD$8:$AD$68,BH$4-$B63+1)</f>
        <v/>
      </c>
      <c r="BI63" s="153">
        <f>$C63*INDEX(Curves!$AD$8:$AD$68,BI$4-$B63+1)</f>
        <v/>
      </c>
      <c r="BJ63" s="153">
        <f>$C63*INDEX(Curves!$AD$8:$AD$68,BJ$4-$B63+1)</f>
        <v/>
      </c>
      <c r="BK63" s="153">
        <f>$C63*INDEX(Curves!$AD$8:$AD$68,BK$4-$B63+1)</f>
        <v/>
      </c>
      <c r="BL63" s="153">
        <f>$C63*INDEX(Curves!$AD$8:$AD$68,BL$4-$B63+1)</f>
        <v/>
      </c>
    </row>
    <row r="64">
      <c r="A64" s="147" t="inlineStr">
        <is>
          <t>Cohort month 55</t>
        </is>
      </c>
      <c r="B64" s="147" t="n">
        <v>55</v>
      </c>
      <c r="C64" s="41">
        <f>INDEX(Ops!$E$60:$BL$60,1,$B64)</f>
        <v/>
      </c>
      <c r="BH64" s="153">
        <f>$C64*INDEX(Curves!$AD$8:$AD$68,BH$4-$B64+1)</f>
        <v/>
      </c>
      <c r="BI64" s="153">
        <f>$C64*INDEX(Curves!$AD$8:$AD$68,BI$4-$B64+1)</f>
        <v/>
      </c>
      <c r="BJ64" s="153">
        <f>$C64*INDEX(Curves!$AD$8:$AD$68,BJ$4-$B64+1)</f>
        <v/>
      </c>
      <c r="BK64" s="153">
        <f>$C64*INDEX(Curves!$AD$8:$AD$68,BK$4-$B64+1)</f>
        <v/>
      </c>
      <c r="BL64" s="153">
        <f>$C64*INDEX(Curves!$AD$8:$AD$68,BL$4-$B64+1)</f>
        <v/>
      </c>
    </row>
    <row r="65">
      <c r="A65" s="147" t="inlineStr">
        <is>
          <t>Cohort month 56</t>
        </is>
      </c>
      <c r="B65" s="147" t="n">
        <v>56</v>
      </c>
      <c r="C65" s="41">
        <f>INDEX(Ops!$E$60:$BL$60,1,$B65)</f>
        <v/>
      </c>
      <c r="BI65" s="153">
        <f>$C65*INDEX(Curves!$AD$8:$AD$68,BI$4-$B65+1)</f>
        <v/>
      </c>
      <c r="BJ65" s="153">
        <f>$C65*INDEX(Curves!$AD$8:$AD$68,BJ$4-$B65+1)</f>
        <v/>
      </c>
      <c r="BK65" s="153">
        <f>$C65*INDEX(Curves!$AD$8:$AD$68,BK$4-$B65+1)</f>
        <v/>
      </c>
      <c r="BL65" s="153">
        <f>$C65*INDEX(Curves!$AD$8:$AD$68,BL$4-$B65+1)</f>
        <v/>
      </c>
    </row>
    <row r="66">
      <c r="A66" s="147" t="inlineStr">
        <is>
          <t>Cohort month 57</t>
        </is>
      </c>
      <c r="B66" s="147" t="n">
        <v>57</v>
      </c>
      <c r="C66" s="41">
        <f>INDEX(Ops!$E$60:$BL$60,1,$B66)</f>
        <v/>
      </c>
      <c r="BJ66" s="153">
        <f>$C66*INDEX(Curves!$AD$8:$AD$68,BJ$4-$B66+1)</f>
        <v/>
      </c>
      <c r="BK66" s="153">
        <f>$C66*INDEX(Curves!$AD$8:$AD$68,BK$4-$B66+1)</f>
        <v/>
      </c>
      <c r="BL66" s="153">
        <f>$C66*INDEX(Curves!$AD$8:$AD$68,BL$4-$B66+1)</f>
        <v/>
      </c>
    </row>
    <row r="67">
      <c r="A67" s="147" t="inlineStr">
        <is>
          <t>Cohort month 58</t>
        </is>
      </c>
      <c r="B67" s="147" t="n">
        <v>58</v>
      </c>
      <c r="C67" s="41">
        <f>INDEX(Ops!$E$60:$BL$60,1,$B67)</f>
        <v/>
      </c>
      <c r="BK67" s="153">
        <f>$C67*INDEX(Curves!$AD$8:$AD$68,BK$4-$B67+1)</f>
        <v/>
      </c>
      <c r="BL67" s="153">
        <f>$C67*INDEX(Curves!$AD$8:$AD$68,BL$4-$B67+1)</f>
        <v/>
      </c>
    </row>
    <row r="68">
      <c r="A68" s="147" t="inlineStr">
        <is>
          <t>Cohort month 59</t>
        </is>
      </c>
      <c r="B68" s="147" t="n">
        <v>59</v>
      </c>
      <c r="C68" s="41">
        <f>INDEX(Ops!$E$60:$BL$60,1,$B68)</f>
        <v/>
      </c>
      <c r="BL68" s="153">
        <f>$C68*INDEX(Curves!$AD$8:$AD$68,BL$4-$B68+1)</f>
        <v/>
      </c>
    </row>
    <row r="69">
      <c r="A69" s="147" t="inlineStr">
        <is>
          <t>Cohort month 60</t>
        </is>
      </c>
      <c r="B69" s="147" t="n">
        <v>60</v>
      </c>
      <c r="C69" s="41">
        <f>INDEX(Ops!$E$60:$BL$60,1,$B69)</f>
        <v/>
      </c>
    </row>
    <row r="70"/>
    <row r="71">
      <c r="A71" s="21" t="inlineStr">
        <is>
          <t>Active accounts by cohort</t>
        </is>
      </c>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c r="AA71" s="22" t="n"/>
      <c r="AB71" s="22" t="n"/>
      <c r="AC71" s="22" t="n"/>
      <c r="AD71" s="22" t="n"/>
      <c r="AE71" s="22" t="n"/>
      <c r="AF71" s="22" t="n"/>
      <c r="AG71" s="22" t="n"/>
      <c r="AH71" s="22" t="n"/>
      <c r="AI71" s="22" t="n"/>
      <c r="AJ71" s="22" t="n"/>
      <c r="AK71" s="22" t="n"/>
      <c r="AL71" s="22" t="n"/>
      <c r="AM71" s="22" t="n"/>
      <c r="AN71" s="22" t="n"/>
      <c r="AO71" s="22" t="n"/>
      <c r="AP71" s="22" t="n"/>
      <c r="AQ71" s="22" t="n"/>
      <c r="AR71" s="22" t="n"/>
      <c r="AS71" s="22" t="n"/>
      <c r="AT71" s="22" t="n"/>
      <c r="AU71" s="22" t="n"/>
      <c r="AV71" s="22" t="n"/>
      <c r="AW71" s="22" t="n"/>
      <c r="AX71" s="22" t="n"/>
      <c r="AY71" s="22" t="n"/>
      <c r="AZ71" s="22" t="n"/>
      <c r="BA71" s="22" t="n"/>
      <c r="BB71" s="22" t="n"/>
      <c r="BC71" s="22" t="n"/>
      <c r="BD71" s="22" t="n"/>
      <c r="BE71" s="22" t="n"/>
      <c r="BF71" s="22" t="n"/>
      <c r="BG71" s="22" t="n"/>
      <c r="BH71" s="22" t="n"/>
      <c r="BI71" s="22" t="n"/>
      <c r="BJ71" s="22" t="n"/>
      <c r="BK71" s="22" t="n"/>
      <c r="BL71" s="22" t="n"/>
    </row>
    <row r="72">
      <c r="A72" s="100" t="inlineStr">
        <is>
          <t>Total</t>
        </is>
      </c>
      <c r="B72" s="101" t="inlineStr"/>
      <c r="C72" s="103" t="n"/>
      <c r="D72" s="103" t="n"/>
      <c r="E72" s="104">
        <f>SUM(E73:E132)</f>
        <v/>
      </c>
      <c r="F72" s="104">
        <f>SUM(F73:F132)</f>
        <v/>
      </c>
      <c r="G72" s="104">
        <f>SUM(G73:G132)</f>
        <v/>
      </c>
      <c r="H72" s="104">
        <f>SUM(H73:H132)</f>
        <v/>
      </c>
      <c r="I72" s="104">
        <f>SUM(I73:I132)</f>
        <v/>
      </c>
      <c r="J72" s="104">
        <f>SUM(J73:J132)</f>
        <v/>
      </c>
      <c r="K72" s="104">
        <f>SUM(K73:K132)</f>
        <v/>
      </c>
      <c r="L72" s="104">
        <f>SUM(L73:L132)</f>
        <v/>
      </c>
      <c r="M72" s="104">
        <f>SUM(M73:M132)</f>
        <v/>
      </c>
      <c r="N72" s="104">
        <f>SUM(N73:N132)</f>
        <v/>
      </c>
      <c r="O72" s="104">
        <f>SUM(O73:O132)</f>
        <v/>
      </c>
      <c r="P72" s="104">
        <f>SUM(P73:P132)</f>
        <v/>
      </c>
      <c r="Q72" s="104">
        <f>SUM(Q73:Q132)</f>
        <v/>
      </c>
      <c r="R72" s="104">
        <f>SUM(R73:R132)</f>
        <v/>
      </c>
      <c r="S72" s="104">
        <f>SUM(S73:S132)</f>
        <v/>
      </c>
      <c r="T72" s="104">
        <f>SUM(T73:T132)</f>
        <v/>
      </c>
      <c r="U72" s="104">
        <f>SUM(U73:U132)</f>
        <v/>
      </c>
      <c r="V72" s="104">
        <f>SUM(V73:V132)</f>
        <v/>
      </c>
      <c r="W72" s="104">
        <f>SUM(W73:W132)</f>
        <v/>
      </c>
      <c r="X72" s="104">
        <f>SUM(X73:X132)</f>
        <v/>
      </c>
      <c r="Y72" s="104">
        <f>SUM(Y73:Y132)</f>
        <v/>
      </c>
      <c r="Z72" s="104">
        <f>SUM(Z73:Z132)</f>
        <v/>
      </c>
      <c r="AA72" s="104">
        <f>SUM(AA73:AA132)</f>
        <v/>
      </c>
      <c r="AB72" s="104">
        <f>SUM(AB73:AB132)</f>
        <v/>
      </c>
      <c r="AC72" s="104">
        <f>SUM(AC73:AC132)</f>
        <v/>
      </c>
      <c r="AD72" s="104">
        <f>SUM(AD73:AD132)</f>
        <v/>
      </c>
      <c r="AE72" s="104">
        <f>SUM(AE73:AE132)</f>
        <v/>
      </c>
      <c r="AF72" s="104">
        <f>SUM(AF73:AF132)</f>
        <v/>
      </c>
      <c r="AG72" s="104">
        <f>SUM(AG73:AG132)</f>
        <v/>
      </c>
      <c r="AH72" s="104">
        <f>SUM(AH73:AH132)</f>
        <v/>
      </c>
      <c r="AI72" s="104">
        <f>SUM(AI73:AI132)</f>
        <v/>
      </c>
      <c r="AJ72" s="104">
        <f>SUM(AJ73:AJ132)</f>
        <v/>
      </c>
      <c r="AK72" s="104">
        <f>SUM(AK73:AK132)</f>
        <v/>
      </c>
      <c r="AL72" s="104">
        <f>SUM(AL73:AL132)</f>
        <v/>
      </c>
      <c r="AM72" s="104">
        <f>SUM(AM73:AM132)</f>
        <v/>
      </c>
      <c r="AN72" s="104">
        <f>SUM(AN73:AN132)</f>
        <v/>
      </c>
      <c r="AO72" s="104">
        <f>SUM(AO73:AO132)</f>
        <v/>
      </c>
      <c r="AP72" s="104">
        <f>SUM(AP73:AP132)</f>
        <v/>
      </c>
      <c r="AQ72" s="104">
        <f>SUM(AQ73:AQ132)</f>
        <v/>
      </c>
      <c r="AR72" s="104">
        <f>SUM(AR73:AR132)</f>
        <v/>
      </c>
      <c r="AS72" s="104">
        <f>SUM(AS73:AS132)</f>
        <v/>
      </c>
      <c r="AT72" s="104">
        <f>SUM(AT73:AT132)</f>
        <v/>
      </c>
      <c r="AU72" s="104">
        <f>SUM(AU73:AU132)</f>
        <v/>
      </c>
      <c r="AV72" s="104">
        <f>SUM(AV73:AV132)</f>
        <v/>
      </c>
      <c r="AW72" s="104">
        <f>SUM(AW73:AW132)</f>
        <v/>
      </c>
      <c r="AX72" s="104">
        <f>SUM(AX73:AX132)</f>
        <v/>
      </c>
      <c r="AY72" s="104">
        <f>SUM(AY73:AY132)</f>
        <v/>
      </c>
      <c r="AZ72" s="104">
        <f>SUM(AZ73:AZ132)</f>
        <v/>
      </c>
      <c r="BA72" s="104">
        <f>SUM(BA73:BA132)</f>
        <v/>
      </c>
      <c r="BB72" s="104">
        <f>SUM(BB73:BB132)</f>
        <v/>
      </c>
      <c r="BC72" s="104">
        <f>SUM(BC73:BC132)</f>
        <v/>
      </c>
      <c r="BD72" s="104">
        <f>SUM(BD73:BD132)</f>
        <v/>
      </c>
      <c r="BE72" s="104">
        <f>SUM(BE73:BE132)</f>
        <v/>
      </c>
      <c r="BF72" s="104">
        <f>SUM(BF73:BF132)</f>
        <v/>
      </c>
      <c r="BG72" s="104">
        <f>SUM(BG73:BG132)</f>
        <v/>
      </c>
      <c r="BH72" s="104">
        <f>SUM(BH73:BH132)</f>
        <v/>
      </c>
      <c r="BI72" s="104">
        <f>SUM(BI73:BI132)</f>
        <v/>
      </c>
      <c r="BJ72" s="104">
        <f>SUM(BJ73:BJ132)</f>
        <v/>
      </c>
      <c r="BK72" s="104">
        <f>SUM(BK73:BK132)</f>
        <v/>
      </c>
      <c r="BL72" s="104">
        <f>SUM(BL73:BL132)</f>
        <v/>
      </c>
    </row>
    <row r="73">
      <c r="A73" s="147" t="inlineStr">
        <is>
          <t>Cohort month 1</t>
        </is>
      </c>
      <c r="B73" s="147" t="n">
        <v>1</v>
      </c>
      <c r="C73" s="41">
        <f>INDEX(Ops!$E$59:$BL$59,1,$B73)</f>
        <v/>
      </c>
      <c r="F73" s="153">
        <f>$C73*INDEX(Curves!$AG$8:$AG$68,F$4-$B73+1)</f>
        <v/>
      </c>
      <c r="G73" s="153">
        <f>$C73*INDEX(Curves!$AG$8:$AG$68,G$4-$B73+1)</f>
        <v/>
      </c>
      <c r="H73" s="153">
        <f>$C73*INDEX(Curves!$AG$8:$AG$68,H$4-$B73+1)</f>
        <v/>
      </c>
      <c r="I73" s="153">
        <f>$C73*INDEX(Curves!$AG$8:$AG$68,I$4-$B73+1)</f>
        <v/>
      </c>
      <c r="J73" s="153">
        <f>$C73*INDEX(Curves!$AG$8:$AG$68,J$4-$B73+1)</f>
        <v/>
      </c>
      <c r="K73" s="153">
        <f>$C73*INDEX(Curves!$AG$8:$AG$68,K$4-$B73+1)</f>
        <v/>
      </c>
      <c r="L73" s="153">
        <f>$C73*INDEX(Curves!$AG$8:$AG$68,L$4-$B73+1)</f>
        <v/>
      </c>
      <c r="M73" s="153">
        <f>$C73*INDEX(Curves!$AG$8:$AG$68,M$4-$B73+1)</f>
        <v/>
      </c>
      <c r="N73" s="153">
        <f>$C73*INDEX(Curves!$AG$8:$AG$68,N$4-$B73+1)</f>
        <v/>
      </c>
      <c r="O73" s="153">
        <f>$C73*INDEX(Curves!$AG$8:$AG$68,O$4-$B73+1)</f>
        <v/>
      </c>
      <c r="P73" s="153">
        <f>$C73*INDEX(Curves!$AG$8:$AG$68,P$4-$B73+1)</f>
        <v/>
      </c>
      <c r="Q73" s="153">
        <f>$C73*INDEX(Curves!$AG$8:$AG$68,Q$4-$B73+1)</f>
        <v/>
      </c>
      <c r="R73" s="153">
        <f>$C73*INDEX(Curves!$AG$8:$AG$68,R$4-$B73+1)</f>
        <v/>
      </c>
      <c r="S73" s="153">
        <f>$C73*INDEX(Curves!$AG$8:$AG$68,S$4-$B73+1)</f>
        <v/>
      </c>
      <c r="T73" s="153">
        <f>$C73*INDEX(Curves!$AG$8:$AG$68,T$4-$B73+1)</f>
        <v/>
      </c>
      <c r="U73" s="153">
        <f>$C73*INDEX(Curves!$AG$8:$AG$68,U$4-$B73+1)</f>
        <v/>
      </c>
      <c r="V73" s="153">
        <f>$C73*INDEX(Curves!$AG$8:$AG$68,V$4-$B73+1)</f>
        <v/>
      </c>
      <c r="W73" s="153">
        <f>$C73*INDEX(Curves!$AG$8:$AG$68,W$4-$B73+1)</f>
        <v/>
      </c>
      <c r="X73" s="153">
        <f>$C73*INDEX(Curves!$AG$8:$AG$68,X$4-$B73+1)</f>
        <v/>
      </c>
      <c r="Y73" s="153">
        <f>$C73*INDEX(Curves!$AG$8:$AG$68,Y$4-$B73+1)</f>
        <v/>
      </c>
      <c r="Z73" s="153">
        <f>$C73*INDEX(Curves!$AG$8:$AG$68,Z$4-$B73+1)</f>
        <v/>
      </c>
      <c r="AA73" s="153">
        <f>$C73*INDEX(Curves!$AG$8:$AG$68,AA$4-$B73+1)</f>
        <v/>
      </c>
      <c r="AB73" s="153">
        <f>$C73*INDEX(Curves!$AG$8:$AG$68,AB$4-$B73+1)</f>
        <v/>
      </c>
      <c r="AC73" s="153">
        <f>$C73*INDEX(Curves!$AG$8:$AG$68,AC$4-$B73+1)</f>
        <v/>
      </c>
      <c r="AD73" s="153">
        <f>$C73*INDEX(Curves!$AG$8:$AG$68,AD$4-$B73+1)</f>
        <v/>
      </c>
      <c r="AE73" s="153">
        <f>$C73*INDEX(Curves!$AG$8:$AG$68,AE$4-$B73+1)</f>
        <v/>
      </c>
      <c r="AF73" s="153">
        <f>$C73*INDEX(Curves!$AG$8:$AG$68,AF$4-$B73+1)</f>
        <v/>
      </c>
      <c r="AG73" s="153">
        <f>$C73*INDEX(Curves!$AG$8:$AG$68,AG$4-$B73+1)</f>
        <v/>
      </c>
      <c r="AH73" s="153">
        <f>$C73*INDEX(Curves!$AG$8:$AG$68,AH$4-$B73+1)</f>
        <v/>
      </c>
      <c r="AI73" s="153">
        <f>$C73*INDEX(Curves!$AG$8:$AG$68,AI$4-$B73+1)</f>
        <v/>
      </c>
      <c r="AJ73" s="153">
        <f>$C73*INDEX(Curves!$AG$8:$AG$68,AJ$4-$B73+1)</f>
        <v/>
      </c>
      <c r="AK73" s="153">
        <f>$C73*INDEX(Curves!$AG$8:$AG$68,AK$4-$B73+1)</f>
        <v/>
      </c>
      <c r="AL73" s="153">
        <f>$C73*INDEX(Curves!$AG$8:$AG$68,AL$4-$B73+1)</f>
        <v/>
      </c>
      <c r="AM73" s="153">
        <f>$C73*INDEX(Curves!$AG$8:$AG$68,AM$4-$B73+1)</f>
        <v/>
      </c>
      <c r="AN73" s="153">
        <f>$C73*INDEX(Curves!$AG$8:$AG$68,AN$4-$B73+1)</f>
        <v/>
      </c>
      <c r="AO73" s="153">
        <f>$C73*INDEX(Curves!$AG$8:$AG$68,AO$4-$B73+1)</f>
        <v/>
      </c>
      <c r="AP73" s="153">
        <f>$C73*INDEX(Curves!$AG$8:$AG$68,AP$4-$B73+1)</f>
        <v/>
      </c>
      <c r="AQ73" s="153">
        <f>$C73*INDEX(Curves!$AG$8:$AG$68,AQ$4-$B73+1)</f>
        <v/>
      </c>
      <c r="AR73" s="153">
        <f>$C73*INDEX(Curves!$AG$8:$AG$68,AR$4-$B73+1)</f>
        <v/>
      </c>
      <c r="AS73" s="153">
        <f>$C73*INDEX(Curves!$AG$8:$AG$68,AS$4-$B73+1)</f>
        <v/>
      </c>
      <c r="AT73" s="153">
        <f>$C73*INDEX(Curves!$AG$8:$AG$68,AT$4-$B73+1)</f>
        <v/>
      </c>
      <c r="AU73" s="153">
        <f>$C73*INDEX(Curves!$AG$8:$AG$68,AU$4-$B73+1)</f>
        <v/>
      </c>
      <c r="AV73" s="153">
        <f>$C73*INDEX(Curves!$AG$8:$AG$68,AV$4-$B73+1)</f>
        <v/>
      </c>
      <c r="AW73" s="153">
        <f>$C73*INDEX(Curves!$AG$8:$AG$68,AW$4-$B73+1)</f>
        <v/>
      </c>
      <c r="AX73" s="153">
        <f>$C73*INDEX(Curves!$AG$8:$AG$68,AX$4-$B73+1)</f>
        <v/>
      </c>
      <c r="AY73" s="153">
        <f>$C73*INDEX(Curves!$AG$8:$AG$68,AY$4-$B73+1)</f>
        <v/>
      </c>
      <c r="AZ73" s="153">
        <f>$C73*INDEX(Curves!$AG$8:$AG$68,AZ$4-$B73+1)</f>
        <v/>
      </c>
      <c r="BA73" s="153">
        <f>$C73*INDEX(Curves!$AG$8:$AG$68,BA$4-$B73+1)</f>
        <v/>
      </c>
      <c r="BB73" s="153">
        <f>$C73*INDEX(Curves!$AG$8:$AG$68,BB$4-$B73+1)</f>
        <v/>
      </c>
      <c r="BC73" s="153">
        <f>$C73*INDEX(Curves!$AG$8:$AG$68,BC$4-$B73+1)</f>
        <v/>
      </c>
      <c r="BD73" s="153">
        <f>$C73*INDEX(Curves!$AG$8:$AG$68,BD$4-$B73+1)</f>
        <v/>
      </c>
      <c r="BE73" s="153">
        <f>$C73*INDEX(Curves!$AG$8:$AG$68,BE$4-$B73+1)</f>
        <v/>
      </c>
      <c r="BF73" s="153">
        <f>$C73*INDEX(Curves!$AG$8:$AG$68,BF$4-$B73+1)</f>
        <v/>
      </c>
      <c r="BG73" s="153">
        <f>$C73*INDEX(Curves!$AG$8:$AG$68,BG$4-$B73+1)</f>
        <v/>
      </c>
      <c r="BH73" s="153">
        <f>$C73*INDEX(Curves!$AG$8:$AG$68,BH$4-$B73+1)</f>
        <v/>
      </c>
      <c r="BI73" s="153">
        <f>$C73*INDEX(Curves!$AG$8:$AG$68,BI$4-$B73+1)</f>
        <v/>
      </c>
      <c r="BJ73" s="153">
        <f>$C73*INDEX(Curves!$AG$8:$AG$68,BJ$4-$B73+1)</f>
        <v/>
      </c>
      <c r="BK73" s="153">
        <f>$C73*INDEX(Curves!$AG$8:$AG$68,BK$4-$B73+1)</f>
        <v/>
      </c>
      <c r="BL73" s="153">
        <f>$C73*INDEX(Curves!$AG$8:$AG$68,BL$4-$B73+1)</f>
        <v/>
      </c>
    </row>
    <row r="74">
      <c r="A74" s="147" t="inlineStr">
        <is>
          <t>Cohort month 2</t>
        </is>
      </c>
      <c r="B74" s="147" t="n">
        <v>2</v>
      </c>
      <c r="C74" s="41">
        <f>INDEX(Ops!$E$59:$BL$59,1,$B74)</f>
        <v/>
      </c>
      <c r="G74" s="153">
        <f>$C74*INDEX(Curves!$AG$8:$AG$68,G$4-$B74+1)</f>
        <v/>
      </c>
      <c r="H74" s="153">
        <f>$C74*INDEX(Curves!$AG$8:$AG$68,H$4-$B74+1)</f>
        <v/>
      </c>
      <c r="I74" s="153">
        <f>$C74*INDEX(Curves!$AG$8:$AG$68,I$4-$B74+1)</f>
        <v/>
      </c>
      <c r="J74" s="153">
        <f>$C74*INDEX(Curves!$AG$8:$AG$68,J$4-$B74+1)</f>
        <v/>
      </c>
      <c r="K74" s="153">
        <f>$C74*INDEX(Curves!$AG$8:$AG$68,K$4-$B74+1)</f>
        <v/>
      </c>
      <c r="L74" s="153">
        <f>$C74*INDEX(Curves!$AG$8:$AG$68,L$4-$B74+1)</f>
        <v/>
      </c>
      <c r="M74" s="153">
        <f>$C74*INDEX(Curves!$AG$8:$AG$68,M$4-$B74+1)</f>
        <v/>
      </c>
      <c r="N74" s="153">
        <f>$C74*INDEX(Curves!$AG$8:$AG$68,N$4-$B74+1)</f>
        <v/>
      </c>
      <c r="O74" s="153">
        <f>$C74*INDEX(Curves!$AG$8:$AG$68,O$4-$B74+1)</f>
        <v/>
      </c>
      <c r="P74" s="153">
        <f>$C74*INDEX(Curves!$AG$8:$AG$68,P$4-$B74+1)</f>
        <v/>
      </c>
      <c r="Q74" s="153">
        <f>$C74*INDEX(Curves!$AG$8:$AG$68,Q$4-$B74+1)</f>
        <v/>
      </c>
      <c r="R74" s="153">
        <f>$C74*INDEX(Curves!$AG$8:$AG$68,R$4-$B74+1)</f>
        <v/>
      </c>
      <c r="S74" s="153">
        <f>$C74*INDEX(Curves!$AG$8:$AG$68,S$4-$B74+1)</f>
        <v/>
      </c>
      <c r="T74" s="153">
        <f>$C74*INDEX(Curves!$AG$8:$AG$68,T$4-$B74+1)</f>
        <v/>
      </c>
      <c r="U74" s="153">
        <f>$C74*INDEX(Curves!$AG$8:$AG$68,U$4-$B74+1)</f>
        <v/>
      </c>
      <c r="V74" s="153">
        <f>$C74*INDEX(Curves!$AG$8:$AG$68,V$4-$B74+1)</f>
        <v/>
      </c>
      <c r="W74" s="153">
        <f>$C74*INDEX(Curves!$AG$8:$AG$68,W$4-$B74+1)</f>
        <v/>
      </c>
      <c r="X74" s="153">
        <f>$C74*INDEX(Curves!$AG$8:$AG$68,X$4-$B74+1)</f>
        <v/>
      </c>
      <c r="Y74" s="153">
        <f>$C74*INDEX(Curves!$AG$8:$AG$68,Y$4-$B74+1)</f>
        <v/>
      </c>
      <c r="Z74" s="153">
        <f>$C74*INDEX(Curves!$AG$8:$AG$68,Z$4-$B74+1)</f>
        <v/>
      </c>
      <c r="AA74" s="153">
        <f>$C74*INDEX(Curves!$AG$8:$AG$68,AA$4-$B74+1)</f>
        <v/>
      </c>
      <c r="AB74" s="153">
        <f>$C74*INDEX(Curves!$AG$8:$AG$68,AB$4-$B74+1)</f>
        <v/>
      </c>
      <c r="AC74" s="153">
        <f>$C74*INDEX(Curves!$AG$8:$AG$68,AC$4-$B74+1)</f>
        <v/>
      </c>
      <c r="AD74" s="153">
        <f>$C74*INDEX(Curves!$AG$8:$AG$68,AD$4-$B74+1)</f>
        <v/>
      </c>
      <c r="AE74" s="153">
        <f>$C74*INDEX(Curves!$AG$8:$AG$68,AE$4-$B74+1)</f>
        <v/>
      </c>
      <c r="AF74" s="153">
        <f>$C74*INDEX(Curves!$AG$8:$AG$68,AF$4-$B74+1)</f>
        <v/>
      </c>
      <c r="AG74" s="153">
        <f>$C74*INDEX(Curves!$AG$8:$AG$68,AG$4-$B74+1)</f>
        <v/>
      </c>
      <c r="AH74" s="153">
        <f>$C74*INDEX(Curves!$AG$8:$AG$68,AH$4-$B74+1)</f>
        <v/>
      </c>
      <c r="AI74" s="153">
        <f>$C74*INDEX(Curves!$AG$8:$AG$68,AI$4-$B74+1)</f>
        <v/>
      </c>
      <c r="AJ74" s="153">
        <f>$C74*INDEX(Curves!$AG$8:$AG$68,AJ$4-$B74+1)</f>
        <v/>
      </c>
      <c r="AK74" s="153">
        <f>$C74*INDEX(Curves!$AG$8:$AG$68,AK$4-$B74+1)</f>
        <v/>
      </c>
      <c r="AL74" s="153">
        <f>$C74*INDEX(Curves!$AG$8:$AG$68,AL$4-$B74+1)</f>
        <v/>
      </c>
      <c r="AM74" s="153">
        <f>$C74*INDEX(Curves!$AG$8:$AG$68,AM$4-$B74+1)</f>
        <v/>
      </c>
      <c r="AN74" s="153">
        <f>$C74*INDEX(Curves!$AG$8:$AG$68,AN$4-$B74+1)</f>
        <v/>
      </c>
      <c r="AO74" s="153">
        <f>$C74*INDEX(Curves!$AG$8:$AG$68,AO$4-$B74+1)</f>
        <v/>
      </c>
      <c r="AP74" s="153">
        <f>$C74*INDEX(Curves!$AG$8:$AG$68,AP$4-$B74+1)</f>
        <v/>
      </c>
      <c r="AQ74" s="153">
        <f>$C74*INDEX(Curves!$AG$8:$AG$68,AQ$4-$B74+1)</f>
        <v/>
      </c>
      <c r="AR74" s="153">
        <f>$C74*INDEX(Curves!$AG$8:$AG$68,AR$4-$B74+1)</f>
        <v/>
      </c>
      <c r="AS74" s="153">
        <f>$C74*INDEX(Curves!$AG$8:$AG$68,AS$4-$B74+1)</f>
        <v/>
      </c>
      <c r="AT74" s="153">
        <f>$C74*INDEX(Curves!$AG$8:$AG$68,AT$4-$B74+1)</f>
        <v/>
      </c>
      <c r="AU74" s="153">
        <f>$C74*INDEX(Curves!$AG$8:$AG$68,AU$4-$B74+1)</f>
        <v/>
      </c>
      <c r="AV74" s="153">
        <f>$C74*INDEX(Curves!$AG$8:$AG$68,AV$4-$B74+1)</f>
        <v/>
      </c>
      <c r="AW74" s="153">
        <f>$C74*INDEX(Curves!$AG$8:$AG$68,AW$4-$B74+1)</f>
        <v/>
      </c>
      <c r="AX74" s="153">
        <f>$C74*INDEX(Curves!$AG$8:$AG$68,AX$4-$B74+1)</f>
        <v/>
      </c>
      <c r="AY74" s="153">
        <f>$C74*INDEX(Curves!$AG$8:$AG$68,AY$4-$B74+1)</f>
        <v/>
      </c>
      <c r="AZ74" s="153">
        <f>$C74*INDEX(Curves!$AG$8:$AG$68,AZ$4-$B74+1)</f>
        <v/>
      </c>
      <c r="BA74" s="153">
        <f>$C74*INDEX(Curves!$AG$8:$AG$68,BA$4-$B74+1)</f>
        <v/>
      </c>
      <c r="BB74" s="153">
        <f>$C74*INDEX(Curves!$AG$8:$AG$68,BB$4-$B74+1)</f>
        <v/>
      </c>
      <c r="BC74" s="153">
        <f>$C74*INDEX(Curves!$AG$8:$AG$68,BC$4-$B74+1)</f>
        <v/>
      </c>
      <c r="BD74" s="153">
        <f>$C74*INDEX(Curves!$AG$8:$AG$68,BD$4-$B74+1)</f>
        <v/>
      </c>
      <c r="BE74" s="153">
        <f>$C74*INDEX(Curves!$AG$8:$AG$68,BE$4-$B74+1)</f>
        <v/>
      </c>
      <c r="BF74" s="153">
        <f>$C74*INDEX(Curves!$AG$8:$AG$68,BF$4-$B74+1)</f>
        <v/>
      </c>
      <c r="BG74" s="153">
        <f>$C74*INDEX(Curves!$AG$8:$AG$68,BG$4-$B74+1)</f>
        <v/>
      </c>
      <c r="BH74" s="153">
        <f>$C74*INDEX(Curves!$AG$8:$AG$68,BH$4-$B74+1)</f>
        <v/>
      </c>
      <c r="BI74" s="153">
        <f>$C74*INDEX(Curves!$AG$8:$AG$68,BI$4-$B74+1)</f>
        <v/>
      </c>
      <c r="BJ74" s="153">
        <f>$C74*INDEX(Curves!$AG$8:$AG$68,BJ$4-$B74+1)</f>
        <v/>
      </c>
      <c r="BK74" s="153">
        <f>$C74*INDEX(Curves!$AG$8:$AG$68,BK$4-$B74+1)</f>
        <v/>
      </c>
      <c r="BL74" s="153">
        <f>$C74*INDEX(Curves!$AG$8:$AG$68,BL$4-$B74+1)</f>
        <v/>
      </c>
    </row>
    <row r="75">
      <c r="A75" s="147" t="inlineStr">
        <is>
          <t>Cohort month 3</t>
        </is>
      </c>
      <c r="B75" s="147" t="n">
        <v>3</v>
      </c>
      <c r="C75" s="41">
        <f>INDEX(Ops!$E$59:$BL$59,1,$B75)</f>
        <v/>
      </c>
      <c r="H75" s="153">
        <f>$C75*INDEX(Curves!$AG$8:$AG$68,H$4-$B75+1)</f>
        <v/>
      </c>
      <c r="I75" s="153">
        <f>$C75*INDEX(Curves!$AG$8:$AG$68,I$4-$B75+1)</f>
        <v/>
      </c>
      <c r="J75" s="153">
        <f>$C75*INDEX(Curves!$AG$8:$AG$68,J$4-$B75+1)</f>
        <v/>
      </c>
      <c r="K75" s="153">
        <f>$C75*INDEX(Curves!$AG$8:$AG$68,K$4-$B75+1)</f>
        <v/>
      </c>
      <c r="L75" s="153">
        <f>$C75*INDEX(Curves!$AG$8:$AG$68,L$4-$B75+1)</f>
        <v/>
      </c>
      <c r="M75" s="153">
        <f>$C75*INDEX(Curves!$AG$8:$AG$68,M$4-$B75+1)</f>
        <v/>
      </c>
      <c r="N75" s="153">
        <f>$C75*INDEX(Curves!$AG$8:$AG$68,N$4-$B75+1)</f>
        <v/>
      </c>
      <c r="O75" s="153">
        <f>$C75*INDEX(Curves!$AG$8:$AG$68,O$4-$B75+1)</f>
        <v/>
      </c>
      <c r="P75" s="153">
        <f>$C75*INDEX(Curves!$AG$8:$AG$68,P$4-$B75+1)</f>
        <v/>
      </c>
      <c r="Q75" s="153">
        <f>$C75*INDEX(Curves!$AG$8:$AG$68,Q$4-$B75+1)</f>
        <v/>
      </c>
      <c r="R75" s="153">
        <f>$C75*INDEX(Curves!$AG$8:$AG$68,R$4-$B75+1)</f>
        <v/>
      </c>
      <c r="S75" s="153">
        <f>$C75*INDEX(Curves!$AG$8:$AG$68,S$4-$B75+1)</f>
        <v/>
      </c>
      <c r="T75" s="153">
        <f>$C75*INDEX(Curves!$AG$8:$AG$68,T$4-$B75+1)</f>
        <v/>
      </c>
      <c r="U75" s="153">
        <f>$C75*INDEX(Curves!$AG$8:$AG$68,U$4-$B75+1)</f>
        <v/>
      </c>
      <c r="V75" s="153">
        <f>$C75*INDEX(Curves!$AG$8:$AG$68,V$4-$B75+1)</f>
        <v/>
      </c>
      <c r="W75" s="153">
        <f>$C75*INDEX(Curves!$AG$8:$AG$68,W$4-$B75+1)</f>
        <v/>
      </c>
      <c r="X75" s="153">
        <f>$C75*INDEX(Curves!$AG$8:$AG$68,X$4-$B75+1)</f>
        <v/>
      </c>
      <c r="Y75" s="153">
        <f>$C75*INDEX(Curves!$AG$8:$AG$68,Y$4-$B75+1)</f>
        <v/>
      </c>
      <c r="Z75" s="153">
        <f>$C75*INDEX(Curves!$AG$8:$AG$68,Z$4-$B75+1)</f>
        <v/>
      </c>
      <c r="AA75" s="153">
        <f>$C75*INDEX(Curves!$AG$8:$AG$68,AA$4-$B75+1)</f>
        <v/>
      </c>
      <c r="AB75" s="153">
        <f>$C75*INDEX(Curves!$AG$8:$AG$68,AB$4-$B75+1)</f>
        <v/>
      </c>
      <c r="AC75" s="153">
        <f>$C75*INDEX(Curves!$AG$8:$AG$68,AC$4-$B75+1)</f>
        <v/>
      </c>
      <c r="AD75" s="153">
        <f>$C75*INDEX(Curves!$AG$8:$AG$68,AD$4-$B75+1)</f>
        <v/>
      </c>
      <c r="AE75" s="153">
        <f>$C75*INDEX(Curves!$AG$8:$AG$68,AE$4-$B75+1)</f>
        <v/>
      </c>
      <c r="AF75" s="153">
        <f>$C75*INDEX(Curves!$AG$8:$AG$68,AF$4-$B75+1)</f>
        <v/>
      </c>
      <c r="AG75" s="153">
        <f>$C75*INDEX(Curves!$AG$8:$AG$68,AG$4-$B75+1)</f>
        <v/>
      </c>
      <c r="AH75" s="153">
        <f>$C75*INDEX(Curves!$AG$8:$AG$68,AH$4-$B75+1)</f>
        <v/>
      </c>
      <c r="AI75" s="153">
        <f>$C75*INDEX(Curves!$AG$8:$AG$68,AI$4-$B75+1)</f>
        <v/>
      </c>
      <c r="AJ75" s="153">
        <f>$C75*INDEX(Curves!$AG$8:$AG$68,AJ$4-$B75+1)</f>
        <v/>
      </c>
      <c r="AK75" s="153">
        <f>$C75*INDEX(Curves!$AG$8:$AG$68,AK$4-$B75+1)</f>
        <v/>
      </c>
      <c r="AL75" s="153">
        <f>$C75*INDEX(Curves!$AG$8:$AG$68,AL$4-$B75+1)</f>
        <v/>
      </c>
      <c r="AM75" s="153">
        <f>$C75*INDEX(Curves!$AG$8:$AG$68,AM$4-$B75+1)</f>
        <v/>
      </c>
      <c r="AN75" s="153">
        <f>$C75*INDEX(Curves!$AG$8:$AG$68,AN$4-$B75+1)</f>
        <v/>
      </c>
      <c r="AO75" s="153">
        <f>$C75*INDEX(Curves!$AG$8:$AG$68,AO$4-$B75+1)</f>
        <v/>
      </c>
      <c r="AP75" s="153">
        <f>$C75*INDEX(Curves!$AG$8:$AG$68,AP$4-$B75+1)</f>
        <v/>
      </c>
      <c r="AQ75" s="153">
        <f>$C75*INDEX(Curves!$AG$8:$AG$68,AQ$4-$B75+1)</f>
        <v/>
      </c>
      <c r="AR75" s="153">
        <f>$C75*INDEX(Curves!$AG$8:$AG$68,AR$4-$B75+1)</f>
        <v/>
      </c>
      <c r="AS75" s="153">
        <f>$C75*INDEX(Curves!$AG$8:$AG$68,AS$4-$B75+1)</f>
        <v/>
      </c>
      <c r="AT75" s="153">
        <f>$C75*INDEX(Curves!$AG$8:$AG$68,AT$4-$B75+1)</f>
        <v/>
      </c>
      <c r="AU75" s="153">
        <f>$C75*INDEX(Curves!$AG$8:$AG$68,AU$4-$B75+1)</f>
        <v/>
      </c>
      <c r="AV75" s="153">
        <f>$C75*INDEX(Curves!$AG$8:$AG$68,AV$4-$B75+1)</f>
        <v/>
      </c>
      <c r="AW75" s="153">
        <f>$C75*INDEX(Curves!$AG$8:$AG$68,AW$4-$B75+1)</f>
        <v/>
      </c>
      <c r="AX75" s="153">
        <f>$C75*INDEX(Curves!$AG$8:$AG$68,AX$4-$B75+1)</f>
        <v/>
      </c>
      <c r="AY75" s="153">
        <f>$C75*INDEX(Curves!$AG$8:$AG$68,AY$4-$B75+1)</f>
        <v/>
      </c>
      <c r="AZ75" s="153">
        <f>$C75*INDEX(Curves!$AG$8:$AG$68,AZ$4-$B75+1)</f>
        <v/>
      </c>
      <c r="BA75" s="153">
        <f>$C75*INDEX(Curves!$AG$8:$AG$68,BA$4-$B75+1)</f>
        <v/>
      </c>
      <c r="BB75" s="153">
        <f>$C75*INDEX(Curves!$AG$8:$AG$68,BB$4-$B75+1)</f>
        <v/>
      </c>
      <c r="BC75" s="153">
        <f>$C75*INDEX(Curves!$AG$8:$AG$68,BC$4-$B75+1)</f>
        <v/>
      </c>
      <c r="BD75" s="153">
        <f>$C75*INDEX(Curves!$AG$8:$AG$68,BD$4-$B75+1)</f>
        <v/>
      </c>
      <c r="BE75" s="153">
        <f>$C75*INDEX(Curves!$AG$8:$AG$68,BE$4-$B75+1)</f>
        <v/>
      </c>
      <c r="BF75" s="153">
        <f>$C75*INDEX(Curves!$AG$8:$AG$68,BF$4-$B75+1)</f>
        <v/>
      </c>
      <c r="BG75" s="153">
        <f>$C75*INDEX(Curves!$AG$8:$AG$68,BG$4-$B75+1)</f>
        <v/>
      </c>
      <c r="BH75" s="153">
        <f>$C75*INDEX(Curves!$AG$8:$AG$68,BH$4-$B75+1)</f>
        <v/>
      </c>
      <c r="BI75" s="153">
        <f>$C75*INDEX(Curves!$AG$8:$AG$68,BI$4-$B75+1)</f>
        <v/>
      </c>
      <c r="BJ75" s="153">
        <f>$C75*INDEX(Curves!$AG$8:$AG$68,BJ$4-$B75+1)</f>
        <v/>
      </c>
      <c r="BK75" s="153">
        <f>$C75*INDEX(Curves!$AG$8:$AG$68,BK$4-$B75+1)</f>
        <v/>
      </c>
      <c r="BL75" s="153">
        <f>$C75*INDEX(Curves!$AG$8:$AG$68,BL$4-$B75+1)</f>
        <v/>
      </c>
    </row>
    <row r="76">
      <c r="A76" s="147" t="inlineStr">
        <is>
          <t>Cohort month 4</t>
        </is>
      </c>
      <c r="B76" s="147" t="n">
        <v>4</v>
      </c>
      <c r="C76" s="41">
        <f>INDEX(Ops!$E$59:$BL$59,1,$B76)</f>
        <v/>
      </c>
      <c r="I76" s="153">
        <f>$C76*INDEX(Curves!$AG$8:$AG$68,I$4-$B76+1)</f>
        <v/>
      </c>
      <c r="J76" s="153">
        <f>$C76*INDEX(Curves!$AG$8:$AG$68,J$4-$B76+1)</f>
        <v/>
      </c>
      <c r="K76" s="153">
        <f>$C76*INDEX(Curves!$AG$8:$AG$68,K$4-$B76+1)</f>
        <v/>
      </c>
      <c r="L76" s="153">
        <f>$C76*INDEX(Curves!$AG$8:$AG$68,L$4-$B76+1)</f>
        <v/>
      </c>
      <c r="M76" s="153">
        <f>$C76*INDEX(Curves!$AG$8:$AG$68,M$4-$B76+1)</f>
        <v/>
      </c>
      <c r="N76" s="153">
        <f>$C76*INDEX(Curves!$AG$8:$AG$68,N$4-$B76+1)</f>
        <v/>
      </c>
      <c r="O76" s="153">
        <f>$C76*INDEX(Curves!$AG$8:$AG$68,O$4-$B76+1)</f>
        <v/>
      </c>
      <c r="P76" s="153">
        <f>$C76*INDEX(Curves!$AG$8:$AG$68,P$4-$B76+1)</f>
        <v/>
      </c>
      <c r="Q76" s="153">
        <f>$C76*INDEX(Curves!$AG$8:$AG$68,Q$4-$B76+1)</f>
        <v/>
      </c>
      <c r="R76" s="153">
        <f>$C76*INDEX(Curves!$AG$8:$AG$68,R$4-$B76+1)</f>
        <v/>
      </c>
      <c r="S76" s="153">
        <f>$C76*INDEX(Curves!$AG$8:$AG$68,S$4-$B76+1)</f>
        <v/>
      </c>
      <c r="T76" s="153">
        <f>$C76*INDEX(Curves!$AG$8:$AG$68,T$4-$B76+1)</f>
        <v/>
      </c>
      <c r="U76" s="153">
        <f>$C76*INDEX(Curves!$AG$8:$AG$68,U$4-$B76+1)</f>
        <v/>
      </c>
      <c r="V76" s="153">
        <f>$C76*INDEX(Curves!$AG$8:$AG$68,V$4-$B76+1)</f>
        <v/>
      </c>
      <c r="W76" s="153">
        <f>$C76*INDEX(Curves!$AG$8:$AG$68,W$4-$B76+1)</f>
        <v/>
      </c>
      <c r="X76" s="153">
        <f>$C76*INDEX(Curves!$AG$8:$AG$68,X$4-$B76+1)</f>
        <v/>
      </c>
      <c r="Y76" s="153">
        <f>$C76*INDEX(Curves!$AG$8:$AG$68,Y$4-$B76+1)</f>
        <v/>
      </c>
      <c r="Z76" s="153">
        <f>$C76*INDEX(Curves!$AG$8:$AG$68,Z$4-$B76+1)</f>
        <v/>
      </c>
      <c r="AA76" s="153">
        <f>$C76*INDEX(Curves!$AG$8:$AG$68,AA$4-$B76+1)</f>
        <v/>
      </c>
      <c r="AB76" s="153">
        <f>$C76*INDEX(Curves!$AG$8:$AG$68,AB$4-$B76+1)</f>
        <v/>
      </c>
      <c r="AC76" s="153">
        <f>$C76*INDEX(Curves!$AG$8:$AG$68,AC$4-$B76+1)</f>
        <v/>
      </c>
      <c r="AD76" s="153">
        <f>$C76*INDEX(Curves!$AG$8:$AG$68,AD$4-$B76+1)</f>
        <v/>
      </c>
      <c r="AE76" s="153">
        <f>$C76*INDEX(Curves!$AG$8:$AG$68,AE$4-$B76+1)</f>
        <v/>
      </c>
      <c r="AF76" s="153">
        <f>$C76*INDEX(Curves!$AG$8:$AG$68,AF$4-$B76+1)</f>
        <v/>
      </c>
      <c r="AG76" s="153">
        <f>$C76*INDEX(Curves!$AG$8:$AG$68,AG$4-$B76+1)</f>
        <v/>
      </c>
      <c r="AH76" s="153">
        <f>$C76*INDEX(Curves!$AG$8:$AG$68,AH$4-$B76+1)</f>
        <v/>
      </c>
      <c r="AI76" s="153">
        <f>$C76*INDEX(Curves!$AG$8:$AG$68,AI$4-$B76+1)</f>
        <v/>
      </c>
      <c r="AJ76" s="153">
        <f>$C76*INDEX(Curves!$AG$8:$AG$68,AJ$4-$B76+1)</f>
        <v/>
      </c>
      <c r="AK76" s="153">
        <f>$C76*INDEX(Curves!$AG$8:$AG$68,AK$4-$B76+1)</f>
        <v/>
      </c>
      <c r="AL76" s="153">
        <f>$C76*INDEX(Curves!$AG$8:$AG$68,AL$4-$B76+1)</f>
        <v/>
      </c>
      <c r="AM76" s="153">
        <f>$C76*INDEX(Curves!$AG$8:$AG$68,AM$4-$B76+1)</f>
        <v/>
      </c>
      <c r="AN76" s="153">
        <f>$C76*INDEX(Curves!$AG$8:$AG$68,AN$4-$B76+1)</f>
        <v/>
      </c>
      <c r="AO76" s="153">
        <f>$C76*INDEX(Curves!$AG$8:$AG$68,AO$4-$B76+1)</f>
        <v/>
      </c>
      <c r="AP76" s="153">
        <f>$C76*INDEX(Curves!$AG$8:$AG$68,AP$4-$B76+1)</f>
        <v/>
      </c>
      <c r="AQ76" s="153">
        <f>$C76*INDEX(Curves!$AG$8:$AG$68,AQ$4-$B76+1)</f>
        <v/>
      </c>
      <c r="AR76" s="153">
        <f>$C76*INDEX(Curves!$AG$8:$AG$68,AR$4-$B76+1)</f>
        <v/>
      </c>
      <c r="AS76" s="153">
        <f>$C76*INDEX(Curves!$AG$8:$AG$68,AS$4-$B76+1)</f>
        <v/>
      </c>
      <c r="AT76" s="153">
        <f>$C76*INDEX(Curves!$AG$8:$AG$68,AT$4-$B76+1)</f>
        <v/>
      </c>
      <c r="AU76" s="153">
        <f>$C76*INDEX(Curves!$AG$8:$AG$68,AU$4-$B76+1)</f>
        <v/>
      </c>
      <c r="AV76" s="153">
        <f>$C76*INDEX(Curves!$AG$8:$AG$68,AV$4-$B76+1)</f>
        <v/>
      </c>
      <c r="AW76" s="153">
        <f>$C76*INDEX(Curves!$AG$8:$AG$68,AW$4-$B76+1)</f>
        <v/>
      </c>
      <c r="AX76" s="153">
        <f>$C76*INDEX(Curves!$AG$8:$AG$68,AX$4-$B76+1)</f>
        <v/>
      </c>
      <c r="AY76" s="153">
        <f>$C76*INDEX(Curves!$AG$8:$AG$68,AY$4-$B76+1)</f>
        <v/>
      </c>
      <c r="AZ76" s="153">
        <f>$C76*INDEX(Curves!$AG$8:$AG$68,AZ$4-$B76+1)</f>
        <v/>
      </c>
      <c r="BA76" s="153">
        <f>$C76*INDEX(Curves!$AG$8:$AG$68,BA$4-$B76+1)</f>
        <v/>
      </c>
      <c r="BB76" s="153">
        <f>$C76*INDEX(Curves!$AG$8:$AG$68,BB$4-$B76+1)</f>
        <v/>
      </c>
      <c r="BC76" s="153">
        <f>$C76*INDEX(Curves!$AG$8:$AG$68,BC$4-$B76+1)</f>
        <v/>
      </c>
      <c r="BD76" s="153">
        <f>$C76*INDEX(Curves!$AG$8:$AG$68,BD$4-$B76+1)</f>
        <v/>
      </c>
      <c r="BE76" s="153">
        <f>$C76*INDEX(Curves!$AG$8:$AG$68,BE$4-$B76+1)</f>
        <v/>
      </c>
      <c r="BF76" s="153">
        <f>$C76*INDEX(Curves!$AG$8:$AG$68,BF$4-$B76+1)</f>
        <v/>
      </c>
      <c r="BG76" s="153">
        <f>$C76*INDEX(Curves!$AG$8:$AG$68,BG$4-$B76+1)</f>
        <v/>
      </c>
      <c r="BH76" s="153">
        <f>$C76*INDEX(Curves!$AG$8:$AG$68,BH$4-$B76+1)</f>
        <v/>
      </c>
      <c r="BI76" s="153">
        <f>$C76*INDEX(Curves!$AG$8:$AG$68,BI$4-$B76+1)</f>
        <v/>
      </c>
      <c r="BJ76" s="153">
        <f>$C76*INDEX(Curves!$AG$8:$AG$68,BJ$4-$B76+1)</f>
        <v/>
      </c>
      <c r="BK76" s="153">
        <f>$C76*INDEX(Curves!$AG$8:$AG$68,BK$4-$B76+1)</f>
        <v/>
      </c>
      <c r="BL76" s="153">
        <f>$C76*INDEX(Curves!$AG$8:$AG$68,BL$4-$B76+1)</f>
        <v/>
      </c>
    </row>
    <row r="77">
      <c r="A77" s="147" t="inlineStr">
        <is>
          <t>Cohort month 5</t>
        </is>
      </c>
      <c r="B77" s="147" t="n">
        <v>5</v>
      </c>
      <c r="C77" s="41">
        <f>INDEX(Ops!$E$59:$BL$59,1,$B77)</f>
        <v/>
      </c>
      <c r="J77" s="153">
        <f>$C77*INDEX(Curves!$AG$8:$AG$68,J$4-$B77+1)</f>
        <v/>
      </c>
      <c r="K77" s="153">
        <f>$C77*INDEX(Curves!$AG$8:$AG$68,K$4-$B77+1)</f>
        <v/>
      </c>
      <c r="L77" s="153">
        <f>$C77*INDEX(Curves!$AG$8:$AG$68,L$4-$B77+1)</f>
        <v/>
      </c>
      <c r="M77" s="153">
        <f>$C77*INDEX(Curves!$AG$8:$AG$68,M$4-$B77+1)</f>
        <v/>
      </c>
      <c r="N77" s="153">
        <f>$C77*INDEX(Curves!$AG$8:$AG$68,N$4-$B77+1)</f>
        <v/>
      </c>
      <c r="O77" s="153">
        <f>$C77*INDEX(Curves!$AG$8:$AG$68,O$4-$B77+1)</f>
        <v/>
      </c>
      <c r="P77" s="153">
        <f>$C77*INDEX(Curves!$AG$8:$AG$68,P$4-$B77+1)</f>
        <v/>
      </c>
      <c r="Q77" s="153">
        <f>$C77*INDEX(Curves!$AG$8:$AG$68,Q$4-$B77+1)</f>
        <v/>
      </c>
      <c r="R77" s="153">
        <f>$C77*INDEX(Curves!$AG$8:$AG$68,R$4-$B77+1)</f>
        <v/>
      </c>
      <c r="S77" s="153">
        <f>$C77*INDEX(Curves!$AG$8:$AG$68,S$4-$B77+1)</f>
        <v/>
      </c>
      <c r="T77" s="153">
        <f>$C77*INDEX(Curves!$AG$8:$AG$68,T$4-$B77+1)</f>
        <v/>
      </c>
      <c r="U77" s="153">
        <f>$C77*INDEX(Curves!$AG$8:$AG$68,U$4-$B77+1)</f>
        <v/>
      </c>
      <c r="V77" s="153">
        <f>$C77*INDEX(Curves!$AG$8:$AG$68,V$4-$B77+1)</f>
        <v/>
      </c>
      <c r="W77" s="153">
        <f>$C77*INDEX(Curves!$AG$8:$AG$68,W$4-$B77+1)</f>
        <v/>
      </c>
      <c r="X77" s="153">
        <f>$C77*INDEX(Curves!$AG$8:$AG$68,X$4-$B77+1)</f>
        <v/>
      </c>
      <c r="Y77" s="153">
        <f>$C77*INDEX(Curves!$AG$8:$AG$68,Y$4-$B77+1)</f>
        <v/>
      </c>
      <c r="Z77" s="153">
        <f>$C77*INDEX(Curves!$AG$8:$AG$68,Z$4-$B77+1)</f>
        <v/>
      </c>
      <c r="AA77" s="153">
        <f>$C77*INDEX(Curves!$AG$8:$AG$68,AA$4-$B77+1)</f>
        <v/>
      </c>
      <c r="AB77" s="153">
        <f>$C77*INDEX(Curves!$AG$8:$AG$68,AB$4-$B77+1)</f>
        <v/>
      </c>
      <c r="AC77" s="153">
        <f>$C77*INDEX(Curves!$AG$8:$AG$68,AC$4-$B77+1)</f>
        <v/>
      </c>
      <c r="AD77" s="153">
        <f>$C77*INDEX(Curves!$AG$8:$AG$68,AD$4-$B77+1)</f>
        <v/>
      </c>
      <c r="AE77" s="153">
        <f>$C77*INDEX(Curves!$AG$8:$AG$68,AE$4-$B77+1)</f>
        <v/>
      </c>
      <c r="AF77" s="153">
        <f>$C77*INDEX(Curves!$AG$8:$AG$68,AF$4-$B77+1)</f>
        <v/>
      </c>
      <c r="AG77" s="153">
        <f>$C77*INDEX(Curves!$AG$8:$AG$68,AG$4-$B77+1)</f>
        <v/>
      </c>
      <c r="AH77" s="153">
        <f>$C77*INDEX(Curves!$AG$8:$AG$68,AH$4-$B77+1)</f>
        <v/>
      </c>
      <c r="AI77" s="153">
        <f>$C77*INDEX(Curves!$AG$8:$AG$68,AI$4-$B77+1)</f>
        <v/>
      </c>
      <c r="AJ77" s="153">
        <f>$C77*INDEX(Curves!$AG$8:$AG$68,AJ$4-$B77+1)</f>
        <v/>
      </c>
      <c r="AK77" s="153">
        <f>$C77*INDEX(Curves!$AG$8:$AG$68,AK$4-$B77+1)</f>
        <v/>
      </c>
      <c r="AL77" s="153">
        <f>$C77*INDEX(Curves!$AG$8:$AG$68,AL$4-$B77+1)</f>
        <v/>
      </c>
      <c r="AM77" s="153">
        <f>$C77*INDEX(Curves!$AG$8:$AG$68,AM$4-$B77+1)</f>
        <v/>
      </c>
      <c r="AN77" s="153">
        <f>$C77*INDEX(Curves!$AG$8:$AG$68,AN$4-$B77+1)</f>
        <v/>
      </c>
      <c r="AO77" s="153">
        <f>$C77*INDEX(Curves!$AG$8:$AG$68,AO$4-$B77+1)</f>
        <v/>
      </c>
      <c r="AP77" s="153">
        <f>$C77*INDEX(Curves!$AG$8:$AG$68,AP$4-$B77+1)</f>
        <v/>
      </c>
      <c r="AQ77" s="153">
        <f>$C77*INDEX(Curves!$AG$8:$AG$68,AQ$4-$B77+1)</f>
        <v/>
      </c>
      <c r="AR77" s="153">
        <f>$C77*INDEX(Curves!$AG$8:$AG$68,AR$4-$B77+1)</f>
        <v/>
      </c>
      <c r="AS77" s="153">
        <f>$C77*INDEX(Curves!$AG$8:$AG$68,AS$4-$B77+1)</f>
        <v/>
      </c>
      <c r="AT77" s="153">
        <f>$C77*INDEX(Curves!$AG$8:$AG$68,AT$4-$B77+1)</f>
        <v/>
      </c>
      <c r="AU77" s="153">
        <f>$C77*INDEX(Curves!$AG$8:$AG$68,AU$4-$B77+1)</f>
        <v/>
      </c>
      <c r="AV77" s="153">
        <f>$C77*INDEX(Curves!$AG$8:$AG$68,AV$4-$B77+1)</f>
        <v/>
      </c>
      <c r="AW77" s="153">
        <f>$C77*INDEX(Curves!$AG$8:$AG$68,AW$4-$B77+1)</f>
        <v/>
      </c>
      <c r="AX77" s="153">
        <f>$C77*INDEX(Curves!$AG$8:$AG$68,AX$4-$B77+1)</f>
        <v/>
      </c>
      <c r="AY77" s="153">
        <f>$C77*INDEX(Curves!$AG$8:$AG$68,AY$4-$B77+1)</f>
        <v/>
      </c>
      <c r="AZ77" s="153">
        <f>$C77*INDEX(Curves!$AG$8:$AG$68,AZ$4-$B77+1)</f>
        <v/>
      </c>
      <c r="BA77" s="153">
        <f>$C77*INDEX(Curves!$AG$8:$AG$68,BA$4-$B77+1)</f>
        <v/>
      </c>
      <c r="BB77" s="153">
        <f>$C77*INDEX(Curves!$AG$8:$AG$68,BB$4-$B77+1)</f>
        <v/>
      </c>
      <c r="BC77" s="153">
        <f>$C77*INDEX(Curves!$AG$8:$AG$68,BC$4-$B77+1)</f>
        <v/>
      </c>
      <c r="BD77" s="153">
        <f>$C77*INDEX(Curves!$AG$8:$AG$68,BD$4-$B77+1)</f>
        <v/>
      </c>
      <c r="BE77" s="153">
        <f>$C77*INDEX(Curves!$AG$8:$AG$68,BE$4-$B77+1)</f>
        <v/>
      </c>
      <c r="BF77" s="153">
        <f>$C77*INDEX(Curves!$AG$8:$AG$68,BF$4-$B77+1)</f>
        <v/>
      </c>
      <c r="BG77" s="153">
        <f>$C77*INDEX(Curves!$AG$8:$AG$68,BG$4-$B77+1)</f>
        <v/>
      </c>
      <c r="BH77" s="153">
        <f>$C77*INDEX(Curves!$AG$8:$AG$68,BH$4-$B77+1)</f>
        <v/>
      </c>
      <c r="BI77" s="153">
        <f>$C77*INDEX(Curves!$AG$8:$AG$68,BI$4-$B77+1)</f>
        <v/>
      </c>
      <c r="BJ77" s="153">
        <f>$C77*INDEX(Curves!$AG$8:$AG$68,BJ$4-$B77+1)</f>
        <v/>
      </c>
      <c r="BK77" s="153">
        <f>$C77*INDEX(Curves!$AG$8:$AG$68,BK$4-$B77+1)</f>
        <v/>
      </c>
      <c r="BL77" s="153">
        <f>$C77*INDEX(Curves!$AG$8:$AG$68,BL$4-$B77+1)</f>
        <v/>
      </c>
    </row>
    <row r="78">
      <c r="A78" s="147" t="inlineStr">
        <is>
          <t>Cohort month 6</t>
        </is>
      </c>
      <c r="B78" s="147" t="n">
        <v>6</v>
      </c>
      <c r="C78" s="41">
        <f>INDEX(Ops!$E$59:$BL$59,1,$B78)</f>
        <v/>
      </c>
      <c r="K78" s="153">
        <f>$C78*INDEX(Curves!$AG$8:$AG$68,K$4-$B78+1)</f>
        <v/>
      </c>
      <c r="L78" s="153">
        <f>$C78*INDEX(Curves!$AG$8:$AG$68,L$4-$B78+1)</f>
        <v/>
      </c>
      <c r="M78" s="153">
        <f>$C78*INDEX(Curves!$AG$8:$AG$68,M$4-$B78+1)</f>
        <v/>
      </c>
      <c r="N78" s="153">
        <f>$C78*INDEX(Curves!$AG$8:$AG$68,N$4-$B78+1)</f>
        <v/>
      </c>
      <c r="O78" s="153">
        <f>$C78*INDEX(Curves!$AG$8:$AG$68,O$4-$B78+1)</f>
        <v/>
      </c>
      <c r="P78" s="153">
        <f>$C78*INDEX(Curves!$AG$8:$AG$68,P$4-$B78+1)</f>
        <v/>
      </c>
      <c r="Q78" s="153">
        <f>$C78*INDEX(Curves!$AG$8:$AG$68,Q$4-$B78+1)</f>
        <v/>
      </c>
      <c r="R78" s="153">
        <f>$C78*INDEX(Curves!$AG$8:$AG$68,R$4-$B78+1)</f>
        <v/>
      </c>
      <c r="S78" s="153">
        <f>$C78*INDEX(Curves!$AG$8:$AG$68,S$4-$B78+1)</f>
        <v/>
      </c>
      <c r="T78" s="153">
        <f>$C78*INDEX(Curves!$AG$8:$AG$68,T$4-$B78+1)</f>
        <v/>
      </c>
      <c r="U78" s="153">
        <f>$C78*INDEX(Curves!$AG$8:$AG$68,U$4-$B78+1)</f>
        <v/>
      </c>
      <c r="V78" s="153">
        <f>$C78*INDEX(Curves!$AG$8:$AG$68,V$4-$B78+1)</f>
        <v/>
      </c>
      <c r="W78" s="153">
        <f>$C78*INDEX(Curves!$AG$8:$AG$68,W$4-$B78+1)</f>
        <v/>
      </c>
      <c r="X78" s="153">
        <f>$C78*INDEX(Curves!$AG$8:$AG$68,X$4-$B78+1)</f>
        <v/>
      </c>
      <c r="Y78" s="153">
        <f>$C78*INDEX(Curves!$AG$8:$AG$68,Y$4-$B78+1)</f>
        <v/>
      </c>
      <c r="Z78" s="153">
        <f>$C78*INDEX(Curves!$AG$8:$AG$68,Z$4-$B78+1)</f>
        <v/>
      </c>
      <c r="AA78" s="153">
        <f>$C78*INDEX(Curves!$AG$8:$AG$68,AA$4-$B78+1)</f>
        <v/>
      </c>
      <c r="AB78" s="153">
        <f>$C78*INDEX(Curves!$AG$8:$AG$68,AB$4-$B78+1)</f>
        <v/>
      </c>
      <c r="AC78" s="153">
        <f>$C78*INDEX(Curves!$AG$8:$AG$68,AC$4-$B78+1)</f>
        <v/>
      </c>
      <c r="AD78" s="153">
        <f>$C78*INDEX(Curves!$AG$8:$AG$68,AD$4-$B78+1)</f>
        <v/>
      </c>
      <c r="AE78" s="153">
        <f>$C78*INDEX(Curves!$AG$8:$AG$68,AE$4-$B78+1)</f>
        <v/>
      </c>
      <c r="AF78" s="153">
        <f>$C78*INDEX(Curves!$AG$8:$AG$68,AF$4-$B78+1)</f>
        <v/>
      </c>
      <c r="AG78" s="153">
        <f>$C78*INDEX(Curves!$AG$8:$AG$68,AG$4-$B78+1)</f>
        <v/>
      </c>
      <c r="AH78" s="153">
        <f>$C78*INDEX(Curves!$AG$8:$AG$68,AH$4-$B78+1)</f>
        <v/>
      </c>
      <c r="AI78" s="153">
        <f>$C78*INDEX(Curves!$AG$8:$AG$68,AI$4-$B78+1)</f>
        <v/>
      </c>
      <c r="AJ78" s="153">
        <f>$C78*INDEX(Curves!$AG$8:$AG$68,AJ$4-$B78+1)</f>
        <v/>
      </c>
      <c r="AK78" s="153">
        <f>$C78*INDEX(Curves!$AG$8:$AG$68,AK$4-$B78+1)</f>
        <v/>
      </c>
      <c r="AL78" s="153">
        <f>$C78*INDEX(Curves!$AG$8:$AG$68,AL$4-$B78+1)</f>
        <v/>
      </c>
      <c r="AM78" s="153">
        <f>$C78*INDEX(Curves!$AG$8:$AG$68,AM$4-$B78+1)</f>
        <v/>
      </c>
      <c r="AN78" s="153">
        <f>$C78*INDEX(Curves!$AG$8:$AG$68,AN$4-$B78+1)</f>
        <v/>
      </c>
      <c r="AO78" s="153">
        <f>$C78*INDEX(Curves!$AG$8:$AG$68,AO$4-$B78+1)</f>
        <v/>
      </c>
      <c r="AP78" s="153">
        <f>$C78*INDEX(Curves!$AG$8:$AG$68,AP$4-$B78+1)</f>
        <v/>
      </c>
      <c r="AQ78" s="153">
        <f>$C78*INDEX(Curves!$AG$8:$AG$68,AQ$4-$B78+1)</f>
        <v/>
      </c>
      <c r="AR78" s="153">
        <f>$C78*INDEX(Curves!$AG$8:$AG$68,AR$4-$B78+1)</f>
        <v/>
      </c>
      <c r="AS78" s="153">
        <f>$C78*INDEX(Curves!$AG$8:$AG$68,AS$4-$B78+1)</f>
        <v/>
      </c>
      <c r="AT78" s="153">
        <f>$C78*INDEX(Curves!$AG$8:$AG$68,AT$4-$B78+1)</f>
        <v/>
      </c>
      <c r="AU78" s="153">
        <f>$C78*INDEX(Curves!$AG$8:$AG$68,AU$4-$B78+1)</f>
        <v/>
      </c>
      <c r="AV78" s="153">
        <f>$C78*INDEX(Curves!$AG$8:$AG$68,AV$4-$B78+1)</f>
        <v/>
      </c>
      <c r="AW78" s="153">
        <f>$C78*INDEX(Curves!$AG$8:$AG$68,AW$4-$B78+1)</f>
        <v/>
      </c>
      <c r="AX78" s="153">
        <f>$C78*INDEX(Curves!$AG$8:$AG$68,AX$4-$B78+1)</f>
        <v/>
      </c>
      <c r="AY78" s="153">
        <f>$C78*INDEX(Curves!$AG$8:$AG$68,AY$4-$B78+1)</f>
        <v/>
      </c>
      <c r="AZ78" s="153">
        <f>$C78*INDEX(Curves!$AG$8:$AG$68,AZ$4-$B78+1)</f>
        <v/>
      </c>
      <c r="BA78" s="153">
        <f>$C78*INDEX(Curves!$AG$8:$AG$68,BA$4-$B78+1)</f>
        <v/>
      </c>
      <c r="BB78" s="153">
        <f>$C78*INDEX(Curves!$AG$8:$AG$68,BB$4-$B78+1)</f>
        <v/>
      </c>
      <c r="BC78" s="153">
        <f>$C78*INDEX(Curves!$AG$8:$AG$68,BC$4-$B78+1)</f>
        <v/>
      </c>
      <c r="BD78" s="153">
        <f>$C78*INDEX(Curves!$AG$8:$AG$68,BD$4-$B78+1)</f>
        <v/>
      </c>
      <c r="BE78" s="153">
        <f>$C78*INDEX(Curves!$AG$8:$AG$68,BE$4-$B78+1)</f>
        <v/>
      </c>
      <c r="BF78" s="153">
        <f>$C78*INDEX(Curves!$AG$8:$AG$68,BF$4-$B78+1)</f>
        <v/>
      </c>
      <c r="BG78" s="153">
        <f>$C78*INDEX(Curves!$AG$8:$AG$68,BG$4-$B78+1)</f>
        <v/>
      </c>
      <c r="BH78" s="153">
        <f>$C78*INDEX(Curves!$AG$8:$AG$68,BH$4-$B78+1)</f>
        <v/>
      </c>
      <c r="BI78" s="153">
        <f>$C78*INDEX(Curves!$AG$8:$AG$68,BI$4-$B78+1)</f>
        <v/>
      </c>
      <c r="BJ78" s="153">
        <f>$C78*INDEX(Curves!$AG$8:$AG$68,BJ$4-$B78+1)</f>
        <v/>
      </c>
      <c r="BK78" s="153">
        <f>$C78*INDEX(Curves!$AG$8:$AG$68,BK$4-$B78+1)</f>
        <v/>
      </c>
      <c r="BL78" s="153">
        <f>$C78*INDEX(Curves!$AG$8:$AG$68,BL$4-$B78+1)</f>
        <v/>
      </c>
    </row>
    <row r="79">
      <c r="A79" s="147" t="inlineStr">
        <is>
          <t>Cohort month 7</t>
        </is>
      </c>
      <c r="B79" s="147" t="n">
        <v>7</v>
      </c>
      <c r="C79" s="41">
        <f>INDEX(Ops!$E$59:$BL$59,1,$B79)</f>
        <v/>
      </c>
      <c r="L79" s="153">
        <f>$C79*INDEX(Curves!$AG$8:$AG$68,L$4-$B79+1)</f>
        <v/>
      </c>
      <c r="M79" s="153">
        <f>$C79*INDEX(Curves!$AG$8:$AG$68,M$4-$B79+1)</f>
        <v/>
      </c>
      <c r="N79" s="153">
        <f>$C79*INDEX(Curves!$AG$8:$AG$68,N$4-$B79+1)</f>
        <v/>
      </c>
      <c r="O79" s="153">
        <f>$C79*INDEX(Curves!$AG$8:$AG$68,O$4-$B79+1)</f>
        <v/>
      </c>
      <c r="P79" s="153">
        <f>$C79*INDEX(Curves!$AG$8:$AG$68,P$4-$B79+1)</f>
        <v/>
      </c>
      <c r="Q79" s="153">
        <f>$C79*INDEX(Curves!$AG$8:$AG$68,Q$4-$B79+1)</f>
        <v/>
      </c>
      <c r="R79" s="153">
        <f>$C79*INDEX(Curves!$AG$8:$AG$68,R$4-$B79+1)</f>
        <v/>
      </c>
      <c r="S79" s="153">
        <f>$C79*INDEX(Curves!$AG$8:$AG$68,S$4-$B79+1)</f>
        <v/>
      </c>
      <c r="T79" s="153">
        <f>$C79*INDEX(Curves!$AG$8:$AG$68,T$4-$B79+1)</f>
        <v/>
      </c>
      <c r="U79" s="153">
        <f>$C79*INDEX(Curves!$AG$8:$AG$68,U$4-$B79+1)</f>
        <v/>
      </c>
      <c r="V79" s="153">
        <f>$C79*INDEX(Curves!$AG$8:$AG$68,V$4-$B79+1)</f>
        <v/>
      </c>
      <c r="W79" s="153">
        <f>$C79*INDEX(Curves!$AG$8:$AG$68,W$4-$B79+1)</f>
        <v/>
      </c>
      <c r="X79" s="153">
        <f>$C79*INDEX(Curves!$AG$8:$AG$68,X$4-$B79+1)</f>
        <v/>
      </c>
      <c r="Y79" s="153">
        <f>$C79*INDEX(Curves!$AG$8:$AG$68,Y$4-$B79+1)</f>
        <v/>
      </c>
      <c r="Z79" s="153">
        <f>$C79*INDEX(Curves!$AG$8:$AG$68,Z$4-$B79+1)</f>
        <v/>
      </c>
      <c r="AA79" s="153">
        <f>$C79*INDEX(Curves!$AG$8:$AG$68,AA$4-$B79+1)</f>
        <v/>
      </c>
      <c r="AB79" s="153">
        <f>$C79*INDEX(Curves!$AG$8:$AG$68,AB$4-$B79+1)</f>
        <v/>
      </c>
      <c r="AC79" s="153">
        <f>$C79*INDEX(Curves!$AG$8:$AG$68,AC$4-$B79+1)</f>
        <v/>
      </c>
      <c r="AD79" s="153">
        <f>$C79*INDEX(Curves!$AG$8:$AG$68,AD$4-$B79+1)</f>
        <v/>
      </c>
      <c r="AE79" s="153">
        <f>$C79*INDEX(Curves!$AG$8:$AG$68,AE$4-$B79+1)</f>
        <v/>
      </c>
      <c r="AF79" s="153">
        <f>$C79*INDEX(Curves!$AG$8:$AG$68,AF$4-$B79+1)</f>
        <v/>
      </c>
      <c r="AG79" s="153">
        <f>$C79*INDEX(Curves!$AG$8:$AG$68,AG$4-$B79+1)</f>
        <v/>
      </c>
      <c r="AH79" s="153">
        <f>$C79*INDEX(Curves!$AG$8:$AG$68,AH$4-$B79+1)</f>
        <v/>
      </c>
      <c r="AI79" s="153">
        <f>$C79*INDEX(Curves!$AG$8:$AG$68,AI$4-$B79+1)</f>
        <v/>
      </c>
      <c r="AJ79" s="153">
        <f>$C79*INDEX(Curves!$AG$8:$AG$68,AJ$4-$B79+1)</f>
        <v/>
      </c>
      <c r="AK79" s="153">
        <f>$C79*INDEX(Curves!$AG$8:$AG$68,AK$4-$B79+1)</f>
        <v/>
      </c>
      <c r="AL79" s="153">
        <f>$C79*INDEX(Curves!$AG$8:$AG$68,AL$4-$B79+1)</f>
        <v/>
      </c>
      <c r="AM79" s="153">
        <f>$C79*INDEX(Curves!$AG$8:$AG$68,AM$4-$B79+1)</f>
        <v/>
      </c>
      <c r="AN79" s="153">
        <f>$C79*INDEX(Curves!$AG$8:$AG$68,AN$4-$B79+1)</f>
        <v/>
      </c>
      <c r="AO79" s="153">
        <f>$C79*INDEX(Curves!$AG$8:$AG$68,AO$4-$B79+1)</f>
        <v/>
      </c>
      <c r="AP79" s="153">
        <f>$C79*INDEX(Curves!$AG$8:$AG$68,AP$4-$B79+1)</f>
        <v/>
      </c>
      <c r="AQ79" s="153">
        <f>$C79*INDEX(Curves!$AG$8:$AG$68,AQ$4-$B79+1)</f>
        <v/>
      </c>
      <c r="AR79" s="153">
        <f>$C79*INDEX(Curves!$AG$8:$AG$68,AR$4-$B79+1)</f>
        <v/>
      </c>
      <c r="AS79" s="153">
        <f>$C79*INDEX(Curves!$AG$8:$AG$68,AS$4-$B79+1)</f>
        <v/>
      </c>
      <c r="AT79" s="153">
        <f>$C79*INDEX(Curves!$AG$8:$AG$68,AT$4-$B79+1)</f>
        <v/>
      </c>
      <c r="AU79" s="153">
        <f>$C79*INDEX(Curves!$AG$8:$AG$68,AU$4-$B79+1)</f>
        <v/>
      </c>
      <c r="AV79" s="153">
        <f>$C79*INDEX(Curves!$AG$8:$AG$68,AV$4-$B79+1)</f>
        <v/>
      </c>
      <c r="AW79" s="153">
        <f>$C79*INDEX(Curves!$AG$8:$AG$68,AW$4-$B79+1)</f>
        <v/>
      </c>
      <c r="AX79" s="153">
        <f>$C79*INDEX(Curves!$AG$8:$AG$68,AX$4-$B79+1)</f>
        <v/>
      </c>
      <c r="AY79" s="153">
        <f>$C79*INDEX(Curves!$AG$8:$AG$68,AY$4-$B79+1)</f>
        <v/>
      </c>
      <c r="AZ79" s="153">
        <f>$C79*INDEX(Curves!$AG$8:$AG$68,AZ$4-$B79+1)</f>
        <v/>
      </c>
      <c r="BA79" s="153">
        <f>$C79*INDEX(Curves!$AG$8:$AG$68,BA$4-$B79+1)</f>
        <v/>
      </c>
      <c r="BB79" s="153">
        <f>$C79*INDEX(Curves!$AG$8:$AG$68,BB$4-$B79+1)</f>
        <v/>
      </c>
      <c r="BC79" s="153">
        <f>$C79*INDEX(Curves!$AG$8:$AG$68,BC$4-$B79+1)</f>
        <v/>
      </c>
      <c r="BD79" s="153">
        <f>$C79*INDEX(Curves!$AG$8:$AG$68,BD$4-$B79+1)</f>
        <v/>
      </c>
      <c r="BE79" s="153">
        <f>$C79*INDEX(Curves!$AG$8:$AG$68,BE$4-$B79+1)</f>
        <v/>
      </c>
      <c r="BF79" s="153">
        <f>$C79*INDEX(Curves!$AG$8:$AG$68,BF$4-$B79+1)</f>
        <v/>
      </c>
      <c r="BG79" s="153">
        <f>$C79*INDEX(Curves!$AG$8:$AG$68,BG$4-$B79+1)</f>
        <v/>
      </c>
      <c r="BH79" s="153">
        <f>$C79*INDEX(Curves!$AG$8:$AG$68,BH$4-$B79+1)</f>
        <v/>
      </c>
      <c r="BI79" s="153">
        <f>$C79*INDEX(Curves!$AG$8:$AG$68,BI$4-$B79+1)</f>
        <v/>
      </c>
      <c r="BJ79" s="153">
        <f>$C79*INDEX(Curves!$AG$8:$AG$68,BJ$4-$B79+1)</f>
        <v/>
      </c>
      <c r="BK79" s="153">
        <f>$C79*INDEX(Curves!$AG$8:$AG$68,BK$4-$B79+1)</f>
        <v/>
      </c>
      <c r="BL79" s="153">
        <f>$C79*INDEX(Curves!$AG$8:$AG$68,BL$4-$B79+1)</f>
        <v/>
      </c>
    </row>
    <row r="80">
      <c r="A80" s="147" t="inlineStr">
        <is>
          <t>Cohort month 8</t>
        </is>
      </c>
      <c r="B80" s="147" t="n">
        <v>8</v>
      </c>
      <c r="C80" s="41">
        <f>INDEX(Ops!$E$59:$BL$59,1,$B80)</f>
        <v/>
      </c>
      <c r="M80" s="153">
        <f>$C80*INDEX(Curves!$AG$8:$AG$68,M$4-$B80+1)</f>
        <v/>
      </c>
      <c r="N80" s="153">
        <f>$C80*INDEX(Curves!$AG$8:$AG$68,N$4-$B80+1)</f>
        <v/>
      </c>
      <c r="O80" s="153">
        <f>$C80*INDEX(Curves!$AG$8:$AG$68,O$4-$B80+1)</f>
        <v/>
      </c>
      <c r="P80" s="153">
        <f>$C80*INDEX(Curves!$AG$8:$AG$68,P$4-$B80+1)</f>
        <v/>
      </c>
      <c r="Q80" s="153">
        <f>$C80*INDEX(Curves!$AG$8:$AG$68,Q$4-$B80+1)</f>
        <v/>
      </c>
      <c r="R80" s="153">
        <f>$C80*INDEX(Curves!$AG$8:$AG$68,R$4-$B80+1)</f>
        <v/>
      </c>
      <c r="S80" s="153">
        <f>$C80*INDEX(Curves!$AG$8:$AG$68,S$4-$B80+1)</f>
        <v/>
      </c>
      <c r="T80" s="153">
        <f>$C80*INDEX(Curves!$AG$8:$AG$68,T$4-$B80+1)</f>
        <v/>
      </c>
      <c r="U80" s="153">
        <f>$C80*INDEX(Curves!$AG$8:$AG$68,U$4-$B80+1)</f>
        <v/>
      </c>
      <c r="V80" s="153">
        <f>$C80*INDEX(Curves!$AG$8:$AG$68,V$4-$B80+1)</f>
        <v/>
      </c>
      <c r="W80" s="153">
        <f>$C80*INDEX(Curves!$AG$8:$AG$68,W$4-$B80+1)</f>
        <v/>
      </c>
      <c r="X80" s="153">
        <f>$C80*INDEX(Curves!$AG$8:$AG$68,X$4-$B80+1)</f>
        <v/>
      </c>
      <c r="Y80" s="153">
        <f>$C80*INDEX(Curves!$AG$8:$AG$68,Y$4-$B80+1)</f>
        <v/>
      </c>
      <c r="Z80" s="153">
        <f>$C80*INDEX(Curves!$AG$8:$AG$68,Z$4-$B80+1)</f>
        <v/>
      </c>
      <c r="AA80" s="153">
        <f>$C80*INDEX(Curves!$AG$8:$AG$68,AA$4-$B80+1)</f>
        <v/>
      </c>
      <c r="AB80" s="153">
        <f>$C80*INDEX(Curves!$AG$8:$AG$68,AB$4-$B80+1)</f>
        <v/>
      </c>
      <c r="AC80" s="153">
        <f>$C80*INDEX(Curves!$AG$8:$AG$68,AC$4-$B80+1)</f>
        <v/>
      </c>
      <c r="AD80" s="153">
        <f>$C80*INDEX(Curves!$AG$8:$AG$68,AD$4-$B80+1)</f>
        <v/>
      </c>
      <c r="AE80" s="153">
        <f>$C80*INDEX(Curves!$AG$8:$AG$68,AE$4-$B80+1)</f>
        <v/>
      </c>
      <c r="AF80" s="153">
        <f>$C80*INDEX(Curves!$AG$8:$AG$68,AF$4-$B80+1)</f>
        <v/>
      </c>
      <c r="AG80" s="153">
        <f>$C80*INDEX(Curves!$AG$8:$AG$68,AG$4-$B80+1)</f>
        <v/>
      </c>
      <c r="AH80" s="153">
        <f>$C80*INDEX(Curves!$AG$8:$AG$68,AH$4-$B80+1)</f>
        <v/>
      </c>
      <c r="AI80" s="153">
        <f>$C80*INDEX(Curves!$AG$8:$AG$68,AI$4-$B80+1)</f>
        <v/>
      </c>
      <c r="AJ80" s="153">
        <f>$C80*INDEX(Curves!$AG$8:$AG$68,AJ$4-$B80+1)</f>
        <v/>
      </c>
      <c r="AK80" s="153">
        <f>$C80*INDEX(Curves!$AG$8:$AG$68,AK$4-$B80+1)</f>
        <v/>
      </c>
      <c r="AL80" s="153">
        <f>$C80*INDEX(Curves!$AG$8:$AG$68,AL$4-$B80+1)</f>
        <v/>
      </c>
      <c r="AM80" s="153">
        <f>$C80*INDEX(Curves!$AG$8:$AG$68,AM$4-$B80+1)</f>
        <v/>
      </c>
      <c r="AN80" s="153">
        <f>$C80*INDEX(Curves!$AG$8:$AG$68,AN$4-$B80+1)</f>
        <v/>
      </c>
      <c r="AO80" s="153">
        <f>$C80*INDEX(Curves!$AG$8:$AG$68,AO$4-$B80+1)</f>
        <v/>
      </c>
      <c r="AP80" s="153">
        <f>$C80*INDEX(Curves!$AG$8:$AG$68,AP$4-$B80+1)</f>
        <v/>
      </c>
      <c r="AQ80" s="153">
        <f>$C80*INDEX(Curves!$AG$8:$AG$68,AQ$4-$B80+1)</f>
        <v/>
      </c>
      <c r="AR80" s="153">
        <f>$C80*INDEX(Curves!$AG$8:$AG$68,AR$4-$B80+1)</f>
        <v/>
      </c>
      <c r="AS80" s="153">
        <f>$C80*INDEX(Curves!$AG$8:$AG$68,AS$4-$B80+1)</f>
        <v/>
      </c>
      <c r="AT80" s="153">
        <f>$C80*INDEX(Curves!$AG$8:$AG$68,AT$4-$B80+1)</f>
        <v/>
      </c>
      <c r="AU80" s="153">
        <f>$C80*INDEX(Curves!$AG$8:$AG$68,AU$4-$B80+1)</f>
        <v/>
      </c>
      <c r="AV80" s="153">
        <f>$C80*INDEX(Curves!$AG$8:$AG$68,AV$4-$B80+1)</f>
        <v/>
      </c>
      <c r="AW80" s="153">
        <f>$C80*INDEX(Curves!$AG$8:$AG$68,AW$4-$B80+1)</f>
        <v/>
      </c>
      <c r="AX80" s="153">
        <f>$C80*INDEX(Curves!$AG$8:$AG$68,AX$4-$B80+1)</f>
        <v/>
      </c>
      <c r="AY80" s="153">
        <f>$C80*INDEX(Curves!$AG$8:$AG$68,AY$4-$B80+1)</f>
        <v/>
      </c>
      <c r="AZ80" s="153">
        <f>$C80*INDEX(Curves!$AG$8:$AG$68,AZ$4-$B80+1)</f>
        <v/>
      </c>
      <c r="BA80" s="153">
        <f>$C80*INDEX(Curves!$AG$8:$AG$68,BA$4-$B80+1)</f>
        <v/>
      </c>
      <c r="BB80" s="153">
        <f>$C80*INDEX(Curves!$AG$8:$AG$68,BB$4-$B80+1)</f>
        <v/>
      </c>
      <c r="BC80" s="153">
        <f>$C80*INDEX(Curves!$AG$8:$AG$68,BC$4-$B80+1)</f>
        <v/>
      </c>
      <c r="BD80" s="153">
        <f>$C80*INDEX(Curves!$AG$8:$AG$68,BD$4-$B80+1)</f>
        <v/>
      </c>
      <c r="BE80" s="153">
        <f>$C80*INDEX(Curves!$AG$8:$AG$68,BE$4-$B80+1)</f>
        <v/>
      </c>
      <c r="BF80" s="153">
        <f>$C80*INDEX(Curves!$AG$8:$AG$68,BF$4-$B80+1)</f>
        <v/>
      </c>
      <c r="BG80" s="153">
        <f>$C80*INDEX(Curves!$AG$8:$AG$68,BG$4-$B80+1)</f>
        <v/>
      </c>
      <c r="BH80" s="153">
        <f>$C80*INDEX(Curves!$AG$8:$AG$68,BH$4-$B80+1)</f>
        <v/>
      </c>
      <c r="BI80" s="153">
        <f>$C80*INDEX(Curves!$AG$8:$AG$68,BI$4-$B80+1)</f>
        <v/>
      </c>
      <c r="BJ80" s="153">
        <f>$C80*INDEX(Curves!$AG$8:$AG$68,BJ$4-$B80+1)</f>
        <v/>
      </c>
      <c r="BK80" s="153">
        <f>$C80*INDEX(Curves!$AG$8:$AG$68,BK$4-$B80+1)</f>
        <v/>
      </c>
      <c r="BL80" s="153">
        <f>$C80*INDEX(Curves!$AG$8:$AG$68,BL$4-$B80+1)</f>
        <v/>
      </c>
    </row>
    <row r="81">
      <c r="A81" s="147" t="inlineStr">
        <is>
          <t>Cohort month 9</t>
        </is>
      </c>
      <c r="B81" s="147" t="n">
        <v>9</v>
      </c>
      <c r="C81" s="41">
        <f>INDEX(Ops!$E$59:$BL$59,1,$B81)</f>
        <v/>
      </c>
      <c r="N81" s="153">
        <f>$C81*INDEX(Curves!$AG$8:$AG$68,N$4-$B81+1)</f>
        <v/>
      </c>
      <c r="O81" s="153">
        <f>$C81*INDEX(Curves!$AG$8:$AG$68,O$4-$B81+1)</f>
        <v/>
      </c>
      <c r="P81" s="153">
        <f>$C81*INDEX(Curves!$AG$8:$AG$68,P$4-$B81+1)</f>
        <v/>
      </c>
      <c r="Q81" s="153">
        <f>$C81*INDEX(Curves!$AG$8:$AG$68,Q$4-$B81+1)</f>
        <v/>
      </c>
      <c r="R81" s="153">
        <f>$C81*INDEX(Curves!$AG$8:$AG$68,R$4-$B81+1)</f>
        <v/>
      </c>
      <c r="S81" s="153">
        <f>$C81*INDEX(Curves!$AG$8:$AG$68,S$4-$B81+1)</f>
        <v/>
      </c>
      <c r="T81" s="153">
        <f>$C81*INDEX(Curves!$AG$8:$AG$68,T$4-$B81+1)</f>
        <v/>
      </c>
      <c r="U81" s="153">
        <f>$C81*INDEX(Curves!$AG$8:$AG$68,U$4-$B81+1)</f>
        <v/>
      </c>
      <c r="V81" s="153">
        <f>$C81*INDEX(Curves!$AG$8:$AG$68,V$4-$B81+1)</f>
        <v/>
      </c>
      <c r="W81" s="153">
        <f>$C81*INDEX(Curves!$AG$8:$AG$68,W$4-$B81+1)</f>
        <v/>
      </c>
      <c r="X81" s="153">
        <f>$C81*INDEX(Curves!$AG$8:$AG$68,X$4-$B81+1)</f>
        <v/>
      </c>
      <c r="Y81" s="153">
        <f>$C81*INDEX(Curves!$AG$8:$AG$68,Y$4-$B81+1)</f>
        <v/>
      </c>
      <c r="Z81" s="153">
        <f>$C81*INDEX(Curves!$AG$8:$AG$68,Z$4-$B81+1)</f>
        <v/>
      </c>
      <c r="AA81" s="153">
        <f>$C81*INDEX(Curves!$AG$8:$AG$68,AA$4-$B81+1)</f>
        <v/>
      </c>
      <c r="AB81" s="153">
        <f>$C81*INDEX(Curves!$AG$8:$AG$68,AB$4-$B81+1)</f>
        <v/>
      </c>
      <c r="AC81" s="153">
        <f>$C81*INDEX(Curves!$AG$8:$AG$68,AC$4-$B81+1)</f>
        <v/>
      </c>
      <c r="AD81" s="153">
        <f>$C81*INDEX(Curves!$AG$8:$AG$68,AD$4-$B81+1)</f>
        <v/>
      </c>
      <c r="AE81" s="153">
        <f>$C81*INDEX(Curves!$AG$8:$AG$68,AE$4-$B81+1)</f>
        <v/>
      </c>
      <c r="AF81" s="153">
        <f>$C81*INDEX(Curves!$AG$8:$AG$68,AF$4-$B81+1)</f>
        <v/>
      </c>
      <c r="AG81" s="153">
        <f>$C81*INDEX(Curves!$AG$8:$AG$68,AG$4-$B81+1)</f>
        <v/>
      </c>
      <c r="AH81" s="153">
        <f>$C81*INDEX(Curves!$AG$8:$AG$68,AH$4-$B81+1)</f>
        <v/>
      </c>
      <c r="AI81" s="153">
        <f>$C81*INDEX(Curves!$AG$8:$AG$68,AI$4-$B81+1)</f>
        <v/>
      </c>
      <c r="AJ81" s="153">
        <f>$C81*INDEX(Curves!$AG$8:$AG$68,AJ$4-$B81+1)</f>
        <v/>
      </c>
      <c r="AK81" s="153">
        <f>$C81*INDEX(Curves!$AG$8:$AG$68,AK$4-$B81+1)</f>
        <v/>
      </c>
      <c r="AL81" s="153">
        <f>$C81*INDEX(Curves!$AG$8:$AG$68,AL$4-$B81+1)</f>
        <v/>
      </c>
      <c r="AM81" s="153">
        <f>$C81*INDEX(Curves!$AG$8:$AG$68,AM$4-$B81+1)</f>
        <v/>
      </c>
      <c r="AN81" s="153">
        <f>$C81*INDEX(Curves!$AG$8:$AG$68,AN$4-$B81+1)</f>
        <v/>
      </c>
      <c r="AO81" s="153">
        <f>$C81*INDEX(Curves!$AG$8:$AG$68,AO$4-$B81+1)</f>
        <v/>
      </c>
      <c r="AP81" s="153">
        <f>$C81*INDEX(Curves!$AG$8:$AG$68,AP$4-$B81+1)</f>
        <v/>
      </c>
      <c r="AQ81" s="153">
        <f>$C81*INDEX(Curves!$AG$8:$AG$68,AQ$4-$B81+1)</f>
        <v/>
      </c>
      <c r="AR81" s="153">
        <f>$C81*INDEX(Curves!$AG$8:$AG$68,AR$4-$B81+1)</f>
        <v/>
      </c>
      <c r="AS81" s="153">
        <f>$C81*INDEX(Curves!$AG$8:$AG$68,AS$4-$B81+1)</f>
        <v/>
      </c>
      <c r="AT81" s="153">
        <f>$C81*INDEX(Curves!$AG$8:$AG$68,AT$4-$B81+1)</f>
        <v/>
      </c>
      <c r="AU81" s="153">
        <f>$C81*INDEX(Curves!$AG$8:$AG$68,AU$4-$B81+1)</f>
        <v/>
      </c>
      <c r="AV81" s="153">
        <f>$C81*INDEX(Curves!$AG$8:$AG$68,AV$4-$B81+1)</f>
        <v/>
      </c>
      <c r="AW81" s="153">
        <f>$C81*INDEX(Curves!$AG$8:$AG$68,AW$4-$B81+1)</f>
        <v/>
      </c>
      <c r="AX81" s="153">
        <f>$C81*INDEX(Curves!$AG$8:$AG$68,AX$4-$B81+1)</f>
        <v/>
      </c>
      <c r="AY81" s="153">
        <f>$C81*INDEX(Curves!$AG$8:$AG$68,AY$4-$B81+1)</f>
        <v/>
      </c>
      <c r="AZ81" s="153">
        <f>$C81*INDEX(Curves!$AG$8:$AG$68,AZ$4-$B81+1)</f>
        <v/>
      </c>
      <c r="BA81" s="153">
        <f>$C81*INDEX(Curves!$AG$8:$AG$68,BA$4-$B81+1)</f>
        <v/>
      </c>
      <c r="BB81" s="153">
        <f>$C81*INDEX(Curves!$AG$8:$AG$68,BB$4-$B81+1)</f>
        <v/>
      </c>
      <c r="BC81" s="153">
        <f>$C81*INDEX(Curves!$AG$8:$AG$68,BC$4-$B81+1)</f>
        <v/>
      </c>
      <c r="BD81" s="153">
        <f>$C81*INDEX(Curves!$AG$8:$AG$68,BD$4-$B81+1)</f>
        <v/>
      </c>
      <c r="BE81" s="153">
        <f>$C81*INDEX(Curves!$AG$8:$AG$68,BE$4-$B81+1)</f>
        <v/>
      </c>
      <c r="BF81" s="153">
        <f>$C81*INDEX(Curves!$AG$8:$AG$68,BF$4-$B81+1)</f>
        <v/>
      </c>
      <c r="BG81" s="153">
        <f>$C81*INDEX(Curves!$AG$8:$AG$68,BG$4-$B81+1)</f>
        <v/>
      </c>
      <c r="BH81" s="153">
        <f>$C81*INDEX(Curves!$AG$8:$AG$68,BH$4-$B81+1)</f>
        <v/>
      </c>
      <c r="BI81" s="153">
        <f>$C81*INDEX(Curves!$AG$8:$AG$68,BI$4-$B81+1)</f>
        <v/>
      </c>
      <c r="BJ81" s="153">
        <f>$C81*INDEX(Curves!$AG$8:$AG$68,BJ$4-$B81+1)</f>
        <v/>
      </c>
      <c r="BK81" s="153">
        <f>$C81*INDEX(Curves!$AG$8:$AG$68,BK$4-$B81+1)</f>
        <v/>
      </c>
      <c r="BL81" s="153">
        <f>$C81*INDEX(Curves!$AG$8:$AG$68,BL$4-$B81+1)</f>
        <v/>
      </c>
    </row>
    <row r="82">
      <c r="A82" s="147" t="inlineStr">
        <is>
          <t>Cohort month 10</t>
        </is>
      </c>
      <c r="B82" s="147" t="n">
        <v>10</v>
      </c>
      <c r="C82" s="41">
        <f>INDEX(Ops!$E$59:$BL$59,1,$B82)</f>
        <v/>
      </c>
      <c r="O82" s="153">
        <f>$C82*INDEX(Curves!$AG$8:$AG$68,O$4-$B82+1)</f>
        <v/>
      </c>
      <c r="P82" s="153">
        <f>$C82*INDEX(Curves!$AG$8:$AG$68,P$4-$B82+1)</f>
        <v/>
      </c>
      <c r="Q82" s="153">
        <f>$C82*INDEX(Curves!$AG$8:$AG$68,Q$4-$B82+1)</f>
        <v/>
      </c>
      <c r="R82" s="153">
        <f>$C82*INDEX(Curves!$AG$8:$AG$68,R$4-$B82+1)</f>
        <v/>
      </c>
      <c r="S82" s="153">
        <f>$C82*INDEX(Curves!$AG$8:$AG$68,S$4-$B82+1)</f>
        <v/>
      </c>
      <c r="T82" s="153">
        <f>$C82*INDEX(Curves!$AG$8:$AG$68,T$4-$B82+1)</f>
        <v/>
      </c>
      <c r="U82" s="153">
        <f>$C82*INDEX(Curves!$AG$8:$AG$68,U$4-$B82+1)</f>
        <v/>
      </c>
      <c r="V82" s="153">
        <f>$C82*INDEX(Curves!$AG$8:$AG$68,V$4-$B82+1)</f>
        <v/>
      </c>
      <c r="W82" s="153">
        <f>$C82*INDEX(Curves!$AG$8:$AG$68,W$4-$B82+1)</f>
        <v/>
      </c>
      <c r="X82" s="153">
        <f>$C82*INDEX(Curves!$AG$8:$AG$68,X$4-$B82+1)</f>
        <v/>
      </c>
      <c r="Y82" s="153">
        <f>$C82*INDEX(Curves!$AG$8:$AG$68,Y$4-$B82+1)</f>
        <v/>
      </c>
      <c r="Z82" s="153">
        <f>$C82*INDEX(Curves!$AG$8:$AG$68,Z$4-$B82+1)</f>
        <v/>
      </c>
      <c r="AA82" s="153">
        <f>$C82*INDEX(Curves!$AG$8:$AG$68,AA$4-$B82+1)</f>
        <v/>
      </c>
      <c r="AB82" s="153">
        <f>$C82*INDEX(Curves!$AG$8:$AG$68,AB$4-$B82+1)</f>
        <v/>
      </c>
      <c r="AC82" s="153">
        <f>$C82*INDEX(Curves!$AG$8:$AG$68,AC$4-$B82+1)</f>
        <v/>
      </c>
      <c r="AD82" s="153">
        <f>$C82*INDEX(Curves!$AG$8:$AG$68,AD$4-$B82+1)</f>
        <v/>
      </c>
      <c r="AE82" s="153">
        <f>$C82*INDEX(Curves!$AG$8:$AG$68,AE$4-$B82+1)</f>
        <v/>
      </c>
      <c r="AF82" s="153">
        <f>$C82*INDEX(Curves!$AG$8:$AG$68,AF$4-$B82+1)</f>
        <v/>
      </c>
      <c r="AG82" s="153">
        <f>$C82*INDEX(Curves!$AG$8:$AG$68,AG$4-$B82+1)</f>
        <v/>
      </c>
      <c r="AH82" s="153">
        <f>$C82*INDEX(Curves!$AG$8:$AG$68,AH$4-$B82+1)</f>
        <v/>
      </c>
      <c r="AI82" s="153">
        <f>$C82*INDEX(Curves!$AG$8:$AG$68,AI$4-$B82+1)</f>
        <v/>
      </c>
      <c r="AJ82" s="153">
        <f>$C82*INDEX(Curves!$AG$8:$AG$68,AJ$4-$B82+1)</f>
        <v/>
      </c>
      <c r="AK82" s="153">
        <f>$C82*INDEX(Curves!$AG$8:$AG$68,AK$4-$B82+1)</f>
        <v/>
      </c>
      <c r="AL82" s="153">
        <f>$C82*INDEX(Curves!$AG$8:$AG$68,AL$4-$B82+1)</f>
        <v/>
      </c>
      <c r="AM82" s="153">
        <f>$C82*INDEX(Curves!$AG$8:$AG$68,AM$4-$B82+1)</f>
        <v/>
      </c>
      <c r="AN82" s="153">
        <f>$C82*INDEX(Curves!$AG$8:$AG$68,AN$4-$B82+1)</f>
        <v/>
      </c>
      <c r="AO82" s="153">
        <f>$C82*INDEX(Curves!$AG$8:$AG$68,AO$4-$B82+1)</f>
        <v/>
      </c>
      <c r="AP82" s="153">
        <f>$C82*INDEX(Curves!$AG$8:$AG$68,AP$4-$B82+1)</f>
        <v/>
      </c>
      <c r="AQ82" s="153">
        <f>$C82*INDEX(Curves!$AG$8:$AG$68,AQ$4-$B82+1)</f>
        <v/>
      </c>
      <c r="AR82" s="153">
        <f>$C82*INDEX(Curves!$AG$8:$AG$68,AR$4-$B82+1)</f>
        <v/>
      </c>
      <c r="AS82" s="153">
        <f>$C82*INDEX(Curves!$AG$8:$AG$68,AS$4-$B82+1)</f>
        <v/>
      </c>
      <c r="AT82" s="153">
        <f>$C82*INDEX(Curves!$AG$8:$AG$68,AT$4-$B82+1)</f>
        <v/>
      </c>
      <c r="AU82" s="153">
        <f>$C82*INDEX(Curves!$AG$8:$AG$68,AU$4-$B82+1)</f>
        <v/>
      </c>
      <c r="AV82" s="153">
        <f>$C82*INDEX(Curves!$AG$8:$AG$68,AV$4-$B82+1)</f>
        <v/>
      </c>
      <c r="AW82" s="153">
        <f>$C82*INDEX(Curves!$AG$8:$AG$68,AW$4-$B82+1)</f>
        <v/>
      </c>
      <c r="AX82" s="153">
        <f>$C82*INDEX(Curves!$AG$8:$AG$68,AX$4-$B82+1)</f>
        <v/>
      </c>
      <c r="AY82" s="153">
        <f>$C82*INDEX(Curves!$AG$8:$AG$68,AY$4-$B82+1)</f>
        <v/>
      </c>
      <c r="AZ82" s="153">
        <f>$C82*INDEX(Curves!$AG$8:$AG$68,AZ$4-$B82+1)</f>
        <v/>
      </c>
      <c r="BA82" s="153">
        <f>$C82*INDEX(Curves!$AG$8:$AG$68,BA$4-$B82+1)</f>
        <v/>
      </c>
      <c r="BB82" s="153">
        <f>$C82*INDEX(Curves!$AG$8:$AG$68,BB$4-$B82+1)</f>
        <v/>
      </c>
      <c r="BC82" s="153">
        <f>$C82*INDEX(Curves!$AG$8:$AG$68,BC$4-$B82+1)</f>
        <v/>
      </c>
      <c r="BD82" s="153">
        <f>$C82*INDEX(Curves!$AG$8:$AG$68,BD$4-$B82+1)</f>
        <v/>
      </c>
      <c r="BE82" s="153">
        <f>$C82*INDEX(Curves!$AG$8:$AG$68,BE$4-$B82+1)</f>
        <v/>
      </c>
      <c r="BF82" s="153">
        <f>$C82*INDEX(Curves!$AG$8:$AG$68,BF$4-$B82+1)</f>
        <v/>
      </c>
      <c r="BG82" s="153">
        <f>$C82*INDEX(Curves!$AG$8:$AG$68,BG$4-$B82+1)</f>
        <v/>
      </c>
      <c r="BH82" s="153">
        <f>$C82*INDEX(Curves!$AG$8:$AG$68,BH$4-$B82+1)</f>
        <v/>
      </c>
      <c r="BI82" s="153">
        <f>$C82*INDEX(Curves!$AG$8:$AG$68,BI$4-$B82+1)</f>
        <v/>
      </c>
      <c r="BJ82" s="153">
        <f>$C82*INDEX(Curves!$AG$8:$AG$68,BJ$4-$B82+1)</f>
        <v/>
      </c>
      <c r="BK82" s="153">
        <f>$C82*INDEX(Curves!$AG$8:$AG$68,BK$4-$B82+1)</f>
        <v/>
      </c>
      <c r="BL82" s="153">
        <f>$C82*INDEX(Curves!$AG$8:$AG$68,BL$4-$B82+1)</f>
        <v/>
      </c>
    </row>
    <row r="83">
      <c r="A83" s="147" t="inlineStr">
        <is>
          <t>Cohort month 11</t>
        </is>
      </c>
      <c r="B83" s="147" t="n">
        <v>11</v>
      </c>
      <c r="C83" s="41">
        <f>INDEX(Ops!$E$59:$BL$59,1,$B83)</f>
        <v/>
      </c>
      <c r="P83" s="153">
        <f>$C83*INDEX(Curves!$AG$8:$AG$68,P$4-$B83+1)</f>
        <v/>
      </c>
      <c r="Q83" s="153">
        <f>$C83*INDEX(Curves!$AG$8:$AG$68,Q$4-$B83+1)</f>
        <v/>
      </c>
      <c r="R83" s="153">
        <f>$C83*INDEX(Curves!$AG$8:$AG$68,R$4-$B83+1)</f>
        <v/>
      </c>
      <c r="S83" s="153">
        <f>$C83*INDEX(Curves!$AG$8:$AG$68,S$4-$B83+1)</f>
        <v/>
      </c>
      <c r="T83" s="153">
        <f>$C83*INDEX(Curves!$AG$8:$AG$68,T$4-$B83+1)</f>
        <v/>
      </c>
      <c r="U83" s="153">
        <f>$C83*INDEX(Curves!$AG$8:$AG$68,U$4-$B83+1)</f>
        <v/>
      </c>
      <c r="V83" s="153">
        <f>$C83*INDEX(Curves!$AG$8:$AG$68,V$4-$B83+1)</f>
        <v/>
      </c>
      <c r="W83" s="153">
        <f>$C83*INDEX(Curves!$AG$8:$AG$68,W$4-$B83+1)</f>
        <v/>
      </c>
      <c r="X83" s="153">
        <f>$C83*INDEX(Curves!$AG$8:$AG$68,X$4-$B83+1)</f>
        <v/>
      </c>
      <c r="Y83" s="153">
        <f>$C83*INDEX(Curves!$AG$8:$AG$68,Y$4-$B83+1)</f>
        <v/>
      </c>
      <c r="Z83" s="153">
        <f>$C83*INDEX(Curves!$AG$8:$AG$68,Z$4-$B83+1)</f>
        <v/>
      </c>
      <c r="AA83" s="153">
        <f>$C83*INDEX(Curves!$AG$8:$AG$68,AA$4-$B83+1)</f>
        <v/>
      </c>
      <c r="AB83" s="153">
        <f>$C83*INDEX(Curves!$AG$8:$AG$68,AB$4-$B83+1)</f>
        <v/>
      </c>
      <c r="AC83" s="153">
        <f>$C83*INDEX(Curves!$AG$8:$AG$68,AC$4-$B83+1)</f>
        <v/>
      </c>
      <c r="AD83" s="153">
        <f>$C83*INDEX(Curves!$AG$8:$AG$68,AD$4-$B83+1)</f>
        <v/>
      </c>
      <c r="AE83" s="153">
        <f>$C83*INDEX(Curves!$AG$8:$AG$68,AE$4-$B83+1)</f>
        <v/>
      </c>
      <c r="AF83" s="153">
        <f>$C83*INDEX(Curves!$AG$8:$AG$68,AF$4-$B83+1)</f>
        <v/>
      </c>
      <c r="AG83" s="153">
        <f>$C83*INDEX(Curves!$AG$8:$AG$68,AG$4-$B83+1)</f>
        <v/>
      </c>
      <c r="AH83" s="153">
        <f>$C83*INDEX(Curves!$AG$8:$AG$68,AH$4-$B83+1)</f>
        <v/>
      </c>
      <c r="AI83" s="153">
        <f>$C83*INDEX(Curves!$AG$8:$AG$68,AI$4-$B83+1)</f>
        <v/>
      </c>
      <c r="AJ83" s="153">
        <f>$C83*INDEX(Curves!$AG$8:$AG$68,AJ$4-$B83+1)</f>
        <v/>
      </c>
      <c r="AK83" s="153">
        <f>$C83*INDEX(Curves!$AG$8:$AG$68,AK$4-$B83+1)</f>
        <v/>
      </c>
      <c r="AL83" s="153">
        <f>$C83*INDEX(Curves!$AG$8:$AG$68,AL$4-$B83+1)</f>
        <v/>
      </c>
      <c r="AM83" s="153">
        <f>$C83*INDEX(Curves!$AG$8:$AG$68,AM$4-$B83+1)</f>
        <v/>
      </c>
      <c r="AN83" s="153">
        <f>$C83*INDEX(Curves!$AG$8:$AG$68,AN$4-$B83+1)</f>
        <v/>
      </c>
      <c r="AO83" s="153">
        <f>$C83*INDEX(Curves!$AG$8:$AG$68,AO$4-$B83+1)</f>
        <v/>
      </c>
      <c r="AP83" s="153">
        <f>$C83*INDEX(Curves!$AG$8:$AG$68,AP$4-$B83+1)</f>
        <v/>
      </c>
      <c r="AQ83" s="153">
        <f>$C83*INDEX(Curves!$AG$8:$AG$68,AQ$4-$B83+1)</f>
        <v/>
      </c>
      <c r="AR83" s="153">
        <f>$C83*INDEX(Curves!$AG$8:$AG$68,AR$4-$B83+1)</f>
        <v/>
      </c>
      <c r="AS83" s="153">
        <f>$C83*INDEX(Curves!$AG$8:$AG$68,AS$4-$B83+1)</f>
        <v/>
      </c>
      <c r="AT83" s="153">
        <f>$C83*INDEX(Curves!$AG$8:$AG$68,AT$4-$B83+1)</f>
        <v/>
      </c>
      <c r="AU83" s="153">
        <f>$C83*INDEX(Curves!$AG$8:$AG$68,AU$4-$B83+1)</f>
        <v/>
      </c>
      <c r="AV83" s="153">
        <f>$C83*INDEX(Curves!$AG$8:$AG$68,AV$4-$B83+1)</f>
        <v/>
      </c>
      <c r="AW83" s="153">
        <f>$C83*INDEX(Curves!$AG$8:$AG$68,AW$4-$B83+1)</f>
        <v/>
      </c>
      <c r="AX83" s="153">
        <f>$C83*INDEX(Curves!$AG$8:$AG$68,AX$4-$B83+1)</f>
        <v/>
      </c>
      <c r="AY83" s="153">
        <f>$C83*INDEX(Curves!$AG$8:$AG$68,AY$4-$B83+1)</f>
        <v/>
      </c>
      <c r="AZ83" s="153">
        <f>$C83*INDEX(Curves!$AG$8:$AG$68,AZ$4-$B83+1)</f>
        <v/>
      </c>
      <c r="BA83" s="153">
        <f>$C83*INDEX(Curves!$AG$8:$AG$68,BA$4-$B83+1)</f>
        <v/>
      </c>
      <c r="BB83" s="153">
        <f>$C83*INDEX(Curves!$AG$8:$AG$68,BB$4-$B83+1)</f>
        <v/>
      </c>
      <c r="BC83" s="153">
        <f>$C83*INDEX(Curves!$AG$8:$AG$68,BC$4-$B83+1)</f>
        <v/>
      </c>
      <c r="BD83" s="153">
        <f>$C83*INDEX(Curves!$AG$8:$AG$68,BD$4-$B83+1)</f>
        <v/>
      </c>
      <c r="BE83" s="153">
        <f>$C83*INDEX(Curves!$AG$8:$AG$68,BE$4-$B83+1)</f>
        <v/>
      </c>
      <c r="BF83" s="153">
        <f>$C83*INDEX(Curves!$AG$8:$AG$68,BF$4-$B83+1)</f>
        <v/>
      </c>
      <c r="BG83" s="153">
        <f>$C83*INDEX(Curves!$AG$8:$AG$68,BG$4-$B83+1)</f>
        <v/>
      </c>
      <c r="BH83" s="153">
        <f>$C83*INDEX(Curves!$AG$8:$AG$68,BH$4-$B83+1)</f>
        <v/>
      </c>
      <c r="BI83" s="153">
        <f>$C83*INDEX(Curves!$AG$8:$AG$68,BI$4-$B83+1)</f>
        <v/>
      </c>
      <c r="BJ83" s="153">
        <f>$C83*INDEX(Curves!$AG$8:$AG$68,BJ$4-$B83+1)</f>
        <v/>
      </c>
      <c r="BK83" s="153">
        <f>$C83*INDEX(Curves!$AG$8:$AG$68,BK$4-$B83+1)</f>
        <v/>
      </c>
      <c r="BL83" s="153">
        <f>$C83*INDEX(Curves!$AG$8:$AG$68,BL$4-$B83+1)</f>
        <v/>
      </c>
    </row>
    <row r="84">
      <c r="A84" s="147" t="inlineStr">
        <is>
          <t>Cohort month 12</t>
        </is>
      </c>
      <c r="B84" s="147" t="n">
        <v>12</v>
      </c>
      <c r="C84" s="41">
        <f>INDEX(Ops!$E$59:$BL$59,1,$B84)</f>
        <v/>
      </c>
      <c r="Q84" s="153">
        <f>$C84*INDEX(Curves!$AG$8:$AG$68,Q$4-$B84+1)</f>
        <v/>
      </c>
      <c r="R84" s="153">
        <f>$C84*INDEX(Curves!$AG$8:$AG$68,R$4-$B84+1)</f>
        <v/>
      </c>
      <c r="S84" s="153">
        <f>$C84*INDEX(Curves!$AG$8:$AG$68,S$4-$B84+1)</f>
        <v/>
      </c>
      <c r="T84" s="153">
        <f>$C84*INDEX(Curves!$AG$8:$AG$68,T$4-$B84+1)</f>
        <v/>
      </c>
      <c r="U84" s="153">
        <f>$C84*INDEX(Curves!$AG$8:$AG$68,U$4-$B84+1)</f>
        <v/>
      </c>
      <c r="V84" s="153">
        <f>$C84*INDEX(Curves!$AG$8:$AG$68,V$4-$B84+1)</f>
        <v/>
      </c>
      <c r="W84" s="153">
        <f>$C84*INDEX(Curves!$AG$8:$AG$68,W$4-$B84+1)</f>
        <v/>
      </c>
      <c r="X84" s="153">
        <f>$C84*INDEX(Curves!$AG$8:$AG$68,X$4-$B84+1)</f>
        <v/>
      </c>
      <c r="Y84" s="153">
        <f>$C84*INDEX(Curves!$AG$8:$AG$68,Y$4-$B84+1)</f>
        <v/>
      </c>
      <c r="Z84" s="153">
        <f>$C84*INDEX(Curves!$AG$8:$AG$68,Z$4-$B84+1)</f>
        <v/>
      </c>
      <c r="AA84" s="153">
        <f>$C84*INDEX(Curves!$AG$8:$AG$68,AA$4-$B84+1)</f>
        <v/>
      </c>
      <c r="AB84" s="153">
        <f>$C84*INDEX(Curves!$AG$8:$AG$68,AB$4-$B84+1)</f>
        <v/>
      </c>
      <c r="AC84" s="153">
        <f>$C84*INDEX(Curves!$AG$8:$AG$68,AC$4-$B84+1)</f>
        <v/>
      </c>
      <c r="AD84" s="153">
        <f>$C84*INDEX(Curves!$AG$8:$AG$68,AD$4-$B84+1)</f>
        <v/>
      </c>
      <c r="AE84" s="153">
        <f>$C84*INDEX(Curves!$AG$8:$AG$68,AE$4-$B84+1)</f>
        <v/>
      </c>
      <c r="AF84" s="153">
        <f>$C84*INDEX(Curves!$AG$8:$AG$68,AF$4-$B84+1)</f>
        <v/>
      </c>
      <c r="AG84" s="153">
        <f>$C84*INDEX(Curves!$AG$8:$AG$68,AG$4-$B84+1)</f>
        <v/>
      </c>
      <c r="AH84" s="153">
        <f>$C84*INDEX(Curves!$AG$8:$AG$68,AH$4-$B84+1)</f>
        <v/>
      </c>
      <c r="AI84" s="153">
        <f>$C84*INDEX(Curves!$AG$8:$AG$68,AI$4-$B84+1)</f>
        <v/>
      </c>
      <c r="AJ84" s="153">
        <f>$C84*INDEX(Curves!$AG$8:$AG$68,AJ$4-$B84+1)</f>
        <v/>
      </c>
      <c r="AK84" s="153">
        <f>$C84*INDEX(Curves!$AG$8:$AG$68,AK$4-$B84+1)</f>
        <v/>
      </c>
      <c r="AL84" s="153">
        <f>$C84*INDEX(Curves!$AG$8:$AG$68,AL$4-$B84+1)</f>
        <v/>
      </c>
      <c r="AM84" s="153">
        <f>$C84*INDEX(Curves!$AG$8:$AG$68,AM$4-$B84+1)</f>
        <v/>
      </c>
      <c r="AN84" s="153">
        <f>$C84*INDEX(Curves!$AG$8:$AG$68,AN$4-$B84+1)</f>
        <v/>
      </c>
      <c r="AO84" s="153">
        <f>$C84*INDEX(Curves!$AG$8:$AG$68,AO$4-$B84+1)</f>
        <v/>
      </c>
      <c r="AP84" s="153">
        <f>$C84*INDEX(Curves!$AG$8:$AG$68,AP$4-$B84+1)</f>
        <v/>
      </c>
      <c r="AQ84" s="153">
        <f>$C84*INDEX(Curves!$AG$8:$AG$68,AQ$4-$B84+1)</f>
        <v/>
      </c>
      <c r="AR84" s="153">
        <f>$C84*INDEX(Curves!$AG$8:$AG$68,AR$4-$B84+1)</f>
        <v/>
      </c>
      <c r="AS84" s="153">
        <f>$C84*INDEX(Curves!$AG$8:$AG$68,AS$4-$B84+1)</f>
        <v/>
      </c>
      <c r="AT84" s="153">
        <f>$C84*INDEX(Curves!$AG$8:$AG$68,AT$4-$B84+1)</f>
        <v/>
      </c>
      <c r="AU84" s="153">
        <f>$C84*INDEX(Curves!$AG$8:$AG$68,AU$4-$B84+1)</f>
        <v/>
      </c>
      <c r="AV84" s="153">
        <f>$C84*INDEX(Curves!$AG$8:$AG$68,AV$4-$B84+1)</f>
        <v/>
      </c>
      <c r="AW84" s="153">
        <f>$C84*INDEX(Curves!$AG$8:$AG$68,AW$4-$B84+1)</f>
        <v/>
      </c>
      <c r="AX84" s="153">
        <f>$C84*INDEX(Curves!$AG$8:$AG$68,AX$4-$B84+1)</f>
        <v/>
      </c>
      <c r="AY84" s="153">
        <f>$C84*INDEX(Curves!$AG$8:$AG$68,AY$4-$B84+1)</f>
        <v/>
      </c>
      <c r="AZ84" s="153">
        <f>$C84*INDEX(Curves!$AG$8:$AG$68,AZ$4-$B84+1)</f>
        <v/>
      </c>
      <c r="BA84" s="153">
        <f>$C84*INDEX(Curves!$AG$8:$AG$68,BA$4-$B84+1)</f>
        <v/>
      </c>
      <c r="BB84" s="153">
        <f>$C84*INDEX(Curves!$AG$8:$AG$68,BB$4-$B84+1)</f>
        <v/>
      </c>
      <c r="BC84" s="153">
        <f>$C84*INDEX(Curves!$AG$8:$AG$68,BC$4-$B84+1)</f>
        <v/>
      </c>
      <c r="BD84" s="153">
        <f>$C84*INDEX(Curves!$AG$8:$AG$68,BD$4-$B84+1)</f>
        <v/>
      </c>
      <c r="BE84" s="153">
        <f>$C84*INDEX(Curves!$AG$8:$AG$68,BE$4-$B84+1)</f>
        <v/>
      </c>
      <c r="BF84" s="153">
        <f>$C84*INDEX(Curves!$AG$8:$AG$68,BF$4-$B84+1)</f>
        <v/>
      </c>
      <c r="BG84" s="153">
        <f>$C84*INDEX(Curves!$AG$8:$AG$68,BG$4-$B84+1)</f>
        <v/>
      </c>
      <c r="BH84" s="153">
        <f>$C84*INDEX(Curves!$AG$8:$AG$68,BH$4-$B84+1)</f>
        <v/>
      </c>
      <c r="BI84" s="153">
        <f>$C84*INDEX(Curves!$AG$8:$AG$68,BI$4-$B84+1)</f>
        <v/>
      </c>
      <c r="BJ84" s="153">
        <f>$C84*INDEX(Curves!$AG$8:$AG$68,BJ$4-$B84+1)</f>
        <v/>
      </c>
      <c r="BK84" s="153">
        <f>$C84*INDEX(Curves!$AG$8:$AG$68,BK$4-$B84+1)</f>
        <v/>
      </c>
      <c r="BL84" s="153">
        <f>$C84*INDEX(Curves!$AG$8:$AG$68,BL$4-$B84+1)</f>
        <v/>
      </c>
    </row>
    <row r="85">
      <c r="A85" s="147" t="inlineStr">
        <is>
          <t>Cohort month 13</t>
        </is>
      </c>
      <c r="B85" s="147" t="n">
        <v>13</v>
      </c>
      <c r="C85" s="41">
        <f>INDEX(Ops!$E$59:$BL$59,1,$B85)</f>
        <v/>
      </c>
      <c r="R85" s="153">
        <f>$C85*INDEX(Curves!$AG$8:$AG$68,R$4-$B85+1)</f>
        <v/>
      </c>
      <c r="S85" s="153">
        <f>$C85*INDEX(Curves!$AG$8:$AG$68,S$4-$B85+1)</f>
        <v/>
      </c>
      <c r="T85" s="153">
        <f>$C85*INDEX(Curves!$AG$8:$AG$68,T$4-$B85+1)</f>
        <v/>
      </c>
      <c r="U85" s="153">
        <f>$C85*INDEX(Curves!$AG$8:$AG$68,U$4-$B85+1)</f>
        <v/>
      </c>
      <c r="V85" s="153">
        <f>$C85*INDEX(Curves!$AG$8:$AG$68,V$4-$B85+1)</f>
        <v/>
      </c>
      <c r="W85" s="153">
        <f>$C85*INDEX(Curves!$AG$8:$AG$68,W$4-$B85+1)</f>
        <v/>
      </c>
      <c r="X85" s="153">
        <f>$C85*INDEX(Curves!$AG$8:$AG$68,X$4-$B85+1)</f>
        <v/>
      </c>
      <c r="Y85" s="153">
        <f>$C85*INDEX(Curves!$AG$8:$AG$68,Y$4-$B85+1)</f>
        <v/>
      </c>
      <c r="Z85" s="153">
        <f>$C85*INDEX(Curves!$AG$8:$AG$68,Z$4-$B85+1)</f>
        <v/>
      </c>
      <c r="AA85" s="153">
        <f>$C85*INDEX(Curves!$AG$8:$AG$68,AA$4-$B85+1)</f>
        <v/>
      </c>
      <c r="AB85" s="153">
        <f>$C85*INDEX(Curves!$AG$8:$AG$68,AB$4-$B85+1)</f>
        <v/>
      </c>
      <c r="AC85" s="153">
        <f>$C85*INDEX(Curves!$AG$8:$AG$68,AC$4-$B85+1)</f>
        <v/>
      </c>
      <c r="AD85" s="153">
        <f>$C85*INDEX(Curves!$AG$8:$AG$68,AD$4-$B85+1)</f>
        <v/>
      </c>
      <c r="AE85" s="153">
        <f>$C85*INDEX(Curves!$AG$8:$AG$68,AE$4-$B85+1)</f>
        <v/>
      </c>
      <c r="AF85" s="153">
        <f>$C85*INDEX(Curves!$AG$8:$AG$68,AF$4-$B85+1)</f>
        <v/>
      </c>
      <c r="AG85" s="153">
        <f>$C85*INDEX(Curves!$AG$8:$AG$68,AG$4-$B85+1)</f>
        <v/>
      </c>
      <c r="AH85" s="153">
        <f>$C85*INDEX(Curves!$AG$8:$AG$68,AH$4-$B85+1)</f>
        <v/>
      </c>
      <c r="AI85" s="153">
        <f>$C85*INDEX(Curves!$AG$8:$AG$68,AI$4-$B85+1)</f>
        <v/>
      </c>
      <c r="AJ85" s="153">
        <f>$C85*INDEX(Curves!$AG$8:$AG$68,AJ$4-$B85+1)</f>
        <v/>
      </c>
      <c r="AK85" s="153">
        <f>$C85*INDEX(Curves!$AG$8:$AG$68,AK$4-$B85+1)</f>
        <v/>
      </c>
      <c r="AL85" s="153">
        <f>$C85*INDEX(Curves!$AG$8:$AG$68,AL$4-$B85+1)</f>
        <v/>
      </c>
      <c r="AM85" s="153">
        <f>$C85*INDEX(Curves!$AG$8:$AG$68,AM$4-$B85+1)</f>
        <v/>
      </c>
      <c r="AN85" s="153">
        <f>$C85*INDEX(Curves!$AG$8:$AG$68,AN$4-$B85+1)</f>
        <v/>
      </c>
      <c r="AO85" s="153">
        <f>$C85*INDEX(Curves!$AG$8:$AG$68,AO$4-$B85+1)</f>
        <v/>
      </c>
      <c r="AP85" s="153">
        <f>$C85*INDEX(Curves!$AG$8:$AG$68,AP$4-$B85+1)</f>
        <v/>
      </c>
      <c r="AQ85" s="153">
        <f>$C85*INDEX(Curves!$AG$8:$AG$68,AQ$4-$B85+1)</f>
        <v/>
      </c>
      <c r="AR85" s="153">
        <f>$C85*INDEX(Curves!$AG$8:$AG$68,AR$4-$B85+1)</f>
        <v/>
      </c>
      <c r="AS85" s="153">
        <f>$C85*INDEX(Curves!$AG$8:$AG$68,AS$4-$B85+1)</f>
        <v/>
      </c>
      <c r="AT85" s="153">
        <f>$C85*INDEX(Curves!$AG$8:$AG$68,AT$4-$B85+1)</f>
        <v/>
      </c>
      <c r="AU85" s="153">
        <f>$C85*INDEX(Curves!$AG$8:$AG$68,AU$4-$B85+1)</f>
        <v/>
      </c>
      <c r="AV85" s="153">
        <f>$C85*INDEX(Curves!$AG$8:$AG$68,AV$4-$B85+1)</f>
        <v/>
      </c>
      <c r="AW85" s="153">
        <f>$C85*INDEX(Curves!$AG$8:$AG$68,AW$4-$B85+1)</f>
        <v/>
      </c>
      <c r="AX85" s="153">
        <f>$C85*INDEX(Curves!$AG$8:$AG$68,AX$4-$B85+1)</f>
        <v/>
      </c>
      <c r="AY85" s="153">
        <f>$C85*INDEX(Curves!$AG$8:$AG$68,AY$4-$B85+1)</f>
        <v/>
      </c>
      <c r="AZ85" s="153">
        <f>$C85*INDEX(Curves!$AG$8:$AG$68,AZ$4-$B85+1)</f>
        <v/>
      </c>
      <c r="BA85" s="153">
        <f>$C85*INDEX(Curves!$AG$8:$AG$68,BA$4-$B85+1)</f>
        <v/>
      </c>
      <c r="BB85" s="153">
        <f>$C85*INDEX(Curves!$AG$8:$AG$68,BB$4-$B85+1)</f>
        <v/>
      </c>
      <c r="BC85" s="153">
        <f>$C85*INDEX(Curves!$AG$8:$AG$68,BC$4-$B85+1)</f>
        <v/>
      </c>
      <c r="BD85" s="153">
        <f>$C85*INDEX(Curves!$AG$8:$AG$68,BD$4-$B85+1)</f>
        <v/>
      </c>
      <c r="BE85" s="153">
        <f>$C85*INDEX(Curves!$AG$8:$AG$68,BE$4-$B85+1)</f>
        <v/>
      </c>
      <c r="BF85" s="153">
        <f>$C85*INDEX(Curves!$AG$8:$AG$68,BF$4-$B85+1)</f>
        <v/>
      </c>
      <c r="BG85" s="153">
        <f>$C85*INDEX(Curves!$AG$8:$AG$68,BG$4-$B85+1)</f>
        <v/>
      </c>
      <c r="BH85" s="153">
        <f>$C85*INDEX(Curves!$AG$8:$AG$68,BH$4-$B85+1)</f>
        <v/>
      </c>
      <c r="BI85" s="153">
        <f>$C85*INDEX(Curves!$AG$8:$AG$68,BI$4-$B85+1)</f>
        <v/>
      </c>
      <c r="BJ85" s="153">
        <f>$C85*INDEX(Curves!$AG$8:$AG$68,BJ$4-$B85+1)</f>
        <v/>
      </c>
      <c r="BK85" s="153">
        <f>$C85*INDEX(Curves!$AG$8:$AG$68,BK$4-$B85+1)</f>
        <v/>
      </c>
      <c r="BL85" s="153">
        <f>$C85*INDEX(Curves!$AG$8:$AG$68,BL$4-$B85+1)</f>
        <v/>
      </c>
    </row>
    <row r="86">
      <c r="A86" s="147" t="inlineStr">
        <is>
          <t>Cohort month 14</t>
        </is>
      </c>
      <c r="B86" s="147" t="n">
        <v>14</v>
      </c>
      <c r="C86" s="41">
        <f>INDEX(Ops!$E$59:$BL$59,1,$B86)</f>
        <v/>
      </c>
      <c r="S86" s="153">
        <f>$C86*INDEX(Curves!$AG$8:$AG$68,S$4-$B86+1)</f>
        <v/>
      </c>
      <c r="T86" s="153">
        <f>$C86*INDEX(Curves!$AG$8:$AG$68,T$4-$B86+1)</f>
        <v/>
      </c>
      <c r="U86" s="153">
        <f>$C86*INDEX(Curves!$AG$8:$AG$68,U$4-$B86+1)</f>
        <v/>
      </c>
      <c r="V86" s="153">
        <f>$C86*INDEX(Curves!$AG$8:$AG$68,V$4-$B86+1)</f>
        <v/>
      </c>
      <c r="W86" s="153">
        <f>$C86*INDEX(Curves!$AG$8:$AG$68,W$4-$B86+1)</f>
        <v/>
      </c>
      <c r="X86" s="153">
        <f>$C86*INDEX(Curves!$AG$8:$AG$68,X$4-$B86+1)</f>
        <v/>
      </c>
      <c r="Y86" s="153">
        <f>$C86*INDEX(Curves!$AG$8:$AG$68,Y$4-$B86+1)</f>
        <v/>
      </c>
      <c r="Z86" s="153">
        <f>$C86*INDEX(Curves!$AG$8:$AG$68,Z$4-$B86+1)</f>
        <v/>
      </c>
      <c r="AA86" s="153">
        <f>$C86*INDEX(Curves!$AG$8:$AG$68,AA$4-$B86+1)</f>
        <v/>
      </c>
      <c r="AB86" s="153">
        <f>$C86*INDEX(Curves!$AG$8:$AG$68,AB$4-$B86+1)</f>
        <v/>
      </c>
      <c r="AC86" s="153">
        <f>$C86*INDEX(Curves!$AG$8:$AG$68,AC$4-$B86+1)</f>
        <v/>
      </c>
      <c r="AD86" s="153">
        <f>$C86*INDEX(Curves!$AG$8:$AG$68,AD$4-$B86+1)</f>
        <v/>
      </c>
      <c r="AE86" s="153">
        <f>$C86*INDEX(Curves!$AG$8:$AG$68,AE$4-$B86+1)</f>
        <v/>
      </c>
      <c r="AF86" s="153">
        <f>$C86*INDEX(Curves!$AG$8:$AG$68,AF$4-$B86+1)</f>
        <v/>
      </c>
      <c r="AG86" s="153">
        <f>$C86*INDEX(Curves!$AG$8:$AG$68,AG$4-$B86+1)</f>
        <v/>
      </c>
      <c r="AH86" s="153">
        <f>$C86*INDEX(Curves!$AG$8:$AG$68,AH$4-$B86+1)</f>
        <v/>
      </c>
      <c r="AI86" s="153">
        <f>$C86*INDEX(Curves!$AG$8:$AG$68,AI$4-$B86+1)</f>
        <v/>
      </c>
      <c r="AJ86" s="153">
        <f>$C86*INDEX(Curves!$AG$8:$AG$68,AJ$4-$B86+1)</f>
        <v/>
      </c>
      <c r="AK86" s="153">
        <f>$C86*INDEX(Curves!$AG$8:$AG$68,AK$4-$B86+1)</f>
        <v/>
      </c>
      <c r="AL86" s="153">
        <f>$C86*INDEX(Curves!$AG$8:$AG$68,AL$4-$B86+1)</f>
        <v/>
      </c>
      <c r="AM86" s="153">
        <f>$C86*INDEX(Curves!$AG$8:$AG$68,AM$4-$B86+1)</f>
        <v/>
      </c>
      <c r="AN86" s="153">
        <f>$C86*INDEX(Curves!$AG$8:$AG$68,AN$4-$B86+1)</f>
        <v/>
      </c>
      <c r="AO86" s="153">
        <f>$C86*INDEX(Curves!$AG$8:$AG$68,AO$4-$B86+1)</f>
        <v/>
      </c>
      <c r="AP86" s="153">
        <f>$C86*INDEX(Curves!$AG$8:$AG$68,AP$4-$B86+1)</f>
        <v/>
      </c>
      <c r="AQ86" s="153">
        <f>$C86*INDEX(Curves!$AG$8:$AG$68,AQ$4-$B86+1)</f>
        <v/>
      </c>
      <c r="AR86" s="153">
        <f>$C86*INDEX(Curves!$AG$8:$AG$68,AR$4-$B86+1)</f>
        <v/>
      </c>
      <c r="AS86" s="153">
        <f>$C86*INDEX(Curves!$AG$8:$AG$68,AS$4-$B86+1)</f>
        <v/>
      </c>
      <c r="AT86" s="153">
        <f>$C86*INDEX(Curves!$AG$8:$AG$68,AT$4-$B86+1)</f>
        <v/>
      </c>
      <c r="AU86" s="153">
        <f>$C86*INDEX(Curves!$AG$8:$AG$68,AU$4-$B86+1)</f>
        <v/>
      </c>
      <c r="AV86" s="153">
        <f>$C86*INDEX(Curves!$AG$8:$AG$68,AV$4-$B86+1)</f>
        <v/>
      </c>
      <c r="AW86" s="153">
        <f>$C86*INDEX(Curves!$AG$8:$AG$68,AW$4-$B86+1)</f>
        <v/>
      </c>
      <c r="AX86" s="153">
        <f>$C86*INDEX(Curves!$AG$8:$AG$68,AX$4-$B86+1)</f>
        <v/>
      </c>
      <c r="AY86" s="153">
        <f>$C86*INDEX(Curves!$AG$8:$AG$68,AY$4-$B86+1)</f>
        <v/>
      </c>
      <c r="AZ86" s="153">
        <f>$C86*INDEX(Curves!$AG$8:$AG$68,AZ$4-$B86+1)</f>
        <v/>
      </c>
      <c r="BA86" s="153">
        <f>$C86*INDEX(Curves!$AG$8:$AG$68,BA$4-$B86+1)</f>
        <v/>
      </c>
      <c r="BB86" s="153">
        <f>$C86*INDEX(Curves!$AG$8:$AG$68,BB$4-$B86+1)</f>
        <v/>
      </c>
      <c r="BC86" s="153">
        <f>$C86*INDEX(Curves!$AG$8:$AG$68,BC$4-$B86+1)</f>
        <v/>
      </c>
      <c r="BD86" s="153">
        <f>$C86*INDEX(Curves!$AG$8:$AG$68,BD$4-$B86+1)</f>
        <v/>
      </c>
      <c r="BE86" s="153">
        <f>$C86*INDEX(Curves!$AG$8:$AG$68,BE$4-$B86+1)</f>
        <v/>
      </c>
      <c r="BF86" s="153">
        <f>$C86*INDEX(Curves!$AG$8:$AG$68,BF$4-$B86+1)</f>
        <v/>
      </c>
      <c r="BG86" s="153">
        <f>$C86*INDEX(Curves!$AG$8:$AG$68,BG$4-$B86+1)</f>
        <v/>
      </c>
      <c r="BH86" s="153">
        <f>$C86*INDEX(Curves!$AG$8:$AG$68,BH$4-$B86+1)</f>
        <v/>
      </c>
      <c r="BI86" s="153">
        <f>$C86*INDEX(Curves!$AG$8:$AG$68,BI$4-$B86+1)</f>
        <v/>
      </c>
      <c r="BJ86" s="153">
        <f>$C86*INDEX(Curves!$AG$8:$AG$68,BJ$4-$B86+1)</f>
        <v/>
      </c>
      <c r="BK86" s="153">
        <f>$C86*INDEX(Curves!$AG$8:$AG$68,BK$4-$B86+1)</f>
        <v/>
      </c>
      <c r="BL86" s="153">
        <f>$C86*INDEX(Curves!$AG$8:$AG$68,BL$4-$B86+1)</f>
        <v/>
      </c>
    </row>
    <row r="87">
      <c r="A87" s="147" t="inlineStr">
        <is>
          <t>Cohort month 15</t>
        </is>
      </c>
      <c r="B87" s="147" t="n">
        <v>15</v>
      </c>
      <c r="C87" s="41">
        <f>INDEX(Ops!$E$59:$BL$59,1,$B87)</f>
        <v/>
      </c>
      <c r="T87" s="153">
        <f>$C87*INDEX(Curves!$AG$8:$AG$68,T$4-$B87+1)</f>
        <v/>
      </c>
      <c r="U87" s="153">
        <f>$C87*INDEX(Curves!$AG$8:$AG$68,U$4-$B87+1)</f>
        <v/>
      </c>
      <c r="V87" s="153">
        <f>$C87*INDEX(Curves!$AG$8:$AG$68,V$4-$B87+1)</f>
        <v/>
      </c>
      <c r="W87" s="153">
        <f>$C87*INDEX(Curves!$AG$8:$AG$68,W$4-$B87+1)</f>
        <v/>
      </c>
      <c r="X87" s="153">
        <f>$C87*INDEX(Curves!$AG$8:$AG$68,X$4-$B87+1)</f>
        <v/>
      </c>
      <c r="Y87" s="153">
        <f>$C87*INDEX(Curves!$AG$8:$AG$68,Y$4-$B87+1)</f>
        <v/>
      </c>
      <c r="Z87" s="153">
        <f>$C87*INDEX(Curves!$AG$8:$AG$68,Z$4-$B87+1)</f>
        <v/>
      </c>
      <c r="AA87" s="153">
        <f>$C87*INDEX(Curves!$AG$8:$AG$68,AA$4-$B87+1)</f>
        <v/>
      </c>
      <c r="AB87" s="153">
        <f>$C87*INDEX(Curves!$AG$8:$AG$68,AB$4-$B87+1)</f>
        <v/>
      </c>
      <c r="AC87" s="153">
        <f>$C87*INDEX(Curves!$AG$8:$AG$68,AC$4-$B87+1)</f>
        <v/>
      </c>
      <c r="AD87" s="153">
        <f>$C87*INDEX(Curves!$AG$8:$AG$68,AD$4-$B87+1)</f>
        <v/>
      </c>
      <c r="AE87" s="153">
        <f>$C87*INDEX(Curves!$AG$8:$AG$68,AE$4-$B87+1)</f>
        <v/>
      </c>
      <c r="AF87" s="153">
        <f>$C87*INDEX(Curves!$AG$8:$AG$68,AF$4-$B87+1)</f>
        <v/>
      </c>
      <c r="AG87" s="153">
        <f>$C87*INDEX(Curves!$AG$8:$AG$68,AG$4-$B87+1)</f>
        <v/>
      </c>
      <c r="AH87" s="153">
        <f>$C87*INDEX(Curves!$AG$8:$AG$68,AH$4-$B87+1)</f>
        <v/>
      </c>
      <c r="AI87" s="153">
        <f>$C87*INDEX(Curves!$AG$8:$AG$68,AI$4-$B87+1)</f>
        <v/>
      </c>
      <c r="AJ87" s="153">
        <f>$C87*INDEX(Curves!$AG$8:$AG$68,AJ$4-$B87+1)</f>
        <v/>
      </c>
      <c r="AK87" s="153">
        <f>$C87*INDEX(Curves!$AG$8:$AG$68,AK$4-$B87+1)</f>
        <v/>
      </c>
      <c r="AL87" s="153">
        <f>$C87*INDEX(Curves!$AG$8:$AG$68,AL$4-$B87+1)</f>
        <v/>
      </c>
      <c r="AM87" s="153">
        <f>$C87*INDEX(Curves!$AG$8:$AG$68,AM$4-$B87+1)</f>
        <v/>
      </c>
      <c r="AN87" s="153">
        <f>$C87*INDEX(Curves!$AG$8:$AG$68,AN$4-$B87+1)</f>
        <v/>
      </c>
      <c r="AO87" s="153">
        <f>$C87*INDEX(Curves!$AG$8:$AG$68,AO$4-$B87+1)</f>
        <v/>
      </c>
      <c r="AP87" s="153">
        <f>$C87*INDEX(Curves!$AG$8:$AG$68,AP$4-$B87+1)</f>
        <v/>
      </c>
      <c r="AQ87" s="153">
        <f>$C87*INDEX(Curves!$AG$8:$AG$68,AQ$4-$B87+1)</f>
        <v/>
      </c>
      <c r="AR87" s="153">
        <f>$C87*INDEX(Curves!$AG$8:$AG$68,AR$4-$B87+1)</f>
        <v/>
      </c>
      <c r="AS87" s="153">
        <f>$C87*INDEX(Curves!$AG$8:$AG$68,AS$4-$B87+1)</f>
        <v/>
      </c>
      <c r="AT87" s="153">
        <f>$C87*INDEX(Curves!$AG$8:$AG$68,AT$4-$B87+1)</f>
        <v/>
      </c>
      <c r="AU87" s="153">
        <f>$C87*INDEX(Curves!$AG$8:$AG$68,AU$4-$B87+1)</f>
        <v/>
      </c>
      <c r="AV87" s="153">
        <f>$C87*INDEX(Curves!$AG$8:$AG$68,AV$4-$B87+1)</f>
        <v/>
      </c>
      <c r="AW87" s="153">
        <f>$C87*INDEX(Curves!$AG$8:$AG$68,AW$4-$B87+1)</f>
        <v/>
      </c>
      <c r="AX87" s="153">
        <f>$C87*INDEX(Curves!$AG$8:$AG$68,AX$4-$B87+1)</f>
        <v/>
      </c>
      <c r="AY87" s="153">
        <f>$C87*INDEX(Curves!$AG$8:$AG$68,AY$4-$B87+1)</f>
        <v/>
      </c>
      <c r="AZ87" s="153">
        <f>$C87*INDEX(Curves!$AG$8:$AG$68,AZ$4-$B87+1)</f>
        <v/>
      </c>
      <c r="BA87" s="153">
        <f>$C87*INDEX(Curves!$AG$8:$AG$68,BA$4-$B87+1)</f>
        <v/>
      </c>
      <c r="BB87" s="153">
        <f>$C87*INDEX(Curves!$AG$8:$AG$68,BB$4-$B87+1)</f>
        <v/>
      </c>
      <c r="BC87" s="153">
        <f>$C87*INDEX(Curves!$AG$8:$AG$68,BC$4-$B87+1)</f>
        <v/>
      </c>
      <c r="BD87" s="153">
        <f>$C87*INDEX(Curves!$AG$8:$AG$68,BD$4-$B87+1)</f>
        <v/>
      </c>
      <c r="BE87" s="153">
        <f>$C87*INDEX(Curves!$AG$8:$AG$68,BE$4-$B87+1)</f>
        <v/>
      </c>
      <c r="BF87" s="153">
        <f>$C87*INDEX(Curves!$AG$8:$AG$68,BF$4-$B87+1)</f>
        <v/>
      </c>
      <c r="BG87" s="153">
        <f>$C87*INDEX(Curves!$AG$8:$AG$68,BG$4-$B87+1)</f>
        <v/>
      </c>
      <c r="BH87" s="153">
        <f>$C87*INDEX(Curves!$AG$8:$AG$68,BH$4-$B87+1)</f>
        <v/>
      </c>
      <c r="BI87" s="153">
        <f>$C87*INDEX(Curves!$AG$8:$AG$68,BI$4-$B87+1)</f>
        <v/>
      </c>
      <c r="BJ87" s="153">
        <f>$C87*INDEX(Curves!$AG$8:$AG$68,BJ$4-$B87+1)</f>
        <v/>
      </c>
      <c r="BK87" s="153">
        <f>$C87*INDEX(Curves!$AG$8:$AG$68,BK$4-$B87+1)</f>
        <v/>
      </c>
      <c r="BL87" s="153">
        <f>$C87*INDEX(Curves!$AG$8:$AG$68,BL$4-$B87+1)</f>
        <v/>
      </c>
    </row>
    <row r="88">
      <c r="A88" s="147" t="inlineStr">
        <is>
          <t>Cohort month 16</t>
        </is>
      </c>
      <c r="B88" s="147" t="n">
        <v>16</v>
      </c>
      <c r="C88" s="41">
        <f>INDEX(Ops!$E$59:$BL$59,1,$B88)</f>
        <v/>
      </c>
      <c r="U88" s="153">
        <f>$C88*INDEX(Curves!$AG$8:$AG$68,U$4-$B88+1)</f>
        <v/>
      </c>
      <c r="V88" s="153">
        <f>$C88*INDEX(Curves!$AG$8:$AG$68,V$4-$B88+1)</f>
        <v/>
      </c>
      <c r="W88" s="153">
        <f>$C88*INDEX(Curves!$AG$8:$AG$68,W$4-$B88+1)</f>
        <v/>
      </c>
      <c r="X88" s="153">
        <f>$C88*INDEX(Curves!$AG$8:$AG$68,X$4-$B88+1)</f>
        <v/>
      </c>
      <c r="Y88" s="153">
        <f>$C88*INDEX(Curves!$AG$8:$AG$68,Y$4-$B88+1)</f>
        <v/>
      </c>
      <c r="Z88" s="153">
        <f>$C88*INDEX(Curves!$AG$8:$AG$68,Z$4-$B88+1)</f>
        <v/>
      </c>
      <c r="AA88" s="153">
        <f>$C88*INDEX(Curves!$AG$8:$AG$68,AA$4-$B88+1)</f>
        <v/>
      </c>
      <c r="AB88" s="153">
        <f>$C88*INDEX(Curves!$AG$8:$AG$68,AB$4-$B88+1)</f>
        <v/>
      </c>
      <c r="AC88" s="153">
        <f>$C88*INDEX(Curves!$AG$8:$AG$68,AC$4-$B88+1)</f>
        <v/>
      </c>
      <c r="AD88" s="153">
        <f>$C88*INDEX(Curves!$AG$8:$AG$68,AD$4-$B88+1)</f>
        <v/>
      </c>
      <c r="AE88" s="153">
        <f>$C88*INDEX(Curves!$AG$8:$AG$68,AE$4-$B88+1)</f>
        <v/>
      </c>
      <c r="AF88" s="153">
        <f>$C88*INDEX(Curves!$AG$8:$AG$68,AF$4-$B88+1)</f>
        <v/>
      </c>
      <c r="AG88" s="153">
        <f>$C88*INDEX(Curves!$AG$8:$AG$68,AG$4-$B88+1)</f>
        <v/>
      </c>
      <c r="AH88" s="153">
        <f>$C88*INDEX(Curves!$AG$8:$AG$68,AH$4-$B88+1)</f>
        <v/>
      </c>
      <c r="AI88" s="153">
        <f>$C88*INDEX(Curves!$AG$8:$AG$68,AI$4-$B88+1)</f>
        <v/>
      </c>
      <c r="AJ88" s="153">
        <f>$C88*INDEX(Curves!$AG$8:$AG$68,AJ$4-$B88+1)</f>
        <v/>
      </c>
      <c r="AK88" s="153">
        <f>$C88*INDEX(Curves!$AG$8:$AG$68,AK$4-$B88+1)</f>
        <v/>
      </c>
      <c r="AL88" s="153">
        <f>$C88*INDEX(Curves!$AG$8:$AG$68,AL$4-$B88+1)</f>
        <v/>
      </c>
      <c r="AM88" s="153">
        <f>$C88*INDEX(Curves!$AG$8:$AG$68,AM$4-$B88+1)</f>
        <v/>
      </c>
      <c r="AN88" s="153">
        <f>$C88*INDEX(Curves!$AG$8:$AG$68,AN$4-$B88+1)</f>
        <v/>
      </c>
      <c r="AO88" s="153">
        <f>$C88*INDEX(Curves!$AG$8:$AG$68,AO$4-$B88+1)</f>
        <v/>
      </c>
      <c r="AP88" s="153">
        <f>$C88*INDEX(Curves!$AG$8:$AG$68,AP$4-$B88+1)</f>
        <v/>
      </c>
      <c r="AQ88" s="153">
        <f>$C88*INDEX(Curves!$AG$8:$AG$68,AQ$4-$B88+1)</f>
        <v/>
      </c>
      <c r="AR88" s="153">
        <f>$C88*INDEX(Curves!$AG$8:$AG$68,AR$4-$B88+1)</f>
        <v/>
      </c>
      <c r="AS88" s="153">
        <f>$C88*INDEX(Curves!$AG$8:$AG$68,AS$4-$B88+1)</f>
        <v/>
      </c>
      <c r="AT88" s="153">
        <f>$C88*INDEX(Curves!$AG$8:$AG$68,AT$4-$B88+1)</f>
        <v/>
      </c>
      <c r="AU88" s="153">
        <f>$C88*INDEX(Curves!$AG$8:$AG$68,AU$4-$B88+1)</f>
        <v/>
      </c>
      <c r="AV88" s="153">
        <f>$C88*INDEX(Curves!$AG$8:$AG$68,AV$4-$B88+1)</f>
        <v/>
      </c>
      <c r="AW88" s="153">
        <f>$C88*INDEX(Curves!$AG$8:$AG$68,AW$4-$B88+1)</f>
        <v/>
      </c>
      <c r="AX88" s="153">
        <f>$C88*INDEX(Curves!$AG$8:$AG$68,AX$4-$B88+1)</f>
        <v/>
      </c>
      <c r="AY88" s="153">
        <f>$C88*INDEX(Curves!$AG$8:$AG$68,AY$4-$B88+1)</f>
        <v/>
      </c>
      <c r="AZ88" s="153">
        <f>$C88*INDEX(Curves!$AG$8:$AG$68,AZ$4-$B88+1)</f>
        <v/>
      </c>
      <c r="BA88" s="153">
        <f>$C88*INDEX(Curves!$AG$8:$AG$68,BA$4-$B88+1)</f>
        <v/>
      </c>
      <c r="BB88" s="153">
        <f>$C88*INDEX(Curves!$AG$8:$AG$68,BB$4-$B88+1)</f>
        <v/>
      </c>
      <c r="BC88" s="153">
        <f>$C88*INDEX(Curves!$AG$8:$AG$68,BC$4-$B88+1)</f>
        <v/>
      </c>
      <c r="BD88" s="153">
        <f>$C88*INDEX(Curves!$AG$8:$AG$68,BD$4-$B88+1)</f>
        <v/>
      </c>
      <c r="BE88" s="153">
        <f>$C88*INDEX(Curves!$AG$8:$AG$68,BE$4-$B88+1)</f>
        <v/>
      </c>
      <c r="BF88" s="153">
        <f>$C88*INDEX(Curves!$AG$8:$AG$68,BF$4-$B88+1)</f>
        <v/>
      </c>
      <c r="BG88" s="153">
        <f>$C88*INDEX(Curves!$AG$8:$AG$68,BG$4-$B88+1)</f>
        <v/>
      </c>
      <c r="BH88" s="153">
        <f>$C88*INDEX(Curves!$AG$8:$AG$68,BH$4-$B88+1)</f>
        <v/>
      </c>
      <c r="BI88" s="153">
        <f>$C88*INDEX(Curves!$AG$8:$AG$68,BI$4-$B88+1)</f>
        <v/>
      </c>
      <c r="BJ88" s="153">
        <f>$C88*INDEX(Curves!$AG$8:$AG$68,BJ$4-$B88+1)</f>
        <v/>
      </c>
      <c r="BK88" s="153">
        <f>$C88*INDEX(Curves!$AG$8:$AG$68,BK$4-$B88+1)</f>
        <v/>
      </c>
      <c r="BL88" s="153">
        <f>$C88*INDEX(Curves!$AG$8:$AG$68,BL$4-$B88+1)</f>
        <v/>
      </c>
    </row>
    <row r="89">
      <c r="A89" s="147" t="inlineStr">
        <is>
          <t>Cohort month 17</t>
        </is>
      </c>
      <c r="B89" s="147" t="n">
        <v>17</v>
      </c>
      <c r="C89" s="41">
        <f>INDEX(Ops!$E$59:$BL$59,1,$B89)</f>
        <v/>
      </c>
      <c r="V89" s="153">
        <f>$C89*INDEX(Curves!$AG$8:$AG$68,V$4-$B89+1)</f>
        <v/>
      </c>
      <c r="W89" s="153">
        <f>$C89*INDEX(Curves!$AG$8:$AG$68,W$4-$B89+1)</f>
        <v/>
      </c>
      <c r="X89" s="153">
        <f>$C89*INDEX(Curves!$AG$8:$AG$68,X$4-$B89+1)</f>
        <v/>
      </c>
      <c r="Y89" s="153">
        <f>$C89*INDEX(Curves!$AG$8:$AG$68,Y$4-$B89+1)</f>
        <v/>
      </c>
      <c r="Z89" s="153">
        <f>$C89*INDEX(Curves!$AG$8:$AG$68,Z$4-$B89+1)</f>
        <v/>
      </c>
      <c r="AA89" s="153">
        <f>$C89*INDEX(Curves!$AG$8:$AG$68,AA$4-$B89+1)</f>
        <v/>
      </c>
      <c r="AB89" s="153">
        <f>$C89*INDEX(Curves!$AG$8:$AG$68,AB$4-$B89+1)</f>
        <v/>
      </c>
      <c r="AC89" s="153">
        <f>$C89*INDEX(Curves!$AG$8:$AG$68,AC$4-$B89+1)</f>
        <v/>
      </c>
      <c r="AD89" s="153">
        <f>$C89*INDEX(Curves!$AG$8:$AG$68,AD$4-$B89+1)</f>
        <v/>
      </c>
      <c r="AE89" s="153">
        <f>$C89*INDEX(Curves!$AG$8:$AG$68,AE$4-$B89+1)</f>
        <v/>
      </c>
      <c r="AF89" s="153">
        <f>$C89*INDEX(Curves!$AG$8:$AG$68,AF$4-$B89+1)</f>
        <v/>
      </c>
      <c r="AG89" s="153">
        <f>$C89*INDEX(Curves!$AG$8:$AG$68,AG$4-$B89+1)</f>
        <v/>
      </c>
      <c r="AH89" s="153">
        <f>$C89*INDEX(Curves!$AG$8:$AG$68,AH$4-$B89+1)</f>
        <v/>
      </c>
      <c r="AI89" s="153">
        <f>$C89*INDEX(Curves!$AG$8:$AG$68,AI$4-$B89+1)</f>
        <v/>
      </c>
      <c r="AJ89" s="153">
        <f>$C89*INDEX(Curves!$AG$8:$AG$68,AJ$4-$B89+1)</f>
        <v/>
      </c>
      <c r="AK89" s="153">
        <f>$C89*INDEX(Curves!$AG$8:$AG$68,AK$4-$B89+1)</f>
        <v/>
      </c>
      <c r="AL89" s="153">
        <f>$C89*INDEX(Curves!$AG$8:$AG$68,AL$4-$B89+1)</f>
        <v/>
      </c>
      <c r="AM89" s="153">
        <f>$C89*INDEX(Curves!$AG$8:$AG$68,AM$4-$B89+1)</f>
        <v/>
      </c>
      <c r="AN89" s="153">
        <f>$C89*INDEX(Curves!$AG$8:$AG$68,AN$4-$B89+1)</f>
        <v/>
      </c>
      <c r="AO89" s="153">
        <f>$C89*INDEX(Curves!$AG$8:$AG$68,AO$4-$B89+1)</f>
        <v/>
      </c>
      <c r="AP89" s="153">
        <f>$C89*INDEX(Curves!$AG$8:$AG$68,AP$4-$B89+1)</f>
        <v/>
      </c>
      <c r="AQ89" s="153">
        <f>$C89*INDEX(Curves!$AG$8:$AG$68,AQ$4-$B89+1)</f>
        <v/>
      </c>
      <c r="AR89" s="153">
        <f>$C89*INDEX(Curves!$AG$8:$AG$68,AR$4-$B89+1)</f>
        <v/>
      </c>
      <c r="AS89" s="153">
        <f>$C89*INDEX(Curves!$AG$8:$AG$68,AS$4-$B89+1)</f>
        <v/>
      </c>
      <c r="AT89" s="153">
        <f>$C89*INDEX(Curves!$AG$8:$AG$68,AT$4-$B89+1)</f>
        <v/>
      </c>
      <c r="AU89" s="153">
        <f>$C89*INDEX(Curves!$AG$8:$AG$68,AU$4-$B89+1)</f>
        <v/>
      </c>
      <c r="AV89" s="153">
        <f>$C89*INDEX(Curves!$AG$8:$AG$68,AV$4-$B89+1)</f>
        <v/>
      </c>
      <c r="AW89" s="153">
        <f>$C89*INDEX(Curves!$AG$8:$AG$68,AW$4-$B89+1)</f>
        <v/>
      </c>
      <c r="AX89" s="153">
        <f>$C89*INDEX(Curves!$AG$8:$AG$68,AX$4-$B89+1)</f>
        <v/>
      </c>
      <c r="AY89" s="153">
        <f>$C89*INDEX(Curves!$AG$8:$AG$68,AY$4-$B89+1)</f>
        <v/>
      </c>
      <c r="AZ89" s="153">
        <f>$C89*INDEX(Curves!$AG$8:$AG$68,AZ$4-$B89+1)</f>
        <v/>
      </c>
      <c r="BA89" s="153">
        <f>$C89*INDEX(Curves!$AG$8:$AG$68,BA$4-$B89+1)</f>
        <v/>
      </c>
      <c r="BB89" s="153">
        <f>$C89*INDEX(Curves!$AG$8:$AG$68,BB$4-$B89+1)</f>
        <v/>
      </c>
      <c r="BC89" s="153">
        <f>$C89*INDEX(Curves!$AG$8:$AG$68,BC$4-$B89+1)</f>
        <v/>
      </c>
      <c r="BD89" s="153">
        <f>$C89*INDEX(Curves!$AG$8:$AG$68,BD$4-$B89+1)</f>
        <v/>
      </c>
      <c r="BE89" s="153">
        <f>$C89*INDEX(Curves!$AG$8:$AG$68,BE$4-$B89+1)</f>
        <v/>
      </c>
      <c r="BF89" s="153">
        <f>$C89*INDEX(Curves!$AG$8:$AG$68,BF$4-$B89+1)</f>
        <v/>
      </c>
      <c r="BG89" s="153">
        <f>$C89*INDEX(Curves!$AG$8:$AG$68,BG$4-$B89+1)</f>
        <v/>
      </c>
      <c r="BH89" s="153">
        <f>$C89*INDEX(Curves!$AG$8:$AG$68,BH$4-$B89+1)</f>
        <v/>
      </c>
      <c r="BI89" s="153">
        <f>$C89*INDEX(Curves!$AG$8:$AG$68,BI$4-$B89+1)</f>
        <v/>
      </c>
      <c r="BJ89" s="153">
        <f>$C89*INDEX(Curves!$AG$8:$AG$68,BJ$4-$B89+1)</f>
        <v/>
      </c>
      <c r="BK89" s="153">
        <f>$C89*INDEX(Curves!$AG$8:$AG$68,BK$4-$B89+1)</f>
        <v/>
      </c>
      <c r="BL89" s="153">
        <f>$C89*INDEX(Curves!$AG$8:$AG$68,BL$4-$B89+1)</f>
        <v/>
      </c>
    </row>
    <row r="90">
      <c r="A90" s="147" t="inlineStr">
        <is>
          <t>Cohort month 18</t>
        </is>
      </c>
      <c r="B90" s="147" t="n">
        <v>18</v>
      </c>
      <c r="C90" s="41">
        <f>INDEX(Ops!$E$59:$BL$59,1,$B90)</f>
        <v/>
      </c>
      <c r="W90" s="153">
        <f>$C90*INDEX(Curves!$AG$8:$AG$68,W$4-$B90+1)</f>
        <v/>
      </c>
      <c r="X90" s="153">
        <f>$C90*INDEX(Curves!$AG$8:$AG$68,X$4-$B90+1)</f>
        <v/>
      </c>
      <c r="Y90" s="153">
        <f>$C90*INDEX(Curves!$AG$8:$AG$68,Y$4-$B90+1)</f>
        <v/>
      </c>
      <c r="Z90" s="153">
        <f>$C90*INDEX(Curves!$AG$8:$AG$68,Z$4-$B90+1)</f>
        <v/>
      </c>
      <c r="AA90" s="153">
        <f>$C90*INDEX(Curves!$AG$8:$AG$68,AA$4-$B90+1)</f>
        <v/>
      </c>
      <c r="AB90" s="153">
        <f>$C90*INDEX(Curves!$AG$8:$AG$68,AB$4-$B90+1)</f>
        <v/>
      </c>
      <c r="AC90" s="153">
        <f>$C90*INDEX(Curves!$AG$8:$AG$68,AC$4-$B90+1)</f>
        <v/>
      </c>
      <c r="AD90" s="153">
        <f>$C90*INDEX(Curves!$AG$8:$AG$68,AD$4-$B90+1)</f>
        <v/>
      </c>
      <c r="AE90" s="153">
        <f>$C90*INDEX(Curves!$AG$8:$AG$68,AE$4-$B90+1)</f>
        <v/>
      </c>
      <c r="AF90" s="153">
        <f>$C90*INDEX(Curves!$AG$8:$AG$68,AF$4-$B90+1)</f>
        <v/>
      </c>
      <c r="AG90" s="153">
        <f>$C90*INDEX(Curves!$AG$8:$AG$68,AG$4-$B90+1)</f>
        <v/>
      </c>
      <c r="AH90" s="153">
        <f>$C90*INDEX(Curves!$AG$8:$AG$68,AH$4-$B90+1)</f>
        <v/>
      </c>
      <c r="AI90" s="153">
        <f>$C90*INDEX(Curves!$AG$8:$AG$68,AI$4-$B90+1)</f>
        <v/>
      </c>
      <c r="AJ90" s="153">
        <f>$C90*INDEX(Curves!$AG$8:$AG$68,AJ$4-$B90+1)</f>
        <v/>
      </c>
      <c r="AK90" s="153">
        <f>$C90*INDEX(Curves!$AG$8:$AG$68,AK$4-$B90+1)</f>
        <v/>
      </c>
      <c r="AL90" s="153">
        <f>$C90*INDEX(Curves!$AG$8:$AG$68,AL$4-$B90+1)</f>
        <v/>
      </c>
      <c r="AM90" s="153">
        <f>$C90*INDEX(Curves!$AG$8:$AG$68,AM$4-$B90+1)</f>
        <v/>
      </c>
      <c r="AN90" s="153">
        <f>$C90*INDEX(Curves!$AG$8:$AG$68,AN$4-$B90+1)</f>
        <v/>
      </c>
      <c r="AO90" s="153">
        <f>$C90*INDEX(Curves!$AG$8:$AG$68,AO$4-$B90+1)</f>
        <v/>
      </c>
      <c r="AP90" s="153">
        <f>$C90*INDEX(Curves!$AG$8:$AG$68,AP$4-$B90+1)</f>
        <v/>
      </c>
      <c r="AQ90" s="153">
        <f>$C90*INDEX(Curves!$AG$8:$AG$68,AQ$4-$B90+1)</f>
        <v/>
      </c>
      <c r="AR90" s="153">
        <f>$C90*INDEX(Curves!$AG$8:$AG$68,AR$4-$B90+1)</f>
        <v/>
      </c>
      <c r="AS90" s="153">
        <f>$C90*INDEX(Curves!$AG$8:$AG$68,AS$4-$B90+1)</f>
        <v/>
      </c>
      <c r="AT90" s="153">
        <f>$C90*INDEX(Curves!$AG$8:$AG$68,AT$4-$B90+1)</f>
        <v/>
      </c>
      <c r="AU90" s="153">
        <f>$C90*INDEX(Curves!$AG$8:$AG$68,AU$4-$B90+1)</f>
        <v/>
      </c>
      <c r="AV90" s="153">
        <f>$C90*INDEX(Curves!$AG$8:$AG$68,AV$4-$B90+1)</f>
        <v/>
      </c>
      <c r="AW90" s="153">
        <f>$C90*INDEX(Curves!$AG$8:$AG$68,AW$4-$B90+1)</f>
        <v/>
      </c>
      <c r="AX90" s="153">
        <f>$C90*INDEX(Curves!$AG$8:$AG$68,AX$4-$B90+1)</f>
        <v/>
      </c>
      <c r="AY90" s="153">
        <f>$C90*INDEX(Curves!$AG$8:$AG$68,AY$4-$B90+1)</f>
        <v/>
      </c>
      <c r="AZ90" s="153">
        <f>$C90*INDEX(Curves!$AG$8:$AG$68,AZ$4-$B90+1)</f>
        <v/>
      </c>
      <c r="BA90" s="153">
        <f>$C90*INDEX(Curves!$AG$8:$AG$68,BA$4-$B90+1)</f>
        <v/>
      </c>
      <c r="BB90" s="153">
        <f>$C90*INDEX(Curves!$AG$8:$AG$68,BB$4-$B90+1)</f>
        <v/>
      </c>
      <c r="BC90" s="153">
        <f>$C90*INDEX(Curves!$AG$8:$AG$68,BC$4-$B90+1)</f>
        <v/>
      </c>
      <c r="BD90" s="153">
        <f>$C90*INDEX(Curves!$AG$8:$AG$68,BD$4-$B90+1)</f>
        <v/>
      </c>
      <c r="BE90" s="153">
        <f>$C90*INDEX(Curves!$AG$8:$AG$68,BE$4-$B90+1)</f>
        <v/>
      </c>
      <c r="BF90" s="153">
        <f>$C90*INDEX(Curves!$AG$8:$AG$68,BF$4-$B90+1)</f>
        <v/>
      </c>
      <c r="BG90" s="153">
        <f>$C90*INDEX(Curves!$AG$8:$AG$68,BG$4-$B90+1)</f>
        <v/>
      </c>
      <c r="BH90" s="153">
        <f>$C90*INDEX(Curves!$AG$8:$AG$68,BH$4-$B90+1)</f>
        <v/>
      </c>
      <c r="BI90" s="153">
        <f>$C90*INDEX(Curves!$AG$8:$AG$68,BI$4-$B90+1)</f>
        <v/>
      </c>
      <c r="BJ90" s="153">
        <f>$C90*INDEX(Curves!$AG$8:$AG$68,BJ$4-$B90+1)</f>
        <v/>
      </c>
      <c r="BK90" s="153">
        <f>$C90*INDEX(Curves!$AG$8:$AG$68,BK$4-$B90+1)</f>
        <v/>
      </c>
      <c r="BL90" s="153">
        <f>$C90*INDEX(Curves!$AG$8:$AG$68,BL$4-$B90+1)</f>
        <v/>
      </c>
    </row>
    <row r="91">
      <c r="A91" s="147" t="inlineStr">
        <is>
          <t>Cohort month 19</t>
        </is>
      </c>
      <c r="B91" s="147" t="n">
        <v>19</v>
      </c>
      <c r="C91" s="41">
        <f>INDEX(Ops!$E$59:$BL$59,1,$B91)</f>
        <v/>
      </c>
      <c r="X91" s="153">
        <f>$C91*INDEX(Curves!$AG$8:$AG$68,X$4-$B91+1)</f>
        <v/>
      </c>
      <c r="Y91" s="153">
        <f>$C91*INDEX(Curves!$AG$8:$AG$68,Y$4-$B91+1)</f>
        <v/>
      </c>
      <c r="Z91" s="153">
        <f>$C91*INDEX(Curves!$AG$8:$AG$68,Z$4-$B91+1)</f>
        <v/>
      </c>
      <c r="AA91" s="153">
        <f>$C91*INDEX(Curves!$AG$8:$AG$68,AA$4-$B91+1)</f>
        <v/>
      </c>
      <c r="AB91" s="153">
        <f>$C91*INDEX(Curves!$AG$8:$AG$68,AB$4-$B91+1)</f>
        <v/>
      </c>
      <c r="AC91" s="153">
        <f>$C91*INDEX(Curves!$AG$8:$AG$68,AC$4-$B91+1)</f>
        <v/>
      </c>
      <c r="AD91" s="153">
        <f>$C91*INDEX(Curves!$AG$8:$AG$68,AD$4-$B91+1)</f>
        <v/>
      </c>
      <c r="AE91" s="153">
        <f>$C91*INDEX(Curves!$AG$8:$AG$68,AE$4-$B91+1)</f>
        <v/>
      </c>
      <c r="AF91" s="153">
        <f>$C91*INDEX(Curves!$AG$8:$AG$68,AF$4-$B91+1)</f>
        <v/>
      </c>
      <c r="AG91" s="153">
        <f>$C91*INDEX(Curves!$AG$8:$AG$68,AG$4-$B91+1)</f>
        <v/>
      </c>
      <c r="AH91" s="153">
        <f>$C91*INDEX(Curves!$AG$8:$AG$68,AH$4-$B91+1)</f>
        <v/>
      </c>
      <c r="AI91" s="153">
        <f>$C91*INDEX(Curves!$AG$8:$AG$68,AI$4-$B91+1)</f>
        <v/>
      </c>
      <c r="AJ91" s="153">
        <f>$C91*INDEX(Curves!$AG$8:$AG$68,AJ$4-$B91+1)</f>
        <v/>
      </c>
      <c r="AK91" s="153">
        <f>$C91*INDEX(Curves!$AG$8:$AG$68,AK$4-$B91+1)</f>
        <v/>
      </c>
      <c r="AL91" s="153">
        <f>$C91*INDEX(Curves!$AG$8:$AG$68,AL$4-$B91+1)</f>
        <v/>
      </c>
      <c r="AM91" s="153">
        <f>$C91*INDEX(Curves!$AG$8:$AG$68,AM$4-$B91+1)</f>
        <v/>
      </c>
      <c r="AN91" s="153">
        <f>$C91*INDEX(Curves!$AG$8:$AG$68,AN$4-$B91+1)</f>
        <v/>
      </c>
      <c r="AO91" s="153">
        <f>$C91*INDEX(Curves!$AG$8:$AG$68,AO$4-$B91+1)</f>
        <v/>
      </c>
      <c r="AP91" s="153">
        <f>$C91*INDEX(Curves!$AG$8:$AG$68,AP$4-$B91+1)</f>
        <v/>
      </c>
      <c r="AQ91" s="153">
        <f>$C91*INDEX(Curves!$AG$8:$AG$68,AQ$4-$B91+1)</f>
        <v/>
      </c>
      <c r="AR91" s="153">
        <f>$C91*INDEX(Curves!$AG$8:$AG$68,AR$4-$B91+1)</f>
        <v/>
      </c>
      <c r="AS91" s="153">
        <f>$C91*INDEX(Curves!$AG$8:$AG$68,AS$4-$B91+1)</f>
        <v/>
      </c>
      <c r="AT91" s="153">
        <f>$C91*INDEX(Curves!$AG$8:$AG$68,AT$4-$B91+1)</f>
        <v/>
      </c>
      <c r="AU91" s="153">
        <f>$C91*INDEX(Curves!$AG$8:$AG$68,AU$4-$B91+1)</f>
        <v/>
      </c>
      <c r="AV91" s="153">
        <f>$C91*INDEX(Curves!$AG$8:$AG$68,AV$4-$B91+1)</f>
        <v/>
      </c>
      <c r="AW91" s="153">
        <f>$C91*INDEX(Curves!$AG$8:$AG$68,AW$4-$B91+1)</f>
        <v/>
      </c>
      <c r="AX91" s="153">
        <f>$C91*INDEX(Curves!$AG$8:$AG$68,AX$4-$B91+1)</f>
        <v/>
      </c>
      <c r="AY91" s="153">
        <f>$C91*INDEX(Curves!$AG$8:$AG$68,AY$4-$B91+1)</f>
        <v/>
      </c>
      <c r="AZ91" s="153">
        <f>$C91*INDEX(Curves!$AG$8:$AG$68,AZ$4-$B91+1)</f>
        <v/>
      </c>
      <c r="BA91" s="153">
        <f>$C91*INDEX(Curves!$AG$8:$AG$68,BA$4-$B91+1)</f>
        <v/>
      </c>
      <c r="BB91" s="153">
        <f>$C91*INDEX(Curves!$AG$8:$AG$68,BB$4-$B91+1)</f>
        <v/>
      </c>
      <c r="BC91" s="153">
        <f>$C91*INDEX(Curves!$AG$8:$AG$68,BC$4-$B91+1)</f>
        <v/>
      </c>
      <c r="BD91" s="153">
        <f>$C91*INDEX(Curves!$AG$8:$AG$68,BD$4-$B91+1)</f>
        <v/>
      </c>
      <c r="BE91" s="153">
        <f>$C91*INDEX(Curves!$AG$8:$AG$68,BE$4-$B91+1)</f>
        <v/>
      </c>
      <c r="BF91" s="153">
        <f>$C91*INDEX(Curves!$AG$8:$AG$68,BF$4-$B91+1)</f>
        <v/>
      </c>
      <c r="BG91" s="153">
        <f>$C91*INDEX(Curves!$AG$8:$AG$68,BG$4-$B91+1)</f>
        <v/>
      </c>
      <c r="BH91" s="153">
        <f>$C91*INDEX(Curves!$AG$8:$AG$68,BH$4-$B91+1)</f>
        <v/>
      </c>
      <c r="BI91" s="153">
        <f>$C91*INDEX(Curves!$AG$8:$AG$68,BI$4-$B91+1)</f>
        <v/>
      </c>
      <c r="BJ91" s="153">
        <f>$C91*INDEX(Curves!$AG$8:$AG$68,BJ$4-$B91+1)</f>
        <v/>
      </c>
      <c r="BK91" s="153">
        <f>$C91*INDEX(Curves!$AG$8:$AG$68,BK$4-$B91+1)</f>
        <v/>
      </c>
      <c r="BL91" s="153">
        <f>$C91*INDEX(Curves!$AG$8:$AG$68,BL$4-$B91+1)</f>
        <v/>
      </c>
    </row>
    <row r="92">
      <c r="A92" s="147" t="inlineStr">
        <is>
          <t>Cohort month 20</t>
        </is>
      </c>
      <c r="B92" s="147" t="n">
        <v>20</v>
      </c>
      <c r="C92" s="41">
        <f>INDEX(Ops!$E$59:$BL$59,1,$B92)</f>
        <v/>
      </c>
      <c r="Y92" s="153">
        <f>$C92*INDEX(Curves!$AG$8:$AG$68,Y$4-$B92+1)</f>
        <v/>
      </c>
      <c r="Z92" s="153">
        <f>$C92*INDEX(Curves!$AG$8:$AG$68,Z$4-$B92+1)</f>
        <v/>
      </c>
      <c r="AA92" s="153">
        <f>$C92*INDEX(Curves!$AG$8:$AG$68,AA$4-$B92+1)</f>
        <v/>
      </c>
      <c r="AB92" s="153">
        <f>$C92*INDEX(Curves!$AG$8:$AG$68,AB$4-$B92+1)</f>
        <v/>
      </c>
      <c r="AC92" s="153">
        <f>$C92*INDEX(Curves!$AG$8:$AG$68,AC$4-$B92+1)</f>
        <v/>
      </c>
      <c r="AD92" s="153">
        <f>$C92*INDEX(Curves!$AG$8:$AG$68,AD$4-$B92+1)</f>
        <v/>
      </c>
      <c r="AE92" s="153">
        <f>$C92*INDEX(Curves!$AG$8:$AG$68,AE$4-$B92+1)</f>
        <v/>
      </c>
      <c r="AF92" s="153">
        <f>$C92*INDEX(Curves!$AG$8:$AG$68,AF$4-$B92+1)</f>
        <v/>
      </c>
      <c r="AG92" s="153">
        <f>$C92*INDEX(Curves!$AG$8:$AG$68,AG$4-$B92+1)</f>
        <v/>
      </c>
      <c r="AH92" s="153">
        <f>$C92*INDEX(Curves!$AG$8:$AG$68,AH$4-$B92+1)</f>
        <v/>
      </c>
      <c r="AI92" s="153">
        <f>$C92*INDEX(Curves!$AG$8:$AG$68,AI$4-$B92+1)</f>
        <v/>
      </c>
      <c r="AJ92" s="153">
        <f>$C92*INDEX(Curves!$AG$8:$AG$68,AJ$4-$B92+1)</f>
        <v/>
      </c>
      <c r="AK92" s="153">
        <f>$C92*INDEX(Curves!$AG$8:$AG$68,AK$4-$B92+1)</f>
        <v/>
      </c>
      <c r="AL92" s="153">
        <f>$C92*INDEX(Curves!$AG$8:$AG$68,AL$4-$B92+1)</f>
        <v/>
      </c>
      <c r="AM92" s="153">
        <f>$C92*INDEX(Curves!$AG$8:$AG$68,AM$4-$B92+1)</f>
        <v/>
      </c>
      <c r="AN92" s="153">
        <f>$C92*INDEX(Curves!$AG$8:$AG$68,AN$4-$B92+1)</f>
        <v/>
      </c>
      <c r="AO92" s="153">
        <f>$C92*INDEX(Curves!$AG$8:$AG$68,AO$4-$B92+1)</f>
        <v/>
      </c>
      <c r="AP92" s="153">
        <f>$C92*INDEX(Curves!$AG$8:$AG$68,AP$4-$B92+1)</f>
        <v/>
      </c>
      <c r="AQ92" s="153">
        <f>$C92*INDEX(Curves!$AG$8:$AG$68,AQ$4-$B92+1)</f>
        <v/>
      </c>
      <c r="AR92" s="153">
        <f>$C92*INDEX(Curves!$AG$8:$AG$68,AR$4-$B92+1)</f>
        <v/>
      </c>
      <c r="AS92" s="153">
        <f>$C92*INDEX(Curves!$AG$8:$AG$68,AS$4-$B92+1)</f>
        <v/>
      </c>
      <c r="AT92" s="153">
        <f>$C92*INDEX(Curves!$AG$8:$AG$68,AT$4-$B92+1)</f>
        <v/>
      </c>
      <c r="AU92" s="153">
        <f>$C92*INDEX(Curves!$AG$8:$AG$68,AU$4-$B92+1)</f>
        <v/>
      </c>
      <c r="AV92" s="153">
        <f>$C92*INDEX(Curves!$AG$8:$AG$68,AV$4-$B92+1)</f>
        <v/>
      </c>
      <c r="AW92" s="153">
        <f>$C92*INDEX(Curves!$AG$8:$AG$68,AW$4-$B92+1)</f>
        <v/>
      </c>
      <c r="AX92" s="153">
        <f>$C92*INDEX(Curves!$AG$8:$AG$68,AX$4-$B92+1)</f>
        <v/>
      </c>
      <c r="AY92" s="153">
        <f>$C92*INDEX(Curves!$AG$8:$AG$68,AY$4-$B92+1)</f>
        <v/>
      </c>
      <c r="AZ92" s="153">
        <f>$C92*INDEX(Curves!$AG$8:$AG$68,AZ$4-$B92+1)</f>
        <v/>
      </c>
      <c r="BA92" s="153">
        <f>$C92*INDEX(Curves!$AG$8:$AG$68,BA$4-$B92+1)</f>
        <v/>
      </c>
      <c r="BB92" s="153">
        <f>$C92*INDEX(Curves!$AG$8:$AG$68,BB$4-$B92+1)</f>
        <v/>
      </c>
      <c r="BC92" s="153">
        <f>$C92*INDEX(Curves!$AG$8:$AG$68,BC$4-$B92+1)</f>
        <v/>
      </c>
      <c r="BD92" s="153">
        <f>$C92*INDEX(Curves!$AG$8:$AG$68,BD$4-$B92+1)</f>
        <v/>
      </c>
      <c r="BE92" s="153">
        <f>$C92*INDEX(Curves!$AG$8:$AG$68,BE$4-$B92+1)</f>
        <v/>
      </c>
      <c r="BF92" s="153">
        <f>$C92*INDEX(Curves!$AG$8:$AG$68,BF$4-$B92+1)</f>
        <v/>
      </c>
      <c r="BG92" s="153">
        <f>$C92*INDEX(Curves!$AG$8:$AG$68,BG$4-$B92+1)</f>
        <v/>
      </c>
      <c r="BH92" s="153">
        <f>$C92*INDEX(Curves!$AG$8:$AG$68,BH$4-$B92+1)</f>
        <v/>
      </c>
      <c r="BI92" s="153">
        <f>$C92*INDEX(Curves!$AG$8:$AG$68,BI$4-$B92+1)</f>
        <v/>
      </c>
      <c r="BJ92" s="153">
        <f>$C92*INDEX(Curves!$AG$8:$AG$68,BJ$4-$B92+1)</f>
        <v/>
      </c>
      <c r="BK92" s="153">
        <f>$C92*INDEX(Curves!$AG$8:$AG$68,BK$4-$B92+1)</f>
        <v/>
      </c>
      <c r="BL92" s="153">
        <f>$C92*INDEX(Curves!$AG$8:$AG$68,BL$4-$B92+1)</f>
        <v/>
      </c>
    </row>
    <row r="93">
      <c r="A93" s="147" t="inlineStr">
        <is>
          <t>Cohort month 21</t>
        </is>
      </c>
      <c r="B93" s="147" t="n">
        <v>21</v>
      </c>
      <c r="C93" s="41">
        <f>INDEX(Ops!$E$59:$BL$59,1,$B93)</f>
        <v/>
      </c>
      <c r="Z93" s="153">
        <f>$C93*INDEX(Curves!$AG$8:$AG$68,Z$4-$B93+1)</f>
        <v/>
      </c>
      <c r="AA93" s="153">
        <f>$C93*INDEX(Curves!$AG$8:$AG$68,AA$4-$B93+1)</f>
        <v/>
      </c>
      <c r="AB93" s="153">
        <f>$C93*INDEX(Curves!$AG$8:$AG$68,AB$4-$B93+1)</f>
        <v/>
      </c>
      <c r="AC93" s="153">
        <f>$C93*INDEX(Curves!$AG$8:$AG$68,AC$4-$B93+1)</f>
        <v/>
      </c>
      <c r="AD93" s="153">
        <f>$C93*INDEX(Curves!$AG$8:$AG$68,AD$4-$B93+1)</f>
        <v/>
      </c>
      <c r="AE93" s="153">
        <f>$C93*INDEX(Curves!$AG$8:$AG$68,AE$4-$B93+1)</f>
        <v/>
      </c>
      <c r="AF93" s="153">
        <f>$C93*INDEX(Curves!$AG$8:$AG$68,AF$4-$B93+1)</f>
        <v/>
      </c>
      <c r="AG93" s="153">
        <f>$C93*INDEX(Curves!$AG$8:$AG$68,AG$4-$B93+1)</f>
        <v/>
      </c>
      <c r="AH93" s="153">
        <f>$C93*INDEX(Curves!$AG$8:$AG$68,AH$4-$B93+1)</f>
        <v/>
      </c>
      <c r="AI93" s="153">
        <f>$C93*INDEX(Curves!$AG$8:$AG$68,AI$4-$B93+1)</f>
        <v/>
      </c>
      <c r="AJ93" s="153">
        <f>$C93*INDEX(Curves!$AG$8:$AG$68,AJ$4-$B93+1)</f>
        <v/>
      </c>
      <c r="AK93" s="153">
        <f>$C93*INDEX(Curves!$AG$8:$AG$68,AK$4-$B93+1)</f>
        <v/>
      </c>
      <c r="AL93" s="153">
        <f>$C93*INDEX(Curves!$AG$8:$AG$68,AL$4-$B93+1)</f>
        <v/>
      </c>
      <c r="AM93" s="153">
        <f>$C93*INDEX(Curves!$AG$8:$AG$68,AM$4-$B93+1)</f>
        <v/>
      </c>
      <c r="AN93" s="153">
        <f>$C93*INDEX(Curves!$AG$8:$AG$68,AN$4-$B93+1)</f>
        <v/>
      </c>
      <c r="AO93" s="153">
        <f>$C93*INDEX(Curves!$AG$8:$AG$68,AO$4-$B93+1)</f>
        <v/>
      </c>
      <c r="AP93" s="153">
        <f>$C93*INDEX(Curves!$AG$8:$AG$68,AP$4-$B93+1)</f>
        <v/>
      </c>
      <c r="AQ93" s="153">
        <f>$C93*INDEX(Curves!$AG$8:$AG$68,AQ$4-$B93+1)</f>
        <v/>
      </c>
      <c r="AR93" s="153">
        <f>$C93*INDEX(Curves!$AG$8:$AG$68,AR$4-$B93+1)</f>
        <v/>
      </c>
      <c r="AS93" s="153">
        <f>$C93*INDEX(Curves!$AG$8:$AG$68,AS$4-$B93+1)</f>
        <v/>
      </c>
      <c r="AT93" s="153">
        <f>$C93*INDEX(Curves!$AG$8:$AG$68,AT$4-$B93+1)</f>
        <v/>
      </c>
      <c r="AU93" s="153">
        <f>$C93*INDEX(Curves!$AG$8:$AG$68,AU$4-$B93+1)</f>
        <v/>
      </c>
      <c r="AV93" s="153">
        <f>$C93*INDEX(Curves!$AG$8:$AG$68,AV$4-$B93+1)</f>
        <v/>
      </c>
      <c r="AW93" s="153">
        <f>$C93*INDEX(Curves!$AG$8:$AG$68,AW$4-$B93+1)</f>
        <v/>
      </c>
      <c r="AX93" s="153">
        <f>$C93*INDEX(Curves!$AG$8:$AG$68,AX$4-$B93+1)</f>
        <v/>
      </c>
      <c r="AY93" s="153">
        <f>$C93*INDEX(Curves!$AG$8:$AG$68,AY$4-$B93+1)</f>
        <v/>
      </c>
      <c r="AZ93" s="153">
        <f>$C93*INDEX(Curves!$AG$8:$AG$68,AZ$4-$B93+1)</f>
        <v/>
      </c>
      <c r="BA93" s="153">
        <f>$C93*INDEX(Curves!$AG$8:$AG$68,BA$4-$B93+1)</f>
        <v/>
      </c>
      <c r="BB93" s="153">
        <f>$C93*INDEX(Curves!$AG$8:$AG$68,BB$4-$B93+1)</f>
        <v/>
      </c>
      <c r="BC93" s="153">
        <f>$C93*INDEX(Curves!$AG$8:$AG$68,BC$4-$B93+1)</f>
        <v/>
      </c>
      <c r="BD93" s="153">
        <f>$C93*INDEX(Curves!$AG$8:$AG$68,BD$4-$B93+1)</f>
        <v/>
      </c>
      <c r="BE93" s="153">
        <f>$C93*INDEX(Curves!$AG$8:$AG$68,BE$4-$B93+1)</f>
        <v/>
      </c>
      <c r="BF93" s="153">
        <f>$C93*INDEX(Curves!$AG$8:$AG$68,BF$4-$B93+1)</f>
        <v/>
      </c>
      <c r="BG93" s="153">
        <f>$C93*INDEX(Curves!$AG$8:$AG$68,BG$4-$B93+1)</f>
        <v/>
      </c>
      <c r="BH93" s="153">
        <f>$C93*INDEX(Curves!$AG$8:$AG$68,BH$4-$B93+1)</f>
        <v/>
      </c>
      <c r="BI93" s="153">
        <f>$C93*INDEX(Curves!$AG$8:$AG$68,BI$4-$B93+1)</f>
        <v/>
      </c>
      <c r="BJ93" s="153">
        <f>$C93*INDEX(Curves!$AG$8:$AG$68,BJ$4-$B93+1)</f>
        <v/>
      </c>
      <c r="BK93" s="153">
        <f>$C93*INDEX(Curves!$AG$8:$AG$68,BK$4-$B93+1)</f>
        <v/>
      </c>
      <c r="BL93" s="153">
        <f>$C93*INDEX(Curves!$AG$8:$AG$68,BL$4-$B93+1)</f>
        <v/>
      </c>
    </row>
    <row r="94">
      <c r="A94" s="147" t="inlineStr">
        <is>
          <t>Cohort month 22</t>
        </is>
      </c>
      <c r="B94" s="147" t="n">
        <v>22</v>
      </c>
      <c r="C94" s="41">
        <f>INDEX(Ops!$E$59:$BL$59,1,$B94)</f>
        <v/>
      </c>
      <c r="AA94" s="153">
        <f>$C94*INDEX(Curves!$AG$8:$AG$68,AA$4-$B94+1)</f>
        <v/>
      </c>
      <c r="AB94" s="153">
        <f>$C94*INDEX(Curves!$AG$8:$AG$68,AB$4-$B94+1)</f>
        <v/>
      </c>
      <c r="AC94" s="153">
        <f>$C94*INDEX(Curves!$AG$8:$AG$68,AC$4-$B94+1)</f>
        <v/>
      </c>
      <c r="AD94" s="153">
        <f>$C94*INDEX(Curves!$AG$8:$AG$68,AD$4-$B94+1)</f>
        <v/>
      </c>
      <c r="AE94" s="153">
        <f>$C94*INDEX(Curves!$AG$8:$AG$68,AE$4-$B94+1)</f>
        <v/>
      </c>
      <c r="AF94" s="153">
        <f>$C94*INDEX(Curves!$AG$8:$AG$68,AF$4-$B94+1)</f>
        <v/>
      </c>
      <c r="AG94" s="153">
        <f>$C94*INDEX(Curves!$AG$8:$AG$68,AG$4-$B94+1)</f>
        <v/>
      </c>
      <c r="AH94" s="153">
        <f>$C94*INDEX(Curves!$AG$8:$AG$68,AH$4-$B94+1)</f>
        <v/>
      </c>
      <c r="AI94" s="153">
        <f>$C94*INDEX(Curves!$AG$8:$AG$68,AI$4-$B94+1)</f>
        <v/>
      </c>
      <c r="AJ94" s="153">
        <f>$C94*INDEX(Curves!$AG$8:$AG$68,AJ$4-$B94+1)</f>
        <v/>
      </c>
      <c r="AK94" s="153">
        <f>$C94*INDEX(Curves!$AG$8:$AG$68,AK$4-$B94+1)</f>
        <v/>
      </c>
      <c r="AL94" s="153">
        <f>$C94*INDEX(Curves!$AG$8:$AG$68,AL$4-$B94+1)</f>
        <v/>
      </c>
      <c r="AM94" s="153">
        <f>$C94*INDEX(Curves!$AG$8:$AG$68,AM$4-$B94+1)</f>
        <v/>
      </c>
      <c r="AN94" s="153">
        <f>$C94*INDEX(Curves!$AG$8:$AG$68,AN$4-$B94+1)</f>
        <v/>
      </c>
      <c r="AO94" s="153">
        <f>$C94*INDEX(Curves!$AG$8:$AG$68,AO$4-$B94+1)</f>
        <v/>
      </c>
      <c r="AP94" s="153">
        <f>$C94*INDEX(Curves!$AG$8:$AG$68,AP$4-$B94+1)</f>
        <v/>
      </c>
      <c r="AQ94" s="153">
        <f>$C94*INDEX(Curves!$AG$8:$AG$68,AQ$4-$B94+1)</f>
        <v/>
      </c>
      <c r="AR94" s="153">
        <f>$C94*INDEX(Curves!$AG$8:$AG$68,AR$4-$B94+1)</f>
        <v/>
      </c>
      <c r="AS94" s="153">
        <f>$C94*INDEX(Curves!$AG$8:$AG$68,AS$4-$B94+1)</f>
        <v/>
      </c>
      <c r="AT94" s="153">
        <f>$C94*INDEX(Curves!$AG$8:$AG$68,AT$4-$B94+1)</f>
        <v/>
      </c>
      <c r="AU94" s="153">
        <f>$C94*INDEX(Curves!$AG$8:$AG$68,AU$4-$B94+1)</f>
        <v/>
      </c>
      <c r="AV94" s="153">
        <f>$C94*INDEX(Curves!$AG$8:$AG$68,AV$4-$B94+1)</f>
        <v/>
      </c>
      <c r="AW94" s="153">
        <f>$C94*INDEX(Curves!$AG$8:$AG$68,AW$4-$B94+1)</f>
        <v/>
      </c>
      <c r="AX94" s="153">
        <f>$C94*INDEX(Curves!$AG$8:$AG$68,AX$4-$B94+1)</f>
        <v/>
      </c>
      <c r="AY94" s="153">
        <f>$C94*INDEX(Curves!$AG$8:$AG$68,AY$4-$B94+1)</f>
        <v/>
      </c>
      <c r="AZ94" s="153">
        <f>$C94*INDEX(Curves!$AG$8:$AG$68,AZ$4-$B94+1)</f>
        <v/>
      </c>
      <c r="BA94" s="153">
        <f>$C94*INDEX(Curves!$AG$8:$AG$68,BA$4-$B94+1)</f>
        <v/>
      </c>
      <c r="BB94" s="153">
        <f>$C94*INDEX(Curves!$AG$8:$AG$68,BB$4-$B94+1)</f>
        <v/>
      </c>
      <c r="BC94" s="153">
        <f>$C94*INDEX(Curves!$AG$8:$AG$68,BC$4-$B94+1)</f>
        <v/>
      </c>
      <c r="BD94" s="153">
        <f>$C94*INDEX(Curves!$AG$8:$AG$68,BD$4-$B94+1)</f>
        <v/>
      </c>
      <c r="BE94" s="153">
        <f>$C94*INDEX(Curves!$AG$8:$AG$68,BE$4-$B94+1)</f>
        <v/>
      </c>
      <c r="BF94" s="153">
        <f>$C94*INDEX(Curves!$AG$8:$AG$68,BF$4-$B94+1)</f>
        <v/>
      </c>
      <c r="BG94" s="153">
        <f>$C94*INDEX(Curves!$AG$8:$AG$68,BG$4-$B94+1)</f>
        <v/>
      </c>
      <c r="BH94" s="153">
        <f>$C94*INDEX(Curves!$AG$8:$AG$68,BH$4-$B94+1)</f>
        <v/>
      </c>
      <c r="BI94" s="153">
        <f>$C94*INDEX(Curves!$AG$8:$AG$68,BI$4-$B94+1)</f>
        <v/>
      </c>
      <c r="BJ94" s="153">
        <f>$C94*INDEX(Curves!$AG$8:$AG$68,BJ$4-$B94+1)</f>
        <v/>
      </c>
      <c r="BK94" s="153">
        <f>$C94*INDEX(Curves!$AG$8:$AG$68,BK$4-$B94+1)</f>
        <v/>
      </c>
      <c r="BL94" s="153">
        <f>$C94*INDEX(Curves!$AG$8:$AG$68,BL$4-$B94+1)</f>
        <v/>
      </c>
    </row>
    <row r="95">
      <c r="A95" s="147" t="inlineStr">
        <is>
          <t>Cohort month 23</t>
        </is>
      </c>
      <c r="B95" s="147" t="n">
        <v>23</v>
      </c>
      <c r="C95" s="41">
        <f>INDEX(Ops!$E$59:$BL$59,1,$B95)</f>
        <v/>
      </c>
      <c r="AB95" s="153">
        <f>$C95*INDEX(Curves!$AG$8:$AG$68,AB$4-$B95+1)</f>
        <v/>
      </c>
      <c r="AC95" s="153">
        <f>$C95*INDEX(Curves!$AG$8:$AG$68,AC$4-$B95+1)</f>
        <v/>
      </c>
      <c r="AD95" s="153">
        <f>$C95*INDEX(Curves!$AG$8:$AG$68,AD$4-$B95+1)</f>
        <v/>
      </c>
      <c r="AE95" s="153">
        <f>$C95*INDEX(Curves!$AG$8:$AG$68,AE$4-$B95+1)</f>
        <v/>
      </c>
      <c r="AF95" s="153">
        <f>$C95*INDEX(Curves!$AG$8:$AG$68,AF$4-$B95+1)</f>
        <v/>
      </c>
      <c r="AG95" s="153">
        <f>$C95*INDEX(Curves!$AG$8:$AG$68,AG$4-$B95+1)</f>
        <v/>
      </c>
      <c r="AH95" s="153">
        <f>$C95*INDEX(Curves!$AG$8:$AG$68,AH$4-$B95+1)</f>
        <v/>
      </c>
      <c r="AI95" s="153">
        <f>$C95*INDEX(Curves!$AG$8:$AG$68,AI$4-$B95+1)</f>
        <v/>
      </c>
      <c r="AJ95" s="153">
        <f>$C95*INDEX(Curves!$AG$8:$AG$68,AJ$4-$B95+1)</f>
        <v/>
      </c>
      <c r="AK95" s="153">
        <f>$C95*INDEX(Curves!$AG$8:$AG$68,AK$4-$B95+1)</f>
        <v/>
      </c>
      <c r="AL95" s="153">
        <f>$C95*INDEX(Curves!$AG$8:$AG$68,AL$4-$B95+1)</f>
        <v/>
      </c>
      <c r="AM95" s="153">
        <f>$C95*INDEX(Curves!$AG$8:$AG$68,AM$4-$B95+1)</f>
        <v/>
      </c>
      <c r="AN95" s="153">
        <f>$C95*INDEX(Curves!$AG$8:$AG$68,AN$4-$B95+1)</f>
        <v/>
      </c>
      <c r="AO95" s="153">
        <f>$C95*INDEX(Curves!$AG$8:$AG$68,AO$4-$B95+1)</f>
        <v/>
      </c>
      <c r="AP95" s="153">
        <f>$C95*INDEX(Curves!$AG$8:$AG$68,AP$4-$B95+1)</f>
        <v/>
      </c>
      <c r="AQ95" s="153">
        <f>$C95*INDEX(Curves!$AG$8:$AG$68,AQ$4-$B95+1)</f>
        <v/>
      </c>
      <c r="AR95" s="153">
        <f>$C95*INDEX(Curves!$AG$8:$AG$68,AR$4-$B95+1)</f>
        <v/>
      </c>
      <c r="AS95" s="153">
        <f>$C95*INDEX(Curves!$AG$8:$AG$68,AS$4-$B95+1)</f>
        <v/>
      </c>
      <c r="AT95" s="153">
        <f>$C95*INDEX(Curves!$AG$8:$AG$68,AT$4-$B95+1)</f>
        <v/>
      </c>
      <c r="AU95" s="153">
        <f>$C95*INDEX(Curves!$AG$8:$AG$68,AU$4-$B95+1)</f>
        <v/>
      </c>
      <c r="AV95" s="153">
        <f>$C95*INDEX(Curves!$AG$8:$AG$68,AV$4-$B95+1)</f>
        <v/>
      </c>
      <c r="AW95" s="153">
        <f>$C95*INDEX(Curves!$AG$8:$AG$68,AW$4-$B95+1)</f>
        <v/>
      </c>
      <c r="AX95" s="153">
        <f>$C95*INDEX(Curves!$AG$8:$AG$68,AX$4-$B95+1)</f>
        <v/>
      </c>
      <c r="AY95" s="153">
        <f>$C95*INDEX(Curves!$AG$8:$AG$68,AY$4-$B95+1)</f>
        <v/>
      </c>
      <c r="AZ95" s="153">
        <f>$C95*INDEX(Curves!$AG$8:$AG$68,AZ$4-$B95+1)</f>
        <v/>
      </c>
      <c r="BA95" s="153">
        <f>$C95*INDEX(Curves!$AG$8:$AG$68,BA$4-$B95+1)</f>
        <v/>
      </c>
      <c r="BB95" s="153">
        <f>$C95*INDEX(Curves!$AG$8:$AG$68,BB$4-$B95+1)</f>
        <v/>
      </c>
      <c r="BC95" s="153">
        <f>$C95*INDEX(Curves!$AG$8:$AG$68,BC$4-$B95+1)</f>
        <v/>
      </c>
      <c r="BD95" s="153">
        <f>$C95*INDEX(Curves!$AG$8:$AG$68,BD$4-$B95+1)</f>
        <v/>
      </c>
      <c r="BE95" s="153">
        <f>$C95*INDEX(Curves!$AG$8:$AG$68,BE$4-$B95+1)</f>
        <v/>
      </c>
      <c r="BF95" s="153">
        <f>$C95*INDEX(Curves!$AG$8:$AG$68,BF$4-$B95+1)</f>
        <v/>
      </c>
      <c r="BG95" s="153">
        <f>$C95*INDEX(Curves!$AG$8:$AG$68,BG$4-$B95+1)</f>
        <v/>
      </c>
      <c r="BH95" s="153">
        <f>$C95*INDEX(Curves!$AG$8:$AG$68,BH$4-$B95+1)</f>
        <v/>
      </c>
      <c r="BI95" s="153">
        <f>$C95*INDEX(Curves!$AG$8:$AG$68,BI$4-$B95+1)</f>
        <v/>
      </c>
      <c r="BJ95" s="153">
        <f>$C95*INDEX(Curves!$AG$8:$AG$68,BJ$4-$B95+1)</f>
        <v/>
      </c>
      <c r="BK95" s="153">
        <f>$C95*INDEX(Curves!$AG$8:$AG$68,BK$4-$B95+1)</f>
        <v/>
      </c>
      <c r="BL95" s="153">
        <f>$C95*INDEX(Curves!$AG$8:$AG$68,BL$4-$B95+1)</f>
        <v/>
      </c>
    </row>
    <row r="96">
      <c r="A96" s="147" t="inlineStr">
        <is>
          <t>Cohort month 24</t>
        </is>
      </c>
      <c r="B96" s="147" t="n">
        <v>24</v>
      </c>
      <c r="C96" s="41">
        <f>INDEX(Ops!$E$59:$BL$59,1,$B96)</f>
        <v/>
      </c>
      <c r="AC96" s="153">
        <f>$C96*INDEX(Curves!$AG$8:$AG$68,AC$4-$B96+1)</f>
        <v/>
      </c>
      <c r="AD96" s="153">
        <f>$C96*INDEX(Curves!$AG$8:$AG$68,AD$4-$B96+1)</f>
        <v/>
      </c>
      <c r="AE96" s="153">
        <f>$C96*INDEX(Curves!$AG$8:$AG$68,AE$4-$B96+1)</f>
        <v/>
      </c>
      <c r="AF96" s="153">
        <f>$C96*INDEX(Curves!$AG$8:$AG$68,AF$4-$B96+1)</f>
        <v/>
      </c>
      <c r="AG96" s="153">
        <f>$C96*INDEX(Curves!$AG$8:$AG$68,AG$4-$B96+1)</f>
        <v/>
      </c>
      <c r="AH96" s="153">
        <f>$C96*INDEX(Curves!$AG$8:$AG$68,AH$4-$B96+1)</f>
        <v/>
      </c>
      <c r="AI96" s="153">
        <f>$C96*INDEX(Curves!$AG$8:$AG$68,AI$4-$B96+1)</f>
        <v/>
      </c>
      <c r="AJ96" s="153">
        <f>$C96*INDEX(Curves!$AG$8:$AG$68,AJ$4-$B96+1)</f>
        <v/>
      </c>
      <c r="AK96" s="153">
        <f>$C96*INDEX(Curves!$AG$8:$AG$68,AK$4-$B96+1)</f>
        <v/>
      </c>
      <c r="AL96" s="153">
        <f>$C96*INDEX(Curves!$AG$8:$AG$68,AL$4-$B96+1)</f>
        <v/>
      </c>
      <c r="AM96" s="153">
        <f>$C96*INDEX(Curves!$AG$8:$AG$68,AM$4-$B96+1)</f>
        <v/>
      </c>
      <c r="AN96" s="153">
        <f>$C96*INDEX(Curves!$AG$8:$AG$68,AN$4-$B96+1)</f>
        <v/>
      </c>
      <c r="AO96" s="153">
        <f>$C96*INDEX(Curves!$AG$8:$AG$68,AO$4-$B96+1)</f>
        <v/>
      </c>
      <c r="AP96" s="153">
        <f>$C96*INDEX(Curves!$AG$8:$AG$68,AP$4-$B96+1)</f>
        <v/>
      </c>
      <c r="AQ96" s="153">
        <f>$C96*INDEX(Curves!$AG$8:$AG$68,AQ$4-$B96+1)</f>
        <v/>
      </c>
      <c r="AR96" s="153">
        <f>$C96*INDEX(Curves!$AG$8:$AG$68,AR$4-$B96+1)</f>
        <v/>
      </c>
      <c r="AS96" s="153">
        <f>$C96*INDEX(Curves!$AG$8:$AG$68,AS$4-$B96+1)</f>
        <v/>
      </c>
      <c r="AT96" s="153">
        <f>$C96*INDEX(Curves!$AG$8:$AG$68,AT$4-$B96+1)</f>
        <v/>
      </c>
      <c r="AU96" s="153">
        <f>$C96*INDEX(Curves!$AG$8:$AG$68,AU$4-$B96+1)</f>
        <v/>
      </c>
      <c r="AV96" s="153">
        <f>$C96*INDEX(Curves!$AG$8:$AG$68,AV$4-$B96+1)</f>
        <v/>
      </c>
      <c r="AW96" s="153">
        <f>$C96*INDEX(Curves!$AG$8:$AG$68,AW$4-$B96+1)</f>
        <v/>
      </c>
      <c r="AX96" s="153">
        <f>$C96*INDEX(Curves!$AG$8:$AG$68,AX$4-$B96+1)</f>
        <v/>
      </c>
      <c r="AY96" s="153">
        <f>$C96*INDEX(Curves!$AG$8:$AG$68,AY$4-$B96+1)</f>
        <v/>
      </c>
      <c r="AZ96" s="153">
        <f>$C96*INDEX(Curves!$AG$8:$AG$68,AZ$4-$B96+1)</f>
        <v/>
      </c>
      <c r="BA96" s="153">
        <f>$C96*INDEX(Curves!$AG$8:$AG$68,BA$4-$B96+1)</f>
        <v/>
      </c>
      <c r="BB96" s="153">
        <f>$C96*INDEX(Curves!$AG$8:$AG$68,BB$4-$B96+1)</f>
        <v/>
      </c>
      <c r="BC96" s="153">
        <f>$C96*INDEX(Curves!$AG$8:$AG$68,BC$4-$B96+1)</f>
        <v/>
      </c>
      <c r="BD96" s="153">
        <f>$C96*INDEX(Curves!$AG$8:$AG$68,BD$4-$B96+1)</f>
        <v/>
      </c>
      <c r="BE96" s="153">
        <f>$C96*INDEX(Curves!$AG$8:$AG$68,BE$4-$B96+1)</f>
        <v/>
      </c>
      <c r="BF96" s="153">
        <f>$C96*INDEX(Curves!$AG$8:$AG$68,BF$4-$B96+1)</f>
        <v/>
      </c>
      <c r="BG96" s="153">
        <f>$C96*INDEX(Curves!$AG$8:$AG$68,BG$4-$B96+1)</f>
        <v/>
      </c>
      <c r="BH96" s="153">
        <f>$C96*INDEX(Curves!$AG$8:$AG$68,BH$4-$B96+1)</f>
        <v/>
      </c>
      <c r="BI96" s="153">
        <f>$C96*INDEX(Curves!$AG$8:$AG$68,BI$4-$B96+1)</f>
        <v/>
      </c>
      <c r="BJ96" s="153">
        <f>$C96*INDEX(Curves!$AG$8:$AG$68,BJ$4-$B96+1)</f>
        <v/>
      </c>
      <c r="BK96" s="153">
        <f>$C96*INDEX(Curves!$AG$8:$AG$68,BK$4-$B96+1)</f>
        <v/>
      </c>
      <c r="BL96" s="153">
        <f>$C96*INDEX(Curves!$AG$8:$AG$68,BL$4-$B96+1)</f>
        <v/>
      </c>
    </row>
    <row r="97">
      <c r="A97" s="147" t="inlineStr">
        <is>
          <t>Cohort month 25</t>
        </is>
      </c>
      <c r="B97" s="147" t="n">
        <v>25</v>
      </c>
      <c r="C97" s="41">
        <f>INDEX(Ops!$E$59:$BL$59,1,$B97)</f>
        <v/>
      </c>
      <c r="AD97" s="153">
        <f>$C97*INDEX(Curves!$AG$8:$AG$68,AD$4-$B97+1)</f>
        <v/>
      </c>
      <c r="AE97" s="153">
        <f>$C97*INDEX(Curves!$AG$8:$AG$68,AE$4-$B97+1)</f>
        <v/>
      </c>
      <c r="AF97" s="153">
        <f>$C97*INDEX(Curves!$AG$8:$AG$68,AF$4-$B97+1)</f>
        <v/>
      </c>
      <c r="AG97" s="153">
        <f>$C97*INDEX(Curves!$AG$8:$AG$68,AG$4-$B97+1)</f>
        <v/>
      </c>
      <c r="AH97" s="153">
        <f>$C97*INDEX(Curves!$AG$8:$AG$68,AH$4-$B97+1)</f>
        <v/>
      </c>
      <c r="AI97" s="153">
        <f>$C97*INDEX(Curves!$AG$8:$AG$68,AI$4-$B97+1)</f>
        <v/>
      </c>
      <c r="AJ97" s="153">
        <f>$C97*INDEX(Curves!$AG$8:$AG$68,AJ$4-$B97+1)</f>
        <v/>
      </c>
      <c r="AK97" s="153">
        <f>$C97*INDEX(Curves!$AG$8:$AG$68,AK$4-$B97+1)</f>
        <v/>
      </c>
      <c r="AL97" s="153">
        <f>$C97*INDEX(Curves!$AG$8:$AG$68,AL$4-$B97+1)</f>
        <v/>
      </c>
      <c r="AM97" s="153">
        <f>$C97*INDEX(Curves!$AG$8:$AG$68,AM$4-$B97+1)</f>
        <v/>
      </c>
      <c r="AN97" s="153">
        <f>$C97*INDEX(Curves!$AG$8:$AG$68,AN$4-$B97+1)</f>
        <v/>
      </c>
      <c r="AO97" s="153">
        <f>$C97*INDEX(Curves!$AG$8:$AG$68,AO$4-$B97+1)</f>
        <v/>
      </c>
      <c r="AP97" s="153">
        <f>$C97*INDEX(Curves!$AG$8:$AG$68,AP$4-$B97+1)</f>
        <v/>
      </c>
      <c r="AQ97" s="153">
        <f>$C97*INDEX(Curves!$AG$8:$AG$68,AQ$4-$B97+1)</f>
        <v/>
      </c>
      <c r="AR97" s="153">
        <f>$C97*INDEX(Curves!$AG$8:$AG$68,AR$4-$B97+1)</f>
        <v/>
      </c>
      <c r="AS97" s="153">
        <f>$C97*INDEX(Curves!$AG$8:$AG$68,AS$4-$B97+1)</f>
        <v/>
      </c>
      <c r="AT97" s="153">
        <f>$C97*INDEX(Curves!$AG$8:$AG$68,AT$4-$B97+1)</f>
        <v/>
      </c>
      <c r="AU97" s="153">
        <f>$C97*INDEX(Curves!$AG$8:$AG$68,AU$4-$B97+1)</f>
        <v/>
      </c>
      <c r="AV97" s="153">
        <f>$C97*INDEX(Curves!$AG$8:$AG$68,AV$4-$B97+1)</f>
        <v/>
      </c>
      <c r="AW97" s="153">
        <f>$C97*INDEX(Curves!$AG$8:$AG$68,AW$4-$B97+1)</f>
        <v/>
      </c>
      <c r="AX97" s="153">
        <f>$C97*INDEX(Curves!$AG$8:$AG$68,AX$4-$B97+1)</f>
        <v/>
      </c>
      <c r="AY97" s="153">
        <f>$C97*INDEX(Curves!$AG$8:$AG$68,AY$4-$B97+1)</f>
        <v/>
      </c>
      <c r="AZ97" s="153">
        <f>$C97*INDEX(Curves!$AG$8:$AG$68,AZ$4-$B97+1)</f>
        <v/>
      </c>
      <c r="BA97" s="153">
        <f>$C97*INDEX(Curves!$AG$8:$AG$68,BA$4-$B97+1)</f>
        <v/>
      </c>
      <c r="BB97" s="153">
        <f>$C97*INDEX(Curves!$AG$8:$AG$68,BB$4-$B97+1)</f>
        <v/>
      </c>
      <c r="BC97" s="153">
        <f>$C97*INDEX(Curves!$AG$8:$AG$68,BC$4-$B97+1)</f>
        <v/>
      </c>
      <c r="BD97" s="153">
        <f>$C97*INDEX(Curves!$AG$8:$AG$68,BD$4-$B97+1)</f>
        <v/>
      </c>
      <c r="BE97" s="153">
        <f>$C97*INDEX(Curves!$AG$8:$AG$68,BE$4-$B97+1)</f>
        <v/>
      </c>
      <c r="BF97" s="153">
        <f>$C97*INDEX(Curves!$AG$8:$AG$68,BF$4-$B97+1)</f>
        <v/>
      </c>
      <c r="BG97" s="153">
        <f>$C97*INDEX(Curves!$AG$8:$AG$68,BG$4-$B97+1)</f>
        <v/>
      </c>
      <c r="BH97" s="153">
        <f>$C97*INDEX(Curves!$AG$8:$AG$68,BH$4-$B97+1)</f>
        <v/>
      </c>
      <c r="BI97" s="153">
        <f>$C97*INDEX(Curves!$AG$8:$AG$68,BI$4-$B97+1)</f>
        <v/>
      </c>
      <c r="BJ97" s="153">
        <f>$C97*INDEX(Curves!$AG$8:$AG$68,BJ$4-$B97+1)</f>
        <v/>
      </c>
      <c r="BK97" s="153">
        <f>$C97*INDEX(Curves!$AG$8:$AG$68,BK$4-$B97+1)</f>
        <v/>
      </c>
      <c r="BL97" s="153">
        <f>$C97*INDEX(Curves!$AG$8:$AG$68,BL$4-$B97+1)</f>
        <v/>
      </c>
    </row>
    <row r="98">
      <c r="A98" s="147" t="inlineStr">
        <is>
          <t>Cohort month 26</t>
        </is>
      </c>
      <c r="B98" s="147" t="n">
        <v>26</v>
      </c>
      <c r="C98" s="41">
        <f>INDEX(Ops!$E$59:$BL$59,1,$B98)</f>
        <v/>
      </c>
      <c r="AE98" s="153">
        <f>$C98*INDEX(Curves!$AG$8:$AG$68,AE$4-$B98+1)</f>
        <v/>
      </c>
      <c r="AF98" s="153">
        <f>$C98*INDEX(Curves!$AG$8:$AG$68,AF$4-$B98+1)</f>
        <v/>
      </c>
      <c r="AG98" s="153">
        <f>$C98*INDEX(Curves!$AG$8:$AG$68,AG$4-$B98+1)</f>
        <v/>
      </c>
      <c r="AH98" s="153">
        <f>$C98*INDEX(Curves!$AG$8:$AG$68,AH$4-$B98+1)</f>
        <v/>
      </c>
      <c r="AI98" s="153">
        <f>$C98*INDEX(Curves!$AG$8:$AG$68,AI$4-$B98+1)</f>
        <v/>
      </c>
      <c r="AJ98" s="153">
        <f>$C98*INDEX(Curves!$AG$8:$AG$68,AJ$4-$B98+1)</f>
        <v/>
      </c>
      <c r="AK98" s="153">
        <f>$C98*INDEX(Curves!$AG$8:$AG$68,AK$4-$B98+1)</f>
        <v/>
      </c>
      <c r="AL98" s="153">
        <f>$C98*INDEX(Curves!$AG$8:$AG$68,AL$4-$B98+1)</f>
        <v/>
      </c>
      <c r="AM98" s="153">
        <f>$C98*INDEX(Curves!$AG$8:$AG$68,AM$4-$B98+1)</f>
        <v/>
      </c>
      <c r="AN98" s="153">
        <f>$C98*INDEX(Curves!$AG$8:$AG$68,AN$4-$B98+1)</f>
        <v/>
      </c>
      <c r="AO98" s="153">
        <f>$C98*INDEX(Curves!$AG$8:$AG$68,AO$4-$B98+1)</f>
        <v/>
      </c>
      <c r="AP98" s="153">
        <f>$C98*INDEX(Curves!$AG$8:$AG$68,AP$4-$B98+1)</f>
        <v/>
      </c>
      <c r="AQ98" s="153">
        <f>$C98*INDEX(Curves!$AG$8:$AG$68,AQ$4-$B98+1)</f>
        <v/>
      </c>
      <c r="AR98" s="153">
        <f>$C98*INDEX(Curves!$AG$8:$AG$68,AR$4-$B98+1)</f>
        <v/>
      </c>
      <c r="AS98" s="153">
        <f>$C98*INDEX(Curves!$AG$8:$AG$68,AS$4-$B98+1)</f>
        <v/>
      </c>
      <c r="AT98" s="153">
        <f>$C98*INDEX(Curves!$AG$8:$AG$68,AT$4-$B98+1)</f>
        <v/>
      </c>
      <c r="AU98" s="153">
        <f>$C98*INDEX(Curves!$AG$8:$AG$68,AU$4-$B98+1)</f>
        <v/>
      </c>
      <c r="AV98" s="153">
        <f>$C98*INDEX(Curves!$AG$8:$AG$68,AV$4-$B98+1)</f>
        <v/>
      </c>
      <c r="AW98" s="153">
        <f>$C98*INDEX(Curves!$AG$8:$AG$68,AW$4-$B98+1)</f>
        <v/>
      </c>
      <c r="AX98" s="153">
        <f>$C98*INDEX(Curves!$AG$8:$AG$68,AX$4-$B98+1)</f>
        <v/>
      </c>
      <c r="AY98" s="153">
        <f>$C98*INDEX(Curves!$AG$8:$AG$68,AY$4-$B98+1)</f>
        <v/>
      </c>
      <c r="AZ98" s="153">
        <f>$C98*INDEX(Curves!$AG$8:$AG$68,AZ$4-$B98+1)</f>
        <v/>
      </c>
      <c r="BA98" s="153">
        <f>$C98*INDEX(Curves!$AG$8:$AG$68,BA$4-$B98+1)</f>
        <v/>
      </c>
      <c r="BB98" s="153">
        <f>$C98*INDEX(Curves!$AG$8:$AG$68,BB$4-$B98+1)</f>
        <v/>
      </c>
      <c r="BC98" s="153">
        <f>$C98*INDEX(Curves!$AG$8:$AG$68,BC$4-$B98+1)</f>
        <v/>
      </c>
      <c r="BD98" s="153">
        <f>$C98*INDEX(Curves!$AG$8:$AG$68,BD$4-$B98+1)</f>
        <v/>
      </c>
      <c r="BE98" s="153">
        <f>$C98*INDEX(Curves!$AG$8:$AG$68,BE$4-$B98+1)</f>
        <v/>
      </c>
      <c r="BF98" s="153">
        <f>$C98*INDEX(Curves!$AG$8:$AG$68,BF$4-$B98+1)</f>
        <v/>
      </c>
      <c r="BG98" s="153">
        <f>$C98*INDEX(Curves!$AG$8:$AG$68,BG$4-$B98+1)</f>
        <v/>
      </c>
      <c r="BH98" s="153">
        <f>$C98*INDEX(Curves!$AG$8:$AG$68,BH$4-$B98+1)</f>
        <v/>
      </c>
      <c r="BI98" s="153">
        <f>$C98*INDEX(Curves!$AG$8:$AG$68,BI$4-$B98+1)</f>
        <v/>
      </c>
      <c r="BJ98" s="153">
        <f>$C98*INDEX(Curves!$AG$8:$AG$68,BJ$4-$B98+1)</f>
        <v/>
      </c>
      <c r="BK98" s="153">
        <f>$C98*INDEX(Curves!$AG$8:$AG$68,BK$4-$B98+1)</f>
        <v/>
      </c>
      <c r="BL98" s="153">
        <f>$C98*INDEX(Curves!$AG$8:$AG$68,BL$4-$B98+1)</f>
        <v/>
      </c>
    </row>
    <row r="99">
      <c r="A99" s="147" t="inlineStr">
        <is>
          <t>Cohort month 27</t>
        </is>
      </c>
      <c r="B99" s="147" t="n">
        <v>27</v>
      </c>
      <c r="C99" s="41">
        <f>INDEX(Ops!$E$59:$BL$59,1,$B99)</f>
        <v/>
      </c>
      <c r="AF99" s="153">
        <f>$C99*INDEX(Curves!$AG$8:$AG$68,AF$4-$B99+1)</f>
        <v/>
      </c>
      <c r="AG99" s="153">
        <f>$C99*INDEX(Curves!$AG$8:$AG$68,AG$4-$B99+1)</f>
        <v/>
      </c>
      <c r="AH99" s="153">
        <f>$C99*INDEX(Curves!$AG$8:$AG$68,AH$4-$B99+1)</f>
        <v/>
      </c>
      <c r="AI99" s="153">
        <f>$C99*INDEX(Curves!$AG$8:$AG$68,AI$4-$B99+1)</f>
        <v/>
      </c>
      <c r="AJ99" s="153">
        <f>$C99*INDEX(Curves!$AG$8:$AG$68,AJ$4-$B99+1)</f>
        <v/>
      </c>
      <c r="AK99" s="153">
        <f>$C99*INDEX(Curves!$AG$8:$AG$68,AK$4-$B99+1)</f>
        <v/>
      </c>
      <c r="AL99" s="153">
        <f>$C99*INDEX(Curves!$AG$8:$AG$68,AL$4-$B99+1)</f>
        <v/>
      </c>
      <c r="AM99" s="153">
        <f>$C99*INDEX(Curves!$AG$8:$AG$68,AM$4-$B99+1)</f>
        <v/>
      </c>
      <c r="AN99" s="153">
        <f>$C99*INDEX(Curves!$AG$8:$AG$68,AN$4-$B99+1)</f>
        <v/>
      </c>
      <c r="AO99" s="153">
        <f>$C99*INDEX(Curves!$AG$8:$AG$68,AO$4-$B99+1)</f>
        <v/>
      </c>
      <c r="AP99" s="153">
        <f>$C99*INDEX(Curves!$AG$8:$AG$68,AP$4-$B99+1)</f>
        <v/>
      </c>
      <c r="AQ99" s="153">
        <f>$C99*INDEX(Curves!$AG$8:$AG$68,AQ$4-$B99+1)</f>
        <v/>
      </c>
      <c r="AR99" s="153">
        <f>$C99*INDEX(Curves!$AG$8:$AG$68,AR$4-$B99+1)</f>
        <v/>
      </c>
      <c r="AS99" s="153">
        <f>$C99*INDEX(Curves!$AG$8:$AG$68,AS$4-$B99+1)</f>
        <v/>
      </c>
      <c r="AT99" s="153">
        <f>$C99*INDEX(Curves!$AG$8:$AG$68,AT$4-$B99+1)</f>
        <v/>
      </c>
      <c r="AU99" s="153">
        <f>$C99*INDEX(Curves!$AG$8:$AG$68,AU$4-$B99+1)</f>
        <v/>
      </c>
      <c r="AV99" s="153">
        <f>$C99*INDEX(Curves!$AG$8:$AG$68,AV$4-$B99+1)</f>
        <v/>
      </c>
      <c r="AW99" s="153">
        <f>$C99*INDEX(Curves!$AG$8:$AG$68,AW$4-$B99+1)</f>
        <v/>
      </c>
      <c r="AX99" s="153">
        <f>$C99*INDEX(Curves!$AG$8:$AG$68,AX$4-$B99+1)</f>
        <v/>
      </c>
      <c r="AY99" s="153">
        <f>$C99*INDEX(Curves!$AG$8:$AG$68,AY$4-$B99+1)</f>
        <v/>
      </c>
      <c r="AZ99" s="153">
        <f>$C99*INDEX(Curves!$AG$8:$AG$68,AZ$4-$B99+1)</f>
        <v/>
      </c>
      <c r="BA99" s="153">
        <f>$C99*INDEX(Curves!$AG$8:$AG$68,BA$4-$B99+1)</f>
        <v/>
      </c>
      <c r="BB99" s="153">
        <f>$C99*INDEX(Curves!$AG$8:$AG$68,BB$4-$B99+1)</f>
        <v/>
      </c>
      <c r="BC99" s="153">
        <f>$C99*INDEX(Curves!$AG$8:$AG$68,BC$4-$B99+1)</f>
        <v/>
      </c>
      <c r="BD99" s="153">
        <f>$C99*INDEX(Curves!$AG$8:$AG$68,BD$4-$B99+1)</f>
        <v/>
      </c>
      <c r="BE99" s="153">
        <f>$C99*INDEX(Curves!$AG$8:$AG$68,BE$4-$B99+1)</f>
        <v/>
      </c>
      <c r="BF99" s="153">
        <f>$C99*INDEX(Curves!$AG$8:$AG$68,BF$4-$B99+1)</f>
        <v/>
      </c>
      <c r="BG99" s="153">
        <f>$C99*INDEX(Curves!$AG$8:$AG$68,BG$4-$B99+1)</f>
        <v/>
      </c>
      <c r="BH99" s="153">
        <f>$C99*INDEX(Curves!$AG$8:$AG$68,BH$4-$B99+1)</f>
        <v/>
      </c>
      <c r="BI99" s="153">
        <f>$C99*INDEX(Curves!$AG$8:$AG$68,BI$4-$B99+1)</f>
        <v/>
      </c>
      <c r="BJ99" s="153">
        <f>$C99*INDEX(Curves!$AG$8:$AG$68,BJ$4-$B99+1)</f>
        <v/>
      </c>
      <c r="BK99" s="153">
        <f>$C99*INDEX(Curves!$AG$8:$AG$68,BK$4-$B99+1)</f>
        <v/>
      </c>
      <c r="BL99" s="153">
        <f>$C99*INDEX(Curves!$AG$8:$AG$68,BL$4-$B99+1)</f>
        <v/>
      </c>
    </row>
    <row r="100">
      <c r="A100" s="147" t="inlineStr">
        <is>
          <t>Cohort month 28</t>
        </is>
      </c>
      <c r="B100" s="147" t="n">
        <v>28</v>
      </c>
      <c r="C100" s="41">
        <f>INDEX(Ops!$E$59:$BL$59,1,$B100)</f>
        <v/>
      </c>
      <c r="AG100" s="153">
        <f>$C100*INDEX(Curves!$AG$8:$AG$68,AG$4-$B100+1)</f>
        <v/>
      </c>
      <c r="AH100" s="153">
        <f>$C100*INDEX(Curves!$AG$8:$AG$68,AH$4-$B100+1)</f>
        <v/>
      </c>
      <c r="AI100" s="153">
        <f>$C100*INDEX(Curves!$AG$8:$AG$68,AI$4-$B100+1)</f>
        <v/>
      </c>
      <c r="AJ100" s="153">
        <f>$C100*INDEX(Curves!$AG$8:$AG$68,AJ$4-$B100+1)</f>
        <v/>
      </c>
      <c r="AK100" s="153">
        <f>$C100*INDEX(Curves!$AG$8:$AG$68,AK$4-$B100+1)</f>
        <v/>
      </c>
      <c r="AL100" s="153">
        <f>$C100*INDEX(Curves!$AG$8:$AG$68,AL$4-$B100+1)</f>
        <v/>
      </c>
      <c r="AM100" s="153">
        <f>$C100*INDEX(Curves!$AG$8:$AG$68,AM$4-$B100+1)</f>
        <v/>
      </c>
      <c r="AN100" s="153">
        <f>$C100*INDEX(Curves!$AG$8:$AG$68,AN$4-$B100+1)</f>
        <v/>
      </c>
      <c r="AO100" s="153">
        <f>$C100*INDEX(Curves!$AG$8:$AG$68,AO$4-$B100+1)</f>
        <v/>
      </c>
      <c r="AP100" s="153">
        <f>$C100*INDEX(Curves!$AG$8:$AG$68,AP$4-$B100+1)</f>
        <v/>
      </c>
      <c r="AQ100" s="153">
        <f>$C100*INDEX(Curves!$AG$8:$AG$68,AQ$4-$B100+1)</f>
        <v/>
      </c>
      <c r="AR100" s="153">
        <f>$C100*INDEX(Curves!$AG$8:$AG$68,AR$4-$B100+1)</f>
        <v/>
      </c>
      <c r="AS100" s="153">
        <f>$C100*INDEX(Curves!$AG$8:$AG$68,AS$4-$B100+1)</f>
        <v/>
      </c>
      <c r="AT100" s="153">
        <f>$C100*INDEX(Curves!$AG$8:$AG$68,AT$4-$B100+1)</f>
        <v/>
      </c>
      <c r="AU100" s="153">
        <f>$C100*INDEX(Curves!$AG$8:$AG$68,AU$4-$B100+1)</f>
        <v/>
      </c>
      <c r="AV100" s="153">
        <f>$C100*INDEX(Curves!$AG$8:$AG$68,AV$4-$B100+1)</f>
        <v/>
      </c>
      <c r="AW100" s="153">
        <f>$C100*INDEX(Curves!$AG$8:$AG$68,AW$4-$B100+1)</f>
        <v/>
      </c>
      <c r="AX100" s="153">
        <f>$C100*INDEX(Curves!$AG$8:$AG$68,AX$4-$B100+1)</f>
        <v/>
      </c>
      <c r="AY100" s="153">
        <f>$C100*INDEX(Curves!$AG$8:$AG$68,AY$4-$B100+1)</f>
        <v/>
      </c>
      <c r="AZ100" s="153">
        <f>$C100*INDEX(Curves!$AG$8:$AG$68,AZ$4-$B100+1)</f>
        <v/>
      </c>
      <c r="BA100" s="153">
        <f>$C100*INDEX(Curves!$AG$8:$AG$68,BA$4-$B100+1)</f>
        <v/>
      </c>
      <c r="BB100" s="153">
        <f>$C100*INDEX(Curves!$AG$8:$AG$68,BB$4-$B100+1)</f>
        <v/>
      </c>
      <c r="BC100" s="153">
        <f>$C100*INDEX(Curves!$AG$8:$AG$68,BC$4-$B100+1)</f>
        <v/>
      </c>
      <c r="BD100" s="153">
        <f>$C100*INDEX(Curves!$AG$8:$AG$68,BD$4-$B100+1)</f>
        <v/>
      </c>
      <c r="BE100" s="153">
        <f>$C100*INDEX(Curves!$AG$8:$AG$68,BE$4-$B100+1)</f>
        <v/>
      </c>
      <c r="BF100" s="153">
        <f>$C100*INDEX(Curves!$AG$8:$AG$68,BF$4-$B100+1)</f>
        <v/>
      </c>
      <c r="BG100" s="153">
        <f>$C100*INDEX(Curves!$AG$8:$AG$68,BG$4-$B100+1)</f>
        <v/>
      </c>
      <c r="BH100" s="153">
        <f>$C100*INDEX(Curves!$AG$8:$AG$68,BH$4-$B100+1)</f>
        <v/>
      </c>
      <c r="BI100" s="153">
        <f>$C100*INDEX(Curves!$AG$8:$AG$68,BI$4-$B100+1)</f>
        <v/>
      </c>
      <c r="BJ100" s="153">
        <f>$C100*INDEX(Curves!$AG$8:$AG$68,BJ$4-$B100+1)</f>
        <v/>
      </c>
      <c r="BK100" s="153">
        <f>$C100*INDEX(Curves!$AG$8:$AG$68,BK$4-$B100+1)</f>
        <v/>
      </c>
      <c r="BL100" s="153">
        <f>$C100*INDEX(Curves!$AG$8:$AG$68,BL$4-$B100+1)</f>
        <v/>
      </c>
    </row>
    <row r="101">
      <c r="A101" s="147" t="inlineStr">
        <is>
          <t>Cohort month 29</t>
        </is>
      </c>
      <c r="B101" s="147" t="n">
        <v>29</v>
      </c>
      <c r="C101" s="41">
        <f>INDEX(Ops!$E$59:$BL$59,1,$B101)</f>
        <v/>
      </c>
      <c r="AH101" s="153">
        <f>$C101*INDEX(Curves!$AG$8:$AG$68,AH$4-$B101+1)</f>
        <v/>
      </c>
      <c r="AI101" s="153">
        <f>$C101*INDEX(Curves!$AG$8:$AG$68,AI$4-$B101+1)</f>
        <v/>
      </c>
      <c r="AJ101" s="153">
        <f>$C101*INDEX(Curves!$AG$8:$AG$68,AJ$4-$B101+1)</f>
        <v/>
      </c>
      <c r="AK101" s="153">
        <f>$C101*INDEX(Curves!$AG$8:$AG$68,AK$4-$B101+1)</f>
        <v/>
      </c>
      <c r="AL101" s="153">
        <f>$C101*INDEX(Curves!$AG$8:$AG$68,AL$4-$B101+1)</f>
        <v/>
      </c>
      <c r="AM101" s="153">
        <f>$C101*INDEX(Curves!$AG$8:$AG$68,AM$4-$B101+1)</f>
        <v/>
      </c>
      <c r="AN101" s="153">
        <f>$C101*INDEX(Curves!$AG$8:$AG$68,AN$4-$B101+1)</f>
        <v/>
      </c>
      <c r="AO101" s="153">
        <f>$C101*INDEX(Curves!$AG$8:$AG$68,AO$4-$B101+1)</f>
        <v/>
      </c>
      <c r="AP101" s="153">
        <f>$C101*INDEX(Curves!$AG$8:$AG$68,AP$4-$B101+1)</f>
        <v/>
      </c>
      <c r="AQ101" s="153">
        <f>$C101*INDEX(Curves!$AG$8:$AG$68,AQ$4-$B101+1)</f>
        <v/>
      </c>
      <c r="AR101" s="153">
        <f>$C101*INDEX(Curves!$AG$8:$AG$68,AR$4-$B101+1)</f>
        <v/>
      </c>
      <c r="AS101" s="153">
        <f>$C101*INDEX(Curves!$AG$8:$AG$68,AS$4-$B101+1)</f>
        <v/>
      </c>
      <c r="AT101" s="153">
        <f>$C101*INDEX(Curves!$AG$8:$AG$68,AT$4-$B101+1)</f>
        <v/>
      </c>
      <c r="AU101" s="153">
        <f>$C101*INDEX(Curves!$AG$8:$AG$68,AU$4-$B101+1)</f>
        <v/>
      </c>
      <c r="AV101" s="153">
        <f>$C101*INDEX(Curves!$AG$8:$AG$68,AV$4-$B101+1)</f>
        <v/>
      </c>
      <c r="AW101" s="153">
        <f>$C101*INDEX(Curves!$AG$8:$AG$68,AW$4-$B101+1)</f>
        <v/>
      </c>
      <c r="AX101" s="153">
        <f>$C101*INDEX(Curves!$AG$8:$AG$68,AX$4-$B101+1)</f>
        <v/>
      </c>
      <c r="AY101" s="153">
        <f>$C101*INDEX(Curves!$AG$8:$AG$68,AY$4-$B101+1)</f>
        <v/>
      </c>
      <c r="AZ101" s="153">
        <f>$C101*INDEX(Curves!$AG$8:$AG$68,AZ$4-$B101+1)</f>
        <v/>
      </c>
      <c r="BA101" s="153">
        <f>$C101*INDEX(Curves!$AG$8:$AG$68,BA$4-$B101+1)</f>
        <v/>
      </c>
      <c r="BB101" s="153">
        <f>$C101*INDEX(Curves!$AG$8:$AG$68,BB$4-$B101+1)</f>
        <v/>
      </c>
      <c r="BC101" s="153">
        <f>$C101*INDEX(Curves!$AG$8:$AG$68,BC$4-$B101+1)</f>
        <v/>
      </c>
      <c r="BD101" s="153">
        <f>$C101*INDEX(Curves!$AG$8:$AG$68,BD$4-$B101+1)</f>
        <v/>
      </c>
      <c r="BE101" s="153">
        <f>$C101*INDEX(Curves!$AG$8:$AG$68,BE$4-$B101+1)</f>
        <v/>
      </c>
      <c r="BF101" s="153">
        <f>$C101*INDEX(Curves!$AG$8:$AG$68,BF$4-$B101+1)</f>
        <v/>
      </c>
      <c r="BG101" s="153">
        <f>$C101*INDEX(Curves!$AG$8:$AG$68,BG$4-$B101+1)</f>
        <v/>
      </c>
      <c r="BH101" s="153">
        <f>$C101*INDEX(Curves!$AG$8:$AG$68,BH$4-$B101+1)</f>
        <v/>
      </c>
      <c r="BI101" s="153">
        <f>$C101*INDEX(Curves!$AG$8:$AG$68,BI$4-$B101+1)</f>
        <v/>
      </c>
      <c r="BJ101" s="153">
        <f>$C101*INDEX(Curves!$AG$8:$AG$68,BJ$4-$B101+1)</f>
        <v/>
      </c>
      <c r="BK101" s="153">
        <f>$C101*INDEX(Curves!$AG$8:$AG$68,BK$4-$B101+1)</f>
        <v/>
      </c>
      <c r="BL101" s="153">
        <f>$C101*INDEX(Curves!$AG$8:$AG$68,BL$4-$B101+1)</f>
        <v/>
      </c>
    </row>
    <row r="102">
      <c r="A102" s="147" t="inlineStr">
        <is>
          <t>Cohort month 30</t>
        </is>
      </c>
      <c r="B102" s="147" t="n">
        <v>30</v>
      </c>
      <c r="C102" s="41">
        <f>INDEX(Ops!$E$59:$BL$59,1,$B102)</f>
        <v/>
      </c>
      <c r="AI102" s="153">
        <f>$C102*INDEX(Curves!$AG$8:$AG$68,AI$4-$B102+1)</f>
        <v/>
      </c>
      <c r="AJ102" s="153">
        <f>$C102*INDEX(Curves!$AG$8:$AG$68,AJ$4-$B102+1)</f>
        <v/>
      </c>
      <c r="AK102" s="153">
        <f>$C102*INDEX(Curves!$AG$8:$AG$68,AK$4-$B102+1)</f>
        <v/>
      </c>
      <c r="AL102" s="153">
        <f>$C102*INDEX(Curves!$AG$8:$AG$68,AL$4-$B102+1)</f>
        <v/>
      </c>
      <c r="AM102" s="153">
        <f>$C102*INDEX(Curves!$AG$8:$AG$68,AM$4-$B102+1)</f>
        <v/>
      </c>
      <c r="AN102" s="153">
        <f>$C102*INDEX(Curves!$AG$8:$AG$68,AN$4-$B102+1)</f>
        <v/>
      </c>
      <c r="AO102" s="153">
        <f>$C102*INDEX(Curves!$AG$8:$AG$68,AO$4-$B102+1)</f>
        <v/>
      </c>
      <c r="AP102" s="153">
        <f>$C102*INDEX(Curves!$AG$8:$AG$68,AP$4-$B102+1)</f>
        <v/>
      </c>
      <c r="AQ102" s="153">
        <f>$C102*INDEX(Curves!$AG$8:$AG$68,AQ$4-$B102+1)</f>
        <v/>
      </c>
      <c r="AR102" s="153">
        <f>$C102*INDEX(Curves!$AG$8:$AG$68,AR$4-$B102+1)</f>
        <v/>
      </c>
      <c r="AS102" s="153">
        <f>$C102*INDEX(Curves!$AG$8:$AG$68,AS$4-$B102+1)</f>
        <v/>
      </c>
      <c r="AT102" s="153">
        <f>$C102*INDEX(Curves!$AG$8:$AG$68,AT$4-$B102+1)</f>
        <v/>
      </c>
      <c r="AU102" s="153">
        <f>$C102*INDEX(Curves!$AG$8:$AG$68,AU$4-$B102+1)</f>
        <v/>
      </c>
      <c r="AV102" s="153">
        <f>$C102*INDEX(Curves!$AG$8:$AG$68,AV$4-$B102+1)</f>
        <v/>
      </c>
      <c r="AW102" s="153">
        <f>$C102*INDEX(Curves!$AG$8:$AG$68,AW$4-$B102+1)</f>
        <v/>
      </c>
      <c r="AX102" s="153">
        <f>$C102*INDEX(Curves!$AG$8:$AG$68,AX$4-$B102+1)</f>
        <v/>
      </c>
      <c r="AY102" s="153">
        <f>$C102*INDEX(Curves!$AG$8:$AG$68,AY$4-$B102+1)</f>
        <v/>
      </c>
      <c r="AZ102" s="153">
        <f>$C102*INDEX(Curves!$AG$8:$AG$68,AZ$4-$B102+1)</f>
        <v/>
      </c>
      <c r="BA102" s="153">
        <f>$C102*INDEX(Curves!$AG$8:$AG$68,BA$4-$B102+1)</f>
        <v/>
      </c>
      <c r="BB102" s="153">
        <f>$C102*INDEX(Curves!$AG$8:$AG$68,BB$4-$B102+1)</f>
        <v/>
      </c>
      <c r="BC102" s="153">
        <f>$C102*INDEX(Curves!$AG$8:$AG$68,BC$4-$B102+1)</f>
        <v/>
      </c>
      <c r="BD102" s="153">
        <f>$C102*INDEX(Curves!$AG$8:$AG$68,BD$4-$B102+1)</f>
        <v/>
      </c>
      <c r="BE102" s="153">
        <f>$C102*INDEX(Curves!$AG$8:$AG$68,BE$4-$B102+1)</f>
        <v/>
      </c>
      <c r="BF102" s="153">
        <f>$C102*INDEX(Curves!$AG$8:$AG$68,BF$4-$B102+1)</f>
        <v/>
      </c>
      <c r="BG102" s="153">
        <f>$C102*INDEX(Curves!$AG$8:$AG$68,BG$4-$B102+1)</f>
        <v/>
      </c>
      <c r="BH102" s="153">
        <f>$C102*INDEX(Curves!$AG$8:$AG$68,BH$4-$B102+1)</f>
        <v/>
      </c>
      <c r="BI102" s="153">
        <f>$C102*INDEX(Curves!$AG$8:$AG$68,BI$4-$B102+1)</f>
        <v/>
      </c>
      <c r="BJ102" s="153">
        <f>$C102*INDEX(Curves!$AG$8:$AG$68,BJ$4-$B102+1)</f>
        <v/>
      </c>
      <c r="BK102" s="153">
        <f>$C102*INDEX(Curves!$AG$8:$AG$68,BK$4-$B102+1)</f>
        <v/>
      </c>
      <c r="BL102" s="153">
        <f>$C102*INDEX(Curves!$AG$8:$AG$68,BL$4-$B102+1)</f>
        <v/>
      </c>
    </row>
    <row r="103">
      <c r="A103" s="147" t="inlineStr">
        <is>
          <t>Cohort month 31</t>
        </is>
      </c>
      <c r="B103" s="147" t="n">
        <v>31</v>
      </c>
      <c r="C103" s="41">
        <f>INDEX(Ops!$E$59:$BL$59,1,$B103)</f>
        <v/>
      </c>
      <c r="AJ103" s="153">
        <f>$C103*INDEX(Curves!$AG$8:$AG$68,AJ$4-$B103+1)</f>
        <v/>
      </c>
      <c r="AK103" s="153">
        <f>$C103*INDEX(Curves!$AG$8:$AG$68,AK$4-$B103+1)</f>
        <v/>
      </c>
      <c r="AL103" s="153">
        <f>$C103*INDEX(Curves!$AG$8:$AG$68,AL$4-$B103+1)</f>
        <v/>
      </c>
      <c r="AM103" s="153">
        <f>$C103*INDEX(Curves!$AG$8:$AG$68,AM$4-$B103+1)</f>
        <v/>
      </c>
      <c r="AN103" s="153">
        <f>$C103*INDEX(Curves!$AG$8:$AG$68,AN$4-$B103+1)</f>
        <v/>
      </c>
      <c r="AO103" s="153">
        <f>$C103*INDEX(Curves!$AG$8:$AG$68,AO$4-$B103+1)</f>
        <v/>
      </c>
      <c r="AP103" s="153">
        <f>$C103*INDEX(Curves!$AG$8:$AG$68,AP$4-$B103+1)</f>
        <v/>
      </c>
      <c r="AQ103" s="153">
        <f>$C103*INDEX(Curves!$AG$8:$AG$68,AQ$4-$B103+1)</f>
        <v/>
      </c>
      <c r="AR103" s="153">
        <f>$C103*INDEX(Curves!$AG$8:$AG$68,AR$4-$B103+1)</f>
        <v/>
      </c>
      <c r="AS103" s="153">
        <f>$C103*INDEX(Curves!$AG$8:$AG$68,AS$4-$B103+1)</f>
        <v/>
      </c>
      <c r="AT103" s="153">
        <f>$C103*INDEX(Curves!$AG$8:$AG$68,AT$4-$B103+1)</f>
        <v/>
      </c>
      <c r="AU103" s="153">
        <f>$C103*INDEX(Curves!$AG$8:$AG$68,AU$4-$B103+1)</f>
        <v/>
      </c>
      <c r="AV103" s="153">
        <f>$C103*INDEX(Curves!$AG$8:$AG$68,AV$4-$B103+1)</f>
        <v/>
      </c>
      <c r="AW103" s="153">
        <f>$C103*INDEX(Curves!$AG$8:$AG$68,AW$4-$B103+1)</f>
        <v/>
      </c>
      <c r="AX103" s="153">
        <f>$C103*INDEX(Curves!$AG$8:$AG$68,AX$4-$B103+1)</f>
        <v/>
      </c>
      <c r="AY103" s="153">
        <f>$C103*INDEX(Curves!$AG$8:$AG$68,AY$4-$B103+1)</f>
        <v/>
      </c>
      <c r="AZ103" s="153">
        <f>$C103*INDEX(Curves!$AG$8:$AG$68,AZ$4-$B103+1)</f>
        <v/>
      </c>
      <c r="BA103" s="153">
        <f>$C103*INDEX(Curves!$AG$8:$AG$68,BA$4-$B103+1)</f>
        <v/>
      </c>
      <c r="BB103" s="153">
        <f>$C103*INDEX(Curves!$AG$8:$AG$68,BB$4-$B103+1)</f>
        <v/>
      </c>
      <c r="BC103" s="153">
        <f>$C103*INDEX(Curves!$AG$8:$AG$68,BC$4-$B103+1)</f>
        <v/>
      </c>
      <c r="BD103" s="153">
        <f>$C103*INDEX(Curves!$AG$8:$AG$68,BD$4-$B103+1)</f>
        <v/>
      </c>
      <c r="BE103" s="153">
        <f>$C103*INDEX(Curves!$AG$8:$AG$68,BE$4-$B103+1)</f>
        <v/>
      </c>
      <c r="BF103" s="153">
        <f>$C103*INDEX(Curves!$AG$8:$AG$68,BF$4-$B103+1)</f>
        <v/>
      </c>
      <c r="BG103" s="153">
        <f>$C103*INDEX(Curves!$AG$8:$AG$68,BG$4-$B103+1)</f>
        <v/>
      </c>
      <c r="BH103" s="153">
        <f>$C103*INDEX(Curves!$AG$8:$AG$68,BH$4-$B103+1)</f>
        <v/>
      </c>
      <c r="BI103" s="153">
        <f>$C103*INDEX(Curves!$AG$8:$AG$68,BI$4-$B103+1)</f>
        <v/>
      </c>
      <c r="BJ103" s="153">
        <f>$C103*INDEX(Curves!$AG$8:$AG$68,BJ$4-$B103+1)</f>
        <v/>
      </c>
      <c r="BK103" s="153">
        <f>$C103*INDEX(Curves!$AG$8:$AG$68,BK$4-$B103+1)</f>
        <v/>
      </c>
      <c r="BL103" s="153">
        <f>$C103*INDEX(Curves!$AG$8:$AG$68,BL$4-$B103+1)</f>
        <v/>
      </c>
    </row>
    <row r="104">
      <c r="A104" s="147" t="inlineStr">
        <is>
          <t>Cohort month 32</t>
        </is>
      </c>
      <c r="B104" s="147" t="n">
        <v>32</v>
      </c>
      <c r="C104" s="41">
        <f>INDEX(Ops!$E$59:$BL$59,1,$B104)</f>
        <v/>
      </c>
      <c r="AK104" s="153">
        <f>$C104*INDEX(Curves!$AG$8:$AG$68,AK$4-$B104+1)</f>
        <v/>
      </c>
      <c r="AL104" s="153">
        <f>$C104*INDEX(Curves!$AG$8:$AG$68,AL$4-$B104+1)</f>
        <v/>
      </c>
      <c r="AM104" s="153">
        <f>$C104*INDEX(Curves!$AG$8:$AG$68,AM$4-$B104+1)</f>
        <v/>
      </c>
      <c r="AN104" s="153">
        <f>$C104*INDEX(Curves!$AG$8:$AG$68,AN$4-$B104+1)</f>
        <v/>
      </c>
      <c r="AO104" s="153">
        <f>$C104*INDEX(Curves!$AG$8:$AG$68,AO$4-$B104+1)</f>
        <v/>
      </c>
      <c r="AP104" s="153">
        <f>$C104*INDEX(Curves!$AG$8:$AG$68,AP$4-$B104+1)</f>
        <v/>
      </c>
      <c r="AQ104" s="153">
        <f>$C104*INDEX(Curves!$AG$8:$AG$68,AQ$4-$B104+1)</f>
        <v/>
      </c>
      <c r="AR104" s="153">
        <f>$C104*INDEX(Curves!$AG$8:$AG$68,AR$4-$B104+1)</f>
        <v/>
      </c>
      <c r="AS104" s="153">
        <f>$C104*INDEX(Curves!$AG$8:$AG$68,AS$4-$B104+1)</f>
        <v/>
      </c>
      <c r="AT104" s="153">
        <f>$C104*INDEX(Curves!$AG$8:$AG$68,AT$4-$B104+1)</f>
        <v/>
      </c>
      <c r="AU104" s="153">
        <f>$C104*INDEX(Curves!$AG$8:$AG$68,AU$4-$B104+1)</f>
        <v/>
      </c>
      <c r="AV104" s="153">
        <f>$C104*INDEX(Curves!$AG$8:$AG$68,AV$4-$B104+1)</f>
        <v/>
      </c>
      <c r="AW104" s="153">
        <f>$C104*INDEX(Curves!$AG$8:$AG$68,AW$4-$B104+1)</f>
        <v/>
      </c>
      <c r="AX104" s="153">
        <f>$C104*INDEX(Curves!$AG$8:$AG$68,AX$4-$B104+1)</f>
        <v/>
      </c>
      <c r="AY104" s="153">
        <f>$C104*INDEX(Curves!$AG$8:$AG$68,AY$4-$B104+1)</f>
        <v/>
      </c>
      <c r="AZ104" s="153">
        <f>$C104*INDEX(Curves!$AG$8:$AG$68,AZ$4-$B104+1)</f>
        <v/>
      </c>
      <c r="BA104" s="153">
        <f>$C104*INDEX(Curves!$AG$8:$AG$68,BA$4-$B104+1)</f>
        <v/>
      </c>
      <c r="BB104" s="153">
        <f>$C104*INDEX(Curves!$AG$8:$AG$68,BB$4-$B104+1)</f>
        <v/>
      </c>
      <c r="BC104" s="153">
        <f>$C104*INDEX(Curves!$AG$8:$AG$68,BC$4-$B104+1)</f>
        <v/>
      </c>
      <c r="BD104" s="153">
        <f>$C104*INDEX(Curves!$AG$8:$AG$68,BD$4-$B104+1)</f>
        <v/>
      </c>
      <c r="BE104" s="153">
        <f>$C104*INDEX(Curves!$AG$8:$AG$68,BE$4-$B104+1)</f>
        <v/>
      </c>
      <c r="BF104" s="153">
        <f>$C104*INDEX(Curves!$AG$8:$AG$68,BF$4-$B104+1)</f>
        <v/>
      </c>
      <c r="BG104" s="153">
        <f>$C104*INDEX(Curves!$AG$8:$AG$68,BG$4-$B104+1)</f>
        <v/>
      </c>
      <c r="BH104" s="153">
        <f>$C104*INDEX(Curves!$AG$8:$AG$68,BH$4-$B104+1)</f>
        <v/>
      </c>
      <c r="BI104" s="153">
        <f>$C104*INDEX(Curves!$AG$8:$AG$68,BI$4-$B104+1)</f>
        <v/>
      </c>
      <c r="BJ104" s="153">
        <f>$C104*INDEX(Curves!$AG$8:$AG$68,BJ$4-$B104+1)</f>
        <v/>
      </c>
      <c r="BK104" s="153">
        <f>$C104*INDEX(Curves!$AG$8:$AG$68,BK$4-$B104+1)</f>
        <v/>
      </c>
      <c r="BL104" s="153">
        <f>$C104*INDEX(Curves!$AG$8:$AG$68,BL$4-$B104+1)</f>
        <v/>
      </c>
    </row>
    <row r="105">
      <c r="A105" s="147" t="inlineStr">
        <is>
          <t>Cohort month 33</t>
        </is>
      </c>
      <c r="B105" s="147" t="n">
        <v>33</v>
      </c>
      <c r="C105" s="41">
        <f>INDEX(Ops!$E$59:$BL$59,1,$B105)</f>
        <v/>
      </c>
      <c r="AL105" s="153">
        <f>$C105*INDEX(Curves!$AG$8:$AG$68,AL$4-$B105+1)</f>
        <v/>
      </c>
      <c r="AM105" s="153">
        <f>$C105*INDEX(Curves!$AG$8:$AG$68,AM$4-$B105+1)</f>
        <v/>
      </c>
      <c r="AN105" s="153">
        <f>$C105*INDEX(Curves!$AG$8:$AG$68,AN$4-$B105+1)</f>
        <v/>
      </c>
      <c r="AO105" s="153">
        <f>$C105*INDEX(Curves!$AG$8:$AG$68,AO$4-$B105+1)</f>
        <v/>
      </c>
      <c r="AP105" s="153">
        <f>$C105*INDEX(Curves!$AG$8:$AG$68,AP$4-$B105+1)</f>
        <v/>
      </c>
      <c r="AQ105" s="153">
        <f>$C105*INDEX(Curves!$AG$8:$AG$68,AQ$4-$B105+1)</f>
        <v/>
      </c>
      <c r="AR105" s="153">
        <f>$C105*INDEX(Curves!$AG$8:$AG$68,AR$4-$B105+1)</f>
        <v/>
      </c>
      <c r="AS105" s="153">
        <f>$C105*INDEX(Curves!$AG$8:$AG$68,AS$4-$B105+1)</f>
        <v/>
      </c>
      <c r="AT105" s="153">
        <f>$C105*INDEX(Curves!$AG$8:$AG$68,AT$4-$B105+1)</f>
        <v/>
      </c>
      <c r="AU105" s="153">
        <f>$C105*INDEX(Curves!$AG$8:$AG$68,AU$4-$B105+1)</f>
        <v/>
      </c>
      <c r="AV105" s="153">
        <f>$C105*INDEX(Curves!$AG$8:$AG$68,AV$4-$B105+1)</f>
        <v/>
      </c>
      <c r="AW105" s="153">
        <f>$C105*INDEX(Curves!$AG$8:$AG$68,AW$4-$B105+1)</f>
        <v/>
      </c>
      <c r="AX105" s="153">
        <f>$C105*INDEX(Curves!$AG$8:$AG$68,AX$4-$B105+1)</f>
        <v/>
      </c>
      <c r="AY105" s="153">
        <f>$C105*INDEX(Curves!$AG$8:$AG$68,AY$4-$B105+1)</f>
        <v/>
      </c>
      <c r="AZ105" s="153">
        <f>$C105*INDEX(Curves!$AG$8:$AG$68,AZ$4-$B105+1)</f>
        <v/>
      </c>
      <c r="BA105" s="153">
        <f>$C105*INDEX(Curves!$AG$8:$AG$68,BA$4-$B105+1)</f>
        <v/>
      </c>
      <c r="BB105" s="153">
        <f>$C105*INDEX(Curves!$AG$8:$AG$68,BB$4-$B105+1)</f>
        <v/>
      </c>
      <c r="BC105" s="153">
        <f>$C105*INDEX(Curves!$AG$8:$AG$68,BC$4-$B105+1)</f>
        <v/>
      </c>
      <c r="BD105" s="153">
        <f>$C105*INDEX(Curves!$AG$8:$AG$68,BD$4-$B105+1)</f>
        <v/>
      </c>
      <c r="BE105" s="153">
        <f>$C105*INDEX(Curves!$AG$8:$AG$68,BE$4-$B105+1)</f>
        <v/>
      </c>
      <c r="BF105" s="153">
        <f>$C105*INDEX(Curves!$AG$8:$AG$68,BF$4-$B105+1)</f>
        <v/>
      </c>
      <c r="BG105" s="153">
        <f>$C105*INDEX(Curves!$AG$8:$AG$68,BG$4-$B105+1)</f>
        <v/>
      </c>
      <c r="BH105" s="153">
        <f>$C105*INDEX(Curves!$AG$8:$AG$68,BH$4-$B105+1)</f>
        <v/>
      </c>
      <c r="BI105" s="153">
        <f>$C105*INDEX(Curves!$AG$8:$AG$68,BI$4-$B105+1)</f>
        <v/>
      </c>
      <c r="BJ105" s="153">
        <f>$C105*INDEX(Curves!$AG$8:$AG$68,BJ$4-$B105+1)</f>
        <v/>
      </c>
      <c r="BK105" s="153">
        <f>$C105*INDEX(Curves!$AG$8:$AG$68,BK$4-$B105+1)</f>
        <v/>
      </c>
      <c r="BL105" s="153">
        <f>$C105*INDEX(Curves!$AG$8:$AG$68,BL$4-$B105+1)</f>
        <v/>
      </c>
    </row>
    <row r="106">
      <c r="A106" s="147" t="inlineStr">
        <is>
          <t>Cohort month 34</t>
        </is>
      </c>
      <c r="B106" s="147" t="n">
        <v>34</v>
      </c>
      <c r="C106" s="41">
        <f>INDEX(Ops!$E$59:$BL$59,1,$B106)</f>
        <v/>
      </c>
      <c r="AM106" s="153">
        <f>$C106*INDEX(Curves!$AG$8:$AG$68,AM$4-$B106+1)</f>
        <v/>
      </c>
      <c r="AN106" s="153">
        <f>$C106*INDEX(Curves!$AG$8:$AG$68,AN$4-$B106+1)</f>
        <v/>
      </c>
      <c r="AO106" s="153">
        <f>$C106*INDEX(Curves!$AG$8:$AG$68,AO$4-$B106+1)</f>
        <v/>
      </c>
      <c r="AP106" s="153">
        <f>$C106*INDEX(Curves!$AG$8:$AG$68,AP$4-$B106+1)</f>
        <v/>
      </c>
      <c r="AQ106" s="153">
        <f>$C106*INDEX(Curves!$AG$8:$AG$68,AQ$4-$B106+1)</f>
        <v/>
      </c>
      <c r="AR106" s="153">
        <f>$C106*INDEX(Curves!$AG$8:$AG$68,AR$4-$B106+1)</f>
        <v/>
      </c>
      <c r="AS106" s="153">
        <f>$C106*INDEX(Curves!$AG$8:$AG$68,AS$4-$B106+1)</f>
        <v/>
      </c>
      <c r="AT106" s="153">
        <f>$C106*INDEX(Curves!$AG$8:$AG$68,AT$4-$B106+1)</f>
        <v/>
      </c>
      <c r="AU106" s="153">
        <f>$C106*INDEX(Curves!$AG$8:$AG$68,AU$4-$B106+1)</f>
        <v/>
      </c>
      <c r="AV106" s="153">
        <f>$C106*INDEX(Curves!$AG$8:$AG$68,AV$4-$B106+1)</f>
        <v/>
      </c>
      <c r="AW106" s="153">
        <f>$C106*INDEX(Curves!$AG$8:$AG$68,AW$4-$B106+1)</f>
        <v/>
      </c>
      <c r="AX106" s="153">
        <f>$C106*INDEX(Curves!$AG$8:$AG$68,AX$4-$B106+1)</f>
        <v/>
      </c>
      <c r="AY106" s="153">
        <f>$C106*INDEX(Curves!$AG$8:$AG$68,AY$4-$B106+1)</f>
        <v/>
      </c>
      <c r="AZ106" s="153">
        <f>$C106*INDEX(Curves!$AG$8:$AG$68,AZ$4-$B106+1)</f>
        <v/>
      </c>
      <c r="BA106" s="153">
        <f>$C106*INDEX(Curves!$AG$8:$AG$68,BA$4-$B106+1)</f>
        <v/>
      </c>
      <c r="BB106" s="153">
        <f>$C106*INDEX(Curves!$AG$8:$AG$68,BB$4-$B106+1)</f>
        <v/>
      </c>
      <c r="BC106" s="153">
        <f>$C106*INDEX(Curves!$AG$8:$AG$68,BC$4-$B106+1)</f>
        <v/>
      </c>
      <c r="BD106" s="153">
        <f>$C106*INDEX(Curves!$AG$8:$AG$68,BD$4-$B106+1)</f>
        <v/>
      </c>
      <c r="BE106" s="153">
        <f>$C106*INDEX(Curves!$AG$8:$AG$68,BE$4-$B106+1)</f>
        <v/>
      </c>
      <c r="BF106" s="153">
        <f>$C106*INDEX(Curves!$AG$8:$AG$68,BF$4-$B106+1)</f>
        <v/>
      </c>
      <c r="BG106" s="153">
        <f>$C106*INDEX(Curves!$AG$8:$AG$68,BG$4-$B106+1)</f>
        <v/>
      </c>
      <c r="BH106" s="153">
        <f>$C106*INDEX(Curves!$AG$8:$AG$68,BH$4-$B106+1)</f>
        <v/>
      </c>
      <c r="BI106" s="153">
        <f>$C106*INDEX(Curves!$AG$8:$AG$68,BI$4-$B106+1)</f>
        <v/>
      </c>
      <c r="BJ106" s="153">
        <f>$C106*INDEX(Curves!$AG$8:$AG$68,BJ$4-$B106+1)</f>
        <v/>
      </c>
      <c r="BK106" s="153">
        <f>$C106*INDEX(Curves!$AG$8:$AG$68,BK$4-$B106+1)</f>
        <v/>
      </c>
      <c r="BL106" s="153">
        <f>$C106*INDEX(Curves!$AG$8:$AG$68,BL$4-$B106+1)</f>
        <v/>
      </c>
    </row>
    <row r="107">
      <c r="A107" s="147" t="inlineStr">
        <is>
          <t>Cohort month 35</t>
        </is>
      </c>
      <c r="B107" s="147" t="n">
        <v>35</v>
      </c>
      <c r="C107" s="41">
        <f>INDEX(Ops!$E$59:$BL$59,1,$B107)</f>
        <v/>
      </c>
      <c r="AN107" s="153">
        <f>$C107*INDEX(Curves!$AG$8:$AG$68,AN$4-$B107+1)</f>
        <v/>
      </c>
      <c r="AO107" s="153">
        <f>$C107*INDEX(Curves!$AG$8:$AG$68,AO$4-$B107+1)</f>
        <v/>
      </c>
      <c r="AP107" s="153">
        <f>$C107*INDEX(Curves!$AG$8:$AG$68,AP$4-$B107+1)</f>
        <v/>
      </c>
      <c r="AQ107" s="153">
        <f>$C107*INDEX(Curves!$AG$8:$AG$68,AQ$4-$B107+1)</f>
        <v/>
      </c>
      <c r="AR107" s="153">
        <f>$C107*INDEX(Curves!$AG$8:$AG$68,AR$4-$B107+1)</f>
        <v/>
      </c>
      <c r="AS107" s="153">
        <f>$C107*INDEX(Curves!$AG$8:$AG$68,AS$4-$B107+1)</f>
        <v/>
      </c>
      <c r="AT107" s="153">
        <f>$C107*INDEX(Curves!$AG$8:$AG$68,AT$4-$B107+1)</f>
        <v/>
      </c>
      <c r="AU107" s="153">
        <f>$C107*INDEX(Curves!$AG$8:$AG$68,AU$4-$B107+1)</f>
        <v/>
      </c>
      <c r="AV107" s="153">
        <f>$C107*INDEX(Curves!$AG$8:$AG$68,AV$4-$B107+1)</f>
        <v/>
      </c>
      <c r="AW107" s="153">
        <f>$C107*INDEX(Curves!$AG$8:$AG$68,AW$4-$B107+1)</f>
        <v/>
      </c>
      <c r="AX107" s="153">
        <f>$C107*INDEX(Curves!$AG$8:$AG$68,AX$4-$B107+1)</f>
        <v/>
      </c>
      <c r="AY107" s="153">
        <f>$C107*INDEX(Curves!$AG$8:$AG$68,AY$4-$B107+1)</f>
        <v/>
      </c>
      <c r="AZ107" s="153">
        <f>$C107*INDEX(Curves!$AG$8:$AG$68,AZ$4-$B107+1)</f>
        <v/>
      </c>
      <c r="BA107" s="153">
        <f>$C107*INDEX(Curves!$AG$8:$AG$68,BA$4-$B107+1)</f>
        <v/>
      </c>
      <c r="BB107" s="153">
        <f>$C107*INDEX(Curves!$AG$8:$AG$68,BB$4-$B107+1)</f>
        <v/>
      </c>
      <c r="BC107" s="153">
        <f>$C107*INDEX(Curves!$AG$8:$AG$68,BC$4-$B107+1)</f>
        <v/>
      </c>
      <c r="BD107" s="153">
        <f>$C107*INDEX(Curves!$AG$8:$AG$68,BD$4-$B107+1)</f>
        <v/>
      </c>
      <c r="BE107" s="153">
        <f>$C107*INDEX(Curves!$AG$8:$AG$68,BE$4-$B107+1)</f>
        <v/>
      </c>
      <c r="BF107" s="153">
        <f>$C107*INDEX(Curves!$AG$8:$AG$68,BF$4-$B107+1)</f>
        <v/>
      </c>
      <c r="BG107" s="153">
        <f>$C107*INDEX(Curves!$AG$8:$AG$68,BG$4-$B107+1)</f>
        <v/>
      </c>
      <c r="BH107" s="153">
        <f>$C107*INDEX(Curves!$AG$8:$AG$68,BH$4-$B107+1)</f>
        <v/>
      </c>
      <c r="BI107" s="153">
        <f>$C107*INDEX(Curves!$AG$8:$AG$68,BI$4-$B107+1)</f>
        <v/>
      </c>
      <c r="BJ107" s="153">
        <f>$C107*INDEX(Curves!$AG$8:$AG$68,BJ$4-$B107+1)</f>
        <v/>
      </c>
      <c r="BK107" s="153">
        <f>$C107*INDEX(Curves!$AG$8:$AG$68,BK$4-$B107+1)</f>
        <v/>
      </c>
      <c r="BL107" s="153">
        <f>$C107*INDEX(Curves!$AG$8:$AG$68,BL$4-$B107+1)</f>
        <v/>
      </c>
    </row>
    <row r="108">
      <c r="A108" s="147" t="inlineStr">
        <is>
          <t>Cohort month 36</t>
        </is>
      </c>
      <c r="B108" s="147" t="n">
        <v>36</v>
      </c>
      <c r="C108" s="41">
        <f>INDEX(Ops!$E$59:$BL$59,1,$B108)</f>
        <v/>
      </c>
      <c r="AO108" s="153">
        <f>$C108*INDEX(Curves!$AG$8:$AG$68,AO$4-$B108+1)</f>
        <v/>
      </c>
      <c r="AP108" s="153">
        <f>$C108*INDEX(Curves!$AG$8:$AG$68,AP$4-$B108+1)</f>
        <v/>
      </c>
      <c r="AQ108" s="153">
        <f>$C108*INDEX(Curves!$AG$8:$AG$68,AQ$4-$B108+1)</f>
        <v/>
      </c>
      <c r="AR108" s="153">
        <f>$C108*INDEX(Curves!$AG$8:$AG$68,AR$4-$B108+1)</f>
        <v/>
      </c>
      <c r="AS108" s="153">
        <f>$C108*INDEX(Curves!$AG$8:$AG$68,AS$4-$B108+1)</f>
        <v/>
      </c>
      <c r="AT108" s="153">
        <f>$C108*INDEX(Curves!$AG$8:$AG$68,AT$4-$B108+1)</f>
        <v/>
      </c>
      <c r="AU108" s="153">
        <f>$C108*INDEX(Curves!$AG$8:$AG$68,AU$4-$B108+1)</f>
        <v/>
      </c>
      <c r="AV108" s="153">
        <f>$C108*INDEX(Curves!$AG$8:$AG$68,AV$4-$B108+1)</f>
        <v/>
      </c>
      <c r="AW108" s="153">
        <f>$C108*INDEX(Curves!$AG$8:$AG$68,AW$4-$B108+1)</f>
        <v/>
      </c>
      <c r="AX108" s="153">
        <f>$C108*INDEX(Curves!$AG$8:$AG$68,AX$4-$B108+1)</f>
        <v/>
      </c>
      <c r="AY108" s="153">
        <f>$C108*INDEX(Curves!$AG$8:$AG$68,AY$4-$B108+1)</f>
        <v/>
      </c>
      <c r="AZ108" s="153">
        <f>$C108*INDEX(Curves!$AG$8:$AG$68,AZ$4-$B108+1)</f>
        <v/>
      </c>
      <c r="BA108" s="153">
        <f>$C108*INDEX(Curves!$AG$8:$AG$68,BA$4-$B108+1)</f>
        <v/>
      </c>
      <c r="BB108" s="153">
        <f>$C108*INDEX(Curves!$AG$8:$AG$68,BB$4-$B108+1)</f>
        <v/>
      </c>
      <c r="BC108" s="153">
        <f>$C108*INDEX(Curves!$AG$8:$AG$68,BC$4-$B108+1)</f>
        <v/>
      </c>
      <c r="BD108" s="153">
        <f>$C108*INDEX(Curves!$AG$8:$AG$68,BD$4-$B108+1)</f>
        <v/>
      </c>
      <c r="BE108" s="153">
        <f>$C108*INDEX(Curves!$AG$8:$AG$68,BE$4-$B108+1)</f>
        <v/>
      </c>
      <c r="BF108" s="153">
        <f>$C108*INDEX(Curves!$AG$8:$AG$68,BF$4-$B108+1)</f>
        <v/>
      </c>
      <c r="BG108" s="153">
        <f>$C108*INDEX(Curves!$AG$8:$AG$68,BG$4-$B108+1)</f>
        <v/>
      </c>
      <c r="BH108" s="153">
        <f>$C108*INDEX(Curves!$AG$8:$AG$68,BH$4-$B108+1)</f>
        <v/>
      </c>
      <c r="BI108" s="153">
        <f>$C108*INDEX(Curves!$AG$8:$AG$68,BI$4-$B108+1)</f>
        <v/>
      </c>
      <c r="BJ108" s="153">
        <f>$C108*INDEX(Curves!$AG$8:$AG$68,BJ$4-$B108+1)</f>
        <v/>
      </c>
      <c r="BK108" s="153">
        <f>$C108*INDEX(Curves!$AG$8:$AG$68,BK$4-$B108+1)</f>
        <v/>
      </c>
      <c r="BL108" s="153">
        <f>$C108*INDEX(Curves!$AG$8:$AG$68,BL$4-$B108+1)</f>
        <v/>
      </c>
    </row>
    <row r="109">
      <c r="A109" s="147" t="inlineStr">
        <is>
          <t>Cohort month 37</t>
        </is>
      </c>
      <c r="B109" s="147" t="n">
        <v>37</v>
      </c>
      <c r="C109" s="41">
        <f>INDEX(Ops!$E$59:$BL$59,1,$B109)</f>
        <v/>
      </c>
      <c r="AP109" s="153">
        <f>$C109*INDEX(Curves!$AG$8:$AG$68,AP$4-$B109+1)</f>
        <v/>
      </c>
      <c r="AQ109" s="153">
        <f>$C109*INDEX(Curves!$AG$8:$AG$68,AQ$4-$B109+1)</f>
        <v/>
      </c>
      <c r="AR109" s="153">
        <f>$C109*INDEX(Curves!$AG$8:$AG$68,AR$4-$B109+1)</f>
        <v/>
      </c>
      <c r="AS109" s="153">
        <f>$C109*INDEX(Curves!$AG$8:$AG$68,AS$4-$B109+1)</f>
        <v/>
      </c>
      <c r="AT109" s="153">
        <f>$C109*INDEX(Curves!$AG$8:$AG$68,AT$4-$B109+1)</f>
        <v/>
      </c>
      <c r="AU109" s="153">
        <f>$C109*INDEX(Curves!$AG$8:$AG$68,AU$4-$B109+1)</f>
        <v/>
      </c>
      <c r="AV109" s="153">
        <f>$C109*INDEX(Curves!$AG$8:$AG$68,AV$4-$B109+1)</f>
        <v/>
      </c>
      <c r="AW109" s="153">
        <f>$C109*INDEX(Curves!$AG$8:$AG$68,AW$4-$B109+1)</f>
        <v/>
      </c>
      <c r="AX109" s="153">
        <f>$C109*INDEX(Curves!$AG$8:$AG$68,AX$4-$B109+1)</f>
        <v/>
      </c>
      <c r="AY109" s="153">
        <f>$C109*INDEX(Curves!$AG$8:$AG$68,AY$4-$B109+1)</f>
        <v/>
      </c>
      <c r="AZ109" s="153">
        <f>$C109*INDEX(Curves!$AG$8:$AG$68,AZ$4-$B109+1)</f>
        <v/>
      </c>
      <c r="BA109" s="153">
        <f>$C109*INDEX(Curves!$AG$8:$AG$68,BA$4-$B109+1)</f>
        <v/>
      </c>
      <c r="BB109" s="153">
        <f>$C109*INDEX(Curves!$AG$8:$AG$68,BB$4-$B109+1)</f>
        <v/>
      </c>
      <c r="BC109" s="153">
        <f>$C109*INDEX(Curves!$AG$8:$AG$68,BC$4-$B109+1)</f>
        <v/>
      </c>
      <c r="BD109" s="153">
        <f>$C109*INDEX(Curves!$AG$8:$AG$68,BD$4-$B109+1)</f>
        <v/>
      </c>
      <c r="BE109" s="153">
        <f>$C109*INDEX(Curves!$AG$8:$AG$68,BE$4-$B109+1)</f>
        <v/>
      </c>
      <c r="BF109" s="153">
        <f>$C109*INDEX(Curves!$AG$8:$AG$68,BF$4-$B109+1)</f>
        <v/>
      </c>
      <c r="BG109" s="153">
        <f>$C109*INDEX(Curves!$AG$8:$AG$68,BG$4-$B109+1)</f>
        <v/>
      </c>
      <c r="BH109" s="153">
        <f>$C109*INDEX(Curves!$AG$8:$AG$68,BH$4-$B109+1)</f>
        <v/>
      </c>
      <c r="BI109" s="153">
        <f>$C109*INDEX(Curves!$AG$8:$AG$68,BI$4-$B109+1)</f>
        <v/>
      </c>
      <c r="BJ109" s="153">
        <f>$C109*INDEX(Curves!$AG$8:$AG$68,BJ$4-$B109+1)</f>
        <v/>
      </c>
      <c r="BK109" s="153">
        <f>$C109*INDEX(Curves!$AG$8:$AG$68,BK$4-$B109+1)</f>
        <v/>
      </c>
      <c r="BL109" s="153">
        <f>$C109*INDEX(Curves!$AG$8:$AG$68,BL$4-$B109+1)</f>
        <v/>
      </c>
    </row>
    <row r="110">
      <c r="A110" s="147" t="inlineStr">
        <is>
          <t>Cohort month 38</t>
        </is>
      </c>
      <c r="B110" s="147" t="n">
        <v>38</v>
      </c>
      <c r="C110" s="41">
        <f>INDEX(Ops!$E$59:$BL$59,1,$B110)</f>
        <v/>
      </c>
      <c r="AQ110" s="153">
        <f>$C110*INDEX(Curves!$AG$8:$AG$68,AQ$4-$B110+1)</f>
        <v/>
      </c>
      <c r="AR110" s="153">
        <f>$C110*INDEX(Curves!$AG$8:$AG$68,AR$4-$B110+1)</f>
        <v/>
      </c>
      <c r="AS110" s="153">
        <f>$C110*INDEX(Curves!$AG$8:$AG$68,AS$4-$B110+1)</f>
        <v/>
      </c>
      <c r="AT110" s="153">
        <f>$C110*INDEX(Curves!$AG$8:$AG$68,AT$4-$B110+1)</f>
        <v/>
      </c>
      <c r="AU110" s="153">
        <f>$C110*INDEX(Curves!$AG$8:$AG$68,AU$4-$B110+1)</f>
        <v/>
      </c>
      <c r="AV110" s="153">
        <f>$C110*INDEX(Curves!$AG$8:$AG$68,AV$4-$B110+1)</f>
        <v/>
      </c>
      <c r="AW110" s="153">
        <f>$C110*INDEX(Curves!$AG$8:$AG$68,AW$4-$B110+1)</f>
        <v/>
      </c>
      <c r="AX110" s="153">
        <f>$C110*INDEX(Curves!$AG$8:$AG$68,AX$4-$B110+1)</f>
        <v/>
      </c>
      <c r="AY110" s="153">
        <f>$C110*INDEX(Curves!$AG$8:$AG$68,AY$4-$B110+1)</f>
        <v/>
      </c>
      <c r="AZ110" s="153">
        <f>$C110*INDEX(Curves!$AG$8:$AG$68,AZ$4-$B110+1)</f>
        <v/>
      </c>
      <c r="BA110" s="153">
        <f>$C110*INDEX(Curves!$AG$8:$AG$68,BA$4-$B110+1)</f>
        <v/>
      </c>
      <c r="BB110" s="153">
        <f>$C110*INDEX(Curves!$AG$8:$AG$68,BB$4-$B110+1)</f>
        <v/>
      </c>
      <c r="BC110" s="153">
        <f>$C110*INDEX(Curves!$AG$8:$AG$68,BC$4-$B110+1)</f>
        <v/>
      </c>
      <c r="BD110" s="153">
        <f>$C110*INDEX(Curves!$AG$8:$AG$68,BD$4-$B110+1)</f>
        <v/>
      </c>
      <c r="BE110" s="153">
        <f>$C110*INDEX(Curves!$AG$8:$AG$68,BE$4-$B110+1)</f>
        <v/>
      </c>
      <c r="BF110" s="153">
        <f>$C110*INDEX(Curves!$AG$8:$AG$68,BF$4-$B110+1)</f>
        <v/>
      </c>
      <c r="BG110" s="153">
        <f>$C110*INDEX(Curves!$AG$8:$AG$68,BG$4-$B110+1)</f>
        <v/>
      </c>
      <c r="BH110" s="153">
        <f>$C110*INDEX(Curves!$AG$8:$AG$68,BH$4-$B110+1)</f>
        <v/>
      </c>
      <c r="BI110" s="153">
        <f>$C110*INDEX(Curves!$AG$8:$AG$68,BI$4-$B110+1)</f>
        <v/>
      </c>
      <c r="BJ110" s="153">
        <f>$C110*INDEX(Curves!$AG$8:$AG$68,BJ$4-$B110+1)</f>
        <v/>
      </c>
      <c r="BK110" s="153">
        <f>$C110*INDEX(Curves!$AG$8:$AG$68,BK$4-$B110+1)</f>
        <v/>
      </c>
      <c r="BL110" s="153">
        <f>$C110*INDEX(Curves!$AG$8:$AG$68,BL$4-$B110+1)</f>
        <v/>
      </c>
    </row>
    <row r="111">
      <c r="A111" s="147" t="inlineStr">
        <is>
          <t>Cohort month 39</t>
        </is>
      </c>
      <c r="B111" s="147" t="n">
        <v>39</v>
      </c>
      <c r="C111" s="41">
        <f>INDEX(Ops!$E$59:$BL$59,1,$B111)</f>
        <v/>
      </c>
      <c r="AR111" s="153">
        <f>$C111*INDEX(Curves!$AG$8:$AG$68,AR$4-$B111+1)</f>
        <v/>
      </c>
      <c r="AS111" s="153">
        <f>$C111*INDEX(Curves!$AG$8:$AG$68,AS$4-$B111+1)</f>
        <v/>
      </c>
      <c r="AT111" s="153">
        <f>$C111*INDEX(Curves!$AG$8:$AG$68,AT$4-$B111+1)</f>
        <v/>
      </c>
      <c r="AU111" s="153">
        <f>$C111*INDEX(Curves!$AG$8:$AG$68,AU$4-$B111+1)</f>
        <v/>
      </c>
      <c r="AV111" s="153">
        <f>$C111*INDEX(Curves!$AG$8:$AG$68,AV$4-$B111+1)</f>
        <v/>
      </c>
      <c r="AW111" s="153">
        <f>$C111*INDEX(Curves!$AG$8:$AG$68,AW$4-$B111+1)</f>
        <v/>
      </c>
      <c r="AX111" s="153">
        <f>$C111*INDEX(Curves!$AG$8:$AG$68,AX$4-$B111+1)</f>
        <v/>
      </c>
      <c r="AY111" s="153">
        <f>$C111*INDEX(Curves!$AG$8:$AG$68,AY$4-$B111+1)</f>
        <v/>
      </c>
      <c r="AZ111" s="153">
        <f>$C111*INDEX(Curves!$AG$8:$AG$68,AZ$4-$B111+1)</f>
        <v/>
      </c>
      <c r="BA111" s="153">
        <f>$C111*INDEX(Curves!$AG$8:$AG$68,BA$4-$B111+1)</f>
        <v/>
      </c>
      <c r="BB111" s="153">
        <f>$C111*INDEX(Curves!$AG$8:$AG$68,BB$4-$B111+1)</f>
        <v/>
      </c>
      <c r="BC111" s="153">
        <f>$C111*INDEX(Curves!$AG$8:$AG$68,BC$4-$B111+1)</f>
        <v/>
      </c>
      <c r="BD111" s="153">
        <f>$C111*INDEX(Curves!$AG$8:$AG$68,BD$4-$B111+1)</f>
        <v/>
      </c>
      <c r="BE111" s="153">
        <f>$C111*INDEX(Curves!$AG$8:$AG$68,BE$4-$B111+1)</f>
        <v/>
      </c>
      <c r="BF111" s="153">
        <f>$C111*INDEX(Curves!$AG$8:$AG$68,BF$4-$B111+1)</f>
        <v/>
      </c>
      <c r="BG111" s="153">
        <f>$C111*INDEX(Curves!$AG$8:$AG$68,BG$4-$B111+1)</f>
        <v/>
      </c>
      <c r="BH111" s="153">
        <f>$C111*INDEX(Curves!$AG$8:$AG$68,BH$4-$B111+1)</f>
        <v/>
      </c>
      <c r="BI111" s="153">
        <f>$C111*INDEX(Curves!$AG$8:$AG$68,BI$4-$B111+1)</f>
        <v/>
      </c>
      <c r="BJ111" s="153">
        <f>$C111*INDEX(Curves!$AG$8:$AG$68,BJ$4-$B111+1)</f>
        <v/>
      </c>
      <c r="BK111" s="153">
        <f>$C111*INDEX(Curves!$AG$8:$AG$68,BK$4-$B111+1)</f>
        <v/>
      </c>
      <c r="BL111" s="153">
        <f>$C111*INDEX(Curves!$AG$8:$AG$68,BL$4-$B111+1)</f>
        <v/>
      </c>
    </row>
    <row r="112">
      <c r="A112" s="147" t="inlineStr">
        <is>
          <t>Cohort month 40</t>
        </is>
      </c>
      <c r="B112" s="147" t="n">
        <v>40</v>
      </c>
      <c r="C112" s="41">
        <f>INDEX(Ops!$E$59:$BL$59,1,$B112)</f>
        <v/>
      </c>
      <c r="AS112" s="153">
        <f>$C112*INDEX(Curves!$AG$8:$AG$68,AS$4-$B112+1)</f>
        <v/>
      </c>
      <c r="AT112" s="153">
        <f>$C112*INDEX(Curves!$AG$8:$AG$68,AT$4-$B112+1)</f>
        <v/>
      </c>
      <c r="AU112" s="153">
        <f>$C112*INDEX(Curves!$AG$8:$AG$68,AU$4-$B112+1)</f>
        <v/>
      </c>
      <c r="AV112" s="153">
        <f>$C112*INDEX(Curves!$AG$8:$AG$68,AV$4-$B112+1)</f>
        <v/>
      </c>
      <c r="AW112" s="153">
        <f>$C112*INDEX(Curves!$AG$8:$AG$68,AW$4-$B112+1)</f>
        <v/>
      </c>
      <c r="AX112" s="153">
        <f>$C112*INDEX(Curves!$AG$8:$AG$68,AX$4-$B112+1)</f>
        <v/>
      </c>
      <c r="AY112" s="153">
        <f>$C112*INDEX(Curves!$AG$8:$AG$68,AY$4-$B112+1)</f>
        <v/>
      </c>
      <c r="AZ112" s="153">
        <f>$C112*INDEX(Curves!$AG$8:$AG$68,AZ$4-$B112+1)</f>
        <v/>
      </c>
      <c r="BA112" s="153">
        <f>$C112*INDEX(Curves!$AG$8:$AG$68,BA$4-$B112+1)</f>
        <v/>
      </c>
      <c r="BB112" s="153">
        <f>$C112*INDEX(Curves!$AG$8:$AG$68,BB$4-$B112+1)</f>
        <v/>
      </c>
      <c r="BC112" s="153">
        <f>$C112*INDEX(Curves!$AG$8:$AG$68,BC$4-$B112+1)</f>
        <v/>
      </c>
      <c r="BD112" s="153">
        <f>$C112*INDEX(Curves!$AG$8:$AG$68,BD$4-$B112+1)</f>
        <v/>
      </c>
      <c r="BE112" s="153">
        <f>$C112*INDEX(Curves!$AG$8:$AG$68,BE$4-$B112+1)</f>
        <v/>
      </c>
      <c r="BF112" s="153">
        <f>$C112*INDEX(Curves!$AG$8:$AG$68,BF$4-$B112+1)</f>
        <v/>
      </c>
      <c r="BG112" s="153">
        <f>$C112*INDEX(Curves!$AG$8:$AG$68,BG$4-$B112+1)</f>
        <v/>
      </c>
      <c r="BH112" s="153">
        <f>$C112*INDEX(Curves!$AG$8:$AG$68,BH$4-$B112+1)</f>
        <v/>
      </c>
      <c r="BI112" s="153">
        <f>$C112*INDEX(Curves!$AG$8:$AG$68,BI$4-$B112+1)</f>
        <v/>
      </c>
      <c r="BJ112" s="153">
        <f>$C112*INDEX(Curves!$AG$8:$AG$68,BJ$4-$B112+1)</f>
        <v/>
      </c>
      <c r="BK112" s="153">
        <f>$C112*INDEX(Curves!$AG$8:$AG$68,BK$4-$B112+1)</f>
        <v/>
      </c>
      <c r="BL112" s="153">
        <f>$C112*INDEX(Curves!$AG$8:$AG$68,BL$4-$B112+1)</f>
        <v/>
      </c>
    </row>
    <row r="113">
      <c r="A113" s="147" t="inlineStr">
        <is>
          <t>Cohort month 41</t>
        </is>
      </c>
      <c r="B113" s="147" t="n">
        <v>41</v>
      </c>
      <c r="C113" s="41">
        <f>INDEX(Ops!$E$59:$BL$59,1,$B113)</f>
        <v/>
      </c>
      <c r="AT113" s="153">
        <f>$C113*INDEX(Curves!$AG$8:$AG$68,AT$4-$B113+1)</f>
        <v/>
      </c>
      <c r="AU113" s="153">
        <f>$C113*INDEX(Curves!$AG$8:$AG$68,AU$4-$B113+1)</f>
        <v/>
      </c>
      <c r="AV113" s="153">
        <f>$C113*INDEX(Curves!$AG$8:$AG$68,AV$4-$B113+1)</f>
        <v/>
      </c>
      <c r="AW113" s="153">
        <f>$C113*INDEX(Curves!$AG$8:$AG$68,AW$4-$B113+1)</f>
        <v/>
      </c>
      <c r="AX113" s="153">
        <f>$C113*INDEX(Curves!$AG$8:$AG$68,AX$4-$B113+1)</f>
        <v/>
      </c>
      <c r="AY113" s="153">
        <f>$C113*INDEX(Curves!$AG$8:$AG$68,AY$4-$B113+1)</f>
        <v/>
      </c>
      <c r="AZ113" s="153">
        <f>$C113*INDEX(Curves!$AG$8:$AG$68,AZ$4-$B113+1)</f>
        <v/>
      </c>
      <c r="BA113" s="153">
        <f>$C113*INDEX(Curves!$AG$8:$AG$68,BA$4-$B113+1)</f>
        <v/>
      </c>
      <c r="BB113" s="153">
        <f>$C113*INDEX(Curves!$AG$8:$AG$68,BB$4-$B113+1)</f>
        <v/>
      </c>
      <c r="BC113" s="153">
        <f>$C113*INDEX(Curves!$AG$8:$AG$68,BC$4-$B113+1)</f>
        <v/>
      </c>
      <c r="BD113" s="153">
        <f>$C113*INDEX(Curves!$AG$8:$AG$68,BD$4-$B113+1)</f>
        <v/>
      </c>
      <c r="BE113" s="153">
        <f>$C113*INDEX(Curves!$AG$8:$AG$68,BE$4-$B113+1)</f>
        <v/>
      </c>
      <c r="BF113" s="153">
        <f>$C113*INDEX(Curves!$AG$8:$AG$68,BF$4-$B113+1)</f>
        <v/>
      </c>
      <c r="BG113" s="153">
        <f>$C113*INDEX(Curves!$AG$8:$AG$68,BG$4-$B113+1)</f>
        <v/>
      </c>
      <c r="BH113" s="153">
        <f>$C113*INDEX(Curves!$AG$8:$AG$68,BH$4-$B113+1)</f>
        <v/>
      </c>
      <c r="BI113" s="153">
        <f>$C113*INDEX(Curves!$AG$8:$AG$68,BI$4-$B113+1)</f>
        <v/>
      </c>
      <c r="BJ113" s="153">
        <f>$C113*INDEX(Curves!$AG$8:$AG$68,BJ$4-$B113+1)</f>
        <v/>
      </c>
      <c r="BK113" s="153">
        <f>$C113*INDEX(Curves!$AG$8:$AG$68,BK$4-$B113+1)</f>
        <v/>
      </c>
      <c r="BL113" s="153">
        <f>$C113*INDEX(Curves!$AG$8:$AG$68,BL$4-$B113+1)</f>
        <v/>
      </c>
    </row>
    <row r="114">
      <c r="A114" s="147" t="inlineStr">
        <is>
          <t>Cohort month 42</t>
        </is>
      </c>
      <c r="B114" s="147" t="n">
        <v>42</v>
      </c>
      <c r="C114" s="41">
        <f>INDEX(Ops!$E$59:$BL$59,1,$B114)</f>
        <v/>
      </c>
      <c r="AU114" s="153">
        <f>$C114*INDEX(Curves!$AG$8:$AG$68,AU$4-$B114+1)</f>
        <v/>
      </c>
      <c r="AV114" s="153">
        <f>$C114*INDEX(Curves!$AG$8:$AG$68,AV$4-$B114+1)</f>
        <v/>
      </c>
      <c r="AW114" s="153">
        <f>$C114*INDEX(Curves!$AG$8:$AG$68,AW$4-$B114+1)</f>
        <v/>
      </c>
      <c r="AX114" s="153">
        <f>$C114*INDEX(Curves!$AG$8:$AG$68,AX$4-$B114+1)</f>
        <v/>
      </c>
      <c r="AY114" s="153">
        <f>$C114*INDEX(Curves!$AG$8:$AG$68,AY$4-$B114+1)</f>
        <v/>
      </c>
      <c r="AZ114" s="153">
        <f>$C114*INDEX(Curves!$AG$8:$AG$68,AZ$4-$B114+1)</f>
        <v/>
      </c>
      <c r="BA114" s="153">
        <f>$C114*INDEX(Curves!$AG$8:$AG$68,BA$4-$B114+1)</f>
        <v/>
      </c>
      <c r="BB114" s="153">
        <f>$C114*INDEX(Curves!$AG$8:$AG$68,BB$4-$B114+1)</f>
        <v/>
      </c>
      <c r="BC114" s="153">
        <f>$C114*INDEX(Curves!$AG$8:$AG$68,BC$4-$B114+1)</f>
        <v/>
      </c>
      <c r="BD114" s="153">
        <f>$C114*INDEX(Curves!$AG$8:$AG$68,BD$4-$B114+1)</f>
        <v/>
      </c>
      <c r="BE114" s="153">
        <f>$C114*INDEX(Curves!$AG$8:$AG$68,BE$4-$B114+1)</f>
        <v/>
      </c>
      <c r="BF114" s="153">
        <f>$C114*INDEX(Curves!$AG$8:$AG$68,BF$4-$B114+1)</f>
        <v/>
      </c>
      <c r="BG114" s="153">
        <f>$C114*INDEX(Curves!$AG$8:$AG$68,BG$4-$B114+1)</f>
        <v/>
      </c>
      <c r="BH114" s="153">
        <f>$C114*INDEX(Curves!$AG$8:$AG$68,BH$4-$B114+1)</f>
        <v/>
      </c>
      <c r="BI114" s="153">
        <f>$C114*INDEX(Curves!$AG$8:$AG$68,BI$4-$B114+1)</f>
        <v/>
      </c>
      <c r="BJ114" s="153">
        <f>$C114*INDEX(Curves!$AG$8:$AG$68,BJ$4-$B114+1)</f>
        <v/>
      </c>
      <c r="BK114" s="153">
        <f>$C114*INDEX(Curves!$AG$8:$AG$68,BK$4-$B114+1)</f>
        <v/>
      </c>
      <c r="BL114" s="153">
        <f>$C114*INDEX(Curves!$AG$8:$AG$68,BL$4-$B114+1)</f>
        <v/>
      </c>
    </row>
    <row r="115">
      <c r="A115" s="147" t="inlineStr">
        <is>
          <t>Cohort month 43</t>
        </is>
      </c>
      <c r="B115" s="147" t="n">
        <v>43</v>
      </c>
      <c r="C115" s="41">
        <f>INDEX(Ops!$E$59:$BL$59,1,$B115)</f>
        <v/>
      </c>
      <c r="AV115" s="153">
        <f>$C115*INDEX(Curves!$AG$8:$AG$68,AV$4-$B115+1)</f>
        <v/>
      </c>
      <c r="AW115" s="153">
        <f>$C115*INDEX(Curves!$AG$8:$AG$68,AW$4-$B115+1)</f>
        <v/>
      </c>
      <c r="AX115" s="153">
        <f>$C115*INDEX(Curves!$AG$8:$AG$68,AX$4-$B115+1)</f>
        <v/>
      </c>
      <c r="AY115" s="153">
        <f>$C115*INDEX(Curves!$AG$8:$AG$68,AY$4-$B115+1)</f>
        <v/>
      </c>
      <c r="AZ115" s="153">
        <f>$C115*INDEX(Curves!$AG$8:$AG$68,AZ$4-$B115+1)</f>
        <v/>
      </c>
      <c r="BA115" s="153">
        <f>$C115*INDEX(Curves!$AG$8:$AG$68,BA$4-$B115+1)</f>
        <v/>
      </c>
      <c r="BB115" s="153">
        <f>$C115*INDEX(Curves!$AG$8:$AG$68,BB$4-$B115+1)</f>
        <v/>
      </c>
      <c r="BC115" s="153">
        <f>$C115*INDEX(Curves!$AG$8:$AG$68,BC$4-$B115+1)</f>
        <v/>
      </c>
      <c r="BD115" s="153">
        <f>$C115*INDEX(Curves!$AG$8:$AG$68,BD$4-$B115+1)</f>
        <v/>
      </c>
      <c r="BE115" s="153">
        <f>$C115*INDEX(Curves!$AG$8:$AG$68,BE$4-$B115+1)</f>
        <v/>
      </c>
      <c r="BF115" s="153">
        <f>$C115*INDEX(Curves!$AG$8:$AG$68,BF$4-$B115+1)</f>
        <v/>
      </c>
      <c r="BG115" s="153">
        <f>$C115*INDEX(Curves!$AG$8:$AG$68,BG$4-$B115+1)</f>
        <v/>
      </c>
      <c r="BH115" s="153">
        <f>$C115*INDEX(Curves!$AG$8:$AG$68,BH$4-$B115+1)</f>
        <v/>
      </c>
      <c r="BI115" s="153">
        <f>$C115*INDEX(Curves!$AG$8:$AG$68,BI$4-$B115+1)</f>
        <v/>
      </c>
      <c r="BJ115" s="153">
        <f>$C115*INDEX(Curves!$AG$8:$AG$68,BJ$4-$B115+1)</f>
        <v/>
      </c>
      <c r="BK115" s="153">
        <f>$C115*INDEX(Curves!$AG$8:$AG$68,BK$4-$B115+1)</f>
        <v/>
      </c>
      <c r="BL115" s="153">
        <f>$C115*INDEX(Curves!$AG$8:$AG$68,BL$4-$B115+1)</f>
        <v/>
      </c>
    </row>
    <row r="116">
      <c r="A116" s="147" t="inlineStr">
        <is>
          <t>Cohort month 44</t>
        </is>
      </c>
      <c r="B116" s="147" t="n">
        <v>44</v>
      </c>
      <c r="C116" s="41">
        <f>INDEX(Ops!$E$59:$BL$59,1,$B116)</f>
        <v/>
      </c>
      <c r="AW116" s="153">
        <f>$C116*INDEX(Curves!$AG$8:$AG$68,AW$4-$B116+1)</f>
        <v/>
      </c>
      <c r="AX116" s="153">
        <f>$C116*INDEX(Curves!$AG$8:$AG$68,AX$4-$B116+1)</f>
        <v/>
      </c>
      <c r="AY116" s="153">
        <f>$C116*INDEX(Curves!$AG$8:$AG$68,AY$4-$B116+1)</f>
        <v/>
      </c>
      <c r="AZ116" s="153">
        <f>$C116*INDEX(Curves!$AG$8:$AG$68,AZ$4-$B116+1)</f>
        <v/>
      </c>
      <c r="BA116" s="153">
        <f>$C116*INDEX(Curves!$AG$8:$AG$68,BA$4-$B116+1)</f>
        <v/>
      </c>
      <c r="BB116" s="153">
        <f>$C116*INDEX(Curves!$AG$8:$AG$68,BB$4-$B116+1)</f>
        <v/>
      </c>
      <c r="BC116" s="153">
        <f>$C116*INDEX(Curves!$AG$8:$AG$68,BC$4-$B116+1)</f>
        <v/>
      </c>
      <c r="BD116" s="153">
        <f>$C116*INDEX(Curves!$AG$8:$AG$68,BD$4-$B116+1)</f>
        <v/>
      </c>
      <c r="BE116" s="153">
        <f>$C116*INDEX(Curves!$AG$8:$AG$68,BE$4-$B116+1)</f>
        <v/>
      </c>
      <c r="BF116" s="153">
        <f>$C116*INDEX(Curves!$AG$8:$AG$68,BF$4-$B116+1)</f>
        <v/>
      </c>
      <c r="BG116" s="153">
        <f>$C116*INDEX(Curves!$AG$8:$AG$68,BG$4-$B116+1)</f>
        <v/>
      </c>
      <c r="BH116" s="153">
        <f>$C116*INDEX(Curves!$AG$8:$AG$68,BH$4-$B116+1)</f>
        <v/>
      </c>
      <c r="BI116" s="153">
        <f>$C116*INDEX(Curves!$AG$8:$AG$68,BI$4-$B116+1)</f>
        <v/>
      </c>
      <c r="BJ116" s="153">
        <f>$C116*INDEX(Curves!$AG$8:$AG$68,BJ$4-$B116+1)</f>
        <v/>
      </c>
      <c r="BK116" s="153">
        <f>$C116*INDEX(Curves!$AG$8:$AG$68,BK$4-$B116+1)</f>
        <v/>
      </c>
      <c r="BL116" s="153">
        <f>$C116*INDEX(Curves!$AG$8:$AG$68,BL$4-$B116+1)</f>
        <v/>
      </c>
    </row>
    <row r="117">
      <c r="A117" s="147" t="inlineStr">
        <is>
          <t>Cohort month 45</t>
        </is>
      </c>
      <c r="B117" s="147" t="n">
        <v>45</v>
      </c>
      <c r="C117" s="41">
        <f>INDEX(Ops!$E$59:$BL$59,1,$B117)</f>
        <v/>
      </c>
      <c r="AX117" s="153">
        <f>$C117*INDEX(Curves!$AG$8:$AG$68,AX$4-$B117+1)</f>
        <v/>
      </c>
      <c r="AY117" s="153">
        <f>$C117*INDEX(Curves!$AG$8:$AG$68,AY$4-$B117+1)</f>
        <v/>
      </c>
      <c r="AZ117" s="153">
        <f>$C117*INDEX(Curves!$AG$8:$AG$68,AZ$4-$B117+1)</f>
        <v/>
      </c>
      <c r="BA117" s="153">
        <f>$C117*INDEX(Curves!$AG$8:$AG$68,BA$4-$B117+1)</f>
        <v/>
      </c>
      <c r="BB117" s="153">
        <f>$C117*INDEX(Curves!$AG$8:$AG$68,BB$4-$B117+1)</f>
        <v/>
      </c>
      <c r="BC117" s="153">
        <f>$C117*INDEX(Curves!$AG$8:$AG$68,BC$4-$B117+1)</f>
        <v/>
      </c>
      <c r="BD117" s="153">
        <f>$C117*INDEX(Curves!$AG$8:$AG$68,BD$4-$B117+1)</f>
        <v/>
      </c>
      <c r="BE117" s="153">
        <f>$C117*INDEX(Curves!$AG$8:$AG$68,BE$4-$B117+1)</f>
        <v/>
      </c>
      <c r="BF117" s="153">
        <f>$C117*INDEX(Curves!$AG$8:$AG$68,BF$4-$B117+1)</f>
        <v/>
      </c>
      <c r="BG117" s="153">
        <f>$C117*INDEX(Curves!$AG$8:$AG$68,BG$4-$B117+1)</f>
        <v/>
      </c>
      <c r="BH117" s="153">
        <f>$C117*INDEX(Curves!$AG$8:$AG$68,BH$4-$B117+1)</f>
        <v/>
      </c>
      <c r="BI117" s="153">
        <f>$C117*INDEX(Curves!$AG$8:$AG$68,BI$4-$B117+1)</f>
        <v/>
      </c>
      <c r="BJ117" s="153">
        <f>$C117*INDEX(Curves!$AG$8:$AG$68,BJ$4-$B117+1)</f>
        <v/>
      </c>
      <c r="BK117" s="153">
        <f>$C117*INDEX(Curves!$AG$8:$AG$68,BK$4-$B117+1)</f>
        <v/>
      </c>
      <c r="BL117" s="153">
        <f>$C117*INDEX(Curves!$AG$8:$AG$68,BL$4-$B117+1)</f>
        <v/>
      </c>
    </row>
    <row r="118">
      <c r="A118" s="147" t="inlineStr">
        <is>
          <t>Cohort month 46</t>
        </is>
      </c>
      <c r="B118" s="147" t="n">
        <v>46</v>
      </c>
      <c r="C118" s="41">
        <f>INDEX(Ops!$E$59:$BL$59,1,$B118)</f>
        <v/>
      </c>
      <c r="AY118" s="153">
        <f>$C118*INDEX(Curves!$AG$8:$AG$68,AY$4-$B118+1)</f>
        <v/>
      </c>
      <c r="AZ118" s="153">
        <f>$C118*INDEX(Curves!$AG$8:$AG$68,AZ$4-$B118+1)</f>
        <v/>
      </c>
      <c r="BA118" s="153">
        <f>$C118*INDEX(Curves!$AG$8:$AG$68,BA$4-$B118+1)</f>
        <v/>
      </c>
      <c r="BB118" s="153">
        <f>$C118*INDEX(Curves!$AG$8:$AG$68,BB$4-$B118+1)</f>
        <v/>
      </c>
      <c r="BC118" s="153">
        <f>$C118*INDEX(Curves!$AG$8:$AG$68,BC$4-$B118+1)</f>
        <v/>
      </c>
      <c r="BD118" s="153">
        <f>$C118*INDEX(Curves!$AG$8:$AG$68,BD$4-$B118+1)</f>
        <v/>
      </c>
      <c r="BE118" s="153">
        <f>$C118*INDEX(Curves!$AG$8:$AG$68,BE$4-$B118+1)</f>
        <v/>
      </c>
      <c r="BF118" s="153">
        <f>$C118*INDEX(Curves!$AG$8:$AG$68,BF$4-$B118+1)</f>
        <v/>
      </c>
      <c r="BG118" s="153">
        <f>$C118*INDEX(Curves!$AG$8:$AG$68,BG$4-$B118+1)</f>
        <v/>
      </c>
      <c r="BH118" s="153">
        <f>$C118*INDEX(Curves!$AG$8:$AG$68,BH$4-$B118+1)</f>
        <v/>
      </c>
      <c r="BI118" s="153">
        <f>$C118*INDEX(Curves!$AG$8:$AG$68,BI$4-$B118+1)</f>
        <v/>
      </c>
      <c r="BJ118" s="153">
        <f>$C118*INDEX(Curves!$AG$8:$AG$68,BJ$4-$B118+1)</f>
        <v/>
      </c>
      <c r="BK118" s="153">
        <f>$C118*INDEX(Curves!$AG$8:$AG$68,BK$4-$B118+1)</f>
        <v/>
      </c>
      <c r="BL118" s="153">
        <f>$C118*INDEX(Curves!$AG$8:$AG$68,BL$4-$B118+1)</f>
        <v/>
      </c>
    </row>
    <row r="119">
      <c r="A119" s="147" t="inlineStr">
        <is>
          <t>Cohort month 47</t>
        </is>
      </c>
      <c r="B119" s="147" t="n">
        <v>47</v>
      </c>
      <c r="C119" s="41">
        <f>INDEX(Ops!$E$59:$BL$59,1,$B119)</f>
        <v/>
      </c>
      <c r="AZ119" s="153">
        <f>$C119*INDEX(Curves!$AG$8:$AG$68,AZ$4-$B119+1)</f>
        <v/>
      </c>
      <c r="BA119" s="153">
        <f>$C119*INDEX(Curves!$AG$8:$AG$68,BA$4-$B119+1)</f>
        <v/>
      </c>
      <c r="BB119" s="153">
        <f>$C119*INDEX(Curves!$AG$8:$AG$68,BB$4-$B119+1)</f>
        <v/>
      </c>
      <c r="BC119" s="153">
        <f>$C119*INDEX(Curves!$AG$8:$AG$68,BC$4-$B119+1)</f>
        <v/>
      </c>
      <c r="BD119" s="153">
        <f>$C119*INDEX(Curves!$AG$8:$AG$68,BD$4-$B119+1)</f>
        <v/>
      </c>
      <c r="BE119" s="153">
        <f>$C119*INDEX(Curves!$AG$8:$AG$68,BE$4-$B119+1)</f>
        <v/>
      </c>
      <c r="BF119" s="153">
        <f>$C119*INDEX(Curves!$AG$8:$AG$68,BF$4-$B119+1)</f>
        <v/>
      </c>
      <c r="BG119" s="153">
        <f>$C119*INDEX(Curves!$AG$8:$AG$68,BG$4-$B119+1)</f>
        <v/>
      </c>
      <c r="BH119" s="153">
        <f>$C119*INDEX(Curves!$AG$8:$AG$68,BH$4-$B119+1)</f>
        <v/>
      </c>
      <c r="BI119" s="153">
        <f>$C119*INDEX(Curves!$AG$8:$AG$68,BI$4-$B119+1)</f>
        <v/>
      </c>
      <c r="BJ119" s="153">
        <f>$C119*INDEX(Curves!$AG$8:$AG$68,BJ$4-$B119+1)</f>
        <v/>
      </c>
      <c r="BK119" s="153">
        <f>$C119*INDEX(Curves!$AG$8:$AG$68,BK$4-$B119+1)</f>
        <v/>
      </c>
      <c r="BL119" s="153">
        <f>$C119*INDEX(Curves!$AG$8:$AG$68,BL$4-$B119+1)</f>
        <v/>
      </c>
    </row>
    <row r="120">
      <c r="A120" s="147" t="inlineStr">
        <is>
          <t>Cohort month 48</t>
        </is>
      </c>
      <c r="B120" s="147" t="n">
        <v>48</v>
      </c>
      <c r="C120" s="41">
        <f>INDEX(Ops!$E$59:$BL$59,1,$B120)</f>
        <v/>
      </c>
      <c r="BA120" s="153">
        <f>$C120*INDEX(Curves!$AG$8:$AG$68,BA$4-$B120+1)</f>
        <v/>
      </c>
      <c r="BB120" s="153">
        <f>$C120*INDEX(Curves!$AG$8:$AG$68,BB$4-$B120+1)</f>
        <v/>
      </c>
      <c r="BC120" s="153">
        <f>$C120*INDEX(Curves!$AG$8:$AG$68,BC$4-$B120+1)</f>
        <v/>
      </c>
      <c r="BD120" s="153">
        <f>$C120*INDEX(Curves!$AG$8:$AG$68,BD$4-$B120+1)</f>
        <v/>
      </c>
      <c r="BE120" s="153">
        <f>$C120*INDEX(Curves!$AG$8:$AG$68,BE$4-$B120+1)</f>
        <v/>
      </c>
      <c r="BF120" s="153">
        <f>$C120*INDEX(Curves!$AG$8:$AG$68,BF$4-$B120+1)</f>
        <v/>
      </c>
      <c r="BG120" s="153">
        <f>$C120*INDEX(Curves!$AG$8:$AG$68,BG$4-$B120+1)</f>
        <v/>
      </c>
      <c r="BH120" s="153">
        <f>$C120*INDEX(Curves!$AG$8:$AG$68,BH$4-$B120+1)</f>
        <v/>
      </c>
      <c r="BI120" s="153">
        <f>$C120*INDEX(Curves!$AG$8:$AG$68,BI$4-$B120+1)</f>
        <v/>
      </c>
      <c r="BJ120" s="153">
        <f>$C120*INDEX(Curves!$AG$8:$AG$68,BJ$4-$B120+1)</f>
        <v/>
      </c>
      <c r="BK120" s="153">
        <f>$C120*INDEX(Curves!$AG$8:$AG$68,BK$4-$B120+1)</f>
        <v/>
      </c>
      <c r="BL120" s="153">
        <f>$C120*INDEX(Curves!$AG$8:$AG$68,BL$4-$B120+1)</f>
        <v/>
      </c>
    </row>
    <row r="121">
      <c r="A121" s="147" t="inlineStr">
        <is>
          <t>Cohort month 49</t>
        </is>
      </c>
      <c r="B121" s="147" t="n">
        <v>49</v>
      </c>
      <c r="C121" s="41">
        <f>INDEX(Ops!$E$59:$BL$59,1,$B121)</f>
        <v/>
      </c>
      <c r="BB121" s="153">
        <f>$C121*INDEX(Curves!$AG$8:$AG$68,BB$4-$B121+1)</f>
        <v/>
      </c>
      <c r="BC121" s="153">
        <f>$C121*INDEX(Curves!$AG$8:$AG$68,BC$4-$B121+1)</f>
        <v/>
      </c>
      <c r="BD121" s="153">
        <f>$C121*INDEX(Curves!$AG$8:$AG$68,BD$4-$B121+1)</f>
        <v/>
      </c>
      <c r="BE121" s="153">
        <f>$C121*INDEX(Curves!$AG$8:$AG$68,BE$4-$B121+1)</f>
        <v/>
      </c>
      <c r="BF121" s="153">
        <f>$C121*INDEX(Curves!$AG$8:$AG$68,BF$4-$B121+1)</f>
        <v/>
      </c>
      <c r="BG121" s="153">
        <f>$C121*INDEX(Curves!$AG$8:$AG$68,BG$4-$B121+1)</f>
        <v/>
      </c>
      <c r="BH121" s="153">
        <f>$C121*INDEX(Curves!$AG$8:$AG$68,BH$4-$B121+1)</f>
        <v/>
      </c>
      <c r="BI121" s="153">
        <f>$C121*INDEX(Curves!$AG$8:$AG$68,BI$4-$B121+1)</f>
        <v/>
      </c>
      <c r="BJ121" s="153">
        <f>$C121*INDEX(Curves!$AG$8:$AG$68,BJ$4-$B121+1)</f>
        <v/>
      </c>
      <c r="BK121" s="153">
        <f>$C121*INDEX(Curves!$AG$8:$AG$68,BK$4-$B121+1)</f>
        <v/>
      </c>
      <c r="BL121" s="153">
        <f>$C121*INDEX(Curves!$AG$8:$AG$68,BL$4-$B121+1)</f>
        <v/>
      </c>
    </row>
    <row r="122">
      <c r="A122" s="147" t="inlineStr">
        <is>
          <t>Cohort month 50</t>
        </is>
      </c>
      <c r="B122" s="147" t="n">
        <v>50</v>
      </c>
      <c r="C122" s="41">
        <f>INDEX(Ops!$E$59:$BL$59,1,$B122)</f>
        <v/>
      </c>
      <c r="BC122" s="153">
        <f>$C122*INDEX(Curves!$AG$8:$AG$68,BC$4-$B122+1)</f>
        <v/>
      </c>
      <c r="BD122" s="153">
        <f>$C122*INDEX(Curves!$AG$8:$AG$68,BD$4-$B122+1)</f>
        <v/>
      </c>
      <c r="BE122" s="153">
        <f>$C122*INDEX(Curves!$AG$8:$AG$68,BE$4-$B122+1)</f>
        <v/>
      </c>
      <c r="BF122" s="153">
        <f>$C122*INDEX(Curves!$AG$8:$AG$68,BF$4-$B122+1)</f>
        <v/>
      </c>
      <c r="BG122" s="153">
        <f>$C122*INDEX(Curves!$AG$8:$AG$68,BG$4-$B122+1)</f>
        <v/>
      </c>
      <c r="BH122" s="153">
        <f>$C122*INDEX(Curves!$AG$8:$AG$68,BH$4-$B122+1)</f>
        <v/>
      </c>
      <c r="BI122" s="153">
        <f>$C122*INDEX(Curves!$AG$8:$AG$68,BI$4-$B122+1)</f>
        <v/>
      </c>
      <c r="BJ122" s="153">
        <f>$C122*INDEX(Curves!$AG$8:$AG$68,BJ$4-$B122+1)</f>
        <v/>
      </c>
      <c r="BK122" s="153">
        <f>$C122*INDEX(Curves!$AG$8:$AG$68,BK$4-$B122+1)</f>
        <v/>
      </c>
      <c r="BL122" s="153">
        <f>$C122*INDEX(Curves!$AG$8:$AG$68,BL$4-$B122+1)</f>
        <v/>
      </c>
    </row>
    <row r="123">
      <c r="A123" s="147" t="inlineStr">
        <is>
          <t>Cohort month 51</t>
        </is>
      </c>
      <c r="B123" s="147" t="n">
        <v>51</v>
      </c>
      <c r="C123" s="41">
        <f>INDEX(Ops!$E$59:$BL$59,1,$B123)</f>
        <v/>
      </c>
      <c r="BD123" s="153">
        <f>$C123*INDEX(Curves!$AG$8:$AG$68,BD$4-$B123+1)</f>
        <v/>
      </c>
      <c r="BE123" s="153">
        <f>$C123*INDEX(Curves!$AG$8:$AG$68,BE$4-$B123+1)</f>
        <v/>
      </c>
      <c r="BF123" s="153">
        <f>$C123*INDEX(Curves!$AG$8:$AG$68,BF$4-$B123+1)</f>
        <v/>
      </c>
      <c r="BG123" s="153">
        <f>$C123*INDEX(Curves!$AG$8:$AG$68,BG$4-$B123+1)</f>
        <v/>
      </c>
      <c r="BH123" s="153">
        <f>$C123*INDEX(Curves!$AG$8:$AG$68,BH$4-$B123+1)</f>
        <v/>
      </c>
      <c r="BI123" s="153">
        <f>$C123*INDEX(Curves!$AG$8:$AG$68,BI$4-$B123+1)</f>
        <v/>
      </c>
      <c r="BJ123" s="153">
        <f>$C123*INDEX(Curves!$AG$8:$AG$68,BJ$4-$B123+1)</f>
        <v/>
      </c>
      <c r="BK123" s="153">
        <f>$C123*INDEX(Curves!$AG$8:$AG$68,BK$4-$B123+1)</f>
        <v/>
      </c>
      <c r="BL123" s="153">
        <f>$C123*INDEX(Curves!$AG$8:$AG$68,BL$4-$B123+1)</f>
        <v/>
      </c>
    </row>
    <row r="124">
      <c r="A124" s="147" t="inlineStr">
        <is>
          <t>Cohort month 52</t>
        </is>
      </c>
      <c r="B124" s="147" t="n">
        <v>52</v>
      </c>
      <c r="C124" s="41">
        <f>INDEX(Ops!$E$59:$BL$59,1,$B124)</f>
        <v/>
      </c>
      <c r="BE124" s="153">
        <f>$C124*INDEX(Curves!$AG$8:$AG$68,BE$4-$B124+1)</f>
        <v/>
      </c>
      <c r="BF124" s="153">
        <f>$C124*INDEX(Curves!$AG$8:$AG$68,BF$4-$B124+1)</f>
        <v/>
      </c>
      <c r="BG124" s="153">
        <f>$C124*INDEX(Curves!$AG$8:$AG$68,BG$4-$B124+1)</f>
        <v/>
      </c>
      <c r="BH124" s="153">
        <f>$C124*INDEX(Curves!$AG$8:$AG$68,BH$4-$B124+1)</f>
        <v/>
      </c>
      <c r="BI124" s="153">
        <f>$C124*INDEX(Curves!$AG$8:$AG$68,BI$4-$B124+1)</f>
        <v/>
      </c>
      <c r="BJ124" s="153">
        <f>$C124*INDEX(Curves!$AG$8:$AG$68,BJ$4-$B124+1)</f>
        <v/>
      </c>
      <c r="BK124" s="153">
        <f>$C124*INDEX(Curves!$AG$8:$AG$68,BK$4-$B124+1)</f>
        <v/>
      </c>
      <c r="BL124" s="153">
        <f>$C124*INDEX(Curves!$AG$8:$AG$68,BL$4-$B124+1)</f>
        <v/>
      </c>
    </row>
    <row r="125">
      <c r="A125" s="147" t="inlineStr">
        <is>
          <t>Cohort month 53</t>
        </is>
      </c>
      <c r="B125" s="147" t="n">
        <v>53</v>
      </c>
      <c r="C125" s="41">
        <f>INDEX(Ops!$E$59:$BL$59,1,$B125)</f>
        <v/>
      </c>
      <c r="BF125" s="153">
        <f>$C125*INDEX(Curves!$AG$8:$AG$68,BF$4-$B125+1)</f>
        <v/>
      </c>
      <c r="BG125" s="153">
        <f>$C125*INDEX(Curves!$AG$8:$AG$68,BG$4-$B125+1)</f>
        <v/>
      </c>
      <c r="BH125" s="153">
        <f>$C125*INDEX(Curves!$AG$8:$AG$68,BH$4-$B125+1)</f>
        <v/>
      </c>
      <c r="BI125" s="153">
        <f>$C125*INDEX(Curves!$AG$8:$AG$68,BI$4-$B125+1)</f>
        <v/>
      </c>
      <c r="BJ125" s="153">
        <f>$C125*INDEX(Curves!$AG$8:$AG$68,BJ$4-$B125+1)</f>
        <v/>
      </c>
      <c r="BK125" s="153">
        <f>$C125*INDEX(Curves!$AG$8:$AG$68,BK$4-$B125+1)</f>
        <v/>
      </c>
      <c r="BL125" s="153">
        <f>$C125*INDEX(Curves!$AG$8:$AG$68,BL$4-$B125+1)</f>
        <v/>
      </c>
    </row>
    <row r="126">
      <c r="A126" s="147" t="inlineStr">
        <is>
          <t>Cohort month 54</t>
        </is>
      </c>
      <c r="B126" s="147" t="n">
        <v>54</v>
      </c>
      <c r="C126" s="41">
        <f>INDEX(Ops!$E$59:$BL$59,1,$B126)</f>
        <v/>
      </c>
      <c r="BG126" s="153">
        <f>$C126*INDEX(Curves!$AG$8:$AG$68,BG$4-$B126+1)</f>
        <v/>
      </c>
      <c r="BH126" s="153">
        <f>$C126*INDEX(Curves!$AG$8:$AG$68,BH$4-$B126+1)</f>
        <v/>
      </c>
      <c r="BI126" s="153">
        <f>$C126*INDEX(Curves!$AG$8:$AG$68,BI$4-$B126+1)</f>
        <v/>
      </c>
      <c r="BJ126" s="153">
        <f>$C126*INDEX(Curves!$AG$8:$AG$68,BJ$4-$B126+1)</f>
        <v/>
      </c>
      <c r="BK126" s="153">
        <f>$C126*INDEX(Curves!$AG$8:$AG$68,BK$4-$B126+1)</f>
        <v/>
      </c>
      <c r="BL126" s="153">
        <f>$C126*INDEX(Curves!$AG$8:$AG$68,BL$4-$B126+1)</f>
        <v/>
      </c>
    </row>
    <row r="127">
      <c r="A127" s="147" t="inlineStr">
        <is>
          <t>Cohort month 55</t>
        </is>
      </c>
      <c r="B127" s="147" t="n">
        <v>55</v>
      </c>
      <c r="C127" s="41">
        <f>INDEX(Ops!$E$59:$BL$59,1,$B127)</f>
        <v/>
      </c>
      <c r="BH127" s="153">
        <f>$C127*INDEX(Curves!$AG$8:$AG$68,BH$4-$B127+1)</f>
        <v/>
      </c>
      <c r="BI127" s="153">
        <f>$C127*INDEX(Curves!$AG$8:$AG$68,BI$4-$B127+1)</f>
        <v/>
      </c>
      <c r="BJ127" s="153">
        <f>$C127*INDEX(Curves!$AG$8:$AG$68,BJ$4-$B127+1)</f>
        <v/>
      </c>
      <c r="BK127" s="153">
        <f>$C127*INDEX(Curves!$AG$8:$AG$68,BK$4-$B127+1)</f>
        <v/>
      </c>
      <c r="BL127" s="153">
        <f>$C127*INDEX(Curves!$AG$8:$AG$68,BL$4-$B127+1)</f>
        <v/>
      </c>
    </row>
    <row r="128">
      <c r="A128" s="147" t="inlineStr">
        <is>
          <t>Cohort month 56</t>
        </is>
      </c>
      <c r="B128" s="147" t="n">
        <v>56</v>
      </c>
      <c r="C128" s="41">
        <f>INDEX(Ops!$E$59:$BL$59,1,$B128)</f>
        <v/>
      </c>
      <c r="BI128" s="153">
        <f>$C128*INDEX(Curves!$AG$8:$AG$68,BI$4-$B128+1)</f>
        <v/>
      </c>
      <c r="BJ128" s="153">
        <f>$C128*INDEX(Curves!$AG$8:$AG$68,BJ$4-$B128+1)</f>
        <v/>
      </c>
      <c r="BK128" s="153">
        <f>$C128*INDEX(Curves!$AG$8:$AG$68,BK$4-$B128+1)</f>
        <v/>
      </c>
      <c r="BL128" s="153">
        <f>$C128*INDEX(Curves!$AG$8:$AG$68,BL$4-$B128+1)</f>
        <v/>
      </c>
    </row>
    <row r="129">
      <c r="A129" s="147" t="inlineStr">
        <is>
          <t>Cohort month 57</t>
        </is>
      </c>
      <c r="B129" s="147" t="n">
        <v>57</v>
      </c>
      <c r="C129" s="41">
        <f>INDEX(Ops!$E$59:$BL$59,1,$B129)</f>
        <v/>
      </c>
      <c r="BJ129" s="153">
        <f>$C129*INDEX(Curves!$AG$8:$AG$68,BJ$4-$B129+1)</f>
        <v/>
      </c>
      <c r="BK129" s="153">
        <f>$C129*INDEX(Curves!$AG$8:$AG$68,BK$4-$B129+1)</f>
        <v/>
      </c>
      <c r="BL129" s="153">
        <f>$C129*INDEX(Curves!$AG$8:$AG$68,BL$4-$B129+1)</f>
        <v/>
      </c>
    </row>
    <row r="130">
      <c r="A130" s="147" t="inlineStr">
        <is>
          <t>Cohort month 58</t>
        </is>
      </c>
      <c r="B130" s="147" t="n">
        <v>58</v>
      </c>
      <c r="C130" s="41">
        <f>INDEX(Ops!$E$59:$BL$59,1,$B130)</f>
        <v/>
      </c>
      <c r="BK130" s="153">
        <f>$C130*INDEX(Curves!$AG$8:$AG$68,BK$4-$B130+1)</f>
        <v/>
      </c>
      <c r="BL130" s="153">
        <f>$C130*INDEX(Curves!$AG$8:$AG$68,BL$4-$B130+1)</f>
        <v/>
      </c>
    </row>
    <row r="131">
      <c r="A131" s="147" t="inlineStr">
        <is>
          <t>Cohort month 59</t>
        </is>
      </c>
      <c r="B131" s="147" t="n">
        <v>59</v>
      </c>
      <c r="C131" s="41">
        <f>INDEX(Ops!$E$59:$BL$59,1,$B131)</f>
        <v/>
      </c>
      <c r="BL131" s="153">
        <f>$C131*INDEX(Curves!$AG$8:$AG$68,BL$4-$B131+1)</f>
        <v/>
      </c>
    </row>
    <row r="132">
      <c r="A132" s="147" t="inlineStr">
        <is>
          <t>Cohort month 60</t>
        </is>
      </c>
      <c r="B132" s="147" t="n">
        <v>60</v>
      </c>
      <c r="C132" s="41">
        <f>INDEX(Ops!$E$59:$BL$59,1,$B132)</f>
        <v/>
      </c>
    </row>
    <row r="133"/>
    <row r="134">
      <c r="A134" s="21" t="inlineStr">
        <is>
          <t>Receivables at risk by cohort (LCY)</t>
        </is>
      </c>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c r="AA134" s="22" t="n"/>
      <c r="AB134" s="22" t="n"/>
      <c r="AC134" s="22" t="n"/>
      <c r="AD134" s="22" t="n"/>
      <c r="AE134" s="22" t="n"/>
      <c r="AF134" s="22" t="n"/>
      <c r="AG134" s="22" t="n"/>
      <c r="AH134" s="22" t="n"/>
      <c r="AI134" s="22" t="n"/>
      <c r="AJ134" s="22" t="n"/>
      <c r="AK134" s="22" t="n"/>
      <c r="AL134" s="22" t="n"/>
      <c r="AM134" s="22" t="n"/>
      <c r="AN134" s="22" t="n"/>
      <c r="AO134" s="22" t="n"/>
      <c r="AP134" s="22" t="n"/>
      <c r="AQ134" s="22" t="n"/>
      <c r="AR134" s="22" t="n"/>
      <c r="AS134" s="22" t="n"/>
      <c r="AT134" s="22" t="n"/>
      <c r="AU134" s="22" t="n"/>
      <c r="AV134" s="22" t="n"/>
      <c r="AW134" s="22" t="n"/>
      <c r="AX134" s="22" t="n"/>
      <c r="AY134" s="22" t="n"/>
      <c r="AZ134" s="22" t="n"/>
      <c r="BA134" s="22" t="n"/>
      <c r="BB134" s="22" t="n"/>
      <c r="BC134" s="22" t="n"/>
      <c r="BD134" s="22" t="n"/>
      <c r="BE134" s="22" t="n"/>
      <c r="BF134" s="22" t="n"/>
      <c r="BG134" s="22" t="n"/>
      <c r="BH134" s="22" t="n"/>
      <c r="BI134" s="22" t="n"/>
      <c r="BJ134" s="22" t="n"/>
      <c r="BK134" s="22" t="n"/>
      <c r="BL134" s="22" t="n"/>
    </row>
    <row r="135">
      <c r="A135" s="100" t="inlineStr">
        <is>
          <t>Total</t>
        </is>
      </c>
      <c r="B135" s="101" t="inlineStr"/>
      <c r="C135" s="103" t="n"/>
      <c r="D135" s="103" t="n"/>
      <c r="E135" s="104">
        <f>SUM(E136:E195)</f>
        <v/>
      </c>
      <c r="F135" s="104">
        <f>SUM(F136:F195)</f>
        <v/>
      </c>
      <c r="G135" s="104">
        <f>SUM(G136:G195)</f>
        <v/>
      </c>
      <c r="H135" s="104">
        <f>SUM(H136:H195)</f>
        <v/>
      </c>
      <c r="I135" s="104">
        <f>SUM(I136:I195)</f>
        <v/>
      </c>
      <c r="J135" s="104">
        <f>SUM(J136:J195)</f>
        <v/>
      </c>
      <c r="K135" s="104">
        <f>SUM(K136:K195)</f>
        <v/>
      </c>
      <c r="L135" s="104">
        <f>SUM(L136:L195)</f>
        <v/>
      </c>
      <c r="M135" s="104">
        <f>SUM(M136:M195)</f>
        <v/>
      </c>
      <c r="N135" s="104">
        <f>SUM(N136:N195)</f>
        <v/>
      </c>
      <c r="O135" s="104">
        <f>SUM(O136:O195)</f>
        <v/>
      </c>
      <c r="P135" s="104">
        <f>SUM(P136:P195)</f>
        <v/>
      </c>
      <c r="Q135" s="104">
        <f>SUM(Q136:Q195)</f>
        <v/>
      </c>
      <c r="R135" s="104">
        <f>SUM(R136:R195)</f>
        <v/>
      </c>
      <c r="S135" s="104">
        <f>SUM(S136:S195)</f>
        <v/>
      </c>
      <c r="T135" s="104">
        <f>SUM(T136:T195)</f>
        <v/>
      </c>
      <c r="U135" s="104">
        <f>SUM(U136:U195)</f>
        <v/>
      </c>
      <c r="V135" s="104">
        <f>SUM(V136:V195)</f>
        <v/>
      </c>
      <c r="W135" s="104">
        <f>SUM(W136:W195)</f>
        <v/>
      </c>
      <c r="X135" s="104">
        <f>SUM(X136:X195)</f>
        <v/>
      </c>
      <c r="Y135" s="104">
        <f>SUM(Y136:Y195)</f>
        <v/>
      </c>
      <c r="Z135" s="104">
        <f>SUM(Z136:Z195)</f>
        <v/>
      </c>
      <c r="AA135" s="104">
        <f>SUM(AA136:AA195)</f>
        <v/>
      </c>
      <c r="AB135" s="104">
        <f>SUM(AB136:AB195)</f>
        <v/>
      </c>
      <c r="AC135" s="104">
        <f>SUM(AC136:AC195)</f>
        <v/>
      </c>
      <c r="AD135" s="104">
        <f>SUM(AD136:AD195)</f>
        <v/>
      </c>
      <c r="AE135" s="104">
        <f>SUM(AE136:AE195)</f>
        <v/>
      </c>
      <c r="AF135" s="104">
        <f>SUM(AF136:AF195)</f>
        <v/>
      </c>
      <c r="AG135" s="104">
        <f>SUM(AG136:AG195)</f>
        <v/>
      </c>
      <c r="AH135" s="104">
        <f>SUM(AH136:AH195)</f>
        <v/>
      </c>
      <c r="AI135" s="104">
        <f>SUM(AI136:AI195)</f>
        <v/>
      </c>
      <c r="AJ135" s="104">
        <f>SUM(AJ136:AJ195)</f>
        <v/>
      </c>
      <c r="AK135" s="104">
        <f>SUM(AK136:AK195)</f>
        <v/>
      </c>
      <c r="AL135" s="104">
        <f>SUM(AL136:AL195)</f>
        <v/>
      </c>
      <c r="AM135" s="104">
        <f>SUM(AM136:AM195)</f>
        <v/>
      </c>
      <c r="AN135" s="104">
        <f>SUM(AN136:AN195)</f>
        <v/>
      </c>
      <c r="AO135" s="104">
        <f>SUM(AO136:AO195)</f>
        <v/>
      </c>
      <c r="AP135" s="104">
        <f>SUM(AP136:AP195)</f>
        <v/>
      </c>
      <c r="AQ135" s="104">
        <f>SUM(AQ136:AQ195)</f>
        <v/>
      </c>
      <c r="AR135" s="104">
        <f>SUM(AR136:AR195)</f>
        <v/>
      </c>
      <c r="AS135" s="104">
        <f>SUM(AS136:AS195)</f>
        <v/>
      </c>
      <c r="AT135" s="104">
        <f>SUM(AT136:AT195)</f>
        <v/>
      </c>
      <c r="AU135" s="104">
        <f>SUM(AU136:AU195)</f>
        <v/>
      </c>
      <c r="AV135" s="104">
        <f>SUM(AV136:AV195)</f>
        <v/>
      </c>
      <c r="AW135" s="104">
        <f>SUM(AW136:AW195)</f>
        <v/>
      </c>
      <c r="AX135" s="104">
        <f>SUM(AX136:AX195)</f>
        <v/>
      </c>
      <c r="AY135" s="104">
        <f>SUM(AY136:AY195)</f>
        <v/>
      </c>
      <c r="AZ135" s="104">
        <f>SUM(AZ136:AZ195)</f>
        <v/>
      </c>
      <c r="BA135" s="104">
        <f>SUM(BA136:BA195)</f>
        <v/>
      </c>
      <c r="BB135" s="104">
        <f>SUM(BB136:BB195)</f>
        <v/>
      </c>
      <c r="BC135" s="104">
        <f>SUM(BC136:BC195)</f>
        <v/>
      </c>
      <c r="BD135" s="104">
        <f>SUM(BD136:BD195)</f>
        <v/>
      </c>
      <c r="BE135" s="104">
        <f>SUM(BE136:BE195)</f>
        <v/>
      </c>
      <c r="BF135" s="104">
        <f>SUM(BF136:BF195)</f>
        <v/>
      </c>
      <c r="BG135" s="104">
        <f>SUM(BG136:BG195)</f>
        <v/>
      </c>
      <c r="BH135" s="104">
        <f>SUM(BH136:BH195)</f>
        <v/>
      </c>
      <c r="BI135" s="104">
        <f>SUM(BI136:BI195)</f>
        <v/>
      </c>
      <c r="BJ135" s="104">
        <f>SUM(BJ136:BJ195)</f>
        <v/>
      </c>
      <c r="BK135" s="104">
        <f>SUM(BK136:BK195)</f>
        <v/>
      </c>
      <c r="BL135" s="104">
        <f>SUM(BL136:BL195)</f>
        <v/>
      </c>
    </row>
    <row r="136">
      <c r="A136" s="147" t="inlineStr">
        <is>
          <t>Cohort month 1</t>
        </is>
      </c>
      <c r="B136" s="147" t="n">
        <v>1</v>
      </c>
      <c r="C136" s="41">
        <f>INDEX(Ops!$E$60:$BL$60,1,$B136)</f>
        <v/>
      </c>
      <c r="F136" s="153">
        <f>$C136*INDEX(Curves!$AF$8:$AF$68,F$4-$B136+1)</f>
        <v/>
      </c>
      <c r="G136" s="153">
        <f>$C136*INDEX(Curves!$AF$8:$AF$68,G$4-$B136+1)</f>
        <v/>
      </c>
      <c r="H136" s="153">
        <f>$C136*INDEX(Curves!$AF$8:$AF$68,H$4-$B136+1)</f>
        <v/>
      </c>
      <c r="I136" s="153">
        <f>$C136*INDEX(Curves!$AF$8:$AF$68,I$4-$B136+1)</f>
        <v/>
      </c>
      <c r="J136" s="153">
        <f>$C136*INDEX(Curves!$AF$8:$AF$68,J$4-$B136+1)</f>
        <v/>
      </c>
      <c r="K136" s="153">
        <f>$C136*INDEX(Curves!$AF$8:$AF$68,K$4-$B136+1)</f>
        <v/>
      </c>
      <c r="L136" s="153">
        <f>$C136*INDEX(Curves!$AF$8:$AF$68,L$4-$B136+1)</f>
        <v/>
      </c>
      <c r="M136" s="153">
        <f>$C136*INDEX(Curves!$AF$8:$AF$68,M$4-$B136+1)</f>
        <v/>
      </c>
      <c r="N136" s="153">
        <f>$C136*INDEX(Curves!$AF$8:$AF$68,N$4-$B136+1)</f>
        <v/>
      </c>
      <c r="O136" s="153">
        <f>$C136*INDEX(Curves!$AF$8:$AF$68,O$4-$B136+1)</f>
        <v/>
      </c>
      <c r="P136" s="153">
        <f>$C136*INDEX(Curves!$AF$8:$AF$68,P$4-$B136+1)</f>
        <v/>
      </c>
      <c r="Q136" s="153">
        <f>$C136*INDEX(Curves!$AF$8:$AF$68,Q$4-$B136+1)</f>
        <v/>
      </c>
      <c r="R136" s="153">
        <f>$C136*INDEX(Curves!$AF$8:$AF$68,R$4-$B136+1)</f>
        <v/>
      </c>
      <c r="S136" s="153">
        <f>$C136*INDEX(Curves!$AF$8:$AF$68,S$4-$B136+1)</f>
        <v/>
      </c>
      <c r="T136" s="153">
        <f>$C136*INDEX(Curves!$AF$8:$AF$68,T$4-$B136+1)</f>
        <v/>
      </c>
      <c r="U136" s="153">
        <f>$C136*INDEX(Curves!$AF$8:$AF$68,U$4-$B136+1)</f>
        <v/>
      </c>
      <c r="V136" s="153">
        <f>$C136*INDEX(Curves!$AF$8:$AF$68,V$4-$B136+1)</f>
        <v/>
      </c>
      <c r="W136" s="153">
        <f>$C136*INDEX(Curves!$AF$8:$AF$68,W$4-$B136+1)</f>
        <v/>
      </c>
      <c r="X136" s="153">
        <f>$C136*INDEX(Curves!$AF$8:$AF$68,X$4-$B136+1)</f>
        <v/>
      </c>
      <c r="Y136" s="153">
        <f>$C136*INDEX(Curves!$AF$8:$AF$68,Y$4-$B136+1)</f>
        <v/>
      </c>
      <c r="Z136" s="153">
        <f>$C136*INDEX(Curves!$AF$8:$AF$68,Z$4-$B136+1)</f>
        <v/>
      </c>
      <c r="AA136" s="153">
        <f>$C136*INDEX(Curves!$AF$8:$AF$68,AA$4-$B136+1)</f>
        <v/>
      </c>
      <c r="AB136" s="153">
        <f>$C136*INDEX(Curves!$AF$8:$AF$68,AB$4-$B136+1)</f>
        <v/>
      </c>
      <c r="AC136" s="153">
        <f>$C136*INDEX(Curves!$AF$8:$AF$68,AC$4-$B136+1)</f>
        <v/>
      </c>
      <c r="AD136" s="153">
        <f>$C136*INDEX(Curves!$AF$8:$AF$68,AD$4-$B136+1)</f>
        <v/>
      </c>
      <c r="AE136" s="153">
        <f>$C136*INDEX(Curves!$AF$8:$AF$68,AE$4-$B136+1)</f>
        <v/>
      </c>
      <c r="AF136" s="153">
        <f>$C136*INDEX(Curves!$AF$8:$AF$68,AF$4-$B136+1)</f>
        <v/>
      </c>
      <c r="AG136" s="153">
        <f>$C136*INDEX(Curves!$AF$8:$AF$68,AG$4-$B136+1)</f>
        <v/>
      </c>
      <c r="AH136" s="153">
        <f>$C136*INDEX(Curves!$AF$8:$AF$68,AH$4-$B136+1)</f>
        <v/>
      </c>
      <c r="AI136" s="153">
        <f>$C136*INDEX(Curves!$AF$8:$AF$68,AI$4-$B136+1)</f>
        <v/>
      </c>
      <c r="AJ136" s="153">
        <f>$C136*INDEX(Curves!$AF$8:$AF$68,AJ$4-$B136+1)</f>
        <v/>
      </c>
      <c r="AK136" s="153">
        <f>$C136*INDEX(Curves!$AF$8:$AF$68,AK$4-$B136+1)</f>
        <v/>
      </c>
      <c r="AL136" s="153">
        <f>$C136*INDEX(Curves!$AF$8:$AF$68,AL$4-$B136+1)</f>
        <v/>
      </c>
      <c r="AM136" s="153">
        <f>$C136*INDEX(Curves!$AF$8:$AF$68,AM$4-$B136+1)</f>
        <v/>
      </c>
      <c r="AN136" s="153">
        <f>$C136*INDEX(Curves!$AF$8:$AF$68,AN$4-$B136+1)</f>
        <v/>
      </c>
      <c r="AO136" s="153">
        <f>$C136*INDEX(Curves!$AF$8:$AF$68,AO$4-$B136+1)</f>
        <v/>
      </c>
      <c r="AP136" s="153">
        <f>$C136*INDEX(Curves!$AF$8:$AF$68,AP$4-$B136+1)</f>
        <v/>
      </c>
      <c r="AQ136" s="153">
        <f>$C136*INDEX(Curves!$AF$8:$AF$68,AQ$4-$B136+1)</f>
        <v/>
      </c>
      <c r="AR136" s="153">
        <f>$C136*INDEX(Curves!$AF$8:$AF$68,AR$4-$B136+1)</f>
        <v/>
      </c>
      <c r="AS136" s="153">
        <f>$C136*INDEX(Curves!$AF$8:$AF$68,AS$4-$B136+1)</f>
        <v/>
      </c>
      <c r="AT136" s="153">
        <f>$C136*INDEX(Curves!$AF$8:$AF$68,AT$4-$B136+1)</f>
        <v/>
      </c>
      <c r="AU136" s="153">
        <f>$C136*INDEX(Curves!$AF$8:$AF$68,AU$4-$B136+1)</f>
        <v/>
      </c>
      <c r="AV136" s="153">
        <f>$C136*INDEX(Curves!$AF$8:$AF$68,AV$4-$B136+1)</f>
        <v/>
      </c>
      <c r="AW136" s="153">
        <f>$C136*INDEX(Curves!$AF$8:$AF$68,AW$4-$B136+1)</f>
        <v/>
      </c>
      <c r="AX136" s="153">
        <f>$C136*INDEX(Curves!$AF$8:$AF$68,AX$4-$B136+1)</f>
        <v/>
      </c>
      <c r="AY136" s="153">
        <f>$C136*INDEX(Curves!$AF$8:$AF$68,AY$4-$B136+1)</f>
        <v/>
      </c>
      <c r="AZ136" s="153">
        <f>$C136*INDEX(Curves!$AF$8:$AF$68,AZ$4-$B136+1)</f>
        <v/>
      </c>
      <c r="BA136" s="153">
        <f>$C136*INDEX(Curves!$AF$8:$AF$68,BA$4-$B136+1)</f>
        <v/>
      </c>
      <c r="BB136" s="153">
        <f>$C136*INDEX(Curves!$AF$8:$AF$68,BB$4-$B136+1)</f>
        <v/>
      </c>
      <c r="BC136" s="153">
        <f>$C136*INDEX(Curves!$AF$8:$AF$68,BC$4-$B136+1)</f>
        <v/>
      </c>
      <c r="BD136" s="153">
        <f>$C136*INDEX(Curves!$AF$8:$AF$68,BD$4-$B136+1)</f>
        <v/>
      </c>
      <c r="BE136" s="153">
        <f>$C136*INDEX(Curves!$AF$8:$AF$68,BE$4-$B136+1)</f>
        <v/>
      </c>
      <c r="BF136" s="153">
        <f>$C136*INDEX(Curves!$AF$8:$AF$68,BF$4-$B136+1)</f>
        <v/>
      </c>
      <c r="BG136" s="153">
        <f>$C136*INDEX(Curves!$AF$8:$AF$68,BG$4-$B136+1)</f>
        <v/>
      </c>
      <c r="BH136" s="153">
        <f>$C136*INDEX(Curves!$AF$8:$AF$68,BH$4-$B136+1)</f>
        <v/>
      </c>
      <c r="BI136" s="153">
        <f>$C136*INDEX(Curves!$AF$8:$AF$68,BI$4-$B136+1)</f>
        <v/>
      </c>
      <c r="BJ136" s="153">
        <f>$C136*INDEX(Curves!$AF$8:$AF$68,BJ$4-$B136+1)</f>
        <v/>
      </c>
      <c r="BK136" s="153">
        <f>$C136*INDEX(Curves!$AF$8:$AF$68,BK$4-$B136+1)</f>
        <v/>
      </c>
      <c r="BL136" s="153">
        <f>$C136*INDEX(Curves!$AF$8:$AF$68,BL$4-$B136+1)</f>
        <v/>
      </c>
    </row>
    <row r="137">
      <c r="A137" s="147" t="inlineStr">
        <is>
          <t>Cohort month 2</t>
        </is>
      </c>
      <c r="B137" s="147" t="n">
        <v>2</v>
      </c>
      <c r="C137" s="41">
        <f>INDEX(Ops!$E$60:$BL$60,1,$B137)</f>
        <v/>
      </c>
      <c r="G137" s="153">
        <f>$C137*INDEX(Curves!$AF$8:$AF$68,G$4-$B137+1)</f>
        <v/>
      </c>
      <c r="H137" s="153">
        <f>$C137*INDEX(Curves!$AF$8:$AF$68,H$4-$B137+1)</f>
        <v/>
      </c>
      <c r="I137" s="153">
        <f>$C137*INDEX(Curves!$AF$8:$AF$68,I$4-$B137+1)</f>
        <v/>
      </c>
      <c r="J137" s="153">
        <f>$C137*INDEX(Curves!$AF$8:$AF$68,J$4-$B137+1)</f>
        <v/>
      </c>
      <c r="K137" s="153">
        <f>$C137*INDEX(Curves!$AF$8:$AF$68,K$4-$B137+1)</f>
        <v/>
      </c>
      <c r="L137" s="153">
        <f>$C137*INDEX(Curves!$AF$8:$AF$68,L$4-$B137+1)</f>
        <v/>
      </c>
      <c r="M137" s="153">
        <f>$C137*INDEX(Curves!$AF$8:$AF$68,M$4-$B137+1)</f>
        <v/>
      </c>
      <c r="N137" s="153">
        <f>$C137*INDEX(Curves!$AF$8:$AF$68,N$4-$B137+1)</f>
        <v/>
      </c>
      <c r="O137" s="153">
        <f>$C137*INDEX(Curves!$AF$8:$AF$68,O$4-$B137+1)</f>
        <v/>
      </c>
      <c r="P137" s="153">
        <f>$C137*INDEX(Curves!$AF$8:$AF$68,P$4-$B137+1)</f>
        <v/>
      </c>
      <c r="Q137" s="153">
        <f>$C137*INDEX(Curves!$AF$8:$AF$68,Q$4-$B137+1)</f>
        <v/>
      </c>
      <c r="R137" s="153">
        <f>$C137*INDEX(Curves!$AF$8:$AF$68,R$4-$B137+1)</f>
        <v/>
      </c>
      <c r="S137" s="153">
        <f>$C137*INDEX(Curves!$AF$8:$AF$68,S$4-$B137+1)</f>
        <v/>
      </c>
      <c r="T137" s="153">
        <f>$C137*INDEX(Curves!$AF$8:$AF$68,T$4-$B137+1)</f>
        <v/>
      </c>
      <c r="U137" s="153">
        <f>$C137*INDEX(Curves!$AF$8:$AF$68,U$4-$B137+1)</f>
        <v/>
      </c>
      <c r="V137" s="153">
        <f>$C137*INDEX(Curves!$AF$8:$AF$68,V$4-$B137+1)</f>
        <v/>
      </c>
      <c r="W137" s="153">
        <f>$C137*INDEX(Curves!$AF$8:$AF$68,W$4-$B137+1)</f>
        <v/>
      </c>
      <c r="X137" s="153">
        <f>$C137*INDEX(Curves!$AF$8:$AF$68,X$4-$B137+1)</f>
        <v/>
      </c>
      <c r="Y137" s="153">
        <f>$C137*INDEX(Curves!$AF$8:$AF$68,Y$4-$B137+1)</f>
        <v/>
      </c>
      <c r="Z137" s="153">
        <f>$C137*INDEX(Curves!$AF$8:$AF$68,Z$4-$B137+1)</f>
        <v/>
      </c>
      <c r="AA137" s="153">
        <f>$C137*INDEX(Curves!$AF$8:$AF$68,AA$4-$B137+1)</f>
        <v/>
      </c>
      <c r="AB137" s="153">
        <f>$C137*INDEX(Curves!$AF$8:$AF$68,AB$4-$B137+1)</f>
        <v/>
      </c>
      <c r="AC137" s="153">
        <f>$C137*INDEX(Curves!$AF$8:$AF$68,AC$4-$B137+1)</f>
        <v/>
      </c>
      <c r="AD137" s="153">
        <f>$C137*INDEX(Curves!$AF$8:$AF$68,AD$4-$B137+1)</f>
        <v/>
      </c>
      <c r="AE137" s="153">
        <f>$C137*INDEX(Curves!$AF$8:$AF$68,AE$4-$B137+1)</f>
        <v/>
      </c>
      <c r="AF137" s="153">
        <f>$C137*INDEX(Curves!$AF$8:$AF$68,AF$4-$B137+1)</f>
        <v/>
      </c>
      <c r="AG137" s="153">
        <f>$C137*INDEX(Curves!$AF$8:$AF$68,AG$4-$B137+1)</f>
        <v/>
      </c>
      <c r="AH137" s="153">
        <f>$C137*INDEX(Curves!$AF$8:$AF$68,AH$4-$B137+1)</f>
        <v/>
      </c>
      <c r="AI137" s="153">
        <f>$C137*INDEX(Curves!$AF$8:$AF$68,AI$4-$B137+1)</f>
        <v/>
      </c>
      <c r="AJ137" s="153">
        <f>$C137*INDEX(Curves!$AF$8:$AF$68,AJ$4-$B137+1)</f>
        <v/>
      </c>
      <c r="AK137" s="153">
        <f>$C137*INDEX(Curves!$AF$8:$AF$68,AK$4-$B137+1)</f>
        <v/>
      </c>
      <c r="AL137" s="153">
        <f>$C137*INDEX(Curves!$AF$8:$AF$68,AL$4-$B137+1)</f>
        <v/>
      </c>
      <c r="AM137" s="153">
        <f>$C137*INDEX(Curves!$AF$8:$AF$68,AM$4-$B137+1)</f>
        <v/>
      </c>
      <c r="AN137" s="153">
        <f>$C137*INDEX(Curves!$AF$8:$AF$68,AN$4-$B137+1)</f>
        <v/>
      </c>
      <c r="AO137" s="153">
        <f>$C137*INDEX(Curves!$AF$8:$AF$68,AO$4-$B137+1)</f>
        <v/>
      </c>
      <c r="AP137" s="153">
        <f>$C137*INDEX(Curves!$AF$8:$AF$68,AP$4-$B137+1)</f>
        <v/>
      </c>
      <c r="AQ137" s="153">
        <f>$C137*INDEX(Curves!$AF$8:$AF$68,AQ$4-$B137+1)</f>
        <v/>
      </c>
      <c r="AR137" s="153">
        <f>$C137*INDEX(Curves!$AF$8:$AF$68,AR$4-$B137+1)</f>
        <v/>
      </c>
      <c r="AS137" s="153">
        <f>$C137*INDEX(Curves!$AF$8:$AF$68,AS$4-$B137+1)</f>
        <v/>
      </c>
      <c r="AT137" s="153">
        <f>$C137*INDEX(Curves!$AF$8:$AF$68,AT$4-$B137+1)</f>
        <v/>
      </c>
      <c r="AU137" s="153">
        <f>$C137*INDEX(Curves!$AF$8:$AF$68,AU$4-$B137+1)</f>
        <v/>
      </c>
      <c r="AV137" s="153">
        <f>$C137*INDEX(Curves!$AF$8:$AF$68,AV$4-$B137+1)</f>
        <v/>
      </c>
      <c r="AW137" s="153">
        <f>$C137*INDEX(Curves!$AF$8:$AF$68,AW$4-$B137+1)</f>
        <v/>
      </c>
      <c r="AX137" s="153">
        <f>$C137*INDEX(Curves!$AF$8:$AF$68,AX$4-$B137+1)</f>
        <v/>
      </c>
      <c r="AY137" s="153">
        <f>$C137*INDEX(Curves!$AF$8:$AF$68,AY$4-$B137+1)</f>
        <v/>
      </c>
      <c r="AZ137" s="153">
        <f>$C137*INDEX(Curves!$AF$8:$AF$68,AZ$4-$B137+1)</f>
        <v/>
      </c>
      <c r="BA137" s="153">
        <f>$C137*INDEX(Curves!$AF$8:$AF$68,BA$4-$B137+1)</f>
        <v/>
      </c>
      <c r="BB137" s="153">
        <f>$C137*INDEX(Curves!$AF$8:$AF$68,BB$4-$B137+1)</f>
        <v/>
      </c>
      <c r="BC137" s="153">
        <f>$C137*INDEX(Curves!$AF$8:$AF$68,BC$4-$B137+1)</f>
        <v/>
      </c>
      <c r="BD137" s="153">
        <f>$C137*INDEX(Curves!$AF$8:$AF$68,BD$4-$B137+1)</f>
        <v/>
      </c>
      <c r="BE137" s="153">
        <f>$C137*INDEX(Curves!$AF$8:$AF$68,BE$4-$B137+1)</f>
        <v/>
      </c>
      <c r="BF137" s="153">
        <f>$C137*INDEX(Curves!$AF$8:$AF$68,BF$4-$B137+1)</f>
        <v/>
      </c>
      <c r="BG137" s="153">
        <f>$C137*INDEX(Curves!$AF$8:$AF$68,BG$4-$B137+1)</f>
        <v/>
      </c>
      <c r="BH137" s="153">
        <f>$C137*INDEX(Curves!$AF$8:$AF$68,BH$4-$B137+1)</f>
        <v/>
      </c>
      <c r="BI137" s="153">
        <f>$C137*INDEX(Curves!$AF$8:$AF$68,BI$4-$B137+1)</f>
        <v/>
      </c>
      <c r="BJ137" s="153">
        <f>$C137*INDEX(Curves!$AF$8:$AF$68,BJ$4-$B137+1)</f>
        <v/>
      </c>
      <c r="BK137" s="153">
        <f>$C137*INDEX(Curves!$AF$8:$AF$68,BK$4-$B137+1)</f>
        <v/>
      </c>
      <c r="BL137" s="153">
        <f>$C137*INDEX(Curves!$AF$8:$AF$68,BL$4-$B137+1)</f>
        <v/>
      </c>
    </row>
    <row r="138">
      <c r="A138" s="147" t="inlineStr">
        <is>
          <t>Cohort month 3</t>
        </is>
      </c>
      <c r="B138" s="147" t="n">
        <v>3</v>
      </c>
      <c r="C138" s="41">
        <f>INDEX(Ops!$E$60:$BL$60,1,$B138)</f>
        <v/>
      </c>
      <c r="H138" s="153">
        <f>$C138*INDEX(Curves!$AF$8:$AF$68,H$4-$B138+1)</f>
        <v/>
      </c>
      <c r="I138" s="153">
        <f>$C138*INDEX(Curves!$AF$8:$AF$68,I$4-$B138+1)</f>
        <v/>
      </c>
      <c r="J138" s="153">
        <f>$C138*INDEX(Curves!$AF$8:$AF$68,J$4-$B138+1)</f>
        <v/>
      </c>
      <c r="K138" s="153">
        <f>$C138*INDEX(Curves!$AF$8:$AF$68,K$4-$B138+1)</f>
        <v/>
      </c>
      <c r="L138" s="153">
        <f>$C138*INDEX(Curves!$AF$8:$AF$68,L$4-$B138+1)</f>
        <v/>
      </c>
      <c r="M138" s="153">
        <f>$C138*INDEX(Curves!$AF$8:$AF$68,M$4-$B138+1)</f>
        <v/>
      </c>
      <c r="N138" s="153">
        <f>$C138*INDEX(Curves!$AF$8:$AF$68,N$4-$B138+1)</f>
        <v/>
      </c>
      <c r="O138" s="153">
        <f>$C138*INDEX(Curves!$AF$8:$AF$68,O$4-$B138+1)</f>
        <v/>
      </c>
      <c r="P138" s="153">
        <f>$C138*INDEX(Curves!$AF$8:$AF$68,P$4-$B138+1)</f>
        <v/>
      </c>
      <c r="Q138" s="153">
        <f>$C138*INDEX(Curves!$AF$8:$AF$68,Q$4-$B138+1)</f>
        <v/>
      </c>
      <c r="R138" s="153">
        <f>$C138*INDEX(Curves!$AF$8:$AF$68,R$4-$B138+1)</f>
        <v/>
      </c>
      <c r="S138" s="153">
        <f>$C138*INDEX(Curves!$AF$8:$AF$68,S$4-$B138+1)</f>
        <v/>
      </c>
      <c r="T138" s="153">
        <f>$C138*INDEX(Curves!$AF$8:$AF$68,T$4-$B138+1)</f>
        <v/>
      </c>
      <c r="U138" s="153">
        <f>$C138*INDEX(Curves!$AF$8:$AF$68,U$4-$B138+1)</f>
        <v/>
      </c>
      <c r="V138" s="153">
        <f>$C138*INDEX(Curves!$AF$8:$AF$68,V$4-$B138+1)</f>
        <v/>
      </c>
      <c r="W138" s="153">
        <f>$C138*INDEX(Curves!$AF$8:$AF$68,W$4-$B138+1)</f>
        <v/>
      </c>
      <c r="X138" s="153">
        <f>$C138*INDEX(Curves!$AF$8:$AF$68,X$4-$B138+1)</f>
        <v/>
      </c>
      <c r="Y138" s="153">
        <f>$C138*INDEX(Curves!$AF$8:$AF$68,Y$4-$B138+1)</f>
        <v/>
      </c>
      <c r="Z138" s="153">
        <f>$C138*INDEX(Curves!$AF$8:$AF$68,Z$4-$B138+1)</f>
        <v/>
      </c>
      <c r="AA138" s="153">
        <f>$C138*INDEX(Curves!$AF$8:$AF$68,AA$4-$B138+1)</f>
        <v/>
      </c>
      <c r="AB138" s="153">
        <f>$C138*INDEX(Curves!$AF$8:$AF$68,AB$4-$B138+1)</f>
        <v/>
      </c>
      <c r="AC138" s="153">
        <f>$C138*INDEX(Curves!$AF$8:$AF$68,AC$4-$B138+1)</f>
        <v/>
      </c>
      <c r="AD138" s="153">
        <f>$C138*INDEX(Curves!$AF$8:$AF$68,AD$4-$B138+1)</f>
        <v/>
      </c>
      <c r="AE138" s="153">
        <f>$C138*INDEX(Curves!$AF$8:$AF$68,AE$4-$B138+1)</f>
        <v/>
      </c>
      <c r="AF138" s="153">
        <f>$C138*INDEX(Curves!$AF$8:$AF$68,AF$4-$B138+1)</f>
        <v/>
      </c>
      <c r="AG138" s="153">
        <f>$C138*INDEX(Curves!$AF$8:$AF$68,AG$4-$B138+1)</f>
        <v/>
      </c>
      <c r="AH138" s="153">
        <f>$C138*INDEX(Curves!$AF$8:$AF$68,AH$4-$B138+1)</f>
        <v/>
      </c>
      <c r="AI138" s="153">
        <f>$C138*INDEX(Curves!$AF$8:$AF$68,AI$4-$B138+1)</f>
        <v/>
      </c>
      <c r="AJ138" s="153">
        <f>$C138*INDEX(Curves!$AF$8:$AF$68,AJ$4-$B138+1)</f>
        <v/>
      </c>
      <c r="AK138" s="153">
        <f>$C138*INDEX(Curves!$AF$8:$AF$68,AK$4-$B138+1)</f>
        <v/>
      </c>
      <c r="AL138" s="153">
        <f>$C138*INDEX(Curves!$AF$8:$AF$68,AL$4-$B138+1)</f>
        <v/>
      </c>
      <c r="AM138" s="153">
        <f>$C138*INDEX(Curves!$AF$8:$AF$68,AM$4-$B138+1)</f>
        <v/>
      </c>
      <c r="AN138" s="153">
        <f>$C138*INDEX(Curves!$AF$8:$AF$68,AN$4-$B138+1)</f>
        <v/>
      </c>
      <c r="AO138" s="153">
        <f>$C138*INDEX(Curves!$AF$8:$AF$68,AO$4-$B138+1)</f>
        <v/>
      </c>
      <c r="AP138" s="153">
        <f>$C138*INDEX(Curves!$AF$8:$AF$68,AP$4-$B138+1)</f>
        <v/>
      </c>
      <c r="AQ138" s="153">
        <f>$C138*INDEX(Curves!$AF$8:$AF$68,AQ$4-$B138+1)</f>
        <v/>
      </c>
      <c r="AR138" s="153">
        <f>$C138*INDEX(Curves!$AF$8:$AF$68,AR$4-$B138+1)</f>
        <v/>
      </c>
      <c r="AS138" s="153">
        <f>$C138*INDEX(Curves!$AF$8:$AF$68,AS$4-$B138+1)</f>
        <v/>
      </c>
      <c r="AT138" s="153">
        <f>$C138*INDEX(Curves!$AF$8:$AF$68,AT$4-$B138+1)</f>
        <v/>
      </c>
      <c r="AU138" s="153">
        <f>$C138*INDEX(Curves!$AF$8:$AF$68,AU$4-$B138+1)</f>
        <v/>
      </c>
      <c r="AV138" s="153">
        <f>$C138*INDEX(Curves!$AF$8:$AF$68,AV$4-$B138+1)</f>
        <v/>
      </c>
      <c r="AW138" s="153">
        <f>$C138*INDEX(Curves!$AF$8:$AF$68,AW$4-$B138+1)</f>
        <v/>
      </c>
      <c r="AX138" s="153">
        <f>$C138*INDEX(Curves!$AF$8:$AF$68,AX$4-$B138+1)</f>
        <v/>
      </c>
      <c r="AY138" s="153">
        <f>$C138*INDEX(Curves!$AF$8:$AF$68,AY$4-$B138+1)</f>
        <v/>
      </c>
      <c r="AZ138" s="153">
        <f>$C138*INDEX(Curves!$AF$8:$AF$68,AZ$4-$B138+1)</f>
        <v/>
      </c>
      <c r="BA138" s="153">
        <f>$C138*INDEX(Curves!$AF$8:$AF$68,BA$4-$B138+1)</f>
        <v/>
      </c>
      <c r="BB138" s="153">
        <f>$C138*INDEX(Curves!$AF$8:$AF$68,BB$4-$B138+1)</f>
        <v/>
      </c>
      <c r="BC138" s="153">
        <f>$C138*INDEX(Curves!$AF$8:$AF$68,BC$4-$B138+1)</f>
        <v/>
      </c>
      <c r="BD138" s="153">
        <f>$C138*INDEX(Curves!$AF$8:$AF$68,BD$4-$B138+1)</f>
        <v/>
      </c>
      <c r="BE138" s="153">
        <f>$C138*INDEX(Curves!$AF$8:$AF$68,BE$4-$B138+1)</f>
        <v/>
      </c>
      <c r="BF138" s="153">
        <f>$C138*INDEX(Curves!$AF$8:$AF$68,BF$4-$B138+1)</f>
        <v/>
      </c>
      <c r="BG138" s="153">
        <f>$C138*INDEX(Curves!$AF$8:$AF$68,BG$4-$B138+1)</f>
        <v/>
      </c>
      <c r="BH138" s="153">
        <f>$C138*INDEX(Curves!$AF$8:$AF$68,BH$4-$B138+1)</f>
        <v/>
      </c>
      <c r="BI138" s="153">
        <f>$C138*INDEX(Curves!$AF$8:$AF$68,BI$4-$B138+1)</f>
        <v/>
      </c>
      <c r="BJ138" s="153">
        <f>$C138*INDEX(Curves!$AF$8:$AF$68,BJ$4-$B138+1)</f>
        <v/>
      </c>
      <c r="BK138" s="153">
        <f>$C138*INDEX(Curves!$AF$8:$AF$68,BK$4-$B138+1)</f>
        <v/>
      </c>
      <c r="BL138" s="153">
        <f>$C138*INDEX(Curves!$AF$8:$AF$68,BL$4-$B138+1)</f>
        <v/>
      </c>
    </row>
    <row r="139">
      <c r="A139" s="147" t="inlineStr">
        <is>
          <t>Cohort month 4</t>
        </is>
      </c>
      <c r="B139" s="147" t="n">
        <v>4</v>
      </c>
      <c r="C139" s="41">
        <f>INDEX(Ops!$E$60:$BL$60,1,$B139)</f>
        <v/>
      </c>
      <c r="I139" s="153">
        <f>$C139*INDEX(Curves!$AF$8:$AF$68,I$4-$B139+1)</f>
        <v/>
      </c>
      <c r="J139" s="153">
        <f>$C139*INDEX(Curves!$AF$8:$AF$68,J$4-$B139+1)</f>
        <v/>
      </c>
      <c r="K139" s="153">
        <f>$C139*INDEX(Curves!$AF$8:$AF$68,K$4-$B139+1)</f>
        <v/>
      </c>
      <c r="L139" s="153">
        <f>$C139*INDEX(Curves!$AF$8:$AF$68,L$4-$B139+1)</f>
        <v/>
      </c>
      <c r="M139" s="153">
        <f>$C139*INDEX(Curves!$AF$8:$AF$68,M$4-$B139+1)</f>
        <v/>
      </c>
      <c r="N139" s="153">
        <f>$C139*INDEX(Curves!$AF$8:$AF$68,N$4-$B139+1)</f>
        <v/>
      </c>
      <c r="O139" s="153">
        <f>$C139*INDEX(Curves!$AF$8:$AF$68,O$4-$B139+1)</f>
        <v/>
      </c>
      <c r="P139" s="153">
        <f>$C139*INDEX(Curves!$AF$8:$AF$68,P$4-$B139+1)</f>
        <v/>
      </c>
      <c r="Q139" s="153">
        <f>$C139*INDEX(Curves!$AF$8:$AF$68,Q$4-$B139+1)</f>
        <v/>
      </c>
      <c r="R139" s="153">
        <f>$C139*INDEX(Curves!$AF$8:$AF$68,R$4-$B139+1)</f>
        <v/>
      </c>
      <c r="S139" s="153">
        <f>$C139*INDEX(Curves!$AF$8:$AF$68,S$4-$B139+1)</f>
        <v/>
      </c>
      <c r="T139" s="153">
        <f>$C139*INDEX(Curves!$AF$8:$AF$68,T$4-$B139+1)</f>
        <v/>
      </c>
      <c r="U139" s="153">
        <f>$C139*INDEX(Curves!$AF$8:$AF$68,U$4-$B139+1)</f>
        <v/>
      </c>
      <c r="V139" s="153">
        <f>$C139*INDEX(Curves!$AF$8:$AF$68,V$4-$B139+1)</f>
        <v/>
      </c>
      <c r="W139" s="153">
        <f>$C139*INDEX(Curves!$AF$8:$AF$68,W$4-$B139+1)</f>
        <v/>
      </c>
      <c r="X139" s="153">
        <f>$C139*INDEX(Curves!$AF$8:$AF$68,X$4-$B139+1)</f>
        <v/>
      </c>
      <c r="Y139" s="153">
        <f>$C139*INDEX(Curves!$AF$8:$AF$68,Y$4-$B139+1)</f>
        <v/>
      </c>
      <c r="Z139" s="153">
        <f>$C139*INDEX(Curves!$AF$8:$AF$68,Z$4-$B139+1)</f>
        <v/>
      </c>
      <c r="AA139" s="153">
        <f>$C139*INDEX(Curves!$AF$8:$AF$68,AA$4-$B139+1)</f>
        <v/>
      </c>
      <c r="AB139" s="153">
        <f>$C139*INDEX(Curves!$AF$8:$AF$68,AB$4-$B139+1)</f>
        <v/>
      </c>
      <c r="AC139" s="153">
        <f>$C139*INDEX(Curves!$AF$8:$AF$68,AC$4-$B139+1)</f>
        <v/>
      </c>
      <c r="AD139" s="153">
        <f>$C139*INDEX(Curves!$AF$8:$AF$68,AD$4-$B139+1)</f>
        <v/>
      </c>
      <c r="AE139" s="153">
        <f>$C139*INDEX(Curves!$AF$8:$AF$68,AE$4-$B139+1)</f>
        <v/>
      </c>
      <c r="AF139" s="153">
        <f>$C139*INDEX(Curves!$AF$8:$AF$68,AF$4-$B139+1)</f>
        <v/>
      </c>
      <c r="AG139" s="153">
        <f>$C139*INDEX(Curves!$AF$8:$AF$68,AG$4-$B139+1)</f>
        <v/>
      </c>
      <c r="AH139" s="153">
        <f>$C139*INDEX(Curves!$AF$8:$AF$68,AH$4-$B139+1)</f>
        <v/>
      </c>
      <c r="AI139" s="153">
        <f>$C139*INDEX(Curves!$AF$8:$AF$68,AI$4-$B139+1)</f>
        <v/>
      </c>
      <c r="AJ139" s="153">
        <f>$C139*INDEX(Curves!$AF$8:$AF$68,AJ$4-$B139+1)</f>
        <v/>
      </c>
      <c r="AK139" s="153">
        <f>$C139*INDEX(Curves!$AF$8:$AF$68,AK$4-$B139+1)</f>
        <v/>
      </c>
      <c r="AL139" s="153">
        <f>$C139*INDEX(Curves!$AF$8:$AF$68,AL$4-$B139+1)</f>
        <v/>
      </c>
      <c r="AM139" s="153">
        <f>$C139*INDEX(Curves!$AF$8:$AF$68,AM$4-$B139+1)</f>
        <v/>
      </c>
      <c r="AN139" s="153">
        <f>$C139*INDEX(Curves!$AF$8:$AF$68,AN$4-$B139+1)</f>
        <v/>
      </c>
      <c r="AO139" s="153">
        <f>$C139*INDEX(Curves!$AF$8:$AF$68,AO$4-$B139+1)</f>
        <v/>
      </c>
      <c r="AP139" s="153">
        <f>$C139*INDEX(Curves!$AF$8:$AF$68,AP$4-$B139+1)</f>
        <v/>
      </c>
      <c r="AQ139" s="153">
        <f>$C139*INDEX(Curves!$AF$8:$AF$68,AQ$4-$B139+1)</f>
        <v/>
      </c>
      <c r="AR139" s="153">
        <f>$C139*INDEX(Curves!$AF$8:$AF$68,AR$4-$B139+1)</f>
        <v/>
      </c>
      <c r="AS139" s="153">
        <f>$C139*INDEX(Curves!$AF$8:$AF$68,AS$4-$B139+1)</f>
        <v/>
      </c>
      <c r="AT139" s="153">
        <f>$C139*INDEX(Curves!$AF$8:$AF$68,AT$4-$B139+1)</f>
        <v/>
      </c>
      <c r="AU139" s="153">
        <f>$C139*INDEX(Curves!$AF$8:$AF$68,AU$4-$B139+1)</f>
        <v/>
      </c>
      <c r="AV139" s="153">
        <f>$C139*INDEX(Curves!$AF$8:$AF$68,AV$4-$B139+1)</f>
        <v/>
      </c>
      <c r="AW139" s="153">
        <f>$C139*INDEX(Curves!$AF$8:$AF$68,AW$4-$B139+1)</f>
        <v/>
      </c>
      <c r="AX139" s="153">
        <f>$C139*INDEX(Curves!$AF$8:$AF$68,AX$4-$B139+1)</f>
        <v/>
      </c>
      <c r="AY139" s="153">
        <f>$C139*INDEX(Curves!$AF$8:$AF$68,AY$4-$B139+1)</f>
        <v/>
      </c>
      <c r="AZ139" s="153">
        <f>$C139*INDEX(Curves!$AF$8:$AF$68,AZ$4-$B139+1)</f>
        <v/>
      </c>
      <c r="BA139" s="153">
        <f>$C139*INDEX(Curves!$AF$8:$AF$68,BA$4-$B139+1)</f>
        <v/>
      </c>
      <c r="BB139" s="153">
        <f>$C139*INDEX(Curves!$AF$8:$AF$68,BB$4-$B139+1)</f>
        <v/>
      </c>
      <c r="BC139" s="153">
        <f>$C139*INDEX(Curves!$AF$8:$AF$68,BC$4-$B139+1)</f>
        <v/>
      </c>
      <c r="BD139" s="153">
        <f>$C139*INDEX(Curves!$AF$8:$AF$68,BD$4-$B139+1)</f>
        <v/>
      </c>
      <c r="BE139" s="153">
        <f>$C139*INDEX(Curves!$AF$8:$AF$68,BE$4-$B139+1)</f>
        <v/>
      </c>
      <c r="BF139" s="153">
        <f>$C139*INDEX(Curves!$AF$8:$AF$68,BF$4-$B139+1)</f>
        <v/>
      </c>
      <c r="BG139" s="153">
        <f>$C139*INDEX(Curves!$AF$8:$AF$68,BG$4-$B139+1)</f>
        <v/>
      </c>
      <c r="BH139" s="153">
        <f>$C139*INDEX(Curves!$AF$8:$AF$68,BH$4-$B139+1)</f>
        <v/>
      </c>
      <c r="BI139" s="153">
        <f>$C139*INDEX(Curves!$AF$8:$AF$68,BI$4-$B139+1)</f>
        <v/>
      </c>
      <c r="BJ139" s="153">
        <f>$C139*INDEX(Curves!$AF$8:$AF$68,BJ$4-$B139+1)</f>
        <v/>
      </c>
      <c r="BK139" s="153">
        <f>$C139*INDEX(Curves!$AF$8:$AF$68,BK$4-$B139+1)</f>
        <v/>
      </c>
      <c r="BL139" s="153">
        <f>$C139*INDEX(Curves!$AF$8:$AF$68,BL$4-$B139+1)</f>
        <v/>
      </c>
    </row>
    <row r="140">
      <c r="A140" s="147" t="inlineStr">
        <is>
          <t>Cohort month 5</t>
        </is>
      </c>
      <c r="B140" s="147" t="n">
        <v>5</v>
      </c>
      <c r="C140" s="41">
        <f>INDEX(Ops!$E$60:$BL$60,1,$B140)</f>
        <v/>
      </c>
      <c r="J140" s="153">
        <f>$C140*INDEX(Curves!$AF$8:$AF$68,J$4-$B140+1)</f>
        <v/>
      </c>
      <c r="K140" s="153">
        <f>$C140*INDEX(Curves!$AF$8:$AF$68,K$4-$B140+1)</f>
        <v/>
      </c>
      <c r="L140" s="153">
        <f>$C140*INDEX(Curves!$AF$8:$AF$68,L$4-$B140+1)</f>
        <v/>
      </c>
      <c r="M140" s="153">
        <f>$C140*INDEX(Curves!$AF$8:$AF$68,M$4-$B140+1)</f>
        <v/>
      </c>
      <c r="N140" s="153">
        <f>$C140*INDEX(Curves!$AF$8:$AF$68,N$4-$B140+1)</f>
        <v/>
      </c>
      <c r="O140" s="153">
        <f>$C140*INDEX(Curves!$AF$8:$AF$68,O$4-$B140+1)</f>
        <v/>
      </c>
      <c r="P140" s="153">
        <f>$C140*INDEX(Curves!$AF$8:$AF$68,P$4-$B140+1)</f>
        <v/>
      </c>
      <c r="Q140" s="153">
        <f>$C140*INDEX(Curves!$AF$8:$AF$68,Q$4-$B140+1)</f>
        <v/>
      </c>
      <c r="R140" s="153">
        <f>$C140*INDEX(Curves!$AF$8:$AF$68,R$4-$B140+1)</f>
        <v/>
      </c>
      <c r="S140" s="153">
        <f>$C140*INDEX(Curves!$AF$8:$AF$68,S$4-$B140+1)</f>
        <v/>
      </c>
      <c r="T140" s="153">
        <f>$C140*INDEX(Curves!$AF$8:$AF$68,T$4-$B140+1)</f>
        <v/>
      </c>
      <c r="U140" s="153">
        <f>$C140*INDEX(Curves!$AF$8:$AF$68,U$4-$B140+1)</f>
        <v/>
      </c>
      <c r="V140" s="153">
        <f>$C140*INDEX(Curves!$AF$8:$AF$68,V$4-$B140+1)</f>
        <v/>
      </c>
      <c r="W140" s="153">
        <f>$C140*INDEX(Curves!$AF$8:$AF$68,W$4-$B140+1)</f>
        <v/>
      </c>
      <c r="X140" s="153">
        <f>$C140*INDEX(Curves!$AF$8:$AF$68,X$4-$B140+1)</f>
        <v/>
      </c>
      <c r="Y140" s="153">
        <f>$C140*INDEX(Curves!$AF$8:$AF$68,Y$4-$B140+1)</f>
        <v/>
      </c>
      <c r="Z140" s="153">
        <f>$C140*INDEX(Curves!$AF$8:$AF$68,Z$4-$B140+1)</f>
        <v/>
      </c>
      <c r="AA140" s="153">
        <f>$C140*INDEX(Curves!$AF$8:$AF$68,AA$4-$B140+1)</f>
        <v/>
      </c>
      <c r="AB140" s="153">
        <f>$C140*INDEX(Curves!$AF$8:$AF$68,AB$4-$B140+1)</f>
        <v/>
      </c>
      <c r="AC140" s="153">
        <f>$C140*INDEX(Curves!$AF$8:$AF$68,AC$4-$B140+1)</f>
        <v/>
      </c>
      <c r="AD140" s="153">
        <f>$C140*INDEX(Curves!$AF$8:$AF$68,AD$4-$B140+1)</f>
        <v/>
      </c>
      <c r="AE140" s="153">
        <f>$C140*INDEX(Curves!$AF$8:$AF$68,AE$4-$B140+1)</f>
        <v/>
      </c>
      <c r="AF140" s="153">
        <f>$C140*INDEX(Curves!$AF$8:$AF$68,AF$4-$B140+1)</f>
        <v/>
      </c>
      <c r="AG140" s="153">
        <f>$C140*INDEX(Curves!$AF$8:$AF$68,AG$4-$B140+1)</f>
        <v/>
      </c>
      <c r="AH140" s="153">
        <f>$C140*INDEX(Curves!$AF$8:$AF$68,AH$4-$B140+1)</f>
        <v/>
      </c>
      <c r="AI140" s="153">
        <f>$C140*INDEX(Curves!$AF$8:$AF$68,AI$4-$B140+1)</f>
        <v/>
      </c>
      <c r="AJ140" s="153">
        <f>$C140*INDEX(Curves!$AF$8:$AF$68,AJ$4-$B140+1)</f>
        <v/>
      </c>
      <c r="AK140" s="153">
        <f>$C140*INDEX(Curves!$AF$8:$AF$68,AK$4-$B140+1)</f>
        <v/>
      </c>
      <c r="AL140" s="153">
        <f>$C140*INDEX(Curves!$AF$8:$AF$68,AL$4-$B140+1)</f>
        <v/>
      </c>
      <c r="AM140" s="153">
        <f>$C140*INDEX(Curves!$AF$8:$AF$68,AM$4-$B140+1)</f>
        <v/>
      </c>
      <c r="AN140" s="153">
        <f>$C140*INDEX(Curves!$AF$8:$AF$68,AN$4-$B140+1)</f>
        <v/>
      </c>
      <c r="AO140" s="153">
        <f>$C140*INDEX(Curves!$AF$8:$AF$68,AO$4-$B140+1)</f>
        <v/>
      </c>
      <c r="AP140" s="153">
        <f>$C140*INDEX(Curves!$AF$8:$AF$68,AP$4-$B140+1)</f>
        <v/>
      </c>
      <c r="AQ140" s="153">
        <f>$C140*INDEX(Curves!$AF$8:$AF$68,AQ$4-$B140+1)</f>
        <v/>
      </c>
      <c r="AR140" s="153">
        <f>$C140*INDEX(Curves!$AF$8:$AF$68,AR$4-$B140+1)</f>
        <v/>
      </c>
      <c r="AS140" s="153">
        <f>$C140*INDEX(Curves!$AF$8:$AF$68,AS$4-$B140+1)</f>
        <v/>
      </c>
      <c r="AT140" s="153">
        <f>$C140*INDEX(Curves!$AF$8:$AF$68,AT$4-$B140+1)</f>
        <v/>
      </c>
      <c r="AU140" s="153">
        <f>$C140*INDEX(Curves!$AF$8:$AF$68,AU$4-$B140+1)</f>
        <v/>
      </c>
      <c r="AV140" s="153">
        <f>$C140*INDEX(Curves!$AF$8:$AF$68,AV$4-$B140+1)</f>
        <v/>
      </c>
      <c r="AW140" s="153">
        <f>$C140*INDEX(Curves!$AF$8:$AF$68,AW$4-$B140+1)</f>
        <v/>
      </c>
      <c r="AX140" s="153">
        <f>$C140*INDEX(Curves!$AF$8:$AF$68,AX$4-$B140+1)</f>
        <v/>
      </c>
      <c r="AY140" s="153">
        <f>$C140*INDEX(Curves!$AF$8:$AF$68,AY$4-$B140+1)</f>
        <v/>
      </c>
      <c r="AZ140" s="153">
        <f>$C140*INDEX(Curves!$AF$8:$AF$68,AZ$4-$B140+1)</f>
        <v/>
      </c>
      <c r="BA140" s="153">
        <f>$C140*INDEX(Curves!$AF$8:$AF$68,BA$4-$B140+1)</f>
        <v/>
      </c>
      <c r="BB140" s="153">
        <f>$C140*INDEX(Curves!$AF$8:$AF$68,BB$4-$B140+1)</f>
        <v/>
      </c>
      <c r="BC140" s="153">
        <f>$C140*INDEX(Curves!$AF$8:$AF$68,BC$4-$B140+1)</f>
        <v/>
      </c>
      <c r="BD140" s="153">
        <f>$C140*INDEX(Curves!$AF$8:$AF$68,BD$4-$B140+1)</f>
        <v/>
      </c>
      <c r="BE140" s="153">
        <f>$C140*INDEX(Curves!$AF$8:$AF$68,BE$4-$B140+1)</f>
        <v/>
      </c>
      <c r="BF140" s="153">
        <f>$C140*INDEX(Curves!$AF$8:$AF$68,BF$4-$B140+1)</f>
        <v/>
      </c>
      <c r="BG140" s="153">
        <f>$C140*INDEX(Curves!$AF$8:$AF$68,BG$4-$B140+1)</f>
        <v/>
      </c>
      <c r="BH140" s="153">
        <f>$C140*INDEX(Curves!$AF$8:$AF$68,BH$4-$B140+1)</f>
        <v/>
      </c>
      <c r="BI140" s="153">
        <f>$C140*INDEX(Curves!$AF$8:$AF$68,BI$4-$B140+1)</f>
        <v/>
      </c>
      <c r="BJ140" s="153">
        <f>$C140*INDEX(Curves!$AF$8:$AF$68,BJ$4-$B140+1)</f>
        <v/>
      </c>
      <c r="BK140" s="153">
        <f>$C140*INDEX(Curves!$AF$8:$AF$68,BK$4-$B140+1)</f>
        <v/>
      </c>
      <c r="BL140" s="153">
        <f>$C140*INDEX(Curves!$AF$8:$AF$68,BL$4-$B140+1)</f>
        <v/>
      </c>
    </row>
    <row r="141">
      <c r="A141" s="147" t="inlineStr">
        <is>
          <t>Cohort month 6</t>
        </is>
      </c>
      <c r="B141" s="147" t="n">
        <v>6</v>
      </c>
      <c r="C141" s="41">
        <f>INDEX(Ops!$E$60:$BL$60,1,$B141)</f>
        <v/>
      </c>
      <c r="K141" s="153">
        <f>$C141*INDEX(Curves!$AF$8:$AF$68,K$4-$B141+1)</f>
        <v/>
      </c>
      <c r="L141" s="153">
        <f>$C141*INDEX(Curves!$AF$8:$AF$68,L$4-$B141+1)</f>
        <v/>
      </c>
      <c r="M141" s="153">
        <f>$C141*INDEX(Curves!$AF$8:$AF$68,M$4-$B141+1)</f>
        <v/>
      </c>
      <c r="N141" s="153">
        <f>$C141*INDEX(Curves!$AF$8:$AF$68,N$4-$B141+1)</f>
        <v/>
      </c>
      <c r="O141" s="153">
        <f>$C141*INDEX(Curves!$AF$8:$AF$68,O$4-$B141+1)</f>
        <v/>
      </c>
      <c r="P141" s="153">
        <f>$C141*INDEX(Curves!$AF$8:$AF$68,P$4-$B141+1)</f>
        <v/>
      </c>
      <c r="Q141" s="153">
        <f>$C141*INDEX(Curves!$AF$8:$AF$68,Q$4-$B141+1)</f>
        <v/>
      </c>
      <c r="R141" s="153">
        <f>$C141*INDEX(Curves!$AF$8:$AF$68,R$4-$B141+1)</f>
        <v/>
      </c>
      <c r="S141" s="153">
        <f>$C141*INDEX(Curves!$AF$8:$AF$68,S$4-$B141+1)</f>
        <v/>
      </c>
      <c r="T141" s="153">
        <f>$C141*INDEX(Curves!$AF$8:$AF$68,T$4-$B141+1)</f>
        <v/>
      </c>
      <c r="U141" s="153">
        <f>$C141*INDEX(Curves!$AF$8:$AF$68,U$4-$B141+1)</f>
        <v/>
      </c>
      <c r="V141" s="153">
        <f>$C141*INDEX(Curves!$AF$8:$AF$68,V$4-$B141+1)</f>
        <v/>
      </c>
      <c r="W141" s="153">
        <f>$C141*INDEX(Curves!$AF$8:$AF$68,W$4-$B141+1)</f>
        <v/>
      </c>
      <c r="X141" s="153">
        <f>$C141*INDEX(Curves!$AF$8:$AF$68,X$4-$B141+1)</f>
        <v/>
      </c>
      <c r="Y141" s="153">
        <f>$C141*INDEX(Curves!$AF$8:$AF$68,Y$4-$B141+1)</f>
        <v/>
      </c>
      <c r="Z141" s="153">
        <f>$C141*INDEX(Curves!$AF$8:$AF$68,Z$4-$B141+1)</f>
        <v/>
      </c>
      <c r="AA141" s="153">
        <f>$C141*INDEX(Curves!$AF$8:$AF$68,AA$4-$B141+1)</f>
        <v/>
      </c>
      <c r="AB141" s="153">
        <f>$C141*INDEX(Curves!$AF$8:$AF$68,AB$4-$B141+1)</f>
        <v/>
      </c>
      <c r="AC141" s="153">
        <f>$C141*INDEX(Curves!$AF$8:$AF$68,AC$4-$B141+1)</f>
        <v/>
      </c>
      <c r="AD141" s="153">
        <f>$C141*INDEX(Curves!$AF$8:$AF$68,AD$4-$B141+1)</f>
        <v/>
      </c>
      <c r="AE141" s="153">
        <f>$C141*INDEX(Curves!$AF$8:$AF$68,AE$4-$B141+1)</f>
        <v/>
      </c>
      <c r="AF141" s="153">
        <f>$C141*INDEX(Curves!$AF$8:$AF$68,AF$4-$B141+1)</f>
        <v/>
      </c>
      <c r="AG141" s="153">
        <f>$C141*INDEX(Curves!$AF$8:$AF$68,AG$4-$B141+1)</f>
        <v/>
      </c>
      <c r="AH141" s="153">
        <f>$C141*INDEX(Curves!$AF$8:$AF$68,AH$4-$B141+1)</f>
        <v/>
      </c>
      <c r="AI141" s="153">
        <f>$C141*INDEX(Curves!$AF$8:$AF$68,AI$4-$B141+1)</f>
        <v/>
      </c>
      <c r="AJ141" s="153">
        <f>$C141*INDEX(Curves!$AF$8:$AF$68,AJ$4-$B141+1)</f>
        <v/>
      </c>
      <c r="AK141" s="153">
        <f>$C141*INDEX(Curves!$AF$8:$AF$68,AK$4-$B141+1)</f>
        <v/>
      </c>
      <c r="AL141" s="153">
        <f>$C141*INDEX(Curves!$AF$8:$AF$68,AL$4-$B141+1)</f>
        <v/>
      </c>
      <c r="AM141" s="153">
        <f>$C141*INDEX(Curves!$AF$8:$AF$68,AM$4-$B141+1)</f>
        <v/>
      </c>
      <c r="AN141" s="153">
        <f>$C141*INDEX(Curves!$AF$8:$AF$68,AN$4-$B141+1)</f>
        <v/>
      </c>
      <c r="AO141" s="153">
        <f>$C141*INDEX(Curves!$AF$8:$AF$68,AO$4-$B141+1)</f>
        <v/>
      </c>
      <c r="AP141" s="153">
        <f>$C141*INDEX(Curves!$AF$8:$AF$68,AP$4-$B141+1)</f>
        <v/>
      </c>
      <c r="AQ141" s="153">
        <f>$C141*INDEX(Curves!$AF$8:$AF$68,AQ$4-$B141+1)</f>
        <v/>
      </c>
      <c r="AR141" s="153">
        <f>$C141*INDEX(Curves!$AF$8:$AF$68,AR$4-$B141+1)</f>
        <v/>
      </c>
      <c r="AS141" s="153">
        <f>$C141*INDEX(Curves!$AF$8:$AF$68,AS$4-$B141+1)</f>
        <v/>
      </c>
      <c r="AT141" s="153">
        <f>$C141*INDEX(Curves!$AF$8:$AF$68,AT$4-$B141+1)</f>
        <v/>
      </c>
      <c r="AU141" s="153">
        <f>$C141*INDEX(Curves!$AF$8:$AF$68,AU$4-$B141+1)</f>
        <v/>
      </c>
      <c r="AV141" s="153">
        <f>$C141*INDEX(Curves!$AF$8:$AF$68,AV$4-$B141+1)</f>
        <v/>
      </c>
      <c r="AW141" s="153">
        <f>$C141*INDEX(Curves!$AF$8:$AF$68,AW$4-$B141+1)</f>
        <v/>
      </c>
      <c r="AX141" s="153">
        <f>$C141*INDEX(Curves!$AF$8:$AF$68,AX$4-$B141+1)</f>
        <v/>
      </c>
      <c r="AY141" s="153">
        <f>$C141*INDEX(Curves!$AF$8:$AF$68,AY$4-$B141+1)</f>
        <v/>
      </c>
      <c r="AZ141" s="153">
        <f>$C141*INDEX(Curves!$AF$8:$AF$68,AZ$4-$B141+1)</f>
        <v/>
      </c>
      <c r="BA141" s="153">
        <f>$C141*INDEX(Curves!$AF$8:$AF$68,BA$4-$B141+1)</f>
        <v/>
      </c>
      <c r="BB141" s="153">
        <f>$C141*INDEX(Curves!$AF$8:$AF$68,BB$4-$B141+1)</f>
        <v/>
      </c>
      <c r="BC141" s="153">
        <f>$C141*INDEX(Curves!$AF$8:$AF$68,BC$4-$B141+1)</f>
        <v/>
      </c>
      <c r="BD141" s="153">
        <f>$C141*INDEX(Curves!$AF$8:$AF$68,BD$4-$B141+1)</f>
        <v/>
      </c>
      <c r="BE141" s="153">
        <f>$C141*INDEX(Curves!$AF$8:$AF$68,BE$4-$B141+1)</f>
        <v/>
      </c>
      <c r="BF141" s="153">
        <f>$C141*INDEX(Curves!$AF$8:$AF$68,BF$4-$B141+1)</f>
        <v/>
      </c>
      <c r="BG141" s="153">
        <f>$C141*INDEX(Curves!$AF$8:$AF$68,BG$4-$B141+1)</f>
        <v/>
      </c>
      <c r="BH141" s="153">
        <f>$C141*INDEX(Curves!$AF$8:$AF$68,BH$4-$B141+1)</f>
        <v/>
      </c>
      <c r="BI141" s="153">
        <f>$C141*INDEX(Curves!$AF$8:$AF$68,BI$4-$B141+1)</f>
        <v/>
      </c>
      <c r="BJ141" s="153">
        <f>$C141*INDEX(Curves!$AF$8:$AF$68,BJ$4-$B141+1)</f>
        <v/>
      </c>
      <c r="BK141" s="153">
        <f>$C141*INDEX(Curves!$AF$8:$AF$68,BK$4-$B141+1)</f>
        <v/>
      </c>
      <c r="BL141" s="153">
        <f>$C141*INDEX(Curves!$AF$8:$AF$68,BL$4-$B141+1)</f>
        <v/>
      </c>
    </row>
    <row r="142">
      <c r="A142" s="147" t="inlineStr">
        <is>
          <t>Cohort month 7</t>
        </is>
      </c>
      <c r="B142" s="147" t="n">
        <v>7</v>
      </c>
      <c r="C142" s="41">
        <f>INDEX(Ops!$E$60:$BL$60,1,$B142)</f>
        <v/>
      </c>
      <c r="L142" s="153">
        <f>$C142*INDEX(Curves!$AF$8:$AF$68,L$4-$B142+1)</f>
        <v/>
      </c>
      <c r="M142" s="153">
        <f>$C142*INDEX(Curves!$AF$8:$AF$68,M$4-$B142+1)</f>
        <v/>
      </c>
      <c r="N142" s="153">
        <f>$C142*INDEX(Curves!$AF$8:$AF$68,N$4-$B142+1)</f>
        <v/>
      </c>
      <c r="O142" s="153">
        <f>$C142*INDEX(Curves!$AF$8:$AF$68,O$4-$B142+1)</f>
        <v/>
      </c>
      <c r="P142" s="153">
        <f>$C142*INDEX(Curves!$AF$8:$AF$68,P$4-$B142+1)</f>
        <v/>
      </c>
      <c r="Q142" s="153">
        <f>$C142*INDEX(Curves!$AF$8:$AF$68,Q$4-$B142+1)</f>
        <v/>
      </c>
      <c r="R142" s="153">
        <f>$C142*INDEX(Curves!$AF$8:$AF$68,R$4-$B142+1)</f>
        <v/>
      </c>
      <c r="S142" s="153">
        <f>$C142*INDEX(Curves!$AF$8:$AF$68,S$4-$B142+1)</f>
        <v/>
      </c>
      <c r="T142" s="153">
        <f>$C142*INDEX(Curves!$AF$8:$AF$68,T$4-$B142+1)</f>
        <v/>
      </c>
      <c r="U142" s="153">
        <f>$C142*INDEX(Curves!$AF$8:$AF$68,U$4-$B142+1)</f>
        <v/>
      </c>
      <c r="V142" s="153">
        <f>$C142*INDEX(Curves!$AF$8:$AF$68,V$4-$B142+1)</f>
        <v/>
      </c>
      <c r="W142" s="153">
        <f>$C142*INDEX(Curves!$AF$8:$AF$68,W$4-$B142+1)</f>
        <v/>
      </c>
      <c r="X142" s="153">
        <f>$C142*INDEX(Curves!$AF$8:$AF$68,X$4-$B142+1)</f>
        <v/>
      </c>
      <c r="Y142" s="153">
        <f>$C142*INDEX(Curves!$AF$8:$AF$68,Y$4-$B142+1)</f>
        <v/>
      </c>
      <c r="Z142" s="153">
        <f>$C142*INDEX(Curves!$AF$8:$AF$68,Z$4-$B142+1)</f>
        <v/>
      </c>
      <c r="AA142" s="153">
        <f>$C142*INDEX(Curves!$AF$8:$AF$68,AA$4-$B142+1)</f>
        <v/>
      </c>
      <c r="AB142" s="153">
        <f>$C142*INDEX(Curves!$AF$8:$AF$68,AB$4-$B142+1)</f>
        <v/>
      </c>
      <c r="AC142" s="153">
        <f>$C142*INDEX(Curves!$AF$8:$AF$68,AC$4-$B142+1)</f>
        <v/>
      </c>
      <c r="AD142" s="153">
        <f>$C142*INDEX(Curves!$AF$8:$AF$68,AD$4-$B142+1)</f>
        <v/>
      </c>
      <c r="AE142" s="153">
        <f>$C142*INDEX(Curves!$AF$8:$AF$68,AE$4-$B142+1)</f>
        <v/>
      </c>
      <c r="AF142" s="153">
        <f>$C142*INDEX(Curves!$AF$8:$AF$68,AF$4-$B142+1)</f>
        <v/>
      </c>
      <c r="AG142" s="153">
        <f>$C142*INDEX(Curves!$AF$8:$AF$68,AG$4-$B142+1)</f>
        <v/>
      </c>
      <c r="AH142" s="153">
        <f>$C142*INDEX(Curves!$AF$8:$AF$68,AH$4-$B142+1)</f>
        <v/>
      </c>
      <c r="AI142" s="153">
        <f>$C142*INDEX(Curves!$AF$8:$AF$68,AI$4-$B142+1)</f>
        <v/>
      </c>
      <c r="AJ142" s="153">
        <f>$C142*INDEX(Curves!$AF$8:$AF$68,AJ$4-$B142+1)</f>
        <v/>
      </c>
      <c r="AK142" s="153">
        <f>$C142*INDEX(Curves!$AF$8:$AF$68,AK$4-$B142+1)</f>
        <v/>
      </c>
      <c r="AL142" s="153">
        <f>$C142*INDEX(Curves!$AF$8:$AF$68,AL$4-$B142+1)</f>
        <v/>
      </c>
      <c r="AM142" s="153">
        <f>$C142*INDEX(Curves!$AF$8:$AF$68,AM$4-$B142+1)</f>
        <v/>
      </c>
      <c r="AN142" s="153">
        <f>$C142*INDEX(Curves!$AF$8:$AF$68,AN$4-$B142+1)</f>
        <v/>
      </c>
      <c r="AO142" s="153">
        <f>$C142*INDEX(Curves!$AF$8:$AF$68,AO$4-$B142+1)</f>
        <v/>
      </c>
      <c r="AP142" s="153">
        <f>$C142*INDEX(Curves!$AF$8:$AF$68,AP$4-$B142+1)</f>
        <v/>
      </c>
      <c r="AQ142" s="153">
        <f>$C142*INDEX(Curves!$AF$8:$AF$68,AQ$4-$B142+1)</f>
        <v/>
      </c>
      <c r="AR142" s="153">
        <f>$C142*INDEX(Curves!$AF$8:$AF$68,AR$4-$B142+1)</f>
        <v/>
      </c>
      <c r="AS142" s="153">
        <f>$C142*INDEX(Curves!$AF$8:$AF$68,AS$4-$B142+1)</f>
        <v/>
      </c>
      <c r="AT142" s="153">
        <f>$C142*INDEX(Curves!$AF$8:$AF$68,AT$4-$B142+1)</f>
        <v/>
      </c>
      <c r="AU142" s="153">
        <f>$C142*INDEX(Curves!$AF$8:$AF$68,AU$4-$B142+1)</f>
        <v/>
      </c>
      <c r="AV142" s="153">
        <f>$C142*INDEX(Curves!$AF$8:$AF$68,AV$4-$B142+1)</f>
        <v/>
      </c>
      <c r="AW142" s="153">
        <f>$C142*INDEX(Curves!$AF$8:$AF$68,AW$4-$B142+1)</f>
        <v/>
      </c>
      <c r="AX142" s="153">
        <f>$C142*INDEX(Curves!$AF$8:$AF$68,AX$4-$B142+1)</f>
        <v/>
      </c>
      <c r="AY142" s="153">
        <f>$C142*INDEX(Curves!$AF$8:$AF$68,AY$4-$B142+1)</f>
        <v/>
      </c>
      <c r="AZ142" s="153">
        <f>$C142*INDEX(Curves!$AF$8:$AF$68,AZ$4-$B142+1)</f>
        <v/>
      </c>
      <c r="BA142" s="153">
        <f>$C142*INDEX(Curves!$AF$8:$AF$68,BA$4-$B142+1)</f>
        <v/>
      </c>
      <c r="BB142" s="153">
        <f>$C142*INDEX(Curves!$AF$8:$AF$68,BB$4-$B142+1)</f>
        <v/>
      </c>
      <c r="BC142" s="153">
        <f>$C142*INDEX(Curves!$AF$8:$AF$68,BC$4-$B142+1)</f>
        <v/>
      </c>
      <c r="BD142" s="153">
        <f>$C142*INDEX(Curves!$AF$8:$AF$68,BD$4-$B142+1)</f>
        <v/>
      </c>
      <c r="BE142" s="153">
        <f>$C142*INDEX(Curves!$AF$8:$AF$68,BE$4-$B142+1)</f>
        <v/>
      </c>
      <c r="BF142" s="153">
        <f>$C142*INDEX(Curves!$AF$8:$AF$68,BF$4-$B142+1)</f>
        <v/>
      </c>
      <c r="BG142" s="153">
        <f>$C142*INDEX(Curves!$AF$8:$AF$68,BG$4-$B142+1)</f>
        <v/>
      </c>
      <c r="BH142" s="153">
        <f>$C142*INDEX(Curves!$AF$8:$AF$68,BH$4-$B142+1)</f>
        <v/>
      </c>
      <c r="BI142" s="153">
        <f>$C142*INDEX(Curves!$AF$8:$AF$68,BI$4-$B142+1)</f>
        <v/>
      </c>
      <c r="BJ142" s="153">
        <f>$C142*INDEX(Curves!$AF$8:$AF$68,BJ$4-$B142+1)</f>
        <v/>
      </c>
      <c r="BK142" s="153">
        <f>$C142*INDEX(Curves!$AF$8:$AF$68,BK$4-$B142+1)</f>
        <v/>
      </c>
      <c r="BL142" s="153">
        <f>$C142*INDEX(Curves!$AF$8:$AF$68,BL$4-$B142+1)</f>
        <v/>
      </c>
    </row>
    <row r="143">
      <c r="A143" s="147" t="inlineStr">
        <is>
          <t>Cohort month 8</t>
        </is>
      </c>
      <c r="B143" s="147" t="n">
        <v>8</v>
      </c>
      <c r="C143" s="41">
        <f>INDEX(Ops!$E$60:$BL$60,1,$B143)</f>
        <v/>
      </c>
      <c r="M143" s="153">
        <f>$C143*INDEX(Curves!$AF$8:$AF$68,M$4-$B143+1)</f>
        <v/>
      </c>
      <c r="N143" s="153">
        <f>$C143*INDEX(Curves!$AF$8:$AF$68,N$4-$B143+1)</f>
        <v/>
      </c>
      <c r="O143" s="153">
        <f>$C143*INDEX(Curves!$AF$8:$AF$68,O$4-$B143+1)</f>
        <v/>
      </c>
      <c r="P143" s="153">
        <f>$C143*INDEX(Curves!$AF$8:$AF$68,P$4-$B143+1)</f>
        <v/>
      </c>
      <c r="Q143" s="153">
        <f>$C143*INDEX(Curves!$AF$8:$AF$68,Q$4-$B143+1)</f>
        <v/>
      </c>
      <c r="R143" s="153">
        <f>$C143*INDEX(Curves!$AF$8:$AF$68,R$4-$B143+1)</f>
        <v/>
      </c>
      <c r="S143" s="153">
        <f>$C143*INDEX(Curves!$AF$8:$AF$68,S$4-$B143+1)</f>
        <v/>
      </c>
      <c r="T143" s="153">
        <f>$C143*INDEX(Curves!$AF$8:$AF$68,T$4-$B143+1)</f>
        <v/>
      </c>
      <c r="U143" s="153">
        <f>$C143*INDEX(Curves!$AF$8:$AF$68,U$4-$B143+1)</f>
        <v/>
      </c>
      <c r="V143" s="153">
        <f>$C143*INDEX(Curves!$AF$8:$AF$68,V$4-$B143+1)</f>
        <v/>
      </c>
      <c r="W143" s="153">
        <f>$C143*INDEX(Curves!$AF$8:$AF$68,W$4-$B143+1)</f>
        <v/>
      </c>
      <c r="X143" s="153">
        <f>$C143*INDEX(Curves!$AF$8:$AF$68,X$4-$B143+1)</f>
        <v/>
      </c>
      <c r="Y143" s="153">
        <f>$C143*INDEX(Curves!$AF$8:$AF$68,Y$4-$B143+1)</f>
        <v/>
      </c>
      <c r="Z143" s="153">
        <f>$C143*INDEX(Curves!$AF$8:$AF$68,Z$4-$B143+1)</f>
        <v/>
      </c>
      <c r="AA143" s="153">
        <f>$C143*INDEX(Curves!$AF$8:$AF$68,AA$4-$B143+1)</f>
        <v/>
      </c>
      <c r="AB143" s="153">
        <f>$C143*INDEX(Curves!$AF$8:$AF$68,AB$4-$B143+1)</f>
        <v/>
      </c>
      <c r="AC143" s="153">
        <f>$C143*INDEX(Curves!$AF$8:$AF$68,AC$4-$B143+1)</f>
        <v/>
      </c>
      <c r="AD143" s="153">
        <f>$C143*INDEX(Curves!$AF$8:$AF$68,AD$4-$B143+1)</f>
        <v/>
      </c>
      <c r="AE143" s="153">
        <f>$C143*INDEX(Curves!$AF$8:$AF$68,AE$4-$B143+1)</f>
        <v/>
      </c>
      <c r="AF143" s="153">
        <f>$C143*INDEX(Curves!$AF$8:$AF$68,AF$4-$B143+1)</f>
        <v/>
      </c>
      <c r="AG143" s="153">
        <f>$C143*INDEX(Curves!$AF$8:$AF$68,AG$4-$B143+1)</f>
        <v/>
      </c>
      <c r="AH143" s="153">
        <f>$C143*INDEX(Curves!$AF$8:$AF$68,AH$4-$B143+1)</f>
        <v/>
      </c>
      <c r="AI143" s="153">
        <f>$C143*INDEX(Curves!$AF$8:$AF$68,AI$4-$B143+1)</f>
        <v/>
      </c>
      <c r="AJ143" s="153">
        <f>$C143*INDEX(Curves!$AF$8:$AF$68,AJ$4-$B143+1)</f>
        <v/>
      </c>
      <c r="AK143" s="153">
        <f>$C143*INDEX(Curves!$AF$8:$AF$68,AK$4-$B143+1)</f>
        <v/>
      </c>
      <c r="AL143" s="153">
        <f>$C143*INDEX(Curves!$AF$8:$AF$68,AL$4-$B143+1)</f>
        <v/>
      </c>
      <c r="AM143" s="153">
        <f>$C143*INDEX(Curves!$AF$8:$AF$68,AM$4-$B143+1)</f>
        <v/>
      </c>
      <c r="AN143" s="153">
        <f>$C143*INDEX(Curves!$AF$8:$AF$68,AN$4-$B143+1)</f>
        <v/>
      </c>
      <c r="AO143" s="153">
        <f>$C143*INDEX(Curves!$AF$8:$AF$68,AO$4-$B143+1)</f>
        <v/>
      </c>
      <c r="AP143" s="153">
        <f>$C143*INDEX(Curves!$AF$8:$AF$68,AP$4-$B143+1)</f>
        <v/>
      </c>
      <c r="AQ143" s="153">
        <f>$C143*INDEX(Curves!$AF$8:$AF$68,AQ$4-$B143+1)</f>
        <v/>
      </c>
      <c r="AR143" s="153">
        <f>$C143*INDEX(Curves!$AF$8:$AF$68,AR$4-$B143+1)</f>
        <v/>
      </c>
      <c r="AS143" s="153">
        <f>$C143*INDEX(Curves!$AF$8:$AF$68,AS$4-$B143+1)</f>
        <v/>
      </c>
      <c r="AT143" s="153">
        <f>$C143*INDEX(Curves!$AF$8:$AF$68,AT$4-$B143+1)</f>
        <v/>
      </c>
      <c r="AU143" s="153">
        <f>$C143*INDEX(Curves!$AF$8:$AF$68,AU$4-$B143+1)</f>
        <v/>
      </c>
      <c r="AV143" s="153">
        <f>$C143*INDEX(Curves!$AF$8:$AF$68,AV$4-$B143+1)</f>
        <v/>
      </c>
      <c r="AW143" s="153">
        <f>$C143*INDEX(Curves!$AF$8:$AF$68,AW$4-$B143+1)</f>
        <v/>
      </c>
      <c r="AX143" s="153">
        <f>$C143*INDEX(Curves!$AF$8:$AF$68,AX$4-$B143+1)</f>
        <v/>
      </c>
      <c r="AY143" s="153">
        <f>$C143*INDEX(Curves!$AF$8:$AF$68,AY$4-$B143+1)</f>
        <v/>
      </c>
      <c r="AZ143" s="153">
        <f>$C143*INDEX(Curves!$AF$8:$AF$68,AZ$4-$B143+1)</f>
        <v/>
      </c>
      <c r="BA143" s="153">
        <f>$C143*INDEX(Curves!$AF$8:$AF$68,BA$4-$B143+1)</f>
        <v/>
      </c>
      <c r="BB143" s="153">
        <f>$C143*INDEX(Curves!$AF$8:$AF$68,BB$4-$B143+1)</f>
        <v/>
      </c>
      <c r="BC143" s="153">
        <f>$C143*INDEX(Curves!$AF$8:$AF$68,BC$4-$B143+1)</f>
        <v/>
      </c>
      <c r="BD143" s="153">
        <f>$C143*INDEX(Curves!$AF$8:$AF$68,BD$4-$B143+1)</f>
        <v/>
      </c>
      <c r="BE143" s="153">
        <f>$C143*INDEX(Curves!$AF$8:$AF$68,BE$4-$B143+1)</f>
        <v/>
      </c>
      <c r="BF143" s="153">
        <f>$C143*INDEX(Curves!$AF$8:$AF$68,BF$4-$B143+1)</f>
        <v/>
      </c>
      <c r="BG143" s="153">
        <f>$C143*INDEX(Curves!$AF$8:$AF$68,BG$4-$B143+1)</f>
        <v/>
      </c>
      <c r="BH143" s="153">
        <f>$C143*INDEX(Curves!$AF$8:$AF$68,BH$4-$B143+1)</f>
        <v/>
      </c>
      <c r="BI143" s="153">
        <f>$C143*INDEX(Curves!$AF$8:$AF$68,BI$4-$B143+1)</f>
        <v/>
      </c>
      <c r="BJ143" s="153">
        <f>$C143*INDEX(Curves!$AF$8:$AF$68,BJ$4-$B143+1)</f>
        <v/>
      </c>
      <c r="BK143" s="153">
        <f>$C143*INDEX(Curves!$AF$8:$AF$68,BK$4-$B143+1)</f>
        <v/>
      </c>
      <c r="BL143" s="153">
        <f>$C143*INDEX(Curves!$AF$8:$AF$68,BL$4-$B143+1)</f>
        <v/>
      </c>
    </row>
    <row r="144">
      <c r="A144" s="147" t="inlineStr">
        <is>
          <t>Cohort month 9</t>
        </is>
      </c>
      <c r="B144" s="147" t="n">
        <v>9</v>
      </c>
      <c r="C144" s="41">
        <f>INDEX(Ops!$E$60:$BL$60,1,$B144)</f>
        <v/>
      </c>
      <c r="N144" s="153">
        <f>$C144*INDEX(Curves!$AF$8:$AF$68,N$4-$B144+1)</f>
        <v/>
      </c>
      <c r="O144" s="153">
        <f>$C144*INDEX(Curves!$AF$8:$AF$68,O$4-$B144+1)</f>
        <v/>
      </c>
      <c r="P144" s="153">
        <f>$C144*INDEX(Curves!$AF$8:$AF$68,P$4-$B144+1)</f>
        <v/>
      </c>
      <c r="Q144" s="153">
        <f>$C144*INDEX(Curves!$AF$8:$AF$68,Q$4-$B144+1)</f>
        <v/>
      </c>
      <c r="R144" s="153">
        <f>$C144*INDEX(Curves!$AF$8:$AF$68,R$4-$B144+1)</f>
        <v/>
      </c>
      <c r="S144" s="153">
        <f>$C144*INDEX(Curves!$AF$8:$AF$68,S$4-$B144+1)</f>
        <v/>
      </c>
      <c r="T144" s="153">
        <f>$C144*INDEX(Curves!$AF$8:$AF$68,T$4-$B144+1)</f>
        <v/>
      </c>
      <c r="U144" s="153">
        <f>$C144*INDEX(Curves!$AF$8:$AF$68,U$4-$B144+1)</f>
        <v/>
      </c>
      <c r="V144" s="153">
        <f>$C144*INDEX(Curves!$AF$8:$AF$68,V$4-$B144+1)</f>
        <v/>
      </c>
      <c r="W144" s="153">
        <f>$C144*INDEX(Curves!$AF$8:$AF$68,W$4-$B144+1)</f>
        <v/>
      </c>
      <c r="X144" s="153">
        <f>$C144*INDEX(Curves!$AF$8:$AF$68,X$4-$B144+1)</f>
        <v/>
      </c>
      <c r="Y144" s="153">
        <f>$C144*INDEX(Curves!$AF$8:$AF$68,Y$4-$B144+1)</f>
        <v/>
      </c>
      <c r="Z144" s="153">
        <f>$C144*INDEX(Curves!$AF$8:$AF$68,Z$4-$B144+1)</f>
        <v/>
      </c>
      <c r="AA144" s="153">
        <f>$C144*INDEX(Curves!$AF$8:$AF$68,AA$4-$B144+1)</f>
        <v/>
      </c>
      <c r="AB144" s="153">
        <f>$C144*INDEX(Curves!$AF$8:$AF$68,AB$4-$B144+1)</f>
        <v/>
      </c>
      <c r="AC144" s="153">
        <f>$C144*INDEX(Curves!$AF$8:$AF$68,AC$4-$B144+1)</f>
        <v/>
      </c>
      <c r="AD144" s="153">
        <f>$C144*INDEX(Curves!$AF$8:$AF$68,AD$4-$B144+1)</f>
        <v/>
      </c>
      <c r="AE144" s="153">
        <f>$C144*INDEX(Curves!$AF$8:$AF$68,AE$4-$B144+1)</f>
        <v/>
      </c>
      <c r="AF144" s="153">
        <f>$C144*INDEX(Curves!$AF$8:$AF$68,AF$4-$B144+1)</f>
        <v/>
      </c>
      <c r="AG144" s="153">
        <f>$C144*INDEX(Curves!$AF$8:$AF$68,AG$4-$B144+1)</f>
        <v/>
      </c>
      <c r="AH144" s="153">
        <f>$C144*INDEX(Curves!$AF$8:$AF$68,AH$4-$B144+1)</f>
        <v/>
      </c>
      <c r="AI144" s="153">
        <f>$C144*INDEX(Curves!$AF$8:$AF$68,AI$4-$B144+1)</f>
        <v/>
      </c>
      <c r="AJ144" s="153">
        <f>$C144*INDEX(Curves!$AF$8:$AF$68,AJ$4-$B144+1)</f>
        <v/>
      </c>
      <c r="AK144" s="153">
        <f>$C144*INDEX(Curves!$AF$8:$AF$68,AK$4-$B144+1)</f>
        <v/>
      </c>
      <c r="AL144" s="153">
        <f>$C144*INDEX(Curves!$AF$8:$AF$68,AL$4-$B144+1)</f>
        <v/>
      </c>
      <c r="AM144" s="153">
        <f>$C144*INDEX(Curves!$AF$8:$AF$68,AM$4-$B144+1)</f>
        <v/>
      </c>
      <c r="AN144" s="153">
        <f>$C144*INDEX(Curves!$AF$8:$AF$68,AN$4-$B144+1)</f>
        <v/>
      </c>
      <c r="AO144" s="153">
        <f>$C144*INDEX(Curves!$AF$8:$AF$68,AO$4-$B144+1)</f>
        <v/>
      </c>
      <c r="AP144" s="153">
        <f>$C144*INDEX(Curves!$AF$8:$AF$68,AP$4-$B144+1)</f>
        <v/>
      </c>
      <c r="AQ144" s="153">
        <f>$C144*INDEX(Curves!$AF$8:$AF$68,AQ$4-$B144+1)</f>
        <v/>
      </c>
      <c r="AR144" s="153">
        <f>$C144*INDEX(Curves!$AF$8:$AF$68,AR$4-$B144+1)</f>
        <v/>
      </c>
      <c r="AS144" s="153">
        <f>$C144*INDEX(Curves!$AF$8:$AF$68,AS$4-$B144+1)</f>
        <v/>
      </c>
      <c r="AT144" s="153">
        <f>$C144*INDEX(Curves!$AF$8:$AF$68,AT$4-$B144+1)</f>
        <v/>
      </c>
      <c r="AU144" s="153">
        <f>$C144*INDEX(Curves!$AF$8:$AF$68,AU$4-$B144+1)</f>
        <v/>
      </c>
      <c r="AV144" s="153">
        <f>$C144*INDEX(Curves!$AF$8:$AF$68,AV$4-$B144+1)</f>
        <v/>
      </c>
      <c r="AW144" s="153">
        <f>$C144*INDEX(Curves!$AF$8:$AF$68,AW$4-$B144+1)</f>
        <v/>
      </c>
      <c r="AX144" s="153">
        <f>$C144*INDEX(Curves!$AF$8:$AF$68,AX$4-$B144+1)</f>
        <v/>
      </c>
      <c r="AY144" s="153">
        <f>$C144*INDEX(Curves!$AF$8:$AF$68,AY$4-$B144+1)</f>
        <v/>
      </c>
      <c r="AZ144" s="153">
        <f>$C144*INDEX(Curves!$AF$8:$AF$68,AZ$4-$B144+1)</f>
        <v/>
      </c>
      <c r="BA144" s="153">
        <f>$C144*INDEX(Curves!$AF$8:$AF$68,BA$4-$B144+1)</f>
        <v/>
      </c>
      <c r="BB144" s="153">
        <f>$C144*INDEX(Curves!$AF$8:$AF$68,BB$4-$B144+1)</f>
        <v/>
      </c>
      <c r="BC144" s="153">
        <f>$C144*INDEX(Curves!$AF$8:$AF$68,BC$4-$B144+1)</f>
        <v/>
      </c>
      <c r="BD144" s="153">
        <f>$C144*INDEX(Curves!$AF$8:$AF$68,BD$4-$B144+1)</f>
        <v/>
      </c>
      <c r="BE144" s="153">
        <f>$C144*INDEX(Curves!$AF$8:$AF$68,BE$4-$B144+1)</f>
        <v/>
      </c>
      <c r="BF144" s="153">
        <f>$C144*INDEX(Curves!$AF$8:$AF$68,BF$4-$B144+1)</f>
        <v/>
      </c>
      <c r="BG144" s="153">
        <f>$C144*INDEX(Curves!$AF$8:$AF$68,BG$4-$B144+1)</f>
        <v/>
      </c>
      <c r="BH144" s="153">
        <f>$C144*INDEX(Curves!$AF$8:$AF$68,BH$4-$B144+1)</f>
        <v/>
      </c>
      <c r="BI144" s="153">
        <f>$C144*INDEX(Curves!$AF$8:$AF$68,BI$4-$B144+1)</f>
        <v/>
      </c>
      <c r="BJ144" s="153">
        <f>$C144*INDEX(Curves!$AF$8:$AF$68,BJ$4-$B144+1)</f>
        <v/>
      </c>
      <c r="BK144" s="153">
        <f>$C144*INDEX(Curves!$AF$8:$AF$68,BK$4-$B144+1)</f>
        <v/>
      </c>
      <c r="BL144" s="153">
        <f>$C144*INDEX(Curves!$AF$8:$AF$68,BL$4-$B144+1)</f>
        <v/>
      </c>
    </row>
    <row r="145">
      <c r="A145" s="147" t="inlineStr">
        <is>
          <t>Cohort month 10</t>
        </is>
      </c>
      <c r="B145" s="147" t="n">
        <v>10</v>
      </c>
      <c r="C145" s="41">
        <f>INDEX(Ops!$E$60:$BL$60,1,$B145)</f>
        <v/>
      </c>
      <c r="O145" s="153">
        <f>$C145*INDEX(Curves!$AF$8:$AF$68,O$4-$B145+1)</f>
        <v/>
      </c>
      <c r="P145" s="153">
        <f>$C145*INDEX(Curves!$AF$8:$AF$68,P$4-$B145+1)</f>
        <v/>
      </c>
      <c r="Q145" s="153">
        <f>$C145*INDEX(Curves!$AF$8:$AF$68,Q$4-$B145+1)</f>
        <v/>
      </c>
      <c r="R145" s="153">
        <f>$C145*INDEX(Curves!$AF$8:$AF$68,R$4-$B145+1)</f>
        <v/>
      </c>
      <c r="S145" s="153">
        <f>$C145*INDEX(Curves!$AF$8:$AF$68,S$4-$B145+1)</f>
        <v/>
      </c>
      <c r="T145" s="153">
        <f>$C145*INDEX(Curves!$AF$8:$AF$68,T$4-$B145+1)</f>
        <v/>
      </c>
      <c r="U145" s="153">
        <f>$C145*INDEX(Curves!$AF$8:$AF$68,U$4-$B145+1)</f>
        <v/>
      </c>
      <c r="V145" s="153">
        <f>$C145*INDEX(Curves!$AF$8:$AF$68,V$4-$B145+1)</f>
        <v/>
      </c>
      <c r="W145" s="153">
        <f>$C145*INDEX(Curves!$AF$8:$AF$68,W$4-$B145+1)</f>
        <v/>
      </c>
      <c r="X145" s="153">
        <f>$C145*INDEX(Curves!$AF$8:$AF$68,X$4-$B145+1)</f>
        <v/>
      </c>
      <c r="Y145" s="153">
        <f>$C145*INDEX(Curves!$AF$8:$AF$68,Y$4-$B145+1)</f>
        <v/>
      </c>
      <c r="Z145" s="153">
        <f>$C145*INDEX(Curves!$AF$8:$AF$68,Z$4-$B145+1)</f>
        <v/>
      </c>
      <c r="AA145" s="153">
        <f>$C145*INDEX(Curves!$AF$8:$AF$68,AA$4-$B145+1)</f>
        <v/>
      </c>
      <c r="AB145" s="153">
        <f>$C145*INDEX(Curves!$AF$8:$AF$68,AB$4-$B145+1)</f>
        <v/>
      </c>
      <c r="AC145" s="153">
        <f>$C145*INDEX(Curves!$AF$8:$AF$68,AC$4-$B145+1)</f>
        <v/>
      </c>
      <c r="AD145" s="153">
        <f>$C145*INDEX(Curves!$AF$8:$AF$68,AD$4-$B145+1)</f>
        <v/>
      </c>
      <c r="AE145" s="153">
        <f>$C145*INDEX(Curves!$AF$8:$AF$68,AE$4-$B145+1)</f>
        <v/>
      </c>
      <c r="AF145" s="153">
        <f>$C145*INDEX(Curves!$AF$8:$AF$68,AF$4-$B145+1)</f>
        <v/>
      </c>
      <c r="AG145" s="153">
        <f>$C145*INDEX(Curves!$AF$8:$AF$68,AG$4-$B145+1)</f>
        <v/>
      </c>
      <c r="AH145" s="153">
        <f>$C145*INDEX(Curves!$AF$8:$AF$68,AH$4-$B145+1)</f>
        <v/>
      </c>
      <c r="AI145" s="153">
        <f>$C145*INDEX(Curves!$AF$8:$AF$68,AI$4-$B145+1)</f>
        <v/>
      </c>
      <c r="AJ145" s="153">
        <f>$C145*INDEX(Curves!$AF$8:$AF$68,AJ$4-$B145+1)</f>
        <v/>
      </c>
      <c r="AK145" s="153">
        <f>$C145*INDEX(Curves!$AF$8:$AF$68,AK$4-$B145+1)</f>
        <v/>
      </c>
      <c r="AL145" s="153">
        <f>$C145*INDEX(Curves!$AF$8:$AF$68,AL$4-$B145+1)</f>
        <v/>
      </c>
      <c r="AM145" s="153">
        <f>$C145*INDEX(Curves!$AF$8:$AF$68,AM$4-$B145+1)</f>
        <v/>
      </c>
      <c r="AN145" s="153">
        <f>$C145*INDEX(Curves!$AF$8:$AF$68,AN$4-$B145+1)</f>
        <v/>
      </c>
      <c r="AO145" s="153">
        <f>$C145*INDEX(Curves!$AF$8:$AF$68,AO$4-$B145+1)</f>
        <v/>
      </c>
      <c r="AP145" s="153">
        <f>$C145*INDEX(Curves!$AF$8:$AF$68,AP$4-$B145+1)</f>
        <v/>
      </c>
      <c r="AQ145" s="153">
        <f>$C145*INDEX(Curves!$AF$8:$AF$68,AQ$4-$B145+1)</f>
        <v/>
      </c>
      <c r="AR145" s="153">
        <f>$C145*INDEX(Curves!$AF$8:$AF$68,AR$4-$B145+1)</f>
        <v/>
      </c>
      <c r="AS145" s="153">
        <f>$C145*INDEX(Curves!$AF$8:$AF$68,AS$4-$B145+1)</f>
        <v/>
      </c>
      <c r="AT145" s="153">
        <f>$C145*INDEX(Curves!$AF$8:$AF$68,AT$4-$B145+1)</f>
        <v/>
      </c>
      <c r="AU145" s="153">
        <f>$C145*INDEX(Curves!$AF$8:$AF$68,AU$4-$B145+1)</f>
        <v/>
      </c>
      <c r="AV145" s="153">
        <f>$C145*INDEX(Curves!$AF$8:$AF$68,AV$4-$B145+1)</f>
        <v/>
      </c>
      <c r="AW145" s="153">
        <f>$C145*INDEX(Curves!$AF$8:$AF$68,AW$4-$B145+1)</f>
        <v/>
      </c>
      <c r="AX145" s="153">
        <f>$C145*INDEX(Curves!$AF$8:$AF$68,AX$4-$B145+1)</f>
        <v/>
      </c>
      <c r="AY145" s="153">
        <f>$C145*INDEX(Curves!$AF$8:$AF$68,AY$4-$B145+1)</f>
        <v/>
      </c>
      <c r="AZ145" s="153">
        <f>$C145*INDEX(Curves!$AF$8:$AF$68,AZ$4-$B145+1)</f>
        <v/>
      </c>
      <c r="BA145" s="153">
        <f>$C145*INDEX(Curves!$AF$8:$AF$68,BA$4-$B145+1)</f>
        <v/>
      </c>
      <c r="BB145" s="153">
        <f>$C145*INDEX(Curves!$AF$8:$AF$68,BB$4-$B145+1)</f>
        <v/>
      </c>
      <c r="BC145" s="153">
        <f>$C145*INDEX(Curves!$AF$8:$AF$68,BC$4-$B145+1)</f>
        <v/>
      </c>
      <c r="BD145" s="153">
        <f>$C145*INDEX(Curves!$AF$8:$AF$68,BD$4-$B145+1)</f>
        <v/>
      </c>
      <c r="BE145" s="153">
        <f>$C145*INDEX(Curves!$AF$8:$AF$68,BE$4-$B145+1)</f>
        <v/>
      </c>
      <c r="BF145" s="153">
        <f>$C145*INDEX(Curves!$AF$8:$AF$68,BF$4-$B145+1)</f>
        <v/>
      </c>
      <c r="BG145" s="153">
        <f>$C145*INDEX(Curves!$AF$8:$AF$68,BG$4-$B145+1)</f>
        <v/>
      </c>
      <c r="BH145" s="153">
        <f>$C145*INDEX(Curves!$AF$8:$AF$68,BH$4-$B145+1)</f>
        <v/>
      </c>
      <c r="BI145" s="153">
        <f>$C145*INDEX(Curves!$AF$8:$AF$68,BI$4-$B145+1)</f>
        <v/>
      </c>
      <c r="BJ145" s="153">
        <f>$C145*INDEX(Curves!$AF$8:$AF$68,BJ$4-$B145+1)</f>
        <v/>
      </c>
      <c r="BK145" s="153">
        <f>$C145*INDEX(Curves!$AF$8:$AF$68,BK$4-$B145+1)</f>
        <v/>
      </c>
      <c r="BL145" s="153">
        <f>$C145*INDEX(Curves!$AF$8:$AF$68,BL$4-$B145+1)</f>
        <v/>
      </c>
    </row>
    <row r="146">
      <c r="A146" s="147" t="inlineStr">
        <is>
          <t>Cohort month 11</t>
        </is>
      </c>
      <c r="B146" s="147" t="n">
        <v>11</v>
      </c>
      <c r="C146" s="41">
        <f>INDEX(Ops!$E$60:$BL$60,1,$B146)</f>
        <v/>
      </c>
      <c r="P146" s="153">
        <f>$C146*INDEX(Curves!$AF$8:$AF$68,P$4-$B146+1)</f>
        <v/>
      </c>
      <c r="Q146" s="153">
        <f>$C146*INDEX(Curves!$AF$8:$AF$68,Q$4-$B146+1)</f>
        <v/>
      </c>
      <c r="R146" s="153">
        <f>$C146*INDEX(Curves!$AF$8:$AF$68,R$4-$B146+1)</f>
        <v/>
      </c>
      <c r="S146" s="153">
        <f>$C146*INDEX(Curves!$AF$8:$AF$68,S$4-$B146+1)</f>
        <v/>
      </c>
      <c r="T146" s="153">
        <f>$C146*INDEX(Curves!$AF$8:$AF$68,T$4-$B146+1)</f>
        <v/>
      </c>
      <c r="U146" s="153">
        <f>$C146*INDEX(Curves!$AF$8:$AF$68,U$4-$B146+1)</f>
        <v/>
      </c>
      <c r="V146" s="153">
        <f>$C146*INDEX(Curves!$AF$8:$AF$68,V$4-$B146+1)</f>
        <v/>
      </c>
      <c r="W146" s="153">
        <f>$C146*INDEX(Curves!$AF$8:$AF$68,W$4-$B146+1)</f>
        <v/>
      </c>
      <c r="X146" s="153">
        <f>$C146*INDEX(Curves!$AF$8:$AF$68,X$4-$B146+1)</f>
        <v/>
      </c>
      <c r="Y146" s="153">
        <f>$C146*INDEX(Curves!$AF$8:$AF$68,Y$4-$B146+1)</f>
        <v/>
      </c>
      <c r="Z146" s="153">
        <f>$C146*INDEX(Curves!$AF$8:$AF$68,Z$4-$B146+1)</f>
        <v/>
      </c>
      <c r="AA146" s="153">
        <f>$C146*INDEX(Curves!$AF$8:$AF$68,AA$4-$B146+1)</f>
        <v/>
      </c>
      <c r="AB146" s="153">
        <f>$C146*INDEX(Curves!$AF$8:$AF$68,AB$4-$B146+1)</f>
        <v/>
      </c>
      <c r="AC146" s="153">
        <f>$C146*INDEX(Curves!$AF$8:$AF$68,AC$4-$B146+1)</f>
        <v/>
      </c>
      <c r="AD146" s="153">
        <f>$C146*INDEX(Curves!$AF$8:$AF$68,AD$4-$B146+1)</f>
        <v/>
      </c>
      <c r="AE146" s="153">
        <f>$C146*INDEX(Curves!$AF$8:$AF$68,AE$4-$B146+1)</f>
        <v/>
      </c>
      <c r="AF146" s="153">
        <f>$C146*INDEX(Curves!$AF$8:$AF$68,AF$4-$B146+1)</f>
        <v/>
      </c>
      <c r="AG146" s="153">
        <f>$C146*INDEX(Curves!$AF$8:$AF$68,AG$4-$B146+1)</f>
        <v/>
      </c>
      <c r="AH146" s="153">
        <f>$C146*INDEX(Curves!$AF$8:$AF$68,AH$4-$B146+1)</f>
        <v/>
      </c>
      <c r="AI146" s="153">
        <f>$C146*INDEX(Curves!$AF$8:$AF$68,AI$4-$B146+1)</f>
        <v/>
      </c>
      <c r="AJ146" s="153">
        <f>$C146*INDEX(Curves!$AF$8:$AF$68,AJ$4-$B146+1)</f>
        <v/>
      </c>
      <c r="AK146" s="153">
        <f>$C146*INDEX(Curves!$AF$8:$AF$68,AK$4-$B146+1)</f>
        <v/>
      </c>
      <c r="AL146" s="153">
        <f>$C146*INDEX(Curves!$AF$8:$AF$68,AL$4-$B146+1)</f>
        <v/>
      </c>
      <c r="AM146" s="153">
        <f>$C146*INDEX(Curves!$AF$8:$AF$68,AM$4-$B146+1)</f>
        <v/>
      </c>
      <c r="AN146" s="153">
        <f>$C146*INDEX(Curves!$AF$8:$AF$68,AN$4-$B146+1)</f>
        <v/>
      </c>
      <c r="AO146" s="153">
        <f>$C146*INDEX(Curves!$AF$8:$AF$68,AO$4-$B146+1)</f>
        <v/>
      </c>
      <c r="AP146" s="153">
        <f>$C146*INDEX(Curves!$AF$8:$AF$68,AP$4-$B146+1)</f>
        <v/>
      </c>
      <c r="AQ146" s="153">
        <f>$C146*INDEX(Curves!$AF$8:$AF$68,AQ$4-$B146+1)</f>
        <v/>
      </c>
      <c r="AR146" s="153">
        <f>$C146*INDEX(Curves!$AF$8:$AF$68,AR$4-$B146+1)</f>
        <v/>
      </c>
      <c r="AS146" s="153">
        <f>$C146*INDEX(Curves!$AF$8:$AF$68,AS$4-$B146+1)</f>
        <v/>
      </c>
      <c r="AT146" s="153">
        <f>$C146*INDEX(Curves!$AF$8:$AF$68,AT$4-$B146+1)</f>
        <v/>
      </c>
      <c r="AU146" s="153">
        <f>$C146*INDEX(Curves!$AF$8:$AF$68,AU$4-$B146+1)</f>
        <v/>
      </c>
      <c r="AV146" s="153">
        <f>$C146*INDEX(Curves!$AF$8:$AF$68,AV$4-$B146+1)</f>
        <v/>
      </c>
      <c r="AW146" s="153">
        <f>$C146*INDEX(Curves!$AF$8:$AF$68,AW$4-$B146+1)</f>
        <v/>
      </c>
      <c r="AX146" s="153">
        <f>$C146*INDEX(Curves!$AF$8:$AF$68,AX$4-$B146+1)</f>
        <v/>
      </c>
      <c r="AY146" s="153">
        <f>$C146*INDEX(Curves!$AF$8:$AF$68,AY$4-$B146+1)</f>
        <v/>
      </c>
      <c r="AZ146" s="153">
        <f>$C146*INDEX(Curves!$AF$8:$AF$68,AZ$4-$B146+1)</f>
        <v/>
      </c>
      <c r="BA146" s="153">
        <f>$C146*INDEX(Curves!$AF$8:$AF$68,BA$4-$B146+1)</f>
        <v/>
      </c>
      <c r="BB146" s="153">
        <f>$C146*INDEX(Curves!$AF$8:$AF$68,BB$4-$B146+1)</f>
        <v/>
      </c>
      <c r="BC146" s="153">
        <f>$C146*INDEX(Curves!$AF$8:$AF$68,BC$4-$B146+1)</f>
        <v/>
      </c>
      <c r="BD146" s="153">
        <f>$C146*INDEX(Curves!$AF$8:$AF$68,BD$4-$B146+1)</f>
        <v/>
      </c>
      <c r="BE146" s="153">
        <f>$C146*INDEX(Curves!$AF$8:$AF$68,BE$4-$B146+1)</f>
        <v/>
      </c>
      <c r="BF146" s="153">
        <f>$C146*INDEX(Curves!$AF$8:$AF$68,BF$4-$B146+1)</f>
        <v/>
      </c>
      <c r="BG146" s="153">
        <f>$C146*INDEX(Curves!$AF$8:$AF$68,BG$4-$B146+1)</f>
        <v/>
      </c>
      <c r="BH146" s="153">
        <f>$C146*INDEX(Curves!$AF$8:$AF$68,BH$4-$B146+1)</f>
        <v/>
      </c>
      <c r="BI146" s="153">
        <f>$C146*INDEX(Curves!$AF$8:$AF$68,BI$4-$B146+1)</f>
        <v/>
      </c>
      <c r="BJ146" s="153">
        <f>$C146*INDEX(Curves!$AF$8:$AF$68,BJ$4-$B146+1)</f>
        <v/>
      </c>
      <c r="BK146" s="153">
        <f>$C146*INDEX(Curves!$AF$8:$AF$68,BK$4-$B146+1)</f>
        <v/>
      </c>
      <c r="BL146" s="153">
        <f>$C146*INDEX(Curves!$AF$8:$AF$68,BL$4-$B146+1)</f>
        <v/>
      </c>
    </row>
    <row r="147">
      <c r="A147" s="147" t="inlineStr">
        <is>
          <t>Cohort month 12</t>
        </is>
      </c>
      <c r="B147" s="147" t="n">
        <v>12</v>
      </c>
      <c r="C147" s="41">
        <f>INDEX(Ops!$E$60:$BL$60,1,$B147)</f>
        <v/>
      </c>
      <c r="Q147" s="153">
        <f>$C147*INDEX(Curves!$AF$8:$AF$68,Q$4-$B147+1)</f>
        <v/>
      </c>
      <c r="R147" s="153">
        <f>$C147*INDEX(Curves!$AF$8:$AF$68,R$4-$B147+1)</f>
        <v/>
      </c>
      <c r="S147" s="153">
        <f>$C147*INDEX(Curves!$AF$8:$AF$68,S$4-$B147+1)</f>
        <v/>
      </c>
      <c r="T147" s="153">
        <f>$C147*INDEX(Curves!$AF$8:$AF$68,T$4-$B147+1)</f>
        <v/>
      </c>
      <c r="U147" s="153">
        <f>$C147*INDEX(Curves!$AF$8:$AF$68,U$4-$B147+1)</f>
        <v/>
      </c>
      <c r="V147" s="153">
        <f>$C147*INDEX(Curves!$AF$8:$AF$68,V$4-$B147+1)</f>
        <v/>
      </c>
      <c r="W147" s="153">
        <f>$C147*INDEX(Curves!$AF$8:$AF$68,W$4-$B147+1)</f>
        <v/>
      </c>
      <c r="X147" s="153">
        <f>$C147*INDEX(Curves!$AF$8:$AF$68,X$4-$B147+1)</f>
        <v/>
      </c>
      <c r="Y147" s="153">
        <f>$C147*INDEX(Curves!$AF$8:$AF$68,Y$4-$B147+1)</f>
        <v/>
      </c>
      <c r="Z147" s="153">
        <f>$C147*INDEX(Curves!$AF$8:$AF$68,Z$4-$B147+1)</f>
        <v/>
      </c>
      <c r="AA147" s="153">
        <f>$C147*INDEX(Curves!$AF$8:$AF$68,AA$4-$B147+1)</f>
        <v/>
      </c>
      <c r="AB147" s="153">
        <f>$C147*INDEX(Curves!$AF$8:$AF$68,AB$4-$B147+1)</f>
        <v/>
      </c>
      <c r="AC147" s="153">
        <f>$C147*INDEX(Curves!$AF$8:$AF$68,AC$4-$B147+1)</f>
        <v/>
      </c>
      <c r="AD147" s="153">
        <f>$C147*INDEX(Curves!$AF$8:$AF$68,AD$4-$B147+1)</f>
        <v/>
      </c>
      <c r="AE147" s="153">
        <f>$C147*INDEX(Curves!$AF$8:$AF$68,AE$4-$B147+1)</f>
        <v/>
      </c>
      <c r="AF147" s="153">
        <f>$C147*INDEX(Curves!$AF$8:$AF$68,AF$4-$B147+1)</f>
        <v/>
      </c>
      <c r="AG147" s="153">
        <f>$C147*INDEX(Curves!$AF$8:$AF$68,AG$4-$B147+1)</f>
        <v/>
      </c>
      <c r="AH147" s="153">
        <f>$C147*INDEX(Curves!$AF$8:$AF$68,AH$4-$B147+1)</f>
        <v/>
      </c>
      <c r="AI147" s="153">
        <f>$C147*INDEX(Curves!$AF$8:$AF$68,AI$4-$B147+1)</f>
        <v/>
      </c>
      <c r="AJ147" s="153">
        <f>$C147*INDEX(Curves!$AF$8:$AF$68,AJ$4-$B147+1)</f>
        <v/>
      </c>
      <c r="AK147" s="153">
        <f>$C147*INDEX(Curves!$AF$8:$AF$68,AK$4-$B147+1)</f>
        <v/>
      </c>
      <c r="AL147" s="153">
        <f>$C147*INDEX(Curves!$AF$8:$AF$68,AL$4-$B147+1)</f>
        <v/>
      </c>
      <c r="AM147" s="153">
        <f>$C147*INDEX(Curves!$AF$8:$AF$68,AM$4-$B147+1)</f>
        <v/>
      </c>
      <c r="AN147" s="153">
        <f>$C147*INDEX(Curves!$AF$8:$AF$68,AN$4-$B147+1)</f>
        <v/>
      </c>
      <c r="AO147" s="153">
        <f>$C147*INDEX(Curves!$AF$8:$AF$68,AO$4-$B147+1)</f>
        <v/>
      </c>
      <c r="AP147" s="153">
        <f>$C147*INDEX(Curves!$AF$8:$AF$68,AP$4-$B147+1)</f>
        <v/>
      </c>
      <c r="AQ147" s="153">
        <f>$C147*INDEX(Curves!$AF$8:$AF$68,AQ$4-$B147+1)</f>
        <v/>
      </c>
      <c r="AR147" s="153">
        <f>$C147*INDEX(Curves!$AF$8:$AF$68,AR$4-$B147+1)</f>
        <v/>
      </c>
      <c r="AS147" s="153">
        <f>$C147*INDEX(Curves!$AF$8:$AF$68,AS$4-$B147+1)</f>
        <v/>
      </c>
      <c r="AT147" s="153">
        <f>$C147*INDEX(Curves!$AF$8:$AF$68,AT$4-$B147+1)</f>
        <v/>
      </c>
      <c r="AU147" s="153">
        <f>$C147*INDEX(Curves!$AF$8:$AF$68,AU$4-$B147+1)</f>
        <v/>
      </c>
      <c r="AV147" s="153">
        <f>$C147*INDEX(Curves!$AF$8:$AF$68,AV$4-$B147+1)</f>
        <v/>
      </c>
      <c r="AW147" s="153">
        <f>$C147*INDEX(Curves!$AF$8:$AF$68,AW$4-$B147+1)</f>
        <v/>
      </c>
      <c r="AX147" s="153">
        <f>$C147*INDEX(Curves!$AF$8:$AF$68,AX$4-$B147+1)</f>
        <v/>
      </c>
      <c r="AY147" s="153">
        <f>$C147*INDEX(Curves!$AF$8:$AF$68,AY$4-$B147+1)</f>
        <v/>
      </c>
      <c r="AZ147" s="153">
        <f>$C147*INDEX(Curves!$AF$8:$AF$68,AZ$4-$B147+1)</f>
        <v/>
      </c>
      <c r="BA147" s="153">
        <f>$C147*INDEX(Curves!$AF$8:$AF$68,BA$4-$B147+1)</f>
        <v/>
      </c>
      <c r="BB147" s="153">
        <f>$C147*INDEX(Curves!$AF$8:$AF$68,BB$4-$B147+1)</f>
        <v/>
      </c>
      <c r="BC147" s="153">
        <f>$C147*INDEX(Curves!$AF$8:$AF$68,BC$4-$B147+1)</f>
        <v/>
      </c>
      <c r="BD147" s="153">
        <f>$C147*INDEX(Curves!$AF$8:$AF$68,BD$4-$B147+1)</f>
        <v/>
      </c>
      <c r="BE147" s="153">
        <f>$C147*INDEX(Curves!$AF$8:$AF$68,BE$4-$B147+1)</f>
        <v/>
      </c>
      <c r="BF147" s="153">
        <f>$C147*INDEX(Curves!$AF$8:$AF$68,BF$4-$B147+1)</f>
        <v/>
      </c>
      <c r="BG147" s="153">
        <f>$C147*INDEX(Curves!$AF$8:$AF$68,BG$4-$B147+1)</f>
        <v/>
      </c>
      <c r="BH147" s="153">
        <f>$C147*INDEX(Curves!$AF$8:$AF$68,BH$4-$B147+1)</f>
        <v/>
      </c>
      <c r="BI147" s="153">
        <f>$C147*INDEX(Curves!$AF$8:$AF$68,BI$4-$B147+1)</f>
        <v/>
      </c>
      <c r="BJ147" s="153">
        <f>$C147*INDEX(Curves!$AF$8:$AF$68,BJ$4-$B147+1)</f>
        <v/>
      </c>
      <c r="BK147" s="153">
        <f>$C147*INDEX(Curves!$AF$8:$AF$68,BK$4-$B147+1)</f>
        <v/>
      </c>
      <c r="BL147" s="153">
        <f>$C147*INDEX(Curves!$AF$8:$AF$68,BL$4-$B147+1)</f>
        <v/>
      </c>
    </row>
    <row r="148">
      <c r="A148" s="147" t="inlineStr">
        <is>
          <t>Cohort month 13</t>
        </is>
      </c>
      <c r="B148" s="147" t="n">
        <v>13</v>
      </c>
      <c r="C148" s="41">
        <f>INDEX(Ops!$E$60:$BL$60,1,$B148)</f>
        <v/>
      </c>
      <c r="R148" s="153">
        <f>$C148*INDEX(Curves!$AF$8:$AF$68,R$4-$B148+1)</f>
        <v/>
      </c>
      <c r="S148" s="153">
        <f>$C148*INDEX(Curves!$AF$8:$AF$68,S$4-$B148+1)</f>
        <v/>
      </c>
      <c r="T148" s="153">
        <f>$C148*INDEX(Curves!$AF$8:$AF$68,T$4-$B148+1)</f>
        <v/>
      </c>
      <c r="U148" s="153">
        <f>$C148*INDEX(Curves!$AF$8:$AF$68,U$4-$B148+1)</f>
        <v/>
      </c>
      <c r="V148" s="153">
        <f>$C148*INDEX(Curves!$AF$8:$AF$68,V$4-$B148+1)</f>
        <v/>
      </c>
      <c r="W148" s="153">
        <f>$C148*INDEX(Curves!$AF$8:$AF$68,W$4-$B148+1)</f>
        <v/>
      </c>
      <c r="X148" s="153">
        <f>$C148*INDEX(Curves!$AF$8:$AF$68,X$4-$B148+1)</f>
        <v/>
      </c>
      <c r="Y148" s="153">
        <f>$C148*INDEX(Curves!$AF$8:$AF$68,Y$4-$B148+1)</f>
        <v/>
      </c>
      <c r="Z148" s="153">
        <f>$C148*INDEX(Curves!$AF$8:$AF$68,Z$4-$B148+1)</f>
        <v/>
      </c>
      <c r="AA148" s="153">
        <f>$C148*INDEX(Curves!$AF$8:$AF$68,AA$4-$B148+1)</f>
        <v/>
      </c>
      <c r="AB148" s="153">
        <f>$C148*INDEX(Curves!$AF$8:$AF$68,AB$4-$B148+1)</f>
        <v/>
      </c>
      <c r="AC148" s="153">
        <f>$C148*INDEX(Curves!$AF$8:$AF$68,AC$4-$B148+1)</f>
        <v/>
      </c>
      <c r="AD148" s="153">
        <f>$C148*INDEX(Curves!$AF$8:$AF$68,AD$4-$B148+1)</f>
        <v/>
      </c>
      <c r="AE148" s="153">
        <f>$C148*INDEX(Curves!$AF$8:$AF$68,AE$4-$B148+1)</f>
        <v/>
      </c>
      <c r="AF148" s="153">
        <f>$C148*INDEX(Curves!$AF$8:$AF$68,AF$4-$B148+1)</f>
        <v/>
      </c>
      <c r="AG148" s="153">
        <f>$C148*INDEX(Curves!$AF$8:$AF$68,AG$4-$B148+1)</f>
        <v/>
      </c>
      <c r="AH148" s="153">
        <f>$C148*INDEX(Curves!$AF$8:$AF$68,AH$4-$B148+1)</f>
        <v/>
      </c>
      <c r="AI148" s="153">
        <f>$C148*INDEX(Curves!$AF$8:$AF$68,AI$4-$B148+1)</f>
        <v/>
      </c>
      <c r="AJ148" s="153">
        <f>$C148*INDEX(Curves!$AF$8:$AF$68,AJ$4-$B148+1)</f>
        <v/>
      </c>
      <c r="AK148" s="153">
        <f>$C148*INDEX(Curves!$AF$8:$AF$68,AK$4-$B148+1)</f>
        <v/>
      </c>
      <c r="AL148" s="153">
        <f>$C148*INDEX(Curves!$AF$8:$AF$68,AL$4-$B148+1)</f>
        <v/>
      </c>
      <c r="AM148" s="153">
        <f>$C148*INDEX(Curves!$AF$8:$AF$68,AM$4-$B148+1)</f>
        <v/>
      </c>
      <c r="AN148" s="153">
        <f>$C148*INDEX(Curves!$AF$8:$AF$68,AN$4-$B148+1)</f>
        <v/>
      </c>
      <c r="AO148" s="153">
        <f>$C148*INDEX(Curves!$AF$8:$AF$68,AO$4-$B148+1)</f>
        <v/>
      </c>
      <c r="AP148" s="153">
        <f>$C148*INDEX(Curves!$AF$8:$AF$68,AP$4-$B148+1)</f>
        <v/>
      </c>
      <c r="AQ148" s="153">
        <f>$C148*INDEX(Curves!$AF$8:$AF$68,AQ$4-$B148+1)</f>
        <v/>
      </c>
      <c r="AR148" s="153">
        <f>$C148*INDEX(Curves!$AF$8:$AF$68,AR$4-$B148+1)</f>
        <v/>
      </c>
      <c r="AS148" s="153">
        <f>$C148*INDEX(Curves!$AF$8:$AF$68,AS$4-$B148+1)</f>
        <v/>
      </c>
      <c r="AT148" s="153">
        <f>$C148*INDEX(Curves!$AF$8:$AF$68,AT$4-$B148+1)</f>
        <v/>
      </c>
      <c r="AU148" s="153">
        <f>$C148*INDEX(Curves!$AF$8:$AF$68,AU$4-$B148+1)</f>
        <v/>
      </c>
      <c r="AV148" s="153">
        <f>$C148*INDEX(Curves!$AF$8:$AF$68,AV$4-$B148+1)</f>
        <v/>
      </c>
      <c r="AW148" s="153">
        <f>$C148*INDEX(Curves!$AF$8:$AF$68,AW$4-$B148+1)</f>
        <v/>
      </c>
      <c r="AX148" s="153">
        <f>$C148*INDEX(Curves!$AF$8:$AF$68,AX$4-$B148+1)</f>
        <v/>
      </c>
      <c r="AY148" s="153">
        <f>$C148*INDEX(Curves!$AF$8:$AF$68,AY$4-$B148+1)</f>
        <v/>
      </c>
      <c r="AZ148" s="153">
        <f>$C148*INDEX(Curves!$AF$8:$AF$68,AZ$4-$B148+1)</f>
        <v/>
      </c>
      <c r="BA148" s="153">
        <f>$C148*INDEX(Curves!$AF$8:$AF$68,BA$4-$B148+1)</f>
        <v/>
      </c>
      <c r="BB148" s="153">
        <f>$C148*INDEX(Curves!$AF$8:$AF$68,BB$4-$B148+1)</f>
        <v/>
      </c>
      <c r="BC148" s="153">
        <f>$C148*INDEX(Curves!$AF$8:$AF$68,BC$4-$B148+1)</f>
        <v/>
      </c>
      <c r="BD148" s="153">
        <f>$C148*INDEX(Curves!$AF$8:$AF$68,BD$4-$B148+1)</f>
        <v/>
      </c>
      <c r="BE148" s="153">
        <f>$C148*INDEX(Curves!$AF$8:$AF$68,BE$4-$B148+1)</f>
        <v/>
      </c>
      <c r="BF148" s="153">
        <f>$C148*INDEX(Curves!$AF$8:$AF$68,BF$4-$B148+1)</f>
        <v/>
      </c>
      <c r="BG148" s="153">
        <f>$C148*INDEX(Curves!$AF$8:$AF$68,BG$4-$B148+1)</f>
        <v/>
      </c>
      <c r="BH148" s="153">
        <f>$C148*INDEX(Curves!$AF$8:$AF$68,BH$4-$B148+1)</f>
        <v/>
      </c>
      <c r="BI148" s="153">
        <f>$C148*INDEX(Curves!$AF$8:$AF$68,BI$4-$B148+1)</f>
        <v/>
      </c>
      <c r="BJ148" s="153">
        <f>$C148*INDEX(Curves!$AF$8:$AF$68,BJ$4-$B148+1)</f>
        <v/>
      </c>
      <c r="BK148" s="153">
        <f>$C148*INDEX(Curves!$AF$8:$AF$68,BK$4-$B148+1)</f>
        <v/>
      </c>
      <c r="BL148" s="153">
        <f>$C148*INDEX(Curves!$AF$8:$AF$68,BL$4-$B148+1)</f>
        <v/>
      </c>
    </row>
    <row r="149">
      <c r="A149" s="147" t="inlineStr">
        <is>
          <t>Cohort month 14</t>
        </is>
      </c>
      <c r="B149" s="147" t="n">
        <v>14</v>
      </c>
      <c r="C149" s="41">
        <f>INDEX(Ops!$E$60:$BL$60,1,$B149)</f>
        <v/>
      </c>
      <c r="S149" s="153">
        <f>$C149*INDEX(Curves!$AF$8:$AF$68,S$4-$B149+1)</f>
        <v/>
      </c>
      <c r="T149" s="153">
        <f>$C149*INDEX(Curves!$AF$8:$AF$68,T$4-$B149+1)</f>
        <v/>
      </c>
      <c r="U149" s="153">
        <f>$C149*INDEX(Curves!$AF$8:$AF$68,U$4-$B149+1)</f>
        <v/>
      </c>
      <c r="V149" s="153">
        <f>$C149*INDEX(Curves!$AF$8:$AF$68,V$4-$B149+1)</f>
        <v/>
      </c>
      <c r="W149" s="153">
        <f>$C149*INDEX(Curves!$AF$8:$AF$68,W$4-$B149+1)</f>
        <v/>
      </c>
      <c r="X149" s="153">
        <f>$C149*INDEX(Curves!$AF$8:$AF$68,X$4-$B149+1)</f>
        <v/>
      </c>
      <c r="Y149" s="153">
        <f>$C149*INDEX(Curves!$AF$8:$AF$68,Y$4-$B149+1)</f>
        <v/>
      </c>
      <c r="Z149" s="153">
        <f>$C149*INDEX(Curves!$AF$8:$AF$68,Z$4-$B149+1)</f>
        <v/>
      </c>
      <c r="AA149" s="153">
        <f>$C149*INDEX(Curves!$AF$8:$AF$68,AA$4-$B149+1)</f>
        <v/>
      </c>
      <c r="AB149" s="153">
        <f>$C149*INDEX(Curves!$AF$8:$AF$68,AB$4-$B149+1)</f>
        <v/>
      </c>
      <c r="AC149" s="153">
        <f>$C149*INDEX(Curves!$AF$8:$AF$68,AC$4-$B149+1)</f>
        <v/>
      </c>
      <c r="AD149" s="153">
        <f>$C149*INDEX(Curves!$AF$8:$AF$68,AD$4-$B149+1)</f>
        <v/>
      </c>
      <c r="AE149" s="153">
        <f>$C149*INDEX(Curves!$AF$8:$AF$68,AE$4-$B149+1)</f>
        <v/>
      </c>
      <c r="AF149" s="153">
        <f>$C149*INDEX(Curves!$AF$8:$AF$68,AF$4-$B149+1)</f>
        <v/>
      </c>
      <c r="AG149" s="153">
        <f>$C149*INDEX(Curves!$AF$8:$AF$68,AG$4-$B149+1)</f>
        <v/>
      </c>
      <c r="AH149" s="153">
        <f>$C149*INDEX(Curves!$AF$8:$AF$68,AH$4-$B149+1)</f>
        <v/>
      </c>
      <c r="AI149" s="153">
        <f>$C149*INDEX(Curves!$AF$8:$AF$68,AI$4-$B149+1)</f>
        <v/>
      </c>
      <c r="AJ149" s="153">
        <f>$C149*INDEX(Curves!$AF$8:$AF$68,AJ$4-$B149+1)</f>
        <v/>
      </c>
      <c r="AK149" s="153">
        <f>$C149*INDEX(Curves!$AF$8:$AF$68,AK$4-$B149+1)</f>
        <v/>
      </c>
      <c r="AL149" s="153">
        <f>$C149*INDEX(Curves!$AF$8:$AF$68,AL$4-$B149+1)</f>
        <v/>
      </c>
      <c r="AM149" s="153">
        <f>$C149*INDEX(Curves!$AF$8:$AF$68,AM$4-$B149+1)</f>
        <v/>
      </c>
      <c r="AN149" s="153">
        <f>$C149*INDEX(Curves!$AF$8:$AF$68,AN$4-$B149+1)</f>
        <v/>
      </c>
      <c r="AO149" s="153">
        <f>$C149*INDEX(Curves!$AF$8:$AF$68,AO$4-$B149+1)</f>
        <v/>
      </c>
      <c r="AP149" s="153">
        <f>$C149*INDEX(Curves!$AF$8:$AF$68,AP$4-$B149+1)</f>
        <v/>
      </c>
      <c r="AQ149" s="153">
        <f>$C149*INDEX(Curves!$AF$8:$AF$68,AQ$4-$B149+1)</f>
        <v/>
      </c>
      <c r="AR149" s="153">
        <f>$C149*INDEX(Curves!$AF$8:$AF$68,AR$4-$B149+1)</f>
        <v/>
      </c>
      <c r="AS149" s="153">
        <f>$C149*INDEX(Curves!$AF$8:$AF$68,AS$4-$B149+1)</f>
        <v/>
      </c>
      <c r="AT149" s="153">
        <f>$C149*INDEX(Curves!$AF$8:$AF$68,AT$4-$B149+1)</f>
        <v/>
      </c>
      <c r="AU149" s="153">
        <f>$C149*INDEX(Curves!$AF$8:$AF$68,AU$4-$B149+1)</f>
        <v/>
      </c>
      <c r="AV149" s="153">
        <f>$C149*INDEX(Curves!$AF$8:$AF$68,AV$4-$B149+1)</f>
        <v/>
      </c>
      <c r="AW149" s="153">
        <f>$C149*INDEX(Curves!$AF$8:$AF$68,AW$4-$B149+1)</f>
        <v/>
      </c>
      <c r="AX149" s="153">
        <f>$C149*INDEX(Curves!$AF$8:$AF$68,AX$4-$B149+1)</f>
        <v/>
      </c>
      <c r="AY149" s="153">
        <f>$C149*INDEX(Curves!$AF$8:$AF$68,AY$4-$B149+1)</f>
        <v/>
      </c>
      <c r="AZ149" s="153">
        <f>$C149*INDEX(Curves!$AF$8:$AF$68,AZ$4-$B149+1)</f>
        <v/>
      </c>
      <c r="BA149" s="153">
        <f>$C149*INDEX(Curves!$AF$8:$AF$68,BA$4-$B149+1)</f>
        <v/>
      </c>
      <c r="BB149" s="153">
        <f>$C149*INDEX(Curves!$AF$8:$AF$68,BB$4-$B149+1)</f>
        <v/>
      </c>
      <c r="BC149" s="153">
        <f>$C149*INDEX(Curves!$AF$8:$AF$68,BC$4-$B149+1)</f>
        <v/>
      </c>
      <c r="BD149" s="153">
        <f>$C149*INDEX(Curves!$AF$8:$AF$68,BD$4-$B149+1)</f>
        <v/>
      </c>
      <c r="BE149" s="153">
        <f>$C149*INDEX(Curves!$AF$8:$AF$68,BE$4-$B149+1)</f>
        <v/>
      </c>
      <c r="BF149" s="153">
        <f>$C149*INDEX(Curves!$AF$8:$AF$68,BF$4-$B149+1)</f>
        <v/>
      </c>
      <c r="BG149" s="153">
        <f>$C149*INDEX(Curves!$AF$8:$AF$68,BG$4-$B149+1)</f>
        <v/>
      </c>
      <c r="BH149" s="153">
        <f>$C149*INDEX(Curves!$AF$8:$AF$68,BH$4-$B149+1)</f>
        <v/>
      </c>
      <c r="BI149" s="153">
        <f>$C149*INDEX(Curves!$AF$8:$AF$68,BI$4-$B149+1)</f>
        <v/>
      </c>
      <c r="BJ149" s="153">
        <f>$C149*INDEX(Curves!$AF$8:$AF$68,BJ$4-$B149+1)</f>
        <v/>
      </c>
      <c r="BK149" s="153">
        <f>$C149*INDEX(Curves!$AF$8:$AF$68,BK$4-$B149+1)</f>
        <v/>
      </c>
      <c r="BL149" s="153">
        <f>$C149*INDEX(Curves!$AF$8:$AF$68,BL$4-$B149+1)</f>
        <v/>
      </c>
    </row>
    <row r="150">
      <c r="A150" s="147" t="inlineStr">
        <is>
          <t>Cohort month 15</t>
        </is>
      </c>
      <c r="B150" s="147" t="n">
        <v>15</v>
      </c>
      <c r="C150" s="41">
        <f>INDEX(Ops!$E$60:$BL$60,1,$B150)</f>
        <v/>
      </c>
      <c r="T150" s="153">
        <f>$C150*INDEX(Curves!$AF$8:$AF$68,T$4-$B150+1)</f>
        <v/>
      </c>
      <c r="U150" s="153">
        <f>$C150*INDEX(Curves!$AF$8:$AF$68,U$4-$B150+1)</f>
        <v/>
      </c>
      <c r="V150" s="153">
        <f>$C150*INDEX(Curves!$AF$8:$AF$68,V$4-$B150+1)</f>
        <v/>
      </c>
      <c r="W150" s="153">
        <f>$C150*INDEX(Curves!$AF$8:$AF$68,W$4-$B150+1)</f>
        <v/>
      </c>
      <c r="X150" s="153">
        <f>$C150*INDEX(Curves!$AF$8:$AF$68,X$4-$B150+1)</f>
        <v/>
      </c>
      <c r="Y150" s="153">
        <f>$C150*INDEX(Curves!$AF$8:$AF$68,Y$4-$B150+1)</f>
        <v/>
      </c>
      <c r="Z150" s="153">
        <f>$C150*INDEX(Curves!$AF$8:$AF$68,Z$4-$B150+1)</f>
        <v/>
      </c>
      <c r="AA150" s="153">
        <f>$C150*INDEX(Curves!$AF$8:$AF$68,AA$4-$B150+1)</f>
        <v/>
      </c>
      <c r="AB150" s="153">
        <f>$C150*INDEX(Curves!$AF$8:$AF$68,AB$4-$B150+1)</f>
        <v/>
      </c>
      <c r="AC150" s="153">
        <f>$C150*INDEX(Curves!$AF$8:$AF$68,AC$4-$B150+1)</f>
        <v/>
      </c>
      <c r="AD150" s="153">
        <f>$C150*INDEX(Curves!$AF$8:$AF$68,AD$4-$B150+1)</f>
        <v/>
      </c>
      <c r="AE150" s="153">
        <f>$C150*INDEX(Curves!$AF$8:$AF$68,AE$4-$B150+1)</f>
        <v/>
      </c>
      <c r="AF150" s="153">
        <f>$C150*INDEX(Curves!$AF$8:$AF$68,AF$4-$B150+1)</f>
        <v/>
      </c>
      <c r="AG150" s="153">
        <f>$C150*INDEX(Curves!$AF$8:$AF$68,AG$4-$B150+1)</f>
        <v/>
      </c>
      <c r="AH150" s="153">
        <f>$C150*INDEX(Curves!$AF$8:$AF$68,AH$4-$B150+1)</f>
        <v/>
      </c>
      <c r="AI150" s="153">
        <f>$C150*INDEX(Curves!$AF$8:$AF$68,AI$4-$B150+1)</f>
        <v/>
      </c>
      <c r="AJ150" s="153">
        <f>$C150*INDEX(Curves!$AF$8:$AF$68,AJ$4-$B150+1)</f>
        <v/>
      </c>
      <c r="AK150" s="153">
        <f>$C150*INDEX(Curves!$AF$8:$AF$68,AK$4-$B150+1)</f>
        <v/>
      </c>
      <c r="AL150" s="153">
        <f>$C150*INDEX(Curves!$AF$8:$AF$68,AL$4-$B150+1)</f>
        <v/>
      </c>
      <c r="AM150" s="153">
        <f>$C150*INDEX(Curves!$AF$8:$AF$68,AM$4-$B150+1)</f>
        <v/>
      </c>
      <c r="AN150" s="153">
        <f>$C150*INDEX(Curves!$AF$8:$AF$68,AN$4-$B150+1)</f>
        <v/>
      </c>
      <c r="AO150" s="153">
        <f>$C150*INDEX(Curves!$AF$8:$AF$68,AO$4-$B150+1)</f>
        <v/>
      </c>
      <c r="AP150" s="153">
        <f>$C150*INDEX(Curves!$AF$8:$AF$68,AP$4-$B150+1)</f>
        <v/>
      </c>
      <c r="AQ150" s="153">
        <f>$C150*INDEX(Curves!$AF$8:$AF$68,AQ$4-$B150+1)</f>
        <v/>
      </c>
      <c r="AR150" s="153">
        <f>$C150*INDEX(Curves!$AF$8:$AF$68,AR$4-$B150+1)</f>
        <v/>
      </c>
      <c r="AS150" s="153">
        <f>$C150*INDEX(Curves!$AF$8:$AF$68,AS$4-$B150+1)</f>
        <v/>
      </c>
      <c r="AT150" s="153">
        <f>$C150*INDEX(Curves!$AF$8:$AF$68,AT$4-$B150+1)</f>
        <v/>
      </c>
      <c r="AU150" s="153">
        <f>$C150*INDEX(Curves!$AF$8:$AF$68,AU$4-$B150+1)</f>
        <v/>
      </c>
      <c r="AV150" s="153">
        <f>$C150*INDEX(Curves!$AF$8:$AF$68,AV$4-$B150+1)</f>
        <v/>
      </c>
      <c r="AW150" s="153">
        <f>$C150*INDEX(Curves!$AF$8:$AF$68,AW$4-$B150+1)</f>
        <v/>
      </c>
      <c r="AX150" s="153">
        <f>$C150*INDEX(Curves!$AF$8:$AF$68,AX$4-$B150+1)</f>
        <v/>
      </c>
      <c r="AY150" s="153">
        <f>$C150*INDEX(Curves!$AF$8:$AF$68,AY$4-$B150+1)</f>
        <v/>
      </c>
      <c r="AZ150" s="153">
        <f>$C150*INDEX(Curves!$AF$8:$AF$68,AZ$4-$B150+1)</f>
        <v/>
      </c>
      <c r="BA150" s="153">
        <f>$C150*INDEX(Curves!$AF$8:$AF$68,BA$4-$B150+1)</f>
        <v/>
      </c>
      <c r="BB150" s="153">
        <f>$C150*INDEX(Curves!$AF$8:$AF$68,BB$4-$B150+1)</f>
        <v/>
      </c>
      <c r="BC150" s="153">
        <f>$C150*INDEX(Curves!$AF$8:$AF$68,BC$4-$B150+1)</f>
        <v/>
      </c>
      <c r="BD150" s="153">
        <f>$C150*INDEX(Curves!$AF$8:$AF$68,BD$4-$B150+1)</f>
        <v/>
      </c>
      <c r="BE150" s="153">
        <f>$C150*INDEX(Curves!$AF$8:$AF$68,BE$4-$B150+1)</f>
        <v/>
      </c>
      <c r="BF150" s="153">
        <f>$C150*INDEX(Curves!$AF$8:$AF$68,BF$4-$B150+1)</f>
        <v/>
      </c>
      <c r="BG150" s="153">
        <f>$C150*INDEX(Curves!$AF$8:$AF$68,BG$4-$B150+1)</f>
        <v/>
      </c>
      <c r="BH150" s="153">
        <f>$C150*INDEX(Curves!$AF$8:$AF$68,BH$4-$B150+1)</f>
        <v/>
      </c>
      <c r="BI150" s="153">
        <f>$C150*INDEX(Curves!$AF$8:$AF$68,BI$4-$B150+1)</f>
        <v/>
      </c>
      <c r="BJ150" s="153">
        <f>$C150*INDEX(Curves!$AF$8:$AF$68,BJ$4-$B150+1)</f>
        <v/>
      </c>
      <c r="BK150" s="153">
        <f>$C150*INDEX(Curves!$AF$8:$AF$68,BK$4-$B150+1)</f>
        <v/>
      </c>
      <c r="BL150" s="153">
        <f>$C150*INDEX(Curves!$AF$8:$AF$68,BL$4-$B150+1)</f>
        <v/>
      </c>
    </row>
    <row r="151">
      <c r="A151" s="147" t="inlineStr">
        <is>
          <t>Cohort month 16</t>
        </is>
      </c>
      <c r="B151" s="147" t="n">
        <v>16</v>
      </c>
      <c r="C151" s="41">
        <f>INDEX(Ops!$E$60:$BL$60,1,$B151)</f>
        <v/>
      </c>
      <c r="U151" s="153">
        <f>$C151*INDEX(Curves!$AF$8:$AF$68,U$4-$B151+1)</f>
        <v/>
      </c>
      <c r="V151" s="153">
        <f>$C151*INDEX(Curves!$AF$8:$AF$68,V$4-$B151+1)</f>
        <v/>
      </c>
      <c r="W151" s="153">
        <f>$C151*INDEX(Curves!$AF$8:$AF$68,W$4-$B151+1)</f>
        <v/>
      </c>
      <c r="X151" s="153">
        <f>$C151*INDEX(Curves!$AF$8:$AF$68,X$4-$B151+1)</f>
        <v/>
      </c>
      <c r="Y151" s="153">
        <f>$C151*INDEX(Curves!$AF$8:$AF$68,Y$4-$B151+1)</f>
        <v/>
      </c>
      <c r="Z151" s="153">
        <f>$C151*INDEX(Curves!$AF$8:$AF$68,Z$4-$B151+1)</f>
        <v/>
      </c>
      <c r="AA151" s="153">
        <f>$C151*INDEX(Curves!$AF$8:$AF$68,AA$4-$B151+1)</f>
        <v/>
      </c>
      <c r="AB151" s="153">
        <f>$C151*INDEX(Curves!$AF$8:$AF$68,AB$4-$B151+1)</f>
        <v/>
      </c>
      <c r="AC151" s="153">
        <f>$C151*INDEX(Curves!$AF$8:$AF$68,AC$4-$B151+1)</f>
        <v/>
      </c>
      <c r="AD151" s="153">
        <f>$C151*INDEX(Curves!$AF$8:$AF$68,AD$4-$B151+1)</f>
        <v/>
      </c>
      <c r="AE151" s="153">
        <f>$C151*INDEX(Curves!$AF$8:$AF$68,AE$4-$B151+1)</f>
        <v/>
      </c>
      <c r="AF151" s="153">
        <f>$C151*INDEX(Curves!$AF$8:$AF$68,AF$4-$B151+1)</f>
        <v/>
      </c>
      <c r="AG151" s="153">
        <f>$C151*INDEX(Curves!$AF$8:$AF$68,AG$4-$B151+1)</f>
        <v/>
      </c>
      <c r="AH151" s="153">
        <f>$C151*INDEX(Curves!$AF$8:$AF$68,AH$4-$B151+1)</f>
        <v/>
      </c>
      <c r="AI151" s="153">
        <f>$C151*INDEX(Curves!$AF$8:$AF$68,AI$4-$B151+1)</f>
        <v/>
      </c>
      <c r="AJ151" s="153">
        <f>$C151*INDEX(Curves!$AF$8:$AF$68,AJ$4-$B151+1)</f>
        <v/>
      </c>
      <c r="AK151" s="153">
        <f>$C151*INDEX(Curves!$AF$8:$AF$68,AK$4-$B151+1)</f>
        <v/>
      </c>
      <c r="AL151" s="153">
        <f>$C151*INDEX(Curves!$AF$8:$AF$68,AL$4-$B151+1)</f>
        <v/>
      </c>
      <c r="AM151" s="153">
        <f>$C151*INDEX(Curves!$AF$8:$AF$68,AM$4-$B151+1)</f>
        <v/>
      </c>
      <c r="AN151" s="153">
        <f>$C151*INDEX(Curves!$AF$8:$AF$68,AN$4-$B151+1)</f>
        <v/>
      </c>
      <c r="AO151" s="153">
        <f>$C151*INDEX(Curves!$AF$8:$AF$68,AO$4-$B151+1)</f>
        <v/>
      </c>
      <c r="AP151" s="153">
        <f>$C151*INDEX(Curves!$AF$8:$AF$68,AP$4-$B151+1)</f>
        <v/>
      </c>
      <c r="AQ151" s="153">
        <f>$C151*INDEX(Curves!$AF$8:$AF$68,AQ$4-$B151+1)</f>
        <v/>
      </c>
      <c r="AR151" s="153">
        <f>$C151*INDEX(Curves!$AF$8:$AF$68,AR$4-$B151+1)</f>
        <v/>
      </c>
      <c r="AS151" s="153">
        <f>$C151*INDEX(Curves!$AF$8:$AF$68,AS$4-$B151+1)</f>
        <v/>
      </c>
      <c r="AT151" s="153">
        <f>$C151*INDEX(Curves!$AF$8:$AF$68,AT$4-$B151+1)</f>
        <v/>
      </c>
      <c r="AU151" s="153">
        <f>$C151*INDEX(Curves!$AF$8:$AF$68,AU$4-$B151+1)</f>
        <v/>
      </c>
      <c r="AV151" s="153">
        <f>$C151*INDEX(Curves!$AF$8:$AF$68,AV$4-$B151+1)</f>
        <v/>
      </c>
      <c r="AW151" s="153">
        <f>$C151*INDEX(Curves!$AF$8:$AF$68,AW$4-$B151+1)</f>
        <v/>
      </c>
      <c r="AX151" s="153">
        <f>$C151*INDEX(Curves!$AF$8:$AF$68,AX$4-$B151+1)</f>
        <v/>
      </c>
      <c r="AY151" s="153">
        <f>$C151*INDEX(Curves!$AF$8:$AF$68,AY$4-$B151+1)</f>
        <v/>
      </c>
      <c r="AZ151" s="153">
        <f>$C151*INDEX(Curves!$AF$8:$AF$68,AZ$4-$B151+1)</f>
        <v/>
      </c>
      <c r="BA151" s="153">
        <f>$C151*INDEX(Curves!$AF$8:$AF$68,BA$4-$B151+1)</f>
        <v/>
      </c>
      <c r="BB151" s="153">
        <f>$C151*INDEX(Curves!$AF$8:$AF$68,BB$4-$B151+1)</f>
        <v/>
      </c>
      <c r="BC151" s="153">
        <f>$C151*INDEX(Curves!$AF$8:$AF$68,BC$4-$B151+1)</f>
        <v/>
      </c>
      <c r="BD151" s="153">
        <f>$C151*INDEX(Curves!$AF$8:$AF$68,BD$4-$B151+1)</f>
        <v/>
      </c>
      <c r="BE151" s="153">
        <f>$C151*INDEX(Curves!$AF$8:$AF$68,BE$4-$B151+1)</f>
        <v/>
      </c>
      <c r="BF151" s="153">
        <f>$C151*INDEX(Curves!$AF$8:$AF$68,BF$4-$B151+1)</f>
        <v/>
      </c>
      <c r="BG151" s="153">
        <f>$C151*INDEX(Curves!$AF$8:$AF$68,BG$4-$B151+1)</f>
        <v/>
      </c>
      <c r="BH151" s="153">
        <f>$C151*INDEX(Curves!$AF$8:$AF$68,BH$4-$B151+1)</f>
        <v/>
      </c>
      <c r="BI151" s="153">
        <f>$C151*INDEX(Curves!$AF$8:$AF$68,BI$4-$B151+1)</f>
        <v/>
      </c>
      <c r="BJ151" s="153">
        <f>$C151*INDEX(Curves!$AF$8:$AF$68,BJ$4-$B151+1)</f>
        <v/>
      </c>
      <c r="BK151" s="153">
        <f>$C151*INDEX(Curves!$AF$8:$AF$68,BK$4-$B151+1)</f>
        <v/>
      </c>
      <c r="BL151" s="153">
        <f>$C151*INDEX(Curves!$AF$8:$AF$68,BL$4-$B151+1)</f>
        <v/>
      </c>
    </row>
    <row r="152">
      <c r="A152" s="147" t="inlineStr">
        <is>
          <t>Cohort month 17</t>
        </is>
      </c>
      <c r="B152" s="147" t="n">
        <v>17</v>
      </c>
      <c r="C152" s="41">
        <f>INDEX(Ops!$E$60:$BL$60,1,$B152)</f>
        <v/>
      </c>
      <c r="V152" s="153">
        <f>$C152*INDEX(Curves!$AF$8:$AF$68,V$4-$B152+1)</f>
        <v/>
      </c>
      <c r="W152" s="153">
        <f>$C152*INDEX(Curves!$AF$8:$AF$68,W$4-$B152+1)</f>
        <v/>
      </c>
      <c r="X152" s="153">
        <f>$C152*INDEX(Curves!$AF$8:$AF$68,X$4-$B152+1)</f>
        <v/>
      </c>
      <c r="Y152" s="153">
        <f>$C152*INDEX(Curves!$AF$8:$AF$68,Y$4-$B152+1)</f>
        <v/>
      </c>
      <c r="Z152" s="153">
        <f>$C152*INDEX(Curves!$AF$8:$AF$68,Z$4-$B152+1)</f>
        <v/>
      </c>
      <c r="AA152" s="153">
        <f>$C152*INDEX(Curves!$AF$8:$AF$68,AA$4-$B152+1)</f>
        <v/>
      </c>
      <c r="AB152" s="153">
        <f>$C152*INDEX(Curves!$AF$8:$AF$68,AB$4-$B152+1)</f>
        <v/>
      </c>
      <c r="AC152" s="153">
        <f>$C152*INDEX(Curves!$AF$8:$AF$68,AC$4-$B152+1)</f>
        <v/>
      </c>
      <c r="AD152" s="153">
        <f>$C152*INDEX(Curves!$AF$8:$AF$68,AD$4-$B152+1)</f>
        <v/>
      </c>
      <c r="AE152" s="153">
        <f>$C152*INDEX(Curves!$AF$8:$AF$68,AE$4-$B152+1)</f>
        <v/>
      </c>
      <c r="AF152" s="153">
        <f>$C152*INDEX(Curves!$AF$8:$AF$68,AF$4-$B152+1)</f>
        <v/>
      </c>
      <c r="AG152" s="153">
        <f>$C152*INDEX(Curves!$AF$8:$AF$68,AG$4-$B152+1)</f>
        <v/>
      </c>
      <c r="AH152" s="153">
        <f>$C152*INDEX(Curves!$AF$8:$AF$68,AH$4-$B152+1)</f>
        <v/>
      </c>
      <c r="AI152" s="153">
        <f>$C152*INDEX(Curves!$AF$8:$AF$68,AI$4-$B152+1)</f>
        <v/>
      </c>
      <c r="AJ152" s="153">
        <f>$C152*INDEX(Curves!$AF$8:$AF$68,AJ$4-$B152+1)</f>
        <v/>
      </c>
      <c r="AK152" s="153">
        <f>$C152*INDEX(Curves!$AF$8:$AF$68,AK$4-$B152+1)</f>
        <v/>
      </c>
      <c r="AL152" s="153">
        <f>$C152*INDEX(Curves!$AF$8:$AF$68,AL$4-$B152+1)</f>
        <v/>
      </c>
      <c r="AM152" s="153">
        <f>$C152*INDEX(Curves!$AF$8:$AF$68,AM$4-$B152+1)</f>
        <v/>
      </c>
      <c r="AN152" s="153">
        <f>$C152*INDEX(Curves!$AF$8:$AF$68,AN$4-$B152+1)</f>
        <v/>
      </c>
      <c r="AO152" s="153">
        <f>$C152*INDEX(Curves!$AF$8:$AF$68,AO$4-$B152+1)</f>
        <v/>
      </c>
      <c r="AP152" s="153">
        <f>$C152*INDEX(Curves!$AF$8:$AF$68,AP$4-$B152+1)</f>
        <v/>
      </c>
      <c r="AQ152" s="153">
        <f>$C152*INDEX(Curves!$AF$8:$AF$68,AQ$4-$B152+1)</f>
        <v/>
      </c>
      <c r="AR152" s="153">
        <f>$C152*INDEX(Curves!$AF$8:$AF$68,AR$4-$B152+1)</f>
        <v/>
      </c>
      <c r="AS152" s="153">
        <f>$C152*INDEX(Curves!$AF$8:$AF$68,AS$4-$B152+1)</f>
        <v/>
      </c>
      <c r="AT152" s="153">
        <f>$C152*INDEX(Curves!$AF$8:$AF$68,AT$4-$B152+1)</f>
        <v/>
      </c>
      <c r="AU152" s="153">
        <f>$C152*INDEX(Curves!$AF$8:$AF$68,AU$4-$B152+1)</f>
        <v/>
      </c>
      <c r="AV152" s="153">
        <f>$C152*INDEX(Curves!$AF$8:$AF$68,AV$4-$B152+1)</f>
        <v/>
      </c>
      <c r="AW152" s="153">
        <f>$C152*INDEX(Curves!$AF$8:$AF$68,AW$4-$B152+1)</f>
        <v/>
      </c>
      <c r="AX152" s="153">
        <f>$C152*INDEX(Curves!$AF$8:$AF$68,AX$4-$B152+1)</f>
        <v/>
      </c>
      <c r="AY152" s="153">
        <f>$C152*INDEX(Curves!$AF$8:$AF$68,AY$4-$B152+1)</f>
        <v/>
      </c>
      <c r="AZ152" s="153">
        <f>$C152*INDEX(Curves!$AF$8:$AF$68,AZ$4-$B152+1)</f>
        <v/>
      </c>
      <c r="BA152" s="153">
        <f>$C152*INDEX(Curves!$AF$8:$AF$68,BA$4-$B152+1)</f>
        <v/>
      </c>
      <c r="BB152" s="153">
        <f>$C152*INDEX(Curves!$AF$8:$AF$68,BB$4-$B152+1)</f>
        <v/>
      </c>
      <c r="BC152" s="153">
        <f>$C152*INDEX(Curves!$AF$8:$AF$68,BC$4-$B152+1)</f>
        <v/>
      </c>
      <c r="BD152" s="153">
        <f>$C152*INDEX(Curves!$AF$8:$AF$68,BD$4-$B152+1)</f>
        <v/>
      </c>
      <c r="BE152" s="153">
        <f>$C152*INDEX(Curves!$AF$8:$AF$68,BE$4-$B152+1)</f>
        <v/>
      </c>
      <c r="BF152" s="153">
        <f>$C152*INDEX(Curves!$AF$8:$AF$68,BF$4-$B152+1)</f>
        <v/>
      </c>
      <c r="BG152" s="153">
        <f>$C152*INDEX(Curves!$AF$8:$AF$68,BG$4-$B152+1)</f>
        <v/>
      </c>
      <c r="BH152" s="153">
        <f>$C152*INDEX(Curves!$AF$8:$AF$68,BH$4-$B152+1)</f>
        <v/>
      </c>
      <c r="BI152" s="153">
        <f>$C152*INDEX(Curves!$AF$8:$AF$68,BI$4-$B152+1)</f>
        <v/>
      </c>
      <c r="BJ152" s="153">
        <f>$C152*INDEX(Curves!$AF$8:$AF$68,BJ$4-$B152+1)</f>
        <v/>
      </c>
      <c r="BK152" s="153">
        <f>$C152*INDEX(Curves!$AF$8:$AF$68,BK$4-$B152+1)</f>
        <v/>
      </c>
      <c r="BL152" s="153">
        <f>$C152*INDEX(Curves!$AF$8:$AF$68,BL$4-$B152+1)</f>
        <v/>
      </c>
    </row>
    <row r="153">
      <c r="A153" s="147" t="inlineStr">
        <is>
          <t>Cohort month 18</t>
        </is>
      </c>
      <c r="B153" s="147" t="n">
        <v>18</v>
      </c>
      <c r="C153" s="41">
        <f>INDEX(Ops!$E$60:$BL$60,1,$B153)</f>
        <v/>
      </c>
      <c r="W153" s="153">
        <f>$C153*INDEX(Curves!$AF$8:$AF$68,W$4-$B153+1)</f>
        <v/>
      </c>
      <c r="X153" s="153">
        <f>$C153*INDEX(Curves!$AF$8:$AF$68,X$4-$B153+1)</f>
        <v/>
      </c>
      <c r="Y153" s="153">
        <f>$C153*INDEX(Curves!$AF$8:$AF$68,Y$4-$B153+1)</f>
        <v/>
      </c>
      <c r="Z153" s="153">
        <f>$C153*INDEX(Curves!$AF$8:$AF$68,Z$4-$B153+1)</f>
        <v/>
      </c>
      <c r="AA153" s="153">
        <f>$C153*INDEX(Curves!$AF$8:$AF$68,AA$4-$B153+1)</f>
        <v/>
      </c>
      <c r="AB153" s="153">
        <f>$C153*INDEX(Curves!$AF$8:$AF$68,AB$4-$B153+1)</f>
        <v/>
      </c>
      <c r="AC153" s="153">
        <f>$C153*INDEX(Curves!$AF$8:$AF$68,AC$4-$B153+1)</f>
        <v/>
      </c>
      <c r="AD153" s="153">
        <f>$C153*INDEX(Curves!$AF$8:$AF$68,AD$4-$B153+1)</f>
        <v/>
      </c>
      <c r="AE153" s="153">
        <f>$C153*INDEX(Curves!$AF$8:$AF$68,AE$4-$B153+1)</f>
        <v/>
      </c>
      <c r="AF153" s="153">
        <f>$C153*INDEX(Curves!$AF$8:$AF$68,AF$4-$B153+1)</f>
        <v/>
      </c>
      <c r="AG153" s="153">
        <f>$C153*INDEX(Curves!$AF$8:$AF$68,AG$4-$B153+1)</f>
        <v/>
      </c>
      <c r="AH153" s="153">
        <f>$C153*INDEX(Curves!$AF$8:$AF$68,AH$4-$B153+1)</f>
        <v/>
      </c>
      <c r="AI153" s="153">
        <f>$C153*INDEX(Curves!$AF$8:$AF$68,AI$4-$B153+1)</f>
        <v/>
      </c>
      <c r="AJ153" s="153">
        <f>$C153*INDEX(Curves!$AF$8:$AF$68,AJ$4-$B153+1)</f>
        <v/>
      </c>
      <c r="AK153" s="153">
        <f>$C153*INDEX(Curves!$AF$8:$AF$68,AK$4-$B153+1)</f>
        <v/>
      </c>
      <c r="AL153" s="153">
        <f>$C153*INDEX(Curves!$AF$8:$AF$68,AL$4-$B153+1)</f>
        <v/>
      </c>
      <c r="AM153" s="153">
        <f>$C153*INDEX(Curves!$AF$8:$AF$68,AM$4-$B153+1)</f>
        <v/>
      </c>
      <c r="AN153" s="153">
        <f>$C153*INDEX(Curves!$AF$8:$AF$68,AN$4-$B153+1)</f>
        <v/>
      </c>
      <c r="AO153" s="153">
        <f>$C153*INDEX(Curves!$AF$8:$AF$68,AO$4-$B153+1)</f>
        <v/>
      </c>
      <c r="AP153" s="153">
        <f>$C153*INDEX(Curves!$AF$8:$AF$68,AP$4-$B153+1)</f>
        <v/>
      </c>
      <c r="AQ153" s="153">
        <f>$C153*INDEX(Curves!$AF$8:$AF$68,AQ$4-$B153+1)</f>
        <v/>
      </c>
      <c r="AR153" s="153">
        <f>$C153*INDEX(Curves!$AF$8:$AF$68,AR$4-$B153+1)</f>
        <v/>
      </c>
      <c r="AS153" s="153">
        <f>$C153*INDEX(Curves!$AF$8:$AF$68,AS$4-$B153+1)</f>
        <v/>
      </c>
      <c r="AT153" s="153">
        <f>$C153*INDEX(Curves!$AF$8:$AF$68,AT$4-$B153+1)</f>
        <v/>
      </c>
      <c r="AU153" s="153">
        <f>$C153*INDEX(Curves!$AF$8:$AF$68,AU$4-$B153+1)</f>
        <v/>
      </c>
      <c r="AV153" s="153">
        <f>$C153*INDEX(Curves!$AF$8:$AF$68,AV$4-$B153+1)</f>
        <v/>
      </c>
      <c r="AW153" s="153">
        <f>$C153*INDEX(Curves!$AF$8:$AF$68,AW$4-$B153+1)</f>
        <v/>
      </c>
      <c r="AX153" s="153">
        <f>$C153*INDEX(Curves!$AF$8:$AF$68,AX$4-$B153+1)</f>
        <v/>
      </c>
      <c r="AY153" s="153">
        <f>$C153*INDEX(Curves!$AF$8:$AF$68,AY$4-$B153+1)</f>
        <v/>
      </c>
      <c r="AZ153" s="153">
        <f>$C153*INDEX(Curves!$AF$8:$AF$68,AZ$4-$B153+1)</f>
        <v/>
      </c>
      <c r="BA153" s="153">
        <f>$C153*INDEX(Curves!$AF$8:$AF$68,BA$4-$B153+1)</f>
        <v/>
      </c>
      <c r="BB153" s="153">
        <f>$C153*INDEX(Curves!$AF$8:$AF$68,BB$4-$B153+1)</f>
        <v/>
      </c>
      <c r="BC153" s="153">
        <f>$C153*INDEX(Curves!$AF$8:$AF$68,BC$4-$B153+1)</f>
        <v/>
      </c>
      <c r="BD153" s="153">
        <f>$C153*INDEX(Curves!$AF$8:$AF$68,BD$4-$B153+1)</f>
        <v/>
      </c>
      <c r="BE153" s="153">
        <f>$C153*INDEX(Curves!$AF$8:$AF$68,BE$4-$B153+1)</f>
        <v/>
      </c>
      <c r="BF153" s="153">
        <f>$C153*INDEX(Curves!$AF$8:$AF$68,BF$4-$B153+1)</f>
        <v/>
      </c>
      <c r="BG153" s="153">
        <f>$C153*INDEX(Curves!$AF$8:$AF$68,BG$4-$B153+1)</f>
        <v/>
      </c>
      <c r="BH153" s="153">
        <f>$C153*INDEX(Curves!$AF$8:$AF$68,BH$4-$B153+1)</f>
        <v/>
      </c>
      <c r="BI153" s="153">
        <f>$C153*INDEX(Curves!$AF$8:$AF$68,BI$4-$B153+1)</f>
        <v/>
      </c>
      <c r="BJ153" s="153">
        <f>$C153*INDEX(Curves!$AF$8:$AF$68,BJ$4-$B153+1)</f>
        <v/>
      </c>
      <c r="BK153" s="153">
        <f>$C153*INDEX(Curves!$AF$8:$AF$68,BK$4-$B153+1)</f>
        <v/>
      </c>
      <c r="BL153" s="153">
        <f>$C153*INDEX(Curves!$AF$8:$AF$68,BL$4-$B153+1)</f>
        <v/>
      </c>
    </row>
    <row r="154">
      <c r="A154" s="147" t="inlineStr">
        <is>
          <t>Cohort month 19</t>
        </is>
      </c>
      <c r="B154" s="147" t="n">
        <v>19</v>
      </c>
      <c r="C154" s="41">
        <f>INDEX(Ops!$E$60:$BL$60,1,$B154)</f>
        <v/>
      </c>
      <c r="X154" s="153">
        <f>$C154*INDEX(Curves!$AF$8:$AF$68,X$4-$B154+1)</f>
        <v/>
      </c>
      <c r="Y154" s="153">
        <f>$C154*INDEX(Curves!$AF$8:$AF$68,Y$4-$B154+1)</f>
        <v/>
      </c>
      <c r="Z154" s="153">
        <f>$C154*INDEX(Curves!$AF$8:$AF$68,Z$4-$B154+1)</f>
        <v/>
      </c>
      <c r="AA154" s="153">
        <f>$C154*INDEX(Curves!$AF$8:$AF$68,AA$4-$B154+1)</f>
        <v/>
      </c>
      <c r="AB154" s="153">
        <f>$C154*INDEX(Curves!$AF$8:$AF$68,AB$4-$B154+1)</f>
        <v/>
      </c>
      <c r="AC154" s="153">
        <f>$C154*INDEX(Curves!$AF$8:$AF$68,AC$4-$B154+1)</f>
        <v/>
      </c>
      <c r="AD154" s="153">
        <f>$C154*INDEX(Curves!$AF$8:$AF$68,AD$4-$B154+1)</f>
        <v/>
      </c>
      <c r="AE154" s="153">
        <f>$C154*INDEX(Curves!$AF$8:$AF$68,AE$4-$B154+1)</f>
        <v/>
      </c>
      <c r="AF154" s="153">
        <f>$C154*INDEX(Curves!$AF$8:$AF$68,AF$4-$B154+1)</f>
        <v/>
      </c>
      <c r="AG154" s="153">
        <f>$C154*INDEX(Curves!$AF$8:$AF$68,AG$4-$B154+1)</f>
        <v/>
      </c>
      <c r="AH154" s="153">
        <f>$C154*INDEX(Curves!$AF$8:$AF$68,AH$4-$B154+1)</f>
        <v/>
      </c>
      <c r="AI154" s="153">
        <f>$C154*INDEX(Curves!$AF$8:$AF$68,AI$4-$B154+1)</f>
        <v/>
      </c>
      <c r="AJ154" s="153">
        <f>$C154*INDEX(Curves!$AF$8:$AF$68,AJ$4-$B154+1)</f>
        <v/>
      </c>
      <c r="AK154" s="153">
        <f>$C154*INDEX(Curves!$AF$8:$AF$68,AK$4-$B154+1)</f>
        <v/>
      </c>
      <c r="AL154" s="153">
        <f>$C154*INDEX(Curves!$AF$8:$AF$68,AL$4-$B154+1)</f>
        <v/>
      </c>
      <c r="AM154" s="153">
        <f>$C154*INDEX(Curves!$AF$8:$AF$68,AM$4-$B154+1)</f>
        <v/>
      </c>
      <c r="AN154" s="153">
        <f>$C154*INDEX(Curves!$AF$8:$AF$68,AN$4-$B154+1)</f>
        <v/>
      </c>
      <c r="AO154" s="153">
        <f>$C154*INDEX(Curves!$AF$8:$AF$68,AO$4-$B154+1)</f>
        <v/>
      </c>
      <c r="AP154" s="153">
        <f>$C154*INDEX(Curves!$AF$8:$AF$68,AP$4-$B154+1)</f>
        <v/>
      </c>
      <c r="AQ154" s="153">
        <f>$C154*INDEX(Curves!$AF$8:$AF$68,AQ$4-$B154+1)</f>
        <v/>
      </c>
      <c r="AR154" s="153">
        <f>$C154*INDEX(Curves!$AF$8:$AF$68,AR$4-$B154+1)</f>
        <v/>
      </c>
      <c r="AS154" s="153">
        <f>$C154*INDEX(Curves!$AF$8:$AF$68,AS$4-$B154+1)</f>
        <v/>
      </c>
      <c r="AT154" s="153">
        <f>$C154*INDEX(Curves!$AF$8:$AF$68,AT$4-$B154+1)</f>
        <v/>
      </c>
      <c r="AU154" s="153">
        <f>$C154*INDEX(Curves!$AF$8:$AF$68,AU$4-$B154+1)</f>
        <v/>
      </c>
      <c r="AV154" s="153">
        <f>$C154*INDEX(Curves!$AF$8:$AF$68,AV$4-$B154+1)</f>
        <v/>
      </c>
      <c r="AW154" s="153">
        <f>$C154*INDEX(Curves!$AF$8:$AF$68,AW$4-$B154+1)</f>
        <v/>
      </c>
      <c r="AX154" s="153">
        <f>$C154*INDEX(Curves!$AF$8:$AF$68,AX$4-$B154+1)</f>
        <v/>
      </c>
      <c r="AY154" s="153">
        <f>$C154*INDEX(Curves!$AF$8:$AF$68,AY$4-$B154+1)</f>
        <v/>
      </c>
      <c r="AZ154" s="153">
        <f>$C154*INDEX(Curves!$AF$8:$AF$68,AZ$4-$B154+1)</f>
        <v/>
      </c>
      <c r="BA154" s="153">
        <f>$C154*INDEX(Curves!$AF$8:$AF$68,BA$4-$B154+1)</f>
        <v/>
      </c>
      <c r="BB154" s="153">
        <f>$C154*INDEX(Curves!$AF$8:$AF$68,BB$4-$B154+1)</f>
        <v/>
      </c>
      <c r="BC154" s="153">
        <f>$C154*INDEX(Curves!$AF$8:$AF$68,BC$4-$B154+1)</f>
        <v/>
      </c>
      <c r="BD154" s="153">
        <f>$C154*INDEX(Curves!$AF$8:$AF$68,BD$4-$B154+1)</f>
        <v/>
      </c>
      <c r="BE154" s="153">
        <f>$C154*INDEX(Curves!$AF$8:$AF$68,BE$4-$B154+1)</f>
        <v/>
      </c>
      <c r="BF154" s="153">
        <f>$C154*INDEX(Curves!$AF$8:$AF$68,BF$4-$B154+1)</f>
        <v/>
      </c>
      <c r="BG154" s="153">
        <f>$C154*INDEX(Curves!$AF$8:$AF$68,BG$4-$B154+1)</f>
        <v/>
      </c>
      <c r="BH154" s="153">
        <f>$C154*INDEX(Curves!$AF$8:$AF$68,BH$4-$B154+1)</f>
        <v/>
      </c>
      <c r="BI154" s="153">
        <f>$C154*INDEX(Curves!$AF$8:$AF$68,BI$4-$B154+1)</f>
        <v/>
      </c>
      <c r="BJ154" s="153">
        <f>$C154*INDEX(Curves!$AF$8:$AF$68,BJ$4-$B154+1)</f>
        <v/>
      </c>
      <c r="BK154" s="153">
        <f>$C154*INDEX(Curves!$AF$8:$AF$68,BK$4-$B154+1)</f>
        <v/>
      </c>
      <c r="BL154" s="153">
        <f>$C154*INDEX(Curves!$AF$8:$AF$68,BL$4-$B154+1)</f>
        <v/>
      </c>
    </row>
    <row r="155">
      <c r="A155" s="147" t="inlineStr">
        <is>
          <t>Cohort month 20</t>
        </is>
      </c>
      <c r="B155" s="147" t="n">
        <v>20</v>
      </c>
      <c r="C155" s="41">
        <f>INDEX(Ops!$E$60:$BL$60,1,$B155)</f>
        <v/>
      </c>
      <c r="Y155" s="153">
        <f>$C155*INDEX(Curves!$AF$8:$AF$68,Y$4-$B155+1)</f>
        <v/>
      </c>
      <c r="Z155" s="153">
        <f>$C155*INDEX(Curves!$AF$8:$AF$68,Z$4-$B155+1)</f>
        <v/>
      </c>
      <c r="AA155" s="153">
        <f>$C155*INDEX(Curves!$AF$8:$AF$68,AA$4-$B155+1)</f>
        <v/>
      </c>
      <c r="AB155" s="153">
        <f>$C155*INDEX(Curves!$AF$8:$AF$68,AB$4-$B155+1)</f>
        <v/>
      </c>
      <c r="AC155" s="153">
        <f>$C155*INDEX(Curves!$AF$8:$AF$68,AC$4-$B155+1)</f>
        <v/>
      </c>
      <c r="AD155" s="153">
        <f>$C155*INDEX(Curves!$AF$8:$AF$68,AD$4-$B155+1)</f>
        <v/>
      </c>
      <c r="AE155" s="153">
        <f>$C155*INDEX(Curves!$AF$8:$AF$68,AE$4-$B155+1)</f>
        <v/>
      </c>
      <c r="AF155" s="153">
        <f>$C155*INDEX(Curves!$AF$8:$AF$68,AF$4-$B155+1)</f>
        <v/>
      </c>
      <c r="AG155" s="153">
        <f>$C155*INDEX(Curves!$AF$8:$AF$68,AG$4-$B155+1)</f>
        <v/>
      </c>
      <c r="AH155" s="153">
        <f>$C155*INDEX(Curves!$AF$8:$AF$68,AH$4-$B155+1)</f>
        <v/>
      </c>
      <c r="AI155" s="153">
        <f>$C155*INDEX(Curves!$AF$8:$AF$68,AI$4-$B155+1)</f>
        <v/>
      </c>
      <c r="AJ155" s="153">
        <f>$C155*INDEX(Curves!$AF$8:$AF$68,AJ$4-$B155+1)</f>
        <v/>
      </c>
      <c r="AK155" s="153">
        <f>$C155*INDEX(Curves!$AF$8:$AF$68,AK$4-$B155+1)</f>
        <v/>
      </c>
      <c r="AL155" s="153">
        <f>$C155*INDEX(Curves!$AF$8:$AF$68,AL$4-$B155+1)</f>
        <v/>
      </c>
      <c r="AM155" s="153">
        <f>$C155*INDEX(Curves!$AF$8:$AF$68,AM$4-$B155+1)</f>
        <v/>
      </c>
      <c r="AN155" s="153">
        <f>$C155*INDEX(Curves!$AF$8:$AF$68,AN$4-$B155+1)</f>
        <v/>
      </c>
      <c r="AO155" s="153">
        <f>$C155*INDEX(Curves!$AF$8:$AF$68,AO$4-$B155+1)</f>
        <v/>
      </c>
      <c r="AP155" s="153">
        <f>$C155*INDEX(Curves!$AF$8:$AF$68,AP$4-$B155+1)</f>
        <v/>
      </c>
      <c r="AQ155" s="153">
        <f>$C155*INDEX(Curves!$AF$8:$AF$68,AQ$4-$B155+1)</f>
        <v/>
      </c>
      <c r="AR155" s="153">
        <f>$C155*INDEX(Curves!$AF$8:$AF$68,AR$4-$B155+1)</f>
        <v/>
      </c>
      <c r="AS155" s="153">
        <f>$C155*INDEX(Curves!$AF$8:$AF$68,AS$4-$B155+1)</f>
        <v/>
      </c>
      <c r="AT155" s="153">
        <f>$C155*INDEX(Curves!$AF$8:$AF$68,AT$4-$B155+1)</f>
        <v/>
      </c>
      <c r="AU155" s="153">
        <f>$C155*INDEX(Curves!$AF$8:$AF$68,AU$4-$B155+1)</f>
        <v/>
      </c>
      <c r="AV155" s="153">
        <f>$C155*INDEX(Curves!$AF$8:$AF$68,AV$4-$B155+1)</f>
        <v/>
      </c>
      <c r="AW155" s="153">
        <f>$C155*INDEX(Curves!$AF$8:$AF$68,AW$4-$B155+1)</f>
        <v/>
      </c>
      <c r="AX155" s="153">
        <f>$C155*INDEX(Curves!$AF$8:$AF$68,AX$4-$B155+1)</f>
        <v/>
      </c>
      <c r="AY155" s="153">
        <f>$C155*INDEX(Curves!$AF$8:$AF$68,AY$4-$B155+1)</f>
        <v/>
      </c>
      <c r="AZ155" s="153">
        <f>$C155*INDEX(Curves!$AF$8:$AF$68,AZ$4-$B155+1)</f>
        <v/>
      </c>
      <c r="BA155" s="153">
        <f>$C155*INDEX(Curves!$AF$8:$AF$68,BA$4-$B155+1)</f>
        <v/>
      </c>
      <c r="BB155" s="153">
        <f>$C155*INDEX(Curves!$AF$8:$AF$68,BB$4-$B155+1)</f>
        <v/>
      </c>
      <c r="BC155" s="153">
        <f>$C155*INDEX(Curves!$AF$8:$AF$68,BC$4-$B155+1)</f>
        <v/>
      </c>
      <c r="BD155" s="153">
        <f>$C155*INDEX(Curves!$AF$8:$AF$68,BD$4-$B155+1)</f>
        <v/>
      </c>
      <c r="BE155" s="153">
        <f>$C155*INDEX(Curves!$AF$8:$AF$68,BE$4-$B155+1)</f>
        <v/>
      </c>
      <c r="BF155" s="153">
        <f>$C155*INDEX(Curves!$AF$8:$AF$68,BF$4-$B155+1)</f>
        <v/>
      </c>
      <c r="BG155" s="153">
        <f>$C155*INDEX(Curves!$AF$8:$AF$68,BG$4-$B155+1)</f>
        <v/>
      </c>
      <c r="BH155" s="153">
        <f>$C155*INDEX(Curves!$AF$8:$AF$68,BH$4-$B155+1)</f>
        <v/>
      </c>
      <c r="BI155" s="153">
        <f>$C155*INDEX(Curves!$AF$8:$AF$68,BI$4-$B155+1)</f>
        <v/>
      </c>
      <c r="BJ155" s="153">
        <f>$C155*INDEX(Curves!$AF$8:$AF$68,BJ$4-$B155+1)</f>
        <v/>
      </c>
      <c r="BK155" s="153">
        <f>$C155*INDEX(Curves!$AF$8:$AF$68,BK$4-$B155+1)</f>
        <v/>
      </c>
      <c r="BL155" s="153">
        <f>$C155*INDEX(Curves!$AF$8:$AF$68,BL$4-$B155+1)</f>
        <v/>
      </c>
    </row>
    <row r="156">
      <c r="A156" s="147" t="inlineStr">
        <is>
          <t>Cohort month 21</t>
        </is>
      </c>
      <c r="B156" s="147" t="n">
        <v>21</v>
      </c>
      <c r="C156" s="41">
        <f>INDEX(Ops!$E$60:$BL$60,1,$B156)</f>
        <v/>
      </c>
      <c r="Z156" s="153">
        <f>$C156*INDEX(Curves!$AF$8:$AF$68,Z$4-$B156+1)</f>
        <v/>
      </c>
      <c r="AA156" s="153">
        <f>$C156*INDEX(Curves!$AF$8:$AF$68,AA$4-$B156+1)</f>
        <v/>
      </c>
      <c r="AB156" s="153">
        <f>$C156*INDEX(Curves!$AF$8:$AF$68,AB$4-$B156+1)</f>
        <v/>
      </c>
      <c r="AC156" s="153">
        <f>$C156*INDEX(Curves!$AF$8:$AF$68,AC$4-$B156+1)</f>
        <v/>
      </c>
      <c r="AD156" s="153">
        <f>$C156*INDEX(Curves!$AF$8:$AF$68,AD$4-$B156+1)</f>
        <v/>
      </c>
      <c r="AE156" s="153">
        <f>$C156*INDEX(Curves!$AF$8:$AF$68,AE$4-$B156+1)</f>
        <v/>
      </c>
      <c r="AF156" s="153">
        <f>$C156*INDEX(Curves!$AF$8:$AF$68,AF$4-$B156+1)</f>
        <v/>
      </c>
      <c r="AG156" s="153">
        <f>$C156*INDEX(Curves!$AF$8:$AF$68,AG$4-$B156+1)</f>
        <v/>
      </c>
      <c r="AH156" s="153">
        <f>$C156*INDEX(Curves!$AF$8:$AF$68,AH$4-$B156+1)</f>
        <v/>
      </c>
      <c r="AI156" s="153">
        <f>$C156*INDEX(Curves!$AF$8:$AF$68,AI$4-$B156+1)</f>
        <v/>
      </c>
      <c r="AJ156" s="153">
        <f>$C156*INDEX(Curves!$AF$8:$AF$68,AJ$4-$B156+1)</f>
        <v/>
      </c>
      <c r="AK156" s="153">
        <f>$C156*INDEX(Curves!$AF$8:$AF$68,AK$4-$B156+1)</f>
        <v/>
      </c>
      <c r="AL156" s="153">
        <f>$C156*INDEX(Curves!$AF$8:$AF$68,AL$4-$B156+1)</f>
        <v/>
      </c>
      <c r="AM156" s="153">
        <f>$C156*INDEX(Curves!$AF$8:$AF$68,AM$4-$B156+1)</f>
        <v/>
      </c>
      <c r="AN156" s="153">
        <f>$C156*INDEX(Curves!$AF$8:$AF$68,AN$4-$B156+1)</f>
        <v/>
      </c>
      <c r="AO156" s="153">
        <f>$C156*INDEX(Curves!$AF$8:$AF$68,AO$4-$B156+1)</f>
        <v/>
      </c>
      <c r="AP156" s="153">
        <f>$C156*INDEX(Curves!$AF$8:$AF$68,AP$4-$B156+1)</f>
        <v/>
      </c>
      <c r="AQ156" s="153">
        <f>$C156*INDEX(Curves!$AF$8:$AF$68,AQ$4-$B156+1)</f>
        <v/>
      </c>
      <c r="AR156" s="153">
        <f>$C156*INDEX(Curves!$AF$8:$AF$68,AR$4-$B156+1)</f>
        <v/>
      </c>
      <c r="AS156" s="153">
        <f>$C156*INDEX(Curves!$AF$8:$AF$68,AS$4-$B156+1)</f>
        <v/>
      </c>
      <c r="AT156" s="153">
        <f>$C156*INDEX(Curves!$AF$8:$AF$68,AT$4-$B156+1)</f>
        <v/>
      </c>
      <c r="AU156" s="153">
        <f>$C156*INDEX(Curves!$AF$8:$AF$68,AU$4-$B156+1)</f>
        <v/>
      </c>
      <c r="AV156" s="153">
        <f>$C156*INDEX(Curves!$AF$8:$AF$68,AV$4-$B156+1)</f>
        <v/>
      </c>
      <c r="AW156" s="153">
        <f>$C156*INDEX(Curves!$AF$8:$AF$68,AW$4-$B156+1)</f>
        <v/>
      </c>
      <c r="AX156" s="153">
        <f>$C156*INDEX(Curves!$AF$8:$AF$68,AX$4-$B156+1)</f>
        <v/>
      </c>
      <c r="AY156" s="153">
        <f>$C156*INDEX(Curves!$AF$8:$AF$68,AY$4-$B156+1)</f>
        <v/>
      </c>
      <c r="AZ156" s="153">
        <f>$C156*INDEX(Curves!$AF$8:$AF$68,AZ$4-$B156+1)</f>
        <v/>
      </c>
      <c r="BA156" s="153">
        <f>$C156*INDEX(Curves!$AF$8:$AF$68,BA$4-$B156+1)</f>
        <v/>
      </c>
      <c r="BB156" s="153">
        <f>$C156*INDEX(Curves!$AF$8:$AF$68,BB$4-$B156+1)</f>
        <v/>
      </c>
      <c r="BC156" s="153">
        <f>$C156*INDEX(Curves!$AF$8:$AF$68,BC$4-$B156+1)</f>
        <v/>
      </c>
      <c r="BD156" s="153">
        <f>$C156*INDEX(Curves!$AF$8:$AF$68,BD$4-$B156+1)</f>
        <v/>
      </c>
      <c r="BE156" s="153">
        <f>$C156*INDEX(Curves!$AF$8:$AF$68,BE$4-$B156+1)</f>
        <v/>
      </c>
      <c r="BF156" s="153">
        <f>$C156*INDEX(Curves!$AF$8:$AF$68,BF$4-$B156+1)</f>
        <v/>
      </c>
      <c r="BG156" s="153">
        <f>$C156*INDEX(Curves!$AF$8:$AF$68,BG$4-$B156+1)</f>
        <v/>
      </c>
      <c r="BH156" s="153">
        <f>$C156*INDEX(Curves!$AF$8:$AF$68,BH$4-$B156+1)</f>
        <v/>
      </c>
      <c r="BI156" s="153">
        <f>$C156*INDEX(Curves!$AF$8:$AF$68,BI$4-$B156+1)</f>
        <v/>
      </c>
      <c r="BJ156" s="153">
        <f>$C156*INDEX(Curves!$AF$8:$AF$68,BJ$4-$B156+1)</f>
        <v/>
      </c>
      <c r="BK156" s="153">
        <f>$C156*INDEX(Curves!$AF$8:$AF$68,BK$4-$B156+1)</f>
        <v/>
      </c>
      <c r="BL156" s="153">
        <f>$C156*INDEX(Curves!$AF$8:$AF$68,BL$4-$B156+1)</f>
        <v/>
      </c>
    </row>
    <row r="157">
      <c r="A157" s="147" t="inlineStr">
        <is>
          <t>Cohort month 22</t>
        </is>
      </c>
      <c r="B157" s="147" t="n">
        <v>22</v>
      </c>
      <c r="C157" s="41">
        <f>INDEX(Ops!$E$60:$BL$60,1,$B157)</f>
        <v/>
      </c>
      <c r="AA157" s="153">
        <f>$C157*INDEX(Curves!$AF$8:$AF$68,AA$4-$B157+1)</f>
        <v/>
      </c>
      <c r="AB157" s="153">
        <f>$C157*INDEX(Curves!$AF$8:$AF$68,AB$4-$B157+1)</f>
        <v/>
      </c>
      <c r="AC157" s="153">
        <f>$C157*INDEX(Curves!$AF$8:$AF$68,AC$4-$B157+1)</f>
        <v/>
      </c>
      <c r="AD157" s="153">
        <f>$C157*INDEX(Curves!$AF$8:$AF$68,AD$4-$B157+1)</f>
        <v/>
      </c>
      <c r="AE157" s="153">
        <f>$C157*INDEX(Curves!$AF$8:$AF$68,AE$4-$B157+1)</f>
        <v/>
      </c>
      <c r="AF157" s="153">
        <f>$C157*INDEX(Curves!$AF$8:$AF$68,AF$4-$B157+1)</f>
        <v/>
      </c>
      <c r="AG157" s="153">
        <f>$C157*INDEX(Curves!$AF$8:$AF$68,AG$4-$B157+1)</f>
        <v/>
      </c>
      <c r="AH157" s="153">
        <f>$C157*INDEX(Curves!$AF$8:$AF$68,AH$4-$B157+1)</f>
        <v/>
      </c>
      <c r="AI157" s="153">
        <f>$C157*INDEX(Curves!$AF$8:$AF$68,AI$4-$B157+1)</f>
        <v/>
      </c>
      <c r="AJ157" s="153">
        <f>$C157*INDEX(Curves!$AF$8:$AF$68,AJ$4-$B157+1)</f>
        <v/>
      </c>
      <c r="AK157" s="153">
        <f>$C157*INDEX(Curves!$AF$8:$AF$68,AK$4-$B157+1)</f>
        <v/>
      </c>
      <c r="AL157" s="153">
        <f>$C157*INDEX(Curves!$AF$8:$AF$68,AL$4-$B157+1)</f>
        <v/>
      </c>
      <c r="AM157" s="153">
        <f>$C157*INDEX(Curves!$AF$8:$AF$68,AM$4-$B157+1)</f>
        <v/>
      </c>
      <c r="AN157" s="153">
        <f>$C157*INDEX(Curves!$AF$8:$AF$68,AN$4-$B157+1)</f>
        <v/>
      </c>
      <c r="AO157" s="153">
        <f>$C157*INDEX(Curves!$AF$8:$AF$68,AO$4-$B157+1)</f>
        <v/>
      </c>
      <c r="AP157" s="153">
        <f>$C157*INDEX(Curves!$AF$8:$AF$68,AP$4-$B157+1)</f>
        <v/>
      </c>
      <c r="AQ157" s="153">
        <f>$C157*INDEX(Curves!$AF$8:$AF$68,AQ$4-$B157+1)</f>
        <v/>
      </c>
      <c r="AR157" s="153">
        <f>$C157*INDEX(Curves!$AF$8:$AF$68,AR$4-$B157+1)</f>
        <v/>
      </c>
      <c r="AS157" s="153">
        <f>$C157*INDEX(Curves!$AF$8:$AF$68,AS$4-$B157+1)</f>
        <v/>
      </c>
      <c r="AT157" s="153">
        <f>$C157*INDEX(Curves!$AF$8:$AF$68,AT$4-$B157+1)</f>
        <v/>
      </c>
      <c r="AU157" s="153">
        <f>$C157*INDEX(Curves!$AF$8:$AF$68,AU$4-$B157+1)</f>
        <v/>
      </c>
      <c r="AV157" s="153">
        <f>$C157*INDEX(Curves!$AF$8:$AF$68,AV$4-$B157+1)</f>
        <v/>
      </c>
      <c r="AW157" s="153">
        <f>$C157*INDEX(Curves!$AF$8:$AF$68,AW$4-$B157+1)</f>
        <v/>
      </c>
      <c r="AX157" s="153">
        <f>$C157*INDEX(Curves!$AF$8:$AF$68,AX$4-$B157+1)</f>
        <v/>
      </c>
      <c r="AY157" s="153">
        <f>$C157*INDEX(Curves!$AF$8:$AF$68,AY$4-$B157+1)</f>
        <v/>
      </c>
      <c r="AZ157" s="153">
        <f>$C157*INDEX(Curves!$AF$8:$AF$68,AZ$4-$B157+1)</f>
        <v/>
      </c>
      <c r="BA157" s="153">
        <f>$C157*INDEX(Curves!$AF$8:$AF$68,BA$4-$B157+1)</f>
        <v/>
      </c>
      <c r="BB157" s="153">
        <f>$C157*INDEX(Curves!$AF$8:$AF$68,BB$4-$B157+1)</f>
        <v/>
      </c>
      <c r="BC157" s="153">
        <f>$C157*INDEX(Curves!$AF$8:$AF$68,BC$4-$B157+1)</f>
        <v/>
      </c>
      <c r="BD157" s="153">
        <f>$C157*INDEX(Curves!$AF$8:$AF$68,BD$4-$B157+1)</f>
        <v/>
      </c>
      <c r="BE157" s="153">
        <f>$C157*INDEX(Curves!$AF$8:$AF$68,BE$4-$B157+1)</f>
        <v/>
      </c>
      <c r="BF157" s="153">
        <f>$C157*INDEX(Curves!$AF$8:$AF$68,BF$4-$B157+1)</f>
        <v/>
      </c>
      <c r="BG157" s="153">
        <f>$C157*INDEX(Curves!$AF$8:$AF$68,BG$4-$B157+1)</f>
        <v/>
      </c>
      <c r="BH157" s="153">
        <f>$C157*INDEX(Curves!$AF$8:$AF$68,BH$4-$B157+1)</f>
        <v/>
      </c>
      <c r="BI157" s="153">
        <f>$C157*INDEX(Curves!$AF$8:$AF$68,BI$4-$B157+1)</f>
        <v/>
      </c>
      <c r="BJ157" s="153">
        <f>$C157*INDEX(Curves!$AF$8:$AF$68,BJ$4-$B157+1)</f>
        <v/>
      </c>
      <c r="BK157" s="153">
        <f>$C157*INDEX(Curves!$AF$8:$AF$68,BK$4-$B157+1)</f>
        <v/>
      </c>
      <c r="BL157" s="153">
        <f>$C157*INDEX(Curves!$AF$8:$AF$68,BL$4-$B157+1)</f>
        <v/>
      </c>
    </row>
    <row r="158">
      <c r="A158" s="147" t="inlineStr">
        <is>
          <t>Cohort month 23</t>
        </is>
      </c>
      <c r="B158" s="147" t="n">
        <v>23</v>
      </c>
      <c r="C158" s="41">
        <f>INDEX(Ops!$E$60:$BL$60,1,$B158)</f>
        <v/>
      </c>
      <c r="AB158" s="153">
        <f>$C158*INDEX(Curves!$AF$8:$AF$68,AB$4-$B158+1)</f>
        <v/>
      </c>
      <c r="AC158" s="153">
        <f>$C158*INDEX(Curves!$AF$8:$AF$68,AC$4-$B158+1)</f>
        <v/>
      </c>
      <c r="AD158" s="153">
        <f>$C158*INDEX(Curves!$AF$8:$AF$68,AD$4-$B158+1)</f>
        <v/>
      </c>
      <c r="AE158" s="153">
        <f>$C158*INDEX(Curves!$AF$8:$AF$68,AE$4-$B158+1)</f>
        <v/>
      </c>
      <c r="AF158" s="153">
        <f>$C158*INDEX(Curves!$AF$8:$AF$68,AF$4-$B158+1)</f>
        <v/>
      </c>
      <c r="AG158" s="153">
        <f>$C158*INDEX(Curves!$AF$8:$AF$68,AG$4-$B158+1)</f>
        <v/>
      </c>
      <c r="AH158" s="153">
        <f>$C158*INDEX(Curves!$AF$8:$AF$68,AH$4-$B158+1)</f>
        <v/>
      </c>
      <c r="AI158" s="153">
        <f>$C158*INDEX(Curves!$AF$8:$AF$68,AI$4-$B158+1)</f>
        <v/>
      </c>
      <c r="AJ158" s="153">
        <f>$C158*INDEX(Curves!$AF$8:$AF$68,AJ$4-$B158+1)</f>
        <v/>
      </c>
      <c r="AK158" s="153">
        <f>$C158*INDEX(Curves!$AF$8:$AF$68,AK$4-$B158+1)</f>
        <v/>
      </c>
      <c r="AL158" s="153">
        <f>$C158*INDEX(Curves!$AF$8:$AF$68,AL$4-$B158+1)</f>
        <v/>
      </c>
      <c r="AM158" s="153">
        <f>$C158*INDEX(Curves!$AF$8:$AF$68,AM$4-$B158+1)</f>
        <v/>
      </c>
      <c r="AN158" s="153">
        <f>$C158*INDEX(Curves!$AF$8:$AF$68,AN$4-$B158+1)</f>
        <v/>
      </c>
      <c r="AO158" s="153">
        <f>$C158*INDEX(Curves!$AF$8:$AF$68,AO$4-$B158+1)</f>
        <v/>
      </c>
      <c r="AP158" s="153">
        <f>$C158*INDEX(Curves!$AF$8:$AF$68,AP$4-$B158+1)</f>
        <v/>
      </c>
      <c r="AQ158" s="153">
        <f>$C158*INDEX(Curves!$AF$8:$AF$68,AQ$4-$B158+1)</f>
        <v/>
      </c>
      <c r="AR158" s="153">
        <f>$C158*INDEX(Curves!$AF$8:$AF$68,AR$4-$B158+1)</f>
        <v/>
      </c>
      <c r="AS158" s="153">
        <f>$C158*INDEX(Curves!$AF$8:$AF$68,AS$4-$B158+1)</f>
        <v/>
      </c>
      <c r="AT158" s="153">
        <f>$C158*INDEX(Curves!$AF$8:$AF$68,AT$4-$B158+1)</f>
        <v/>
      </c>
      <c r="AU158" s="153">
        <f>$C158*INDEX(Curves!$AF$8:$AF$68,AU$4-$B158+1)</f>
        <v/>
      </c>
      <c r="AV158" s="153">
        <f>$C158*INDEX(Curves!$AF$8:$AF$68,AV$4-$B158+1)</f>
        <v/>
      </c>
      <c r="AW158" s="153">
        <f>$C158*INDEX(Curves!$AF$8:$AF$68,AW$4-$B158+1)</f>
        <v/>
      </c>
      <c r="AX158" s="153">
        <f>$C158*INDEX(Curves!$AF$8:$AF$68,AX$4-$B158+1)</f>
        <v/>
      </c>
      <c r="AY158" s="153">
        <f>$C158*INDEX(Curves!$AF$8:$AF$68,AY$4-$B158+1)</f>
        <v/>
      </c>
      <c r="AZ158" s="153">
        <f>$C158*INDEX(Curves!$AF$8:$AF$68,AZ$4-$B158+1)</f>
        <v/>
      </c>
      <c r="BA158" s="153">
        <f>$C158*INDEX(Curves!$AF$8:$AF$68,BA$4-$B158+1)</f>
        <v/>
      </c>
      <c r="BB158" s="153">
        <f>$C158*INDEX(Curves!$AF$8:$AF$68,BB$4-$B158+1)</f>
        <v/>
      </c>
      <c r="BC158" s="153">
        <f>$C158*INDEX(Curves!$AF$8:$AF$68,BC$4-$B158+1)</f>
        <v/>
      </c>
      <c r="BD158" s="153">
        <f>$C158*INDEX(Curves!$AF$8:$AF$68,BD$4-$B158+1)</f>
        <v/>
      </c>
      <c r="BE158" s="153">
        <f>$C158*INDEX(Curves!$AF$8:$AF$68,BE$4-$B158+1)</f>
        <v/>
      </c>
      <c r="BF158" s="153">
        <f>$C158*INDEX(Curves!$AF$8:$AF$68,BF$4-$B158+1)</f>
        <v/>
      </c>
      <c r="BG158" s="153">
        <f>$C158*INDEX(Curves!$AF$8:$AF$68,BG$4-$B158+1)</f>
        <v/>
      </c>
      <c r="BH158" s="153">
        <f>$C158*INDEX(Curves!$AF$8:$AF$68,BH$4-$B158+1)</f>
        <v/>
      </c>
      <c r="BI158" s="153">
        <f>$C158*INDEX(Curves!$AF$8:$AF$68,BI$4-$B158+1)</f>
        <v/>
      </c>
      <c r="BJ158" s="153">
        <f>$C158*INDEX(Curves!$AF$8:$AF$68,BJ$4-$B158+1)</f>
        <v/>
      </c>
      <c r="BK158" s="153">
        <f>$C158*INDEX(Curves!$AF$8:$AF$68,BK$4-$B158+1)</f>
        <v/>
      </c>
      <c r="BL158" s="153">
        <f>$C158*INDEX(Curves!$AF$8:$AF$68,BL$4-$B158+1)</f>
        <v/>
      </c>
    </row>
    <row r="159">
      <c r="A159" s="147" t="inlineStr">
        <is>
          <t>Cohort month 24</t>
        </is>
      </c>
      <c r="B159" s="147" t="n">
        <v>24</v>
      </c>
      <c r="C159" s="41">
        <f>INDEX(Ops!$E$60:$BL$60,1,$B159)</f>
        <v/>
      </c>
      <c r="AC159" s="153">
        <f>$C159*INDEX(Curves!$AF$8:$AF$68,AC$4-$B159+1)</f>
        <v/>
      </c>
      <c r="AD159" s="153">
        <f>$C159*INDEX(Curves!$AF$8:$AF$68,AD$4-$B159+1)</f>
        <v/>
      </c>
      <c r="AE159" s="153">
        <f>$C159*INDEX(Curves!$AF$8:$AF$68,AE$4-$B159+1)</f>
        <v/>
      </c>
      <c r="AF159" s="153">
        <f>$C159*INDEX(Curves!$AF$8:$AF$68,AF$4-$B159+1)</f>
        <v/>
      </c>
      <c r="AG159" s="153">
        <f>$C159*INDEX(Curves!$AF$8:$AF$68,AG$4-$B159+1)</f>
        <v/>
      </c>
      <c r="AH159" s="153">
        <f>$C159*INDEX(Curves!$AF$8:$AF$68,AH$4-$B159+1)</f>
        <v/>
      </c>
      <c r="AI159" s="153">
        <f>$C159*INDEX(Curves!$AF$8:$AF$68,AI$4-$B159+1)</f>
        <v/>
      </c>
      <c r="AJ159" s="153">
        <f>$C159*INDEX(Curves!$AF$8:$AF$68,AJ$4-$B159+1)</f>
        <v/>
      </c>
      <c r="AK159" s="153">
        <f>$C159*INDEX(Curves!$AF$8:$AF$68,AK$4-$B159+1)</f>
        <v/>
      </c>
      <c r="AL159" s="153">
        <f>$C159*INDEX(Curves!$AF$8:$AF$68,AL$4-$B159+1)</f>
        <v/>
      </c>
      <c r="AM159" s="153">
        <f>$C159*INDEX(Curves!$AF$8:$AF$68,AM$4-$B159+1)</f>
        <v/>
      </c>
      <c r="AN159" s="153">
        <f>$C159*INDEX(Curves!$AF$8:$AF$68,AN$4-$B159+1)</f>
        <v/>
      </c>
      <c r="AO159" s="153">
        <f>$C159*INDEX(Curves!$AF$8:$AF$68,AO$4-$B159+1)</f>
        <v/>
      </c>
      <c r="AP159" s="153">
        <f>$C159*INDEX(Curves!$AF$8:$AF$68,AP$4-$B159+1)</f>
        <v/>
      </c>
      <c r="AQ159" s="153">
        <f>$C159*INDEX(Curves!$AF$8:$AF$68,AQ$4-$B159+1)</f>
        <v/>
      </c>
      <c r="AR159" s="153">
        <f>$C159*INDEX(Curves!$AF$8:$AF$68,AR$4-$B159+1)</f>
        <v/>
      </c>
      <c r="AS159" s="153">
        <f>$C159*INDEX(Curves!$AF$8:$AF$68,AS$4-$B159+1)</f>
        <v/>
      </c>
      <c r="AT159" s="153">
        <f>$C159*INDEX(Curves!$AF$8:$AF$68,AT$4-$B159+1)</f>
        <v/>
      </c>
      <c r="AU159" s="153">
        <f>$C159*INDEX(Curves!$AF$8:$AF$68,AU$4-$B159+1)</f>
        <v/>
      </c>
      <c r="AV159" s="153">
        <f>$C159*INDEX(Curves!$AF$8:$AF$68,AV$4-$B159+1)</f>
        <v/>
      </c>
      <c r="AW159" s="153">
        <f>$C159*INDEX(Curves!$AF$8:$AF$68,AW$4-$B159+1)</f>
        <v/>
      </c>
      <c r="AX159" s="153">
        <f>$C159*INDEX(Curves!$AF$8:$AF$68,AX$4-$B159+1)</f>
        <v/>
      </c>
      <c r="AY159" s="153">
        <f>$C159*INDEX(Curves!$AF$8:$AF$68,AY$4-$B159+1)</f>
        <v/>
      </c>
      <c r="AZ159" s="153">
        <f>$C159*INDEX(Curves!$AF$8:$AF$68,AZ$4-$B159+1)</f>
        <v/>
      </c>
      <c r="BA159" s="153">
        <f>$C159*INDEX(Curves!$AF$8:$AF$68,BA$4-$B159+1)</f>
        <v/>
      </c>
      <c r="BB159" s="153">
        <f>$C159*INDEX(Curves!$AF$8:$AF$68,BB$4-$B159+1)</f>
        <v/>
      </c>
      <c r="BC159" s="153">
        <f>$C159*INDEX(Curves!$AF$8:$AF$68,BC$4-$B159+1)</f>
        <v/>
      </c>
      <c r="BD159" s="153">
        <f>$C159*INDEX(Curves!$AF$8:$AF$68,BD$4-$B159+1)</f>
        <v/>
      </c>
      <c r="BE159" s="153">
        <f>$C159*INDEX(Curves!$AF$8:$AF$68,BE$4-$B159+1)</f>
        <v/>
      </c>
      <c r="BF159" s="153">
        <f>$C159*INDEX(Curves!$AF$8:$AF$68,BF$4-$B159+1)</f>
        <v/>
      </c>
      <c r="BG159" s="153">
        <f>$C159*INDEX(Curves!$AF$8:$AF$68,BG$4-$B159+1)</f>
        <v/>
      </c>
      <c r="BH159" s="153">
        <f>$C159*INDEX(Curves!$AF$8:$AF$68,BH$4-$B159+1)</f>
        <v/>
      </c>
      <c r="BI159" s="153">
        <f>$C159*INDEX(Curves!$AF$8:$AF$68,BI$4-$B159+1)</f>
        <v/>
      </c>
      <c r="BJ159" s="153">
        <f>$C159*INDEX(Curves!$AF$8:$AF$68,BJ$4-$B159+1)</f>
        <v/>
      </c>
      <c r="BK159" s="153">
        <f>$C159*INDEX(Curves!$AF$8:$AF$68,BK$4-$B159+1)</f>
        <v/>
      </c>
      <c r="BL159" s="153">
        <f>$C159*INDEX(Curves!$AF$8:$AF$68,BL$4-$B159+1)</f>
        <v/>
      </c>
    </row>
    <row r="160">
      <c r="A160" s="147" t="inlineStr">
        <is>
          <t>Cohort month 25</t>
        </is>
      </c>
      <c r="B160" s="147" t="n">
        <v>25</v>
      </c>
      <c r="C160" s="41">
        <f>INDEX(Ops!$E$60:$BL$60,1,$B160)</f>
        <v/>
      </c>
      <c r="AD160" s="153">
        <f>$C160*INDEX(Curves!$AF$8:$AF$68,AD$4-$B160+1)</f>
        <v/>
      </c>
      <c r="AE160" s="153">
        <f>$C160*INDEX(Curves!$AF$8:$AF$68,AE$4-$B160+1)</f>
        <v/>
      </c>
      <c r="AF160" s="153">
        <f>$C160*INDEX(Curves!$AF$8:$AF$68,AF$4-$B160+1)</f>
        <v/>
      </c>
      <c r="AG160" s="153">
        <f>$C160*INDEX(Curves!$AF$8:$AF$68,AG$4-$B160+1)</f>
        <v/>
      </c>
      <c r="AH160" s="153">
        <f>$C160*INDEX(Curves!$AF$8:$AF$68,AH$4-$B160+1)</f>
        <v/>
      </c>
      <c r="AI160" s="153">
        <f>$C160*INDEX(Curves!$AF$8:$AF$68,AI$4-$B160+1)</f>
        <v/>
      </c>
      <c r="AJ160" s="153">
        <f>$C160*INDEX(Curves!$AF$8:$AF$68,AJ$4-$B160+1)</f>
        <v/>
      </c>
      <c r="AK160" s="153">
        <f>$C160*INDEX(Curves!$AF$8:$AF$68,AK$4-$B160+1)</f>
        <v/>
      </c>
      <c r="AL160" s="153">
        <f>$C160*INDEX(Curves!$AF$8:$AF$68,AL$4-$B160+1)</f>
        <v/>
      </c>
      <c r="AM160" s="153">
        <f>$C160*INDEX(Curves!$AF$8:$AF$68,AM$4-$B160+1)</f>
        <v/>
      </c>
      <c r="AN160" s="153">
        <f>$C160*INDEX(Curves!$AF$8:$AF$68,AN$4-$B160+1)</f>
        <v/>
      </c>
      <c r="AO160" s="153">
        <f>$C160*INDEX(Curves!$AF$8:$AF$68,AO$4-$B160+1)</f>
        <v/>
      </c>
      <c r="AP160" s="153">
        <f>$C160*INDEX(Curves!$AF$8:$AF$68,AP$4-$B160+1)</f>
        <v/>
      </c>
      <c r="AQ160" s="153">
        <f>$C160*INDEX(Curves!$AF$8:$AF$68,AQ$4-$B160+1)</f>
        <v/>
      </c>
      <c r="AR160" s="153">
        <f>$C160*INDEX(Curves!$AF$8:$AF$68,AR$4-$B160+1)</f>
        <v/>
      </c>
      <c r="AS160" s="153">
        <f>$C160*INDEX(Curves!$AF$8:$AF$68,AS$4-$B160+1)</f>
        <v/>
      </c>
      <c r="AT160" s="153">
        <f>$C160*INDEX(Curves!$AF$8:$AF$68,AT$4-$B160+1)</f>
        <v/>
      </c>
      <c r="AU160" s="153">
        <f>$C160*INDEX(Curves!$AF$8:$AF$68,AU$4-$B160+1)</f>
        <v/>
      </c>
      <c r="AV160" s="153">
        <f>$C160*INDEX(Curves!$AF$8:$AF$68,AV$4-$B160+1)</f>
        <v/>
      </c>
      <c r="AW160" s="153">
        <f>$C160*INDEX(Curves!$AF$8:$AF$68,AW$4-$B160+1)</f>
        <v/>
      </c>
      <c r="AX160" s="153">
        <f>$C160*INDEX(Curves!$AF$8:$AF$68,AX$4-$B160+1)</f>
        <v/>
      </c>
      <c r="AY160" s="153">
        <f>$C160*INDEX(Curves!$AF$8:$AF$68,AY$4-$B160+1)</f>
        <v/>
      </c>
      <c r="AZ160" s="153">
        <f>$C160*INDEX(Curves!$AF$8:$AF$68,AZ$4-$B160+1)</f>
        <v/>
      </c>
      <c r="BA160" s="153">
        <f>$C160*INDEX(Curves!$AF$8:$AF$68,BA$4-$B160+1)</f>
        <v/>
      </c>
      <c r="BB160" s="153">
        <f>$C160*INDEX(Curves!$AF$8:$AF$68,BB$4-$B160+1)</f>
        <v/>
      </c>
      <c r="BC160" s="153">
        <f>$C160*INDEX(Curves!$AF$8:$AF$68,BC$4-$B160+1)</f>
        <v/>
      </c>
      <c r="BD160" s="153">
        <f>$C160*INDEX(Curves!$AF$8:$AF$68,BD$4-$B160+1)</f>
        <v/>
      </c>
      <c r="BE160" s="153">
        <f>$C160*INDEX(Curves!$AF$8:$AF$68,BE$4-$B160+1)</f>
        <v/>
      </c>
      <c r="BF160" s="153">
        <f>$C160*INDEX(Curves!$AF$8:$AF$68,BF$4-$B160+1)</f>
        <v/>
      </c>
      <c r="BG160" s="153">
        <f>$C160*INDEX(Curves!$AF$8:$AF$68,BG$4-$B160+1)</f>
        <v/>
      </c>
      <c r="BH160" s="153">
        <f>$C160*INDEX(Curves!$AF$8:$AF$68,BH$4-$B160+1)</f>
        <v/>
      </c>
      <c r="BI160" s="153">
        <f>$C160*INDEX(Curves!$AF$8:$AF$68,BI$4-$B160+1)</f>
        <v/>
      </c>
      <c r="BJ160" s="153">
        <f>$C160*INDEX(Curves!$AF$8:$AF$68,BJ$4-$B160+1)</f>
        <v/>
      </c>
      <c r="BK160" s="153">
        <f>$C160*INDEX(Curves!$AF$8:$AF$68,BK$4-$B160+1)</f>
        <v/>
      </c>
      <c r="BL160" s="153">
        <f>$C160*INDEX(Curves!$AF$8:$AF$68,BL$4-$B160+1)</f>
        <v/>
      </c>
    </row>
    <row r="161">
      <c r="A161" s="147" t="inlineStr">
        <is>
          <t>Cohort month 26</t>
        </is>
      </c>
      <c r="B161" s="147" t="n">
        <v>26</v>
      </c>
      <c r="C161" s="41">
        <f>INDEX(Ops!$E$60:$BL$60,1,$B161)</f>
        <v/>
      </c>
      <c r="AE161" s="153">
        <f>$C161*INDEX(Curves!$AF$8:$AF$68,AE$4-$B161+1)</f>
        <v/>
      </c>
      <c r="AF161" s="153">
        <f>$C161*INDEX(Curves!$AF$8:$AF$68,AF$4-$B161+1)</f>
        <v/>
      </c>
      <c r="AG161" s="153">
        <f>$C161*INDEX(Curves!$AF$8:$AF$68,AG$4-$B161+1)</f>
        <v/>
      </c>
      <c r="AH161" s="153">
        <f>$C161*INDEX(Curves!$AF$8:$AF$68,AH$4-$B161+1)</f>
        <v/>
      </c>
      <c r="AI161" s="153">
        <f>$C161*INDEX(Curves!$AF$8:$AF$68,AI$4-$B161+1)</f>
        <v/>
      </c>
      <c r="AJ161" s="153">
        <f>$C161*INDEX(Curves!$AF$8:$AF$68,AJ$4-$B161+1)</f>
        <v/>
      </c>
      <c r="AK161" s="153">
        <f>$C161*INDEX(Curves!$AF$8:$AF$68,AK$4-$B161+1)</f>
        <v/>
      </c>
      <c r="AL161" s="153">
        <f>$C161*INDEX(Curves!$AF$8:$AF$68,AL$4-$B161+1)</f>
        <v/>
      </c>
      <c r="AM161" s="153">
        <f>$C161*INDEX(Curves!$AF$8:$AF$68,AM$4-$B161+1)</f>
        <v/>
      </c>
      <c r="AN161" s="153">
        <f>$C161*INDEX(Curves!$AF$8:$AF$68,AN$4-$B161+1)</f>
        <v/>
      </c>
      <c r="AO161" s="153">
        <f>$C161*INDEX(Curves!$AF$8:$AF$68,AO$4-$B161+1)</f>
        <v/>
      </c>
      <c r="AP161" s="153">
        <f>$C161*INDEX(Curves!$AF$8:$AF$68,AP$4-$B161+1)</f>
        <v/>
      </c>
      <c r="AQ161" s="153">
        <f>$C161*INDEX(Curves!$AF$8:$AF$68,AQ$4-$B161+1)</f>
        <v/>
      </c>
      <c r="AR161" s="153">
        <f>$C161*INDEX(Curves!$AF$8:$AF$68,AR$4-$B161+1)</f>
        <v/>
      </c>
      <c r="AS161" s="153">
        <f>$C161*INDEX(Curves!$AF$8:$AF$68,AS$4-$B161+1)</f>
        <v/>
      </c>
      <c r="AT161" s="153">
        <f>$C161*INDEX(Curves!$AF$8:$AF$68,AT$4-$B161+1)</f>
        <v/>
      </c>
      <c r="AU161" s="153">
        <f>$C161*INDEX(Curves!$AF$8:$AF$68,AU$4-$B161+1)</f>
        <v/>
      </c>
      <c r="AV161" s="153">
        <f>$C161*INDEX(Curves!$AF$8:$AF$68,AV$4-$B161+1)</f>
        <v/>
      </c>
      <c r="AW161" s="153">
        <f>$C161*INDEX(Curves!$AF$8:$AF$68,AW$4-$B161+1)</f>
        <v/>
      </c>
      <c r="AX161" s="153">
        <f>$C161*INDEX(Curves!$AF$8:$AF$68,AX$4-$B161+1)</f>
        <v/>
      </c>
      <c r="AY161" s="153">
        <f>$C161*INDEX(Curves!$AF$8:$AF$68,AY$4-$B161+1)</f>
        <v/>
      </c>
      <c r="AZ161" s="153">
        <f>$C161*INDEX(Curves!$AF$8:$AF$68,AZ$4-$B161+1)</f>
        <v/>
      </c>
      <c r="BA161" s="153">
        <f>$C161*INDEX(Curves!$AF$8:$AF$68,BA$4-$B161+1)</f>
        <v/>
      </c>
      <c r="BB161" s="153">
        <f>$C161*INDEX(Curves!$AF$8:$AF$68,BB$4-$B161+1)</f>
        <v/>
      </c>
      <c r="BC161" s="153">
        <f>$C161*INDEX(Curves!$AF$8:$AF$68,BC$4-$B161+1)</f>
        <v/>
      </c>
      <c r="BD161" s="153">
        <f>$C161*INDEX(Curves!$AF$8:$AF$68,BD$4-$B161+1)</f>
        <v/>
      </c>
      <c r="BE161" s="153">
        <f>$C161*INDEX(Curves!$AF$8:$AF$68,BE$4-$B161+1)</f>
        <v/>
      </c>
      <c r="BF161" s="153">
        <f>$C161*INDEX(Curves!$AF$8:$AF$68,BF$4-$B161+1)</f>
        <v/>
      </c>
      <c r="BG161" s="153">
        <f>$C161*INDEX(Curves!$AF$8:$AF$68,BG$4-$B161+1)</f>
        <v/>
      </c>
      <c r="BH161" s="153">
        <f>$C161*INDEX(Curves!$AF$8:$AF$68,BH$4-$B161+1)</f>
        <v/>
      </c>
      <c r="BI161" s="153">
        <f>$C161*INDEX(Curves!$AF$8:$AF$68,BI$4-$B161+1)</f>
        <v/>
      </c>
      <c r="BJ161" s="153">
        <f>$C161*INDEX(Curves!$AF$8:$AF$68,BJ$4-$B161+1)</f>
        <v/>
      </c>
      <c r="BK161" s="153">
        <f>$C161*INDEX(Curves!$AF$8:$AF$68,BK$4-$B161+1)</f>
        <v/>
      </c>
      <c r="BL161" s="153">
        <f>$C161*INDEX(Curves!$AF$8:$AF$68,BL$4-$B161+1)</f>
        <v/>
      </c>
    </row>
    <row r="162">
      <c r="A162" s="147" t="inlineStr">
        <is>
          <t>Cohort month 27</t>
        </is>
      </c>
      <c r="B162" s="147" t="n">
        <v>27</v>
      </c>
      <c r="C162" s="41">
        <f>INDEX(Ops!$E$60:$BL$60,1,$B162)</f>
        <v/>
      </c>
      <c r="AF162" s="153">
        <f>$C162*INDEX(Curves!$AF$8:$AF$68,AF$4-$B162+1)</f>
        <v/>
      </c>
      <c r="AG162" s="153">
        <f>$C162*INDEX(Curves!$AF$8:$AF$68,AG$4-$B162+1)</f>
        <v/>
      </c>
      <c r="AH162" s="153">
        <f>$C162*INDEX(Curves!$AF$8:$AF$68,AH$4-$B162+1)</f>
        <v/>
      </c>
      <c r="AI162" s="153">
        <f>$C162*INDEX(Curves!$AF$8:$AF$68,AI$4-$B162+1)</f>
        <v/>
      </c>
      <c r="AJ162" s="153">
        <f>$C162*INDEX(Curves!$AF$8:$AF$68,AJ$4-$B162+1)</f>
        <v/>
      </c>
      <c r="AK162" s="153">
        <f>$C162*INDEX(Curves!$AF$8:$AF$68,AK$4-$B162+1)</f>
        <v/>
      </c>
      <c r="AL162" s="153">
        <f>$C162*INDEX(Curves!$AF$8:$AF$68,AL$4-$B162+1)</f>
        <v/>
      </c>
      <c r="AM162" s="153">
        <f>$C162*INDEX(Curves!$AF$8:$AF$68,AM$4-$B162+1)</f>
        <v/>
      </c>
      <c r="AN162" s="153">
        <f>$C162*INDEX(Curves!$AF$8:$AF$68,AN$4-$B162+1)</f>
        <v/>
      </c>
      <c r="AO162" s="153">
        <f>$C162*INDEX(Curves!$AF$8:$AF$68,AO$4-$B162+1)</f>
        <v/>
      </c>
      <c r="AP162" s="153">
        <f>$C162*INDEX(Curves!$AF$8:$AF$68,AP$4-$B162+1)</f>
        <v/>
      </c>
      <c r="AQ162" s="153">
        <f>$C162*INDEX(Curves!$AF$8:$AF$68,AQ$4-$B162+1)</f>
        <v/>
      </c>
      <c r="AR162" s="153">
        <f>$C162*INDEX(Curves!$AF$8:$AF$68,AR$4-$B162+1)</f>
        <v/>
      </c>
      <c r="AS162" s="153">
        <f>$C162*INDEX(Curves!$AF$8:$AF$68,AS$4-$B162+1)</f>
        <v/>
      </c>
      <c r="AT162" s="153">
        <f>$C162*INDEX(Curves!$AF$8:$AF$68,AT$4-$B162+1)</f>
        <v/>
      </c>
      <c r="AU162" s="153">
        <f>$C162*INDEX(Curves!$AF$8:$AF$68,AU$4-$B162+1)</f>
        <v/>
      </c>
      <c r="AV162" s="153">
        <f>$C162*INDEX(Curves!$AF$8:$AF$68,AV$4-$B162+1)</f>
        <v/>
      </c>
      <c r="AW162" s="153">
        <f>$C162*INDEX(Curves!$AF$8:$AF$68,AW$4-$B162+1)</f>
        <v/>
      </c>
      <c r="AX162" s="153">
        <f>$C162*INDEX(Curves!$AF$8:$AF$68,AX$4-$B162+1)</f>
        <v/>
      </c>
      <c r="AY162" s="153">
        <f>$C162*INDEX(Curves!$AF$8:$AF$68,AY$4-$B162+1)</f>
        <v/>
      </c>
      <c r="AZ162" s="153">
        <f>$C162*INDEX(Curves!$AF$8:$AF$68,AZ$4-$B162+1)</f>
        <v/>
      </c>
      <c r="BA162" s="153">
        <f>$C162*INDEX(Curves!$AF$8:$AF$68,BA$4-$B162+1)</f>
        <v/>
      </c>
      <c r="BB162" s="153">
        <f>$C162*INDEX(Curves!$AF$8:$AF$68,BB$4-$B162+1)</f>
        <v/>
      </c>
      <c r="BC162" s="153">
        <f>$C162*INDEX(Curves!$AF$8:$AF$68,BC$4-$B162+1)</f>
        <v/>
      </c>
      <c r="BD162" s="153">
        <f>$C162*INDEX(Curves!$AF$8:$AF$68,BD$4-$B162+1)</f>
        <v/>
      </c>
      <c r="BE162" s="153">
        <f>$C162*INDEX(Curves!$AF$8:$AF$68,BE$4-$B162+1)</f>
        <v/>
      </c>
      <c r="BF162" s="153">
        <f>$C162*INDEX(Curves!$AF$8:$AF$68,BF$4-$B162+1)</f>
        <v/>
      </c>
      <c r="BG162" s="153">
        <f>$C162*INDEX(Curves!$AF$8:$AF$68,BG$4-$B162+1)</f>
        <v/>
      </c>
      <c r="BH162" s="153">
        <f>$C162*INDEX(Curves!$AF$8:$AF$68,BH$4-$B162+1)</f>
        <v/>
      </c>
      <c r="BI162" s="153">
        <f>$C162*INDEX(Curves!$AF$8:$AF$68,BI$4-$B162+1)</f>
        <v/>
      </c>
      <c r="BJ162" s="153">
        <f>$C162*INDEX(Curves!$AF$8:$AF$68,BJ$4-$B162+1)</f>
        <v/>
      </c>
      <c r="BK162" s="153">
        <f>$C162*INDEX(Curves!$AF$8:$AF$68,BK$4-$B162+1)</f>
        <v/>
      </c>
      <c r="BL162" s="153">
        <f>$C162*INDEX(Curves!$AF$8:$AF$68,BL$4-$B162+1)</f>
        <v/>
      </c>
    </row>
    <row r="163">
      <c r="A163" s="147" t="inlineStr">
        <is>
          <t>Cohort month 28</t>
        </is>
      </c>
      <c r="B163" s="147" t="n">
        <v>28</v>
      </c>
      <c r="C163" s="41">
        <f>INDEX(Ops!$E$60:$BL$60,1,$B163)</f>
        <v/>
      </c>
      <c r="AG163" s="153">
        <f>$C163*INDEX(Curves!$AF$8:$AF$68,AG$4-$B163+1)</f>
        <v/>
      </c>
      <c r="AH163" s="153">
        <f>$C163*INDEX(Curves!$AF$8:$AF$68,AH$4-$B163+1)</f>
        <v/>
      </c>
      <c r="AI163" s="153">
        <f>$C163*INDEX(Curves!$AF$8:$AF$68,AI$4-$B163+1)</f>
        <v/>
      </c>
      <c r="AJ163" s="153">
        <f>$C163*INDEX(Curves!$AF$8:$AF$68,AJ$4-$B163+1)</f>
        <v/>
      </c>
      <c r="AK163" s="153">
        <f>$C163*INDEX(Curves!$AF$8:$AF$68,AK$4-$B163+1)</f>
        <v/>
      </c>
      <c r="AL163" s="153">
        <f>$C163*INDEX(Curves!$AF$8:$AF$68,AL$4-$B163+1)</f>
        <v/>
      </c>
      <c r="AM163" s="153">
        <f>$C163*INDEX(Curves!$AF$8:$AF$68,AM$4-$B163+1)</f>
        <v/>
      </c>
      <c r="AN163" s="153">
        <f>$C163*INDEX(Curves!$AF$8:$AF$68,AN$4-$B163+1)</f>
        <v/>
      </c>
      <c r="AO163" s="153">
        <f>$C163*INDEX(Curves!$AF$8:$AF$68,AO$4-$B163+1)</f>
        <v/>
      </c>
      <c r="AP163" s="153">
        <f>$C163*INDEX(Curves!$AF$8:$AF$68,AP$4-$B163+1)</f>
        <v/>
      </c>
      <c r="AQ163" s="153">
        <f>$C163*INDEX(Curves!$AF$8:$AF$68,AQ$4-$B163+1)</f>
        <v/>
      </c>
      <c r="AR163" s="153">
        <f>$C163*INDEX(Curves!$AF$8:$AF$68,AR$4-$B163+1)</f>
        <v/>
      </c>
      <c r="AS163" s="153">
        <f>$C163*INDEX(Curves!$AF$8:$AF$68,AS$4-$B163+1)</f>
        <v/>
      </c>
      <c r="AT163" s="153">
        <f>$C163*INDEX(Curves!$AF$8:$AF$68,AT$4-$B163+1)</f>
        <v/>
      </c>
      <c r="AU163" s="153">
        <f>$C163*INDEX(Curves!$AF$8:$AF$68,AU$4-$B163+1)</f>
        <v/>
      </c>
      <c r="AV163" s="153">
        <f>$C163*INDEX(Curves!$AF$8:$AF$68,AV$4-$B163+1)</f>
        <v/>
      </c>
      <c r="AW163" s="153">
        <f>$C163*INDEX(Curves!$AF$8:$AF$68,AW$4-$B163+1)</f>
        <v/>
      </c>
      <c r="AX163" s="153">
        <f>$C163*INDEX(Curves!$AF$8:$AF$68,AX$4-$B163+1)</f>
        <v/>
      </c>
      <c r="AY163" s="153">
        <f>$C163*INDEX(Curves!$AF$8:$AF$68,AY$4-$B163+1)</f>
        <v/>
      </c>
      <c r="AZ163" s="153">
        <f>$C163*INDEX(Curves!$AF$8:$AF$68,AZ$4-$B163+1)</f>
        <v/>
      </c>
      <c r="BA163" s="153">
        <f>$C163*INDEX(Curves!$AF$8:$AF$68,BA$4-$B163+1)</f>
        <v/>
      </c>
      <c r="BB163" s="153">
        <f>$C163*INDEX(Curves!$AF$8:$AF$68,BB$4-$B163+1)</f>
        <v/>
      </c>
      <c r="BC163" s="153">
        <f>$C163*INDEX(Curves!$AF$8:$AF$68,BC$4-$B163+1)</f>
        <v/>
      </c>
      <c r="BD163" s="153">
        <f>$C163*INDEX(Curves!$AF$8:$AF$68,BD$4-$B163+1)</f>
        <v/>
      </c>
      <c r="BE163" s="153">
        <f>$C163*INDEX(Curves!$AF$8:$AF$68,BE$4-$B163+1)</f>
        <v/>
      </c>
      <c r="BF163" s="153">
        <f>$C163*INDEX(Curves!$AF$8:$AF$68,BF$4-$B163+1)</f>
        <v/>
      </c>
      <c r="BG163" s="153">
        <f>$C163*INDEX(Curves!$AF$8:$AF$68,BG$4-$B163+1)</f>
        <v/>
      </c>
      <c r="BH163" s="153">
        <f>$C163*INDEX(Curves!$AF$8:$AF$68,BH$4-$B163+1)</f>
        <v/>
      </c>
      <c r="BI163" s="153">
        <f>$C163*INDEX(Curves!$AF$8:$AF$68,BI$4-$B163+1)</f>
        <v/>
      </c>
      <c r="BJ163" s="153">
        <f>$C163*INDEX(Curves!$AF$8:$AF$68,BJ$4-$B163+1)</f>
        <v/>
      </c>
      <c r="BK163" s="153">
        <f>$C163*INDEX(Curves!$AF$8:$AF$68,BK$4-$B163+1)</f>
        <v/>
      </c>
      <c r="BL163" s="153">
        <f>$C163*INDEX(Curves!$AF$8:$AF$68,BL$4-$B163+1)</f>
        <v/>
      </c>
    </row>
    <row r="164">
      <c r="A164" s="147" t="inlineStr">
        <is>
          <t>Cohort month 29</t>
        </is>
      </c>
      <c r="B164" s="147" t="n">
        <v>29</v>
      </c>
      <c r="C164" s="41">
        <f>INDEX(Ops!$E$60:$BL$60,1,$B164)</f>
        <v/>
      </c>
      <c r="AH164" s="153">
        <f>$C164*INDEX(Curves!$AF$8:$AF$68,AH$4-$B164+1)</f>
        <v/>
      </c>
      <c r="AI164" s="153">
        <f>$C164*INDEX(Curves!$AF$8:$AF$68,AI$4-$B164+1)</f>
        <v/>
      </c>
      <c r="AJ164" s="153">
        <f>$C164*INDEX(Curves!$AF$8:$AF$68,AJ$4-$B164+1)</f>
        <v/>
      </c>
      <c r="AK164" s="153">
        <f>$C164*INDEX(Curves!$AF$8:$AF$68,AK$4-$B164+1)</f>
        <v/>
      </c>
      <c r="AL164" s="153">
        <f>$C164*INDEX(Curves!$AF$8:$AF$68,AL$4-$B164+1)</f>
        <v/>
      </c>
      <c r="AM164" s="153">
        <f>$C164*INDEX(Curves!$AF$8:$AF$68,AM$4-$B164+1)</f>
        <v/>
      </c>
      <c r="AN164" s="153">
        <f>$C164*INDEX(Curves!$AF$8:$AF$68,AN$4-$B164+1)</f>
        <v/>
      </c>
      <c r="AO164" s="153">
        <f>$C164*INDEX(Curves!$AF$8:$AF$68,AO$4-$B164+1)</f>
        <v/>
      </c>
      <c r="AP164" s="153">
        <f>$C164*INDEX(Curves!$AF$8:$AF$68,AP$4-$B164+1)</f>
        <v/>
      </c>
      <c r="AQ164" s="153">
        <f>$C164*INDEX(Curves!$AF$8:$AF$68,AQ$4-$B164+1)</f>
        <v/>
      </c>
      <c r="AR164" s="153">
        <f>$C164*INDEX(Curves!$AF$8:$AF$68,AR$4-$B164+1)</f>
        <v/>
      </c>
      <c r="AS164" s="153">
        <f>$C164*INDEX(Curves!$AF$8:$AF$68,AS$4-$B164+1)</f>
        <v/>
      </c>
      <c r="AT164" s="153">
        <f>$C164*INDEX(Curves!$AF$8:$AF$68,AT$4-$B164+1)</f>
        <v/>
      </c>
      <c r="AU164" s="153">
        <f>$C164*INDEX(Curves!$AF$8:$AF$68,AU$4-$B164+1)</f>
        <v/>
      </c>
      <c r="AV164" s="153">
        <f>$C164*INDEX(Curves!$AF$8:$AF$68,AV$4-$B164+1)</f>
        <v/>
      </c>
      <c r="AW164" s="153">
        <f>$C164*INDEX(Curves!$AF$8:$AF$68,AW$4-$B164+1)</f>
        <v/>
      </c>
      <c r="AX164" s="153">
        <f>$C164*INDEX(Curves!$AF$8:$AF$68,AX$4-$B164+1)</f>
        <v/>
      </c>
      <c r="AY164" s="153">
        <f>$C164*INDEX(Curves!$AF$8:$AF$68,AY$4-$B164+1)</f>
        <v/>
      </c>
      <c r="AZ164" s="153">
        <f>$C164*INDEX(Curves!$AF$8:$AF$68,AZ$4-$B164+1)</f>
        <v/>
      </c>
      <c r="BA164" s="153">
        <f>$C164*INDEX(Curves!$AF$8:$AF$68,BA$4-$B164+1)</f>
        <v/>
      </c>
      <c r="BB164" s="153">
        <f>$C164*INDEX(Curves!$AF$8:$AF$68,BB$4-$B164+1)</f>
        <v/>
      </c>
      <c r="BC164" s="153">
        <f>$C164*INDEX(Curves!$AF$8:$AF$68,BC$4-$B164+1)</f>
        <v/>
      </c>
      <c r="BD164" s="153">
        <f>$C164*INDEX(Curves!$AF$8:$AF$68,BD$4-$B164+1)</f>
        <v/>
      </c>
      <c r="BE164" s="153">
        <f>$C164*INDEX(Curves!$AF$8:$AF$68,BE$4-$B164+1)</f>
        <v/>
      </c>
      <c r="BF164" s="153">
        <f>$C164*INDEX(Curves!$AF$8:$AF$68,BF$4-$B164+1)</f>
        <v/>
      </c>
      <c r="BG164" s="153">
        <f>$C164*INDEX(Curves!$AF$8:$AF$68,BG$4-$B164+1)</f>
        <v/>
      </c>
      <c r="BH164" s="153">
        <f>$C164*INDEX(Curves!$AF$8:$AF$68,BH$4-$B164+1)</f>
        <v/>
      </c>
      <c r="BI164" s="153">
        <f>$C164*INDEX(Curves!$AF$8:$AF$68,BI$4-$B164+1)</f>
        <v/>
      </c>
      <c r="BJ164" s="153">
        <f>$C164*INDEX(Curves!$AF$8:$AF$68,BJ$4-$B164+1)</f>
        <v/>
      </c>
      <c r="BK164" s="153">
        <f>$C164*INDEX(Curves!$AF$8:$AF$68,BK$4-$B164+1)</f>
        <v/>
      </c>
      <c r="BL164" s="153">
        <f>$C164*INDEX(Curves!$AF$8:$AF$68,BL$4-$B164+1)</f>
        <v/>
      </c>
    </row>
    <row r="165">
      <c r="A165" s="147" t="inlineStr">
        <is>
          <t>Cohort month 30</t>
        </is>
      </c>
      <c r="B165" s="147" t="n">
        <v>30</v>
      </c>
      <c r="C165" s="41">
        <f>INDEX(Ops!$E$60:$BL$60,1,$B165)</f>
        <v/>
      </c>
      <c r="AI165" s="153">
        <f>$C165*INDEX(Curves!$AF$8:$AF$68,AI$4-$B165+1)</f>
        <v/>
      </c>
      <c r="AJ165" s="153">
        <f>$C165*INDEX(Curves!$AF$8:$AF$68,AJ$4-$B165+1)</f>
        <v/>
      </c>
      <c r="AK165" s="153">
        <f>$C165*INDEX(Curves!$AF$8:$AF$68,AK$4-$B165+1)</f>
        <v/>
      </c>
      <c r="AL165" s="153">
        <f>$C165*INDEX(Curves!$AF$8:$AF$68,AL$4-$B165+1)</f>
        <v/>
      </c>
      <c r="AM165" s="153">
        <f>$C165*INDEX(Curves!$AF$8:$AF$68,AM$4-$B165+1)</f>
        <v/>
      </c>
      <c r="AN165" s="153">
        <f>$C165*INDEX(Curves!$AF$8:$AF$68,AN$4-$B165+1)</f>
        <v/>
      </c>
      <c r="AO165" s="153">
        <f>$C165*INDEX(Curves!$AF$8:$AF$68,AO$4-$B165+1)</f>
        <v/>
      </c>
      <c r="AP165" s="153">
        <f>$C165*INDEX(Curves!$AF$8:$AF$68,AP$4-$B165+1)</f>
        <v/>
      </c>
      <c r="AQ165" s="153">
        <f>$C165*INDEX(Curves!$AF$8:$AF$68,AQ$4-$B165+1)</f>
        <v/>
      </c>
      <c r="AR165" s="153">
        <f>$C165*INDEX(Curves!$AF$8:$AF$68,AR$4-$B165+1)</f>
        <v/>
      </c>
      <c r="AS165" s="153">
        <f>$C165*INDEX(Curves!$AF$8:$AF$68,AS$4-$B165+1)</f>
        <v/>
      </c>
      <c r="AT165" s="153">
        <f>$C165*INDEX(Curves!$AF$8:$AF$68,AT$4-$B165+1)</f>
        <v/>
      </c>
      <c r="AU165" s="153">
        <f>$C165*INDEX(Curves!$AF$8:$AF$68,AU$4-$B165+1)</f>
        <v/>
      </c>
      <c r="AV165" s="153">
        <f>$C165*INDEX(Curves!$AF$8:$AF$68,AV$4-$B165+1)</f>
        <v/>
      </c>
      <c r="AW165" s="153">
        <f>$C165*INDEX(Curves!$AF$8:$AF$68,AW$4-$B165+1)</f>
        <v/>
      </c>
      <c r="AX165" s="153">
        <f>$C165*INDEX(Curves!$AF$8:$AF$68,AX$4-$B165+1)</f>
        <v/>
      </c>
      <c r="AY165" s="153">
        <f>$C165*INDEX(Curves!$AF$8:$AF$68,AY$4-$B165+1)</f>
        <v/>
      </c>
      <c r="AZ165" s="153">
        <f>$C165*INDEX(Curves!$AF$8:$AF$68,AZ$4-$B165+1)</f>
        <v/>
      </c>
      <c r="BA165" s="153">
        <f>$C165*INDEX(Curves!$AF$8:$AF$68,BA$4-$B165+1)</f>
        <v/>
      </c>
      <c r="BB165" s="153">
        <f>$C165*INDEX(Curves!$AF$8:$AF$68,BB$4-$B165+1)</f>
        <v/>
      </c>
      <c r="BC165" s="153">
        <f>$C165*INDEX(Curves!$AF$8:$AF$68,BC$4-$B165+1)</f>
        <v/>
      </c>
      <c r="BD165" s="153">
        <f>$C165*INDEX(Curves!$AF$8:$AF$68,BD$4-$B165+1)</f>
        <v/>
      </c>
      <c r="BE165" s="153">
        <f>$C165*INDEX(Curves!$AF$8:$AF$68,BE$4-$B165+1)</f>
        <v/>
      </c>
      <c r="BF165" s="153">
        <f>$C165*INDEX(Curves!$AF$8:$AF$68,BF$4-$B165+1)</f>
        <v/>
      </c>
      <c r="BG165" s="153">
        <f>$C165*INDEX(Curves!$AF$8:$AF$68,BG$4-$B165+1)</f>
        <v/>
      </c>
      <c r="BH165" s="153">
        <f>$C165*INDEX(Curves!$AF$8:$AF$68,BH$4-$B165+1)</f>
        <v/>
      </c>
      <c r="BI165" s="153">
        <f>$C165*INDEX(Curves!$AF$8:$AF$68,BI$4-$B165+1)</f>
        <v/>
      </c>
      <c r="BJ165" s="153">
        <f>$C165*INDEX(Curves!$AF$8:$AF$68,BJ$4-$B165+1)</f>
        <v/>
      </c>
      <c r="BK165" s="153">
        <f>$C165*INDEX(Curves!$AF$8:$AF$68,BK$4-$B165+1)</f>
        <v/>
      </c>
      <c r="BL165" s="153">
        <f>$C165*INDEX(Curves!$AF$8:$AF$68,BL$4-$B165+1)</f>
        <v/>
      </c>
    </row>
    <row r="166">
      <c r="A166" s="147" t="inlineStr">
        <is>
          <t>Cohort month 31</t>
        </is>
      </c>
      <c r="B166" s="147" t="n">
        <v>31</v>
      </c>
      <c r="C166" s="41">
        <f>INDEX(Ops!$E$60:$BL$60,1,$B166)</f>
        <v/>
      </c>
      <c r="AJ166" s="153">
        <f>$C166*INDEX(Curves!$AF$8:$AF$68,AJ$4-$B166+1)</f>
        <v/>
      </c>
      <c r="AK166" s="153">
        <f>$C166*INDEX(Curves!$AF$8:$AF$68,AK$4-$B166+1)</f>
        <v/>
      </c>
      <c r="AL166" s="153">
        <f>$C166*INDEX(Curves!$AF$8:$AF$68,AL$4-$B166+1)</f>
        <v/>
      </c>
      <c r="AM166" s="153">
        <f>$C166*INDEX(Curves!$AF$8:$AF$68,AM$4-$B166+1)</f>
        <v/>
      </c>
      <c r="AN166" s="153">
        <f>$C166*INDEX(Curves!$AF$8:$AF$68,AN$4-$B166+1)</f>
        <v/>
      </c>
      <c r="AO166" s="153">
        <f>$C166*INDEX(Curves!$AF$8:$AF$68,AO$4-$B166+1)</f>
        <v/>
      </c>
      <c r="AP166" s="153">
        <f>$C166*INDEX(Curves!$AF$8:$AF$68,AP$4-$B166+1)</f>
        <v/>
      </c>
      <c r="AQ166" s="153">
        <f>$C166*INDEX(Curves!$AF$8:$AF$68,AQ$4-$B166+1)</f>
        <v/>
      </c>
      <c r="AR166" s="153">
        <f>$C166*INDEX(Curves!$AF$8:$AF$68,AR$4-$B166+1)</f>
        <v/>
      </c>
      <c r="AS166" s="153">
        <f>$C166*INDEX(Curves!$AF$8:$AF$68,AS$4-$B166+1)</f>
        <v/>
      </c>
      <c r="AT166" s="153">
        <f>$C166*INDEX(Curves!$AF$8:$AF$68,AT$4-$B166+1)</f>
        <v/>
      </c>
      <c r="AU166" s="153">
        <f>$C166*INDEX(Curves!$AF$8:$AF$68,AU$4-$B166+1)</f>
        <v/>
      </c>
      <c r="AV166" s="153">
        <f>$C166*INDEX(Curves!$AF$8:$AF$68,AV$4-$B166+1)</f>
        <v/>
      </c>
      <c r="AW166" s="153">
        <f>$C166*INDEX(Curves!$AF$8:$AF$68,AW$4-$B166+1)</f>
        <v/>
      </c>
      <c r="AX166" s="153">
        <f>$C166*INDEX(Curves!$AF$8:$AF$68,AX$4-$B166+1)</f>
        <v/>
      </c>
      <c r="AY166" s="153">
        <f>$C166*INDEX(Curves!$AF$8:$AF$68,AY$4-$B166+1)</f>
        <v/>
      </c>
      <c r="AZ166" s="153">
        <f>$C166*INDEX(Curves!$AF$8:$AF$68,AZ$4-$B166+1)</f>
        <v/>
      </c>
      <c r="BA166" s="153">
        <f>$C166*INDEX(Curves!$AF$8:$AF$68,BA$4-$B166+1)</f>
        <v/>
      </c>
      <c r="BB166" s="153">
        <f>$C166*INDEX(Curves!$AF$8:$AF$68,BB$4-$B166+1)</f>
        <v/>
      </c>
      <c r="BC166" s="153">
        <f>$C166*INDEX(Curves!$AF$8:$AF$68,BC$4-$B166+1)</f>
        <v/>
      </c>
      <c r="BD166" s="153">
        <f>$C166*INDEX(Curves!$AF$8:$AF$68,BD$4-$B166+1)</f>
        <v/>
      </c>
      <c r="BE166" s="153">
        <f>$C166*INDEX(Curves!$AF$8:$AF$68,BE$4-$B166+1)</f>
        <v/>
      </c>
      <c r="BF166" s="153">
        <f>$C166*INDEX(Curves!$AF$8:$AF$68,BF$4-$B166+1)</f>
        <v/>
      </c>
      <c r="BG166" s="153">
        <f>$C166*INDEX(Curves!$AF$8:$AF$68,BG$4-$B166+1)</f>
        <v/>
      </c>
      <c r="BH166" s="153">
        <f>$C166*INDEX(Curves!$AF$8:$AF$68,BH$4-$B166+1)</f>
        <v/>
      </c>
      <c r="BI166" s="153">
        <f>$C166*INDEX(Curves!$AF$8:$AF$68,BI$4-$B166+1)</f>
        <v/>
      </c>
      <c r="BJ166" s="153">
        <f>$C166*INDEX(Curves!$AF$8:$AF$68,BJ$4-$B166+1)</f>
        <v/>
      </c>
      <c r="BK166" s="153">
        <f>$C166*INDEX(Curves!$AF$8:$AF$68,BK$4-$B166+1)</f>
        <v/>
      </c>
      <c r="BL166" s="153">
        <f>$C166*INDEX(Curves!$AF$8:$AF$68,BL$4-$B166+1)</f>
        <v/>
      </c>
    </row>
    <row r="167">
      <c r="A167" s="147" t="inlineStr">
        <is>
          <t>Cohort month 32</t>
        </is>
      </c>
      <c r="B167" s="147" t="n">
        <v>32</v>
      </c>
      <c r="C167" s="41">
        <f>INDEX(Ops!$E$60:$BL$60,1,$B167)</f>
        <v/>
      </c>
      <c r="AK167" s="153">
        <f>$C167*INDEX(Curves!$AF$8:$AF$68,AK$4-$B167+1)</f>
        <v/>
      </c>
      <c r="AL167" s="153">
        <f>$C167*INDEX(Curves!$AF$8:$AF$68,AL$4-$B167+1)</f>
        <v/>
      </c>
      <c r="AM167" s="153">
        <f>$C167*INDEX(Curves!$AF$8:$AF$68,AM$4-$B167+1)</f>
        <v/>
      </c>
      <c r="AN167" s="153">
        <f>$C167*INDEX(Curves!$AF$8:$AF$68,AN$4-$B167+1)</f>
        <v/>
      </c>
      <c r="AO167" s="153">
        <f>$C167*INDEX(Curves!$AF$8:$AF$68,AO$4-$B167+1)</f>
        <v/>
      </c>
      <c r="AP167" s="153">
        <f>$C167*INDEX(Curves!$AF$8:$AF$68,AP$4-$B167+1)</f>
        <v/>
      </c>
      <c r="AQ167" s="153">
        <f>$C167*INDEX(Curves!$AF$8:$AF$68,AQ$4-$B167+1)</f>
        <v/>
      </c>
      <c r="AR167" s="153">
        <f>$C167*INDEX(Curves!$AF$8:$AF$68,AR$4-$B167+1)</f>
        <v/>
      </c>
      <c r="AS167" s="153">
        <f>$C167*INDEX(Curves!$AF$8:$AF$68,AS$4-$B167+1)</f>
        <v/>
      </c>
      <c r="AT167" s="153">
        <f>$C167*INDEX(Curves!$AF$8:$AF$68,AT$4-$B167+1)</f>
        <v/>
      </c>
      <c r="AU167" s="153">
        <f>$C167*INDEX(Curves!$AF$8:$AF$68,AU$4-$B167+1)</f>
        <v/>
      </c>
      <c r="AV167" s="153">
        <f>$C167*INDEX(Curves!$AF$8:$AF$68,AV$4-$B167+1)</f>
        <v/>
      </c>
      <c r="AW167" s="153">
        <f>$C167*INDEX(Curves!$AF$8:$AF$68,AW$4-$B167+1)</f>
        <v/>
      </c>
      <c r="AX167" s="153">
        <f>$C167*INDEX(Curves!$AF$8:$AF$68,AX$4-$B167+1)</f>
        <v/>
      </c>
      <c r="AY167" s="153">
        <f>$C167*INDEX(Curves!$AF$8:$AF$68,AY$4-$B167+1)</f>
        <v/>
      </c>
      <c r="AZ167" s="153">
        <f>$C167*INDEX(Curves!$AF$8:$AF$68,AZ$4-$B167+1)</f>
        <v/>
      </c>
      <c r="BA167" s="153">
        <f>$C167*INDEX(Curves!$AF$8:$AF$68,BA$4-$B167+1)</f>
        <v/>
      </c>
      <c r="BB167" s="153">
        <f>$C167*INDEX(Curves!$AF$8:$AF$68,BB$4-$B167+1)</f>
        <v/>
      </c>
      <c r="BC167" s="153">
        <f>$C167*INDEX(Curves!$AF$8:$AF$68,BC$4-$B167+1)</f>
        <v/>
      </c>
      <c r="BD167" s="153">
        <f>$C167*INDEX(Curves!$AF$8:$AF$68,BD$4-$B167+1)</f>
        <v/>
      </c>
      <c r="BE167" s="153">
        <f>$C167*INDEX(Curves!$AF$8:$AF$68,BE$4-$B167+1)</f>
        <v/>
      </c>
      <c r="BF167" s="153">
        <f>$C167*INDEX(Curves!$AF$8:$AF$68,BF$4-$B167+1)</f>
        <v/>
      </c>
      <c r="BG167" s="153">
        <f>$C167*INDEX(Curves!$AF$8:$AF$68,BG$4-$B167+1)</f>
        <v/>
      </c>
      <c r="BH167" s="153">
        <f>$C167*INDEX(Curves!$AF$8:$AF$68,BH$4-$B167+1)</f>
        <v/>
      </c>
      <c r="BI167" s="153">
        <f>$C167*INDEX(Curves!$AF$8:$AF$68,BI$4-$B167+1)</f>
        <v/>
      </c>
      <c r="BJ167" s="153">
        <f>$C167*INDEX(Curves!$AF$8:$AF$68,BJ$4-$B167+1)</f>
        <v/>
      </c>
      <c r="BK167" s="153">
        <f>$C167*INDEX(Curves!$AF$8:$AF$68,BK$4-$B167+1)</f>
        <v/>
      </c>
      <c r="BL167" s="153">
        <f>$C167*INDEX(Curves!$AF$8:$AF$68,BL$4-$B167+1)</f>
        <v/>
      </c>
    </row>
    <row r="168">
      <c r="A168" s="147" t="inlineStr">
        <is>
          <t>Cohort month 33</t>
        </is>
      </c>
      <c r="B168" s="147" t="n">
        <v>33</v>
      </c>
      <c r="C168" s="41">
        <f>INDEX(Ops!$E$60:$BL$60,1,$B168)</f>
        <v/>
      </c>
      <c r="AL168" s="153">
        <f>$C168*INDEX(Curves!$AF$8:$AF$68,AL$4-$B168+1)</f>
        <v/>
      </c>
      <c r="AM168" s="153">
        <f>$C168*INDEX(Curves!$AF$8:$AF$68,AM$4-$B168+1)</f>
        <v/>
      </c>
      <c r="AN168" s="153">
        <f>$C168*INDEX(Curves!$AF$8:$AF$68,AN$4-$B168+1)</f>
        <v/>
      </c>
      <c r="AO168" s="153">
        <f>$C168*INDEX(Curves!$AF$8:$AF$68,AO$4-$B168+1)</f>
        <v/>
      </c>
      <c r="AP168" s="153">
        <f>$C168*INDEX(Curves!$AF$8:$AF$68,AP$4-$B168+1)</f>
        <v/>
      </c>
      <c r="AQ168" s="153">
        <f>$C168*INDEX(Curves!$AF$8:$AF$68,AQ$4-$B168+1)</f>
        <v/>
      </c>
      <c r="AR168" s="153">
        <f>$C168*INDEX(Curves!$AF$8:$AF$68,AR$4-$B168+1)</f>
        <v/>
      </c>
      <c r="AS168" s="153">
        <f>$C168*INDEX(Curves!$AF$8:$AF$68,AS$4-$B168+1)</f>
        <v/>
      </c>
      <c r="AT168" s="153">
        <f>$C168*INDEX(Curves!$AF$8:$AF$68,AT$4-$B168+1)</f>
        <v/>
      </c>
      <c r="AU168" s="153">
        <f>$C168*INDEX(Curves!$AF$8:$AF$68,AU$4-$B168+1)</f>
        <v/>
      </c>
      <c r="AV168" s="153">
        <f>$C168*INDEX(Curves!$AF$8:$AF$68,AV$4-$B168+1)</f>
        <v/>
      </c>
      <c r="AW168" s="153">
        <f>$C168*INDEX(Curves!$AF$8:$AF$68,AW$4-$B168+1)</f>
        <v/>
      </c>
      <c r="AX168" s="153">
        <f>$C168*INDEX(Curves!$AF$8:$AF$68,AX$4-$B168+1)</f>
        <v/>
      </c>
      <c r="AY168" s="153">
        <f>$C168*INDEX(Curves!$AF$8:$AF$68,AY$4-$B168+1)</f>
        <v/>
      </c>
      <c r="AZ168" s="153">
        <f>$C168*INDEX(Curves!$AF$8:$AF$68,AZ$4-$B168+1)</f>
        <v/>
      </c>
      <c r="BA168" s="153">
        <f>$C168*INDEX(Curves!$AF$8:$AF$68,BA$4-$B168+1)</f>
        <v/>
      </c>
      <c r="BB168" s="153">
        <f>$C168*INDEX(Curves!$AF$8:$AF$68,BB$4-$B168+1)</f>
        <v/>
      </c>
      <c r="BC168" s="153">
        <f>$C168*INDEX(Curves!$AF$8:$AF$68,BC$4-$B168+1)</f>
        <v/>
      </c>
      <c r="BD168" s="153">
        <f>$C168*INDEX(Curves!$AF$8:$AF$68,BD$4-$B168+1)</f>
        <v/>
      </c>
      <c r="BE168" s="153">
        <f>$C168*INDEX(Curves!$AF$8:$AF$68,BE$4-$B168+1)</f>
        <v/>
      </c>
      <c r="BF168" s="153">
        <f>$C168*INDEX(Curves!$AF$8:$AF$68,BF$4-$B168+1)</f>
        <v/>
      </c>
      <c r="BG168" s="153">
        <f>$C168*INDEX(Curves!$AF$8:$AF$68,BG$4-$B168+1)</f>
        <v/>
      </c>
      <c r="BH168" s="153">
        <f>$C168*INDEX(Curves!$AF$8:$AF$68,BH$4-$B168+1)</f>
        <v/>
      </c>
      <c r="BI168" s="153">
        <f>$C168*INDEX(Curves!$AF$8:$AF$68,BI$4-$B168+1)</f>
        <v/>
      </c>
      <c r="BJ168" s="153">
        <f>$C168*INDEX(Curves!$AF$8:$AF$68,BJ$4-$B168+1)</f>
        <v/>
      </c>
      <c r="BK168" s="153">
        <f>$C168*INDEX(Curves!$AF$8:$AF$68,BK$4-$B168+1)</f>
        <v/>
      </c>
      <c r="BL168" s="153">
        <f>$C168*INDEX(Curves!$AF$8:$AF$68,BL$4-$B168+1)</f>
        <v/>
      </c>
    </row>
    <row r="169">
      <c r="A169" s="147" t="inlineStr">
        <is>
          <t>Cohort month 34</t>
        </is>
      </c>
      <c r="B169" s="147" t="n">
        <v>34</v>
      </c>
      <c r="C169" s="41">
        <f>INDEX(Ops!$E$60:$BL$60,1,$B169)</f>
        <v/>
      </c>
      <c r="AM169" s="153">
        <f>$C169*INDEX(Curves!$AF$8:$AF$68,AM$4-$B169+1)</f>
        <v/>
      </c>
      <c r="AN169" s="153">
        <f>$C169*INDEX(Curves!$AF$8:$AF$68,AN$4-$B169+1)</f>
        <v/>
      </c>
      <c r="AO169" s="153">
        <f>$C169*INDEX(Curves!$AF$8:$AF$68,AO$4-$B169+1)</f>
        <v/>
      </c>
      <c r="AP169" s="153">
        <f>$C169*INDEX(Curves!$AF$8:$AF$68,AP$4-$B169+1)</f>
        <v/>
      </c>
      <c r="AQ169" s="153">
        <f>$C169*INDEX(Curves!$AF$8:$AF$68,AQ$4-$B169+1)</f>
        <v/>
      </c>
      <c r="AR169" s="153">
        <f>$C169*INDEX(Curves!$AF$8:$AF$68,AR$4-$B169+1)</f>
        <v/>
      </c>
      <c r="AS169" s="153">
        <f>$C169*INDEX(Curves!$AF$8:$AF$68,AS$4-$B169+1)</f>
        <v/>
      </c>
      <c r="AT169" s="153">
        <f>$C169*INDEX(Curves!$AF$8:$AF$68,AT$4-$B169+1)</f>
        <v/>
      </c>
      <c r="AU169" s="153">
        <f>$C169*INDEX(Curves!$AF$8:$AF$68,AU$4-$B169+1)</f>
        <v/>
      </c>
      <c r="AV169" s="153">
        <f>$C169*INDEX(Curves!$AF$8:$AF$68,AV$4-$B169+1)</f>
        <v/>
      </c>
      <c r="AW169" s="153">
        <f>$C169*INDEX(Curves!$AF$8:$AF$68,AW$4-$B169+1)</f>
        <v/>
      </c>
      <c r="AX169" s="153">
        <f>$C169*INDEX(Curves!$AF$8:$AF$68,AX$4-$B169+1)</f>
        <v/>
      </c>
      <c r="AY169" s="153">
        <f>$C169*INDEX(Curves!$AF$8:$AF$68,AY$4-$B169+1)</f>
        <v/>
      </c>
      <c r="AZ169" s="153">
        <f>$C169*INDEX(Curves!$AF$8:$AF$68,AZ$4-$B169+1)</f>
        <v/>
      </c>
      <c r="BA169" s="153">
        <f>$C169*INDEX(Curves!$AF$8:$AF$68,BA$4-$B169+1)</f>
        <v/>
      </c>
      <c r="BB169" s="153">
        <f>$C169*INDEX(Curves!$AF$8:$AF$68,BB$4-$B169+1)</f>
        <v/>
      </c>
      <c r="BC169" s="153">
        <f>$C169*INDEX(Curves!$AF$8:$AF$68,BC$4-$B169+1)</f>
        <v/>
      </c>
      <c r="BD169" s="153">
        <f>$C169*INDEX(Curves!$AF$8:$AF$68,BD$4-$B169+1)</f>
        <v/>
      </c>
      <c r="BE169" s="153">
        <f>$C169*INDEX(Curves!$AF$8:$AF$68,BE$4-$B169+1)</f>
        <v/>
      </c>
      <c r="BF169" s="153">
        <f>$C169*INDEX(Curves!$AF$8:$AF$68,BF$4-$B169+1)</f>
        <v/>
      </c>
      <c r="BG169" s="153">
        <f>$C169*INDEX(Curves!$AF$8:$AF$68,BG$4-$B169+1)</f>
        <v/>
      </c>
      <c r="BH169" s="153">
        <f>$C169*INDEX(Curves!$AF$8:$AF$68,BH$4-$B169+1)</f>
        <v/>
      </c>
      <c r="BI169" s="153">
        <f>$C169*INDEX(Curves!$AF$8:$AF$68,BI$4-$B169+1)</f>
        <v/>
      </c>
      <c r="BJ169" s="153">
        <f>$C169*INDEX(Curves!$AF$8:$AF$68,BJ$4-$B169+1)</f>
        <v/>
      </c>
      <c r="BK169" s="153">
        <f>$C169*INDEX(Curves!$AF$8:$AF$68,BK$4-$B169+1)</f>
        <v/>
      </c>
      <c r="BL169" s="153">
        <f>$C169*INDEX(Curves!$AF$8:$AF$68,BL$4-$B169+1)</f>
        <v/>
      </c>
    </row>
    <row r="170">
      <c r="A170" s="147" t="inlineStr">
        <is>
          <t>Cohort month 35</t>
        </is>
      </c>
      <c r="B170" s="147" t="n">
        <v>35</v>
      </c>
      <c r="C170" s="41">
        <f>INDEX(Ops!$E$60:$BL$60,1,$B170)</f>
        <v/>
      </c>
      <c r="AN170" s="153">
        <f>$C170*INDEX(Curves!$AF$8:$AF$68,AN$4-$B170+1)</f>
        <v/>
      </c>
      <c r="AO170" s="153">
        <f>$C170*INDEX(Curves!$AF$8:$AF$68,AO$4-$B170+1)</f>
        <v/>
      </c>
      <c r="AP170" s="153">
        <f>$C170*INDEX(Curves!$AF$8:$AF$68,AP$4-$B170+1)</f>
        <v/>
      </c>
      <c r="AQ170" s="153">
        <f>$C170*INDEX(Curves!$AF$8:$AF$68,AQ$4-$B170+1)</f>
        <v/>
      </c>
      <c r="AR170" s="153">
        <f>$C170*INDEX(Curves!$AF$8:$AF$68,AR$4-$B170+1)</f>
        <v/>
      </c>
      <c r="AS170" s="153">
        <f>$C170*INDEX(Curves!$AF$8:$AF$68,AS$4-$B170+1)</f>
        <v/>
      </c>
      <c r="AT170" s="153">
        <f>$C170*INDEX(Curves!$AF$8:$AF$68,AT$4-$B170+1)</f>
        <v/>
      </c>
      <c r="AU170" s="153">
        <f>$C170*INDEX(Curves!$AF$8:$AF$68,AU$4-$B170+1)</f>
        <v/>
      </c>
      <c r="AV170" s="153">
        <f>$C170*INDEX(Curves!$AF$8:$AF$68,AV$4-$B170+1)</f>
        <v/>
      </c>
      <c r="AW170" s="153">
        <f>$C170*INDEX(Curves!$AF$8:$AF$68,AW$4-$B170+1)</f>
        <v/>
      </c>
      <c r="AX170" s="153">
        <f>$C170*INDEX(Curves!$AF$8:$AF$68,AX$4-$B170+1)</f>
        <v/>
      </c>
      <c r="AY170" s="153">
        <f>$C170*INDEX(Curves!$AF$8:$AF$68,AY$4-$B170+1)</f>
        <v/>
      </c>
      <c r="AZ170" s="153">
        <f>$C170*INDEX(Curves!$AF$8:$AF$68,AZ$4-$B170+1)</f>
        <v/>
      </c>
      <c r="BA170" s="153">
        <f>$C170*INDEX(Curves!$AF$8:$AF$68,BA$4-$B170+1)</f>
        <v/>
      </c>
      <c r="BB170" s="153">
        <f>$C170*INDEX(Curves!$AF$8:$AF$68,BB$4-$B170+1)</f>
        <v/>
      </c>
      <c r="BC170" s="153">
        <f>$C170*INDEX(Curves!$AF$8:$AF$68,BC$4-$B170+1)</f>
        <v/>
      </c>
      <c r="BD170" s="153">
        <f>$C170*INDEX(Curves!$AF$8:$AF$68,BD$4-$B170+1)</f>
        <v/>
      </c>
      <c r="BE170" s="153">
        <f>$C170*INDEX(Curves!$AF$8:$AF$68,BE$4-$B170+1)</f>
        <v/>
      </c>
      <c r="BF170" s="153">
        <f>$C170*INDEX(Curves!$AF$8:$AF$68,BF$4-$B170+1)</f>
        <v/>
      </c>
      <c r="BG170" s="153">
        <f>$C170*INDEX(Curves!$AF$8:$AF$68,BG$4-$B170+1)</f>
        <v/>
      </c>
      <c r="BH170" s="153">
        <f>$C170*INDEX(Curves!$AF$8:$AF$68,BH$4-$B170+1)</f>
        <v/>
      </c>
      <c r="BI170" s="153">
        <f>$C170*INDEX(Curves!$AF$8:$AF$68,BI$4-$B170+1)</f>
        <v/>
      </c>
      <c r="BJ170" s="153">
        <f>$C170*INDEX(Curves!$AF$8:$AF$68,BJ$4-$B170+1)</f>
        <v/>
      </c>
      <c r="BK170" s="153">
        <f>$C170*INDEX(Curves!$AF$8:$AF$68,BK$4-$B170+1)</f>
        <v/>
      </c>
      <c r="BL170" s="153">
        <f>$C170*INDEX(Curves!$AF$8:$AF$68,BL$4-$B170+1)</f>
        <v/>
      </c>
    </row>
    <row r="171">
      <c r="A171" s="147" t="inlineStr">
        <is>
          <t>Cohort month 36</t>
        </is>
      </c>
      <c r="B171" s="147" t="n">
        <v>36</v>
      </c>
      <c r="C171" s="41">
        <f>INDEX(Ops!$E$60:$BL$60,1,$B171)</f>
        <v/>
      </c>
      <c r="AO171" s="153">
        <f>$C171*INDEX(Curves!$AF$8:$AF$68,AO$4-$B171+1)</f>
        <v/>
      </c>
      <c r="AP171" s="153">
        <f>$C171*INDEX(Curves!$AF$8:$AF$68,AP$4-$B171+1)</f>
        <v/>
      </c>
      <c r="AQ171" s="153">
        <f>$C171*INDEX(Curves!$AF$8:$AF$68,AQ$4-$B171+1)</f>
        <v/>
      </c>
      <c r="AR171" s="153">
        <f>$C171*INDEX(Curves!$AF$8:$AF$68,AR$4-$B171+1)</f>
        <v/>
      </c>
      <c r="AS171" s="153">
        <f>$C171*INDEX(Curves!$AF$8:$AF$68,AS$4-$B171+1)</f>
        <v/>
      </c>
      <c r="AT171" s="153">
        <f>$C171*INDEX(Curves!$AF$8:$AF$68,AT$4-$B171+1)</f>
        <v/>
      </c>
      <c r="AU171" s="153">
        <f>$C171*INDEX(Curves!$AF$8:$AF$68,AU$4-$B171+1)</f>
        <v/>
      </c>
      <c r="AV171" s="153">
        <f>$C171*INDEX(Curves!$AF$8:$AF$68,AV$4-$B171+1)</f>
        <v/>
      </c>
      <c r="AW171" s="153">
        <f>$C171*INDEX(Curves!$AF$8:$AF$68,AW$4-$B171+1)</f>
        <v/>
      </c>
      <c r="AX171" s="153">
        <f>$C171*INDEX(Curves!$AF$8:$AF$68,AX$4-$B171+1)</f>
        <v/>
      </c>
      <c r="AY171" s="153">
        <f>$C171*INDEX(Curves!$AF$8:$AF$68,AY$4-$B171+1)</f>
        <v/>
      </c>
      <c r="AZ171" s="153">
        <f>$C171*INDEX(Curves!$AF$8:$AF$68,AZ$4-$B171+1)</f>
        <v/>
      </c>
      <c r="BA171" s="153">
        <f>$C171*INDEX(Curves!$AF$8:$AF$68,BA$4-$B171+1)</f>
        <v/>
      </c>
      <c r="BB171" s="153">
        <f>$C171*INDEX(Curves!$AF$8:$AF$68,BB$4-$B171+1)</f>
        <v/>
      </c>
      <c r="BC171" s="153">
        <f>$C171*INDEX(Curves!$AF$8:$AF$68,BC$4-$B171+1)</f>
        <v/>
      </c>
      <c r="BD171" s="153">
        <f>$C171*INDEX(Curves!$AF$8:$AF$68,BD$4-$B171+1)</f>
        <v/>
      </c>
      <c r="BE171" s="153">
        <f>$C171*INDEX(Curves!$AF$8:$AF$68,BE$4-$B171+1)</f>
        <v/>
      </c>
      <c r="BF171" s="153">
        <f>$C171*INDEX(Curves!$AF$8:$AF$68,BF$4-$B171+1)</f>
        <v/>
      </c>
      <c r="BG171" s="153">
        <f>$C171*INDEX(Curves!$AF$8:$AF$68,BG$4-$B171+1)</f>
        <v/>
      </c>
      <c r="BH171" s="153">
        <f>$C171*INDEX(Curves!$AF$8:$AF$68,BH$4-$B171+1)</f>
        <v/>
      </c>
      <c r="BI171" s="153">
        <f>$C171*INDEX(Curves!$AF$8:$AF$68,BI$4-$B171+1)</f>
        <v/>
      </c>
      <c r="BJ171" s="153">
        <f>$C171*INDEX(Curves!$AF$8:$AF$68,BJ$4-$B171+1)</f>
        <v/>
      </c>
      <c r="BK171" s="153">
        <f>$C171*INDEX(Curves!$AF$8:$AF$68,BK$4-$B171+1)</f>
        <v/>
      </c>
      <c r="BL171" s="153">
        <f>$C171*INDEX(Curves!$AF$8:$AF$68,BL$4-$B171+1)</f>
        <v/>
      </c>
    </row>
    <row r="172">
      <c r="A172" s="147" t="inlineStr">
        <is>
          <t>Cohort month 37</t>
        </is>
      </c>
      <c r="B172" s="147" t="n">
        <v>37</v>
      </c>
      <c r="C172" s="41">
        <f>INDEX(Ops!$E$60:$BL$60,1,$B172)</f>
        <v/>
      </c>
      <c r="AP172" s="153">
        <f>$C172*INDEX(Curves!$AF$8:$AF$68,AP$4-$B172+1)</f>
        <v/>
      </c>
      <c r="AQ172" s="153">
        <f>$C172*INDEX(Curves!$AF$8:$AF$68,AQ$4-$B172+1)</f>
        <v/>
      </c>
      <c r="AR172" s="153">
        <f>$C172*INDEX(Curves!$AF$8:$AF$68,AR$4-$B172+1)</f>
        <v/>
      </c>
      <c r="AS172" s="153">
        <f>$C172*INDEX(Curves!$AF$8:$AF$68,AS$4-$B172+1)</f>
        <v/>
      </c>
      <c r="AT172" s="153">
        <f>$C172*INDEX(Curves!$AF$8:$AF$68,AT$4-$B172+1)</f>
        <v/>
      </c>
      <c r="AU172" s="153">
        <f>$C172*INDEX(Curves!$AF$8:$AF$68,AU$4-$B172+1)</f>
        <v/>
      </c>
      <c r="AV172" s="153">
        <f>$C172*INDEX(Curves!$AF$8:$AF$68,AV$4-$B172+1)</f>
        <v/>
      </c>
      <c r="AW172" s="153">
        <f>$C172*INDEX(Curves!$AF$8:$AF$68,AW$4-$B172+1)</f>
        <v/>
      </c>
      <c r="AX172" s="153">
        <f>$C172*INDEX(Curves!$AF$8:$AF$68,AX$4-$B172+1)</f>
        <v/>
      </c>
      <c r="AY172" s="153">
        <f>$C172*INDEX(Curves!$AF$8:$AF$68,AY$4-$B172+1)</f>
        <v/>
      </c>
      <c r="AZ172" s="153">
        <f>$C172*INDEX(Curves!$AF$8:$AF$68,AZ$4-$B172+1)</f>
        <v/>
      </c>
      <c r="BA172" s="153">
        <f>$C172*INDEX(Curves!$AF$8:$AF$68,BA$4-$B172+1)</f>
        <v/>
      </c>
      <c r="BB172" s="153">
        <f>$C172*INDEX(Curves!$AF$8:$AF$68,BB$4-$B172+1)</f>
        <v/>
      </c>
      <c r="BC172" s="153">
        <f>$C172*INDEX(Curves!$AF$8:$AF$68,BC$4-$B172+1)</f>
        <v/>
      </c>
      <c r="BD172" s="153">
        <f>$C172*INDEX(Curves!$AF$8:$AF$68,BD$4-$B172+1)</f>
        <v/>
      </c>
      <c r="BE172" s="153">
        <f>$C172*INDEX(Curves!$AF$8:$AF$68,BE$4-$B172+1)</f>
        <v/>
      </c>
      <c r="BF172" s="153">
        <f>$C172*INDEX(Curves!$AF$8:$AF$68,BF$4-$B172+1)</f>
        <v/>
      </c>
      <c r="BG172" s="153">
        <f>$C172*INDEX(Curves!$AF$8:$AF$68,BG$4-$B172+1)</f>
        <v/>
      </c>
      <c r="BH172" s="153">
        <f>$C172*INDEX(Curves!$AF$8:$AF$68,BH$4-$B172+1)</f>
        <v/>
      </c>
      <c r="BI172" s="153">
        <f>$C172*INDEX(Curves!$AF$8:$AF$68,BI$4-$B172+1)</f>
        <v/>
      </c>
      <c r="BJ172" s="153">
        <f>$C172*INDEX(Curves!$AF$8:$AF$68,BJ$4-$B172+1)</f>
        <v/>
      </c>
      <c r="BK172" s="153">
        <f>$C172*INDEX(Curves!$AF$8:$AF$68,BK$4-$B172+1)</f>
        <v/>
      </c>
      <c r="BL172" s="153">
        <f>$C172*INDEX(Curves!$AF$8:$AF$68,BL$4-$B172+1)</f>
        <v/>
      </c>
    </row>
    <row r="173">
      <c r="A173" s="147" t="inlineStr">
        <is>
          <t>Cohort month 38</t>
        </is>
      </c>
      <c r="B173" s="147" t="n">
        <v>38</v>
      </c>
      <c r="C173" s="41">
        <f>INDEX(Ops!$E$60:$BL$60,1,$B173)</f>
        <v/>
      </c>
      <c r="AQ173" s="153">
        <f>$C173*INDEX(Curves!$AF$8:$AF$68,AQ$4-$B173+1)</f>
        <v/>
      </c>
      <c r="AR173" s="153">
        <f>$C173*INDEX(Curves!$AF$8:$AF$68,AR$4-$B173+1)</f>
        <v/>
      </c>
      <c r="AS173" s="153">
        <f>$C173*INDEX(Curves!$AF$8:$AF$68,AS$4-$B173+1)</f>
        <v/>
      </c>
      <c r="AT173" s="153">
        <f>$C173*INDEX(Curves!$AF$8:$AF$68,AT$4-$B173+1)</f>
        <v/>
      </c>
      <c r="AU173" s="153">
        <f>$C173*INDEX(Curves!$AF$8:$AF$68,AU$4-$B173+1)</f>
        <v/>
      </c>
      <c r="AV173" s="153">
        <f>$C173*INDEX(Curves!$AF$8:$AF$68,AV$4-$B173+1)</f>
        <v/>
      </c>
      <c r="AW173" s="153">
        <f>$C173*INDEX(Curves!$AF$8:$AF$68,AW$4-$B173+1)</f>
        <v/>
      </c>
      <c r="AX173" s="153">
        <f>$C173*INDEX(Curves!$AF$8:$AF$68,AX$4-$B173+1)</f>
        <v/>
      </c>
      <c r="AY173" s="153">
        <f>$C173*INDEX(Curves!$AF$8:$AF$68,AY$4-$B173+1)</f>
        <v/>
      </c>
      <c r="AZ173" s="153">
        <f>$C173*INDEX(Curves!$AF$8:$AF$68,AZ$4-$B173+1)</f>
        <v/>
      </c>
      <c r="BA173" s="153">
        <f>$C173*INDEX(Curves!$AF$8:$AF$68,BA$4-$B173+1)</f>
        <v/>
      </c>
      <c r="BB173" s="153">
        <f>$C173*INDEX(Curves!$AF$8:$AF$68,BB$4-$B173+1)</f>
        <v/>
      </c>
      <c r="BC173" s="153">
        <f>$C173*INDEX(Curves!$AF$8:$AF$68,BC$4-$B173+1)</f>
        <v/>
      </c>
      <c r="BD173" s="153">
        <f>$C173*INDEX(Curves!$AF$8:$AF$68,BD$4-$B173+1)</f>
        <v/>
      </c>
      <c r="BE173" s="153">
        <f>$C173*INDEX(Curves!$AF$8:$AF$68,BE$4-$B173+1)</f>
        <v/>
      </c>
      <c r="BF173" s="153">
        <f>$C173*INDEX(Curves!$AF$8:$AF$68,BF$4-$B173+1)</f>
        <v/>
      </c>
      <c r="BG173" s="153">
        <f>$C173*INDEX(Curves!$AF$8:$AF$68,BG$4-$B173+1)</f>
        <v/>
      </c>
      <c r="BH173" s="153">
        <f>$C173*INDEX(Curves!$AF$8:$AF$68,BH$4-$B173+1)</f>
        <v/>
      </c>
      <c r="BI173" s="153">
        <f>$C173*INDEX(Curves!$AF$8:$AF$68,BI$4-$B173+1)</f>
        <v/>
      </c>
      <c r="BJ173" s="153">
        <f>$C173*INDEX(Curves!$AF$8:$AF$68,BJ$4-$B173+1)</f>
        <v/>
      </c>
      <c r="BK173" s="153">
        <f>$C173*INDEX(Curves!$AF$8:$AF$68,BK$4-$B173+1)</f>
        <v/>
      </c>
      <c r="BL173" s="153">
        <f>$C173*INDEX(Curves!$AF$8:$AF$68,BL$4-$B173+1)</f>
        <v/>
      </c>
    </row>
    <row r="174">
      <c r="A174" s="147" t="inlineStr">
        <is>
          <t>Cohort month 39</t>
        </is>
      </c>
      <c r="B174" s="147" t="n">
        <v>39</v>
      </c>
      <c r="C174" s="41">
        <f>INDEX(Ops!$E$60:$BL$60,1,$B174)</f>
        <v/>
      </c>
      <c r="AR174" s="153">
        <f>$C174*INDEX(Curves!$AF$8:$AF$68,AR$4-$B174+1)</f>
        <v/>
      </c>
      <c r="AS174" s="153">
        <f>$C174*INDEX(Curves!$AF$8:$AF$68,AS$4-$B174+1)</f>
        <v/>
      </c>
      <c r="AT174" s="153">
        <f>$C174*INDEX(Curves!$AF$8:$AF$68,AT$4-$B174+1)</f>
        <v/>
      </c>
      <c r="AU174" s="153">
        <f>$C174*INDEX(Curves!$AF$8:$AF$68,AU$4-$B174+1)</f>
        <v/>
      </c>
      <c r="AV174" s="153">
        <f>$C174*INDEX(Curves!$AF$8:$AF$68,AV$4-$B174+1)</f>
        <v/>
      </c>
      <c r="AW174" s="153">
        <f>$C174*INDEX(Curves!$AF$8:$AF$68,AW$4-$B174+1)</f>
        <v/>
      </c>
      <c r="AX174" s="153">
        <f>$C174*INDEX(Curves!$AF$8:$AF$68,AX$4-$B174+1)</f>
        <v/>
      </c>
      <c r="AY174" s="153">
        <f>$C174*INDEX(Curves!$AF$8:$AF$68,AY$4-$B174+1)</f>
        <v/>
      </c>
      <c r="AZ174" s="153">
        <f>$C174*INDEX(Curves!$AF$8:$AF$68,AZ$4-$B174+1)</f>
        <v/>
      </c>
      <c r="BA174" s="153">
        <f>$C174*INDEX(Curves!$AF$8:$AF$68,BA$4-$B174+1)</f>
        <v/>
      </c>
      <c r="BB174" s="153">
        <f>$C174*INDEX(Curves!$AF$8:$AF$68,BB$4-$B174+1)</f>
        <v/>
      </c>
      <c r="BC174" s="153">
        <f>$C174*INDEX(Curves!$AF$8:$AF$68,BC$4-$B174+1)</f>
        <v/>
      </c>
      <c r="BD174" s="153">
        <f>$C174*INDEX(Curves!$AF$8:$AF$68,BD$4-$B174+1)</f>
        <v/>
      </c>
      <c r="BE174" s="153">
        <f>$C174*INDEX(Curves!$AF$8:$AF$68,BE$4-$B174+1)</f>
        <v/>
      </c>
      <c r="BF174" s="153">
        <f>$C174*INDEX(Curves!$AF$8:$AF$68,BF$4-$B174+1)</f>
        <v/>
      </c>
      <c r="BG174" s="153">
        <f>$C174*INDEX(Curves!$AF$8:$AF$68,BG$4-$B174+1)</f>
        <v/>
      </c>
      <c r="BH174" s="153">
        <f>$C174*INDEX(Curves!$AF$8:$AF$68,BH$4-$B174+1)</f>
        <v/>
      </c>
      <c r="BI174" s="153">
        <f>$C174*INDEX(Curves!$AF$8:$AF$68,BI$4-$B174+1)</f>
        <v/>
      </c>
      <c r="BJ174" s="153">
        <f>$C174*INDEX(Curves!$AF$8:$AF$68,BJ$4-$B174+1)</f>
        <v/>
      </c>
      <c r="BK174" s="153">
        <f>$C174*INDEX(Curves!$AF$8:$AF$68,BK$4-$B174+1)</f>
        <v/>
      </c>
      <c r="BL174" s="153">
        <f>$C174*INDEX(Curves!$AF$8:$AF$68,BL$4-$B174+1)</f>
        <v/>
      </c>
    </row>
    <row r="175">
      <c r="A175" s="147" t="inlineStr">
        <is>
          <t>Cohort month 40</t>
        </is>
      </c>
      <c r="B175" s="147" t="n">
        <v>40</v>
      </c>
      <c r="C175" s="41">
        <f>INDEX(Ops!$E$60:$BL$60,1,$B175)</f>
        <v/>
      </c>
      <c r="AS175" s="153">
        <f>$C175*INDEX(Curves!$AF$8:$AF$68,AS$4-$B175+1)</f>
        <v/>
      </c>
      <c r="AT175" s="153">
        <f>$C175*INDEX(Curves!$AF$8:$AF$68,AT$4-$B175+1)</f>
        <v/>
      </c>
      <c r="AU175" s="153">
        <f>$C175*INDEX(Curves!$AF$8:$AF$68,AU$4-$B175+1)</f>
        <v/>
      </c>
      <c r="AV175" s="153">
        <f>$C175*INDEX(Curves!$AF$8:$AF$68,AV$4-$B175+1)</f>
        <v/>
      </c>
      <c r="AW175" s="153">
        <f>$C175*INDEX(Curves!$AF$8:$AF$68,AW$4-$B175+1)</f>
        <v/>
      </c>
      <c r="AX175" s="153">
        <f>$C175*INDEX(Curves!$AF$8:$AF$68,AX$4-$B175+1)</f>
        <v/>
      </c>
      <c r="AY175" s="153">
        <f>$C175*INDEX(Curves!$AF$8:$AF$68,AY$4-$B175+1)</f>
        <v/>
      </c>
      <c r="AZ175" s="153">
        <f>$C175*INDEX(Curves!$AF$8:$AF$68,AZ$4-$B175+1)</f>
        <v/>
      </c>
      <c r="BA175" s="153">
        <f>$C175*INDEX(Curves!$AF$8:$AF$68,BA$4-$B175+1)</f>
        <v/>
      </c>
      <c r="BB175" s="153">
        <f>$C175*INDEX(Curves!$AF$8:$AF$68,BB$4-$B175+1)</f>
        <v/>
      </c>
      <c r="BC175" s="153">
        <f>$C175*INDEX(Curves!$AF$8:$AF$68,BC$4-$B175+1)</f>
        <v/>
      </c>
      <c r="BD175" s="153">
        <f>$C175*INDEX(Curves!$AF$8:$AF$68,BD$4-$B175+1)</f>
        <v/>
      </c>
      <c r="BE175" s="153">
        <f>$C175*INDEX(Curves!$AF$8:$AF$68,BE$4-$B175+1)</f>
        <v/>
      </c>
      <c r="BF175" s="153">
        <f>$C175*INDEX(Curves!$AF$8:$AF$68,BF$4-$B175+1)</f>
        <v/>
      </c>
      <c r="BG175" s="153">
        <f>$C175*INDEX(Curves!$AF$8:$AF$68,BG$4-$B175+1)</f>
        <v/>
      </c>
      <c r="BH175" s="153">
        <f>$C175*INDEX(Curves!$AF$8:$AF$68,BH$4-$B175+1)</f>
        <v/>
      </c>
      <c r="BI175" s="153">
        <f>$C175*INDEX(Curves!$AF$8:$AF$68,BI$4-$B175+1)</f>
        <v/>
      </c>
      <c r="BJ175" s="153">
        <f>$C175*INDEX(Curves!$AF$8:$AF$68,BJ$4-$B175+1)</f>
        <v/>
      </c>
      <c r="BK175" s="153">
        <f>$C175*INDEX(Curves!$AF$8:$AF$68,BK$4-$B175+1)</f>
        <v/>
      </c>
      <c r="BL175" s="153">
        <f>$C175*INDEX(Curves!$AF$8:$AF$68,BL$4-$B175+1)</f>
        <v/>
      </c>
    </row>
    <row r="176">
      <c r="A176" s="147" t="inlineStr">
        <is>
          <t>Cohort month 41</t>
        </is>
      </c>
      <c r="B176" s="147" t="n">
        <v>41</v>
      </c>
      <c r="C176" s="41">
        <f>INDEX(Ops!$E$60:$BL$60,1,$B176)</f>
        <v/>
      </c>
      <c r="AT176" s="153">
        <f>$C176*INDEX(Curves!$AF$8:$AF$68,AT$4-$B176+1)</f>
        <v/>
      </c>
      <c r="AU176" s="153">
        <f>$C176*INDEX(Curves!$AF$8:$AF$68,AU$4-$B176+1)</f>
        <v/>
      </c>
      <c r="AV176" s="153">
        <f>$C176*INDEX(Curves!$AF$8:$AF$68,AV$4-$B176+1)</f>
        <v/>
      </c>
      <c r="AW176" s="153">
        <f>$C176*INDEX(Curves!$AF$8:$AF$68,AW$4-$B176+1)</f>
        <v/>
      </c>
      <c r="AX176" s="153">
        <f>$C176*INDEX(Curves!$AF$8:$AF$68,AX$4-$B176+1)</f>
        <v/>
      </c>
      <c r="AY176" s="153">
        <f>$C176*INDEX(Curves!$AF$8:$AF$68,AY$4-$B176+1)</f>
        <v/>
      </c>
      <c r="AZ176" s="153">
        <f>$C176*INDEX(Curves!$AF$8:$AF$68,AZ$4-$B176+1)</f>
        <v/>
      </c>
      <c r="BA176" s="153">
        <f>$C176*INDEX(Curves!$AF$8:$AF$68,BA$4-$B176+1)</f>
        <v/>
      </c>
      <c r="BB176" s="153">
        <f>$C176*INDEX(Curves!$AF$8:$AF$68,BB$4-$B176+1)</f>
        <v/>
      </c>
      <c r="BC176" s="153">
        <f>$C176*INDEX(Curves!$AF$8:$AF$68,BC$4-$B176+1)</f>
        <v/>
      </c>
      <c r="BD176" s="153">
        <f>$C176*INDEX(Curves!$AF$8:$AF$68,BD$4-$B176+1)</f>
        <v/>
      </c>
      <c r="BE176" s="153">
        <f>$C176*INDEX(Curves!$AF$8:$AF$68,BE$4-$B176+1)</f>
        <v/>
      </c>
      <c r="BF176" s="153">
        <f>$C176*INDEX(Curves!$AF$8:$AF$68,BF$4-$B176+1)</f>
        <v/>
      </c>
      <c r="BG176" s="153">
        <f>$C176*INDEX(Curves!$AF$8:$AF$68,BG$4-$B176+1)</f>
        <v/>
      </c>
      <c r="BH176" s="153">
        <f>$C176*INDEX(Curves!$AF$8:$AF$68,BH$4-$B176+1)</f>
        <v/>
      </c>
      <c r="BI176" s="153">
        <f>$C176*INDEX(Curves!$AF$8:$AF$68,BI$4-$B176+1)</f>
        <v/>
      </c>
      <c r="BJ176" s="153">
        <f>$C176*INDEX(Curves!$AF$8:$AF$68,BJ$4-$B176+1)</f>
        <v/>
      </c>
      <c r="BK176" s="153">
        <f>$C176*INDEX(Curves!$AF$8:$AF$68,BK$4-$B176+1)</f>
        <v/>
      </c>
      <c r="BL176" s="153">
        <f>$C176*INDEX(Curves!$AF$8:$AF$68,BL$4-$B176+1)</f>
        <v/>
      </c>
    </row>
    <row r="177">
      <c r="A177" s="147" t="inlineStr">
        <is>
          <t>Cohort month 42</t>
        </is>
      </c>
      <c r="B177" s="147" t="n">
        <v>42</v>
      </c>
      <c r="C177" s="41">
        <f>INDEX(Ops!$E$60:$BL$60,1,$B177)</f>
        <v/>
      </c>
      <c r="AU177" s="153">
        <f>$C177*INDEX(Curves!$AF$8:$AF$68,AU$4-$B177+1)</f>
        <v/>
      </c>
      <c r="AV177" s="153">
        <f>$C177*INDEX(Curves!$AF$8:$AF$68,AV$4-$B177+1)</f>
        <v/>
      </c>
      <c r="AW177" s="153">
        <f>$C177*INDEX(Curves!$AF$8:$AF$68,AW$4-$B177+1)</f>
        <v/>
      </c>
      <c r="AX177" s="153">
        <f>$C177*INDEX(Curves!$AF$8:$AF$68,AX$4-$B177+1)</f>
        <v/>
      </c>
      <c r="AY177" s="153">
        <f>$C177*INDEX(Curves!$AF$8:$AF$68,AY$4-$B177+1)</f>
        <v/>
      </c>
      <c r="AZ177" s="153">
        <f>$C177*INDEX(Curves!$AF$8:$AF$68,AZ$4-$B177+1)</f>
        <v/>
      </c>
      <c r="BA177" s="153">
        <f>$C177*INDEX(Curves!$AF$8:$AF$68,BA$4-$B177+1)</f>
        <v/>
      </c>
      <c r="BB177" s="153">
        <f>$C177*INDEX(Curves!$AF$8:$AF$68,BB$4-$B177+1)</f>
        <v/>
      </c>
      <c r="BC177" s="153">
        <f>$C177*INDEX(Curves!$AF$8:$AF$68,BC$4-$B177+1)</f>
        <v/>
      </c>
      <c r="BD177" s="153">
        <f>$C177*INDEX(Curves!$AF$8:$AF$68,BD$4-$B177+1)</f>
        <v/>
      </c>
      <c r="BE177" s="153">
        <f>$C177*INDEX(Curves!$AF$8:$AF$68,BE$4-$B177+1)</f>
        <v/>
      </c>
      <c r="BF177" s="153">
        <f>$C177*INDEX(Curves!$AF$8:$AF$68,BF$4-$B177+1)</f>
        <v/>
      </c>
      <c r="BG177" s="153">
        <f>$C177*INDEX(Curves!$AF$8:$AF$68,BG$4-$B177+1)</f>
        <v/>
      </c>
      <c r="BH177" s="153">
        <f>$C177*INDEX(Curves!$AF$8:$AF$68,BH$4-$B177+1)</f>
        <v/>
      </c>
      <c r="BI177" s="153">
        <f>$C177*INDEX(Curves!$AF$8:$AF$68,BI$4-$B177+1)</f>
        <v/>
      </c>
      <c r="BJ177" s="153">
        <f>$C177*INDEX(Curves!$AF$8:$AF$68,BJ$4-$B177+1)</f>
        <v/>
      </c>
      <c r="BK177" s="153">
        <f>$C177*INDEX(Curves!$AF$8:$AF$68,BK$4-$B177+1)</f>
        <v/>
      </c>
      <c r="BL177" s="153">
        <f>$C177*INDEX(Curves!$AF$8:$AF$68,BL$4-$B177+1)</f>
        <v/>
      </c>
    </row>
    <row r="178">
      <c r="A178" s="147" t="inlineStr">
        <is>
          <t>Cohort month 43</t>
        </is>
      </c>
      <c r="B178" s="147" t="n">
        <v>43</v>
      </c>
      <c r="C178" s="41">
        <f>INDEX(Ops!$E$60:$BL$60,1,$B178)</f>
        <v/>
      </c>
      <c r="AV178" s="153">
        <f>$C178*INDEX(Curves!$AF$8:$AF$68,AV$4-$B178+1)</f>
        <v/>
      </c>
      <c r="AW178" s="153">
        <f>$C178*INDEX(Curves!$AF$8:$AF$68,AW$4-$B178+1)</f>
        <v/>
      </c>
      <c r="AX178" s="153">
        <f>$C178*INDEX(Curves!$AF$8:$AF$68,AX$4-$B178+1)</f>
        <v/>
      </c>
      <c r="AY178" s="153">
        <f>$C178*INDEX(Curves!$AF$8:$AF$68,AY$4-$B178+1)</f>
        <v/>
      </c>
      <c r="AZ178" s="153">
        <f>$C178*INDEX(Curves!$AF$8:$AF$68,AZ$4-$B178+1)</f>
        <v/>
      </c>
      <c r="BA178" s="153">
        <f>$C178*INDEX(Curves!$AF$8:$AF$68,BA$4-$B178+1)</f>
        <v/>
      </c>
      <c r="BB178" s="153">
        <f>$C178*INDEX(Curves!$AF$8:$AF$68,BB$4-$B178+1)</f>
        <v/>
      </c>
      <c r="BC178" s="153">
        <f>$C178*INDEX(Curves!$AF$8:$AF$68,BC$4-$B178+1)</f>
        <v/>
      </c>
      <c r="BD178" s="153">
        <f>$C178*INDEX(Curves!$AF$8:$AF$68,BD$4-$B178+1)</f>
        <v/>
      </c>
      <c r="BE178" s="153">
        <f>$C178*INDEX(Curves!$AF$8:$AF$68,BE$4-$B178+1)</f>
        <v/>
      </c>
      <c r="BF178" s="153">
        <f>$C178*INDEX(Curves!$AF$8:$AF$68,BF$4-$B178+1)</f>
        <v/>
      </c>
      <c r="BG178" s="153">
        <f>$C178*INDEX(Curves!$AF$8:$AF$68,BG$4-$B178+1)</f>
        <v/>
      </c>
      <c r="BH178" s="153">
        <f>$C178*INDEX(Curves!$AF$8:$AF$68,BH$4-$B178+1)</f>
        <v/>
      </c>
      <c r="BI178" s="153">
        <f>$C178*INDEX(Curves!$AF$8:$AF$68,BI$4-$B178+1)</f>
        <v/>
      </c>
      <c r="BJ178" s="153">
        <f>$C178*INDEX(Curves!$AF$8:$AF$68,BJ$4-$B178+1)</f>
        <v/>
      </c>
      <c r="BK178" s="153">
        <f>$C178*INDEX(Curves!$AF$8:$AF$68,BK$4-$B178+1)</f>
        <v/>
      </c>
      <c r="BL178" s="153">
        <f>$C178*INDEX(Curves!$AF$8:$AF$68,BL$4-$B178+1)</f>
        <v/>
      </c>
    </row>
    <row r="179">
      <c r="A179" s="147" t="inlineStr">
        <is>
          <t>Cohort month 44</t>
        </is>
      </c>
      <c r="B179" s="147" t="n">
        <v>44</v>
      </c>
      <c r="C179" s="41">
        <f>INDEX(Ops!$E$60:$BL$60,1,$B179)</f>
        <v/>
      </c>
      <c r="AW179" s="153">
        <f>$C179*INDEX(Curves!$AF$8:$AF$68,AW$4-$B179+1)</f>
        <v/>
      </c>
      <c r="AX179" s="153">
        <f>$C179*INDEX(Curves!$AF$8:$AF$68,AX$4-$B179+1)</f>
        <v/>
      </c>
      <c r="AY179" s="153">
        <f>$C179*INDEX(Curves!$AF$8:$AF$68,AY$4-$B179+1)</f>
        <v/>
      </c>
      <c r="AZ179" s="153">
        <f>$C179*INDEX(Curves!$AF$8:$AF$68,AZ$4-$B179+1)</f>
        <v/>
      </c>
      <c r="BA179" s="153">
        <f>$C179*INDEX(Curves!$AF$8:$AF$68,BA$4-$B179+1)</f>
        <v/>
      </c>
      <c r="BB179" s="153">
        <f>$C179*INDEX(Curves!$AF$8:$AF$68,BB$4-$B179+1)</f>
        <v/>
      </c>
      <c r="BC179" s="153">
        <f>$C179*INDEX(Curves!$AF$8:$AF$68,BC$4-$B179+1)</f>
        <v/>
      </c>
      <c r="BD179" s="153">
        <f>$C179*INDEX(Curves!$AF$8:$AF$68,BD$4-$B179+1)</f>
        <v/>
      </c>
      <c r="BE179" s="153">
        <f>$C179*INDEX(Curves!$AF$8:$AF$68,BE$4-$B179+1)</f>
        <v/>
      </c>
      <c r="BF179" s="153">
        <f>$C179*INDEX(Curves!$AF$8:$AF$68,BF$4-$B179+1)</f>
        <v/>
      </c>
      <c r="BG179" s="153">
        <f>$C179*INDEX(Curves!$AF$8:$AF$68,BG$4-$B179+1)</f>
        <v/>
      </c>
      <c r="BH179" s="153">
        <f>$C179*INDEX(Curves!$AF$8:$AF$68,BH$4-$B179+1)</f>
        <v/>
      </c>
      <c r="BI179" s="153">
        <f>$C179*INDEX(Curves!$AF$8:$AF$68,BI$4-$B179+1)</f>
        <v/>
      </c>
      <c r="BJ179" s="153">
        <f>$C179*INDEX(Curves!$AF$8:$AF$68,BJ$4-$B179+1)</f>
        <v/>
      </c>
      <c r="BK179" s="153">
        <f>$C179*INDEX(Curves!$AF$8:$AF$68,BK$4-$B179+1)</f>
        <v/>
      </c>
      <c r="BL179" s="153">
        <f>$C179*INDEX(Curves!$AF$8:$AF$68,BL$4-$B179+1)</f>
        <v/>
      </c>
    </row>
    <row r="180">
      <c r="A180" s="147" t="inlineStr">
        <is>
          <t>Cohort month 45</t>
        </is>
      </c>
      <c r="B180" s="147" t="n">
        <v>45</v>
      </c>
      <c r="C180" s="41">
        <f>INDEX(Ops!$E$60:$BL$60,1,$B180)</f>
        <v/>
      </c>
      <c r="AX180" s="153">
        <f>$C180*INDEX(Curves!$AF$8:$AF$68,AX$4-$B180+1)</f>
        <v/>
      </c>
      <c r="AY180" s="153">
        <f>$C180*INDEX(Curves!$AF$8:$AF$68,AY$4-$B180+1)</f>
        <v/>
      </c>
      <c r="AZ180" s="153">
        <f>$C180*INDEX(Curves!$AF$8:$AF$68,AZ$4-$B180+1)</f>
        <v/>
      </c>
      <c r="BA180" s="153">
        <f>$C180*INDEX(Curves!$AF$8:$AF$68,BA$4-$B180+1)</f>
        <v/>
      </c>
      <c r="BB180" s="153">
        <f>$C180*INDEX(Curves!$AF$8:$AF$68,BB$4-$B180+1)</f>
        <v/>
      </c>
      <c r="BC180" s="153">
        <f>$C180*INDEX(Curves!$AF$8:$AF$68,BC$4-$B180+1)</f>
        <v/>
      </c>
      <c r="BD180" s="153">
        <f>$C180*INDEX(Curves!$AF$8:$AF$68,BD$4-$B180+1)</f>
        <v/>
      </c>
      <c r="BE180" s="153">
        <f>$C180*INDEX(Curves!$AF$8:$AF$68,BE$4-$B180+1)</f>
        <v/>
      </c>
      <c r="BF180" s="153">
        <f>$C180*INDEX(Curves!$AF$8:$AF$68,BF$4-$B180+1)</f>
        <v/>
      </c>
      <c r="BG180" s="153">
        <f>$C180*INDEX(Curves!$AF$8:$AF$68,BG$4-$B180+1)</f>
        <v/>
      </c>
      <c r="BH180" s="153">
        <f>$C180*INDEX(Curves!$AF$8:$AF$68,BH$4-$B180+1)</f>
        <v/>
      </c>
      <c r="BI180" s="153">
        <f>$C180*INDEX(Curves!$AF$8:$AF$68,BI$4-$B180+1)</f>
        <v/>
      </c>
      <c r="BJ180" s="153">
        <f>$C180*INDEX(Curves!$AF$8:$AF$68,BJ$4-$B180+1)</f>
        <v/>
      </c>
      <c r="BK180" s="153">
        <f>$C180*INDEX(Curves!$AF$8:$AF$68,BK$4-$B180+1)</f>
        <v/>
      </c>
      <c r="BL180" s="153">
        <f>$C180*INDEX(Curves!$AF$8:$AF$68,BL$4-$B180+1)</f>
        <v/>
      </c>
    </row>
    <row r="181">
      <c r="A181" s="147" t="inlineStr">
        <is>
          <t>Cohort month 46</t>
        </is>
      </c>
      <c r="B181" s="147" t="n">
        <v>46</v>
      </c>
      <c r="C181" s="41">
        <f>INDEX(Ops!$E$60:$BL$60,1,$B181)</f>
        <v/>
      </c>
      <c r="AY181" s="153">
        <f>$C181*INDEX(Curves!$AF$8:$AF$68,AY$4-$B181+1)</f>
        <v/>
      </c>
      <c r="AZ181" s="153">
        <f>$C181*INDEX(Curves!$AF$8:$AF$68,AZ$4-$B181+1)</f>
        <v/>
      </c>
      <c r="BA181" s="153">
        <f>$C181*INDEX(Curves!$AF$8:$AF$68,BA$4-$B181+1)</f>
        <v/>
      </c>
      <c r="BB181" s="153">
        <f>$C181*INDEX(Curves!$AF$8:$AF$68,BB$4-$B181+1)</f>
        <v/>
      </c>
      <c r="BC181" s="153">
        <f>$C181*INDEX(Curves!$AF$8:$AF$68,BC$4-$B181+1)</f>
        <v/>
      </c>
      <c r="BD181" s="153">
        <f>$C181*INDEX(Curves!$AF$8:$AF$68,BD$4-$B181+1)</f>
        <v/>
      </c>
      <c r="BE181" s="153">
        <f>$C181*INDEX(Curves!$AF$8:$AF$68,BE$4-$B181+1)</f>
        <v/>
      </c>
      <c r="BF181" s="153">
        <f>$C181*INDEX(Curves!$AF$8:$AF$68,BF$4-$B181+1)</f>
        <v/>
      </c>
      <c r="BG181" s="153">
        <f>$C181*INDEX(Curves!$AF$8:$AF$68,BG$4-$B181+1)</f>
        <v/>
      </c>
      <c r="BH181" s="153">
        <f>$C181*INDEX(Curves!$AF$8:$AF$68,BH$4-$B181+1)</f>
        <v/>
      </c>
      <c r="BI181" s="153">
        <f>$C181*INDEX(Curves!$AF$8:$AF$68,BI$4-$B181+1)</f>
        <v/>
      </c>
      <c r="BJ181" s="153">
        <f>$C181*INDEX(Curves!$AF$8:$AF$68,BJ$4-$B181+1)</f>
        <v/>
      </c>
      <c r="BK181" s="153">
        <f>$C181*INDEX(Curves!$AF$8:$AF$68,BK$4-$B181+1)</f>
        <v/>
      </c>
      <c r="BL181" s="153">
        <f>$C181*INDEX(Curves!$AF$8:$AF$68,BL$4-$B181+1)</f>
        <v/>
      </c>
    </row>
    <row r="182">
      <c r="A182" s="147" t="inlineStr">
        <is>
          <t>Cohort month 47</t>
        </is>
      </c>
      <c r="B182" s="147" t="n">
        <v>47</v>
      </c>
      <c r="C182" s="41">
        <f>INDEX(Ops!$E$60:$BL$60,1,$B182)</f>
        <v/>
      </c>
      <c r="AZ182" s="153">
        <f>$C182*INDEX(Curves!$AF$8:$AF$68,AZ$4-$B182+1)</f>
        <v/>
      </c>
      <c r="BA182" s="153">
        <f>$C182*INDEX(Curves!$AF$8:$AF$68,BA$4-$B182+1)</f>
        <v/>
      </c>
      <c r="BB182" s="153">
        <f>$C182*INDEX(Curves!$AF$8:$AF$68,BB$4-$B182+1)</f>
        <v/>
      </c>
      <c r="BC182" s="153">
        <f>$C182*INDEX(Curves!$AF$8:$AF$68,BC$4-$B182+1)</f>
        <v/>
      </c>
      <c r="BD182" s="153">
        <f>$C182*INDEX(Curves!$AF$8:$AF$68,BD$4-$B182+1)</f>
        <v/>
      </c>
      <c r="BE182" s="153">
        <f>$C182*INDEX(Curves!$AF$8:$AF$68,BE$4-$B182+1)</f>
        <v/>
      </c>
      <c r="BF182" s="153">
        <f>$C182*INDEX(Curves!$AF$8:$AF$68,BF$4-$B182+1)</f>
        <v/>
      </c>
      <c r="BG182" s="153">
        <f>$C182*INDEX(Curves!$AF$8:$AF$68,BG$4-$B182+1)</f>
        <v/>
      </c>
      <c r="BH182" s="153">
        <f>$C182*INDEX(Curves!$AF$8:$AF$68,BH$4-$B182+1)</f>
        <v/>
      </c>
      <c r="BI182" s="153">
        <f>$C182*INDEX(Curves!$AF$8:$AF$68,BI$4-$B182+1)</f>
        <v/>
      </c>
      <c r="BJ182" s="153">
        <f>$C182*INDEX(Curves!$AF$8:$AF$68,BJ$4-$B182+1)</f>
        <v/>
      </c>
      <c r="BK182" s="153">
        <f>$C182*INDEX(Curves!$AF$8:$AF$68,BK$4-$B182+1)</f>
        <v/>
      </c>
      <c r="BL182" s="153">
        <f>$C182*INDEX(Curves!$AF$8:$AF$68,BL$4-$B182+1)</f>
        <v/>
      </c>
    </row>
    <row r="183">
      <c r="A183" s="147" t="inlineStr">
        <is>
          <t>Cohort month 48</t>
        </is>
      </c>
      <c r="B183" s="147" t="n">
        <v>48</v>
      </c>
      <c r="C183" s="41">
        <f>INDEX(Ops!$E$60:$BL$60,1,$B183)</f>
        <v/>
      </c>
      <c r="BA183" s="153">
        <f>$C183*INDEX(Curves!$AF$8:$AF$68,BA$4-$B183+1)</f>
        <v/>
      </c>
      <c r="BB183" s="153">
        <f>$C183*INDEX(Curves!$AF$8:$AF$68,BB$4-$B183+1)</f>
        <v/>
      </c>
      <c r="BC183" s="153">
        <f>$C183*INDEX(Curves!$AF$8:$AF$68,BC$4-$B183+1)</f>
        <v/>
      </c>
      <c r="BD183" s="153">
        <f>$C183*INDEX(Curves!$AF$8:$AF$68,BD$4-$B183+1)</f>
        <v/>
      </c>
      <c r="BE183" s="153">
        <f>$C183*INDEX(Curves!$AF$8:$AF$68,BE$4-$B183+1)</f>
        <v/>
      </c>
      <c r="BF183" s="153">
        <f>$C183*INDEX(Curves!$AF$8:$AF$68,BF$4-$B183+1)</f>
        <v/>
      </c>
      <c r="BG183" s="153">
        <f>$C183*INDEX(Curves!$AF$8:$AF$68,BG$4-$B183+1)</f>
        <v/>
      </c>
      <c r="BH183" s="153">
        <f>$C183*INDEX(Curves!$AF$8:$AF$68,BH$4-$B183+1)</f>
        <v/>
      </c>
      <c r="BI183" s="153">
        <f>$C183*INDEX(Curves!$AF$8:$AF$68,BI$4-$B183+1)</f>
        <v/>
      </c>
      <c r="BJ183" s="153">
        <f>$C183*INDEX(Curves!$AF$8:$AF$68,BJ$4-$B183+1)</f>
        <v/>
      </c>
      <c r="BK183" s="153">
        <f>$C183*INDEX(Curves!$AF$8:$AF$68,BK$4-$B183+1)</f>
        <v/>
      </c>
      <c r="BL183" s="153">
        <f>$C183*INDEX(Curves!$AF$8:$AF$68,BL$4-$B183+1)</f>
        <v/>
      </c>
    </row>
    <row r="184">
      <c r="A184" s="147" t="inlineStr">
        <is>
          <t>Cohort month 49</t>
        </is>
      </c>
      <c r="B184" s="147" t="n">
        <v>49</v>
      </c>
      <c r="C184" s="41">
        <f>INDEX(Ops!$E$60:$BL$60,1,$B184)</f>
        <v/>
      </c>
      <c r="BB184" s="153">
        <f>$C184*INDEX(Curves!$AF$8:$AF$68,BB$4-$B184+1)</f>
        <v/>
      </c>
      <c r="BC184" s="153">
        <f>$C184*INDEX(Curves!$AF$8:$AF$68,BC$4-$B184+1)</f>
        <v/>
      </c>
      <c r="BD184" s="153">
        <f>$C184*INDEX(Curves!$AF$8:$AF$68,BD$4-$B184+1)</f>
        <v/>
      </c>
      <c r="BE184" s="153">
        <f>$C184*INDEX(Curves!$AF$8:$AF$68,BE$4-$B184+1)</f>
        <v/>
      </c>
      <c r="BF184" s="153">
        <f>$C184*INDEX(Curves!$AF$8:$AF$68,BF$4-$B184+1)</f>
        <v/>
      </c>
      <c r="BG184" s="153">
        <f>$C184*INDEX(Curves!$AF$8:$AF$68,BG$4-$B184+1)</f>
        <v/>
      </c>
      <c r="BH184" s="153">
        <f>$C184*INDEX(Curves!$AF$8:$AF$68,BH$4-$B184+1)</f>
        <v/>
      </c>
      <c r="BI184" s="153">
        <f>$C184*INDEX(Curves!$AF$8:$AF$68,BI$4-$B184+1)</f>
        <v/>
      </c>
      <c r="BJ184" s="153">
        <f>$C184*INDEX(Curves!$AF$8:$AF$68,BJ$4-$B184+1)</f>
        <v/>
      </c>
      <c r="BK184" s="153">
        <f>$C184*INDEX(Curves!$AF$8:$AF$68,BK$4-$B184+1)</f>
        <v/>
      </c>
      <c r="BL184" s="153">
        <f>$C184*INDEX(Curves!$AF$8:$AF$68,BL$4-$B184+1)</f>
        <v/>
      </c>
    </row>
    <row r="185">
      <c r="A185" s="147" t="inlineStr">
        <is>
          <t>Cohort month 50</t>
        </is>
      </c>
      <c r="B185" s="147" t="n">
        <v>50</v>
      </c>
      <c r="C185" s="41">
        <f>INDEX(Ops!$E$60:$BL$60,1,$B185)</f>
        <v/>
      </c>
      <c r="BC185" s="153">
        <f>$C185*INDEX(Curves!$AF$8:$AF$68,BC$4-$B185+1)</f>
        <v/>
      </c>
      <c r="BD185" s="153">
        <f>$C185*INDEX(Curves!$AF$8:$AF$68,BD$4-$B185+1)</f>
        <v/>
      </c>
      <c r="BE185" s="153">
        <f>$C185*INDEX(Curves!$AF$8:$AF$68,BE$4-$B185+1)</f>
        <v/>
      </c>
      <c r="BF185" s="153">
        <f>$C185*INDEX(Curves!$AF$8:$AF$68,BF$4-$B185+1)</f>
        <v/>
      </c>
      <c r="BG185" s="153">
        <f>$C185*INDEX(Curves!$AF$8:$AF$68,BG$4-$B185+1)</f>
        <v/>
      </c>
      <c r="BH185" s="153">
        <f>$C185*INDEX(Curves!$AF$8:$AF$68,BH$4-$B185+1)</f>
        <v/>
      </c>
      <c r="BI185" s="153">
        <f>$C185*INDEX(Curves!$AF$8:$AF$68,BI$4-$B185+1)</f>
        <v/>
      </c>
      <c r="BJ185" s="153">
        <f>$C185*INDEX(Curves!$AF$8:$AF$68,BJ$4-$B185+1)</f>
        <v/>
      </c>
      <c r="BK185" s="153">
        <f>$C185*INDEX(Curves!$AF$8:$AF$68,BK$4-$B185+1)</f>
        <v/>
      </c>
      <c r="BL185" s="153">
        <f>$C185*INDEX(Curves!$AF$8:$AF$68,BL$4-$B185+1)</f>
        <v/>
      </c>
    </row>
    <row r="186">
      <c r="A186" s="147" t="inlineStr">
        <is>
          <t>Cohort month 51</t>
        </is>
      </c>
      <c r="B186" s="147" t="n">
        <v>51</v>
      </c>
      <c r="C186" s="41">
        <f>INDEX(Ops!$E$60:$BL$60,1,$B186)</f>
        <v/>
      </c>
      <c r="BD186" s="153">
        <f>$C186*INDEX(Curves!$AF$8:$AF$68,BD$4-$B186+1)</f>
        <v/>
      </c>
      <c r="BE186" s="153">
        <f>$C186*INDEX(Curves!$AF$8:$AF$68,BE$4-$B186+1)</f>
        <v/>
      </c>
      <c r="BF186" s="153">
        <f>$C186*INDEX(Curves!$AF$8:$AF$68,BF$4-$B186+1)</f>
        <v/>
      </c>
      <c r="BG186" s="153">
        <f>$C186*INDEX(Curves!$AF$8:$AF$68,BG$4-$B186+1)</f>
        <v/>
      </c>
      <c r="BH186" s="153">
        <f>$C186*INDEX(Curves!$AF$8:$AF$68,BH$4-$B186+1)</f>
        <v/>
      </c>
      <c r="BI186" s="153">
        <f>$C186*INDEX(Curves!$AF$8:$AF$68,BI$4-$B186+1)</f>
        <v/>
      </c>
      <c r="BJ186" s="153">
        <f>$C186*INDEX(Curves!$AF$8:$AF$68,BJ$4-$B186+1)</f>
        <v/>
      </c>
      <c r="BK186" s="153">
        <f>$C186*INDEX(Curves!$AF$8:$AF$68,BK$4-$B186+1)</f>
        <v/>
      </c>
      <c r="BL186" s="153">
        <f>$C186*INDEX(Curves!$AF$8:$AF$68,BL$4-$B186+1)</f>
        <v/>
      </c>
    </row>
    <row r="187">
      <c r="A187" s="147" t="inlineStr">
        <is>
          <t>Cohort month 52</t>
        </is>
      </c>
      <c r="B187" s="147" t="n">
        <v>52</v>
      </c>
      <c r="C187" s="41">
        <f>INDEX(Ops!$E$60:$BL$60,1,$B187)</f>
        <v/>
      </c>
      <c r="BE187" s="153">
        <f>$C187*INDEX(Curves!$AF$8:$AF$68,BE$4-$B187+1)</f>
        <v/>
      </c>
      <c r="BF187" s="153">
        <f>$C187*INDEX(Curves!$AF$8:$AF$68,BF$4-$B187+1)</f>
        <v/>
      </c>
      <c r="BG187" s="153">
        <f>$C187*INDEX(Curves!$AF$8:$AF$68,BG$4-$B187+1)</f>
        <v/>
      </c>
      <c r="BH187" s="153">
        <f>$C187*INDEX(Curves!$AF$8:$AF$68,BH$4-$B187+1)</f>
        <v/>
      </c>
      <c r="BI187" s="153">
        <f>$C187*INDEX(Curves!$AF$8:$AF$68,BI$4-$B187+1)</f>
        <v/>
      </c>
      <c r="BJ187" s="153">
        <f>$C187*INDEX(Curves!$AF$8:$AF$68,BJ$4-$B187+1)</f>
        <v/>
      </c>
      <c r="BK187" s="153">
        <f>$C187*INDEX(Curves!$AF$8:$AF$68,BK$4-$B187+1)</f>
        <v/>
      </c>
      <c r="BL187" s="153">
        <f>$C187*INDEX(Curves!$AF$8:$AF$68,BL$4-$B187+1)</f>
        <v/>
      </c>
    </row>
    <row r="188">
      <c r="A188" s="147" t="inlineStr">
        <is>
          <t>Cohort month 53</t>
        </is>
      </c>
      <c r="B188" s="147" t="n">
        <v>53</v>
      </c>
      <c r="C188" s="41">
        <f>INDEX(Ops!$E$60:$BL$60,1,$B188)</f>
        <v/>
      </c>
      <c r="BF188" s="153">
        <f>$C188*INDEX(Curves!$AF$8:$AF$68,BF$4-$B188+1)</f>
        <v/>
      </c>
      <c r="BG188" s="153">
        <f>$C188*INDEX(Curves!$AF$8:$AF$68,BG$4-$B188+1)</f>
        <v/>
      </c>
      <c r="BH188" s="153">
        <f>$C188*INDEX(Curves!$AF$8:$AF$68,BH$4-$B188+1)</f>
        <v/>
      </c>
      <c r="BI188" s="153">
        <f>$C188*INDEX(Curves!$AF$8:$AF$68,BI$4-$B188+1)</f>
        <v/>
      </c>
      <c r="BJ188" s="153">
        <f>$C188*INDEX(Curves!$AF$8:$AF$68,BJ$4-$B188+1)</f>
        <v/>
      </c>
      <c r="BK188" s="153">
        <f>$C188*INDEX(Curves!$AF$8:$AF$68,BK$4-$B188+1)</f>
        <v/>
      </c>
      <c r="BL188" s="153">
        <f>$C188*INDEX(Curves!$AF$8:$AF$68,BL$4-$B188+1)</f>
        <v/>
      </c>
    </row>
    <row r="189">
      <c r="A189" s="147" t="inlineStr">
        <is>
          <t>Cohort month 54</t>
        </is>
      </c>
      <c r="B189" s="147" t="n">
        <v>54</v>
      </c>
      <c r="C189" s="41">
        <f>INDEX(Ops!$E$60:$BL$60,1,$B189)</f>
        <v/>
      </c>
      <c r="BG189" s="153">
        <f>$C189*INDEX(Curves!$AF$8:$AF$68,BG$4-$B189+1)</f>
        <v/>
      </c>
      <c r="BH189" s="153">
        <f>$C189*INDEX(Curves!$AF$8:$AF$68,BH$4-$B189+1)</f>
        <v/>
      </c>
      <c r="BI189" s="153">
        <f>$C189*INDEX(Curves!$AF$8:$AF$68,BI$4-$B189+1)</f>
        <v/>
      </c>
      <c r="BJ189" s="153">
        <f>$C189*INDEX(Curves!$AF$8:$AF$68,BJ$4-$B189+1)</f>
        <v/>
      </c>
      <c r="BK189" s="153">
        <f>$C189*INDEX(Curves!$AF$8:$AF$68,BK$4-$B189+1)</f>
        <v/>
      </c>
      <c r="BL189" s="153">
        <f>$C189*INDEX(Curves!$AF$8:$AF$68,BL$4-$B189+1)</f>
        <v/>
      </c>
    </row>
    <row r="190">
      <c r="A190" s="147" t="inlineStr">
        <is>
          <t>Cohort month 55</t>
        </is>
      </c>
      <c r="B190" s="147" t="n">
        <v>55</v>
      </c>
      <c r="C190" s="41">
        <f>INDEX(Ops!$E$60:$BL$60,1,$B190)</f>
        <v/>
      </c>
      <c r="BH190" s="153">
        <f>$C190*INDEX(Curves!$AF$8:$AF$68,BH$4-$B190+1)</f>
        <v/>
      </c>
      <c r="BI190" s="153">
        <f>$C190*INDEX(Curves!$AF$8:$AF$68,BI$4-$B190+1)</f>
        <v/>
      </c>
      <c r="BJ190" s="153">
        <f>$C190*INDEX(Curves!$AF$8:$AF$68,BJ$4-$B190+1)</f>
        <v/>
      </c>
      <c r="BK190" s="153">
        <f>$C190*INDEX(Curves!$AF$8:$AF$68,BK$4-$B190+1)</f>
        <v/>
      </c>
      <c r="BL190" s="153">
        <f>$C190*INDEX(Curves!$AF$8:$AF$68,BL$4-$B190+1)</f>
        <v/>
      </c>
    </row>
    <row r="191">
      <c r="A191" s="147" t="inlineStr">
        <is>
          <t>Cohort month 56</t>
        </is>
      </c>
      <c r="B191" s="147" t="n">
        <v>56</v>
      </c>
      <c r="C191" s="41">
        <f>INDEX(Ops!$E$60:$BL$60,1,$B191)</f>
        <v/>
      </c>
      <c r="BI191" s="153">
        <f>$C191*INDEX(Curves!$AF$8:$AF$68,BI$4-$B191+1)</f>
        <v/>
      </c>
      <c r="BJ191" s="153">
        <f>$C191*INDEX(Curves!$AF$8:$AF$68,BJ$4-$B191+1)</f>
        <v/>
      </c>
      <c r="BK191" s="153">
        <f>$C191*INDEX(Curves!$AF$8:$AF$68,BK$4-$B191+1)</f>
        <v/>
      </c>
      <c r="BL191" s="153">
        <f>$C191*INDEX(Curves!$AF$8:$AF$68,BL$4-$B191+1)</f>
        <v/>
      </c>
    </row>
    <row r="192">
      <c r="A192" s="147" t="inlineStr">
        <is>
          <t>Cohort month 57</t>
        </is>
      </c>
      <c r="B192" s="147" t="n">
        <v>57</v>
      </c>
      <c r="C192" s="41">
        <f>INDEX(Ops!$E$60:$BL$60,1,$B192)</f>
        <v/>
      </c>
      <c r="BJ192" s="153">
        <f>$C192*INDEX(Curves!$AF$8:$AF$68,BJ$4-$B192+1)</f>
        <v/>
      </c>
      <c r="BK192" s="153">
        <f>$C192*INDEX(Curves!$AF$8:$AF$68,BK$4-$B192+1)</f>
        <v/>
      </c>
      <c r="BL192" s="153">
        <f>$C192*INDEX(Curves!$AF$8:$AF$68,BL$4-$B192+1)</f>
        <v/>
      </c>
    </row>
    <row r="193">
      <c r="A193" s="147" t="inlineStr">
        <is>
          <t>Cohort month 58</t>
        </is>
      </c>
      <c r="B193" s="147" t="n">
        <v>58</v>
      </c>
      <c r="C193" s="41">
        <f>INDEX(Ops!$E$60:$BL$60,1,$B193)</f>
        <v/>
      </c>
      <c r="BK193" s="153">
        <f>$C193*INDEX(Curves!$AF$8:$AF$68,BK$4-$B193+1)</f>
        <v/>
      </c>
      <c r="BL193" s="153">
        <f>$C193*INDEX(Curves!$AF$8:$AF$68,BL$4-$B193+1)</f>
        <v/>
      </c>
    </row>
    <row r="194">
      <c r="A194" s="147" t="inlineStr">
        <is>
          <t>Cohort month 59</t>
        </is>
      </c>
      <c r="B194" s="147" t="n">
        <v>59</v>
      </c>
      <c r="C194" s="41">
        <f>INDEX(Ops!$E$60:$BL$60,1,$B194)</f>
        <v/>
      </c>
      <c r="BL194" s="153">
        <f>$C194*INDEX(Curves!$AF$8:$AF$68,BL$4-$B194+1)</f>
        <v/>
      </c>
    </row>
    <row r="195">
      <c r="A195" s="147" t="inlineStr">
        <is>
          <t>Cohort month 60</t>
        </is>
      </c>
      <c r="B195" s="147" t="n">
        <v>60</v>
      </c>
      <c r="C195" s="41">
        <f>INDEX(Ops!$E$60:$BL$60,1,$B195)</f>
        <v/>
      </c>
    </row>
    <row r="196"/>
    <row r="197">
      <c r="A197" s="21" t="inlineStr">
        <is>
          <t>Recoveries by cohort (LCY)</t>
        </is>
      </c>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c r="AA197" s="22" t="n"/>
      <c r="AB197" s="22" t="n"/>
      <c r="AC197" s="22" t="n"/>
      <c r="AD197" s="22" t="n"/>
      <c r="AE197" s="22" t="n"/>
      <c r="AF197" s="22" t="n"/>
      <c r="AG197" s="22" t="n"/>
      <c r="AH197" s="22" t="n"/>
      <c r="AI197" s="22" t="n"/>
      <c r="AJ197" s="22" t="n"/>
      <c r="AK197" s="22" t="n"/>
      <c r="AL197" s="22" t="n"/>
      <c r="AM197" s="22" t="n"/>
      <c r="AN197" s="22" t="n"/>
      <c r="AO197" s="22" t="n"/>
      <c r="AP197" s="22" t="n"/>
      <c r="AQ197" s="22" t="n"/>
      <c r="AR197" s="22" t="n"/>
      <c r="AS197" s="22" t="n"/>
      <c r="AT197" s="22" t="n"/>
      <c r="AU197" s="22" t="n"/>
      <c r="AV197" s="22" t="n"/>
      <c r="AW197" s="22" t="n"/>
      <c r="AX197" s="22" t="n"/>
      <c r="AY197" s="22" t="n"/>
      <c r="AZ197" s="22" t="n"/>
      <c r="BA197" s="22" t="n"/>
      <c r="BB197" s="22" t="n"/>
      <c r="BC197" s="22" t="n"/>
      <c r="BD197" s="22" t="n"/>
      <c r="BE197" s="22" t="n"/>
      <c r="BF197" s="22" t="n"/>
      <c r="BG197" s="22" t="n"/>
      <c r="BH197" s="22" t="n"/>
      <c r="BI197" s="22" t="n"/>
      <c r="BJ197" s="22" t="n"/>
      <c r="BK197" s="22" t="n"/>
      <c r="BL197" s="22" t="n"/>
    </row>
    <row r="198">
      <c r="A198" s="100" t="inlineStr">
        <is>
          <t>Total</t>
        </is>
      </c>
      <c r="B198" s="101" t="inlineStr"/>
      <c r="C198" s="103" t="n"/>
      <c r="D198" s="103" t="n"/>
      <c r="E198" s="104">
        <f>SUM(E199:E258)</f>
        <v/>
      </c>
      <c r="F198" s="104">
        <f>SUM(F199:F258)</f>
        <v/>
      </c>
      <c r="G198" s="104">
        <f>SUM(G199:G258)</f>
        <v/>
      </c>
      <c r="H198" s="104">
        <f>SUM(H199:H258)</f>
        <v/>
      </c>
      <c r="I198" s="104">
        <f>SUM(I199:I258)</f>
        <v/>
      </c>
      <c r="J198" s="104">
        <f>SUM(J199:J258)</f>
        <v/>
      </c>
      <c r="K198" s="104">
        <f>SUM(K199:K258)</f>
        <v/>
      </c>
      <c r="L198" s="104">
        <f>SUM(L199:L258)</f>
        <v/>
      </c>
      <c r="M198" s="104">
        <f>SUM(M199:M258)</f>
        <v/>
      </c>
      <c r="N198" s="104">
        <f>SUM(N199:N258)</f>
        <v/>
      </c>
      <c r="O198" s="104">
        <f>SUM(O199:O258)</f>
        <v/>
      </c>
      <c r="P198" s="104">
        <f>SUM(P199:P258)</f>
        <v/>
      </c>
      <c r="Q198" s="104">
        <f>SUM(Q199:Q258)</f>
        <v/>
      </c>
      <c r="R198" s="104">
        <f>SUM(R199:R258)</f>
        <v/>
      </c>
      <c r="S198" s="104">
        <f>SUM(S199:S258)</f>
        <v/>
      </c>
      <c r="T198" s="104">
        <f>SUM(T199:T258)</f>
        <v/>
      </c>
      <c r="U198" s="104">
        <f>SUM(U199:U258)</f>
        <v/>
      </c>
      <c r="V198" s="104">
        <f>SUM(V199:V258)</f>
        <v/>
      </c>
      <c r="W198" s="104">
        <f>SUM(W199:W258)</f>
        <v/>
      </c>
      <c r="X198" s="104">
        <f>SUM(X199:X258)</f>
        <v/>
      </c>
      <c r="Y198" s="104">
        <f>SUM(Y199:Y258)</f>
        <v/>
      </c>
      <c r="Z198" s="104">
        <f>SUM(Z199:Z258)</f>
        <v/>
      </c>
      <c r="AA198" s="104">
        <f>SUM(AA199:AA258)</f>
        <v/>
      </c>
      <c r="AB198" s="104">
        <f>SUM(AB199:AB258)</f>
        <v/>
      </c>
      <c r="AC198" s="104">
        <f>SUM(AC199:AC258)</f>
        <v/>
      </c>
      <c r="AD198" s="104">
        <f>SUM(AD199:AD258)</f>
        <v/>
      </c>
      <c r="AE198" s="104">
        <f>SUM(AE199:AE258)</f>
        <v/>
      </c>
      <c r="AF198" s="104">
        <f>SUM(AF199:AF258)</f>
        <v/>
      </c>
      <c r="AG198" s="104">
        <f>SUM(AG199:AG258)</f>
        <v/>
      </c>
      <c r="AH198" s="104">
        <f>SUM(AH199:AH258)</f>
        <v/>
      </c>
      <c r="AI198" s="104">
        <f>SUM(AI199:AI258)</f>
        <v/>
      </c>
      <c r="AJ198" s="104">
        <f>SUM(AJ199:AJ258)</f>
        <v/>
      </c>
      <c r="AK198" s="104">
        <f>SUM(AK199:AK258)</f>
        <v/>
      </c>
      <c r="AL198" s="104">
        <f>SUM(AL199:AL258)</f>
        <v/>
      </c>
      <c r="AM198" s="104">
        <f>SUM(AM199:AM258)</f>
        <v/>
      </c>
      <c r="AN198" s="104">
        <f>SUM(AN199:AN258)</f>
        <v/>
      </c>
      <c r="AO198" s="104">
        <f>SUM(AO199:AO258)</f>
        <v/>
      </c>
      <c r="AP198" s="104">
        <f>SUM(AP199:AP258)</f>
        <v/>
      </c>
      <c r="AQ198" s="104">
        <f>SUM(AQ199:AQ258)</f>
        <v/>
      </c>
      <c r="AR198" s="104">
        <f>SUM(AR199:AR258)</f>
        <v/>
      </c>
      <c r="AS198" s="104">
        <f>SUM(AS199:AS258)</f>
        <v/>
      </c>
      <c r="AT198" s="104">
        <f>SUM(AT199:AT258)</f>
        <v/>
      </c>
      <c r="AU198" s="104">
        <f>SUM(AU199:AU258)</f>
        <v/>
      </c>
      <c r="AV198" s="104">
        <f>SUM(AV199:AV258)</f>
        <v/>
      </c>
      <c r="AW198" s="104">
        <f>SUM(AW199:AW258)</f>
        <v/>
      </c>
      <c r="AX198" s="104">
        <f>SUM(AX199:AX258)</f>
        <v/>
      </c>
      <c r="AY198" s="104">
        <f>SUM(AY199:AY258)</f>
        <v/>
      </c>
      <c r="AZ198" s="104">
        <f>SUM(AZ199:AZ258)</f>
        <v/>
      </c>
      <c r="BA198" s="104">
        <f>SUM(BA199:BA258)</f>
        <v/>
      </c>
      <c r="BB198" s="104">
        <f>SUM(BB199:BB258)</f>
        <v/>
      </c>
      <c r="BC198" s="104">
        <f>SUM(BC199:BC258)</f>
        <v/>
      </c>
      <c r="BD198" s="104">
        <f>SUM(BD199:BD258)</f>
        <v/>
      </c>
      <c r="BE198" s="104">
        <f>SUM(BE199:BE258)</f>
        <v/>
      </c>
      <c r="BF198" s="104">
        <f>SUM(BF199:BF258)</f>
        <v/>
      </c>
      <c r="BG198" s="104">
        <f>SUM(BG199:BG258)</f>
        <v/>
      </c>
      <c r="BH198" s="104">
        <f>SUM(BH199:BH258)</f>
        <v/>
      </c>
      <c r="BI198" s="104">
        <f>SUM(BI199:BI258)</f>
        <v/>
      </c>
      <c r="BJ198" s="104">
        <f>SUM(BJ199:BJ258)</f>
        <v/>
      </c>
      <c r="BK198" s="104">
        <f>SUM(BK199:BK258)</f>
        <v/>
      </c>
      <c r="BL198" s="104">
        <f>SUM(BL199:BL258)</f>
        <v/>
      </c>
    </row>
    <row r="199">
      <c r="A199" s="147" t="inlineStr">
        <is>
          <t>Cohort month 1</t>
        </is>
      </c>
      <c r="B199" s="147" t="n">
        <v>1</v>
      </c>
      <c r="C199" s="41">
        <f>INDEX(Ops!$E$60:$BL$60,1,$B199)</f>
        <v/>
      </c>
      <c r="F199" s="153">
        <f>$C199*INDEX(Curves!$AI$8:$AI$68,F$4-$B199+1)</f>
        <v/>
      </c>
      <c r="G199" s="153">
        <f>$C199*INDEX(Curves!$AI$8:$AI$68,G$4-$B199+1)</f>
        <v/>
      </c>
      <c r="H199" s="153">
        <f>$C199*INDEX(Curves!$AI$8:$AI$68,H$4-$B199+1)</f>
        <v/>
      </c>
      <c r="I199" s="153">
        <f>$C199*INDEX(Curves!$AI$8:$AI$68,I$4-$B199+1)</f>
        <v/>
      </c>
      <c r="J199" s="153">
        <f>$C199*INDEX(Curves!$AI$8:$AI$68,J$4-$B199+1)</f>
        <v/>
      </c>
      <c r="K199" s="153">
        <f>$C199*INDEX(Curves!$AI$8:$AI$68,K$4-$B199+1)</f>
        <v/>
      </c>
      <c r="L199" s="153">
        <f>$C199*INDEX(Curves!$AI$8:$AI$68,L$4-$B199+1)</f>
        <v/>
      </c>
      <c r="M199" s="153">
        <f>$C199*INDEX(Curves!$AI$8:$AI$68,M$4-$B199+1)</f>
        <v/>
      </c>
      <c r="N199" s="153">
        <f>$C199*INDEX(Curves!$AI$8:$AI$68,N$4-$B199+1)</f>
        <v/>
      </c>
      <c r="O199" s="153">
        <f>$C199*INDEX(Curves!$AI$8:$AI$68,O$4-$B199+1)</f>
        <v/>
      </c>
      <c r="P199" s="153">
        <f>$C199*INDEX(Curves!$AI$8:$AI$68,P$4-$B199+1)</f>
        <v/>
      </c>
      <c r="Q199" s="153">
        <f>$C199*INDEX(Curves!$AI$8:$AI$68,Q$4-$B199+1)</f>
        <v/>
      </c>
      <c r="R199" s="153">
        <f>$C199*INDEX(Curves!$AI$8:$AI$68,R$4-$B199+1)</f>
        <v/>
      </c>
      <c r="S199" s="153">
        <f>$C199*INDEX(Curves!$AI$8:$AI$68,S$4-$B199+1)</f>
        <v/>
      </c>
      <c r="T199" s="153">
        <f>$C199*INDEX(Curves!$AI$8:$AI$68,T$4-$B199+1)</f>
        <v/>
      </c>
      <c r="U199" s="153">
        <f>$C199*INDEX(Curves!$AI$8:$AI$68,U$4-$B199+1)</f>
        <v/>
      </c>
      <c r="V199" s="153">
        <f>$C199*INDEX(Curves!$AI$8:$AI$68,V$4-$B199+1)</f>
        <v/>
      </c>
      <c r="W199" s="153">
        <f>$C199*INDEX(Curves!$AI$8:$AI$68,W$4-$B199+1)</f>
        <v/>
      </c>
      <c r="X199" s="153">
        <f>$C199*INDEX(Curves!$AI$8:$AI$68,X$4-$B199+1)</f>
        <v/>
      </c>
      <c r="Y199" s="153">
        <f>$C199*INDEX(Curves!$AI$8:$AI$68,Y$4-$B199+1)</f>
        <v/>
      </c>
      <c r="Z199" s="153">
        <f>$C199*INDEX(Curves!$AI$8:$AI$68,Z$4-$B199+1)</f>
        <v/>
      </c>
      <c r="AA199" s="153">
        <f>$C199*INDEX(Curves!$AI$8:$AI$68,AA$4-$B199+1)</f>
        <v/>
      </c>
      <c r="AB199" s="153">
        <f>$C199*INDEX(Curves!$AI$8:$AI$68,AB$4-$B199+1)</f>
        <v/>
      </c>
      <c r="AC199" s="153">
        <f>$C199*INDEX(Curves!$AI$8:$AI$68,AC$4-$B199+1)</f>
        <v/>
      </c>
      <c r="AD199" s="153">
        <f>$C199*INDEX(Curves!$AI$8:$AI$68,AD$4-$B199+1)</f>
        <v/>
      </c>
      <c r="AE199" s="153">
        <f>$C199*INDEX(Curves!$AI$8:$AI$68,AE$4-$B199+1)</f>
        <v/>
      </c>
      <c r="AF199" s="153">
        <f>$C199*INDEX(Curves!$AI$8:$AI$68,AF$4-$B199+1)</f>
        <v/>
      </c>
      <c r="AG199" s="153">
        <f>$C199*INDEX(Curves!$AI$8:$AI$68,AG$4-$B199+1)</f>
        <v/>
      </c>
      <c r="AH199" s="153">
        <f>$C199*INDEX(Curves!$AI$8:$AI$68,AH$4-$B199+1)</f>
        <v/>
      </c>
      <c r="AI199" s="153">
        <f>$C199*INDEX(Curves!$AI$8:$AI$68,AI$4-$B199+1)</f>
        <v/>
      </c>
      <c r="AJ199" s="153">
        <f>$C199*INDEX(Curves!$AI$8:$AI$68,AJ$4-$B199+1)</f>
        <v/>
      </c>
      <c r="AK199" s="153">
        <f>$C199*INDEX(Curves!$AI$8:$AI$68,AK$4-$B199+1)</f>
        <v/>
      </c>
      <c r="AL199" s="153">
        <f>$C199*INDEX(Curves!$AI$8:$AI$68,AL$4-$B199+1)</f>
        <v/>
      </c>
      <c r="AM199" s="153">
        <f>$C199*INDEX(Curves!$AI$8:$AI$68,AM$4-$B199+1)</f>
        <v/>
      </c>
      <c r="AN199" s="153">
        <f>$C199*INDEX(Curves!$AI$8:$AI$68,AN$4-$B199+1)</f>
        <v/>
      </c>
      <c r="AO199" s="153">
        <f>$C199*INDEX(Curves!$AI$8:$AI$68,AO$4-$B199+1)</f>
        <v/>
      </c>
      <c r="AP199" s="153">
        <f>$C199*INDEX(Curves!$AI$8:$AI$68,AP$4-$B199+1)</f>
        <v/>
      </c>
      <c r="AQ199" s="153">
        <f>$C199*INDEX(Curves!$AI$8:$AI$68,AQ$4-$B199+1)</f>
        <v/>
      </c>
      <c r="AR199" s="153">
        <f>$C199*INDEX(Curves!$AI$8:$AI$68,AR$4-$B199+1)</f>
        <v/>
      </c>
      <c r="AS199" s="153">
        <f>$C199*INDEX(Curves!$AI$8:$AI$68,AS$4-$B199+1)</f>
        <v/>
      </c>
      <c r="AT199" s="153">
        <f>$C199*INDEX(Curves!$AI$8:$AI$68,AT$4-$B199+1)</f>
        <v/>
      </c>
      <c r="AU199" s="153">
        <f>$C199*INDEX(Curves!$AI$8:$AI$68,AU$4-$B199+1)</f>
        <v/>
      </c>
      <c r="AV199" s="153">
        <f>$C199*INDEX(Curves!$AI$8:$AI$68,AV$4-$B199+1)</f>
        <v/>
      </c>
      <c r="AW199" s="153">
        <f>$C199*INDEX(Curves!$AI$8:$AI$68,AW$4-$B199+1)</f>
        <v/>
      </c>
      <c r="AX199" s="153">
        <f>$C199*INDEX(Curves!$AI$8:$AI$68,AX$4-$B199+1)</f>
        <v/>
      </c>
      <c r="AY199" s="153">
        <f>$C199*INDEX(Curves!$AI$8:$AI$68,AY$4-$B199+1)</f>
        <v/>
      </c>
      <c r="AZ199" s="153">
        <f>$C199*INDEX(Curves!$AI$8:$AI$68,AZ$4-$B199+1)</f>
        <v/>
      </c>
      <c r="BA199" s="153">
        <f>$C199*INDEX(Curves!$AI$8:$AI$68,BA$4-$B199+1)</f>
        <v/>
      </c>
      <c r="BB199" s="153">
        <f>$C199*INDEX(Curves!$AI$8:$AI$68,BB$4-$B199+1)</f>
        <v/>
      </c>
      <c r="BC199" s="153">
        <f>$C199*INDEX(Curves!$AI$8:$AI$68,BC$4-$B199+1)</f>
        <v/>
      </c>
      <c r="BD199" s="153">
        <f>$C199*INDEX(Curves!$AI$8:$AI$68,BD$4-$B199+1)</f>
        <v/>
      </c>
      <c r="BE199" s="153">
        <f>$C199*INDEX(Curves!$AI$8:$AI$68,BE$4-$B199+1)</f>
        <v/>
      </c>
      <c r="BF199" s="153">
        <f>$C199*INDEX(Curves!$AI$8:$AI$68,BF$4-$B199+1)</f>
        <v/>
      </c>
      <c r="BG199" s="153">
        <f>$C199*INDEX(Curves!$AI$8:$AI$68,BG$4-$B199+1)</f>
        <v/>
      </c>
      <c r="BH199" s="153">
        <f>$C199*INDEX(Curves!$AI$8:$AI$68,BH$4-$B199+1)</f>
        <v/>
      </c>
      <c r="BI199" s="153">
        <f>$C199*INDEX(Curves!$AI$8:$AI$68,BI$4-$B199+1)</f>
        <v/>
      </c>
      <c r="BJ199" s="153">
        <f>$C199*INDEX(Curves!$AI$8:$AI$68,BJ$4-$B199+1)</f>
        <v/>
      </c>
      <c r="BK199" s="153">
        <f>$C199*INDEX(Curves!$AI$8:$AI$68,BK$4-$B199+1)</f>
        <v/>
      </c>
      <c r="BL199" s="153">
        <f>$C199*INDEX(Curves!$AI$8:$AI$68,BL$4-$B199+1)</f>
        <v/>
      </c>
    </row>
    <row r="200">
      <c r="A200" s="147" t="inlineStr">
        <is>
          <t>Cohort month 2</t>
        </is>
      </c>
      <c r="B200" s="147" t="n">
        <v>2</v>
      </c>
      <c r="C200" s="41">
        <f>INDEX(Ops!$E$60:$BL$60,1,$B200)</f>
        <v/>
      </c>
      <c r="G200" s="153">
        <f>$C200*INDEX(Curves!$AI$8:$AI$68,G$4-$B200+1)</f>
        <v/>
      </c>
      <c r="H200" s="153">
        <f>$C200*INDEX(Curves!$AI$8:$AI$68,H$4-$B200+1)</f>
        <v/>
      </c>
      <c r="I200" s="153">
        <f>$C200*INDEX(Curves!$AI$8:$AI$68,I$4-$B200+1)</f>
        <v/>
      </c>
      <c r="J200" s="153">
        <f>$C200*INDEX(Curves!$AI$8:$AI$68,J$4-$B200+1)</f>
        <v/>
      </c>
      <c r="K200" s="153">
        <f>$C200*INDEX(Curves!$AI$8:$AI$68,K$4-$B200+1)</f>
        <v/>
      </c>
      <c r="L200" s="153">
        <f>$C200*INDEX(Curves!$AI$8:$AI$68,L$4-$B200+1)</f>
        <v/>
      </c>
      <c r="M200" s="153">
        <f>$C200*INDEX(Curves!$AI$8:$AI$68,M$4-$B200+1)</f>
        <v/>
      </c>
      <c r="N200" s="153">
        <f>$C200*INDEX(Curves!$AI$8:$AI$68,N$4-$B200+1)</f>
        <v/>
      </c>
      <c r="O200" s="153">
        <f>$C200*INDEX(Curves!$AI$8:$AI$68,O$4-$B200+1)</f>
        <v/>
      </c>
      <c r="P200" s="153">
        <f>$C200*INDEX(Curves!$AI$8:$AI$68,P$4-$B200+1)</f>
        <v/>
      </c>
      <c r="Q200" s="153">
        <f>$C200*INDEX(Curves!$AI$8:$AI$68,Q$4-$B200+1)</f>
        <v/>
      </c>
      <c r="R200" s="153">
        <f>$C200*INDEX(Curves!$AI$8:$AI$68,R$4-$B200+1)</f>
        <v/>
      </c>
      <c r="S200" s="153">
        <f>$C200*INDEX(Curves!$AI$8:$AI$68,S$4-$B200+1)</f>
        <v/>
      </c>
      <c r="T200" s="153">
        <f>$C200*INDEX(Curves!$AI$8:$AI$68,T$4-$B200+1)</f>
        <v/>
      </c>
      <c r="U200" s="153">
        <f>$C200*INDEX(Curves!$AI$8:$AI$68,U$4-$B200+1)</f>
        <v/>
      </c>
      <c r="V200" s="153">
        <f>$C200*INDEX(Curves!$AI$8:$AI$68,V$4-$B200+1)</f>
        <v/>
      </c>
      <c r="W200" s="153">
        <f>$C200*INDEX(Curves!$AI$8:$AI$68,W$4-$B200+1)</f>
        <v/>
      </c>
      <c r="X200" s="153">
        <f>$C200*INDEX(Curves!$AI$8:$AI$68,X$4-$B200+1)</f>
        <v/>
      </c>
      <c r="Y200" s="153">
        <f>$C200*INDEX(Curves!$AI$8:$AI$68,Y$4-$B200+1)</f>
        <v/>
      </c>
      <c r="Z200" s="153">
        <f>$C200*INDEX(Curves!$AI$8:$AI$68,Z$4-$B200+1)</f>
        <v/>
      </c>
      <c r="AA200" s="153">
        <f>$C200*INDEX(Curves!$AI$8:$AI$68,AA$4-$B200+1)</f>
        <v/>
      </c>
      <c r="AB200" s="153">
        <f>$C200*INDEX(Curves!$AI$8:$AI$68,AB$4-$B200+1)</f>
        <v/>
      </c>
      <c r="AC200" s="153">
        <f>$C200*INDEX(Curves!$AI$8:$AI$68,AC$4-$B200+1)</f>
        <v/>
      </c>
      <c r="AD200" s="153">
        <f>$C200*INDEX(Curves!$AI$8:$AI$68,AD$4-$B200+1)</f>
        <v/>
      </c>
      <c r="AE200" s="153">
        <f>$C200*INDEX(Curves!$AI$8:$AI$68,AE$4-$B200+1)</f>
        <v/>
      </c>
      <c r="AF200" s="153">
        <f>$C200*INDEX(Curves!$AI$8:$AI$68,AF$4-$B200+1)</f>
        <v/>
      </c>
      <c r="AG200" s="153">
        <f>$C200*INDEX(Curves!$AI$8:$AI$68,AG$4-$B200+1)</f>
        <v/>
      </c>
      <c r="AH200" s="153">
        <f>$C200*INDEX(Curves!$AI$8:$AI$68,AH$4-$B200+1)</f>
        <v/>
      </c>
      <c r="AI200" s="153">
        <f>$C200*INDEX(Curves!$AI$8:$AI$68,AI$4-$B200+1)</f>
        <v/>
      </c>
      <c r="AJ200" s="153">
        <f>$C200*INDEX(Curves!$AI$8:$AI$68,AJ$4-$B200+1)</f>
        <v/>
      </c>
      <c r="AK200" s="153">
        <f>$C200*INDEX(Curves!$AI$8:$AI$68,AK$4-$B200+1)</f>
        <v/>
      </c>
      <c r="AL200" s="153">
        <f>$C200*INDEX(Curves!$AI$8:$AI$68,AL$4-$B200+1)</f>
        <v/>
      </c>
      <c r="AM200" s="153">
        <f>$C200*INDEX(Curves!$AI$8:$AI$68,AM$4-$B200+1)</f>
        <v/>
      </c>
      <c r="AN200" s="153">
        <f>$C200*INDEX(Curves!$AI$8:$AI$68,AN$4-$B200+1)</f>
        <v/>
      </c>
      <c r="AO200" s="153">
        <f>$C200*INDEX(Curves!$AI$8:$AI$68,AO$4-$B200+1)</f>
        <v/>
      </c>
      <c r="AP200" s="153">
        <f>$C200*INDEX(Curves!$AI$8:$AI$68,AP$4-$B200+1)</f>
        <v/>
      </c>
      <c r="AQ200" s="153">
        <f>$C200*INDEX(Curves!$AI$8:$AI$68,AQ$4-$B200+1)</f>
        <v/>
      </c>
      <c r="AR200" s="153">
        <f>$C200*INDEX(Curves!$AI$8:$AI$68,AR$4-$B200+1)</f>
        <v/>
      </c>
      <c r="AS200" s="153">
        <f>$C200*INDEX(Curves!$AI$8:$AI$68,AS$4-$B200+1)</f>
        <v/>
      </c>
      <c r="AT200" s="153">
        <f>$C200*INDEX(Curves!$AI$8:$AI$68,AT$4-$B200+1)</f>
        <v/>
      </c>
      <c r="AU200" s="153">
        <f>$C200*INDEX(Curves!$AI$8:$AI$68,AU$4-$B200+1)</f>
        <v/>
      </c>
      <c r="AV200" s="153">
        <f>$C200*INDEX(Curves!$AI$8:$AI$68,AV$4-$B200+1)</f>
        <v/>
      </c>
      <c r="AW200" s="153">
        <f>$C200*INDEX(Curves!$AI$8:$AI$68,AW$4-$B200+1)</f>
        <v/>
      </c>
      <c r="AX200" s="153">
        <f>$C200*INDEX(Curves!$AI$8:$AI$68,AX$4-$B200+1)</f>
        <v/>
      </c>
      <c r="AY200" s="153">
        <f>$C200*INDEX(Curves!$AI$8:$AI$68,AY$4-$B200+1)</f>
        <v/>
      </c>
      <c r="AZ200" s="153">
        <f>$C200*INDEX(Curves!$AI$8:$AI$68,AZ$4-$B200+1)</f>
        <v/>
      </c>
      <c r="BA200" s="153">
        <f>$C200*INDEX(Curves!$AI$8:$AI$68,BA$4-$B200+1)</f>
        <v/>
      </c>
      <c r="BB200" s="153">
        <f>$C200*INDEX(Curves!$AI$8:$AI$68,BB$4-$B200+1)</f>
        <v/>
      </c>
      <c r="BC200" s="153">
        <f>$C200*INDEX(Curves!$AI$8:$AI$68,BC$4-$B200+1)</f>
        <v/>
      </c>
      <c r="BD200" s="153">
        <f>$C200*INDEX(Curves!$AI$8:$AI$68,BD$4-$B200+1)</f>
        <v/>
      </c>
      <c r="BE200" s="153">
        <f>$C200*INDEX(Curves!$AI$8:$AI$68,BE$4-$B200+1)</f>
        <v/>
      </c>
      <c r="BF200" s="153">
        <f>$C200*INDEX(Curves!$AI$8:$AI$68,BF$4-$B200+1)</f>
        <v/>
      </c>
      <c r="BG200" s="153">
        <f>$C200*INDEX(Curves!$AI$8:$AI$68,BG$4-$B200+1)</f>
        <v/>
      </c>
      <c r="BH200" s="153">
        <f>$C200*INDEX(Curves!$AI$8:$AI$68,BH$4-$B200+1)</f>
        <v/>
      </c>
      <c r="BI200" s="153">
        <f>$C200*INDEX(Curves!$AI$8:$AI$68,BI$4-$B200+1)</f>
        <v/>
      </c>
      <c r="BJ200" s="153">
        <f>$C200*INDEX(Curves!$AI$8:$AI$68,BJ$4-$B200+1)</f>
        <v/>
      </c>
      <c r="BK200" s="153">
        <f>$C200*INDEX(Curves!$AI$8:$AI$68,BK$4-$B200+1)</f>
        <v/>
      </c>
      <c r="BL200" s="153">
        <f>$C200*INDEX(Curves!$AI$8:$AI$68,BL$4-$B200+1)</f>
        <v/>
      </c>
    </row>
    <row r="201">
      <c r="A201" s="147" t="inlineStr">
        <is>
          <t>Cohort month 3</t>
        </is>
      </c>
      <c r="B201" s="147" t="n">
        <v>3</v>
      </c>
      <c r="C201" s="41">
        <f>INDEX(Ops!$E$60:$BL$60,1,$B201)</f>
        <v/>
      </c>
      <c r="H201" s="153">
        <f>$C201*INDEX(Curves!$AI$8:$AI$68,H$4-$B201+1)</f>
        <v/>
      </c>
      <c r="I201" s="153">
        <f>$C201*INDEX(Curves!$AI$8:$AI$68,I$4-$B201+1)</f>
        <v/>
      </c>
      <c r="J201" s="153">
        <f>$C201*INDEX(Curves!$AI$8:$AI$68,J$4-$B201+1)</f>
        <v/>
      </c>
      <c r="K201" s="153">
        <f>$C201*INDEX(Curves!$AI$8:$AI$68,K$4-$B201+1)</f>
        <v/>
      </c>
      <c r="L201" s="153">
        <f>$C201*INDEX(Curves!$AI$8:$AI$68,L$4-$B201+1)</f>
        <v/>
      </c>
      <c r="M201" s="153">
        <f>$C201*INDEX(Curves!$AI$8:$AI$68,M$4-$B201+1)</f>
        <v/>
      </c>
      <c r="N201" s="153">
        <f>$C201*INDEX(Curves!$AI$8:$AI$68,N$4-$B201+1)</f>
        <v/>
      </c>
      <c r="O201" s="153">
        <f>$C201*INDEX(Curves!$AI$8:$AI$68,O$4-$B201+1)</f>
        <v/>
      </c>
      <c r="P201" s="153">
        <f>$C201*INDEX(Curves!$AI$8:$AI$68,P$4-$B201+1)</f>
        <v/>
      </c>
      <c r="Q201" s="153">
        <f>$C201*INDEX(Curves!$AI$8:$AI$68,Q$4-$B201+1)</f>
        <v/>
      </c>
      <c r="R201" s="153">
        <f>$C201*INDEX(Curves!$AI$8:$AI$68,R$4-$B201+1)</f>
        <v/>
      </c>
      <c r="S201" s="153">
        <f>$C201*INDEX(Curves!$AI$8:$AI$68,S$4-$B201+1)</f>
        <v/>
      </c>
      <c r="T201" s="153">
        <f>$C201*INDEX(Curves!$AI$8:$AI$68,T$4-$B201+1)</f>
        <v/>
      </c>
      <c r="U201" s="153">
        <f>$C201*INDEX(Curves!$AI$8:$AI$68,U$4-$B201+1)</f>
        <v/>
      </c>
      <c r="V201" s="153">
        <f>$C201*INDEX(Curves!$AI$8:$AI$68,V$4-$B201+1)</f>
        <v/>
      </c>
      <c r="W201" s="153">
        <f>$C201*INDEX(Curves!$AI$8:$AI$68,W$4-$B201+1)</f>
        <v/>
      </c>
      <c r="X201" s="153">
        <f>$C201*INDEX(Curves!$AI$8:$AI$68,X$4-$B201+1)</f>
        <v/>
      </c>
      <c r="Y201" s="153">
        <f>$C201*INDEX(Curves!$AI$8:$AI$68,Y$4-$B201+1)</f>
        <v/>
      </c>
      <c r="Z201" s="153">
        <f>$C201*INDEX(Curves!$AI$8:$AI$68,Z$4-$B201+1)</f>
        <v/>
      </c>
      <c r="AA201" s="153">
        <f>$C201*INDEX(Curves!$AI$8:$AI$68,AA$4-$B201+1)</f>
        <v/>
      </c>
      <c r="AB201" s="153">
        <f>$C201*INDEX(Curves!$AI$8:$AI$68,AB$4-$B201+1)</f>
        <v/>
      </c>
      <c r="AC201" s="153">
        <f>$C201*INDEX(Curves!$AI$8:$AI$68,AC$4-$B201+1)</f>
        <v/>
      </c>
      <c r="AD201" s="153">
        <f>$C201*INDEX(Curves!$AI$8:$AI$68,AD$4-$B201+1)</f>
        <v/>
      </c>
      <c r="AE201" s="153">
        <f>$C201*INDEX(Curves!$AI$8:$AI$68,AE$4-$B201+1)</f>
        <v/>
      </c>
      <c r="AF201" s="153">
        <f>$C201*INDEX(Curves!$AI$8:$AI$68,AF$4-$B201+1)</f>
        <v/>
      </c>
      <c r="AG201" s="153">
        <f>$C201*INDEX(Curves!$AI$8:$AI$68,AG$4-$B201+1)</f>
        <v/>
      </c>
      <c r="AH201" s="153">
        <f>$C201*INDEX(Curves!$AI$8:$AI$68,AH$4-$B201+1)</f>
        <v/>
      </c>
      <c r="AI201" s="153">
        <f>$C201*INDEX(Curves!$AI$8:$AI$68,AI$4-$B201+1)</f>
        <v/>
      </c>
      <c r="AJ201" s="153">
        <f>$C201*INDEX(Curves!$AI$8:$AI$68,AJ$4-$B201+1)</f>
        <v/>
      </c>
      <c r="AK201" s="153">
        <f>$C201*INDEX(Curves!$AI$8:$AI$68,AK$4-$B201+1)</f>
        <v/>
      </c>
      <c r="AL201" s="153">
        <f>$C201*INDEX(Curves!$AI$8:$AI$68,AL$4-$B201+1)</f>
        <v/>
      </c>
      <c r="AM201" s="153">
        <f>$C201*INDEX(Curves!$AI$8:$AI$68,AM$4-$B201+1)</f>
        <v/>
      </c>
      <c r="AN201" s="153">
        <f>$C201*INDEX(Curves!$AI$8:$AI$68,AN$4-$B201+1)</f>
        <v/>
      </c>
      <c r="AO201" s="153">
        <f>$C201*INDEX(Curves!$AI$8:$AI$68,AO$4-$B201+1)</f>
        <v/>
      </c>
      <c r="AP201" s="153">
        <f>$C201*INDEX(Curves!$AI$8:$AI$68,AP$4-$B201+1)</f>
        <v/>
      </c>
      <c r="AQ201" s="153">
        <f>$C201*INDEX(Curves!$AI$8:$AI$68,AQ$4-$B201+1)</f>
        <v/>
      </c>
      <c r="AR201" s="153">
        <f>$C201*INDEX(Curves!$AI$8:$AI$68,AR$4-$B201+1)</f>
        <v/>
      </c>
      <c r="AS201" s="153">
        <f>$C201*INDEX(Curves!$AI$8:$AI$68,AS$4-$B201+1)</f>
        <v/>
      </c>
      <c r="AT201" s="153">
        <f>$C201*INDEX(Curves!$AI$8:$AI$68,AT$4-$B201+1)</f>
        <v/>
      </c>
      <c r="AU201" s="153">
        <f>$C201*INDEX(Curves!$AI$8:$AI$68,AU$4-$B201+1)</f>
        <v/>
      </c>
      <c r="AV201" s="153">
        <f>$C201*INDEX(Curves!$AI$8:$AI$68,AV$4-$B201+1)</f>
        <v/>
      </c>
      <c r="AW201" s="153">
        <f>$C201*INDEX(Curves!$AI$8:$AI$68,AW$4-$B201+1)</f>
        <v/>
      </c>
      <c r="AX201" s="153">
        <f>$C201*INDEX(Curves!$AI$8:$AI$68,AX$4-$B201+1)</f>
        <v/>
      </c>
      <c r="AY201" s="153">
        <f>$C201*INDEX(Curves!$AI$8:$AI$68,AY$4-$B201+1)</f>
        <v/>
      </c>
      <c r="AZ201" s="153">
        <f>$C201*INDEX(Curves!$AI$8:$AI$68,AZ$4-$B201+1)</f>
        <v/>
      </c>
      <c r="BA201" s="153">
        <f>$C201*INDEX(Curves!$AI$8:$AI$68,BA$4-$B201+1)</f>
        <v/>
      </c>
      <c r="BB201" s="153">
        <f>$C201*INDEX(Curves!$AI$8:$AI$68,BB$4-$B201+1)</f>
        <v/>
      </c>
      <c r="BC201" s="153">
        <f>$C201*INDEX(Curves!$AI$8:$AI$68,BC$4-$B201+1)</f>
        <v/>
      </c>
      <c r="BD201" s="153">
        <f>$C201*INDEX(Curves!$AI$8:$AI$68,BD$4-$B201+1)</f>
        <v/>
      </c>
      <c r="BE201" s="153">
        <f>$C201*INDEX(Curves!$AI$8:$AI$68,BE$4-$B201+1)</f>
        <v/>
      </c>
      <c r="BF201" s="153">
        <f>$C201*INDEX(Curves!$AI$8:$AI$68,BF$4-$B201+1)</f>
        <v/>
      </c>
      <c r="BG201" s="153">
        <f>$C201*INDEX(Curves!$AI$8:$AI$68,BG$4-$B201+1)</f>
        <v/>
      </c>
      <c r="BH201" s="153">
        <f>$C201*INDEX(Curves!$AI$8:$AI$68,BH$4-$B201+1)</f>
        <v/>
      </c>
      <c r="BI201" s="153">
        <f>$C201*INDEX(Curves!$AI$8:$AI$68,BI$4-$B201+1)</f>
        <v/>
      </c>
      <c r="BJ201" s="153">
        <f>$C201*INDEX(Curves!$AI$8:$AI$68,BJ$4-$B201+1)</f>
        <v/>
      </c>
      <c r="BK201" s="153">
        <f>$C201*INDEX(Curves!$AI$8:$AI$68,BK$4-$B201+1)</f>
        <v/>
      </c>
      <c r="BL201" s="153">
        <f>$C201*INDEX(Curves!$AI$8:$AI$68,BL$4-$B201+1)</f>
        <v/>
      </c>
    </row>
    <row r="202">
      <c r="A202" s="147" t="inlineStr">
        <is>
          <t>Cohort month 4</t>
        </is>
      </c>
      <c r="B202" s="147" t="n">
        <v>4</v>
      </c>
      <c r="C202" s="41">
        <f>INDEX(Ops!$E$60:$BL$60,1,$B202)</f>
        <v/>
      </c>
      <c r="I202" s="153">
        <f>$C202*INDEX(Curves!$AI$8:$AI$68,I$4-$B202+1)</f>
        <v/>
      </c>
      <c r="J202" s="153">
        <f>$C202*INDEX(Curves!$AI$8:$AI$68,J$4-$B202+1)</f>
        <v/>
      </c>
      <c r="K202" s="153">
        <f>$C202*INDEX(Curves!$AI$8:$AI$68,K$4-$B202+1)</f>
        <v/>
      </c>
      <c r="L202" s="153">
        <f>$C202*INDEX(Curves!$AI$8:$AI$68,L$4-$B202+1)</f>
        <v/>
      </c>
      <c r="M202" s="153">
        <f>$C202*INDEX(Curves!$AI$8:$AI$68,M$4-$B202+1)</f>
        <v/>
      </c>
      <c r="N202" s="153">
        <f>$C202*INDEX(Curves!$AI$8:$AI$68,N$4-$B202+1)</f>
        <v/>
      </c>
      <c r="O202" s="153">
        <f>$C202*INDEX(Curves!$AI$8:$AI$68,O$4-$B202+1)</f>
        <v/>
      </c>
      <c r="P202" s="153">
        <f>$C202*INDEX(Curves!$AI$8:$AI$68,P$4-$B202+1)</f>
        <v/>
      </c>
      <c r="Q202" s="153">
        <f>$C202*INDEX(Curves!$AI$8:$AI$68,Q$4-$B202+1)</f>
        <v/>
      </c>
      <c r="R202" s="153">
        <f>$C202*INDEX(Curves!$AI$8:$AI$68,R$4-$B202+1)</f>
        <v/>
      </c>
      <c r="S202" s="153">
        <f>$C202*INDEX(Curves!$AI$8:$AI$68,S$4-$B202+1)</f>
        <v/>
      </c>
      <c r="T202" s="153">
        <f>$C202*INDEX(Curves!$AI$8:$AI$68,T$4-$B202+1)</f>
        <v/>
      </c>
      <c r="U202" s="153">
        <f>$C202*INDEX(Curves!$AI$8:$AI$68,U$4-$B202+1)</f>
        <v/>
      </c>
      <c r="V202" s="153">
        <f>$C202*INDEX(Curves!$AI$8:$AI$68,V$4-$B202+1)</f>
        <v/>
      </c>
      <c r="W202" s="153">
        <f>$C202*INDEX(Curves!$AI$8:$AI$68,W$4-$B202+1)</f>
        <v/>
      </c>
      <c r="X202" s="153">
        <f>$C202*INDEX(Curves!$AI$8:$AI$68,X$4-$B202+1)</f>
        <v/>
      </c>
      <c r="Y202" s="153">
        <f>$C202*INDEX(Curves!$AI$8:$AI$68,Y$4-$B202+1)</f>
        <v/>
      </c>
      <c r="Z202" s="153">
        <f>$C202*INDEX(Curves!$AI$8:$AI$68,Z$4-$B202+1)</f>
        <v/>
      </c>
      <c r="AA202" s="153">
        <f>$C202*INDEX(Curves!$AI$8:$AI$68,AA$4-$B202+1)</f>
        <v/>
      </c>
      <c r="AB202" s="153">
        <f>$C202*INDEX(Curves!$AI$8:$AI$68,AB$4-$B202+1)</f>
        <v/>
      </c>
      <c r="AC202" s="153">
        <f>$C202*INDEX(Curves!$AI$8:$AI$68,AC$4-$B202+1)</f>
        <v/>
      </c>
      <c r="AD202" s="153">
        <f>$C202*INDEX(Curves!$AI$8:$AI$68,AD$4-$B202+1)</f>
        <v/>
      </c>
      <c r="AE202" s="153">
        <f>$C202*INDEX(Curves!$AI$8:$AI$68,AE$4-$B202+1)</f>
        <v/>
      </c>
      <c r="AF202" s="153">
        <f>$C202*INDEX(Curves!$AI$8:$AI$68,AF$4-$B202+1)</f>
        <v/>
      </c>
      <c r="AG202" s="153">
        <f>$C202*INDEX(Curves!$AI$8:$AI$68,AG$4-$B202+1)</f>
        <v/>
      </c>
      <c r="AH202" s="153">
        <f>$C202*INDEX(Curves!$AI$8:$AI$68,AH$4-$B202+1)</f>
        <v/>
      </c>
      <c r="AI202" s="153">
        <f>$C202*INDEX(Curves!$AI$8:$AI$68,AI$4-$B202+1)</f>
        <v/>
      </c>
      <c r="AJ202" s="153">
        <f>$C202*INDEX(Curves!$AI$8:$AI$68,AJ$4-$B202+1)</f>
        <v/>
      </c>
      <c r="AK202" s="153">
        <f>$C202*INDEX(Curves!$AI$8:$AI$68,AK$4-$B202+1)</f>
        <v/>
      </c>
      <c r="AL202" s="153">
        <f>$C202*INDEX(Curves!$AI$8:$AI$68,AL$4-$B202+1)</f>
        <v/>
      </c>
      <c r="AM202" s="153">
        <f>$C202*INDEX(Curves!$AI$8:$AI$68,AM$4-$B202+1)</f>
        <v/>
      </c>
      <c r="AN202" s="153">
        <f>$C202*INDEX(Curves!$AI$8:$AI$68,AN$4-$B202+1)</f>
        <v/>
      </c>
      <c r="AO202" s="153">
        <f>$C202*INDEX(Curves!$AI$8:$AI$68,AO$4-$B202+1)</f>
        <v/>
      </c>
      <c r="AP202" s="153">
        <f>$C202*INDEX(Curves!$AI$8:$AI$68,AP$4-$B202+1)</f>
        <v/>
      </c>
      <c r="AQ202" s="153">
        <f>$C202*INDEX(Curves!$AI$8:$AI$68,AQ$4-$B202+1)</f>
        <v/>
      </c>
      <c r="AR202" s="153">
        <f>$C202*INDEX(Curves!$AI$8:$AI$68,AR$4-$B202+1)</f>
        <v/>
      </c>
      <c r="AS202" s="153">
        <f>$C202*INDEX(Curves!$AI$8:$AI$68,AS$4-$B202+1)</f>
        <v/>
      </c>
      <c r="AT202" s="153">
        <f>$C202*INDEX(Curves!$AI$8:$AI$68,AT$4-$B202+1)</f>
        <v/>
      </c>
      <c r="AU202" s="153">
        <f>$C202*INDEX(Curves!$AI$8:$AI$68,AU$4-$B202+1)</f>
        <v/>
      </c>
      <c r="AV202" s="153">
        <f>$C202*INDEX(Curves!$AI$8:$AI$68,AV$4-$B202+1)</f>
        <v/>
      </c>
      <c r="AW202" s="153">
        <f>$C202*INDEX(Curves!$AI$8:$AI$68,AW$4-$B202+1)</f>
        <v/>
      </c>
      <c r="AX202" s="153">
        <f>$C202*INDEX(Curves!$AI$8:$AI$68,AX$4-$B202+1)</f>
        <v/>
      </c>
      <c r="AY202" s="153">
        <f>$C202*INDEX(Curves!$AI$8:$AI$68,AY$4-$B202+1)</f>
        <v/>
      </c>
      <c r="AZ202" s="153">
        <f>$C202*INDEX(Curves!$AI$8:$AI$68,AZ$4-$B202+1)</f>
        <v/>
      </c>
      <c r="BA202" s="153">
        <f>$C202*INDEX(Curves!$AI$8:$AI$68,BA$4-$B202+1)</f>
        <v/>
      </c>
      <c r="BB202" s="153">
        <f>$C202*INDEX(Curves!$AI$8:$AI$68,BB$4-$B202+1)</f>
        <v/>
      </c>
      <c r="BC202" s="153">
        <f>$C202*INDEX(Curves!$AI$8:$AI$68,BC$4-$B202+1)</f>
        <v/>
      </c>
      <c r="BD202" s="153">
        <f>$C202*INDEX(Curves!$AI$8:$AI$68,BD$4-$B202+1)</f>
        <v/>
      </c>
      <c r="BE202" s="153">
        <f>$C202*INDEX(Curves!$AI$8:$AI$68,BE$4-$B202+1)</f>
        <v/>
      </c>
      <c r="BF202" s="153">
        <f>$C202*INDEX(Curves!$AI$8:$AI$68,BF$4-$B202+1)</f>
        <v/>
      </c>
      <c r="BG202" s="153">
        <f>$C202*INDEX(Curves!$AI$8:$AI$68,BG$4-$B202+1)</f>
        <v/>
      </c>
      <c r="BH202" s="153">
        <f>$C202*INDEX(Curves!$AI$8:$AI$68,BH$4-$B202+1)</f>
        <v/>
      </c>
      <c r="BI202" s="153">
        <f>$C202*INDEX(Curves!$AI$8:$AI$68,BI$4-$B202+1)</f>
        <v/>
      </c>
      <c r="BJ202" s="153">
        <f>$C202*INDEX(Curves!$AI$8:$AI$68,BJ$4-$B202+1)</f>
        <v/>
      </c>
      <c r="BK202" s="153">
        <f>$C202*INDEX(Curves!$AI$8:$AI$68,BK$4-$B202+1)</f>
        <v/>
      </c>
      <c r="BL202" s="153">
        <f>$C202*INDEX(Curves!$AI$8:$AI$68,BL$4-$B202+1)</f>
        <v/>
      </c>
    </row>
    <row r="203">
      <c r="A203" s="147" t="inlineStr">
        <is>
          <t>Cohort month 5</t>
        </is>
      </c>
      <c r="B203" s="147" t="n">
        <v>5</v>
      </c>
      <c r="C203" s="41">
        <f>INDEX(Ops!$E$60:$BL$60,1,$B203)</f>
        <v/>
      </c>
      <c r="J203" s="153">
        <f>$C203*INDEX(Curves!$AI$8:$AI$68,J$4-$B203+1)</f>
        <v/>
      </c>
      <c r="K203" s="153">
        <f>$C203*INDEX(Curves!$AI$8:$AI$68,K$4-$B203+1)</f>
        <v/>
      </c>
      <c r="L203" s="153">
        <f>$C203*INDEX(Curves!$AI$8:$AI$68,L$4-$B203+1)</f>
        <v/>
      </c>
      <c r="M203" s="153">
        <f>$C203*INDEX(Curves!$AI$8:$AI$68,M$4-$B203+1)</f>
        <v/>
      </c>
      <c r="N203" s="153">
        <f>$C203*INDEX(Curves!$AI$8:$AI$68,N$4-$B203+1)</f>
        <v/>
      </c>
      <c r="O203" s="153">
        <f>$C203*INDEX(Curves!$AI$8:$AI$68,O$4-$B203+1)</f>
        <v/>
      </c>
      <c r="P203" s="153">
        <f>$C203*INDEX(Curves!$AI$8:$AI$68,P$4-$B203+1)</f>
        <v/>
      </c>
      <c r="Q203" s="153">
        <f>$C203*INDEX(Curves!$AI$8:$AI$68,Q$4-$B203+1)</f>
        <v/>
      </c>
      <c r="R203" s="153">
        <f>$C203*INDEX(Curves!$AI$8:$AI$68,R$4-$B203+1)</f>
        <v/>
      </c>
      <c r="S203" s="153">
        <f>$C203*INDEX(Curves!$AI$8:$AI$68,S$4-$B203+1)</f>
        <v/>
      </c>
      <c r="T203" s="153">
        <f>$C203*INDEX(Curves!$AI$8:$AI$68,T$4-$B203+1)</f>
        <v/>
      </c>
      <c r="U203" s="153">
        <f>$C203*INDEX(Curves!$AI$8:$AI$68,U$4-$B203+1)</f>
        <v/>
      </c>
      <c r="V203" s="153">
        <f>$C203*INDEX(Curves!$AI$8:$AI$68,V$4-$B203+1)</f>
        <v/>
      </c>
      <c r="W203" s="153">
        <f>$C203*INDEX(Curves!$AI$8:$AI$68,W$4-$B203+1)</f>
        <v/>
      </c>
      <c r="X203" s="153">
        <f>$C203*INDEX(Curves!$AI$8:$AI$68,X$4-$B203+1)</f>
        <v/>
      </c>
      <c r="Y203" s="153">
        <f>$C203*INDEX(Curves!$AI$8:$AI$68,Y$4-$B203+1)</f>
        <v/>
      </c>
      <c r="Z203" s="153">
        <f>$C203*INDEX(Curves!$AI$8:$AI$68,Z$4-$B203+1)</f>
        <v/>
      </c>
      <c r="AA203" s="153">
        <f>$C203*INDEX(Curves!$AI$8:$AI$68,AA$4-$B203+1)</f>
        <v/>
      </c>
      <c r="AB203" s="153">
        <f>$C203*INDEX(Curves!$AI$8:$AI$68,AB$4-$B203+1)</f>
        <v/>
      </c>
      <c r="AC203" s="153">
        <f>$C203*INDEX(Curves!$AI$8:$AI$68,AC$4-$B203+1)</f>
        <v/>
      </c>
      <c r="AD203" s="153">
        <f>$C203*INDEX(Curves!$AI$8:$AI$68,AD$4-$B203+1)</f>
        <v/>
      </c>
      <c r="AE203" s="153">
        <f>$C203*INDEX(Curves!$AI$8:$AI$68,AE$4-$B203+1)</f>
        <v/>
      </c>
      <c r="AF203" s="153">
        <f>$C203*INDEX(Curves!$AI$8:$AI$68,AF$4-$B203+1)</f>
        <v/>
      </c>
      <c r="AG203" s="153">
        <f>$C203*INDEX(Curves!$AI$8:$AI$68,AG$4-$B203+1)</f>
        <v/>
      </c>
      <c r="AH203" s="153">
        <f>$C203*INDEX(Curves!$AI$8:$AI$68,AH$4-$B203+1)</f>
        <v/>
      </c>
      <c r="AI203" s="153">
        <f>$C203*INDEX(Curves!$AI$8:$AI$68,AI$4-$B203+1)</f>
        <v/>
      </c>
      <c r="AJ203" s="153">
        <f>$C203*INDEX(Curves!$AI$8:$AI$68,AJ$4-$B203+1)</f>
        <v/>
      </c>
      <c r="AK203" s="153">
        <f>$C203*INDEX(Curves!$AI$8:$AI$68,AK$4-$B203+1)</f>
        <v/>
      </c>
      <c r="AL203" s="153">
        <f>$C203*INDEX(Curves!$AI$8:$AI$68,AL$4-$B203+1)</f>
        <v/>
      </c>
      <c r="AM203" s="153">
        <f>$C203*INDEX(Curves!$AI$8:$AI$68,AM$4-$B203+1)</f>
        <v/>
      </c>
      <c r="AN203" s="153">
        <f>$C203*INDEX(Curves!$AI$8:$AI$68,AN$4-$B203+1)</f>
        <v/>
      </c>
      <c r="AO203" s="153">
        <f>$C203*INDEX(Curves!$AI$8:$AI$68,AO$4-$B203+1)</f>
        <v/>
      </c>
      <c r="AP203" s="153">
        <f>$C203*INDEX(Curves!$AI$8:$AI$68,AP$4-$B203+1)</f>
        <v/>
      </c>
      <c r="AQ203" s="153">
        <f>$C203*INDEX(Curves!$AI$8:$AI$68,AQ$4-$B203+1)</f>
        <v/>
      </c>
      <c r="AR203" s="153">
        <f>$C203*INDEX(Curves!$AI$8:$AI$68,AR$4-$B203+1)</f>
        <v/>
      </c>
      <c r="AS203" s="153">
        <f>$C203*INDEX(Curves!$AI$8:$AI$68,AS$4-$B203+1)</f>
        <v/>
      </c>
      <c r="AT203" s="153">
        <f>$C203*INDEX(Curves!$AI$8:$AI$68,AT$4-$B203+1)</f>
        <v/>
      </c>
      <c r="AU203" s="153">
        <f>$C203*INDEX(Curves!$AI$8:$AI$68,AU$4-$B203+1)</f>
        <v/>
      </c>
      <c r="AV203" s="153">
        <f>$C203*INDEX(Curves!$AI$8:$AI$68,AV$4-$B203+1)</f>
        <v/>
      </c>
      <c r="AW203" s="153">
        <f>$C203*INDEX(Curves!$AI$8:$AI$68,AW$4-$B203+1)</f>
        <v/>
      </c>
      <c r="AX203" s="153">
        <f>$C203*INDEX(Curves!$AI$8:$AI$68,AX$4-$B203+1)</f>
        <v/>
      </c>
      <c r="AY203" s="153">
        <f>$C203*INDEX(Curves!$AI$8:$AI$68,AY$4-$B203+1)</f>
        <v/>
      </c>
      <c r="AZ203" s="153">
        <f>$C203*INDEX(Curves!$AI$8:$AI$68,AZ$4-$B203+1)</f>
        <v/>
      </c>
      <c r="BA203" s="153">
        <f>$C203*INDEX(Curves!$AI$8:$AI$68,BA$4-$B203+1)</f>
        <v/>
      </c>
      <c r="BB203" s="153">
        <f>$C203*INDEX(Curves!$AI$8:$AI$68,BB$4-$B203+1)</f>
        <v/>
      </c>
      <c r="BC203" s="153">
        <f>$C203*INDEX(Curves!$AI$8:$AI$68,BC$4-$B203+1)</f>
        <v/>
      </c>
      <c r="BD203" s="153">
        <f>$C203*INDEX(Curves!$AI$8:$AI$68,BD$4-$B203+1)</f>
        <v/>
      </c>
      <c r="BE203" s="153">
        <f>$C203*INDEX(Curves!$AI$8:$AI$68,BE$4-$B203+1)</f>
        <v/>
      </c>
      <c r="BF203" s="153">
        <f>$C203*INDEX(Curves!$AI$8:$AI$68,BF$4-$B203+1)</f>
        <v/>
      </c>
      <c r="BG203" s="153">
        <f>$C203*INDEX(Curves!$AI$8:$AI$68,BG$4-$B203+1)</f>
        <v/>
      </c>
      <c r="BH203" s="153">
        <f>$C203*INDEX(Curves!$AI$8:$AI$68,BH$4-$B203+1)</f>
        <v/>
      </c>
      <c r="BI203" s="153">
        <f>$C203*INDEX(Curves!$AI$8:$AI$68,BI$4-$B203+1)</f>
        <v/>
      </c>
      <c r="BJ203" s="153">
        <f>$C203*INDEX(Curves!$AI$8:$AI$68,BJ$4-$B203+1)</f>
        <v/>
      </c>
      <c r="BK203" s="153">
        <f>$C203*INDEX(Curves!$AI$8:$AI$68,BK$4-$B203+1)</f>
        <v/>
      </c>
      <c r="BL203" s="153">
        <f>$C203*INDEX(Curves!$AI$8:$AI$68,BL$4-$B203+1)</f>
        <v/>
      </c>
    </row>
    <row r="204">
      <c r="A204" s="147" t="inlineStr">
        <is>
          <t>Cohort month 6</t>
        </is>
      </c>
      <c r="B204" s="147" t="n">
        <v>6</v>
      </c>
      <c r="C204" s="41">
        <f>INDEX(Ops!$E$60:$BL$60,1,$B204)</f>
        <v/>
      </c>
      <c r="K204" s="153">
        <f>$C204*INDEX(Curves!$AI$8:$AI$68,K$4-$B204+1)</f>
        <v/>
      </c>
      <c r="L204" s="153">
        <f>$C204*INDEX(Curves!$AI$8:$AI$68,L$4-$B204+1)</f>
        <v/>
      </c>
      <c r="M204" s="153">
        <f>$C204*INDEX(Curves!$AI$8:$AI$68,M$4-$B204+1)</f>
        <v/>
      </c>
      <c r="N204" s="153">
        <f>$C204*INDEX(Curves!$AI$8:$AI$68,N$4-$B204+1)</f>
        <v/>
      </c>
      <c r="O204" s="153">
        <f>$C204*INDEX(Curves!$AI$8:$AI$68,O$4-$B204+1)</f>
        <v/>
      </c>
      <c r="P204" s="153">
        <f>$C204*INDEX(Curves!$AI$8:$AI$68,P$4-$B204+1)</f>
        <v/>
      </c>
      <c r="Q204" s="153">
        <f>$C204*INDEX(Curves!$AI$8:$AI$68,Q$4-$B204+1)</f>
        <v/>
      </c>
      <c r="R204" s="153">
        <f>$C204*INDEX(Curves!$AI$8:$AI$68,R$4-$B204+1)</f>
        <v/>
      </c>
      <c r="S204" s="153">
        <f>$C204*INDEX(Curves!$AI$8:$AI$68,S$4-$B204+1)</f>
        <v/>
      </c>
      <c r="T204" s="153">
        <f>$C204*INDEX(Curves!$AI$8:$AI$68,T$4-$B204+1)</f>
        <v/>
      </c>
      <c r="U204" s="153">
        <f>$C204*INDEX(Curves!$AI$8:$AI$68,U$4-$B204+1)</f>
        <v/>
      </c>
      <c r="V204" s="153">
        <f>$C204*INDEX(Curves!$AI$8:$AI$68,V$4-$B204+1)</f>
        <v/>
      </c>
      <c r="W204" s="153">
        <f>$C204*INDEX(Curves!$AI$8:$AI$68,W$4-$B204+1)</f>
        <v/>
      </c>
      <c r="X204" s="153">
        <f>$C204*INDEX(Curves!$AI$8:$AI$68,X$4-$B204+1)</f>
        <v/>
      </c>
      <c r="Y204" s="153">
        <f>$C204*INDEX(Curves!$AI$8:$AI$68,Y$4-$B204+1)</f>
        <v/>
      </c>
      <c r="Z204" s="153">
        <f>$C204*INDEX(Curves!$AI$8:$AI$68,Z$4-$B204+1)</f>
        <v/>
      </c>
      <c r="AA204" s="153">
        <f>$C204*INDEX(Curves!$AI$8:$AI$68,AA$4-$B204+1)</f>
        <v/>
      </c>
      <c r="AB204" s="153">
        <f>$C204*INDEX(Curves!$AI$8:$AI$68,AB$4-$B204+1)</f>
        <v/>
      </c>
      <c r="AC204" s="153">
        <f>$C204*INDEX(Curves!$AI$8:$AI$68,AC$4-$B204+1)</f>
        <v/>
      </c>
      <c r="AD204" s="153">
        <f>$C204*INDEX(Curves!$AI$8:$AI$68,AD$4-$B204+1)</f>
        <v/>
      </c>
      <c r="AE204" s="153">
        <f>$C204*INDEX(Curves!$AI$8:$AI$68,AE$4-$B204+1)</f>
        <v/>
      </c>
      <c r="AF204" s="153">
        <f>$C204*INDEX(Curves!$AI$8:$AI$68,AF$4-$B204+1)</f>
        <v/>
      </c>
      <c r="AG204" s="153">
        <f>$C204*INDEX(Curves!$AI$8:$AI$68,AG$4-$B204+1)</f>
        <v/>
      </c>
      <c r="AH204" s="153">
        <f>$C204*INDEX(Curves!$AI$8:$AI$68,AH$4-$B204+1)</f>
        <v/>
      </c>
      <c r="AI204" s="153">
        <f>$C204*INDEX(Curves!$AI$8:$AI$68,AI$4-$B204+1)</f>
        <v/>
      </c>
      <c r="AJ204" s="153">
        <f>$C204*INDEX(Curves!$AI$8:$AI$68,AJ$4-$B204+1)</f>
        <v/>
      </c>
      <c r="AK204" s="153">
        <f>$C204*INDEX(Curves!$AI$8:$AI$68,AK$4-$B204+1)</f>
        <v/>
      </c>
      <c r="AL204" s="153">
        <f>$C204*INDEX(Curves!$AI$8:$AI$68,AL$4-$B204+1)</f>
        <v/>
      </c>
      <c r="AM204" s="153">
        <f>$C204*INDEX(Curves!$AI$8:$AI$68,AM$4-$B204+1)</f>
        <v/>
      </c>
      <c r="AN204" s="153">
        <f>$C204*INDEX(Curves!$AI$8:$AI$68,AN$4-$B204+1)</f>
        <v/>
      </c>
      <c r="AO204" s="153">
        <f>$C204*INDEX(Curves!$AI$8:$AI$68,AO$4-$B204+1)</f>
        <v/>
      </c>
      <c r="AP204" s="153">
        <f>$C204*INDEX(Curves!$AI$8:$AI$68,AP$4-$B204+1)</f>
        <v/>
      </c>
      <c r="AQ204" s="153">
        <f>$C204*INDEX(Curves!$AI$8:$AI$68,AQ$4-$B204+1)</f>
        <v/>
      </c>
      <c r="AR204" s="153">
        <f>$C204*INDEX(Curves!$AI$8:$AI$68,AR$4-$B204+1)</f>
        <v/>
      </c>
      <c r="AS204" s="153">
        <f>$C204*INDEX(Curves!$AI$8:$AI$68,AS$4-$B204+1)</f>
        <v/>
      </c>
      <c r="AT204" s="153">
        <f>$C204*INDEX(Curves!$AI$8:$AI$68,AT$4-$B204+1)</f>
        <v/>
      </c>
      <c r="AU204" s="153">
        <f>$C204*INDEX(Curves!$AI$8:$AI$68,AU$4-$B204+1)</f>
        <v/>
      </c>
      <c r="AV204" s="153">
        <f>$C204*INDEX(Curves!$AI$8:$AI$68,AV$4-$B204+1)</f>
        <v/>
      </c>
      <c r="AW204" s="153">
        <f>$C204*INDEX(Curves!$AI$8:$AI$68,AW$4-$B204+1)</f>
        <v/>
      </c>
      <c r="AX204" s="153">
        <f>$C204*INDEX(Curves!$AI$8:$AI$68,AX$4-$B204+1)</f>
        <v/>
      </c>
      <c r="AY204" s="153">
        <f>$C204*INDEX(Curves!$AI$8:$AI$68,AY$4-$B204+1)</f>
        <v/>
      </c>
      <c r="AZ204" s="153">
        <f>$C204*INDEX(Curves!$AI$8:$AI$68,AZ$4-$B204+1)</f>
        <v/>
      </c>
      <c r="BA204" s="153">
        <f>$C204*INDEX(Curves!$AI$8:$AI$68,BA$4-$B204+1)</f>
        <v/>
      </c>
      <c r="BB204" s="153">
        <f>$C204*INDEX(Curves!$AI$8:$AI$68,BB$4-$B204+1)</f>
        <v/>
      </c>
      <c r="BC204" s="153">
        <f>$C204*INDEX(Curves!$AI$8:$AI$68,BC$4-$B204+1)</f>
        <v/>
      </c>
      <c r="BD204" s="153">
        <f>$C204*INDEX(Curves!$AI$8:$AI$68,BD$4-$B204+1)</f>
        <v/>
      </c>
      <c r="BE204" s="153">
        <f>$C204*INDEX(Curves!$AI$8:$AI$68,BE$4-$B204+1)</f>
        <v/>
      </c>
      <c r="BF204" s="153">
        <f>$C204*INDEX(Curves!$AI$8:$AI$68,BF$4-$B204+1)</f>
        <v/>
      </c>
      <c r="BG204" s="153">
        <f>$C204*INDEX(Curves!$AI$8:$AI$68,BG$4-$B204+1)</f>
        <v/>
      </c>
      <c r="BH204" s="153">
        <f>$C204*INDEX(Curves!$AI$8:$AI$68,BH$4-$B204+1)</f>
        <v/>
      </c>
      <c r="BI204" s="153">
        <f>$C204*INDEX(Curves!$AI$8:$AI$68,BI$4-$B204+1)</f>
        <v/>
      </c>
      <c r="BJ204" s="153">
        <f>$C204*INDEX(Curves!$AI$8:$AI$68,BJ$4-$B204+1)</f>
        <v/>
      </c>
      <c r="BK204" s="153">
        <f>$C204*INDEX(Curves!$AI$8:$AI$68,BK$4-$B204+1)</f>
        <v/>
      </c>
      <c r="BL204" s="153">
        <f>$C204*INDEX(Curves!$AI$8:$AI$68,BL$4-$B204+1)</f>
        <v/>
      </c>
    </row>
    <row r="205">
      <c r="A205" s="147" t="inlineStr">
        <is>
          <t>Cohort month 7</t>
        </is>
      </c>
      <c r="B205" s="147" t="n">
        <v>7</v>
      </c>
      <c r="C205" s="41">
        <f>INDEX(Ops!$E$60:$BL$60,1,$B205)</f>
        <v/>
      </c>
      <c r="L205" s="153">
        <f>$C205*INDEX(Curves!$AI$8:$AI$68,L$4-$B205+1)</f>
        <v/>
      </c>
      <c r="M205" s="153">
        <f>$C205*INDEX(Curves!$AI$8:$AI$68,M$4-$B205+1)</f>
        <v/>
      </c>
      <c r="N205" s="153">
        <f>$C205*INDEX(Curves!$AI$8:$AI$68,N$4-$B205+1)</f>
        <v/>
      </c>
      <c r="O205" s="153">
        <f>$C205*INDEX(Curves!$AI$8:$AI$68,O$4-$B205+1)</f>
        <v/>
      </c>
      <c r="P205" s="153">
        <f>$C205*INDEX(Curves!$AI$8:$AI$68,P$4-$B205+1)</f>
        <v/>
      </c>
      <c r="Q205" s="153">
        <f>$C205*INDEX(Curves!$AI$8:$AI$68,Q$4-$B205+1)</f>
        <v/>
      </c>
      <c r="R205" s="153">
        <f>$C205*INDEX(Curves!$AI$8:$AI$68,R$4-$B205+1)</f>
        <v/>
      </c>
      <c r="S205" s="153">
        <f>$C205*INDEX(Curves!$AI$8:$AI$68,S$4-$B205+1)</f>
        <v/>
      </c>
      <c r="T205" s="153">
        <f>$C205*INDEX(Curves!$AI$8:$AI$68,T$4-$B205+1)</f>
        <v/>
      </c>
      <c r="U205" s="153">
        <f>$C205*INDEX(Curves!$AI$8:$AI$68,U$4-$B205+1)</f>
        <v/>
      </c>
      <c r="V205" s="153">
        <f>$C205*INDEX(Curves!$AI$8:$AI$68,V$4-$B205+1)</f>
        <v/>
      </c>
      <c r="W205" s="153">
        <f>$C205*INDEX(Curves!$AI$8:$AI$68,W$4-$B205+1)</f>
        <v/>
      </c>
      <c r="X205" s="153">
        <f>$C205*INDEX(Curves!$AI$8:$AI$68,X$4-$B205+1)</f>
        <v/>
      </c>
      <c r="Y205" s="153">
        <f>$C205*INDEX(Curves!$AI$8:$AI$68,Y$4-$B205+1)</f>
        <v/>
      </c>
      <c r="Z205" s="153">
        <f>$C205*INDEX(Curves!$AI$8:$AI$68,Z$4-$B205+1)</f>
        <v/>
      </c>
      <c r="AA205" s="153">
        <f>$C205*INDEX(Curves!$AI$8:$AI$68,AA$4-$B205+1)</f>
        <v/>
      </c>
      <c r="AB205" s="153">
        <f>$C205*INDEX(Curves!$AI$8:$AI$68,AB$4-$B205+1)</f>
        <v/>
      </c>
      <c r="AC205" s="153">
        <f>$C205*INDEX(Curves!$AI$8:$AI$68,AC$4-$B205+1)</f>
        <v/>
      </c>
      <c r="AD205" s="153">
        <f>$C205*INDEX(Curves!$AI$8:$AI$68,AD$4-$B205+1)</f>
        <v/>
      </c>
      <c r="AE205" s="153">
        <f>$C205*INDEX(Curves!$AI$8:$AI$68,AE$4-$B205+1)</f>
        <v/>
      </c>
      <c r="AF205" s="153">
        <f>$C205*INDEX(Curves!$AI$8:$AI$68,AF$4-$B205+1)</f>
        <v/>
      </c>
      <c r="AG205" s="153">
        <f>$C205*INDEX(Curves!$AI$8:$AI$68,AG$4-$B205+1)</f>
        <v/>
      </c>
      <c r="AH205" s="153">
        <f>$C205*INDEX(Curves!$AI$8:$AI$68,AH$4-$B205+1)</f>
        <v/>
      </c>
      <c r="AI205" s="153">
        <f>$C205*INDEX(Curves!$AI$8:$AI$68,AI$4-$B205+1)</f>
        <v/>
      </c>
      <c r="AJ205" s="153">
        <f>$C205*INDEX(Curves!$AI$8:$AI$68,AJ$4-$B205+1)</f>
        <v/>
      </c>
      <c r="AK205" s="153">
        <f>$C205*INDEX(Curves!$AI$8:$AI$68,AK$4-$B205+1)</f>
        <v/>
      </c>
      <c r="AL205" s="153">
        <f>$C205*INDEX(Curves!$AI$8:$AI$68,AL$4-$B205+1)</f>
        <v/>
      </c>
      <c r="AM205" s="153">
        <f>$C205*INDEX(Curves!$AI$8:$AI$68,AM$4-$B205+1)</f>
        <v/>
      </c>
      <c r="AN205" s="153">
        <f>$C205*INDEX(Curves!$AI$8:$AI$68,AN$4-$B205+1)</f>
        <v/>
      </c>
      <c r="AO205" s="153">
        <f>$C205*INDEX(Curves!$AI$8:$AI$68,AO$4-$B205+1)</f>
        <v/>
      </c>
      <c r="AP205" s="153">
        <f>$C205*INDEX(Curves!$AI$8:$AI$68,AP$4-$B205+1)</f>
        <v/>
      </c>
      <c r="AQ205" s="153">
        <f>$C205*INDEX(Curves!$AI$8:$AI$68,AQ$4-$B205+1)</f>
        <v/>
      </c>
      <c r="AR205" s="153">
        <f>$C205*INDEX(Curves!$AI$8:$AI$68,AR$4-$B205+1)</f>
        <v/>
      </c>
      <c r="AS205" s="153">
        <f>$C205*INDEX(Curves!$AI$8:$AI$68,AS$4-$B205+1)</f>
        <v/>
      </c>
      <c r="AT205" s="153">
        <f>$C205*INDEX(Curves!$AI$8:$AI$68,AT$4-$B205+1)</f>
        <v/>
      </c>
      <c r="AU205" s="153">
        <f>$C205*INDEX(Curves!$AI$8:$AI$68,AU$4-$B205+1)</f>
        <v/>
      </c>
      <c r="AV205" s="153">
        <f>$C205*INDEX(Curves!$AI$8:$AI$68,AV$4-$B205+1)</f>
        <v/>
      </c>
      <c r="AW205" s="153">
        <f>$C205*INDEX(Curves!$AI$8:$AI$68,AW$4-$B205+1)</f>
        <v/>
      </c>
      <c r="AX205" s="153">
        <f>$C205*INDEX(Curves!$AI$8:$AI$68,AX$4-$B205+1)</f>
        <v/>
      </c>
      <c r="AY205" s="153">
        <f>$C205*INDEX(Curves!$AI$8:$AI$68,AY$4-$B205+1)</f>
        <v/>
      </c>
      <c r="AZ205" s="153">
        <f>$C205*INDEX(Curves!$AI$8:$AI$68,AZ$4-$B205+1)</f>
        <v/>
      </c>
      <c r="BA205" s="153">
        <f>$C205*INDEX(Curves!$AI$8:$AI$68,BA$4-$B205+1)</f>
        <v/>
      </c>
      <c r="BB205" s="153">
        <f>$C205*INDEX(Curves!$AI$8:$AI$68,BB$4-$B205+1)</f>
        <v/>
      </c>
      <c r="BC205" s="153">
        <f>$C205*INDEX(Curves!$AI$8:$AI$68,BC$4-$B205+1)</f>
        <v/>
      </c>
      <c r="BD205" s="153">
        <f>$C205*INDEX(Curves!$AI$8:$AI$68,BD$4-$B205+1)</f>
        <v/>
      </c>
      <c r="BE205" s="153">
        <f>$C205*INDEX(Curves!$AI$8:$AI$68,BE$4-$B205+1)</f>
        <v/>
      </c>
      <c r="BF205" s="153">
        <f>$C205*INDEX(Curves!$AI$8:$AI$68,BF$4-$B205+1)</f>
        <v/>
      </c>
      <c r="BG205" s="153">
        <f>$C205*INDEX(Curves!$AI$8:$AI$68,BG$4-$B205+1)</f>
        <v/>
      </c>
      <c r="BH205" s="153">
        <f>$C205*INDEX(Curves!$AI$8:$AI$68,BH$4-$B205+1)</f>
        <v/>
      </c>
      <c r="BI205" s="153">
        <f>$C205*INDEX(Curves!$AI$8:$AI$68,BI$4-$B205+1)</f>
        <v/>
      </c>
      <c r="BJ205" s="153">
        <f>$C205*INDEX(Curves!$AI$8:$AI$68,BJ$4-$B205+1)</f>
        <v/>
      </c>
      <c r="BK205" s="153">
        <f>$C205*INDEX(Curves!$AI$8:$AI$68,BK$4-$B205+1)</f>
        <v/>
      </c>
      <c r="BL205" s="153">
        <f>$C205*INDEX(Curves!$AI$8:$AI$68,BL$4-$B205+1)</f>
        <v/>
      </c>
    </row>
    <row r="206">
      <c r="A206" s="147" t="inlineStr">
        <is>
          <t>Cohort month 8</t>
        </is>
      </c>
      <c r="B206" s="147" t="n">
        <v>8</v>
      </c>
      <c r="C206" s="41">
        <f>INDEX(Ops!$E$60:$BL$60,1,$B206)</f>
        <v/>
      </c>
      <c r="M206" s="153">
        <f>$C206*INDEX(Curves!$AI$8:$AI$68,M$4-$B206+1)</f>
        <v/>
      </c>
      <c r="N206" s="153">
        <f>$C206*INDEX(Curves!$AI$8:$AI$68,N$4-$B206+1)</f>
        <v/>
      </c>
      <c r="O206" s="153">
        <f>$C206*INDEX(Curves!$AI$8:$AI$68,O$4-$B206+1)</f>
        <v/>
      </c>
      <c r="P206" s="153">
        <f>$C206*INDEX(Curves!$AI$8:$AI$68,P$4-$B206+1)</f>
        <v/>
      </c>
      <c r="Q206" s="153">
        <f>$C206*INDEX(Curves!$AI$8:$AI$68,Q$4-$B206+1)</f>
        <v/>
      </c>
      <c r="R206" s="153">
        <f>$C206*INDEX(Curves!$AI$8:$AI$68,R$4-$B206+1)</f>
        <v/>
      </c>
      <c r="S206" s="153">
        <f>$C206*INDEX(Curves!$AI$8:$AI$68,S$4-$B206+1)</f>
        <v/>
      </c>
      <c r="T206" s="153">
        <f>$C206*INDEX(Curves!$AI$8:$AI$68,T$4-$B206+1)</f>
        <v/>
      </c>
      <c r="U206" s="153">
        <f>$C206*INDEX(Curves!$AI$8:$AI$68,U$4-$B206+1)</f>
        <v/>
      </c>
      <c r="V206" s="153">
        <f>$C206*INDEX(Curves!$AI$8:$AI$68,V$4-$B206+1)</f>
        <v/>
      </c>
      <c r="W206" s="153">
        <f>$C206*INDEX(Curves!$AI$8:$AI$68,W$4-$B206+1)</f>
        <v/>
      </c>
      <c r="X206" s="153">
        <f>$C206*INDEX(Curves!$AI$8:$AI$68,X$4-$B206+1)</f>
        <v/>
      </c>
      <c r="Y206" s="153">
        <f>$C206*INDEX(Curves!$AI$8:$AI$68,Y$4-$B206+1)</f>
        <v/>
      </c>
      <c r="Z206" s="153">
        <f>$C206*INDEX(Curves!$AI$8:$AI$68,Z$4-$B206+1)</f>
        <v/>
      </c>
      <c r="AA206" s="153">
        <f>$C206*INDEX(Curves!$AI$8:$AI$68,AA$4-$B206+1)</f>
        <v/>
      </c>
      <c r="AB206" s="153">
        <f>$C206*INDEX(Curves!$AI$8:$AI$68,AB$4-$B206+1)</f>
        <v/>
      </c>
      <c r="AC206" s="153">
        <f>$C206*INDEX(Curves!$AI$8:$AI$68,AC$4-$B206+1)</f>
        <v/>
      </c>
      <c r="AD206" s="153">
        <f>$C206*INDEX(Curves!$AI$8:$AI$68,AD$4-$B206+1)</f>
        <v/>
      </c>
      <c r="AE206" s="153">
        <f>$C206*INDEX(Curves!$AI$8:$AI$68,AE$4-$B206+1)</f>
        <v/>
      </c>
      <c r="AF206" s="153">
        <f>$C206*INDEX(Curves!$AI$8:$AI$68,AF$4-$B206+1)</f>
        <v/>
      </c>
      <c r="AG206" s="153">
        <f>$C206*INDEX(Curves!$AI$8:$AI$68,AG$4-$B206+1)</f>
        <v/>
      </c>
      <c r="AH206" s="153">
        <f>$C206*INDEX(Curves!$AI$8:$AI$68,AH$4-$B206+1)</f>
        <v/>
      </c>
      <c r="AI206" s="153">
        <f>$C206*INDEX(Curves!$AI$8:$AI$68,AI$4-$B206+1)</f>
        <v/>
      </c>
      <c r="AJ206" s="153">
        <f>$C206*INDEX(Curves!$AI$8:$AI$68,AJ$4-$B206+1)</f>
        <v/>
      </c>
      <c r="AK206" s="153">
        <f>$C206*INDEX(Curves!$AI$8:$AI$68,AK$4-$B206+1)</f>
        <v/>
      </c>
      <c r="AL206" s="153">
        <f>$C206*INDEX(Curves!$AI$8:$AI$68,AL$4-$B206+1)</f>
        <v/>
      </c>
      <c r="AM206" s="153">
        <f>$C206*INDEX(Curves!$AI$8:$AI$68,AM$4-$B206+1)</f>
        <v/>
      </c>
      <c r="AN206" s="153">
        <f>$C206*INDEX(Curves!$AI$8:$AI$68,AN$4-$B206+1)</f>
        <v/>
      </c>
      <c r="AO206" s="153">
        <f>$C206*INDEX(Curves!$AI$8:$AI$68,AO$4-$B206+1)</f>
        <v/>
      </c>
      <c r="AP206" s="153">
        <f>$C206*INDEX(Curves!$AI$8:$AI$68,AP$4-$B206+1)</f>
        <v/>
      </c>
      <c r="AQ206" s="153">
        <f>$C206*INDEX(Curves!$AI$8:$AI$68,AQ$4-$B206+1)</f>
        <v/>
      </c>
      <c r="AR206" s="153">
        <f>$C206*INDEX(Curves!$AI$8:$AI$68,AR$4-$B206+1)</f>
        <v/>
      </c>
      <c r="AS206" s="153">
        <f>$C206*INDEX(Curves!$AI$8:$AI$68,AS$4-$B206+1)</f>
        <v/>
      </c>
      <c r="AT206" s="153">
        <f>$C206*INDEX(Curves!$AI$8:$AI$68,AT$4-$B206+1)</f>
        <v/>
      </c>
      <c r="AU206" s="153">
        <f>$C206*INDEX(Curves!$AI$8:$AI$68,AU$4-$B206+1)</f>
        <v/>
      </c>
      <c r="AV206" s="153">
        <f>$C206*INDEX(Curves!$AI$8:$AI$68,AV$4-$B206+1)</f>
        <v/>
      </c>
      <c r="AW206" s="153">
        <f>$C206*INDEX(Curves!$AI$8:$AI$68,AW$4-$B206+1)</f>
        <v/>
      </c>
      <c r="AX206" s="153">
        <f>$C206*INDEX(Curves!$AI$8:$AI$68,AX$4-$B206+1)</f>
        <v/>
      </c>
      <c r="AY206" s="153">
        <f>$C206*INDEX(Curves!$AI$8:$AI$68,AY$4-$B206+1)</f>
        <v/>
      </c>
      <c r="AZ206" s="153">
        <f>$C206*INDEX(Curves!$AI$8:$AI$68,AZ$4-$B206+1)</f>
        <v/>
      </c>
      <c r="BA206" s="153">
        <f>$C206*INDEX(Curves!$AI$8:$AI$68,BA$4-$B206+1)</f>
        <v/>
      </c>
      <c r="BB206" s="153">
        <f>$C206*INDEX(Curves!$AI$8:$AI$68,BB$4-$B206+1)</f>
        <v/>
      </c>
      <c r="BC206" s="153">
        <f>$C206*INDEX(Curves!$AI$8:$AI$68,BC$4-$B206+1)</f>
        <v/>
      </c>
      <c r="BD206" s="153">
        <f>$C206*INDEX(Curves!$AI$8:$AI$68,BD$4-$B206+1)</f>
        <v/>
      </c>
      <c r="BE206" s="153">
        <f>$C206*INDEX(Curves!$AI$8:$AI$68,BE$4-$B206+1)</f>
        <v/>
      </c>
      <c r="BF206" s="153">
        <f>$C206*INDEX(Curves!$AI$8:$AI$68,BF$4-$B206+1)</f>
        <v/>
      </c>
      <c r="BG206" s="153">
        <f>$C206*INDEX(Curves!$AI$8:$AI$68,BG$4-$B206+1)</f>
        <v/>
      </c>
      <c r="BH206" s="153">
        <f>$C206*INDEX(Curves!$AI$8:$AI$68,BH$4-$B206+1)</f>
        <v/>
      </c>
      <c r="BI206" s="153">
        <f>$C206*INDEX(Curves!$AI$8:$AI$68,BI$4-$B206+1)</f>
        <v/>
      </c>
      <c r="BJ206" s="153">
        <f>$C206*INDEX(Curves!$AI$8:$AI$68,BJ$4-$B206+1)</f>
        <v/>
      </c>
      <c r="BK206" s="153">
        <f>$C206*INDEX(Curves!$AI$8:$AI$68,BK$4-$B206+1)</f>
        <v/>
      </c>
      <c r="BL206" s="153">
        <f>$C206*INDEX(Curves!$AI$8:$AI$68,BL$4-$B206+1)</f>
        <v/>
      </c>
    </row>
    <row r="207">
      <c r="A207" s="147" t="inlineStr">
        <is>
          <t>Cohort month 9</t>
        </is>
      </c>
      <c r="B207" s="147" t="n">
        <v>9</v>
      </c>
      <c r="C207" s="41">
        <f>INDEX(Ops!$E$60:$BL$60,1,$B207)</f>
        <v/>
      </c>
      <c r="N207" s="153">
        <f>$C207*INDEX(Curves!$AI$8:$AI$68,N$4-$B207+1)</f>
        <v/>
      </c>
      <c r="O207" s="153">
        <f>$C207*INDEX(Curves!$AI$8:$AI$68,O$4-$B207+1)</f>
        <v/>
      </c>
      <c r="P207" s="153">
        <f>$C207*INDEX(Curves!$AI$8:$AI$68,P$4-$B207+1)</f>
        <v/>
      </c>
      <c r="Q207" s="153">
        <f>$C207*INDEX(Curves!$AI$8:$AI$68,Q$4-$B207+1)</f>
        <v/>
      </c>
      <c r="R207" s="153">
        <f>$C207*INDEX(Curves!$AI$8:$AI$68,R$4-$B207+1)</f>
        <v/>
      </c>
      <c r="S207" s="153">
        <f>$C207*INDEX(Curves!$AI$8:$AI$68,S$4-$B207+1)</f>
        <v/>
      </c>
      <c r="T207" s="153">
        <f>$C207*INDEX(Curves!$AI$8:$AI$68,T$4-$B207+1)</f>
        <v/>
      </c>
      <c r="U207" s="153">
        <f>$C207*INDEX(Curves!$AI$8:$AI$68,U$4-$B207+1)</f>
        <v/>
      </c>
      <c r="V207" s="153">
        <f>$C207*INDEX(Curves!$AI$8:$AI$68,V$4-$B207+1)</f>
        <v/>
      </c>
      <c r="W207" s="153">
        <f>$C207*INDEX(Curves!$AI$8:$AI$68,W$4-$B207+1)</f>
        <v/>
      </c>
      <c r="X207" s="153">
        <f>$C207*INDEX(Curves!$AI$8:$AI$68,X$4-$B207+1)</f>
        <v/>
      </c>
      <c r="Y207" s="153">
        <f>$C207*INDEX(Curves!$AI$8:$AI$68,Y$4-$B207+1)</f>
        <v/>
      </c>
      <c r="Z207" s="153">
        <f>$C207*INDEX(Curves!$AI$8:$AI$68,Z$4-$B207+1)</f>
        <v/>
      </c>
      <c r="AA207" s="153">
        <f>$C207*INDEX(Curves!$AI$8:$AI$68,AA$4-$B207+1)</f>
        <v/>
      </c>
      <c r="AB207" s="153">
        <f>$C207*INDEX(Curves!$AI$8:$AI$68,AB$4-$B207+1)</f>
        <v/>
      </c>
      <c r="AC207" s="153">
        <f>$C207*INDEX(Curves!$AI$8:$AI$68,AC$4-$B207+1)</f>
        <v/>
      </c>
      <c r="AD207" s="153">
        <f>$C207*INDEX(Curves!$AI$8:$AI$68,AD$4-$B207+1)</f>
        <v/>
      </c>
      <c r="AE207" s="153">
        <f>$C207*INDEX(Curves!$AI$8:$AI$68,AE$4-$B207+1)</f>
        <v/>
      </c>
      <c r="AF207" s="153">
        <f>$C207*INDEX(Curves!$AI$8:$AI$68,AF$4-$B207+1)</f>
        <v/>
      </c>
      <c r="AG207" s="153">
        <f>$C207*INDEX(Curves!$AI$8:$AI$68,AG$4-$B207+1)</f>
        <v/>
      </c>
      <c r="AH207" s="153">
        <f>$C207*INDEX(Curves!$AI$8:$AI$68,AH$4-$B207+1)</f>
        <v/>
      </c>
      <c r="AI207" s="153">
        <f>$C207*INDEX(Curves!$AI$8:$AI$68,AI$4-$B207+1)</f>
        <v/>
      </c>
      <c r="AJ207" s="153">
        <f>$C207*INDEX(Curves!$AI$8:$AI$68,AJ$4-$B207+1)</f>
        <v/>
      </c>
      <c r="AK207" s="153">
        <f>$C207*INDEX(Curves!$AI$8:$AI$68,AK$4-$B207+1)</f>
        <v/>
      </c>
      <c r="AL207" s="153">
        <f>$C207*INDEX(Curves!$AI$8:$AI$68,AL$4-$B207+1)</f>
        <v/>
      </c>
      <c r="AM207" s="153">
        <f>$C207*INDEX(Curves!$AI$8:$AI$68,AM$4-$B207+1)</f>
        <v/>
      </c>
      <c r="AN207" s="153">
        <f>$C207*INDEX(Curves!$AI$8:$AI$68,AN$4-$B207+1)</f>
        <v/>
      </c>
      <c r="AO207" s="153">
        <f>$C207*INDEX(Curves!$AI$8:$AI$68,AO$4-$B207+1)</f>
        <v/>
      </c>
      <c r="AP207" s="153">
        <f>$C207*INDEX(Curves!$AI$8:$AI$68,AP$4-$B207+1)</f>
        <v/>
      </c>
      <c r="AQ207" s="153">
        <f>$C207*INDEX(Curves!$AI$8:$AI$68,AQ$4-$B207+1)</f>
        <v/>
      </c>
      <c r="AR207" s="153">
        <f>$C207*INDEX(Curves!$AI$8:$AI$68,AR$4-$B207+1)</f>
        <v/>
      </c>
      <c r="AS207" s="153">
        <f>$C207*INDEX(Curves!$AI$8:$AI$68,AS$4-$B207+1)</f>
        <v/>
      </c>
      <c r="AT207" s="153">
        <f>$C207*INDEX(Curves!$AI$8:$AI$68,AT$4-$B207+1)</f>
        <v/>
      </c>
      <c r="AU207" s="153">
        <f>$C207*INDEX(Curves!$AI$8:$AI$68,AU$4-$B207+1)</f>
        <v/>
      </c>
      <c r="AV207" s="153">
        <f>$C207*INDEX(Curves!$AI$8:$AI$68,AV$4-$B207+1)</f>
        <v/>
      </c>
      <c r="AW207" s="153">
        <f>$C207*INDEX(Curves!$AI$8:$AI$68,AW$4-$B207+1)</f>
        <v/>
      </c>
      <c r="AX207" s="153">
        <f>$C207*INDEX(Curves!$AI$8:$AI$68,AX$4-$B207+1)</f>
        <v/>
      </c>
      <c r="AY207" s="153">
        <f>$C207*INDEX(Curves!$AI$8:$AI$68,AY$4-$B207+1)</f>
        <v/>
      </c>
      <c r="AZ207" s="153">
        <f>$C207*INDEX(Curves!$AI$8:$AI$68,AZ$4-$B207+1)</f>
        <v/>
      </c>
      <c r="BA207" s="153">
        <f>$C207*INDEX(Curves!$AI$8:$AI$68,BA$4-$B207+1)</f>
        <v/>
      </c>
      <c r="BB207" s="153">
        <f>$C207*INDEX(Curves!$AI$8:$AI$68,BB$4-$B207+1)</f>
        <v/>
      </c>
      <c r="BC207" s="153">
        <f>$C207*INDEX(Curves!$AI$8:$AI$68,BC$4-$B207+1)</f>
        <v/>
      </c>
      <c r="BD207" s="153">
        <f>$C207*INDEX(Curves!$AI$8:$AI$68,BD$4-$B207+1)</f>
        <v/>
      </c>
      <c r="BE207" s="153">
        <f>$C207*INDEX(Curves!$AI$8:$AI$68,BE$4-$B207+1)</f>
        <v/>
      </c>
      <c r="BF207" s="153">
        <f>$C207*INDEX(Curves!$AI$8:$AI$68,BF$4-$B207+1)</f>
        <v/>
      </c>
      <c r="BG207" s="153">
        <f>$C207*INDEX(Curves!$AI$8:$AI$68,BG$4-$B207+1)</f>
        <v/>
      </c>
      <c r="BH207" s="153">
        <f>$C207*INDEX(Curves!$AI$8:$AI$68,BH$4-$B207+1)</f>
        <v/>
      </c>
      <c r="BI207" s="153">
        <f>$C207*INDEX(Curves!$AI$8:$AI$68,BI$4-$B207+1)</f>
        <v/>
      </c>
      <c r="BJ207" s="153">
        <f>$C207*INDEX(Curves!$AI$8:$AI$68,BJ$4-$B207+1)</f>
        <v/>
      </c>
      <c r="BK207" s="153">
        <f>$C207*INDEX(Curves!$AI$8:$AI$68,BK$4-$B207+1)</f>
        <v/>
      </c>
      <c r="BL207" s="153">
        <f>$C207*INDEX(Curves!$AI$8:$AI$68,BL$4-$B207+1)</f>
        <v/>
      </c>
    </row>
    <row r="208">
      <c r="A208" s="147" t="inlineStr">
        <is>
          <t>Cohort month 10</t>
        </is>
      </c>
      <c r="B208" s="147" t="n">
        <v>10</v>
      </c>
      <c r="C208" s="41">
        <f>INDEX(Ops!$E$60:$BL$60,1,$B208)</f>
        <v/>
      </c>
      <c r="O208" s="153">
        <f>$C208*INDEX(Curves!$AI$8:$AI$68,O$4-$B208+1)</f>
        <v/>
      </c>
      <c r="P208" s="153">
        <f>$C208*INDEX(Curves!$AI$8:$AI$68,P$4-$B208+1)</f>
        <v/>
      </c>
      <c r="Q208" s="153">
        <f>$C208*INDEX(Curves!$AI$8:$AI$68,Q$4-$B208+1)</f>
        <v/>
      </c>
      <c r="R208" s="153">
        <f>$C208*INDEX(Curves!$AI$8:$AI$68,R$4-$B208+1)</f>
        <v/>
      </c>
      <c r="S208" s="153">
        <f>$C208*INDEX(Curves!$AI$8:$AI$68,S$4-$B208+1)</f>
        <v/>
      </c>
      <c r="T208" s="153">
        <f>$C208*INDEX(Curves!$AI$8:$AI$68,T$4-$B208+1)</f>
        <v/>
      </c>
      <c r="U208" s="153">
        <f>$C208*INDEX(Curves!$AI$8:$AI$68,U$4-$B208+1)</f>
        <v/>
      </c>
      <c r="V208" s="153">
        <f>$C208*INDEX(Curves!$AI$8:$AI$68,V$4-$B208+1)</f>
        <v/>
      </c>
      <c r="W208" s="153">
        <f>$C208*INDEX(Curves!$AI$8:$AI$68,W$4-$B208+1)</f>
        <v/>
      </c>
      <c r="X208" s="153">
        <f>$C208*INDEX(Curves!$AI$8:$AI$68,X$4-$B208+1)</f>
        <v/>
      </c>
      <c r="Y208" s="153">
        <f>$C208*INDEX(Curves!$AI$8:$AI$68,Y$4-$B208+1)</f>
        <v/>
      </c>
      <c r="Z208" s="153">
        <f>$C208*INDEX(Curves!$AI$8:$AI$68,Z$4-$B208+1)</f>
        <v/>
      </c>
      <c r="AA208" s="153">
        <f>$C208*INDEX(Curves!$AI$8:$AI$68,AA$4-$B208+1)</f>
        <v/>
      </c>
      <c r="AB208" s="153">
        <f>$C208*INDEX(Curves!$AI$8:$AI$68,AB$4-$B208+1)</f>
        <v/>
      </c>
      <c r="AC208" s="153">
        <f>$C208*INDEX(Curves!$AI$8:$AI$68,AC$4-$B208+1)</f>
        <v/>
      </c>
      <c r="AD208" s="153">
        <f>$C208*INDEX(Curves!$AI$8:$AI$68,AD$4-$B208+1)</f>
        <v/>
      </c>
      <c r="AE208" s="153">
        <f>$C208*INDEX(Curves!$AI$8:$AI$68,AE$4-$B208+1)</f>
        <v/>
      </c>
      <c r="AF208" s="153">
        <f>$C208*INDEX(Curves!$AI$8:$AI$68,AF$4-$B208+1)</f>
        <v/>
      </c>
      <c r="AG208" s="153">
        <f>$C208*INDEX(Curves!$AI$8:$AI$68,AG$4-$B208+1)</f>
        <v/>
      </c>
      <c r="AH208" s="153">
        <f>$C208*INDEX(Curves!$AI$8:$AI$68,AH$4-$B208+1)</f>
        <v/>
      </c>
      <c r="AI208" s="153">
        <f>$C208*INDEX(Curves!$AI$8:$AI$68,AI$4-$B208+1)</f>
        <v/>
      </c>
      <c r="AJ208" s="153">
        <f>$C208*INDEX(Curves!$AI$8:$AI$68,AJ$4-$B208+1)</f>
        <v/>
      </c>
      <c r="AK208" s="153">
        <f>$C208*INDEX(Curves!$AI$8:$AI$68,AK$4-$B208+1)</f>
        <v/>
      </c>
      <c r="AL208" s="153">
        <f>$C208*INDEX(Curves!$AI$8:$AI$68,AL$4-$B208+1)</f>
        <v/>
      </c>
      <c r="AM208" s="153">
        <f>$C208*INDEX(Curves!$AI$8:$AI$68,AM$4-$B208+1)</f>
        <v/>
      </c>
      <c r="AN208" s="153">
        <f>$C208*INDEX(Curves!$AI$8:$AI$68,AN$4-$B208+1)</f>
        <v/>
      </c>
      <c r="AO208" s="153">
        <f>$C208*INDEX(Curves!$AI$8:$AI$68,AO$4-$B208+1)</f>
        <v/>
      </c>
      <c r="AP208" s="153">
        <f>$C208*INDEX(Curves!$AI$8:$AI$68,AP$4-$B208+1)</f>
        <v/>
      </c>
      <c r="AQ208" s="153">
        <f>$C208*INDEX(Curves!$AI$8:$AI$68,AQ$4-$B208+1)</f>
        <v/>
      </c>
      <c r="AR208" s="153">
        <f>$C208*INDEX(Curves!$AI$8:$AI$68,AR$4-$B208+1)</f>
        <v/>
      </c>
      <c r="AS208" s="153">
        <f>$C208*INDEX(Curves!$AI$8:$AI$68,AS$4-$B208+1)</f>
        <v/>
      </c>
      <c r="AT208" s="153">
        <f>$C208*INDEX(Curves!$AI$8:$AI$68,AT$4-$B208+1)</f>
        <v/>
      </c>
      <c r="AU208" s="153">
        <f>$C208*INDEX(Curves!$AI$8:$AI$68,AU$4-$B208+1)</f>
        <v/>
      </c>
      <c r="AV208" s="153">
        <f>$C208*INDEX(Curves!$AI$8:$AI$68,AV$4-$B208+1)</f>
        <v/>
      </c>
      <c r="AW208" s="153">
        <f>$C208*INDEX(Curves!$AI$8:$AI$68,AW$4-$B208+1)</f>
        <v/>
      </c>
      <c r="AX208" s="153">
        <f>$C208*INDEX(Curves!$AI$8:$AI$68,AX$4-$B208+1)</f>
        <v/>
      </c>
      <c r="AY208" s="153">
        <f>$C208*INDEX(Curves!$AI$8:$AI$68,AY$4-$B208+1)</f>
        <v/>
      </c>
      <c r="AZ208" s="153">
        <f>$C208*INDEX(Curves!$AI$8:$AI$68,AZ$4-$B208+1)</f>
        <v/>
      </c>
      <c r="BA208" s="153">
        <f>$C208*INDEX(Curves!$AI$8:$AI$68,BA$4-$B208+1)</f>
        <v/>
      </c>
      <c r="BB208" s="153">
        <f>$C208*INDEX(Curves!$AI$8:$AI$68,BB$4-$B208+1)</f>
        <v/>
      </c>
      <c r="BC208" s="153">
        <f>$C208*INDEX(Curves!$AI$8:$AI$68,BC$4-$B208+1)</f>
        <v/>
      </c>
      <c r="BD208" s="153">
        <f>$C208*INDEX(Curves!$AI$8:$AI$68,BD$4-$B208+1)</f>
        <v/>
      </c>
      <c r="BE208" s="153">
        <f>$C208*INDEX(Curves!$AI$8:$AI$68,BE$4-$B208+1)</f>
        <v/>
      </c>
      <c r="BF208" s="153">
        <f>$C208*INDEX(Curves!$AI$8:$AI$68,BF$4-$B208+1)</f>
        <v/>
      </c>
      <c r="BG208" s="153">
        <f>$C208*INDEX(Curves!$AI$8:$AI$68,BG$4-$B208+1)</f>
        <v/>
      </c>
      <c r="BH208" s="153">
        <f>$C208*INDEX(Curves!$AI$8:$AI$68,BH$4-$B208+1)</f>
        <v/>
      </c>
      <c r="BI208" s="153">
        <f>$C208*INDEX(Curves!$AI$8:$AI$68,BI$4-$B208+1)</f>
        <v/>
      </c>
      <c r="BJ208" s="153">
        <f>$C208*INDEX(Curves!$AI$8:$AI$68,BJ$4-$B208+1)</f>
        <v/>
      </c>
      <c r="BK208" s="153">
        <f>$C208*INDEX(Curves!$AI$8:$AI$68,BK$4-$B208+1)</f>
        <v/>
      </c>
      <c r="BL208" s="153">
        <f>$C208*INDEX(Curves!$AI$8:$AI$68,BL$4-$B208+1)</f>
        <v/>
      </c>
    </row>
    <row r="209">
      <c r="A209" s="147" t="inlineStr">
        <is>
          <t>Cohort month 11</t>
        </is>
      </c>
      <c r="B209" s="147" t="n">
        <v>11</v>
      </c>
      <c r="C209" s="41">
        <f>INDEX(Ops!$E$60:$BL$60,1,$B209)</f>
        <v/>
      </c>
      <c r="P209" s="153">
        <f>$C209*INDEX(Curves!$AI$8:$AI$68,P$4-$B209+1)</f>
        <v/>
      </c>
      <c r="Q209" s="153">
        <f>$C209*INDEX(Curves!$AI$8:$AI$68,Q$4-$B209+1)</f>
        <v/>
      </c>
      <c r="R209" s="153">
        <f>$C209*INDEX(Curves!$AI$8:$AI$68,R$4-$B209+1)</f>
        <v/>
      </c>
      <c r="S209" s="153">
        <f>$C209*INDEX(Curves!$AI$8:$AI$68,S$4-$B209+1)</f>
        <v/>
      </c>
      <c r="T209" s="153">
        <f>$C209*INDEX(Curves!$AI$8:$AI$68,T$4-$B209+1)</f>
        <v/>
      </c>
      <c r="U209" s="153">
        <f>$C209*INDEX(Curves!$AI$8:$AI$68,U$4-$B209+1)</f>
        <v/>
      </c>
      <c r="V209" s="153">
        <f>$C209*INDEX(Curves!$AI$8:$AI$68,V$4-$B209+1)</f>
        <v/>
      </c>
      <c r="W209" s="153">
        <f>$C209*INDEX(Curves!$AI$8:$AI$68,W$4-$B209+1)</f>
        <v/>
      </c>
      <c r="X209" s="153">
        <f>$C209*INDEX(Curves!$AI$8:$AI$68,X$4-$B209+1)</f>
        <v/>
      </c>
      <c r="Y209" s="153">
        <f>$C209*INDEX(Curves!$AI$8:$AI$68,Y$4-$B209+1)</f>
        <v/>
      </c>
      <c r="Z209" s="153">
        <f>$C209*INDEX(Curves!$AI$8:$AI$68,Z$4-$B209+1)</f>
        <v/>
      </c>
      <c r="AA209" s="153">
        <f>$C209*INDEX(Curves!$AI$8:$AI$68,AA$4-$B209+1)</f>
        <v/>
      </c>
      <c r="AB209" s="153">
        <f>$C209*INDEX(Curves!$AI$8:$AI$68,AB$4-$B209+1)</f>
        <v/>
      </c>
      <c r="AC209" s="153">
        <f>$C209*INDEX(Curves!$AI$8:$AI$68,AC$4-$B209+1)</f>
        <v/>
      </c>
      <c r="AD209" s="153">
        <f>$C209*INDEX(Curves!$AI$8:$AI$68,AD$4-$B209+1)</f>
        <v/>
      </c>
      <c r="AE209" s="153">
        <f>$C209*INDEX(Curves!$AI$8:$AI$68,AE$4-$B209+1)</f>
        <v/>
      </c>
      <c r="AF209" s="153">
        <f>$C209*INDEX(Curves!$AI$8:$AI$68,AF$4-$B209+1)</f>
        <v/>
      </c>
      <c r="AG209" s="153">
        <f>$C209*INDEX(Curves!$AI$8:$AI$68,AG$4-$B209+1)</f>
        <v/>
      </c>
      <c r="AH209" s="153">
        <f>$C209*INDEX(Curves!$AI$8:$AI$68,AH$4-$B209+1)</f>
        <v/>
      </c>
      <c r="AI209" s="153">
        <f>$C209*INDEX(Curves!$AI$8:$AI$68,AI$4-$B209+1)</f>
        <v/>
      </c>
      <c r="AJ209" s="153">
        <f>$C209*INDEX(Curves!$AI$8:$AI$68,AJ$4-$B209+1)</f>
        <v/>
      </c>
      <c r="AK209" s="153">
        <f>$C209*INDEX(Curves!$AI$8:$AI$68,AK$4-$B209+1)</f>
        <v/>
      </c>
      <c r="AL209" s="153">
        <f>$C209*INDEX(Curves!$AI$8:$AI$68,AL$4-$B209+1)</f>
        <v/>
      </c>
      <c r="AM209" s="153">
        <f>$C209*INDEX(Curves!$AI$8:$AI$68,AM$4-$B209+1)</f>
        <v/>
      </c>
      <c r="AN209" s="153">
        <f>$C209*INDEX(Curves!$AI$8:$AI$68,AN$4-$B209+1)</f>
        <v/>
      </c>
      <c r="AO209" s="153">
        <f>$C209*INDEX(Curves!$AI$8:$AI$68,AO$4-$B209+1)</f>
        <v/>
      </c>
      <c r="AP209" s="153">
        <f>$C209*INDEX(Curves!$AI$8:$AI$68,AP$4-$B209+1)</f>
        <v/>
      </c>
      <c r="AQ209" s="153">
        <f>$C209*INDEX(Curves!$AI$8:$AI$68,AQ$4-$B209+1)</f>
        <v/>
      </c>
      <c r="AR209" s="153">
        <f>$C209*INDEX(Curves!$AI$8:$AI$68,AR$4-$B209+1)</f>
        <v/>
      </c>
      <c r="AS209" s="153">
        <f>$C209*INDEX(Curves!$AI$8:$AI$68,AS$4-$B209+1)</f>
        <v/>
      </c>
      <c r="AT209" s="153">
        <f>$C209*INDEX(Curves!$AI$8:$AI$68,AT$4-$B209+1)</f>
        <v/>
      </c>
      <c r="AU209" s="153">
        <f>$C209*INDEX(Curves!$AI$8:$AI$68,AU$4-$B209+1)</f>
        <v/>
      </c>
      <c r="AV209" s="153">
        <f>$C209*INDEX(Curves!$AI$8:$AI$68,AV$4-$B209+1)</f>
        <v/>
      </c>
      <c r="AW209" s="153">
        <f>$C209*INDEX(Curves!$AI$8:$AI$68,AW$4-$B209+1)</f>
        <v/>
      </c>
      <c r="AX209" s="153">
        <f>$C209*INDEX(Curves!$AI$8:$AI$68,AX$4-$B209+1)</f>
        <v/>
      </c>
      <c r="AY209" s="153">
        <f>$C209*INDEX(Curves!$AI$8:$AI$68,AY$4-$B209+1)</f>
        <v/>
      </c>
      <c r="AZ209" s="153">
        <f>$C209*INDEX(Curves!$AI$8:$AI$68,AZ$4-$B209+1)</f>
        <v/>
      </c>
      <c r="BA209" s="153">
        <f>$C209*INDEX(Curves!$AI$8:$AI$68,BA$4-$B209+1)</f>
        <v/>
      </c>
      <c r="BB209" s="153">
        <f>$C209*INDEX(Curves!$AI$8:$AI$68,BB$4-$B209+1)</f>
        <v/>
      </c>
      <c r="BC209" s="153">
        <f>$C209*INDEX(Curves!$AI$8:$AI$68,BC$4-$B209+1)</f>
        <v/>
      </c>
      <c r="BD209" s="153">
        <f>$C209*INDEX(Curves!$AI$8:$AI$68,BD$4-$B209+1)</f>
        <v/>
      </c>
      <c r="BE209" s="153">
        <f>$C209*INDEX(Curves!$AI$8:$AI$68,BE$4-$B209+1)</f>
        <v/>
      </c>
      <c r="BF209" s="153">
        <f>$C209*INDEX(Curves!$AI$8:$AI$68,BF$4-$B209+1)</f>
        <v/>
      </c>
      <c r="BG209" s="153">
        <f>$C209*INDEX(Curves!$AI$8:$AI$68,BG$4-$B209+1)</f>
        <v/>
      </c>
      <c r="BH209" s="153">
        <f>$C209*INDEX(Curves!$AI$8:$AI$68,BH$4-$B209+1)</f>
        <v/>
      </c>
      <c r="BI209" s="153">
        <f>$C209*INDEX(Curves!$AI$8:$AI$68,BI$4-$B209+1)</f>
        <v/>
      </c>
      <c r="BJ209" s="153">
        <f>$C209*INDEX(Curves!$AI$8:$AI$68,BJ$4-$B209+1)</f>
        <v/>
      </c>
      <c r="BK209" s="153">
        <f>$C209*INDEX(Curves!$AI$8:$AI$68,BK$4-$B209+1)</f>
        <v/>
      </c>
      <c r="BL209" s="153">
        <f>$C209*INDEX(Curves!$AI$8:$AI$68,BL$4-$B209+1)</f>
        <v/>
      </c>
    </row>
    <row r="210">
      <c r="A210" s="147" t="inlineStr">
        <is>
          <t>Cohort month 12</t>
        </is>
      </c>
      <c r="B210" s="147" t="n">
        <v>12</v>
      </c>
      <c r="C210" s="41">
        <f>INDEX(Ops!$E$60:$BL$60,1,$B210)</f>
        <v/>
      </c>
      <c r="Q210" s="153">
        <f>$C210*INDEX(Curves!$AI$8:$AI$68,Q$4-$B210+1)</f>
        <v/>
      </c>
      <c r="R210" s="153">
        <f>$C210*INDEX(Curves!$AI$8:$AI$68,R$4-$B210+1)</f>
        <v/>
      </c>
      <c r="S210" s="153">
        <f>$C210*INDEX(Curves!$AI$8:$AI$68,S$4-$B210+1)</f>
        <v/>
      </c>
      <c r="T210" s="153">
        <f>$C210*INDEX(Curves!$AI$8:$AI$68,T$4-$B210+1)</f>
        <v/>
      </c>
      <c r="U210" s="153">
        <f>$C210*INDEX(Curves!$AI$8:$AI$68,U$4-$B210+1)</f>
        <v/>
      </c>
      <c r="V210" s="153">
        <f>$C210*INDEX(Curves!$AI$8:$AI$68,V$4-$B210+1)</f>
        <v/>
      </c>
      <c r="W210" s="153">
        <f>$C210*INDEX(Curves!$AI$8:$AI$68,W$4-$B210+1)</f>
        <v/>
      </c>
      <c r="X210" s="153">
        <f>$C210*INDEX(Curves!$AI$8:$AI$68,X$4-$B210+1)</f>
        <v/>
      </c>
      <c r="Y210" s="153">
        <f>$C210*INDEX(Curves!$AI$8:$AI$68,Y$4-$B210+1)</f>
        <v/>
      </c>
      <c r="Z210" s="153">
        <f>$C210*INDEX(Curves!$AI$8:$AI$68,Z$4-$B210+1)</f>
        <v/>
      </c>
      <c r="AA210" s="153">
        <f>$C210*INDEX(Curves!$AI$8:$AI$68,AA$4-$B210+1)</f>
        <v/>
      </c>
      <c r="AB210" s="153">
        <f>$C210*INDEX(Curves!$AI$8:$AI$68,AB$4-$B210+1)</f>
        <v/>
      </c>
      <c r="AC210" s="153">
        <f>$C210*INDEX(Curves!$AI$8:$AI$68,AC$4-$B210+1)</f>
        <v/>
      </c>
      <c r="AD210" s="153">
        <f>$C210*INDEX(Curves!$AI$8:$AI$68,AD$4-$B210+1)</f>
        <v/>
      </c>
      <c r="AE210" s="153">
        <f>$C210*INDEX(Curves!$AI$8:$AI$68,AE$4-$B210+1)</f>
        <v/>
      </c>
      <c r="AF210" s="153">
        <f>$C210*INDEX(Curves!$AI$8:$AI$68,AF$4-$B210+1)</f>
        <v/>
      </c>
      <c r="AG210" s="153">
        <f>$C210*INDEX(Curves!$AI$8:$AI$68,AG$4-$B210+1)</f>
        <v/>
      </c>
      <c r="AH210" s="153">
        <f>$C210*INDEX(Curves!$AI$8:$AI$68,AH$4-$B210+1)</f>
        <v/>
      </c>
      <c r="AI210" s="153">
        <f>$C210*INDEX(Curves!$AI$8:$AI$68,AI$4-$B210+1)</f>
        <v/>
      </c>
      <c r="AJ210" s="153">
        <f>$C210*INDEX(Curves!$AI$8:$AI$68,AJ$4-$B210+1)</f>
        <v/>
      </c>
      <c r="AK210" s="153">
        <f>$C210*INDEX(Curves!$AI$8:$AI$68,AK$4-$B210+1)</f>
        <v/>
      </c>
      <c r="AL210" s="153">
        <f>$C210*INDEX(Curves!$AI$8:$AI$68,AL$4-$B210+1)</f>
        <v/>
      </c>
      <c r="AM210" s="153">
        <f>$C210*INDEX(Curves!$AI$8:$AI$68,AM$4-$B210+1)</f>
        <v/>
      </c>
      <c r="AN210" s="153">
        <f>$C210*INDEX(Curves!$AI$8:$AI$68,AN$4-$B210+1)</f>
        <v/>
      </c>
      <c r="AO210" s="153">
        <f>$C210*INDEX(Curves!$AI$8:$AI$68,AO$4-$B210+1)</f>
        <v/>
      </c>
      <c r="AP210" s="153">
        <f>$C210*INDEX(Curves!$AI$8:$AI$68,AP$4-$B210+1)</f>
        <v/>
      </c>
      <c r="AQ210" s="153">
        <f>$C210*INDEX(Curves!$AI$8:$AI$68,AQ$4-$B210+1)</f>
        <v/>
      </c>
      <c r="AR210" s="153">
        <f>$C210*INDEX(Curves!$AI$8:$AI$68,AR$4-$B210+1)</f>
        <v/>
      </c>
      <c r="AS210" s="153">
        <f>$C210*INDEX(Curves!$AI$8:$AI$68,AS$4-$B210+1)</f>
        <v/>
      </c>
      <c r="AT210" s="153">
        <f>$C210*INDEX(Curves!$AI$8:$AI$68,AT$4-$B210+1)</f>
        <v/>
      </c>
      <c r="AU210" s="153">
        <f>$C210*INDEX(Curves!$AI$8:$AI$68,AU$4-$B210+1)</f>
        <v/>
      </c>
      <c r="AV210" s="153">
        <f>$C210*INDEX(Curves!$AI$8:$AI$68,AV$4-$B210+1)</f>
        <v/>
      </c>
      <c r="AW210" s="153">
        <f>$C210*INDEX(Curves!$AI$8:$AI$68,AW$4-$B210+1)</f>
        <v/>
      </c>
      <c r="AX210" s="153">
        <f>$C210*INDEX(Curves!$AI$8:$AI$68,AX$4-$B210+1)</f>
        <v/>
      </c>
      <c r="AY210" s="153">
        <f>$C210*INDEX(Curves!$AI$8:$AI$68,AY$4-$B210+1)</f>
        <v/>
      </c>
      <c r="AZ210" s="153">
        <f>$C210*INDEX(Curves!$AI$8:$AI$68,AZ$4-$B210+1)</f>
        <v/>
      </c>
      <c r="BA210" s="153">
        <f>$C210*INDEX(Curves!$AI$8:$AI$68,BA$4-$B210+1)</f>
        <v/>
      </c>
      <c r="BB210" s="153">
        <f>$C210*INDEX(Curves!$AI$8:$AI$68,BB$4-$B210+1)</f>
        <v/>
      </c>
      <c r="BC210" s="153">
        <f>$C210*INDEX(Curves!$AI$8:$AI$68,BC$4-$B210+1)</f>
        <v/>
      </c>
      <c r="BD210" s="153">
        <f>$C210*INDEX(Curves!$AI$8:$AI$68,BD$4-$B210+1)</f>
        <v/>
      </c>
      <c r="BE210" s="153">
        <f>$C210*INDEX(Curves!$AI$8:$AI$68,BE$4-$B210+1)</f>
        <v/>
      </c>
      <c r="BF210" s="153">
        <f>$C210*INDEX(Curves!$AI$8:$AI$68,BF$4-$B210+1)</f>
        <v/>
      </c>
      <c r="BG210" s="153">
        <f>$C210*INDEX(Curves!$AI$8:$AI$68,BG$4-$B210+1)</f>
        <v/>
      </c>
      <c r="BH210" s="153">
        <f>$C210*INDEX(Curves!$AI$8:$AI$68,BH$4-$B210+1)</f>
        <v/>
      </c>
      <c r="BI210" s="153">
        <f>$C210*INDEX(Curves!$AI$8:$AI$68,BI$4-$B210+1)</f>
        <v/>
      </c>
      <c r="BJ210" s="153">
        <f>$C210*INDEX(Curves!$AI$8:$AI$68,BJ$4-$B210+1)</f>
        <v/>
      </c>
      <c r="BK210" s="153">
        <f>$C210*INDEX(Curves!$AI$8:$AI$68,BK$4-$B210+1)</f>
        <v/>
      </c>
      <c r="BL210" s="153">
        <f>$C210*INDEX(Curves!$AI$8:$AI$68,BL$4-$B210+1)</f>
        <v/>
      </c>
    </row>
    <row r="211">
      <c r="A211" s="147" t="inlineStr">
        <is>
          <t>Cohort month 13</t>
        </is>
      </c>
      <c r="B211" s="147" t="n">
        <v>13</v>
      </c>
      <c r="C211" s="41">
        <f>INDEX(Ops!$E$60:$BL$60,1,$B211)</f>
        <v/>
      </c>
      <c r="R211" s="153">
        <f>$C211*INDEX(Curves!$AI$8:$AI$68,R$4-$B211+1)</f>
        <v/>
      </c>
      <c r="S211" s="153">
        <f>$C211*INDEX(Curves!$AI$8:$AI$68,S$4-$B211+1)</f>
        <v/>
      </c>
      <c r="T211" s="153">
        <f>$C211*INDEX(Curves!$AI$8:$AI$68,T$4-$B211+1)</f>
        <v/>
      </c>
      <c r="U211" s="153">
        <f>$C211*INDEX(Curves!$AI$8:$AI$68,U$4-$B211+1)</f>
        <v/>
      </c>
      <c r="V211" s="153">
        <f>$C211*INDEX(Curves!$AI$8:$AI$68,V$4-$B211+1)</f>
        <v/>
      </c>
      <c r="W211" s="153">
        <f>$C211*INDEX(Curves!$AI$8:$AI$68,W$4-$B211+1)</f>
        <v/>
      </c>
      <c r="X211" s="153">
        <f>$C211*INDEX(Curves!$AI$8:$AI$68,X$4-$B211+1)</f>
        <v/>
      </c>
      <c r="Y211" s="153">
        <f>$C211*INDEX(Curves!$AI$8:$AI$68,Y$4-$B211+1)</f>
        <v/>
      </c>
      <c r="Z211" s="153">
        <f>$C211*INDEX(Curves!$AI$8:$AI$68,Z$4-$B211+1)</f>
        <v/>
      </c>
      <c r="AA211" s="153">
        <f>$C211*INDEX(Curves!$AI$8:$AI$68,AA$4-$B211+1)</f>
        <v/>
      </c>
      <c r="AB211" s="153">
        <f>$C211*INDEX(Curves!$AI$8:$AI$68,AB$4-$B211+1)</f>
        <v/>
      </c>
      <c r="AC211" s="153">
        <f>$C211*INDEX(Curves!$AI$8:$AI$68,AC$4-$B211+1)</f>
        <v/>
      </c>
      <c r="AD211" s="153">
        <f>$C211*INDEX(Curves!$AI$8:$AI$68,AD$4-$B211+1)</f>
        <v/>
      </c>
      <c r="AE211" s="153">
        <f>$C211*INDEX(Curves!$AI$8:$AI$68,AE$4-$B211+1)</f>
        <v/>
      </c>
      <c r="AF211" s="153">
        <f>$C211*INDEX(Curves!$AI$8:$AI$68,AF$4-$B211+1)</f>
        <v/>
      </c>
      <c r="AG211" s="153">
        <f>$C211*INDEX(Curves!$AI$8:$AI$68,AG$4-$B211+1)</f>
        <v/>
      </c>
      <c r="AH211" s="153">
        <f>$C211*INDEX(Curves!$AI$8:$AI$68,AH$4-$B211+1)</f>
        <v/>
      </c>
      <c r="AI211" s="153">
        <f>$C211*INDEX(Curves!$AI$8:$AI$68,AI$4-$B211+1)</f>
        <v/>
      </c>
      <c r="AJ211" s="153">
        <f>$C211*INDEX(Curves!$AI$8:$AI$68,AJ$4-$B211+1)</f>
        <v/>
      </c>
      <c r="AK211" s="153">
        <f>$C211*INDEX(Curves!$AI$8:$AI$68,AK$4-$B211+1)</f>
        <v/>
      </c>
      <c r="AL211" s="153">
        <f>$C211*INDEX(Curves!$AI$8:$AI$68,AL$4-$B211+1)</f>
        <v/>
      </c>
      <c r="AM211" s="153">
        <f>$C211*INDEX(Curves!$AI$8:$AI$68,AM$4-$B211+1)</f>
        <v/>
      </c>
      <c r="AN211" s="153">
        <f>$C211*INDEX(Curves!$AI$8:$AI$68,AN$4-$B211+1)</f>
        <v/>
      </c>
      <c r="AO211" s="153">
        <f>$C211*INDEX(Curves!$AI$8:$AI$68,AO$4-$B211+1)</f>
        <v/>
      </c>
      <c r="AP211" s="153">
        <f>$C211*INDEX(Curves!$AI$8:$AI$68,AP$4-$B211+1)</f>
        <v/>
      </c>
      <c r="AQ211" s="153">
        <f>$C211*INDEX(Curves!$AI$8:$AI$68,AQ$4-$B211+1)</f>
        <v/>
      </c>
      <c r="AR211" s="153">
        <f>$C211*INDEX(Curves!$AI$8:$AI$68,AR$4-$B211+1)</f>
        <v/>
      </c>
      <c r="AS211" s="153">
        <f>$C211*INDEX(Curves!$AI$8:$AI$68,AS$4-$B211+1)</f>
        <v/>
      </c>
      <c r="AT211" s="153">
        <f>$C211*INDEX(Curves!$AI$8:$AI$68,AT$4-$B211+1)</f>
        <v/>
      </c>
      <c r="AU211" s="153">
        <f>$C211*INDEX(Curves!$AI$8:$AI$68,AU$4-$B211+1)</f>
        <v/>
      </c>
      <c r="AV211" s="153">
        <f>$C211*INDEX(Curves!$AI$8:$AI$68,AV$4-$B211+1)</f>
        <v/>
      </c>
      <c r="AW211" s="153">
        <f>$C211*INDEX(Curves!$AI$8:$AI$68,AW$4-$B211+1)</f>
        <v/>
      </c>
      <c r="AX211" s="153">
        <f>$C211*INDEX(Curves!$AI$8:$AI$68,AX$4-$B211+1)</f>
        <v/>
      </c>
      <c r="AY211" s="153">
        <f>$C211*INDEX(Curves!$AI$8:$AI$68,AY$4-$B211+1)</f>
        <v/>
      </c>
      <c r="AZ211" s="153">
        <f>$C211*INDEX(Curves!$AI$8:$AI$68,AZ$4-$B211+1)</f>
        <v/>
      </c>
      <c r="BA211" s="153">
        <f>$C211*INDEX(Curves!$AI$8:$AI$68,BA$4-$B211+1)</f>
        <v/>
      </c>
      <c r="BB211" s="153">
        <f>$C211*INDEX(Curves!$AI$8:$AI$68,BB$4-$B211+1)</f>
        <v/>
      </c>
      <c r="BC211" s="153">
        <f>$C211*INDEX(Curves!$AI$8:$AI$68,BC$4-$B211+1)</f>
        <v/>
      </c>
      <c r="BD211" s="153">
        <f>$C211*INDEX(Curves!$AI$8:$AI$68,BD$4-$B211+1)</f>
        <v/>
      </c>
      <c r="BE211" s="153">
        <f>$C211*INDEX(Curves!$AI$8:$AI$68,BE$4-$B211+1)</f>
        <v/>
      </c>
      <c r="BF211" s="153">
        <f>$C211*INDEX(Curves!$AI$8:$AI$68,BF$4-$B211+1)</f>
        <v/>
      </c>
      <c r="BG211" s="153">
        <f>$C211*INDEX(Curves!$AI$8:$AI$68,BG$4-$B211+1)</f>
        <v/>
      </c>
      <c r="BH211" s="153">
        <f>$C211*INDEX(Curves!$AI$8:$AI$68,BH$4-$B211+1)</f>
        <v/>
      </c>
      <c r="BI211" s="153">
        <f>$C211*INDEX(Curves!$AI$8:$AI$68,BI$4-$B211+1)</f>
        <v/>
      </c>
      <c r="BJ211" s="153">
        <f>$C211*INDEX(Curves!$AI$8:$AI$68,BJ$4-$B211+1)</f>
        <v/>
      </c>
      <c r="BK211" s="153">
        <f>$C211*INDEX(Curves!$AI$8:$AI$68,BK$4-$B211+1)</f>
        <v/>
      </c>
      <c r="BL211" s="153">
        <f>$C211*INDEX(Curves!$AI$8:$AI$68,BL$4-$B211+1)</f>
        <v/>
      </c>
    </row>
    <row r="212">
      <c r="A212" s="147" t="inlineStr">
        <is>
          <t>Cohort month 14</t>
        </is>
      </c>
      <c r="B212" s="147" t="n">
        <v>14</v>
      </c>
      <c r="C212" s="41">
        <f>INDEX(Ops!$E$60:$BL$60,1,$B212)</f>
        <v/>
      </c>
      <c r="S212" s="153">
        <f>$C212*INDEX(Curves!$AI$8:$AI$68,S$4-$B212+1)</f>
        <v/>
      </c>
      <c r="T212" s="153">
        <f>$C212*INDEX(Curves!$AI$8:$AI$68,T$4-$B212+1)</f>
        <v/>
      </c>
      <c r="U212" s="153">
        <f>$C212*INDEX(Curves!$AI$8:$AI$68,U$4-$B212+1)</f>
        <v/>
      </c>
      <c r="V212" s="153">
        <f>$C212*INDEX(Curves!$AI$8:$AI$68,V$4-$B212+1)</f>
        <v/>
      </c>
      <c r="W212" s="153">
        <f>$C212*INDEX(Curves!$AI$8:$AI$68,W$4-$B212+1)</f>
        <v/>
      </c>
      <c r="X212" s="153">
        <f>$C212*INDEX(Curves!$AI$8:$AI$68,X$4-$B212+1)</f>
        <v/>
      </c>
      <c r="Y212" s="153">
        <f>$C212*INDEX(Curves!$AI$8:$AI$68,Y$4-$B212+1)</f>
        <v/>
      </c>
      <c r="Z212" s="153">
        <f>$C212*INDEX(Curves!$AI$8:$AI$68,Z$4-$B212+1)</f>
        <v/>
      </c>
      <c r="AA212" s="153">
        <f>$C212*INDEX(Curves!$AI$8:$AI$68,AA$4-$B212+1)</f>
        <v/>
      </c>
      <c r="AB212" s="153">
        <f>$C212*INDEX(Curves!$AI$8:$AI$68,AB$4-$B212+1)</f>
        <v/>
      </c>
      <c r="AC212" s="153">
        <f>$C212*INDEX(Curves!$AI$8:$AI$68,AC$4-$B212+1)</f>
        <v/>
      </c>
      <c r="AD212" s="153">
        <f>$C212*INDEX(Curves!$AI$8:$AI$68,AD$4-$B212+1)</f>
        <v/>
      </c>
      <c r="AE212" s="153">
        <f>$C212*INDEX(Curves!$AI$8:$AI$68,AE$4-$B212+1)</f>
        <v/>
      </c>
      <c r="AF212" s="153">
        <f>$C212*INDEX(Curves!$AI$8:$AI$68,AF$4-$B212+1)</f>
        <v/>
      </c>
      <c r="AG212" s="153">
        <f>$C212*INDEX(Curves!$AI$8:$AI$68,AG$4-$B212+1)</f>
        <v/>
      </c>
      <c r="AH212" s="153">
        <f>$C212*INDEX(Curves!$AI$8:$AI$68,AH$4-$B212+1)</f>
        <v/>
      </c>
      <c r="AI212" s="153">
        <f>$C212*INDEX(Curves!$AI$8:$AI$68,AI$4-$B212+1)</f>
        <v/>
      </c>
      <c r="AJ212" s="153">
        <f>$C212*INDEX(Curves!$AI$8:$AI$68,AJ$4-$B212+1)</f>
        <v/>
      </c>
      <c r="AK212" s="153">
        <f>$C212*INDEX(Curves!$AI$8:$AI$68,AK$4-$B212+1)</f>
        <v/>
      </c>
      <c r="AL212" s="153">
        <f>$C212*INDEX(Curves!$AI$8:$AI$68,AL$4-$B212+1)</f>
        <v/>
      </c>
      <c r="AM212" s="153">
        <f>$C212*INDEX(Curves!$AI$8:$AI$68,AM$4-$B212+1)</f>
        <v/>
      </c>
      <c r="AN212" s="153">
        <f>$C212*INDEX(Curves!$AI$8:$AI$68,AN$4-$B212+1)</f>
        <v/>
      </c>
      <c r="AO212" s="153">
        <f>$C212*INDEX(Curves!$AI$8:$AI$68,AO$4-$B212+1)</f>
        <v/>
      </c>
      <c r="AP212" s="153">
        <f>$C212*INDEX(Curves!$AI$8:$AI$68,AP$4-$B212+1)</f>
        <v/>
      </c>
      <c r="AQ212" s="153">
        <f>$C212*INDEX(Curves!$AI$8:$AI$68,AQ$4-$B212+1)</f>
        <v/>
      </c>
      <c r="AR212" s="153">
        <f>$C212*INDEX(Curves!$AI$8:$AI$68,AR$4-$B212+1)</f>
        <v/>
      </c>
      <c r="AS212" s="153">
        <f>$C212*INDEX(Curves!$AI$8:$AI$68,AS$4-$B212+1)</f>
        <v/>
      </c>
      <c r="AT212" s="153">
        <f>$C212*INDEX(Curves!$AI$8:$AI$68,AT$4-$B212+1)</f>
        <v/>
      </c>
      <c r="AU212" s="153">
        <f>$C212*INDEX(Curves!$AI$8:$AI$68,AU$4-$B212+1)</f>
        <v/>
      </c>
      <c r="AV212" s="153">
        <f>$C212*INDEX(Curves!$AI$8:$AI$68,AV$4-$B212+1)</f>
        <v/>
      </c>
      <c r="AW212" s="153">
        <f>$C212*INDEX(Curves!$AI$8:$AI$68,AW$4-$B212+1)</f>
        <v/>
      </c>
      <c r="AX212" s="153">
        <f>$C212*INDEX(Curves!$AI$8:$AI$68,AX$4-$B212+1)</f>
        <v/>
      </c>
      <c r="AY212" s="153">
        <f>$C212*INDEX(Curves!$AI$8:$AI$68,AY$4-$B212+1)</f>
        <v/>
      </c>
      <c r="AZ212" s="153">
        <f>$C212*INDEX(Curves!$AI$8:$AI$68,AZ$4-$B212+1)</f>
        <v/>
      </c>
      <c r="BA212" s="153">
        <f>$C212*INDEX(Curves!$AI$8:$AI$68,BA$4-$B212+1)</f>
        <v/>
      </c>
      <c r="BB212" s="153">
        <f>$C212*INDEX(Curves!$AI$8:$AI$68,BB$4-$B212+1)</f>
        <v/>
      </c>
      <c r="BC212" s="153">
        <f>$C212*INDEX(Curves!$AI$8:$AI$68,BC$4-$B212+1)</f>
        <v/>
      </c>
      <c r="BD212" s="153">
        <f>$C212*INDEX(Curves!$AI$8:$AI$68,BD$4-$B212+1)</f>
        <v/>
      </c>
      <c r="BE212" s="153">
        <f>$C212*INDEX(Curves!$AI$8:$AI$68,BE$4-$B212+1)</f>
        <v/>
      </c>
      <c r="BF212" s="153">
        <f>$C212*INDEX(Curves!$AI$8:$AI$68,BF$4-$B212+1)</f>
        <v/>
      </c>
      <c r="BG212" s="153">
        <f>$C212*INDEX(Curves!$AI$8:$AI$68,BG$4-$B212+1)</f>
        <v/>
      </c>
      <c r="BH212" s="153">
        <f>$C212*INDEX(Curves!$AI$8:$AI$68,BH$4-$B212+1)</f>
        <v/>
      </c>
      <c r="BI212" s="153">
        <f>$C212*INDEX(Curves!$AI$8:$AI$68,BI$4-$B212+1)</f>
        <v/>
      </c>
      <c r="BJ212" s="153">
        <f>$C212*INDEX(Curves!$AI$8:$AI$68,BJ$4-$B212+1)</f>
        <v/>
      </c>
      <c r="BK212" s="153">
        <f>$C212*INDEX(Curves!$AI$8:$AI$68,BK$4-$B212+1)</f>
        <v/>
      </c>
      <c r="BL212" s="153">
        <f>$C212*INDEX(Curves!$AI$8:$AI$68,BL$4-$B212+1)</f>
        <v/>
      </c>
    </row>
    <row r="213">
      <c r="A213" s="147" t="inlineStr">
        <is>
          <t>Cohort month 15</t>
        </is>
      </c>
      <c r="B213" s="147" t="n">
        <v>15</v>
      </c>
      <c r="C213" s="41">
        <f>INDEX(Ops!$E$60:$BL$60,1,$B213)</f>
        <v/>
      </c>
      <c r="T213" s="153">
        <f>$C213*INDEX(Curves!$AI$8:$AI$68,T$4-$B213+1)</f>
        <v/>
      </c>
      <c r="U213" s="153">
        <f>$C213*INDEX(Curves!$AI$8:$AI$68,U$4-$B213+1)</f>
        <v/>
      </c>
      <c r="V213" s="153">
        <f>$C213*INDEX(Curves!$AI$8:$AI$68,V$4-$B213+1)</f>
        <v/>
      </c>
      <c r="W213" s="153">
        <f>$C213*INDEX(Curves!$AI$8:$AI$68,W$4-$B213+1)</f>
        <v/>
      </c>
      <c r="X213" s="153">
        <f>$C213*INDEX(Curves!$AI$8:$AI$68,X$4-$B213+1)</f>
        <v/>
      </c>
      <c r="Y213" s="153">
        <f>$C213*INDEX(Curves!$AI$8:$AI$68,Y$4-$B213+1)</f>
        <v/>
      </c>
      <c r="Z213" s="153">
        <f>$C213*INDEX(Curves!$AI$8:$AI$68,Z$4-$B213+1)</f>
        <v/>
      </c>
      <c r="AA213" s="153">
        <f>$C213*INDEX(Curves!$AI$8:$AI$68,AA$4-$B213+1)</f>
        <v/>
      </c>
      <c r="AB213" s="153">
        <f>$C213*INDEX(Curves!$AI$8:$AI$68,AB$4-$B213+1)</f>
        <v/>
      </c>
      <c r="AC213" s="153">
        <f>$C213*INDEX(Curves!$AI$8:$AI$68,AC$4-$B213+1)</f>
        <v/>
      </c>
      <c r="AD213" s="153">
        <f>$C213*INDEX(Curves!$AI$8:$AI$68,AD$4-$B213+1)</f>
        <v/>
      </c>
      <c r="AE213" s="153">
        <f>$C213*INDEX(Curves!$AI$8:$AI$68,AE$4-$B213+1)</f>
        <v/>
      </c>
      <c r="AF213" s="153">
        <f>$C213*INDEX(Curves!$AI$8:$AI$68,AF$4-$B213+1)</f>
        <v/>
      </c>
      <c r="AG213" s="153">
        <f>$C213*INDEX(Curves!$AI$8:$AI$68,AG$4-$B213+1)</f>
        <v/>
      </c>
      <c r="AH213" s="153">
        <f>$C213*INDEX(Curves!$AI$8:$AI$68,AH$4-$B213+1)</f>
        <v/>
      </c>
      <c r="AI213" s="153">
        <f>$C213*INDEX(Curves!$AI$8:$AI$68,AI$4-$B213+1)</f>
        <v/>
      </c>
      <c r="AJ213" s="153">
        <f>$C213*INDEX(Curves!$AI$8:$AI$68,AJ$4-$B213+1)</f>
        <v/>
      </c>
      <c r="AK213" s="153">
        <f>$C213*INDEX(Curves!$AI$8:$AI$68,AK$4-$B213+1)</f>
        <v/>
      </c>
      <c r="AL213" s="153">
        <f>$C213*INDEX(Curves!$AI$8:$AI$68,AL$4-$B213+1)</f>
        <v/>
      </c>
      <c r="AM213" s="153">
        <f>$C213*INDEX(Curves!$AI$8:$AI$68,AM$4-$B213+1)</f>
        <v/>
      </c>
      <c r="AN213" s="153">
        <f>$C213*INDEX(Curves!$AI$8:$AI$68,AN$4-$B213+1)</f>
        <v/>
      </c>
      <c r="AO213" s="153">
        <f>$C213*INDEX(Curves!$AI$8:$AI$68,AO$4-$B213+1)</f>
        <v/>
      </c>
      <c r="AP213" s="153">
        <f>$C213*INDEX(Curves!$AI$8:$AI$68,AP$4-$B213+1)</f>
        <v/>
      </c>
      <c r="AQ213" s="153">
        <f>$C213*INDEX(Curves!$AI$8:$AI$68,AQ$4-$B213+1)</f>
        <v/>
      </c>
      <c r="AR213" s="153">
        <f>$C213*INDEX(Curves!$AI$8:$AI$68,AR$4-$B213+1)</f>
        <v/>
      </c>
      <c r="AS213" s="153">
        <f>$C213*INDEX(Curves!$AI$8:$AI$68,AS$4-$B213+1)</f>
        <v/>
      </c>
      <c r="AT213" s="153">
        <f>$C213*INDEX(Curves!$AI$8:$AI$68,AT$4-$B213+1)</f>
        <v/>
      </c>
      <c r="AU213" s="153">
        <f>$C213*INDEX(Curves!$AI$8:$AI$68,AU$4-$B213+1)</f>
        <v/>
      </c>
      <c r="AV213" s="153">
        <f>$C213*INDEX(Curves!$AI$8:$AI$68,AV$4-$B213+1)</f>
        <v/>
      </c>
      <c r="AW213" s="153">
        <f>$C213*INDEX(Curves!$AI$8:$AI$68,AW$4-$B213+1)</f>
        <v/>
      </c>
      <c r="AX213" s="153">
        <f>$C213*INDEX(Curves!$AI$8:$AI$68,AX$4-$B213+1)</f>
        <v/>
      </c>
      <c r="AY213" s="153">
        <f>$C213*INDEX(Curves!$AI$8:$AI$68,AY$4-$B213+1)</f>
        <v/>
      </c>
      <c r="AZ213" s="153">
        <f>$C213*INDEX(Curves!$AI$8:$AI$68,AZ$4-$B213+1)</f>
        <v/>
      </c>
      <c r="BA213" s="153">
        <f>$C213*INDEX(Curves!$AI$8:$AI$68,BA$4-$B213+1)</f>
        <v/>
      </c>
      <c r="BB213" s="153">
        <f>$C213*INDEX(Curves!$AI$8:$AI$68,BB$4-$B213+1)</f>
        <v/>
      </c>
      <c r="BC213" s="153">
        <f>$C213*INDEX(Curves!$AI$8:$AI$68,BC$4-$B213+1)</f>
        <v/>
      </c>
      <c r="BD213" s="153">
        <f>$C213*INDEX(Curves!$AI$8:$AI$68,BD$4-$B213+1)</f>
        <v/>
      </c>
      <c r="BE213" s="153">
        <f>$C213*INDEX(Curves!$AI$8:$AI$68,BE$4-$B213+1)</f>
        <v/>
      </c>
      <c r="BF213" s="153">
        <f>$C213*INDEX(Curves!$AI$8:$AI$68,BF$4-$B213+1)</f>
        <v/>
      </c>
      <c r="BG213" s="153">
        <f>$C213*INDEX(Curves!$AI$8:$AI$68,BG$4-$B213+1)</f>
        <v/>
      </c>
      <c r="BH213" s="153">
        <f>$C213*INDEX(Curves!$AI$8:$AI$68,BH$4-$B213+1)</f>
        <v/>
      </c>
      <c r="BI213" s="153">
        <f>$C213*INDEX(Curves!$AI$8:$AI$68,BI$4-$B213+1)</f>
        <v/>
      </c>
      <c r="BJ213" s="153">
        <f>$C213*INDEX(Curves!$AI$8:$AI$68,BJ$4-$B213+1)</f>
        <v/>
      </c>
      <c r="BK213" s="153">
        <f>$C213*INDEX(Curves!$AI$8:$AI$68,BK$4-$B213+1)</f>
        <v/>
      </c>
      <c r="BL213" s="153">
        <f>$C213*INDEX(Curves!$AI$8:$AI$68,BL$4-$B213+1)</f>
        <v/>
      </c>
    </row>
    <row r="214">
      <c r="A214" s="147" t="inlineStr">
        <is>
          <t>Cohort month 16</t>
        </is>
      </c>
      <c r="B214" s="147" t="n">
        <v>16</v>
      </c>
      <c r="C214" s="41">
        <f>INDEX(Ops!$E$60:$BL$60,1,$B214)</f>
        <v/>
      </c>
      <c r="U214" s="153">
        <f>$C214*INDEX(Curves!$AI$8:$AI$68,U$4-$B214+1)</f>
        <v/>
      </c>
      <c r="V214" s="153">
        <f>$C214*INDEX(Curves!$AI$8:$AI$68,V$4-$B214+1)</f>
        <v/>
      </c>
      <c r="W214" s="153">
        <f>$C214*INDEX(Curves!$AI$8:$AI$68,W$4-$B214+1)</f>
        <v/>
      </c>
      <c r="X214" s="153">
        <f>$C214*INDEX(Curves!$AI$8:$AI$68,X$4-$B214+1)</f>
        <v/>
      </c>
      <c r="Y214" s="153">
        <f>$C214*INDEX(Curves!$AI$8:$AI$68,Y$4-$B214+1)</f>
        <v/>
      </c>
      <c r="Z214" s="153">
        <f>$C214*INDEX(Curves!$AI$8:$AI$68,Z$4-$B214+1)</f>
        <v/>
      </c>
      <c r="AA214" s="153">
        <f>$C214*INDEX(Curves!$AI$8:$AI$68,AA$4-$B214+1)</f>
        <v/>
      </c>
      <c r="AB214" s="153">
        <f>$C214*INDEX(Curves!$AI$8:$AI$68,AB$4-$B214+1)</f>
        <v/>
      </c>
      <c r="AC214" s="153">
        <f>$C214*INDEX(Curves!$AI$8:$AI$68,AC$4-$B214+1)</f>
        <v/>
      </c>
      <c r="AD214" s="153">
        <f>$C214*INDEX(Curves!$AI$8:$AI$68,AD$4-$B214+1)</f>
        <v/>
      </c>
      <c r="AE214" s="153">
        <f>$C214*INDEX(Curves!$AI$8:$AI$68,AE$4-$B214+1)</f>
        <v/>
      </c>
      <c r="AF214" s="153">
        <f>$C214*INDEX(Curves!$AI$8:$AI$68,AF$4-$B214+1)</f>
        <v/>
      </c>
      <c r="AG214" s="153">
        <f>$C214*INDEX(Curves!$AI$8:$AI$68,AG$4-$B214+1)</f>
        <v/>
      </c>
      <c r="AH214" s="153">
        <f>$C214*INDEX(Curves!$AI$8:$AI$68,AH$4-$B214+1)</f>
        <v/>
      </c>
      <c r="AI214" s="153">
        <f>$C214*INDEX(Curves!$AI$8:$AI$68,AI$4-$B214+1)</f>
        <v/>
      </c>
      <c r="AJ214" s="153">
        <f>$C214*INDEX(Curves!$AI$8:$AI$68,AJ$4-$B214+1)</f>
        <v/>
      </c>
      <c r="AK214" s="153">
        <f>$C214*INDEX(Curves!$AI$8:$AI$68,AK$4-$B214+1)</f>
        <v/>
      </c>
      <c r="AL214" s="153">
        <f>$C214*INDEX(Curves!$AI$8:$AI$68,AL$4-$B214+1)</f>
        <v/>
      </c>
      <c r="AM214" s="153">
        <f>$C214*INDEX(Curves!$AI$8:$AI$68,AM$4-$B214+1)</f>
        <v/>
      </c>
      <c r="AN214" s="153">
        <f>$C214*INDEX(Curves!$AI$8:$AI$68,AN$4-$B214+1)</f>
        <v/>
      </c>
      <c r="AO214" s="153">
        <f>$C214*INDEX(Curves!$AI$8:$AI$68,AO$4-$B214+1)</f>
        <v/>
      </c>
      <c r="AP214" s="153">
        <f>$C214*INDEX(Curves!$AI$8:$AI$68,AP$4-$B214+1)</f>
        <v/>
      </c>
      <c r="AQ214" s="153">
        <f>$C214*INDEX(Curves!$AI$8:$AI$68,AQ$4-$B214+1)</f>
        <v/>
      </c>
      <c r="AR214" s="153">
        <f>$C214*INDEX(Curves!$AI$8:$AI$68,AR$4-$B214+1)</f>
        <v/>
      </c>
      <c r="AS214" s="153">
        <f>$C214*INDEX(Curves!$AI$8:$AI$68,AS$4-$B214+1)</f>
        <v/>
      </c>
      <c r="AT214" s="153">
        <f>$C214*INDEX(Curves!$AI$8:$AI$68,AT$4-$B214+1)</f>
        <v/>
      </c>
      <c r="AU214" s="153">
        <f>$C214*INDEX(Curves!$AI$8:$AI$68,AU$4-$B214+1)</f>
        <v/>
      </c>
      <c r="AV214" s="153">
        <f>$C214*INDEX(Curves!$AI$8:$AI$68,AV$4-$B214+1)</f>
        <v/>
      </c>
      <c r="AW214" s="153">
        <f>$C214*INDEX(Curves!$AI$8:$AI$68,AW$4-$B214+1)</f>
        <v/>
      </c>
      <c r="AX214" s="153">
        <f>$C214*INDEX(Curves!$AI$8:$AI$68,AX$4-$B214+1)</f>
        <v/>
      </c>
      <c r="AY214" s="153">
        <f>$C214*INDEX(Curves!$AI$8:$AI$68,AY$4-$B214+1)</f>
        <v/>
      </c>
      <c r="AZ214" s="153">
        <f>$C214*INDEX(Curves!$AI$8:$AI$68,AZ$4-$B214+1)</f>
        <v/>
      </c>
      <c r="BA214" s="153">
        <f>$C214*INDEX(Curves!$AI$8:$AI$68,BA$4-$B214+1)</f>
        <v/>
      </c>
      <c r="BB214" s="153">
        <f>$C214*INDEX(Curves!$AI$8:$AI$68,BB$4-$B214+1)</f>
        <v/>
      </c>
      <c r="BC214" s="153">
        <f>$C214*INDEX(Curves!$AI$8:$AI$68,BC$4-$B214+1)</f>
        <v/>
      </c>
      <c r="BD214" s="153">
        <f>$C214*INDEX(Curves!$AI$8:$AI$68,BD$4-$B214+1)</f>
        <v/>
      </c>
      <c r="BE214" s="153">
        <f>$C214*INDEX(Curves!$AI$8:$AI$68,BE$4-$B214+1)</f>
        <v/>
      </c>
      <c r="BF214" s="153">
        <f>$C214*INDEX(Curves!$AI$8:$AI$68,BF$4-$B214+1)</f>
        <v/>
      </c>
      <c r="BG214" s="153">
        <f>$C214*INDEX(Curves!$AI$8:$AI$68,BG$4-$B214+1)</f>
        <v/>
      </c>
      <c r="BH214" s="153">
        <f>$C214*INDEX(Curves!$AI$8:$AI$68,BH$4-$B214+1)</f>
        <v/>
      </c>
      <c r="BI214" s="153">
        <f>$C214*INDEX(Curves!$AI$8:$AI$68,BI$4-$B214+1)</f>
        <v/>
      </c>
      <c r="BJ214" s="153">
        <f>$C214*INDEX(Curves!$AI$8:$AI$68,BJ$4-$B214+1)</f>
        <v/>
      </c>
      <c r="BK214" s="153">
        <f>$C214*INDEX(Curves!$AI$8:$AI$68,BK$4-$B214+1)</f>
        <v/>
      </c>
      <c r="BL214" s="153">
        <f>$C214*INDEX(Curves!$AI$8:$AI$68,BL$4-$B214+1)</f>
        <v/>
      </c>
    </row>
    <row r="215">
      <c r="A215" s="147" t="inlineStr">
        <is>
          <t>Cohort month 17</t>
        </is>
      </c>
      <c r="B215" s="147" t="n">
        <v>17</v>
      </c>
      <c r="C215" s="41">
        <f>INDEX(Ops!$E$60:$BL$60,1,$B215)</f>
        <v/>
      </c>
      <c r="V215" s="153">
        <f>$C215*INDEX(Curves!$AI$8:$AI$68,V$4-$B215+1)</f>
        <v/>
      </c>
      <c r="W215" s="153">
        <f>$C215*INDEX(Curves!$AI$8:$AI$68,W$4-$B215+1)</f>
        <v/>
      </c>
      <c r="X215" s="153">
        <f>$C215*INDEX(Curves!$AI$8:$AI$68,X$4-$B215+1)</f>
        <v/>
      </c>
      <c r="Y215" s="153">
        <f>$C215*INDEX(Curves!$AI$8:$AI$68,Y$4-$B215+1)</f>
        <v/>
      </c>
      <c r="Z215" s="153">
        <f>$C215*INDEX(Curves!$AI$8:$AI$68,Z$4-$B215+1)</f>
        <v/>
      </c>
      <c r="AA215" s="153">
        <f>$C215*INDEX(Curves!$AI$8:$AI$68,AA$4-$B215+1)</f>
        <v/>
      </c>
      <c r="AB215" s="153">
        <f>$C215*INDEX(Curves!$AI$8:$AI$68,AB$4-$B215+1)</f>
        <v/>
      </c>
      <c r="AC215" s="153">
        <f>$C215*INDEX(Curves!$AI$8:$AI$68,AC$4-$B215+1)</f>
        <v/>
      </c>
      <c r="AD215" s="153">
        <f>$C215*INDEX(Curves!$AI$8:$AI$68,AD$4-$B215+1)</f>
        <v/>
      </c>
      <c r="AE215" s="153">
        <f>$C215*INDEX(Curves!$AI$8:$AI$68,AE$4-$B215+1)</f>
        <v/>
      </c>
      <c r="AF215" s="153">
        <f>$C215*INDEX(Curves!$AI$8:$AI$68,AF$4-$B215+1)</f>
        <v/>
      </c>
      <c r="AG215" s="153">
        <f>$C215*INDEX(Curves!$AI$8:$AI$68,AG$4-$B215+1)</f>
        <v/>
      </c>
      <c r="AH215" s="153">
        <f>$C215*INDEX(Curves!$AI$8:$AI$68,AH$4-$B215+1)</f>
        <v/>
      </c>
      <c r="AI215" s="153">
        <f>$C215*INDEX(Curves!$AI$8:$AI$68,AI$4-$B215+1)</f>
        <v/>
      </c>
      <c r="AJ215" s="153">
        <f>$C215*INDEX(Curves!$AI$8:$AI$68,AJ$4-$B215+1)</f>
        <v/>
      </c>
      <c r="AK215" s="153">
        <f>$C215*INDEX(Curves!$AI$8:$AI$68,AK$4-$B215+1)</f>
        <v/>
      </c>
      <c r="AL215" s="153">
        <f>$C215*INDEX(Curves!$AI$8:$AI$68,AL$4-$B215+1)</f>
        <v/>
      </c>
      <c r="AM215" s="153">
        <f>$C215*INDEX(Curves!$AI$8:$AI$68,AM$4-$B215+1)</f>
        <v/>
      </c>
      <c r="AN215" s="153">
        <f>$C215*INDEX(Curves!$AI$8:$AI$68,AN$4-$B215+1)</f>
        <v/>
      </c>
      <c r="AO215" s="153">
        <f>$C215*INDEX(Curves!$AI$8:$AI$68,AO$4-$B215+1)</f>
        <v/>
      </c>
      <c r="AP215" s="153">
        <f>$C215*INDEX(Curves!$AI$8:$AI$68,AP$4-$B215+1)</f>
        <v/>
      </c>
      <c r="AQ215" s="153">
        <f>$C215*INDEX(Curves!$AI$8:$AI$68,AQ$4-$B215+1)</f>
        <v/>
      </c>
      <c r="AR215" s="153">
        <f>$C215*INDEX(Curves!$AI$8:$AI$68,AR$4-$B215+1)</f>
        <v/>
      </c>
      <c r="AS215" s="153">
        <f>$C215*INDEX(Curves!$AI$8:$AI$68,AS$4-$B215+1)</f>
        <v/>
      </c>
      <c r="AT215" s="153">
        <f>$C215*INDEX(Curves!$AI$8:$AI$68,AT$4-$B215+1)</f>
        <v/>
      </c>
      <c r="AU215" s="153">
        <f>$C215*INDEX(Curves!$AI$8:$AI$68,AU$4-$B215+1)</f>
        <v/>
      </c>
      <c r="AV215" s="153">
        <f>$C215*INDEX(Curves!$AI$8:$AI$68,AV$4-$B215+1)</f>
        <v/>
      </c>
      <c r="AW215" s="153">
        <f>$C215*INDEX(Curves!$AI$8:$AI$68,AW$4-$B215+1)</f>
        <v/>
      </c>
      <c r="AX215" s="153">
        <f>$C215*INDEX(Curves!$AI$8:$AI$68,AX$4-$B215+1)</f>
        <v/>
      </c>
      <c r="AY215" s="153">
        <f>$C215*INDEX(Curves!$AI$8:$AI$68,AY$4-$B215+1)</f>
        <v/>
      </c>
      <c r="AZ215" s="153">
        <f>$C215*INDEX(Curves!$AI$8:$AI$68,AZ$4-$B215+1)</f>
        <v/>
      </c>
      <c r="BA215" s="153">
        <f>$C215*INDEX(Curves!$AI$8:$AI$68,BA$4-$B215+1)</f>
        <v/>
      </c>
      <c r="BB215" s="153">
        <f>$C215*INDEX(Curves!$AI$8:$AI$68,BB$4-$B215+1)</f>
        <v/>
      </c>
      <c r="BC215" s="153">
        <f>$C215*INDEX(Curves!$AI$8:$AI$68,BC$4-$B215+1)</f>
        <v/>
      </c>
      <c r="BD215" s="153">
        <f>$C215*INDEX(Curves!$AI$8:$AI$68,BD$4-$B215+1)</f>
        <v/>
      </c>
      <c r="BE215" s="153">
        <f>$C215*INDEX(Curves!$AI$8:$AI$68,BE$4-$B215+1)</f>
        <v/>
      </c>
      <c r="BF215" s="153">
        <f>$C215*INDEX(Curves!$AI$8:$AI$68,BF$4-$B215+1)</f>
        <v/>
      </c>
      <c r="BG215" s="153">
        <f>$C215*INDEX(Curves!$AI$8:$AI$68,BG$4-$B215+1)</f>
        <v/>
      </c>
      <c r="BH215" s="153">
        <f>$C215*INDEX(Curves!$AI$8:$AI$68,BH$4-$B215+1)</f>
        <v/>
      </c>
      <c r="BI215" s="153">
        <f>$C215*INDEX(Curves!$AI$8:$AI$68,BI$4-$B215+1)</f>
        <v/>
      </c>
      <c r="BJ215" s="153">
        <f>$C215*INDEX(Curves!$AI$8:$AI$68,BJ$4-$B215+1)</f>
        <v/>
      </c>
      <c r="BK215" s="153">
        <f>$C215*INDEX(Curves!$AI$8:$AI$68,BK$4-$B215+1)</f>
        <v/>
      </c>
      <c r="BL215" s="153">
        <f>$C215*INDEX(Curves!$AI$8:$AI$68,BL$4-$B215+1)</f>
        <v/>
      </c>
    </row>
    <row r="216">
      <c r="A216" s="147" t="inlineStr">
        <is>
          <t>Cohort month 18</t>
        </is>
      </c>
      <c r="B216" s="147" t="n">
        <v>18</v>
      </c>
      <c r="C216" s="41">
        <f>INDEX(Ops!$E$60:$BL$60,1,$B216)</f>
        <v/>
      </c>
      <c r="W216" s="153">
        <f>$C216*INDEX(Curves!$AI$8:$AI$68,W$4-$B216+1)</f>
        <v/>
      </c>
      <c r="X216" s="153">
        <f>$C216*INDEX(Curves!$AI$8:$AI$68,X$4-$B216+1)</f>
        <v/>
      </c>
      <c r="Y216" s="153">
        <f>$C216*INDEX(Curves!$AI$8:$AI$68,Y$4-$B216+1)</f>
        <v/>
      </c>
      <c r="Z216" s="153">
        <f>$C216*INDEX(Curves!$AI$8:$AI$68,Z$4-$B216+1)</f>
        <v/>
      </c>
      <c r="AA216" s="153">
        <f>$C216*INDEX(Curves!$AI$8:$AI$68,AA$4-$B216+1)</f>
        <v/>
      </c>
      <c r="AB216" s="153">
        <f>$C216*INDEX(Curves!$AI$8:$AI$68,AB$4-$B216+1)</f>
        <v/>
      </c>
      <c r="AC216" s="153">
        <f>$C216*INDEX(Curves!$AI$8:$AI$68,AC$4-$B216+1)</f>
        <v/>
      </c>
      <c r="AD216" s="153">
        <f>$C216*INDEX(Curves!$AI$8:$AI$68,AD$4-$B216+1)</f>
        <v/>
      </c>
      <c r="AE216" s="153">
        <f>$C216*INDEX(Curves!$AI$8:$AI$68,AE$4-$B216+1)</f>
        <v/>
      </c>
      <c r="AF216" s="153">
        <f>$C216*INDEX(Curves!$AI$8:$AI$68,AF$4-$B216+1)</f>
        <v/>
      </c>
      <c r="AG216" s="153">
        <f>$C216*INDEX(Curves!$AI$8:$AI$68,AG$4-$B216+1)</f>
        <v/>
      </c>
      <c r="AH216" s="153">
        <f>$C216*INDEX(Curves!$AI$8:$AI$68,AH$4-$B216+1)</f>
        <v/>
      </c>
      <c r="AI216" s="153">
        <f>$C216*INDEX(Curves!$AI$8:$AI$68,AI$4-$B216+1)</f>
        <v/>
      </c>
      <c r="AJ216" s="153">
        <f>$C216*INDEX(Curves!$AI$8:$AI$68,AJ$4-$B216+1)</f>
        <v/>
      </c>
      <c r="AK216" s="153">
        <f>$C216*INDEX(Curves!$AI$8:$AI$68,AK$4-$B216+1)</f>
        <v/>
      </c>
      <c r="AL216" s="153">
        <f>$C216*INDEX(Curves!$AI$8:$AI$68,AL$4-$B216+1)</f>
        <v/>
      </c>
      <c r="AM216" s="153">
        <f>$C216*INDEX(Curves!$AI$8:$AI$68,AM$4-$B216+1)</f>
        <v/>
      </c>
      <c r="AN216" s="153">
        <f>$C216*INDEX(Curves!$AI$8:$AI$68,AN$4-$B216+1)</f>
        <v/>
      </c>
      <c r="AO216" s="153">
        <f>$C216*INDEX(Curves!$AI$8:$AI$68,AO$4-$B216+1)</f>
        <v/>
      </c>
      <c r="AP216" s="153">
        <f>$C216*INDEX(Curves!$AI$8:$AI$68,AP$4-$B216+1)</f>
        <v/>
      </c>
      <c r="AQ216" s="153">
        <f>$C216*INDEX(Curves!$AI$8:$AI$68,AQ$4-$B216+1)</f>
        <v/>
      </c>
      <c r="AR216" s="153">
        <f>$C216*INDEX(Curves!$AI$8:$AI$68,AR$4-$B216+1)</f>
        <v/>
      </c>
      <c r="AS216" s="153">
        <f>$C216*INDEX(Curves!$AI$8:$AI$68,AS$4-$B216+1)</f>
        <v/>
      </c>
      <c r="AT216" s="153">
        <f>$C216*INDEX(Curves!$AI$8:$AI$68,AT$4-$B216+1)</f>
        <v/>
      </c>
      <c r="AU216" s="153">
        <f>$C216*INDEX(Curves!$AI$8:$AI$68,AU$4-$B216+1)</f>
        <v/>
      </c>
      <c r="AV216" s="153">
        <f>$C216*INDEX(Curves!$AI$8:$AI$68,AV$4-$B216+1)</f>
        <v/>
      </c>
      <c r="AW216" s="153">
        <f>$C216*INDEX(Curves!$AI$8:$AI$68,AW$4-$B216+1)</f>
        <v/>
      </c>
      <c r="AX216" s="153">
        <f>$C216*INDEX(Curves!$AI$8:$AI$68,AX$4-$B216+1)</f>
        <v/>
      </c>
      <c r="AY216" s="153">
        <f>$C216*INDEX(Curves!$AI$8:$AI$68,AY$4-$B216+1)</f>
        <v/>
      </c>
      <c r="AZ216" s="153">
        <f>$C216*INDEX(Curves!$AI$8:$AI$68,AZ$4-$B216+1)</f>
        <v/>
      </c>
      <c r="BA216" s="153">
        <f>$C216*INDEX(Curves!$AI$8:$AI$68,BA$4-$B216+1)</f>
        <v/>
      </c>
      <c r="BB216" s="153">
        <f>$C216*INDEX(Curves!$AI$8:$AI$68,BB$4-$B216+1)</f>
        <v/>
      </c>
      <c r="BC216" s="153">
        <f>$C216*INDEX(Curves!$AI$8:$AI$68,BC$4-$B216+1)</f>
        <v/>
      </c>
      <c r="BD216" s="153">
        <f>$C216*INDEX(Curves!$AI$8:$AI$68,BD$4-$B216+1)</f>
        <v/>
      </c>
      <c r="BE216" s="153">
        <f>$C216*INDEX(Curves!$AI$8:$AI$68,BE$4-$B216+1)</f>
        <v/>
      </c>
      <c r="BF216" s="153">
        <f>$C216*INDEX(Curves!$AI$8:$AI$68,BF$4-$B216+1)</f>
        <v/>
      </c>
      <c r="BG216" s="153">
        <f>$C216*INDEX(Curves!$AI$8:$AI$68,BG$4-$B216+1)</f>
        <v/>
      </c>
      <c r="BH216" s="153">
        <f>$C216*INDEX(Curves!$AI$8:$AI$68,BH$4-$B216+1)</f>
        <v/>
      </c>
      <c r="BI216" s="153">
        <f>$C216*INDEX(Curves!$AI$8:$AI$68,BI$4-$B216+1)</f>
        <v/>
      </c>
      <c r="BJ216" s="153">
        <f>$C216*INDEX(Curves!$AI$8:$AI$68,BJ$4-$B216+1)</f>
        <v/>
      </c>
      <c r="BK216" s="153">
        <f>$C216*INDEX(Curves!$AI$8:$AI$68,BK$4-$B216+1)</f>
        <v/>
      </c>
      <c r="BL216" s="153">
        <f>$C216*INDEX(Curves!$AI$8:$AI$68,BL$4-$B216+1)</f>
        <v/>
      </c>
    </row>
    <row r="217">
      <c r="A217" s="147" t="inlineStr">
        <is>
          <t>Cohort month 19</t>
        </is>
      </c>
      <c r="B217" s="147" t="n">
        <v>19</v>
      </c>
      <c r="C217" s="41">
        <f>INDEX(Ops!$E$60:$BL$60,1,$B217)</f>
        <v/>
      </c>
      <c r="X217" s="153">
        <f>$C217*INDEX(Curves!$AI$8:$AI$68,X$4-$B217+1)</f>
        <v/>
      </c>
      <c r="Y217" s="153">
        <f>$C217*INDEX(Curves!$AI$8:$AI$68,Y$4-$B217+1)</f>
        <v/>
      </c>
      <c r="Z217" s="153">
        <f>$C217*INDEX(Curves!$AI$8:$AI$68,Z$4-$B217+1)</f>
        <v/>
      </c>
      <c r="AA217" s="153">
        <f>$C217*INDEX(Curves!$AI$8:$AI$68,AA$4-$B217+1)</f>
        <v/>
      </c>
      <c r="AB217" s="153">
        <f>$C217*INDEX(Curves!$AI$8:$AI$68,AB$4-$B217+1)</f>
        <v/>
      </c>
      <c r="AC217" s="153">
        <f>$C217*INDEX(Curves!$AI$8:$AI$68,AC$4-$B217+1)</f>
        <v/>
      </c>
      <c r="AD217" s="153">
        <f>$C217*INDEX(Curves!$AI$8:$AI$68,AD$4-$B217+1)</f>
        <v/>
      </c>
      <c r="AE217" s="153">
        <f>$C217*INDEX(Curves!$AI$8:$AI$68,AE$4-$B217+1)</f>
        <v/>
      </c>
      <c r="AF217" s="153">
        <f>$C217*INDEX(Curves!$AI$8:$AI$68,AF$4-$B217+1)</f>
        <v/>
      </c>
      <c r="AG217" s="153">
        <f>$C217*INDEX(Curves!$AI$8:$AI$68,AG$4-$B217+1)</f>
        <v/>
      </c>
      <c r="AH217" s="153">
        <f>$C217*INDEX(Curves!$AI$8:$AI$68,AH$4-$B217+1)</f>
        <v/>
      </c>
      <c r="AI217" s="153">
        <f>$C217*INDEX(Curves!$AI$8:$AI$68,AI$4-$B217+1)</f>
        <v/>
      </c>
      <c r="AJ217" s="153">
        <f>$C217*INDEX(Curves!$AI$8:$AI$68,AJ$4-$B217+1)</f>
        <v/>
      </c>
      <c r="AK217" s="153">
        <f>$C217*INDEX(Curves!$AI$8:$AI$68,AK$4-$B217+1)</f>
        <v/>
      </c>
      <c r="AL217" s="153">
        <f>$C217*INDEX(Curves!$AI$8:$AI$68,AL$4-$B217+1)</f>
        <v/>
      </c>
      <c r="AM217" s="153">
        <f>$C217*INDEX(Curves!$AI$8:$AI$68,AM$4-$B217+1)</f>
        <v/>
      </c>
      <c r="AN217" s="153">
        <f>$C217*INDEX(Curves!$AI$8:$AI$68,AN$4-$B217+1)</f>
        <v/>
      </c>
      <c r="AO217" s="153">
        <f>$C217*INDEX(Curves!$AI$8:$AI$68,AO$4-$B217+1)</f>
        <v/>
      </c>
      <c r="AP217" s="153">
        <f>$C217*INDEX(Curves!$AI$8:$AI$68,AP$4-$B217+1)</f>
        <v/>
      </c>
      <c r="AQ217" s="153">
        <f>$C217*INDEX(Curves!$AI$8:$AI$68,AQ$4-$B217+1)</f>
        <v/>
      </c>
      <c r="AR217" s="153">
        <f>$C217*INDEX(Curves!$AI$8:$AI$68,AR$4-$B217+1)</f>
        <v/>
      </c>
      <c r="AS217" s="153">
        <f>$C217*INDEX(Curves!$AI$8:$AI$68,AS$4-$B217+1)</f>
        <v/>
      </c>
      <c r="AT217" s="153">
        <f>$C217*INDEX(Curves!$AI$8:$AI$68,AT$4-$B217+1)</f>
        <v/>
      </c>
      <c r="AU217" s="153">
        <f>$C217*INDEX(Curves!$AI$8:$AI$68,AU$4-$B217+1)</f>
        <v/>
      </c>
      <c r="AV217" s="153">
        <f>$C217*INDEX(Curves!$AI$8:$AI$68,AV$4-$B217+1)</f>
        <v/>
      </c>
      <c r="AW217" s="153">
        <f>$C217*INDEX(Curves!$AI$8:$AI$68,AW$4-$B217+1)</f>
        <v/>
      </c>
      <c r="AX217" s="153">
        <f>$C217*INDEX(Curves!$AI$8:$AI$68,AX$4-$B217+1)</f>
        <v/>
      </c>
      <c r="AY217" s="153">
        <f>$C217*INDEX(Curves!$AI$8:$AI$68,AY$4-$B217+1)</f>
        <v/>
      </c>
      <c r="AZ217" s="153">
        <f>$C217*INDEX(Curves!$AI$8:$AI$68,AZ$4-$B217+1)</f>
        <v/>
      </c>
      <c r="BA217" s="153">
        <f>$C217*INDEX(Curves!$AI$8:$AI$68,BA$4-$B217+1)</f>
        <v/>
      </c>
      <c r="BB217" s="153">
        <f>$C217*INDEX(Curves!$AI$8:$AI$68,BB$4-$B217+1)</f>
        <v/>
      </c>
      <c r="BC217" s="153">
        <f>$C217*INDEX(Curves!$AI$8:$AI$68,BC$4-$B217+1)</f>
        <v/>
      </c>
      <c r="BD217" s="153">
        <f>$C217*INDEX(Curves!$AI$8:$AI$68,BD$4-$B217+1)</f>
        <v/>
      </c>
      <c r="BE217" s="153">
        <f>$C217*INDEX(Curves!$AI$8:$AI$68,BE$4-$B217+1)</f>
        <v/>
      </c>
      <c r="BF217" s="153">
        <f>$C217*INDEX(Curves!$AI$8:$AI$68,BF$4-$B217+1)</f>
        <v/>
      </c>
      <c r="BG217" s="153">
        <f>$C217*INDEX(Curves!$AI$8:$AI$68,BG$4-$B217+1)</f>
        <v/>
      </c>
      <c r="BH217" s="153">
        <f>$C217*INDEX(Curves!$AI$8:$AI$68,BH$4-$B217+1)</f>
        <v/>
      </c>
      <c r="BI217" s="153">
        <f>$C217*INDEX(Curves!$AI$8:$AI$68,BI$4-$B217+1)</f>
        <v/>
      </c>
      <c r="BJ217" s="153">
        <f>$C217*INDEX(Curves!$AI$8:$AI$68,BJ$4-$B217+1)</f>
        <v/>
      </c>
      <c r="BK217" s="153">
        <f>$C217*INDEX(Curves!$AI$8:$AI$68,BK$4-$B217+1)</f>
        <v/>
      </c>
      <c r="BL217" s="153">
        <f>$C217*INDEX(Curves!$AI$8:$AI$68,BL$4-$B217+1)</f>
        <v/>
      </c>
    </row>
    <row r="218">
      <c r="A218" s="147" t="inlineStr">
        <is>
          <t>Cohort month 20</t>
        </is>
      </c>
      <c r="B218" s="147" t="n">
        <v>20</v>
      </c>
      <c r="C218" s="41">
        <f>INDEX(Ops!$E$60:$BL$60,1,$B218)</f>
        <v/>
      </c>
      <c r="Y218" s="153">
        <f>$C218*INDEX(Curves!$AI$8:$AI$68,Y$4-$B218+1)</f>
        <v/>
      </c>
      <c r="Z218" s="153">
        <f>$C218*INDEX(Curves!$AI$8:$AI$68,Z$4-$B218+1)</f>
        <v/>
      </c>
      <c r="AA218" s="153">
        <f>$C218*INDEX(Curves!$AI$8:$AI$68,AA$4-$B218+1)</f>
        <v/>
      </c>
      <c r="AB218" s="153">
        <f>$C218*INDEX(Curves!$AI$8:$AI$68,AB$4-$B218+1)</f>
        <v/>
      </c>
      <c r="AC218" s="153">
        <f>$C218*INDEX(Curves!$AI$8:$AI$68,AC$4-$B218+1)</f>
        <v/>
      </c>
      <c r="AD218" s="153">
        <f>$C218*INDEX(Curves!$AI$8:$AI$68,AD$4-$B218+1)</f>
        <v/>
      </c>
      <c r="AE218" s="153">
        <f>$C218*INDEX(Curves!$AI$8:$AI$68,AE$4-$B218+1)</f>
        <v/>
      </c>
      <c r="AF218" s="153">
        <f>$C218*INDEX(Curves!$AI$8:$AI$68,AF$4-$B218+1)</f>
        <v/>
      </c>
      <c r="AG218" s="153">
        <f>$C218*INDEX(Curves!$AI$8:$AI$68,AG$4-$B218+1)</f>
        <v/>
      </c>
      <c r="AH218" s="153">
        <f>$C218*INDEX(Curves!$AI$8:$AI$68,AH$4-$B218+1)</f>
        <v/>
      </c>
      <c r="AI218" s="153">
        <f>$C218*INDEX(Curves!$AI$8:$AI$68,AI$4-$B218+1)</f>
        <v/>
      </c>
      <c r="AJ218" s="153">
        <f>$C218*INDEX(Curves!$AI$8:$AI$68,AJ$4-$B218+1)</f>
        <v/>
      </c>
      <c r="AK218" s="153">
        <f>$C218*INDEX(Curves!$AI$8:$AI$68,AK$4-$B218+1)</f>
        <v/>
      </c>
      <c r="AL218" s="153">
        <f>$C218*INDEX(Curves!$AI$8:$AI$68,AL$4-$B218+1)</f>
        <v/>
      </c>
      <c r="AM218" s="153">
        <f>$C218*INDEX(Curves!$AI$8:$AI$68,AM$4-$B218+1)</f>
        <v/>
      </c>
      <c r="AN218" s="153">
        <f>$C218*INDEX(Curves!$AI$8:$AI$68,AN$4-$B218+1)</f>
        <v/>
      </c>
      <c r="AO218" s="153">
        <f>$C218*INDEX(Curves!$AI$8:$AI$68,AO$4-$B218+1)</f>
        <v/>
      </c>
      <c r="AP218" s="153">
        <f>$C218*INDEX(Curves!$AI$8:$AI$68,AP$4-$B218+1)</f>
        <v/>
      </c>
      <c r="AQ218" s="153">
        <f>$C218*INDEX(Curves!$AI$8:$AI$68,AQ$4-$B218+1)</f>
        <v/>
      </c>
      <c r="AR218" s="153">
        <f>$C218*INDEX(Curves!$AI$8:$AI$68,AR$4-$B218+1)</f>
        <v/>
      </c>
      <c r="AS218" s="153">
        <f>$C218*INDEX(Curves!$AI$8:$AI$68,AS$4-$B218+1)</f>
        <v/>
      </c>
      <c r="AT218" s="153">
        <f>$C218*INDEX(Curves!$AI$8:$AI$68,AT$4-$B218+1)</f>
        <v/>
      </c>
      <c r="AU218" s="153">
        <f>$C218*INDEX(Curves!$AI$8:$AI$68,AU$4-$B218+1)</f>
        <v/>
      </c>
      <c r="AV218" s="153">
        <f>$C218*INDEX(Curves!$AI$8:$AI$68,AV$4-$B218+1)</f>
        <v/>
      </c>
      <c r="AW218" s="153">
        <f>$C218*INDEX(Curves!$AI$8:$AI$68,AW$4-$B218+1)</f>
        <v/>
      </c>
      <c r="AX218" s="153">
        <f>$C218*INDEX(Curves!$AI$8:$AI$68,AX$4-$B218+1)</f>
        <v/>
      </c>
      <c r="AY218" s="153">
        <f>$C218*INDEX(Curves!$AI$8:$AI$68,AY$4-$B218+1)</f>
        <v/>
      </c>
      <c r="AZ218" s="153">
        <f>$C218*INDEX(Curves!$AI$8:$AI$68,AZ$4-$B218+1)</f>
        <v/>
      </c>
      <c r="BA218" s="153">
        <f>$C218*INDEX(Curves!$AI$8:$AI$68,BA$4-$B218+1)</f>
        <v/>
      </c>
      <c r="BB218" s="153">
        <f>$C218*INDEX(Curves!$AI$8:$AI$68,BB$4-$B218+1)</f>
        <v/>
      </c>
      <c r="BC218" s="153">
        <f>$C218*INDEX(Curves!$AI$8:$AI$68,BC$4-$B218+1)</f>
        <v/>
      </c>
      <c r="BD218" s="153">
        <f>$C218*INDEX(Curves!$AI$8:$AI$68,BD$4-$B218+1)</f>
        <v/>
      </c>
      <c r="BE218" s="153">
        <f>$C218*INDEX(Curves!$AI$8:$AI$68,BE$4-$B218+1)</f>
        <v/>
      </c>
      <c r="BF218" s="153">
        <f>$C218*INDEX(Curves!$AI$8:$AI$68,BF$4-$B218+1)</f>
        <v/>
      </c>
      <c r="BG218" s="153">
        <f>$C218*INDEX(Curves!$AI$8:$AI$68,BG$4-$B218+1)</f>
        <v/>
      </c>
      <c r="BH218" s="153">
        <f>$C218*INDEX(Curves!$AI$8:$AI$68,BH$4-$B218+1)</f>
        <v/>
      </c>
      <c r="BI218" s="153">
        <f>$C218*INDEX(Curves!$AI$8:$AI$68,BI$4-$B218+1)</f>
        <v/>
      </c>
      <c r="BJ218" s="153">
        <f>$C218*INDEX(Curves!$AI$8:$AI$68,BJ$4-$B218+1)</f>
        <v/>
      </c>
      <c r="BK218" s="153">
        <f>$C218*INDEX(Curves!$AI$8:$AI$68,BK$4-$B218+1)</f>
        <v/>
      </c>
      <c r="BL218" s="153">
        <f>$C218*INDEX(Curves!$AI$8:$AI$68,BL$4-$B218+1)</f>
        <v/>
      </c>
    </row>
    <row r="219">
      <c r="A219" s="147" t="inlineStr">
        <is>
          <t>Cohort month 21</t>
        </is>
      </c>
      <c r="B219" s="147" t="n">
        <v>21</v>
      </c>
      <c r="C219" s="41">
        <f>INDEX(Ops!$E$60:$BL$60,1,$B219)</f>
        <v/>
      </c>
      <c r="Z219" s="153">
        <f>$C219*INDEX(Curves!$AI$8:$AI$68,Z$4-$B219+1)</f>
        <v/>
      </c>
      <c r="AA219" s="153">
        <f>$C219*INDEX(Curves!$AI$8:$AI$68,AA$4-$B219+1)</f>
        <v/>
      </c>
      <c r="AB219" s="153">
        <f>$C219*INDEX(Curves!$AI$8:$AI$68,AB$4-$B219+1)</f>
        <v/>
      </c>
      <c r="AC219" s="153">
        <f>$C219*INDEX(Curves!$AI$8:$AI$68,AC$4-$B219+1)</f>
        <v/>
      </c>
      <c r="AD219" s="153">
        <f>$C219*INDEX(Curves!$AI$8:$AI$68,AD$4-$B219+1)</f>
        <v/>
      </c>
      <c r="AE219" s="153">
        <f>$C219*INDEX(Curves!$AI$8:$AI$68,AE$4-$B219+1)</f>
        <v/>
      </c>
      <c r="AF219" s="153">
        <f>$C219*INDEX(Curves!$AI$8:$AI$68,AF$4-$B219+1)</f>
        <v/>
      </c>
      <c r="AG219" s="153">
        <f>$C219*INDEX(Curves!$AI$8:$AI$68,AG$4-$B219+1)</f>
        <v/>
      </c>
      <c r="AH219" s="153">
        <f>$C219*INDEX(Curves!$AI$8:$AI$68,AH$4-$B219+1)</f>
        <v/>
      </c>
      <c r="AI219" s="153">
        <f>$C219*INDEX(Curves!$AI$8:$AI$68,AI$4-$B219+1)</f>
        <v/>
      </c>
      <c r="AJ219" s="153">
        <f>$C219*INDEX(Curves!$AI$8:$AI$68,AJ$4-$B219+1)</f>
        <v/>
      </c>
      <c r="AK219" s="153">
        <f>$C219*INDEX(Curves!$AI$8:$AI$68,AK$4-$B219+1)</f>
        <v/>
      </c>
      <c r="AL219" s="153">
        <f>$C219*INDEX(Curves!$AI$8:$AI$68,AL$4-$B219+1)</f>
        <v/>
      </c>
      <c r="AM219" s="153">
        <f>$C219*INDEX(Curves!$AI$8:$AI$68,AM$4-$B219+1)</f>
        <v/>
      </c>
      <c r="AN219" s="153">
        <f>$C219*INDEX(Curves!$AI$8:$AI$68,AN$4-$B219+1)</f>
        <v/>
      </c>
      <c r="AO219" s="153">
        <f>$C219*INDEX(Curves!$AI$8:$AI$68,AO$4-$B219+1)</f>
        <v/>
      </c>
      <c r="AP219" s="153">
        <f>$C219*INDEX(Curves!$AI$8:$AI$68,AP$4-$B219+1)</f>
        <v/>
      </c>
      <c r="AQ219" s="153">
        <f>$C219*INDEX(Curves!$AI$8:$AI$68,AQ$4-$B219+1)</f>
        <v/>
      </c>
      <c r="AR219" s="153">
        <f>$C219*INDEX(Curves!$AI$8:$AI$68,AR$4-$B219+1)</f>
        <v/>
      </c>
      <c r="AS219" s="153">
        <f>$C219*INDEX(Curves!$AI$8:$AI$68,AS$4-$B219+1)</f>
        <v/>
      </c>
      <c r="AT219" s="153">
        <f>$C219*INDEX(Curves!$AI$8:$AI$68,AT$4-$B219+1)</f>
        <v/>
      </c>
      <c r="AU219" s="153">
        <f>$C219*INDEX(Curves!$AI$8:$AI$68,AU$4-$B219+1)</f>
        <v/>
      </c>
      <c r="AV219" s="153">
        <f>$C219*INDEX(Curves!$AI$8:$AI$68,AV$4-$B219+1)</f>
        <v/>
      </c>
      <c r="AW219" s="153">
        <f>$C219*INDEX(Curves!$AI$8:$AI$68,AW$4-$B219+1)</f>
        <v/>
      </c>
      <c r="AX219" s="153">
        <f>$C219*INDEX(Curves!$AI$8:$AI$68,AX$4-$B219+1)</f>
        <v/>
      </c>
      <c r="AY219" s="153">
        <f>$C219*INDEX(Curves!$AI$8:$AI$68,AY$4-$B219+1)</f>
        <v/>
      </c>
      <c r="AZ219" s="153">
        <f>$C219*INDEX(Curves!$AI$8:$AI$68,AZ$4-$B219+1)</f>
        <v/>
      </c>
      <c r="BA219" s="153">
        <f>$C219*INDEX(Curves!$AI$8:$AI$68,BA$4-$B219+1)</f>
        <v/>
      </c>
      <c r="BB219" s="153">
        <f>$C219*INDEX(Curves!$AI$8:$AI$68,BB$4-$B219+1)</f>
        <v/>
      </c>
      <c r="BC219" s="153">
        <f>$C219*INDEX(Curves!$AI$8:$AI$68,BC$4-$B219+1)</f>
        <v/>
      </c>
      <c r="BD219" s="153">
        <f>$C219*INDEX(Curves!$AI$8:$AI$68,BD$4-$B219+1)</f>
        <v/>
      </c>
      <c r="BE219" s="153">
        <f>$C219*INDEX(Curves!$AI$8:$AI$68,BE$4-$B219+1)</f>
        <v/>
      </c>
      <c r="BF219" s="153">
        <f>$C219*INDEX(Curves!$AI$8:$AI$68,BF$4-$B219+1)</f>
        <v/>
      </c>
      <c r="BG219" s="153">
        <f>$C219*INDEX(Curves!$AI$8:$AI$68,BG$4-$B219+1)</f>
        <v/>
      </c>
      <c r="BH219" s="153">
        <f>$C219*INDEX(Curves!$AI$8:$AI$68,BH$4-$B219+1)</f>
        <v/>
      </c>
      <c r="BI219" s="153">
        <f>$C219*INDEX(Curves!$AI$8:$AI$68,BI$4-$B219+1)</f>
        <v/>
      </c>
      <c r="BJ219" s="153">
        <f>$C219*INDEX(Curves!$AI$8:$AI$68,BJ$4-$B219+1)</f>
        <v/>
      </c>
      <c r="BK219" s="153">
        <f>$C219*INDEX(Curves!$AI$8:$AI$68,BK$4-$B219+1)</f>
        <v/>
      </c>
      <c r="BL219" s="153">
        <f>$C219*INDEX(Curves!$AI$8:$AI$68,BL$4-$B219+1)</f>
        <v/>
      </c>
    </row>
    <row r="220">
      <c r="A220" s="147" t="inlineStr">
        <is>
          <t>Cohort month 22</t>
        </is>
      </c>
      <c r="B220" s="147" t="n">
        <v>22</v>
      </c>
      <c r="C220" s="41">
        <f>INDEX(Ops!$E$60:$BL$60,1,$B220)</f>
        <v/>
      </c>
      <c r="AA220" s="153">
        <f>$C220*INDEX(Curves!$AI$8:$AI$68,AA$4-$B220+1)</f>
        <v/>
      </c>
      <c r="AB220" s="153">
        <f>$C220*INDEX(Curves!$AI$8:$AI$68,AB$4-$B220+1)</f>
        <v/>
      </c>
      <c r="AC220" s="153">
        <f>$C220*INDEX(Curves!$AI$8:$AI$68,AC$4-$B220+1)</f>
        <v/>
      </c>
      <c r="AD220" s="153">
        <f>$C220*INDEX(Curves!$AI$8:$AI$68,AD$4-$B220+1)</f>
        <v/>
      </c>
      <c r="AE220" s="153">
        <f>$C220*INDEX(Curves!$AI$8:$AI$68,AE$4-$B220+1)</f>
        <v/>
      </c>
      <c r="AF220" s="153">
        <f>$C220*INDEX(Curves!$AI$8:$AI$68,AF$4-$B220+1)</f>
        <v/>
      </c>
      <c r="AG220" s="153">
        <f>$C220*INDEX(Curves!$AI$8:$AI$68,AG$4-$B220+1)</f>
        <v/>
      </c>
      <c r="AH220" s="153">
        <f>$C220*INDEX(Curves!$AI$8:$AI$68,AH$4-$B220+1)</f>
        <v/>
      </c>
      <c r="AI220" s="153">
        <f>$C220*INDEX(Curves!$AI$8:$AI$68,AI$4-$B220+1)</f>
        <v/>
      </c>
      <c r="AJ220" s="153">
        <f>$C220*INDEX(Curves!$AI$8:$AI$68,AJ$4-$B220+1)</f>
        <v/>
      </c>
      <c r="AK220" s="153">
        <f>$C220*INDEX(Curves!$AI$8:$AI$68,AK$4-$B220+1)</f>
        <v/>
      </c>
      <c r="AL220" s="153">
        <f>$C220*INDEX(Curves!$AI$8:$AI$68,AL$4-$B220+1)</f>
        <v/>
      </c>
      <c r="AM220" s="153">
        <f>$C220*INDEX(Curves!$AI$8:$AI$68,AM$4-$B220+1)</f>
        <v/>
      </c>
      <c r="AN220" s="153">
        <f>$C220*INDEX(Curves!$AI$8:$AI$68,AN$4-$B220+1)</f>
        <v/>
      </c>
      <c r="AO220" s="153">
        <f>$C220*INDEX(Curves!$AI$8:$AI$68,AO$4-$B220+1)</f>
        <v/>
      </c>
      <c r="AP220" s="153">
        <f>$C220*INDEX(Curves!$AI$8:$AI$68,AP$4-$B220+1)</f>
        <v/>
      </c>
      <c r="AQ220" s="153">
        <f>$C220*INDEX(Curves!$AI$8:$AI$68,AQ$4-$B220+1)</f>
        <v/>
      </c>
      <c r="AR220" s="153">
        <f>$C220*INDEX(Curves!$AI$8:$AI$68,AR$4-$B220+1)</f>
        <v/>
      </c>
      <c r="AS220" s="153">
        <f>$C220*INDEX(Curves!$AI$8:$AI$68,AS$4-$B220+1)</f>
        <v/>
      </c>
      <c r="AT220" s="153">
        <f>$C220*INDEX(Curves!$AI$8:$AI$68,AT$4-$B220+1)</f>
        <v/>
      </c>
      <c r="AU220" s="153">
        <f>$C220*INDEX(Curves!$AI$8:$AI$68,AU$4-$B220+1)</f>
        <v/>
      </c>
      <c r="AV220" s="153">
        <f>$C220*INDEX(Curves!$AI$8:$AI$68,AV$4-$B220+1)</f>
        <v/>
      </c>
      <c r="AW220" s="153">
        <f>$C220*INDEX(Curves!$AI$8:$AI$68,AW$4-$B220+1)</f>
        <v/>
      </c>
      <c r="AX220" s="153">
        <f>$C220*INDEX(Curves!$AI$8:$AI$68,AX$4-$B220+1)</f>
        <v/>
      </c>
      <c r="AY220" s="153">
        <f>$C220*INDEX(Curves!$AI$8:$AI$68,AY$4-$B220+1)</f>
        <v/>
      </c>
      <c r="AZ220" s="153">
        <f>$C220*INDEX(Curves!$AI$8:$AI$68,AZ$4-$B220+1)</f>
        <v/>
      </c>
      <c r="BA220" s="153">
        <f>$C220*INDEX(Curves!$AI$8:$AI$68,BA$4-$B220+1)</f>
        <v/>
      </c>
      <c r="BB220" s="153">
        <f>$C220*INDEX(Curves!$AI$8:$AI$68,BB$4-$B220+1)</f>
        <v/>
      </c>
      <c r="BC220" s="153">
        <f>$C220*INDEX(Curves!$AI$8:$AI$68,BC$4-$B220+1)</f>
        <v/>
      </c>
      <c r="BD220" s="153">
        <f>$C220*INDEX(Curves!$AI$8:$AI$68,BD$4-$B220+1)</f>
        <v/>
      </c>
      <c r="BE220" s="153">
        <f>$C220*INDEX(Curves!$AI$8:$AI$68,BE$4-$B220+1)</f>
        <v/>
      </c>
      <c r="BF220" s="153">
        <f>$C220*INDEX(Curves!$AI$8:$AI$68,BF$4-$B220+1)</f>
        <v/>
      </c>
      <c r="BG220" s="153">
        <f>$C220*INDEX(Curves!$AI$8:$AI$68,BG$4-$B220+1)</f>
        <v/>
      </c>
      <c r="BH220" s="153">
        <f>$C220*INDEX(Curves!$AI$8:$AI$68,BH$4-$B220+1)</f>
        <v/>
      </c>
      <c r="BI220" s="153">
        <f>$C220*INDEX(Curves!$AI$8:$AI$68,BI$4-$B220+1)</f>
        <v/>
      </c>
      <c r="BJ220" s="153">
        <f>$C220*INDEX(Curves!$AI$8:$AI$68,BJ$4-$B220+1)</f>
        <v/>
      </c>
      <c r="BK220" s="153">
        <f>$C220*INDEX(Curves!$AI$8:$AI$68,BK$4-$B220+1)</f>
        <v/>
      </c>
      <c r="BL220" s="153">
        <f>$C220*INDEX(Curves!$AI$8:$AI$68,BL$4-$B220+1)</f>
        <v/>
      </c>
    </row>
    <row r="221">
      <c r="A221" s="147" t="inlineStr">
        <is>
          <t>Cohort month 23</t>
        </is>
      </c>
      <c r="B221" s="147" t="n">
        <v>23</v>
      </c>
      <c r="C221" s="41">
        <f>INDEX(Ops!$E$60:$BL$60,1,$B221)</f>
        <v/>
      </c>
      <c r="AB221" s="153">
        <f>$C221*INDEX(Curves!$AI$8:$AI$68,AB$4-$B221+1)</f>
        <v/>
      </c>
      <c r="AC221" s="153">
        <f>$C221*INDEX(Curves!$AI$8:$AI$68,AC$4-$B221+1)</f>
        <v/>
      </c>
      <c r="AD221" s="153">
        <f>$C221*INDEX(Curves!$AI$8:$AI$68,AD$4-$B221+1)</f>
        <v/>
      </c>
      <c r="AE221" s="153">
        <f>$C221*INDEX(Curves!$AI$8:$AI$68,AE$4-$B221+1)</f>
        <v/>
      </c>
      <c r="AF221" s="153">
        <f>$C221*INDEX(Curves!$AI$8:$AI$68,AF$4-$B221+1)</f>
        <v/>
      </c>
      <c r="AG221" s="153">
        <f>$C221*INDEX(Curves!$AI$8:$AI$68,AG$4-$B221+1)</f>
        <v/>
      </c>
      <c r="AH221" s="153">
        <f>$C221*INDEX(Curves!$AI$8:$AI$68,AH$4-$B221+1)</f>
        <v/>
      </c>
      <c r="AI221" s="153">
        <f>$C221*INDEX(Curves!$AI$8:$AI$68,AI$4-$B221+1)</f>
        <v/>
      </c>
      <c r="AJ221" s="153">
        <f>$C221*INDEX(Curves!$AI$8:$AI$68,AJ$4-$B221+1)</f>
        <v/>
      </c>
      <c r="AK221" s="153">
        <f>$C221*INDEX(Curves!$AI$8:$AI$68,AK$4-$B221+1)</f>
        <v/>
      </c>
      <c r="AL221" s="153">
        <f>$C221*INDEX(Curves!$AI$8:$AI$68,AL$4-$B221+1)</f>
        <v/>
      </c>
      <c r="AM221" s="153">
        <f>$C221*INDEX(Curves!$AI$8:$AI$68,AM$4-$B221+1)</f>
        <v/>
      </c>
      <c r="AN221" s="153">
        <f>$C221*INDEX(Curves!$AI$8:$AI$68,AN$4-$B221+1)</f>
        <v/>
      </c>
      <c r="AO221" s="153">
        <f>$C221*INDEX(Curves!$AI$8:$AI$68,AO$4-$B221+1)</f>
        <v/>
      </c>
      <c r="AP221" s="153">
        <f>$C221*INDEX(Curves!$AI$8:$AI$68,AP$4-$B221+1)</f>
        <v/>
      </c>
      <c r="AQ221" s="153">
        <f>$C221*INDEX(Curves!$AI$8:$AI$68,AQ$4-$B221+1)</f>
        <v/>
      </c>
      <c r="AR221" s="153">
        <f>$C221*INDEX(Curves!$AI$8:$AI$68,AR$4-$B221+1)</f>
        <v/>
      </c>
      <c r="AS221" s="153">
        <f>$C221*INDEX(Curves!$AI$8:$AI$68,AS$4-$B221+1)</f>
        <v/>
      </c>
      <c r="AT221" s="153">
        <f>$C221*INDEX(Curves!$AI$8:$AI$68,AT$4-$B221+1)</f>
        <v/>
      </c>
      <c r="AU221" s="153">
        <f>$C221*INDEX(Curves!$AI$8:$AI$68,AU$4-$B221+1)</f>
        <v/>
      </c>
      <c r="AV221" s="153">
        <f>$C221*INDEX(Curves!$AI$8:$AI$68,AV$4-$B221+1)</f>
        <v/>
      </c>
      <c r="AW221" s="153">
        <f>$C221*INDEX(Curves!$AI$8:$AI$68,AW$4-$B221+1)</f>
        <v/>
      </c>
      <c r="AX221" s="153">
        <f>$C221*INDEX(Curves!$AI$8:$AI$68,AX$4-$B221+1)</f>
        <v/>
      </c>
      <c r="AY221" s="153">
        <f>$C221*INDEX(Curves!$AI$8:$AI$68,AY$4-$B221+1)</f>
        <v/>
      </c>
      <c r="AZ221" s="153">
        <f>$C221*INDEX(Curves!$AI$8:$AI$68,AZ$4-$B221+1)</f>
        <v/>
      </c>
      <c r="BA221" s="153">
        <f>$C221*INDEX(Curves!$AI$8:$AI$68,BA$4-$B221+1)</f>
        <v/>
      </c>
      <c r="BB221" s="153">
        <f>$C221*INDEX(Curves!$AI$8:$AI$68,BB$4-$B221+1)</f>
        <v/>
      </c>
      <c r="BC221" s="153">
        <f>$C221*INDEX(Curves!$AI$8:$AI$68,BC$4-$B221+1)</f>
        <v/>
      </c>
      <c r="BD221" s="153">
        <f>$C221*INDEX(Curves!$AI$8:$AI$68,BD$4-$B221+1)</f>
        <v/>
      </c>
      <c r="BE221" s="153">
        <f>$C221*INDEX(Curves!$AI$8:$AI$68,BE$4-$B221+1)</f>
        <v/>
      </c>
      <c r="BF221" s="153">
        <f>$C221*INDEX(Curves!$AI$8:$AI$68,BF$4-$B221+1)</f>
        <v/>
      </c>
      <c r="BG221" s="153">
        <f>$C221*INDEX(Curves!$AI$8:$AI$68,BG$4-$B221+1)</f>
        <v/>
      </c>
      <c r="BH221" s="153">
        <f>$C221*INDEX(Curves!$AI$8:$AI$68,BH$4-$B221+1)</f>
        <v/>
      </c>
      <c r="BI221" s="153">
        <f>$C221*INDEX(Curves!$AI$8:$AI$68,BI$4-$B221+1)</f>
        <v/>
      </c>
      <c r="BJ221" s="153">
        <f>$C221*INDEX(Curves!$AI$8:$AI$68,BJ$4-$B221+1)</f>
        <v/>
      </c>
      <c r="BK221" s="153">
        <f>$C221*INDEX(Curves!$AI$8:$AI$68,BK$4-$B221+1)</f>
        <v/>
      </c>
      <c r="BL221" s="153">
        <f>$C221*INDEX(Curves!$AI$8:$AI$68,BL$4-$B221+1)</f>
        <v/>
      </c>
    </row>
    <row r="222">
      <c r="A222" s="147" t="inlineStr">
        <is>
          <t>Cohort month 24</t>
        </is>
      </c>
      <c r="B222" s="147" t="n">
        <v>24</v>
      </c>
      <c r="C222" s="41">
        <f>INDEX(Ops!$E$60:$BL$60,1,$B222)</f>
        <v/>
      </c>
      <c r="AC222" s="153">
        <f>$C222*INDEX(Curves!$AI$8:$AI$68,AC$4-$B222+1)</f>
        <v/>
      </c>
      <c r="AD222" s="153">
        <f>$C222*INDEX(Curves!$AI$8:$AI$68,AD$4-$B222+1)</f>
        <v/>
      </c>
      <c r="AE222" s="153">
        <f>$C222*INDEX(Curves!$AI$8:$AI$68,AE$4-$B222+1)</f>
        <v/>
      </c>
      <c r="AF222" s="153">
        <f>$C222*INDEX(Curves!$AI$8:$AI$68,AF$4-$B222+1)</f>
        <v/>
      </c>
      <c r="AG222" s="153">
        <f>$C222*INDEX(Curves!$AI$8:$AI$68,AG$4-$B222+1)</f>
        <v/>
      </c>
      <c r="AH222" s="153">
        <f>$C222*INDEX(Curves!$AI$8:$AI$68,AH$4-$B222+1)</f>
        <v/>
      </c>
      <c r="AI222" s="153">
        <f>$C222*INDEX(Curves!$AI$8:$AI$68,AI$4-$B222+1)</f>
        <v/>
      </c>
      <c r="AJ222" s="153">
        <f>$C222*INDEX(Curves!$AI$8:$AI$68,AJ$4-$B222+1)</f>
        <v/>
      </c>
      <c r="AK222" s="153">
        <f>$C222*INDEX(Curves!$AI$8:$AI$68,AK$4-$B222+1)</f>
        <v/>
      </c>
      <c r="AL222" s="153">
        <f>$C222*INDEX(Curves!$AI$8:$AI$68,AL$4-$B222+1)</f>
        <v/>
      </c>
      <c r="AM222" s="153">
        <f>$C222*INDEX(Curves!$AI$8:$AI$68,AM$4-$B222+1)</f>
        <v/>
      </c>
      <c r="AN222" s="153">
        <f>$C222*INDEX(Curves!$AI$8:$AI$68,AN$4-$B222+1)</f>
        <v/>
      </c>
      <c r="AO222" s="153">
        <f>$C222*INDEX(Curves!$AI$8:$AI$68,AO$4-$B222+1)</f>
        <v/>
      </c>
      <c r="AP222" s="153">
        <f>$C222*INDEX(Curves!$AI$8:$AI$68,AP$4-$B222+1)</f>
        <v/>
      </c>
      <c r="AQ222" s="153">
        <f>$C222*INDEX(Curves!$AI$8:$AI$68,AQ$4-$B222+1)</f>
        <v/>
      </c>
      <c r="AR222" s="153">
        <f>$C222*INDEX(Curves!$AI$8:$AI$68,AR$4-$B222+1)</f>
        <v/>
      </c>
      <c r="AS222" s="153">
        <f>$C222*INDEX(Curves!$AI$8:$AI$68,AS$4-$B222+1)</f>
        <v/>
      </c>
      <c r="AT222" s="153">
        <f>$C222*INDEX(Curves!$AI$8:$AI$68,AT$4-$B222+1)</f>
        <v/>
      </c>
      <c r="AU222" s="153">
        <f>$C222*INDEX(Curves!$AI$8:$AI$68,AU$4-$B222+1)</f>
        <v/>
      </c>
      <c r="AV222" s="153">
        <f>$C222*INDEX(Curves!$AI$8:$AI$68,AV$4-$B222+1)</f>
        <v/>
      </c>
      <c r="AW222" s="153">
        <f>$C222*INDEX(Curves!$AI$8:$AI$68,AW$4-$B222+1)</f>
        <v/>
      </c>
      <c r="AX222" s="153">
        <f>$C222*INDEX(Curves!$AI$8:$AI$68,AX$4-$B222+1)</f>
        <v/>
      </c>
      <c r="AY222" s="153">
        <f>$C222*INDEX(Curves!$AI$8:$AI$68,AY$4-$B222+1)</f>
        <v/>
      </c>
      <c r="AZ222" s="153">
        <f>$C222*INDEX(Curves!$AI$8:$AI$68,AZ$4-$B222+1)</f>
        <v/>
      </c>
      <c r="BA222" s="153">
        <f>$C222*INDEX(Curves!$AI$8:$AI$68,BA$4-$B222+1)</f>
        <v/>
      </c>
      <c r="BB222" s="153">
        <f>$C222*INDEX(Curves!$AI$8:$AI$68,BB$4-$B222+1)</f>
        <v/>
      </c>
      <c r="BC222" s="153">
        <f>$C222*INDEX(Curves!$AI$8:$AI$68,BC$4-$B222+1)</f>
        <v/>
      </c>
      <c r="BD222" s="153">
        <f>$C222*INDEX(Curves!$AI$8:$AI$68,BD$4-$B222+1)</f>
        <v/>
      </c>
      <c r="BE222" s="153">
        <f>$C222*INDEX(Curves!$AI$8:$AI$68,BE$4-$B222+1)</f>
        <v/>
      </c>
      <c r="BF222" s="153">
        <f>$C222*INDEX(Curves!$AI$8:$AI$68,BF$4-$B222+1)</f>
        <v/>
      </c>
      <c r="BG222" s="153">
        <f>$C222*INDEX(Curves!$AI$8:$AI$68,BG$4-$B222+1)</f>
        <v/>
      </c>
      <c r="BH222" s="153">
        <f>$C222*INDEX(Curves!$AI$8:$AI$68,BH$4-$B222+1)</f>
        <v/>
      </c>
      <c r="BI222" s="153">
        <f>$C222*INDEX(Curves!$AI$8:$AI$68,BI$4-$B222+1)</f>
        <v/>
      </c>
      <c r="BJ222" s="153">
        <f>$C222*INDEX(Curves!$AI$8:$AI$68,BJ$4-$B222+1)</f>
        <v/>
      </c>
      <c r="BK222" s="153">
        <f>$C222*INDEX(Curves!$AI$8:$AI$68,BK$4-$B222+1)</f>
        <v/>
      </c>
      <c r="BL222" s="153">
        <f>$C222*INDEX(Curves!$AI$8:$AI$68,BL$4-$B222+1)</f>
        <v/>
      </c>
    </row>
    <row r="223">
      <c r="A223" s="147" t="inlineStr">
        <is>
          <t>Cohort month 25</t>
        </is>
      </c>
      <c r="B223" s="147" t="n">
        <v>25</v>
      </c>
      <c r="C223" s="41">
        <f>INDEX(Ops!$E$60:$BL$60,1,$B223)</f>
        <v/>
      </c>
      <c r="AD223" s="153">
        <f>$C223*INDEX(Curves!$AI$8:$AI$68,AD$4-$B223+1)</f>
        <v/>
      </c>
      <c r="AE223" s="153">
        <f>$C223*INDEX(Curves!$AI$8:$AI$68,AE$4-$B223+1)</f>
        <v/>
      </c>
      <c r="AF223" s="153">
        <f>$C223*INDEX(Curves!$AI$8:$AI$68,AF$4-$B223+1)</f>
        <v/>
      </c>
      <c r="AG223" s="153">
        <f>$C223*INDEX(Curves!$AI$8:$AI$68,AG$4-$B223+1)</f>
        <v/>
      </c>
      <c r="AH223" s="153">
        <f>$C223*INDEX(Curves!$AI$8:$AI$68,AH$4-$B223+1)</f>
        <v/>
      </c>
      <c r="AI223" s="153">
        <f>$C223*INDEX(Curves!$AI$8:$AI$68,AI$4-$B223+1)</f>
        <v/>
      </c>
      <c r="AJ223" s="153">
        <f>$C223*INDEX(Curves!$AI$8:$AI$68,AJ$4-$B223+1)</f>
        <v/>
      </c>
      <c r="AK223" s="153">
        <f>$C223*INDEX(Curves!$AI$8:$AI$68,AK$4-$B223+1)</f>
        <v/>
      </c>
      <c r="AL223" s="153">
        <f>$C223*INDEX(Curves!$AI$8:$AI$68,AL$4-$B223+1)</f>
        <v/>
      </c>
      <c r="AM223" s="153">
        <f>$C223*INDEX(Curves!$AI$8:$AI$68,AM$4-$B223+1)</f>
        <v/>
      </c>
      <c r="AN223" s="153">
        <f>$C223*INDEX(Curves!$AI$8:$AI$68,AN$4-$B223+1)</f>
        <v/>
      </c>
      <c r="AO223" s="153">
        <f>$C223*INDEX(Curves!$AI$8:$AI$68,AO$4-$B223+1)</f>
        <v/>
      </c>
      <c r="AP223" s="153">
        <f>$C223*INDEX(Curves!$AI$8:$AI$68,AP$4-$B223+1)</f>
        <v/>
      </c>
      <c r="AQ223" s="153">
        <f>$C223*INDEX(Curves!$AI$8:$AI$68,AQ$4-$B223+1)</f>
        <v/>
      </c>
      <c r="AR223" s="153">
        <f>$C223*INDEX(Curves!$AI$8:$AI$68,AR$4-$B223+1)</f>
        <v/>
      </c>
      <c r="AS223" s="153">
        <f>$C223*INDEX(Curves!$AI$8:$AI$68,AS$4-$B223+1)</f>
        <v/>
      </c>
      <c r="AT223" s="153">
        <f>$C223*INDEX(Curves!$AI$8:$AI$68,AT$4-$B223+1)</f>
        <v/>
      </c>
      <c r="AU223" s="153">
        <f>$C223*INDEX(Curves!$AI$8:$AI$68,AU$4-$B223+1)</f>
        <v/>
      </c>
      <c r="AV223" s="153">
        <f>$C223*INDEX(Curves!$AI$8:$AI$68,AV$4-$B223+1)</f>
        <v/>
      </c>
      <c r="AW223" s="153">
        <f>$C223*INDEX(Curves!$AI$8:$AI$68,AW$4-$B223+1)</f>
        <v/>
      </c>
      <c r="AX223" s="153">
        <f>$C223*INDEX(Curves!$AI$8:$AI$68,AX$4-$B223+1)</f>
        <v/>
      </c>
      <c r="AY223" s="153">
        <f>$C223*INDEX(Curves!$AI$8:$AI$68,AY$4-$B223+1)</f>
        <v/>
      </c>
      <c r="AZ223" s="153">
        <f>$C223*INDEX(Curves!$AI$8:$AI$68,AZ$4-$B223+1)</f>
        <v/>
      </c>
      <c r="BA223" s="153">
        <f>$C223*INDEX(Curves!$AI$8:$AI$68,BA$4-$B223+1)</f>
        <v/>
      </c>
      <c r="BB223" s="153">
        <f>$C223*INDEX(Curves!$AI$8:$AI$68,BB$4-$B223+1)</f>
        <v/>
      </c>
      <c r="BC223" s="153">
        <f>$C223*INDEX(Curves!$AI$8:$AI$68,BC$4-$B223+1)</f>
        <v/>
      </c>
      <c r="BD223" s="153">
        <f>$C223*INDEX(Curves!$AI$8:$AI$68,BD$4-$B223+1)</f>
        <v/>
      </c>
      <c r="BE223" s="153">
        <f>$C223*INDEX(Curves!$AI$8:$AI$68,BE$4-$B223+1)</f>
        <v/>
      </c>
      <c r="BF223" s="153">
        <f>$C223*INDEX(Curves!$AI$8:$AI$68,BF$4-$B223+1)</f>
        <v/>
      </c>
      <c r="BG223" s="153">
        <f>$C223*INDEX(Curves!$AI$8:$AI$68,BG$4-$B223+1)</f>
        <v/>
      </c>
      <c r="BH223" s="153">
        <f>$C223*INDEX(Curves!$AI$8:$AI$68,BH$4-$B223+1)</f>
        <v/>
      </c>
      <c r="BI223" s="153">
        <f>$C223*INDEX(Curves!$AI$8:$AI$68,BI$4-$B223+1)</f>
        <v/>
      </c>
      <c r="BJ223" s="153">
        <f>$C223*INDEX(Curves!$AI$8:$AI$68,BJ$4-$B223+1)</f>
        <v/>
      </c>
      <c r="BK223" s="153">
        <f>$C223*INDEX(Curves!$AI$8:$AI$68,BK$4-$B223+1)</f>
        <v/>
      </c>
      <c r="BL223" s="153">
        <f>$C223*INDEX(Curves!$AI$8:$AI$68,BL$4-$B223+1)</f>
        <v/>
      </c>
    </row>
    <row r="224">
      <c r="A224" s="147" t="inlineStr">
        <is>
          <t>Cohort month 26</t>
        </is>
      </c>
      <c r="B224" s="147" t="n">
        <v>26</v>
      </c>
      <c r="C224" s="41">
        <f>INDEX(Ops!$E$60:$BL$60,1,$B224)</f>
        <v/>
      </c>
      <c r="AE224" s="153">
        <f>$C224*INDEX(Curves!$AI$8:$AI$68,AE$4-$B224+1)</f>
        <v/>
      </c>
      <c r="AF224" s="153">
        <f>$C224*INDEX(Curves!$AI$8:$AI$68,AF$4-$B224+1)</f>
        <v/>
      </c>
      <c r="AG224" s="153">
        <f>$C224*INDEX(Curves!$AI$8:$AI$68,AG$4-$B224+1)</f>
        <v/>
      </c>
      <c r="AH224" s="153">
        <f>$C224*INDEX(Curves!$AI$8:$AI$68,AH$4-$B224+1)</f>
        <v/>
      </c>
      <c r="AI224" s="153">
        <f>$C224*INDEX(Curves!$AI$8:$AI$68,AI$4-$B224+1)</f>
        <v/>
      </c>
      <c r="AJ224" s="153">
        <f>$C224*INDEX(Curves!$AI$8:$AI$68,AJ$4-$B224+1)</f>
        <v/>
      </c>
      <c r="AK224" s="153">
        <f>$C224*INDEX(Curves!$AI$8:$AI$68,AK$4-$B224+1)</f>
        <v/>
      </c>
      <c r="AL224" s="153">
        <f>$C224*INDEX(Curves!$AI$8:$AI$68,AL$4-$B224+1)</f>
        <v/>
      </c>
      <c r="AM224" s="153">
        <f>$C224*INDEX(Curves!$AI$8:$AI$68,AM$4-$B224+1)</f>
        <v/>
      </c>
      <c r="AN224" s="153">
        <f>$C224*INDEX(Curves!$AI$8:$AI$68,AN$4-$B224+1)</f>
        <v/>
      </c>
      <c r="AO224" s="153">
        <f>$C224*INDEX(Curves!$AI$8:$AI$68,AO$4-$B224+1)</f>
        <v/>
      </c>
      <c r="AP224" s="153">
        <f>$C224*INDEX(Curves!$AI$8:$AI$68,AP$4-$B224+1)</f>
        <v/>
      </c>
      <c r="AQ224" s="153">
        <f>$C224*INDEX(Curves!$AI$8:$AI$68,AQ$4-$B224+1)</f>
        <v/>
      </c>
      <c r="AR224" s="153">
        <f>$C224*INDEX(Curves!$AI$8:$AI$68,AR$4-$B224+1)</f>
        <v/>
      </c>
      <c r="AS224" s="153">
        <f>$C224*INDEX(Curves!$AI$8:$AI$68,AS$4-$B224+1)</f>
        <v/>
      </c>
      <c r="AT224" s="153">
        <f>$C224*INDEX(Curves!$AI$8:$AI$68,AT$4-$B224+1)</f>
        <v/>
      </c>
      <c r="AU224" s="153">
        <f>$C224*INDEX(Curves!$AI$8:$AI$68,AU$4-$B224+1)</f>
        <v/>
      </c>
      <c r="AV224" s="153">
        <f>$C224*INDEX(Curves!$AI$8:$AI$68,AV$4-$B224+1)</f>
        <v/>
      </c>
      <c r="AW224" s="153">
        <f>$C224*INDEX(Curves!$AI$8:$AI$68,AW$4-$B224+1)</f>
        <v/>
      </c>
      <c r="AX224" s="153">
        <f>$C224*INDEX(Curves!$AI$8:$AI$68,AX$4-$B224+1)</f>
        <v/>
      </c>
      <c r="AY224" s="153">
        <f>$C224*INDEX(Curves!$AI$8:$AI$68,AY$4-$B224+1)</f>
        <v/>
      </c>
      <c r="AZ224" s="153">
        <f>$C224*INDEX(Curves!$AI$8:$AI$68,AZ$4-$B224+1)</f>
        <v/>
      </c>
      <c r="BA224" s="153">
        <f>$C224*INDEX(Curves!$AI$8:$AI$68,BA$4-$B224+1)</f>
        <v/>
      </c>
      <c r="BB224" s="153">
        <f>$C224*INDEX(Curves!$AI$8:$AI$68,BB$4-$B224+1)</f>
        <v/>
      </c>
      <c r="BC224" s="153">
        <f>$C224*INDEX(Curves!$AI$8:$AI$68,BC$4-$B224+1)</f>
        <v/>
      </c>
      <c r="BD224" s="153">
        <f>$C224*INDEX(Curves!$AI$8:$AI$68,BD$4-$B224+1)</f>
        <v/>
      </c>
      <c r="BE224" s="153">
        <f>$C224*INDEX(Curves!$AI$8:$AI$68,BE$4-$B224+1)</f>
        <v/>
      </c>
      <c r="BF224" s="153">
        <f>$C224*INDEX(Curves!$AI$8:$AI$68,BF$4-$B224+1)</f>
        <v/>
      </c>
      <c r="BG224" s="153">
        <f>$C224*INDEX(Curves!$AI$8:$AI$68,BG$4-$B224+1)</f>
        <v/>
      </c>
      <c r="BH224" s="153">
        <f>$C224*INDEX(Curves!$AI$8:$AI$68,BH$4-$B224+1)</f>
        <v/>
      </c>
      <c r="BI224" s="153">
        <f>$C224*INDEX(Curves!$AI$8:$AI$68,BI$4-$B224+1)</f>
        <v/>
      </c>
      <c r="BJ224" s="153">
        <f>$C224*INDEX(Curves!$AI$8:$AI$68,BJ$4-$B224+1)</f>
        <v/>
      </c>
      <c r="BK224" s="153">
        <f>$C224*INDEX(Curves!$AI$8:$AI$68,BK$4-$B224+1)</f>
        <v/>
      </c>
      <c r="BL224" s="153">
        <f>$C224*INDEX(Curves!$AI$8:$AI$68,BL$4-$B224+1)</f>
        <v/>
      </c>
    </row>
    <row r="225">
      <c r="A225" s="147" t="inlineStr">
        <is>
          <t>Cohort month 27</t>
        </is>
      </c>
      <c r="B225" s="147" t="n">
        <v>27</v>
      </c>
      <c r="C225" s="41">
        <f>INDEX(Ops!$E$60:$BL$60,1,$B225)</f>
        <v/>
      </c>
      <c r="AF225" s="153">
        <f>$C225*INDEX(Curves!$AI$8:$AI$68,AF$4-$B225+1)</f>
        <v/>
      </c>
      <c r="AG225" s="153">
        <f>$C225*INDEX(Curves!$AI$8:$AI$68,AG$4-$B225+1)</f>
        <v/>
      </c>
      <c r="AH225" s="153">
        <f>$C225*INDEX(Curves!$AI$8:$AI$68,AH$4-$B225+1)</f>
        <v/>
      </c>
      <c r="AI225" s="153">
        <f>$C225*INDEX(Curves!$AI$8:$AI$68,AI$4-$B225+1)</f>
        <v/>
      </c>
      <c r="AJ225" s="153">
        <f>$C225*INDEX(Curves!$AI$8:$AI$68,AJ$4-$B225+1)</f>
        <v/>
      </c>
      <c r="AK225" s="153">
        <f>$C225*INDEX(Curves!$AI$8:$AI$68,AK$4-$B225+1)</f>
        <v/>
      </c>
      <c r="AL225" s="153">
        <f>$C225*INDEX(Curves!$AI$8:$AI$68,AL$4-$B225+1)</f>
        <v/>
      </c>
      <c r="AM225" s="153">
        <f>$C225*INDEX(Curves!$AI$8:$AI$68,AM$4-$B225+1)</f>
        <v/>
      </c>
      <c r="AN225" s="153">
        <f>$C225*INDEX(Curves!$AI$8:$AI$68,AN$4-$B225+1)</f>
        <v/>
      </c>
      <c r="AO225" s="153">
        <f>$C225*INDEX(Curves!$AI$8:$AI$68,AO$4-$B225+1)</f>
        <v/>
      </c>
      <c r="AP225" s="153">
        <f>$C225*INDEX(Curves!$AI$8:$AI$68,AP$4-$B225+1)</f>
        <v/>
      </c>
      <c r="AQ225" s="153">
        <f>$C225*INDEX(Curves!$AI$8:$AI$68,AQ$4-$B225+1)</f>
        <v/>
      </c>
      <c r="AR225" s="153">
        <f>$C225*INDEX(Curves!$AI$8:$AI$68,AR$4-$B225+1)</f>
        <v/>
      </c>
      <c r="AS225" s="153">
        <f>$C225*INDEX(Curves!$AI$8:$AI$68,AS$4-$B225+1)</f>
        <v/>
      </c>
      <c r="AT225" s="153">
        <f>$C225*INDEX(Curves!$AI$8:$AI$68,AT$4-$B225+1)</f>
        <v/>
      </c>
      <c r="AU225" s="153">
        <f>$C225*INDEX(Curves!$AI$8:$AI$68,AU$4-$B225+1)</f>
        <v/>
      </c>
      <c r="AV225" s="153">
        <f>$C225*INDEX(Curves!$AI$8:$AI$68,AV$4-$B225+1)</f>
        <v/>
      </c>
      <c r="AW225" s="153">
        <f>$C225*INDEX(Curves!$AI$8:$AI$68,AW$4-$B225+1)</f>
        <v/>
      </c>
      <c r="AX225" s="153">
        <f>$C225*INDEX(Curves!$AI$8:$AI$68,AX$4-$B225+1)</f>
        <v/>
      </c>
      <c r="AY225" s="153">
        <f>$C225*INDEX(Curves!$AI$8:$AI$68,AY$4-$B225+1)</f>
        <v/>
      </c>
      <c r="AZ225" s="153">
        <f>$C225*INDEX(Curves!$AI$8:$AI$68,AZ$4-$B225+1)</f>
        <v/>
      </c>
      <c r="BA225" s="153">
        <f>$C225*INDEX(Curves!$AI$8:$AI$68,BA$4-$B225+1)</f>
        <v/>
      </c>
      <c r="BB225" s="153">
        <f>$C225*INDEX(Curves!$AI$8:$AI$68,BB$4-$B225+1)</f>
        <v/>
      </c>
      <c r="BC225" s="153">
        <f>$C225*INDEX(Curves!$AI$8:$AI$68,BC$4-$B225+1)</f>
        <v/>
      </c>
      <c r="BD225" s="153">
        <f>$C225*INDEX(Curves!$AI$8:$AI$68,BD$4-$B225+1)</f>
        <v/>
      </c>
      <c r="BE225" s="153">
        <f>$C225*INDEX(Curves!$AI$8:$AI$68,BE$4-$B225+1)</f>
        <v/>
      </c>
      <c r="BF225" s="153">
        <f>$C225*INDEX(Curves!$AI$8:$AI$68,BF$4-$B225+1)</f>
        <v/>
      </c>
      <c r="BG225" s="153">
        <f>$C225*INDEX(Curves!$AI$8:$AI$68,BG$4-$B225+1)</f>
        <v/>
      </c>
      <c r="BH225" s="153">
        <f>$C225*INDEX(Curves!$AI$8:$AI$68,BH$4-$B225+1)</f>
        <v/>
      </c>
      <c r="BI225" s="153">
        <f>$C225*INDEX(Curves!$AI$8:$AI$68,BI$4-$B225+1)</f>
        <v/>
      </c>
      <c r="BJ225" s="153">
        <f>$C225*INDEX(Curves!$AI$8:$AI$68,BJ$4-$B225+1)</f>
        <v/>
      </c>
      <c r="BK225" s="153">
        <f>$C225*INDEX(Curves!$AI$8:$AI$68,BK$4-$B225+1)</f>
        <v/>
      </c>
      <c r="BL225" s="153">
        <f>$C225*INDEX(Curves!$AI$8:$AI$68,BL$4-$B225+1)</f>
        <v/>
      </c>
    </row>
    <row r="226">
      <c r="A226" s="147" t="inlineStr">
        <is>
          <t>Cohort month 28</t>
        </is>
      </c>
      <c r="B226" s="147" t="n">
        <v>28</v>
      </c>
      <c r="C226" s="41">
        <f>INDEX(Ops!$E$60:$BL$60,1,$B226)</f>
        <v/>
      </c>
      <c r="AG226" s="153">
        <f>$C226*INDEX(Curves!$AI$8:$AI$68,AG$4-$B226+1)</f>
        <v/>
      </c>
      <c r="AH226" s="153">
        <f>$C226*INDEX(Curves!$AI$8:$AI$68,AH$4-$B226+1)</f>
        <v/>
      </c>
      <c r="AI226" s="153">
        <f>$C226*INDEX(Curves!$AI$8:$AI$68,AI$4-$B226+1)</f>
        <v/>
      </c>
      <c r="AJ226" s="153">
        <f>$C226*INDEX(Curves!$AI$8:$AI$68,AJ$4-$B226+1)</f>
        <v/>
      </c>
      <c r="AK226" s="153">
        <f>$C226*INDEX(Curves!$AI$8:$AI$68,AK$4-$B226+1)</f>
        <v/>
      </c>
      <c r="AL226" s="153">
        <f>$C226*INDEX(Curves!$AI$8:$AI$68,AL$4-$B226+1)</f>
        <v/>
      </c>
      <c r="AM226" s="153">
        <f>$C226*INDEX(Curves!$AI$8:$AI$68,AM$4-$B226+1)</f>
        <v/>
      </c>
      <c r="AN226" s="153">
        <f>$C226*INDEX(Curves!$AI$8:$AI$68,AN$4-$B226+1)</f>
        <v/>
      </c>
      <c r="AO226" s="153">
        <f>$C226*INDEX(Curves!$AI$8:$AI$68,AO$4-$B226+1)</f>
        <v/>
      </c>
      <c r="AP226" s="153">
        <f>$C226*INDEX(Curves!$AI$8:$AI$68,AP$4-$B226+1)</f>
        <v/>
      </c>
      <c r="AQ226" s="153">
        <f>$C226*INDEX(Curves!$AI$8:$AI$68,AQ$4-$B226+1)</f>
        <v/>
      </c>
      <c r="AR226" s="153">
        <f>$C226*INDEX(Curves!$AI$8:$AI$68,AR$4-$B226+1)</f>
        <v/>
      </c>
      <c r="AS226" s="153">
        <f>$C226*INDEX(Curves!$AI$8:$AI$68,AS$4-$B226+1)</f>
        <v/>
      </c>
      <c r="AT226" s="153">
        <f>$C226*INDEX(Curves!$AI$8:$AI$68,AT$4-$B226+1)</f>
        <v/>
      </c>
      <c r="AU226" s="153">
        <f>$C226*INDEX(Curves!$AI$8:$AI$68,AU$4-$B226+1)</f>
        <v/>
      </c>
      <c r="AV226" s="153">
        <f>$C226*INDEX(Curves!$AI$8:$AI$68,AV$4-$B226+1)</f>
        <v/>
      </c>
      <c r="AW226" s="153">
        <f>$C226*INDEX(Curves!$AI$8:$AI$68,AW$4-$B226+1)</f>
        <v/>
      </c>
      <c r="AX226" s="153">
        <f>$C226*INDEX(Curves!$AI$8:$AI$68,AX$4-$B226+1)</f>
        <v/>
      </c>
      <c r="AY226" s="153">
        <f>$C226*INDEX(Curves!$AI$8:$AI$68,AY$4-$B226+1)</f>
        <v/>
      </c>
      <c r="AZ226" s="153">
        <f>$C226*INDEX(Curves!$AI$8:$AI$68,AZ$4-$B226+1)</f>
        <v/>
      </c>
      <c r="BA226" s="153">
        <f>$C226*INDEX(Curves!$AI$8:$AI$68,BA$4-$B226+1)</f>
        <v/>
      </c>
      <c r="BB226" s="153">
        <f>$C226*INDEX(Curves!$AI$8:$AI$68,BB$4-$B226+1)</f>
        <v/>
      </c>
      <c r="BC226" s="153">
        <f>$C226*INDEX(Curves!$AI$8:$AI$68,BC$4-$B226+1)</f>
        <v/>
      </c>
      <c r="BD226" s="153">
        <f>$C226*INDEX(Curves!$AI$8:$AI$68,BD$4-$B226+1)</f>
        <v/>
      </c>
      <c r="BE226" s="153">
        <f>$C226*INDEX(Curves!$AI$8:$AI$68,BE$4-$B226+1)</f>
        <v/>
      </c>
      <c r="BF226" s="153">
        <f>$C226*INDEX(Curves!$AI$8:$AI$68,BF$4-$B226+1)</f>
        <v/>
      </c>
      <c r="BG226" s="153">
        <f>$C226*INDEX(Curves!$AI$8:$AI$68,BG$4-$B226+1)</f>
        <v/>
      </c>
      <c r="BH226" s="153">
        <f>$C226*INDEX(Curves!$AI$8:$AI$68,BH$4-$B226+1)</f>
        <v/>
      </c>
      <c r="BI226" s="153">
        <f>$C226*INDEX(Curves!$AI$8:$AI$68,BI$4-$B226+1)</f>
        <v/>
      </c>
      <c r="BJ226" s="153">
        <f>$C226*INDEX(Curves!$AI$8:$AI$68,BJ$4-$B226+1)</f>
        <v/>
      </c>
      <c r="BK226" s="153">
        <f>$C226*INDEX(Curves!$AI$8:$AI$68,BK$4-$B226+1)</f>
        <v/>
      </c>
      <c r="BL226" s="153">
        <f>$C226*INDEX(Curves!$AI$8:$AI$68,BL$4-$B226+1)</f>
        <v/>
      </c>
    </row>
    <row r="227">
      <c r="A227" s="147" t="inlineStr">
        <is>
          <t>Cohort month 29</t>
        </is>
      </c>
      <c r="B227" s="147" t="n">
        <v>29</v>
      </c>
      <c r="C227" s="41">
        <f>INDEX(Ops!$E$60:$BL$60,1,$B227)</f>
        <v/>
      </c>
      <c r="AH227" s="153">
        <f>$C227*INDEX(Curves!$AI$8:$AI$68,AH$4-$B227+1)</f>
        <v/>
      </c>
      <c r="AI227" s="153">
        <f>$C227*INDEX(Curves!$AI$8:$AI$68,AI$4-$B227+1)</f>
        <v/>
      </c>
      <c r="AJ227" s="153">
        <f>$C227*INDEX(Curves!$AI$8:$AI$68,AJ$4-$B227+1)</f>
        <v/>
      </c>
      <c r="AK227" s="153">
        <f>$C227*INDEX(Curves!$AI$8:$AI$68,AK$4-$B227+1)</f>
        <v/>
      </c>
      <c r="AL227" s="153">
        <f>$C227*INDEX(Curves!$AI$8:$AI$68,AL$4-$B227+1)</f>
        <v/>
      </c>
      <c r="AM227" s="153">
        <f>$C227*INDEX(Curves!$AI$8:$AI$68,AM$4-$B227+1)</f>
        <v/>
      </c>
      <c r="AN227" s="153">
        <f>$C227*INDEX(Curves!$AI$8:$AI$68,AN$4-$B227+1)</f>
        <v/>
      </c>
      <c r="AO227" s="153">
        <f>$C227*INDEX(Curves!$AI$8:$AI$68,AO$4-$B227+1)</f>
        <v/>
      </c>
      <c r="AP227" s="153">
        <f>$C227*INDEX(Curves!$AI$8:$AI$68,AP$4-$B227+1)</f>
        <v/>
      </c>
      <c r="AQ227" s="153">
        <f>$C227*INDEX(Curves!$AI$8:$AI$68,AQ$4-$B227+1)</f>
        <v/>
      </c>
      <c r="AR227" s="153">
        <f>$C227*INDEX(Curves!$AI$8:$AI$68,AR$4-$B227+1)</f>
        <v/>
      </c>
      <c r="AS227" s="153">
        <f>$C227*INDEX(Curves!$AI$8:$AI$68,AS$4-$B227+1)</f>
        <v/>
      </c>
      <c r="AT227" s="153">
        <f>$C227*INDEX(Curves!$AI$8:$AI$68,AT$4-$B227+1)</f>
        <v/>
      </c>
      <c r="AU227" s="153">
        <f>$C227*INDEX(Curves!$AI$8:$AI$68,AU$4-$B227+1)</f>
        <v/>
      </c>
      <c r="AV227" s="153">
        <f>$C227*INDEX(Curves!$AI$8:$AI$68,AV$4-$B227+1)</f>
        <v/>
      </c>
      <c r="AW227" s="153">
        <f>$C227*INDEX(Curves!$AI$8:$AI$68,AW$4-$B227+1)</f>
        <v/>
      </c>
      <c r="AX227" s="153">
        <f>$C227*INDEX(Curves!$AI$8:$AI$68,AX$4-$B227+1)</f>
        <v/>
      </c>
      <c r="AY227" s="153">
        <f>$C227*INDEX(Curves!$AI$8:$AI$68,AY$4-$B227+1)</f>
        <v/>
      </c>
      <c r="AZ227" s="153">
        <f>$C227*INDEX(Curves!$AI$8:$AI$68,AZ$4-$B227+1)</f>
        <v/>
      </c>
      <c r="BA227" s="153">
        <f>$C227*INDEX(Curves!$AI$8:$AI$68,BA$4-$B227+1)</f>
        <v/>
      </c>
      <c r="BB227" s="153">
        <f>$C227*INDEX(Curves!$AI$8:$AI$68,BB$4-$B227+1)</f>
        <v/>
      </c>
      <c r="BC227" s="153">
        <f>$C227*INDEX(Curves!$AI$8:$AI$68,BC$4-$B227+1)</f>
        <v/>
      </c>
      <c r="BD227" s="153">
        <f>$C227*INDEX(Curves!$AI$8:$AI$68,BD$4-$B227+1)</f>
        <v/>
      </c>
      <c r="BE227" s="153">
        <f>$C227*INDEX(Curves!$AI$8:$AI$68,BE$4-$B227+1)</f>
        <v/>
      </c>
      <c r="BF227" s="153">
        <f>$C227*INDEX(Curves!$AI$8:$AI$68,BF$4-$B227+1)</f>
        <v/>
      </c>
      <c r="BG227" s="153">
        <f>$C227*INDEX(Curves!$AI$8:$AI$68,BG$4-$B227+1)</f>
        <v/>
      </c>
      <c r="BH227" s="153">
        <f>$C227*INDEX(Curves!$AI$8:$AI$68,BH$4-$B227+1)</f>
        <v/>
      </c>
      <c r="BI227" s="153">
        <f>$C227*INDEX(Curves!$AI$8:$AI$68,BI$4-$B227+1)</f>
        <v/>
      </c>
      <c r="BJ227" s="153">
        <f>$C227*INDEX(Curves!$AI$8:$AI$68,BJ$4-$B227+1)</f>
        <v/>
      </c>
      <c r="BK227" s="153">
        <f>$C227*INDEX(Curves!$AI$8:$AI$68,BK$4-$B227+1)</f>
        <v/>
      </c>
      <c r="BL227" s="153">
        <f>$C227*INDEX(Curves!$AI$8:$AI$68,BL$4-$B227+1)</f>
        <v/>
      </c>
    </row>
    <row r="228">
      <c r="A228" s="147" t="inlineStr">
        <is>
          <t>Cohort month 30</t>
        </is>
      </c>
      <c r="B228" s="147" t="n">
        <v>30</v>
      </c>
      <c r="C228" s="41">
        <f>INDEX(Ops!$E$60:$BL$60,1,$B228)</f>
        <v/>
      </c>
      <c r="AI228" s="153">
        <f>$C228*INDEX(Curves!$AI$8:$AI$68,AI$4-$B228+1)</f>
        <v/>
      </c>
      <c r="AJ228" s="153">
        <f>$C228*INDEX(Curves!$AI$8:$AI$68,AJ$4-$B228+1)</f>
        <v/>
      </c>
      <c r="AK228" s="153">
        <f>$C228*INDEX(Curves!$AI$8:$AI$68,AK$4-$B228+1)</f>
        <v/>
      </c>
      <c r="AL228" s="153">
        <f>$C228*INDEX(Curves!$AI$8:$AI$68,AL$4-$B228+1)</f>
        <v/>
      </c>
      <c r="AM228" s="153">
        <f>$C228*INDEX(Curves!$AI$8:$AI$68,AM$4-$B228+1)</f>
        <v/>
      </c>
      <c r="AN228" s="153">
        <f>$C228*INDEX(Curves!$AI$8:$AI$68,AN$4-$B228+1)</f>
        <v/>
      </c>
      <c r="AO228" s="153">
        <f>$C228*INDEX(Curves!$AI$8:$AI$68,AO$4-$B228+1)</f>
        <v/>
      </c>
      <c r="AP228" s="153">
        <f>$C228*INDEX(Curves!$AI$8:$AI$68,AP$4-$B228+1)</f>
        <v/>
      </c>
      <c r="AQ228" s="153">
        <f>$C228*INDEX(Curves!$AI$8:$AI$68,AQ$4-$B228+1)</f>
        <v/>
      </c>
      <c r="AR228" s="153">
        <f>$C228*INDEX(Curves!$AI$8:$AI$68,AR$4-$B228+1)</f>
        <v/>
      </c>
      <c r="AS228" s="153">
        <f>$C228*INDEX(Curves!$AI$8:$AI$68,AS$4-$B228+1)</f>
        <v/>
      </c>
      <c r="AT228" s="153">
        <f>$C228*INDEX(Curves!$AI$8:$AI$68,AT$4-$B228+1)</f>
        <v/>
      </c>
      <c r="AU228" s="153">
        <f>$C228*INDEX(Curves!$AI$8:$AI$68,AU$4-$B228+1)</f>
        <v/>
      </c>
      <c r="AV228" s="153">
        <f>$C228*INDEX(Curves!$AI$8:$AI$68,AV$4-$B228+1)</f>
        <v/>
      </c>
      <c r="AW228" s="153">
        <f>$C228*INDEX(Curves!$AI$8:$AI$68,AW$4-$B228+1)</f>
        <v/>
      </c>
      <c r="AX228" s="153">
        <f>$C228*INDEX(Curves!$AI$8:$AI$68,AX$4-$B228+1)</f>
        <v/>
      </c>
      <c r="AY228" s="153">
        <f>$C228*INDEX(Curves!$AI$8:$AI$68,AY$4-$B228+1)</f>
        <v/>
      </c>
      <c r="AZ228" s="153">
        <f>$C228*INDEX(Curves!$AI$8:$AI$68,AZ$4-$B228+1)</f>
        <v/>
      </c>
      <c r="BA228" s="153">
        <f>$C228*INDEX(Curves!$AI$8:$AI$68,BA$4-$B228+1)</f>
        <v/>
      </c>
      <c r="BB228" s="153">
        <f>$C228*INDEX(Curves!$AI$8:$AI$68,BB$4-$B228+1)</f>
        <v/>
      </c>
      <c r="BC228" s="153">
        <f>$C228*INDEX(Curves!$AI$8:$AI$68,BC$4-$B228+1)</f>
        <v/>
      </c>
      <c r="BD228" s="153">
        <f>$C228*INDEX(Curves!$AI$8:$AI$68,BD$4-$B228+1)</f>
        <v/>
      </c>
      <c r="BE228" s="153">
        <f>$C228*INDEX(Curves!$AI$8:$AI$68,BE$4-$B228+1)</f>
        <v/>
      </c>
      <c r="BF228" s="153">
        <f>$C228*INDEX(Curves!$AI$8:$AI$68,BF$4-$B228+1)</f>
        <v/>
      </c>
      <c r="BG228" s="153">
        <f>$C228*INDEX(Curves!$AI$8:$AI$68,BG$4-$B228+1)</f>
        <v/>
      </c>
      <c r="BH228" s="153">
        <f>$C228*INDEX(Curves!$AI$8:$AI$68,BH$4-$B228+1)</f>
        <v/>
      </c>
      <c r="BI228" s="153">
        <f>$C228*INDEX(Curves!$AI$8:$AI$68,BI$4-$B228+1)</f>
        <v/>
      </c>
      <c r="BJ228" s="153">
        <f>$C228*INDEX(Curves!$AI$8:$AI$68,BJ$4-$B228+1)</f>
        <v/>
      </c>
      <c r="BK228" s="153">
        <f>$C228*INDEX(Curves!$AI$8:$AI$68,BK$4-$B228+1)</f>
        <v/>
      </c>
      <c r="BL228" s="153">
        <f>$C228*INDEX(Curves!$AI$8:$AI$68,BL$4-$B228+1)</f>
        <v/>
      </c>
    </row>
    <row r="229">
      <c r="A229" s="147" t="inlineStr">
        <is>
          <t>Cohort month 31</t>
        </is>
      </c>
      <c r="B229" s="147" t="n">
        <v>31</v>
      </c>
      <c r="C229" s="41">
        <f>INDEX(Ops!$E$60:$BL$60,1,$B229)</f>
        <v/>
      </c>
      <c r="AJ229" s="153">
        <f>$C229*INDEX(Curves!$AI$8:$AI$68,AJ$4-$B229+1)</f>
        <v/>
      </c>
      <c r="AK229" s="153">
        <f>$C229*INDEX(Curves!$AI$8:$AI$68,AK$4-$B229+1)</f>
        <v/>
      </c>
      <c r="AL229" s="153">
        <f>$C229*INDEX(Curves!$AI$8:$AI$68,AL$4-$B229+1)</f>
        <v/>
      </c>
      <c r="AM229" s="153">
        <f>$C229*INDEX(Curves!$AI$8:$AI$68,AM$4-$B229+1)</f>
        <v/>
      </c>
      <c r="AN229" s="153">
        <f>$C229*INDEX(Curves!$AI$8:$AI$68,AN$4-$B229+1)</f>
        <v/>
      </c>
      <c r="AO229" s="153">
        <f>$C229*INDEX(Curves!$AI$8:$AI$68,AO$4-$B229+1)</f>
        <v/>
      </c>
      <c r="AP229" s="153">
        <f>$C229*INDEX(Curves!$AI$8:$AI$68,AP$4-$B229+1)</f>
        <v/>
      </c>
      <c r="AQ229" s="153">
        <f>$C229*INDEX(Curves!$AI$8:$AI$68,AQ$4-$B229+1)</f>
        <v/>
      </c>
      <c r="AR229" s="153">
        <f>$C229*INDEX(Curves!$AI$8:$AI$68,AR$4-$B229+1)</f>
        <v/>
      </c>
      <c r="AS229" s="153">
        <f>$C229*INDEX(Curves!$AI$8:$AI$68,AS$4-$B229+1)</f>
        <v/>
      </c>
      <c r="AT229" s="153">
        <f>$C229*INDEX(Curves!$AI$8:$AI$68,AT$4-$B229+1)</f>
        <v/>
      </c>
      <c r="AU229" s="153">
        <f>$C229*INDEX(Curves!$AI$8:$AI$68,AU$4-$B229+1)</f>
        <v/>
      </c>
      <c r="AV229" s="153">
        <f>$C229*INDEX(Curves!$AI$8:$AI$68,AV$4-$B229+1)</f>
        <v/>
      </c>
      <c r="AW229" s="153">
        <f>$C229*INDEX(Curves!$AI$8:$AI$68,AW$4-$B229+1)</f>
        <v/>
      </c>
      <c r="AX229" s="153">
        <f>$C229*INDEX(Curves!$AI$8:$AI$68,AX$4-$B229+1)</f>
        <v/>
      </c>
      <c r="AY229" s="153">
        <f>$C229*INDEX(Curves!$AI$8:$AI$68,AY$4-$B229+1)</f>
        <v/>
      </c>
      <c r="AZ229" s="153">
        <f>$C229*INDEX(Curves!$AI$8:$AI$68,AZ$4-$B229+1)</f>
        <v/>
      </c>
      <c r="BA229" s="153">
        <f>$C229*INDEX(Curves!$AI$8:$AI$68,BA$4-$B229+1)</f>
        <v/>
      </c>
      <c r="BB229" s="153">
        <f>$C229*INDEX(Curves!$AI$8:$AI$68,BB$4-$B229+1)</f>
        <v/>
      </c>
      <c r="BC229" s="153">
        <f>$C229*INDEX(Curves!$AI$8:$AI$68,BC$4-$B229+1)</f>
        <v/>
      </c>
      <c r="BD229" s="153">
        <f>$C229*INDEX(Curves!$AI$8:$AI$68,BD$4-$B229+1)</f>
        <v/>
      </c>
      <c r="BE229" s="153">
        <f>$C229*INDEX(Curves!$AI$8:$AI$68,BE$4-$B229+1)</f>
        <v/>
      </c>
      <c r="BF229" s="153">
        <f>$C229*INDEX(Curves!$AI$8:$AI$68,BF$4-$B229+1)</f>
        <v/>
      </c>
      <c r="BG229" s="153">
        <f>$C229*INDEX(Curves!$AI$8:$AI$68,BG$4-$B229+1)</f>
        <v/>
      </c>
      <c r="BH229" s="153">
        <f>$C229*INDEX(Curves!$AI$8:$AI$68,BH$4-$B229+1)</f>
        <v/>
      </c>
      <c r="BI229" s="153">
        <f>$C229*INDEX(Curves!$AI$8:$AI$68,BI$4-$B229+1)</f>
        <v/>
      </c>
      <c r="BJ229" s="153">
        <f>$C229*INDEX(Curves!$AI$8:$AI$68,BJ$4-$B229+1)</f>
        <v/>
      </c>
      <c r="BK229" s="153">
        <f>$C229*INDEX(Curves!$AI$8:$AI$68,BK$4-$B229+1)</f>
        <v/>
      </c>
      <c r="BL229" s="153">
        <f>$C229*INDEX(Curves!$AI$8:$AI$68,BL$4-$B229+1)</f>
        <v/>
      </c>
    </row>
    <row r="230">
      <c r="A230" s="147" t="inlineStr">
        <is>
          <t>Cohort month 32</t>
        </is>
      </c>
      <c r="B230" s="147" t="n">
        <v>32</v>
      </c>
      <c r="C230" s="41">
        <f>INDEX(Ops!$E$60:$BL$60,1,$B230)</f>
        <v/>
      </c>
      <c r="AK230" s="153">
        <f>$C230*INDEX(Curves!$AI$8:$AI$68,AK$4-$B230+1)</f>
        <v/>
      </c>
      <c r="AL230" s="153">
        <f>$C230*INDEX(Curves!$AI$8:$AI$68,AL$4-$B230+1)</f>
        <v/>
      </c>
      <c r="AM230" s="153">
        <f>$C230*INDEX(Curves!$AI$8:$AI$68,AM$4-$B230+1)</f>
        <v/>
      </c>
      <c r="AN230" s="153">
        <f>$C230*INDEX(Curves!$AI$8:$AI$68,AN$4-$B230+1)</f>
        <v/>
      </c>
      <c r="AO230" s="153">
        <f>$C230*INDEX(Curves!$AI$8:$AI$68,AO$4-$B230+1)</f>
        <v/>
      </c>
      <c r="AP230" s="153">
        <f>$C230*INDEX(Curves!$AI$8:$AI$68,AP$4-$B230+1)</f>
        <v/>
      </c>
      <c r="AQ230" s="153">
        <f>$C230*INDEX(Curves!$AI$8:$AI$68,AQ$4-$B230+1)</f>
        <v/>
      </c>
      <c r="AR230" s="153">
        <f>$C230*INDEX(Curves!$AI$8:$AI$68,AR$4-$B230+1)</f>
        <v/>
      </c>
      <c r="AS230" s="153">
        <f>$C230*INDEX(Curves!$AI$8:$AI$68,AS$4-$B230+1)</f>
        <v/>
      </c>
      <c r="AT230" s="153">
        <f>$C230*INDEX(Curves!$AI$8:$AI$68,AT$4-$B230+1)</f>
        <v/>
      </c>
      <c r="AU230" s="153">
        <f>$C230*INDEX(Curves!$AI$8:$AI$68,AU$4-$B230+1)</f>
        <v/>
      </c>
      <c r="AV230" s="153">
        <f>$C230*INDEX(Curves!$AI$8:$AI$68,AV$4-$B230+1)</f>
        <v/>
      </c>
      <c r="AW230" s="153">
        <f>$C230*INDEX(Curves!$AI$8:$AI$68,AW$4-$B230+1)</f>
        <v/>
      </c>
      <c r="AX230" s="153">
        <f>$C230*INDEX(Curves!$AI$8:$AI$68,AX$4-$B230+1)</f>
        <v/>
      </c>
      <c r="AY230" s="153">
        <f>$C230*INDEX(Curves!$AI$8:$AI$68,AY$4-$B230+1)</f>
        <v/>
      </c>
      <c r="AZ230" s="153">
        <f>$C230*INDEX(Curves!$AI$8:$AI$68,AZ$4-$B230+1)</f>
        <v/>
      </c>
      <c r="BA230" s="153">
        <f>$C230*INDEX(Curves!$AI$8:$AI$68,BA$4-$B230+1)</f>
        <v/>
      </c>
      <c r="BB230" s="153">
        <f>$C230*INDEX(Curves!$AI$8:$AI$68,BB$4-$B230+1)</f>
        <v/>
      </c>
      <c r="BC230" s="153">
        <f>$C230*INDEX(Curves!$AI$8:$AI$68,BC$4-$B230+1)</f>
        <v/>
      </c>
      <c r="BD230" s="153">
        <f>$C230*INDEX(Curves!$AI$8:$AI$68,BD$4-$B230+1)</f>
        <v/>
      </c>
      <c r="BE230" s="153">
        <f>$C230*INDEX(Curves!$AI$8:$AI$68,BE$4-$B230+1)</f>
        <v/>
      </c>
      <c r="BF230" s="153">
        <f>$C230*INDEX(Curves!$AI$8:$AI$68,BF$4-$B230+1)</f>
        <v/>
      </c>
      <c r="BG230" s="153">
        <f>$C230*INDEX(Curves!$AI$8:$AI$68,BG$4-$B230+1)</f>
        <v/>
      </c>
      <c r="BH230" s="153">
        <f>$C230*INDEX(Curves!$AI$8:$AI$68,BH$4-$B230+1)</f>
        <v/>
      </c>
      <c r="BI230" s="153">
        <f>$C230*INDEX(Curves!$AI$8:$AI$68,BI$4-$B230+1)</f>
        <v/>
      </c>
      <c r="BJ230" s="153">
        <f>$C230*INDEX(Curves!$AI$8:$AI$68,BJ$4-$B230+1)</f>
        <v/>
      </c>
      <c r="BK230" s="153">
        <f>$C230*INDEX(Curves!$AI$8:$AI$68,BK$4-$B230+1)</f>
        <v/>
      </c>
      <c r="BL230" s="153">
        <f>$C230*INDEX(Curves!$AI$8:$AI$68,BL$4-$B230+1)</f>
        <v/>
      </c>
    </row>
    <row r="231">
      <c r="A231" s="147" t="inlineStr">
        <is>
          <t>Cohort month 33</t>
        </is>
      </c>
      <c r="B231" s="147" t="n">
        <v>33</v>
      </c>
      <c r="C231" s="41">
        <f>INDEX(Ops!$E$60:$BL$60,1,$B231)</f>
        <v/>
      </c>
      <c r="AL231" s="153">
        <f>$C231*INDEX(Curves!$AI$8:$AI$68,AL$4-$B231+1)</f>
        <v/>
      </c>
      <c r="AM231" s="153">
        <f>$C231*INDEX(Curves!$AI$8:$AI$68,AM$4-$B231+1)</f>
        <v/>
      </c>
      <c r="AN231" s="153">
        <f>$C231*INDEX(Curves!$AI$8:$AI$68,AN$4-$B231+1)</f>
        <v/>
      </c>
      <c r="AO231" s="153">
        <f>$C231*INDEX(Curves!$AI$8:$AI$68,AO$4-$B231+1)</f>
        <v/>
      </c>
      <c r="AP231" s="153">
        <f>$C231*INDEX(Curves!$AI$8:$AI$68,AP$4-$B231+1)</f>
        <v/>
      </c>
      <c r="AQ231" s="153">
        <f>$C231*INDEX(Curves!$AI$8:$AI$68,AQ$4-$B231+1)</f>
        <v/>
      </c>
      <c r="AR231" s="153">
        <f>$C231*INDEX(Curves!$AI$8:$AI$68,AR$4-$B231+1)</f>
        <v/>
      </c>
      <c r="AS231" s="153">
        <f>$C231*INDEX(Curves!$AI$8:$AI$68,AS$4-$B231+1)</f>
        <v/>
      </c>
      <c r="AT231" s="153">
        <f>$C231*INDEX(Curves!$AI$8:$AI$68,AT$4-$B231+1)</f>
        <v/>
      </c>
      <c r="AU231" s="153">
        <f>$C231*INDEX(Curves!$AI$8:$AI$68,AU$4-$B231+1)</f>
        <v/>
      </c>
      <c r="AV231" s="153">
        <f>$C231*INDEX(Curves!$AI$8:$AI$68,AV$4-$B231+1)</f>
        <v/>
      </c>
      <c r="AW231" s="153">
        <f>$C231*INDEX(Curves!$AI$8:$AI$68,AW$4-$B231+1)</f>
        <v/>
      </c>
      <c r="AX231" s="153">
        <f>$C231*INDEX(Curves!$AI$8:$AI$68,AX$4-$B231+1)</f>
        <v/>
      </c>
      <c r="AY231" s="153">
        <f>$C231*INDEX(Curves!$AI$8:$AI$68,AY$4-$B231+1)</f>
        <v/>
      </c>
      <c r="AZ231" s="153">
        <f>$C231*INDEX(Curves!$AI$8:$AI$68,AZ$4-$B231+1)</f>
        <v/>
      </c>
      <c r="BA231" s="153">
        <f>$C231*INDEX(Curves!$AI$8:$AI$68,BA$4-$B231+1)</f>
        <v/>
      </c>
      <c r="BB231" s="153">
        <f>$C231*INDEX(Curves!$AI$8:$AI$68,BB$4-$B231+1)</f>
        <v/>
      </c>
      <c r="BC231" s="153">
        <f>$C231*INDEX(Curves!$AI$8:$AI$68,BC$4-$B231+1)</f>
        <v/>
      </c>
      <c r="BD231" s="153">
        <f>$C231*INDEX(Curves!$AI$8:$AI$68,BD$4-$B231+1)</f>
        <v/>
      </c>
      <c r="BE231" s="153">
        <f>$C231*INDEX(Curves!$AI$8:$AI$68,BE$4-$B231+1)</f>
        <v/>
      </c>
      <c r="BF231" s="153">
        <f>$C231*INDEX(Curves!$AI$8:$AI$68,BF$4-$B231+1)</f>
        <v/>
      </c>
      <c r="BG231" s="153">
        <f>$C231*INDEX(Curves!$AI$8:$AI$68,BG$4-$B231+1)</f>
        <v/>
      </c>
      <c r="BH231" s="153">
        <f>$C231*INDEX(Curves!$AI$8:$AI$68,BH$4-$B231+1)</f>
        <v/>
      </c>
      <c r="BI231" s="153">
        <f>$C231*INDEX(Curves!$AI$8:$AI$68,BI$4-$B231+1)</f>
        <v/>
      </c>
      <c r="BJ231" s="153">
        <f>$C231*INDEX(Curves!$AI$8:$AI$68,BJ$4-$B231+1)</f>
        <v/>
      </c>
      <c r="BK231" s="153">
        <f>$C231*INDEX(Curves!$AI$8:$AI$68,BK$4-$B231+1)</f>
        <v/>
      </c>
      <c r="BL231" s="153">
        <f>$C231*INDEX(Curves!$AI$8:$AI$68,BL$4-$B231+1)</f>
        <v/>
      </c>
    </row>
    <row r="232">
      <c r="A232" s="147" t="inlineStr">
        <is>
          <t>Cohort month 34</t>
        </is>
      </c>
      <c r="B232" s="147" t="n">
        <v>34</v>
      </c>
      <c r="C232" s="41">
        <f>INDEX(Ops!$E$60:$BL$60,1,$B232)</f>
        <v/>
      </c>
      <c r="AM232" s="153">
        <f>$C232*INDEX(Curves!$AI$8:$AI$68,AM$4-$B232+1)</f>
        <v/>
      </c>
      <c r="AN232" s="153">
        <f>$C232*INDEX(Curves!$AI$8:$AI$68,AN$4-$B232+1)</f>
        <v/>
      </c>
      <c r="AO232" s="153">
        <f>$C232*INDEX(Curves!$AI$8:$AI$68,AO$4-$B232+1)</f>
        <v/>
      </c>
      <c r="AP232" s="153">
        <f>$C232*INDEX(Curves!$AI$8:$AI$68,AP$4-$B232+1)</f>
        <v/>
      </c>
      <c r="AQ232" s="153">
        <f>$C232*INDEX(Curves!$AI$8:$AI$68,AQ$4-$B232+1)</f>
        <v/>
      </c>
      <c r="AR232" s="153">
        <f>$C232*INDEX(Curves!$AI$8:$AI$68,AR$4-$B232+1)</f>
        <v/>
      </c>
      <c r="AS232" s="153">
        <f>$C232*INDEX(Curves!$AI$8:$AI$68,AS$4-$B232+1)</f>
        <v/>
      </c>
      <c r="AT232" s="153">
        <f>$C232*INDEX(Curves!$AI$8:$AI$68,AT$4-$B232+1)</f>
        <v/>
      </c>
      <c r="AU232" s="153">
        <f>$C232*INDEX(Curves!$AI$8:$AI$68,AU$4-$B232+1)</f>
        <v/>
      </c>
      <c r="AV232" s="153">
        <f>$C232*INDEX(Curves!$AI$8:$AI$68,AV$4-$B232+1)</f>
        <v/>
      </c>
      <c r="AW232" s="153">
        <f>$C232*INDEX(Curves!$AI$8:$AI$68,AW$4-$B232+1)</f>
        <v/>
      </c>
      <c r="AX232" s="153">
        <f>$C232*INDEX(Curves!$AI$8:$AI$68,AX$4-$B232+1)</f>
        <v/>
      </c>
      <c r="AY232" s="153">
        <f>$C232*INDEX(Curves!$AI$8:$AI$68,AY$4-$B232+1)</f>
        <v/>
      </c>
      <c r="AZ232" s="153">
        <f>$C232*INDEX(Curves!$AI$8:$AI$68,AZ$4-$B232+1)</f>
        <v/>
      </c>
      <c r="BA232" s="153">
        <f>$C232*INDEX(Curves!$AI$8:$AI$68,BA$4-$B232+1)</f>
        <v/>
      </c>
      <c r="BB232" s="153">
        <f>$C232*INDEX(Curves!$AI$8:$AI$68,BB$4-$B232+1)</f>
        <v/>
      </c>
      <c r="BC232" s="153">
        <f>$C232*INDEX(Curves!$AI$8:$AI$68,BC$4-$B232+1)</f>
        <v/>
      </c>
      <c r="BD232" s="153">
        <f>$C232*INDEX(Curves!$AI$8:$AI$68,BD$4-$B232+1)</f>
        <v/>
      </c>
      <c r="BE232" s="153">
        <f>$C232*INDEX(Curves!$AI$8:$AI$68,BE$4-$B232+1)</f>
        <v/>
      </c>
      <c r="BF232" s="153">
        <f>$C232*INDEX(Curves!$AI$8:$AI$68,BF$4-$B232+1)</f>
        <v/>
      </c>
      <c r="BG232" s="153">
        <f>$C232*INDEX(Curves!$AI$8:$AI$68,BG$4-$B232+1)</f>
        <v/>
      </c>
      <c r="BH232" s="153">
        <f>$C232*INDEX(Curves!$AI$8:$AI$68,BH$4-$B232+1)</f>
        <v/>
      </c>
      <c r="BI232" s="153">
        <f>$C232*INDEX(Curves!$AI$8:$AI$68,BI$4-$B232+1)</f>
        <v/>
      </c>
      <c r="BJ232" s="153">
        <f>$C232*INDEX(Curves!$AI$8:$AI$68,BJ$4-$B232+1)</f>
        <v/>
      </c>
      <c r="BK232" s="153">
        <f>$C232*INDEX(Curves!$AI$8:$AI$68,BK$4-$B232+1)</f>
        <v/>
      </c>
      <c r="BL232" s="153">
        <f>$C232*INDEX(Curves!$AI$8:$AI$68,BL$4-$B232+1)</f>
        <v/>
      </c>
    </row>
    <row r="233">
      <c r="A233" s="147" t="inlineStr">
        <is>
          <t>Cohort month 35</t>
        </is>
      </c>
      <c r="B233" s="147" t="n">
        <v>35</v>
      </c>
      <c r="C233" s="41">
        <f>INDEX(Ops!$E$60:$BL$60,1,$B233)</f>
        <v/>
      </c>
      <c r="AN233" s="153">
        <f>$C233*INDEX(Curves!$AI$8:$AI$68,AN$4-$B233+1)</f>
        <v/>
      </c>
      <c r="AO233" s="153">
        <f>$C233*INDEX(Curves!$AI$8:$AI$68,AO$4-$B233+1)</f>
        <v/>
      </c>
      <c r="AP233" s="153">
        <f>$C233*INDEX(Curves!$AI$8:$AI$68,AP$4-$B233+1)</f>
        <v/>
      </c>
      <c r="AQ233" s="153">
        <f>$C233*INDEX(Curves!$AI$8:$AI$68,AQ$4-$B233+1)</f>
        <v/>
      </c>
      <c r="AR233" s="153">
        <f>$C233*INDEX(Curves!$AI$8:$AI$68,AR$4-$B233+1)</f>
        <v/>
      </c>
      <c r="AS233" s="153">
        <f>$C233*INDEX(Curves!$AI$8:$AI$68,AS$4-$B233+1)</f>
        <v/>
      </c>
      <c r="AT233" s="153">
        <f>$C233*INDEX(Curves!$AI$8:$AI$68,AT$4-$B233+1)</f>
        <v/>
      </c>
      <c r="AU233" s="153">
        <f>$C233*INDEX(Curves!$AI$8:$AI$68,AU$4-$B233+1)</f>
        <v/>
      </c>
      <c r="AV233" s="153">
        <f>$C233*INDEX(Curves!$AI$8:$AI$68,AV$4-$B233+1)</f>
        <v/>
      </c>
      <c r="AW233" s="153">
        <f>$C233*INDEX(Curves!$AI$8:$AI$68,AW$4-$B233+1)</f>
        <v/>
      </c>
      <c r="AX233" s="153">
        <f>$C233*INDEX(Curves!$AI$8:$AI$68,AX$4-$B233+1)</f>
        <v/>
      </c>
      <c r="AY233" s="153">
        <f>$C233*INDEX(Curves!$AI$8:$AI$68,AY$4-$B233+1)</f>
        <v/>
      </c>
      <c r="AZ233" s="153">
        <f>$C233*INDEX(Curves!$AI$8:$AI$68,AZ$4-$B233+1)</f>
        <v/>
      </c>
      <c r="BA233" s="153">
        <f>$C233*INDEX(Curves!$AI$8:$AI$68,BA$4-$B233+1)</f>
        <v/>
      </c>
      <c r="BB233" s="153">
        <f>$C233*INDEX(Curves!$AI$8:$AI$68,BB$4-$B233+1)</f>
        <v/>
      </c>
      <c r="BC233" s="153">
        <f>$C233*INDEX(Curves!$AI$8:$AI$68,BC$4-$B233+1)</f>
        <v/>
      </c>
      <c r="BD233" s="153">
        <f>$C233*INDEX(Curves!$AI$8:$AI$68,BD$4-$B233+1)</f>
        <v/>
      </c>
      <c r="BE233" s="153">
        <f>$C233*INDEX(Curves!$AI$8:$AI$68,BE$4-$B233+1)</f>
        <v/>
      </c>
      <c r="BF233" s="153">
        <f>$C233*INDEX(Curves!$AI$8:$AI$68,BF$4-$B233+1)</f>
        <v/>
      </c>
      <c r="BG233" s="153">
        <f>$C233*INDEX(Curves!$AI$8:$AI$68,BG$4-$B233+1)</f>
        <v/>
      </c>
      <c r="BH233" s="153">
        <f>$C233*INDEX(Curves!$AI$8:$AI$68,BH$4-$B233+1)</f>
        <v/>
      </c>
      <c r="BI233" s="153">
        <f>$C233*INDEX(Curves!$AI$8:$AI$68,BI$4-$B233+1)</f>
        <v/>
      </c>
      <c r="BJ233" s="153">
        <f>$C233*INDEX(Curves!$AI$8:$AI$68,BJ$4-$B233+1)</f>
        <v/>
      </c>
      <c r="BK233" s="153">
        <f>$C233*INDEX(Curves!$AI$8:$AI$68,BK$4-$B233+1)</f>
        <v/>
      </c>
      <c r="BL233" s="153">
        <f>$C233*INDEX(Curves!$AI$8:$AI$68,BL$4-$B233+1)</f>
        <v/>
      </c>
    </row>
    <row r="234">
      <c r="A234" s="147" t="inlineStr">
        <is>
          <t>Cohort month 36</t>
        </is>
      </c>
      <c r="B234" s="147" t="n">
        <v>36</v>
      </c>
      <c r="C234" s="41">
        <f>INDEX(Ops!$E$60:$BL$60,1,$B234)</f>
        <v/>
      </c>
      <c r="AO234" s="153">
        <f>$C234*INDEX(Curves!$AI$8:$AI$68,AO$4-$B234+1)</f>
        <v/>
      </c>
      <c r="AP234" s="153">
        <f>$C234*INDEX(Curves!$AI$8:$AI$68,AP$4-$B234+1)</f>
        <v/>
      </c>
      <c r="AQ234" s="153">
        <f>$C234*INDEX(Curves!$AI$8:$AI$68,AQ$4-$B234+1)</f>
        <v/>
      </c>
      <c r="AR234" s="153">
        <f>$C234*INDEX(Curves!$AI$8:$AI$68,AR$4-$B234+1)</f>
        <v/>
      </c>
      <c r="AS234" s="153">
        <f>$C234*INDEX(Curves!$AI$8:$AI$68,AS$4-$B234+1)</f>
        <v/>
      </c>
      <c r="AT234" s="153">
        <f>$C234*INDEX(Curves!$AI$8:$AI$68,AT$4-$B234+1)</f>
        <v/>
      </c>
      <c r="AU234" s="153">
        <f>$C234*INDEX(Curves!$AI$8:$AI$68,AU$4-$B234+1)</f>
        <v/>
      </c>
      <c r="AV234" s="153">
        <f>$C234*INDEX(Curves!$AI$8:$AI$68,AV$4-$B234+1)</f>
        <v/>
      </c>
      <c r="AW234" s="153">
        <f>$C234*INDEX(Curves!$AI$8:$AI$68,AW$4-$B234+1)</f>
        <v/>
      </c>
      <c r="AX234" s="153">
        <f>$C234*INDEX(Curves!$AI$8:$AI$68,AX$4-$B234+1)</f>
        <v/>
      </c>
      <c r="AY234" s="153">
        <f>$C234*INDEX(Curves!$AI$8:$AI$68,AY$4-$B234+1)</f>
        <v/>
      </c>
      <c r="AZ234" s="153">
        <f>$C234*INDEX(Curves!$AI$8:$AI$68,AZ$4-$B234+1)</f>
        <v/>
      </c>
      <c r="BA234" s="153">
        <f>$C234*INDEX(Curves!$AI$8:$AI$68,BA$4-$B234+1)</f>
        <v/>
      </c>
      <c r="BB234" s="153">
        <f>$C234*INDEX(Curves!$AI$8:$AI$68,BB$4-$B234+1)</f>
        <v/>
      </c>
      <c r="BC234" s="153">
        <f>$C234*INDEX(Curves!$AI$8:$AI$68,BC$4-$B234+1)</f>
        <v/>
      </c>
      <c r="BD234" s="153">
        <f>$C234*INDEX(Curves!$AI$8:$AI$68,BD$4-$B234+1)</f>
        <v/>
      </c>
      <c r="BE234" s="153">
        <f>$C234*INDEX(Curves!$AI$8:$AI$68,BE$4-$B234+1)</f>
        <v/>
      </c>
      <c r="BF234" s="153">
        <f>$C234*INDEX(Curves!$AI$8:$AI$68,BF$4-$B234+1)</f>
        <v/>
      </c>
      <c r="BG234" s="153">
        <f>$C234*INDEX(Curves!$AI$8:$AI$68,BG$4-$B234+1)</f>
        <v/>
      </c>
      <c r="BH234" s="153">
        <f>$C234*INDEX(Curves!$AI$8:$AI$68,BH$4-$B234+1)</f>
        <v/>
      </c>
      <c r="BI234" s="153">
        <f>$C234*INDEX(Curves!$AI$8:$AI$68,BI$4-$B234+1)</f>
        <v/>
      </c>
      <c r="BJ234" s="153">
        <f>$C234*INDEX(Curves!$AI$8:$AI$68,BJ$4-$B234+1)</f>
        <v/>
      </c>
      <c r="BK234" s="153">
        <f>$C234*INDEX(Curves!$AI$8:$AI$68,BK$4-$B234+1)</f>
        <v/>
      </c>
      <c r="BL234" s="153">
        <f>$C234*INDEX(Curves!$AI$8:$AI$68,BL$4-$B234+1)</f>
        <v/>
      </c>
    </row>
    <row r="235">
      <c r="A235" s="147" t="inlineStr">
        <is>
          <t>Cohort month 37</t>
        </is>
      </c>
      <c r="B235" s="147" t="n">
        <v>37</v>
      </c>
      <c r="C235" s="41">
        <f>INDEX(Ops!$E$60:$BL$60,1,$B235)</f>
        <v/>
      </c>
      <c r="AP235" s="153">
        <f>$C235*INDEX(Curves!$AI$8:$AI$68,AP$4-$B235+1)</f>
        <v/>
      </c>
      <c r="AQ235" s="153">
        <f>$C235*INDEX(Curves!$AI$8:$AI$68,AQ$4-$B235+1)</f>
        <v/>
      </c>
      <c r="AR235" s="153">
        <f>$C235*INDEX(Curves!$AI$8:$AI$68,AR$4-$B235+1)</f>
        <v/>
      </c>
      <c r="AS235" s="153">
        <f>$C235*INDEX(Curves!$AI$8:$AI$68,AS$4-$B235+1)</f>
        <v/>
      </c>
      <c r="AT235" s="153">
        <f>$C235*INDEX(Curves!$AI$8:$AI$68,AT$4-$B235+1)</f>
        <v/>
      </c>
      <c r="AU235" s="153">
        <f>$C235*INDEX(Curves!$AI$8:$AI$68,AU$4-$B235+1)</f>
        <v/>
      </c>
      <c r="AV235" s="153">
        <f>$C235*INDEX(Curves!$AI$8:$AI$68,AV$4-$B235+1)</f>
        <v/>
      </c>
      <c r="AW235" s="153">
        <f>$C235*INDEX(Curves!$AI$8:$AI$68,AW$4-$B235+1)</f>
        <v/>
      </c>
      <c r="AX235" s="153">
        <f>$C235*INDEX(Curves!$AI$8:$AI$68,AX$4-$B235+1)</f>
        <v/>
      </c>
      <c r="AY235" s="153">
        <f>$C235*INDEX(Curves!$AI$8:$AI$68,AY$4-$B235+1)</f>
        <v/>
      </c>
      <c r="AZ235" s="153">
        <f>$C235*INDEX(Curves!$AI$8:$AI$68,AZ$4-$B235+1)</f>
        <v/>
      </c>
      <c r="BA235" s="153">
        <f>$C235*INDEX(Curves!$AI$8:$AI$68,BA$4-$B235+1)</f>
        <v/>
      </c>
      <c r="BB235" s="153">
        <f>$C235*INDEX(Curves!$AI$8:$AI$68,BB$4-$B235+1)</f>
        <v/>
      </c>
      <c r="BC235" s="153">
        <f>$C235*INDEX(Curves!$AI$8:$AI$68,BC$4-$B235+1)</f>
        <v/>
      </c>
      <c r="BD235" s="153">
        <f>$C235*INDEX(Curves!$AI$8:$AI$68,BD$4-$B235+1)</f>
        <v/>
      </c>
      <c r="BE235" s="153">
        <f>$C235*INDEX(Curves!$AI$8:$AI$68,BE$4-$B235+1)</f>
        <v/>
      </c>
      <c r="BF235" s="153">
        <f>$C235*INDEX(Curves!$AI$8:$AI$68,BF$4-$B235+1)</f>
        <v/>
      </c>
      <c r="BG235" s="153">
        <f>$C235*INDEX(Curves!$AI$8:$AI$68,BG$4-$B235+1)</f>
        <v/>
      </c>
      <c r="BH235" s="153">
        <f>$C235*INDEX(Curves!$AI$8:$AI$68,BH$4-$B235+1)</f>
        <v/>
      </c>
      <c r="BI235" s="153">
        <f>$C235*INDEX(Curves!$AI$8:$AI$68,BI$4-$B235+1)</f>
        <v/>
      </c>
      <c r="BJ235" s="153">
        <f>$C235*INDEX(Curves!$AI$8:$AI$68,BJ$4-$B235+1)</f>
        <v/>
      </c>
      <c r="BK235" s="153">
        <f>$C235*INDEX(Curves!$AI$8:$AI$68,BK$4-$B235+1)</f>
        <v/>
      </c>
      <c r="BL235" s="153">
        <f>$C235*INDEX(Curves!$AI$8:$AI$68,BL$4-$B235+1)</f>
        <v/>
      </c>
    </row>
    <row r="236">
      <c r="A236" s="147" t="inlineStr">
        <is>
          <t>Cohort month 38</t>
        </is>
      </c>
      <c r="B236" s="147" t="n">
        <v>38</v>
      </c>
      <c r="C236" s="41">
        <f>INDEX(Ops!$E$60:$BL$60,1,$B236)</f>
        <v/>
      </c>
      <c r="AQ236" s="153">
        <f>$C236*INDEX(Curves!$AI$8:$AI$68,AQ$4-$B236+1)</f>
        <v/>
      </c>
      <c r="AR236" s="153">
        <f>$C236*INDEX(Curves!$AI$8:$AI$68,AR$4-$B236+1)</f>
        <v/>
      </c>
      <c r="AS236" s="153">
        <f>$C236*INDEX(Curves!$AI$8:$AI$68,AS$4-$B236+1)</f>
        <v/>
      </c>
      <c r="AT236" s="153">
        <f>$C236*INDEX(Curves!$AI$8:$AI$68,AT$4-$B236+1)</f>
        <v/>
      </c>
      <c r="AU236" s="153">
        <f>$C236*INDEX(Curves!$AI$8:$AI$68,AU$4-$B236+1)</f>
        <v/>
      </c>
      <c r="AV236" s="153">
        <f>$C236*INDEX(Curves!$AI$8:$AI$68,AV$4-$B236+1)</f>
        <v/>
      </c>
      <c r="AW236" s="153">
        <f>$C236*INDEX(Curves!$AI$8:$AI$68,AW$4-$B236+1)</f>
        <v/>
      </c>
      <c r="AX236" s="153">
        <f>$C236*INDEX(Curves!$AI$8:$AI$68,AX$4-$B236+1)</f>
        <v/>
      </c>
      <c r="AY236" s="153">
        <f>$C236*INDEX(Curves!$AI$8:$AI$68,AY$4-$B236+1)</f>
        <v/>
      </c>
      <c r="AZ236" s="153">
        <f>$C236*INDEX(Curves!$AI$8:$AI$68,AZ$4-$B236+1)</f>
        <v/>
      </c>
      <c r="BA236" s="153">
        <f>$C236*INDEX(Curves!$AI$8:$AI$68,BA$4-$B236+1)</f>
        <v/>
      </c>
      <c r="BB236" s="153">
        <f>$C236*INDEX(Curves!$AI$8:$AI$68,BB$4-$B236+1)</f>
        <v/>
      </c>
      <c r="BC236" s="153">
        <f>$C236*INDEX(Curves!$AI$8:$AI$68,BC$4-$B236+1)</f>
        <v/>
      </c>
      <c r="BD236" s="153">
        <f>$C236*INDEX(Curves!$AI$8:$AI$68,BD$4-$B236+1)</f>
        <v/>
      </c>
      <c r="BE236" s="153">
        <f>$C236*INDEX(Curves!$AI$8:$AI$68,BE$4-$B236+1)</f>
        <v/>
      </c>
      <c r="BF236" s="153">
        <f>$C236*INDEX(Curves!$AI$8:$AI$68,BF$4-$B236+1)</f>
        <v/>
      </c>
      <c r="BG236" s="153">
        <f>$C236*INDEX(Curves!$AI$8:$AI$68,BG$4-$B236+1)</f>
        <v/>
      </c>
      <c r="BH236" s="153">
        <f>$C236*INDEX(Curves!$AI$8:$AI$68,BH$4-$B236+1)</f>
        <v/>
      </c>
      <c r="BI236" s="153">
        <f>$C236*INDEX(Curves!$AI$8:$AI$68,BI$4-$B236+1)</f>
        <v/>
      </c>
      <c r="BJ236" s="153">
        <f>$C236*INDEX(Curves!$AI$8:$AI$68,BJ$4-$B236+1)</f>
        <v/>
      </c>
      <c r="BK236" s="153">
        <f>$C236*INDEX(Curves!$AI$8:$AI$68,BK$4-$B236+1)</f>
        <v/>
      </c>
      <c r="BL236" s="153">
        <f>$C236*INDEX(Curves!$AI$8:$AI$68,BL$4-$B236+1)</f>
        <v/>
      </c>
    </row>
    <row r="237">
      <c r="A237" s="147" t="inlineStr">
        <is>
          <t>Cohort month 39</t>
        </is>
      </c>
      <c r="B237" s="147" t="n">
        <v>39</v>
      </c>
      <c r="C237" s="41">
        <f>INDEX(Ops!$E$60:$BL$60,1,$B237)</f>
        <v/>
      </c>
      <c r="AR237" s="153">
        <f>$C237*INDEX(Curves!$AI$8:$AI$68,AR$4-$B237+1)</f>
        <v/>
      </c>
      <c r="AS237" s="153">
        <f>$C237*INDEX(Curves!$AI$8:$AI$68,AS$4-$B237+1)</f>
        <v/>
      </c>
      <c r="AT237" s="153">
        <f>$C237*INDEX(Curves!$AI$8:$AI$68,AT$4-$B237+1)</f>
        <v/>
      </c>
      <c r="AU237" s="153">
        <f>$C237*INDEX(Curves!$AI$8:$AI$68,AU$4-$B237+1)</f>
        <v/>
      </c>
      <c r="AV237" s="153">
        <f>$C237*INDEX(Curves!$AI$8:$AI$68,AV$4-$B237+1)</f>
        <v/>
      </c>
      <c r="AW237" s="153">
        <f>$C237*INDEX(Curves!$AI$8:$AI$68,AW$4-$B237+1)</f>
        <v/>
      </c>
      <c r="AX237" s="153">
        <f>$C237*INDEX(Curves!$AI$8:$AI$68,AX$4-$B237+1)</f>
        <v/>
      </c>
      <c r="AY237" s="153">
        <f>$C237*INDEX(Curves!$AI$8:$AI$68,AY$4-$B237+1)</f>
        <v/>
      </c>
      <c r="AZ237" s="153">
        <f>$C237*INDEX(Curves!$AI$8:$AI$68,AZ$4-$B237+1)</f>
        <v/>
      </c>
      <c r="BA237" s="153">
        <f>$C237*INDEX(Curves!$AI$8:$AI$68,BA$4-$B237+1)</f>
        <v/>
      </c>
      <c r="BB237" s="153">
        <f>$C237*INDEX(Curves!$AI$8:$AI$68,BB$4-$B237+1)</f>
        <v/>
      </c>
      <c r="BC237" s="153">
        <f>$C237*INDEX(Curves!$AI$8:$AI$68,BC$4-$B237+1)</f>
        <v/>
      </c>
      <c r="BD237" s="153">
        <f>$C237*INDEX(Curves!$AI$8:$AI$68,BD$4-$B237+1)</f>
        <v/>
      </c>
      <c r="BE237" s="153">
        <f>$C237*INDEX(Curves!$AI$8:$AI$68,BE$4-$B237+1)</f>
        <v/>
      </c>
      <c r="BF237" s="153">
        <f>$C237*INDEX(Curves!$AI$8:$AI$68,BF$4-$B237+1)</f>
        <v/>
      </c>
      <c r="BG237" s="153">
        <f>$C237*INDEX(Curves!$AI$8:$AI$68,BG$4-$B237+1)</f>
        <v/>
      </c>
      <c r="BH237" s="153">
        <f>$C237*INDEX(Curves!$AI$8:$AI$68,BH$4-$B237+1)</f>
        <v/>
      </c>
      <c r="BI237" s="153">
        <f>$C237*INDEX(Curves!$AI$8:$AI$68,BI$4-$B237+1)</f>
        <v/>
      </c>
      <c r="BJ237" s="153">
        <f>$C237*INDEX(Curves!$AI$8:$AI$68,BJ$4-$B237+1)</f>
        <v/>
      </c>
      <c r="BK237" s="153">
        <f>$C237*INDEX(Curves!$AI$8:$AI$68,BK$4-$B237+1)</f>
        <v/>
      </c>
      <c r="BL237" s="153">
        <f>$C237*INDEX(Curves!$AI$8:$AI$68,BL$4-$B237+1)</f>
        <v/>
      </c>
    </row>
    <row r="238">
      <c r="A238" s="147" t="inlineStr">
        <is>
          <t>Cohort month 40</t>
        </is>
      </c>
      <c r="B238" s="147" t="n">
        <v>40</v>
      </c>
      <c r="C238" s="41">
        <f>INDEX(Ops!$E$60:$BL$60,1,$B238)</f>
        <v/>
      </c>
      <c r="AS238" s="153">
        <f>$C238*INDEX(Curves!$AI$8:$AI$68,AS$4-$B238+1)</f>
        <v/>
      </c>
      <c r="AT238" s="153">
        <f>$C238*INDEX(Curves!$AI$8:$AI$68,AT$4-$B238+1)</f>
        <v/>
      </c>
      <c r="AU238" s="153">
        <f>$C238*INDEX(Curves!$AI$8:$AI$68,AU$4-$B238+1)</f>
        <v/>
      </c>
      <c r="AV238" s="153">
        <f>$C238*INDEX(Curves!$AI$8:$AI$68,AV$4-$B238+1)</f>
        <v/>
      </c>
      <c r="AW238" s="153">
        <f>$C238*INDEX(Curves!$AI$8:$AI$68,AW$4-$B238+1)</f>
        <v/>
      </c>
      <c r="AX238" s="153">
        <f>$C238*INDEX(Curves!$AI$8:$AI$68,AX$4-$B238+1)</f>
        <v/>
      </c>
      <c r="AY238" s="153">
        <f>$C238*INDEX(Curves!$AI$8:$AI$68,AY$4-$B238+1)</f>
        <v/>
      </c>
      <c r="AZ238" s="153">
        <f>$C238*INDEX(Curves!$AI$8:$AI$68,AZ$4-$B238+1)</f>
        <v/>
      </c>
      <c r="BA238" s="153">
        <f>$C238*INDEX(Curves!$AI$8:$AI$68,BA$4-$B238+1)</f>
        <v/>
      </c>
      <c r="BB238" s="153">
        <f>$C238*INDEX(Curves!$AI$8:$AI$68,BB$4-$B238+1)</f>
        <v/>
      </c>
      <c r="BC238" s="153">
        <f>$C238*INDEX(Curves!$AI$8:$AI$68,BC$4-$B238+1)</f>
        <v/>
      </c>
      <c r="BD238" s="153">
        <f>$C238*INDEX(Curves!$AI$8:$AI$68,BD$4-$B238+1)</f>
        <v/>
      </c>
      <c r="BE238" s="153">
        <f>$C238*INDEX(Curves!$AI$8:$AI$68,BE$4-$B238+1)</f>
        <v/>
      </c>
      <c r="BF238" s="153">
        <f>$C238*INDEX(Curves!$AI$8:$AI$68,BF$4-$B238+1)</f>
        <v/>
      </c>
      <c r="BG238" s="153">
        <f>$C238*INDEX(Curves!$AI$8:$AI$68,BG$4-$B238+1)</f>
        <v/>
      </c>
      <c r="BH238" s="153">
        <f>$C238*INDEX(Curves!$AI$8:$AI$68,BH$4-$B238+1)</f>
        <v/>
      </c>
      <c r="BI238" s="153">
        <f>$C238*INDEX(Curves!$AI$8:$AI$68,BI$4-$B238+1)</f>
        <v/>
      </c>
      <c r="BJ238" s="153">
        <f>$C238*INDEX(Curves!$AI$8:$AI$68,BJ$4-$B238+1)</f>
        <v/>
      </c>
      <c r="BK238" s="153">
        <f>$C238*INDEX(Curves!$AI$8:$AI$68,BK$4-$B238+1)</f>
        <v/>
      </c>
      <c r="BL238" s="153">
        <f>$C238*INDEX(Curves!$AI$8:$AI$68,BL$4-$B238+1)</f>
        <v/>
      </c>
    </row>
    <row r="239">
      <c r="A239" s="147" t="inlineStr">
        <is>
          <t>Cohort month 41</t>
        </is>
      </c>
      <c r="B239" s="147" t="n">
        <v>41</v>
      </c>
      <c r="C239" s="41">
        <f>INDEX(Ops!$E$60:$BL$60,1,$B239)</f>
        <v/>
      </c>
      <c r="AT239" s="153">
        <f>$C239*INDEX(Curves!$AI$8:$AI$68,AT$4-$B239+1)</f>
        <v/>
      </c>
      <c r="AU239" s="153">
        <f>$C239*INDEX(Curves!$AI$8:$AI$68,AU$4-$B239+1)</f>
        <v/>
      </c>
      <c r="AV239" s="153">
        <f>$C239*INDEX(Curves!$AI$8:$AI$68,AV$4-$B239+1)</f>
        <v/>
      </c>
      <c r="AW239" s="153">
        <f>$C239*INDEX(Curves!$AI$8:$AI$68,AW$4-$B239+1)</f>
        <v/>
      </c>
      <c r="AX239" s="153">
        <f>$C239*INDEX(Curves!$AI$8:$AI$68,AX$4-$B239+1)</f>
        <v/>
      </c>
      <c r="AY239" s="153">
        <f>$C239*INDEX(Curves!$AI$8:$AI$68,AY$4-$B239+1)</f>
        <v/>
      </c>
      <c r="AZ239" s="153">
        <f>$C239*INDEX(Curves!$AI$8:$AI$68,AZ$4-$B239+1)</f>
        <v/>
      </c>
      <c r="BA239" s="153">
        <f>$C239*INDEX(Curves!$AI$8:$AI$68,BA$4-$B239+1)</f>
        <v/>
      </c>
      <c r="BB239" s="153">
        <f>$C239*INDEX(Curves!$AI$8:$AI$68,BB$4-$B239+1)</f>
        <v/>
      </c>
      <c r="BC239" s="153">
        <f>$C239*INDEX(Curves!$AI$8:$AI$68,BC$4-$B239+1)</f>
        <v/>
      </c>
      <c r="BD239" s="153">
        <f>$C239*INDEX(Curves!$AI$8:$AI$68,BD$4-$B239+1)</f>
        <v/>
      </c>
      <c r="BE239" s="153">
        <f>$C239*INDEX(Curves!$AI$8:$AI$68,BE$4-$B239+1)</f>
        <v/>
      </c>
      <c r="BF239" s="153">
        <f>$C239*INDEX(Curves!$AI$8:$AI$68,BF$4-$B239+1)</f>
        <v/>
      </c>
      <c r="BG239" s="153">
        <f>$C239*INDEX(Curves!$AI$8:$AI$68,BG$4-$B239+1)</f>
        <v/>
      </c>
      <c r="BH239" s="153">
        <f>$C239*INDEX(Curves!$AI$8:$AI$68,BH$4-$B239+1)</f>
        <v/>
      </c>
      <c r="BI239" s="153">
        <f>$C239*INDEX(Curves!$AI$8:$AI$68,BI$4-$B239+1)</f>
        <v/>
      </c>
      <c r="BJ239" s="153">
        <f>$C239*INDEX(Curves!$AI$8:$AI$68,BJ$4-$B239+1)</f>
        <v/>
      </c>
      <c r="BK239" s="153">
        <f>$C239*INDEX(Curves!$AI$8:$AI$68,BK$4-$B239+1)</f>
        <v/>
      </c>
      <c r="BL239" s="153">
        <f>$C239*INDEX(Curves!$AI$8:$AI$68,BL$4-$B239+1)</f>
        <v/>
      </c>
    </row>
    <row r="240">
      <c r="A240" s="147" t="inlineStr">
        <is>
          <t>Cohort month 42</t>
        </is>
      </c>
      <c r="B240" s="147" t="n">
        <v>42</v>
      </c>
      <c r="C240" s="41">
        <f>INDEX(Ops!$E$60:$BL$60,1,$B240)</f>
        <v/>
      </c>
      <c r="AU240" s="153">
        <f>$C240*INDEX(Curves!$AI$8:$AI$68,AU$4-$B240+1)</f>
        <v/>
      </c>
      <c r="AV240" s="153">
        <f>$C240*INDEX(Curves!$AI$8:$AI$68,AV$4-$B240+1)</f>
        <v/>
      </c>
      <c r="AW240" s="153">
        <f>$C240*INDEX(Curves!$AI$8:$AI$68,AW$4-$B240+1)</f>
        <v/>
      </c>
      <c r="AX240" s="153">
        <f>$C240*INDEX(Curves!$AI$8:$AI$68,AX$4-$B240+1)</f>
        <v/>
      </c>
      <c r="AY240" s="153">
        <f>$C240*INDEX(Curves!$AI$8:$AI$68,AY$4-$B240+1)</f>
        <v/>
      </c>
      <c r="AZ240" s="153">
        <f>$C240*INDEX(Curves!$AI$8:$AI$68,AZ$4-$B240+1)</f>
        <v/>
      </c>
      <c r="BA240" s="153">
        <f>$C240*INDEX(Curves!$AI$8:$AI$68,BA$4-$B240+1)</f>
        <v/>
      </c>
      <c r="BB240" s="153">
        <f>$C240*INDEX(Curves!$AI$8:$AI$68,BB$4-$B240+1)</f>
        <v/>
      </c>
      <c r="BC240" s="153">
        <f>$C240*INDEX(Curves!$AI$8:$AI$68,BC$4-$B240+1)</f>
        <v/>
      </c>
      <c r="BD240" s="153">
        <f>$C240*INDEX(Curves!$AI$8:$AI$68,BD$4-$B240+1)</f>
        <v/>
      </c>
      <c r="BE240" s="153">
        <f>$C240*INDEX(Curves!$AI$8:$AI$68,BE$4-$B240+1)</f>
        <v/>
      </c>
      <c r="BF240" s="153">
        <f>$C240*INDEX(Curves!$AI$8:$AI$68,BF$4-$B240+1)</f>
        <v/>
      </c>
      <c r="BG240" s="153">
        <f>$C240*INDEX(Curves!$AI$8:$AI$68,BG$4-$B240+1)</f>
        <v/>
      </c>
      <c r="BH240" s="153">
        <f>$C240*INDEX(Curves!$AI$8:$AI$68,BH$4-$B240+1)</f>
        <v/>
      </c>
      <c r="BI240" s="153">
        <f>$C240*INDEX(Curves!$AI$8:$AI$68,BI$4-$B240+1)</f>
        <v/>
      </c>
      <c r="BJ240" s="153">
        <f>$C240*INDEX(Curves!$AI$8:$AI$68,BJ$4-$B240+1)</f>
        <v/>
      </c>
      <c r="BK240" s="153">
        <f>$C240*INDEX(Curves!$AI$8:$AI$68,BK$4-$B240+1)</f>
        <v/>
      </c>
      <c r="BL240" s="153">
        <f>$C240*INDEX(Curves!$AI$8:$AI$68,BL$4-$B240+1)</f>
        <v/>
      </c>
    </row>
    <row r="241">
      <c r="A241" s="147" t="inlineStr">
        <is>
          <t>Cohort month 43</t>
        </is>
      </c>
      <c r="B241" s="147" t="n">
        <v>43</v>
      </c>
      <c r="C241" s="41">
        <f>INDEX(Ops!$E$60:$BL$60,1,$B241)</f>
        <v/>
      </c>
      <c r="AV241" s="153">
        <f>$C241*INDEX(Curves!$AI$8:$AI$68,AV$4-$B241+1)</f>
        <v/>
      </c>
      <c r="AW241" s="153">
        <f>$C241*INDEX(Curves!$AI$8:$AI$68,AW$4-$B241+1)</f>
        <v/>
      </c>
      <c r="AX241" s="153">
        <f>$C241*INDEX(Curves!$AI$8:$AI$68,AX$4-$B241+1)</f>
        <v/>
      </c>
      <c r="AY241" s="153">
        <f>$C241*INDEX(Curves!$AI$8:$AI$68,AY$4-$B241+1)</f>
        <v/>
      </c>
      <c r="AZ241" s="153">
        <f>$C241*INDEX(Curves!$AI$8:$AI$68,AZ$4-$B241+1)</f>
        <v/>
      </c>
      <c r="BA241" s="153">
        <f>$C241*INDEX(Curves!$AI$8:$AI$68,BA$4-$B241+1)</f>
        <v/>
      </c>
      <c r="BB241" s="153">
        <f>$C241*INDEX(Curves!$AI$8:$AI$68,BB$4-$B241+1)</f>
        <v/>
      </c>
      <c r="BC241" s="153">
        <f>$C241*INDEX(Curves!$AI$8:$AI$68,BC$4-$B241+1)</f>
        <v/>
      </c>
      <c r="BD241" s="153">
        <f>$C241*INDEX(Curves!$AI$8:$AI$68,BD$4-$B241+1)</f>
        <v/>
      </c>
      <c r="BE241" s="153">
        <f>$C241*INDEX(Curves!$AI$8:$AI$68,BE$4-$B241+1)</f>
        <v/>
      </c>
      <c r="BF241" s="153">
        <f>$C241*INDEX(Curves!$AI$8:$AI$68,BF$4-$B241+1)</f>
        <v/>
      </c>
      <c r="BG241" s="153">
        <f>$C241*INDEX(Curves!$AI$8:$AI$68,BG$4-$B241+1)</f>
        <v/>
      </c>
      <c r="BH241" s="153">
        <f>$C241*INDEX(Curves!$AI$8:$AI$68,BH$4-$B241+1)</f>
        <v/>
      </c>
      <c r="BI241" s="153">
        <f>$C241*INDEX(Curves!$AI$8:$AI$68,BI$4-$B241+1)</f>
        <v/>
      </c>
      <c r="BJ241" s="153">
        <f>$C241*INDEX(Curves!$AI$8:$AI$68,BJ$4-$B241+1)</f>
        <v/>
      </c>
      <c r="BK241" s="153">
        <f>$C241*INDEX(Curves!$AI$8:$AI$68,BK$4-$B241+1)</f>
        <v/>
      </c>
      <c r="BL241" s="153">
        <f>$C241*INDEX(Curves!$AI$8:$AI$68,BL$4-$B241+1)</f>
        <v/>
      </c>
    </row>
    <row r="242">
      <c r="A242" s="147" t="inlineStr">
        <is>
          <t>Cohort month 44</t>
        </is>
      </c>
      <c r="B242" s="147" t="n">
        <v>44</v>
      </c>
      <c r="C242" s="41">
        <f>INDEX(Ops!$E$60:$BL$60,1,$B242)</f>
        <v/>
      </c>
      <c r="AW242" s="153">
        <f>$C242*INDEX(Curves!$AI$8:$AI$68,AW$4-$B242+1)</f>
        <v/>
      </c>
      <c r="AX242" s="153">
        <f>$C242*INDEX(Curves!$AI$8:$AI$68,AX$4-$B242+1)</f>
        <v/>
      </c>
      <c r="AY242" s="153">
        <f>$C242*INDEX(Curves!$AI$8:$AI$68,AY$4-$B242+1)</f>
        <v/>
      </c>
      <c r="AZ242" s="153">
        <f>$C242*INDEX(Curves!$AI$8:$AI$68,AZ$4-$B242+1)</f>
        <v/>
      </c>
      <c r="BA242" s="153">
        <f>$C242*INDEX(Curves!$AI$8:$AI$68,BA$4-$B242+1)</f>
        <v/>
      </c>
      <c r="BB242" s="153">
        <f>$C242*INDEX(Curves!$AI$8:$AI$68,BB$4-$B242+1)</f>
        <v/>
      </c>
      <c r="BC242" s="153">
        <f>$C242*INDEX(Curves!$AI$8:$AI$68,BC$4-$B242+1)</f>
        <v/>
      </c>
      <c r="BD242" s="153">
        <f>$C242*INDEX(Curves!$AI$8:$AI$68,BD$4-$B242+1)</f>
        <v/>
      </c>
      <c r="BE242" s="153">
        <f>$C242*INDEX(Curves!$AI$8:$AI$68,BE$4-$B242+1)</f>
        <v/>
      </c>
      <c r="BF242" s="153">
        <f>$C242*INDEX(Curves!$AI$8:$AI$68,BF$4-$B242+1)</f>
        <v/>
      </c>
      <c r="BG242" s="153">
        <f>$C242*INDEX(Curves!$AI$8:$AI$68,BG$4-$B242+1)</f>
        <v/>
      </c>
      <c r="BH242" s="153">
        <f>$C242*INDEX(Curves!$AI$8:$AI$68,BH$4-$B242+1)</f>
        <v/>
      </c>
      <c r="BI242" s="153">
        <f>$C242*INDEX(Curves!$AI$8:$AI$68,BI$4-$B242+1)</f>
        <v/>
      </c>
      <c r="BJ242" s="153">
        <f>$C242*INDEX(Curves!$AI$8:$AI$68,BJ$4-$B242+1)</f>
        <v/>
      </c>
      <c r="BK242" s="153">
        <f>$C242*INDEX(Curves!$AI$8:$AI$68,BK$4-$B242+1)</f>
        <v/>
      </c>
      <c r="BL242" s="153">
        <f>$C242*INDEX(Curves!$AI$8:$AI$68,BL$4-$B242+1)</f>
        <v/>
      </c>
    </row>
    <row r="243">
      <c r="A243" s="147" t="inlineStr">
        <is>
          <t>Cohort month 45</t>
        </is>
      </c>
      <c r="B243" s="147" t="n">
        <v>45</v>
      </c>
      <c r="C243" s="41">
        <f>INDEX(Ops!$E$60:$BL$60,1,$B243)</f>
        <v/>
      </c>
      <c r="AX243" s="153">
        <f>$C243*INDEX(Curves!$AI$8:$AI$68,AX$4-$B243+1)</f>
        <v/>
      </c>
      <c r="AY243" s="153">
        <f>$C243*INDEX(Curves!$AI$8:$AI$68,AY$4-$B243+1)</f>
        <v/>
      </c>
      <c r="AZ243" s="153">
        <f>$C243*INDEX(Curves!$AI$8:$AI$68,AZ$4-$B243+1)</f>
        <v/>
      </c>
      <c r="BA243" s="153">
        <f>$C243*INDEX(Curves!$AI$8:$AI$68,BA$4-$B243+1)</f>
        <v/>
      </c>
      <c r="BB243" s="153">
        <f>$C243*INDEX(Curves!$AI$8:$AI$68,BB$4-$B243+1)</f>
        <v/>
      </c>
      <c r="BC243" s="153">
        <f>$C243*INDEX(Curves!$AI$8:$AI$68,BC$4-$B243+1)</f>
        <v/>
      </c>
      <c r="BD243" s="153">
        <f>$C243*INDEX(Curves!$AI$8:$AI$68,BD$4-$B243+1)</f>
        <v/>
      </c>
      <c r="BE243" s="153">
        <f>$C243*INDEX(Curves!$AI$8:$AI$68,BE$4-$B243+1)</f>
        <v/>
      </c>
      <c r="BF243" s="153">
        <f>$C243*INDEX(Curves!$AI$8:$AI$68,BF$4-$B243+1)</f>
        <v/>
      </c>
      <c r="BG243" s="153">
        <f>$C243*INDEX(Curves!$AI$8:$AI$68,BG$4-$B243+1)</f>
        <v/>
      </c>
      <c r="BH243" s="153">
        <f>$C243*INDEX(Curves!$AI$8:$AI$68,BH$4-$B243+1)</f>
        <v/>
      </c>
      <c r="BI243" s="153">
        <f>$C243*INDEX(Curves!$AI$8:$AI$68,BI$4-$B243+1)</f>
        <v/>
      </c>
      <c r="BJ243" s="153">
        <f>$C243*INDEX(Curves!$AI$8:$AI$68,BJ$4-$B243+1)</f>
        <v/>
      </c>
      <c r="BK243" s="153">
        <f>$C243*INDEX(Curves!$AI$8:$AI$68,BK$4-$B243+1)</f>
        <v/>
      </c>
      <c r="BL243" s="153">
        <f>$C243*INDEX(Curves!$AI$8:$AI$68,BL$4-$B243+1)</f>
        <v/>
      </c>
    </row>
    <row r="244">
      <c r="A244" s="147" t="inlineStr">
        <is>
          <t>Cohort month 46</t>
        </is>
      </c>
      <c r="B244" s="147" t="n">
        <v>46</v>
      </c>
      <c r="C244" s="41">
        <f>INDEX(Ops!$E$60:$BL$60,1,$B244)</f>
        <v/>
      </c>
      <c r="AY244" s="153">
        <f>$C244*INDEX(Curves!$AI$8:$AI$68,AY$4-$B244+1)</f>
        <v/>
      </c>
      <c r="AZ244" s="153">
        <f>$C244*INDEX(Curves!$AI$8:$AI$68,AZ$4-$B244+1)</f>
        <v/>
      </c>
      <c r="BA244" s="153">
        <f>$C244*INDEX(Curves!$AI$8:$AI$68,BA$4-$B244+1)</f>
        <v/>
      </c>
      <c r="BB244" s="153">
        <f>$C244*INDEX(Curves!$AI$8:$AI$68,BB$4-$B244+1)</f>
        <v/>
      </c>
      <c r="BC244" s="153">
        <f>$C244*INDEX(Curves!$AI$8:$AI$68,BC$4-$B244+1)</f>
        <v/>
      </c>
      <c r="BD244" s="153">
        <f>$C244*INDEX(Curves!$AI$8:$AI$68,BD$4-$B244+1)</f>
        <v/>
      </c>
      <c r="BE244" s="153">
        <f>$C244*INDEX(Curves!$AI$8:$AI$68,BE$4-$B244+1)</f>
        <v/>
      </c>
      <c r="BF244" s="153">
        <f>$C244*INDEX(Curves!$AI$8:$AI$68,BF$4-$B244+1)</f>
        <v/>
      </c>
      <c r="BG244" s="153">
        <f>$C244*INDEX(Curves!$AI$8:$AI$68,BG$4-$B244+1)</f>
        <v/>
      </c>
      <c r="BH244" s="153">
        <f>$C244*INDEX(Curves!$AI$8:$AI$68,BH$4-$B244+1)</f>
        <v/>
      </c>
      <c r="BI244" s="153">
        <f>$C244*INDEX(Curves!$AI$8:$AI$68,BI$4-$B244+1)</f>
        <v/>
      </c>
      <c r="BJ244" s="153">
        <f>$C244*INDEX(Curves!$AI$8:$AI$68,BJ$4-$B244+1)</f>
        <v/>
      </c>
      <c r="BK244" s="153">
        <f>$C244*INDEX(Curves!$AI$8:$AI$68,BK$4-$B244+1)</f>
        <v/>
      </c>
      <c r="BL244" s="153">
        <f>$C244*INDEX(Curves!$AI$8:$AI$68,BL$4-$B244+1)</f>
        <v/>
      </c>
    </row>
    <row r="245">
      <c r="A245" s="147" t="inlineStr">
        <is>
          <t>Cohort month 47</t>
        </is>
      </c>
      <c r="B245" s="147" t="n">
        <v>47</v>
      </c>
      <c r="C245" s="41">
        <f>INDEX(Ops!$E$60:$BL$60,1,$B245)</f>
        <v/>
      </c>
      <c r="AZ245" s="153">
        <f>$C245*INDEX(Curves!$AI$8:$AI$68,AZ$4-$B245+1)</f>
        <v/>
      </c>
      <c r="BA245" s="153">
        <f>$C245*INDEX(Curves!$AI$8:$AI$68,BA$4-$B245+1)</f>
        <v/>
      </c>
      <c r="BB245" s="153">
        <f>$C245*INDEX(Curves!$AI$8:$AI$68,BB$4-$B245+1)</f>
        <v/>
      </c>
      <c r="BC245" s="153">
        <f>$C245*INDEX(Curves!$AI$8:$AI$68,BC$4-$B245+1)</f>
        <v/>
      </c>
      <c r="BD245" s="153">
        <f>$C245*INDEX(Curves!$AI$8:$AI$68,BD$4-$B245+1)</f>
        <v/>
      </c>
      <c r="BE245" s="153">
        <f>$C245*INDEX(Curves!$AI$8:$AI$68,BE$4-$B245+1)</f>
        <v/>
      </c>
      <c r="BF245" s="153">
        <f>$C245*INDEX(Curves!$AI$8:$AI$68,BF$4-$B245+1)</f>
        <v/>
      </c>
      <c r="BG245" s="153">
        <f>$C245*INDEX(Curves!$AI$8:$AI$68,BG$4-$B245+1)</f>
        <v/>
      </c>
      <c r="BH245" s="153">
        <f>$C245*INDEX(Curves!$AI$8:$AI$68,BH$4-$B245+1)</f>
        <v/>
      </c>
      <c r="BI245" s="153">
        <f>$C245*INDEX(Curves!$AI$8:$AI$68,BI$4-$B245+1)</f>
        <v/>
      </c>
      <c r="BJ245" s="153">
        <f>$C245*INDEX(Curves!$AI$8:$AI$68,BJ$4-$B245+1)</f>
        <v/>
      </c>
      <c r="BK245" s="153">
        <f>$C245*INDEX(Curves!$AI$8:$AI$68,BK$4-$B245+1)</f>
        <v/>
      </c>
      <c r="BL245" s="153">
        <f>$C245*INDEX(Curves!$AI$8:$AI$68,BL$4-$B245+1)</f>
        <v/>
      </c>
    </row>
    <row r="246">
      <c r="A246" s="147" t="inlineStr">
        <is>
          <t>Cohort month 48</t>
        </is>
      </c>
      <c r="B246" s="147" t="n">
        <v>48</v>
      </c>
      <c r="C246" s="41">
        <f>INDEX(Ops!$E$60:$BL$60,1,$B246)</f>
        <v/>
      </c>
      <c r="BA246" s="153">
        <f>$C246*INDEX(Curves!$AI$8:$AI$68,BA$4-$B246+1)</f>
        <v/>
      </c>
      <c r="BB246" s="153">
        <f>$C246*INDEX(Curves!$AI$8:$AI$68,BB$4-$B246+1)</f>
        <v/>
      </c>
      <c r="BC246" s="153">
        <f>$C246*INDEX(Curves!$AI$8:$AI$68,BC$4-$B246+1)</f>
        <v/>
      </c>
      <c r="BD246" s="153">
        <f>$C246*INDEX(Curves!$AI$8:$AI$68,BD$4-$B246+1)</f>
        <v/>
      </c>
      <c r="BE246" s="153">
        <f>$C246*INDEX(Curves!$AI$8:$AI$68,BE$4-$B246+1)</f>
        <v/>
      </c>
      <c r="BF246" s="153">
        <f>$C246*INDEX(Curves!$AI$8:$AI$68,BF$4-$B246+1)</f>
        <v/>
      </c>
      <c r="BG246" s="153">
        <f>$C246*INDEX(Curves!$AI$8:$AI$68,BG$4-$B246+1)</f>
        <v/>
      </c>
      <c r="BH246" s="153">
        <f>$C246*INDEX(Curves!$AI$8:$AI$68,BH$4-$B246+1)</f>
        <v/>
      </c>
      <c r="BI246" s="153">
        <f>$C246*INDEX(Curves!$AI$8:$AI$68,BI$4-$B246+1)</f>
        <v/>
      </c>
      <c r="BJ246" s="153">
        <f>$C246*INDEX(Curves!$AI$8:$AI$68,BJ$4-$B246+1)</f>
        <v/>
      </c>
      <c r="BK246" s="153">
        <f>$C246*INDEX(Curves!$AI$8:$AI$68,BK$4-$B246+1)</f>
        <v/>
      </c>
      <c r="BL246" s="153">
        <f>$C246*INDEX(Curves!$AI$8:$AI$68,BL$4-$B246+1)</f>
        <v/>
      </c>
    </row>
    <row r="247">
      <c r="A247" s="147" t="inlineStr">
        <is>
          <t>Cohort month 49</t>
        </is>
      </c>
      <c r="B247" s="147" t="n">
        <v>49</v>
      </c>
      <c r="C247" s="41">
        <f>INDEX(Ops!$E$60:$BL$60,1,$B247)</f>
        <v/>
      </c>
      <c r="BB247" s="153">
        <f>$C247*INDEX(Curves!$AI$8:$AI$68,BB$4-$B247+1)</f>
        <v/>
      </c>
      <c r="BC247" s="153">
        <f>$C247*INDEX(Curves!$AI$8:$AI$68,BC$4-$B247+1)</f>
        <v/>
      </c>
      <c r="BD247" s="153">
        <f>$C247*INDEX(Curves!$AI$8:$AI$68,BD$4-$B247+1)</f>
        <v/>
      </c>
      <c r="BE247" s="153">
        <f>$C247*INDEX(Curves!$AI$8:$AI$68,BE$4-$B247+1)</f>
        <v/>
      </c>
      <c r="BF247" s="153">
        <f>$C247*INDEX(Curves!$AI$8:$AI$68,BF$4-$B247+1)</f>
        <v/>
      </c>
      <c r="BG247" s="153">
        <f>$C247*INDEX(Curves!$AI$8:$AI$68,BG$4-$B247+1)</f>
        <v/>
      </c>
      <c r="BH247" s="153">
        <f>$C247*INDEX(Curves!$AI$8:$AI$68,BH$4-$B247+1)</f>
        <v/>
      </c>
      <c r="BI247" s="153">
        <f>$C247*INDEX(Curves!$AI$8:$AI$68,BI$4-$B247+1)</f>
        <v/>
      </c>
      <c r="BJ247" s="153">
        <f>$C247*INDEX(Curves!$AI$8:$AI$68,BJ$4-$B247+1)</f>
        <v/>
      </c>
      <c r="BK247" s="153">
        <f>$C247*INDEX(Curves!$AI$8:$AI$68,BK$4-$B247+1)</f>
        <v/>
      </c>
      <c r="BL247" s="153">
        <f>$C247*INDEX(Curves!$AI$8:$AI$68,BL$4-$B247+1)</f>
        <v/>
      </c>
    </row>
    <row r="248">
      <c r="A248" s="147" t="inlineStr">
        <is>
          <t>Cohort month 50</t>
        </is>
      </c>
      <c r="B248" s="147" t="n">
        <v>50</v>
      </c>
      <c r="C248" s="41">
        <f>INDEX(Ops!$E$60:$BL$60,1,$B248)</f>
        <v/>
      </c>
      <c r="BC248" s="153">
        <f>$C248*INDEX(Curves!$AI$8:$AI$68,BC$4-$B248+1)</f>
        <v/>
      </c>
      <c r="BD248" s="153">
        <f>$C248*INDEX(Curves!$AI$8:$AI$68,BD$4-$B248+1)</f>
        <v/>
      </c>
      <c r="BE248" s="153">
        <f>$C248*INDEX(Curves!$AI$8:$AI$68,BE$4-$B248+1)</f>
        <v/>
      </c>
      <c r="BF248" s="153">
        <f>$C248*INDEX(Curves!$AI$8:$AI$68,BF$4-$B248+1)</f>
        <v/>
      </c>
      <c r="BG248" s="153">
        <f>$C248*INDEX(Curves!$AI$8:$AI$68,BG$4-$B248+1)</f>
        <v/>
      </c>
      <c r="BH248" s="153">
        <f>$C248*INDEX(Curves!$AI$8:$AI$68,BH$4-$B248+1)</f>
        <v/>
      </c>
      <c r="BI248" s="153">
        <f>$C248*INDEX(Curves!$AI$8:$AI$68,BI$4-$B248+1)</f>
        <v/>
      </c>
      <c r="BJ248" s="153">
        <f>$C248*INDEX(Curves!$AI$8:$AI$68,BJ$4-$B248+1)</f>
        <v/>
      </c>
      <c r="BK248" s="153">
        <f>$C248*INDEX(Curves!$AI$8:$AI$68,BK$4-$B248+1)</f>
        <v/>
      </c>
      <c r="BL248" s="153">
        <f>$C248*INDEX(Curves!$AI$8:$AI$68,BL$4-$B248+1)</f>
        <v/>
      </c>
    </row>
    <row r="249">
      <c r="A249" s="147" t="inlineStr">
        <is>
          <t>Cohort month 51</t>
        </is>
      </c>
      <c r="B249" s="147" t="n">
        <v>51</v>
      </c>
      <c r="C249" s="41">
        <f>INDEX(Ops!$E$60:$BL$60,1,$B249)</f>
        <v/>
      </c>
      <c r="BD249" s="153">
        <f>$C249*INDEX(Curves!$AI$8:$AI$68,BD$4-$B249+1)</f>
        <v/>
      </c>
      <c r="BE249" s="153">
        <f>$C249*INDEX(Curves!$AI$8:$AI$68,BE$4-$B249+1)</f>
        <v/>
      </c>
      <c r="BF249" s="153">
        <f>$C249*INDEX(Curves!$AI$8:$AI$68,BF$4-$B249+1)</f>
        <v/>
      </c>
      <c r="BG249" s="153">
        <f>$C249*INDEX(Curves!$AI$8:$AI$68,BG$4-$B249+1)</f>
        <v/>
      </c>
      <c r="BH249" s="153">
        <f>$C249*INDEX(Curves!$AI$8:$AI$68,BH$4-$B249+1)</f>
        <v/>
      </c>
      <c r="BI249" s="153">
        <f>$C249*INDEX(Curves!$AI$8:$AI$68,BI$4-$B249+1)</f>
        <v/>
      </c>
      <c r="BJ249" s="153">
        <f>$C249*INDEX(Curves!$AI$8:$AI$68,BJ$4-$B249+1)</f>
        <v/>
      </c>
      <c r="BK249" s="153">
        <f>$C249*INDEX(Curves!$AI$8:$AI$68,BK$4-$B249+1)</f>
        <v/>
      </c>
      <c r="BL249" s="153">
        <f>$C249*INDEX(Curves!$AI$8:$AI$68,BL$4-$B249+1)</f>
        <v/>
      </c>
    </row>
    <row r="250">
      <c r="A250" s="147" t="inlineStr">
        <is>
          <t>Cohort month 52</t>
        </is>
      </c>
      <c r="B250" s="147" t="n">
        <v>52</v>
      </c>
      <c r="C250" s="41">
        <f>INDEX(Ops!$E$60:$BL$60,1,$B250)</f>
        <v/>
      </c>
      <c r="BE250" s="153">
        <f>$C250*INDEX(Curves!$AI$8:$AI$68,BE$4-$B250+1)</f>
        <v/>
      </c>
      <c r="BF250" s="153">
        <f>$C250*INDEX(Curves!$AI$8:$AI$68,BF$4-$B250+1)</f>
        <v/>
      </c>
      <c r="BG250" s="153">
        <f>$C250*INDEX(Curves!$AI$8:$AI$68,BG$4-$B250+1)</f>
        <v/>
      </c>
      <c r="BH250" s="153">
        <f>$C250*INDEX(Curves!$AI$8:$AI$68,BH$4-$B250+1)</f>
        <v/>
      </c>
      <c r="BI250" s="153">
        <f>$C250*INDEX(Curves!$AI$8:$AI$68,BI$4-$B250+1)</f>
        <v/>
      </c>
      <c r="BJ250" s="153">
        <f>$C250*INDEX(Curves!$AI$8:$AI$68,BJ$4-$B250+1)</f>
        <v/>
      </c>
      <c r="BK250" s="153">
        <f>$C250*INDEX(Curves!$AI$8:$AI$68,BK$4-$B250+1)</f>
        <v/>
      </c>
      <c r="BL250" s="153">
        <f>$C250*INDEX(Curves!$AI$8:$AI$68,BL$4-$B250+1)</f>
        <v/>
      </c>
    </row>
    <row r="251">
      <c r="A251" s="147" t="inlineStr">
        <is>
          <t>Cohort month 53</t>
        </is>
      </c>
      <c r="B251" s="147" t="n">
        <v>53</v>
      </c>
      <c r="C251" s="41">
        <f>INDEX(Ops!$E$60:$BL$60,1,$B251)</f>
        <v/>
      </c>
      <c r="BF251" s="153">
        <f>$C251*INDEX(Curves!$AI$8:$AI$68,BF$4-$B251+1)</f>
        <v/>
      </c>
      <c r="BG251" s="153">
        <f>$C251*INDEX(Curves!$AI$8:$AI$68,BG$4-$B251+1)</f>
        <v/>
      </c>
      <c r="BH251" s="153">
        <f>$C251*INDEX(Curves!$AI$8:$AI$68,BH$4-$B251+1)</f>
        <v/>
      </c>
      <c r="BI251" s="153">
        <f>$C251*INDEX(Curves!$AI$8:$AI$68,BI$4-$B251+1)</f>
        <v/>
      </c>
      <c r="BJ251" s="153">
        <f>$C251*INDEX(Curves!$AI$8:$AI$68,BJ$4-$B251+1)</f>
        <v/>
      </c>
      <c r="BK251" s="153">
        <f>$C251*INDEX(Curves!$AI$8:$AI$68,BK$4-$B251+1)</f>
        <v/>
      </c>
      <c r="BL251" s="153">
        <f>$C251*INDEX(Curves!$AI$8:$AI$68,BL$4-$B251+1)</f>
        <v/>
      </c>
    </row>
    <row r="252">
      <c r="A252" s="147" t="inlineStr">
        <is>
          <t>Cohort month 54</t>
        </is>
      </c>
      <c r="B252" s="147" t="n">
        <v>54</v>
      </c>
      <c r="C252" s="41">
        <f>INDEX(Ops!$E$60:$BL$60,1,$B252)</f>
        <v/>
      </c>
      <c r="BG252" s="153">
        <f>$C252*INDEX(Curves!$AI$8:$AI$68,BG$4-$B252+1)</f>
        <v/>
      </c>
      <c r="BH252" s="153">
        <f>$C252*INDEX(Curves!$AI$8:$AI$68,BH$4-$B252+1)</f>
        <v/>
      </c>
      <c r="BI252" s="153">
        <f>$C252*INDEX(Curves!$AI$8:$AI$68,BI$4-$B252+1)</f>
        <v/>
      </c>
      <c r="BJ252" s="153">
        <f>$C252*INDEX(Curves!$AI$8:$AI$68,BJ$4-$B252+1)</f>
        <v/>
      </c>
      <c r="BK252" s="153">
        <f>$C252*INDEX(Curves!$AI$8:$AI$68,BK$4-$B252+1)</f>
        <v/>
      </c>
      <c r="BL252" s="153">
        <f>$C252*INDEX(Curves!$AI$8:$AI$68,BL$4-$B252+1)</f>
        <v/>
      </c>
    </row>
    <row r="253">
      <c r="A253" s="147" t="inlineStr">
        <is>
          <t>Cohort month 55</t>
        </is>
      </c>
      <c r="B253" s="147" t="n">
        <v>55</v>
      </c>
      <c r="C253" s="41">
        <f>INDEX(Ops!$E$60:$BL$60,1,$B253)</f>
        <v/>
      </c>
      <c r="BH253" s="153">
        <f>$C253*INDEX(Curves!$AI$8:$AI$68,BH$4-$B253+1)</f>
        <v/>
      </c>
      <c r="BI253" s="153">
        <f>$C253*INDEX(Curves!$AI$8:$AI$68,BI$4-$B253+1)</f>
        <v/>
      </c>
      <c r="BJ253" s="153">
        <f>$C253*INDEX(Curves!$AI$8:$AI$68,BJ$4-$B253+1)</f>
        <v/>
      </c>
      <c r="BK253" s="153">
        <f>$C253*INDEX(Curves!$AI$8:$AI$68,BK$4-$B253+1)</f>
        <v/>
      </c>
      <c r="BL253" s="153">
        <f>$C253*INDEX(Curves!$AI$8:$AI$68,BL$4-$B253+1)</f>
        <v/>
      </c>
    </row>
    <row r="254">
      <c r="A254" s="147" t="inlineStr">
        <is>
          <t>Cohort month 56</t>
        </is>
      </c>
      <c r="B254" s="147" t="n">
        <v>56</v>
      </c>
      <c r="C254" s="41">
        <f>INDEX(Ops!$E$60:$BL$60,1,$B254)</f>
        <v/>
      </c>
      <c r="BI254" s="153">
        <f>$C254*INDEX(Curves!$AI$8:$AI$68,BI$4-$B254+1)</f>
        <v/>
      </c>
      <c r="BJ254" s="153">
        <f>$C254*INDEX(Curves!$AI$8:$AI$68,BJ$4-$B254+1)</f>
        <v/>
      </c>
      <c r="BK254" s="153">
        <f>$C254*INDEX(Curves!$AI$8:$AI$68,BK$4-$B254+1)</f>
        <v/>
      </c>
      <c r="BL254" s="153">
        <f>$C254*INDEX(Curves!$AI$8:$AI$68,BL$4-$B254+1)</f>
        <v/>
      </c>
    </row>
    <row r="255">
      <c r="A255" s="147" t="inlineStr">
        <is>
          <t>Cohort month 57</t>
        </is>
      </c>
      <c r="B255" s="147" t="n">
        <v>57</v>
      </c>
      <c r="C255" s="41">
        <f>INDEX(Ops!$E$60:$BL$60,1,$B255)</f>
        <v/>
      </c>
      <c r="BJ255" s="153">
        <f>$C255*INDEX(Curves!$AI$8:$AI$68,BJ$4-$B255+1)</f>
        <v/>
      </c>
      <c r="BK255" s="153">
        <f>$C255*INDEX(Curves!$AI$8:$AI$68,BK$4-$B255+1)</f>
        <v/>
      </c>
      <c r="BL255" s="153">
        <f>$C255*INDEX(Curves!$AI$8:$AI$68,BL$4-$B255+1)</f>
        <v/>
      </c>
    </row>
    <row r="256">
      <c r="A256" s="147" t="inlineStr">
        <is>
          <t>Cohort month 58</t>
        </is>
      </c>
      <c r="B256" s="147" t="n">
        <v>58</v>
      </c>
      <c r="C256" s="41">
        <f>INDEX(Ops!$E$60:$BL$60,1,$B256)</f>
        <v/>
      </c>
      <c r="BK256" s="153">
        <f>$C256*INDEX(Curves!$AI$8:$AI$68,BK$4-$B256+1)</f>
        <v/>
      </c>
      <c r="BL256" s="153">
        <f>$C256*INDEX(Curves!$AI$8:$AI$68,BL$4-$B256+1)</f>
        <v/>
      </c>
    </row>
    <row r="257">
      <c r="A257" s="147" t="inlineStr">
        <is>
          <t>Cohort month 59</t>
        </is>
      </c>
      <c r="B257" s="147" t="n">
        <v>59</v>
      </c>
      <c r="C257" s="41">
        <f>INDEX(Ops!$E$60:$BL$60,1,$B257)</f>
        <v/>
      </c>
      <c r="BL257" s="153">
        <f>$C257*INDEX(Curves!$AI$8:$AI$68,BL$4-$B257+1)</f>
        <v/>
      </c>
    </row>
    <row r="258">
      <c r="A258" s="147" t="inlineStr">
        <is>
          <t>Cohort month 60</t>
        </is>
      </c>
      <c r="B258" s="147" t="n">
        <v>60</v>
      </c>
      <c r="C258" s="41">
        <f>INDEX(Ops!$E$60:$BL$60,1,$B258)</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41.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Cohort (vintage) analysis: Tier 4: Solar inverter + lithium (~1.2 kWp / 5 kWh)</t>
        </is>
      </c>
    </row>
    <row r="2">
      <c r="A2" s="18" t="inlineStr">
        <is>
          <t>[FORECAST]  Rows = sales cohort (month of sale); columns = calendar month. Cohort size in column C.</t>
        </is>
      </c>
    </row>
    <row r="3"/>
    <row r="4">
      <c r="A4" s="94" t="inlineStr">
        <is>
          <t>Month #</t>
        </is>
      </c>
      <c r="B4" s="95" t="n"/>
      <c r="C4" s="95" t="n"/>
      <c r="D4" s="94" t="inlineStr">
        <is>
          <t>Opening</t>
        </is>
      </c>
      <c r="E4" s="96">
        <f>Timeline!E4</f>
        <v/>
      </c>
      <c r="F4" s="96">
        <f>Timeline!F4</f>
        <v/>
      </c>
      <c r="G4" s="96">
        <f>Timeline!G4</f>
        <v/>
      </c>
      <c r="H4" s="96">
        <f>Timeline!H4</f>
        <v/>
      </c>
      <c r="I4" s="96">
        <f>Timeline!I4</f>
        <v/>
      </c>
      <c r="J4" s="96">
        <f>Timeline!J4</f>
        <v/>
      </c>
      <c r="K4" s="96">
        <f>Timeline!K4</f>
        <v/>
      </c>
      <c r="L4" s="96">
        <f>Timeline!L4</f>
        <v/>
      </c>
      <c r="M4" s="96">
        <f>Timeline!M4</f>
        <v/>
      </c>
      <c r="N4" s="96">
        <f>Timeline!N4</f>
        <v/>
      </c>
      <c r="O4" s="96">
        <f>Timeline!O4</f>
        <v/>
      </c>
      <c r="P4" s="96">
        <f>Timeline!P4</f>
        <v/>
      </c>
      <c r="Q4" s="96">
        <f>Timeline!Q4</f>
        <v/>
      </c>
      <c r="R4" s="96">
        <f>Timeline!R4</f>
        <v/>
      </c>
      <c r="S4" s="96">
        <f>Timeline!S4</f>
        <v/>
      </c>
      <c r="T4" s="96">
        <f>Timeline!T4</f>
        <v/>
      </c>
      <c r="U4" s="96">
        <f>Timeline!U4</f>
        <v/>
      </c>
      <c r="V4" s="96">
        <f>Timeline!V4</f>
        <v/>
      </c>
      <c r="W4" s="96">
        <f>Timeline!W4</f>
        <v/>
      </c>
      <c r="X4" s="96">
        <f>Timeline!X4</f>
        <v/>
      </c>
      <c r="Y4" s="96">
        <f>Timeline!Y4</f>
        <v/>
      </c>
      <c r="Z4" s="96">
        <f>Timeline!Z4</f>
        <v/>
      </c>
      <c r="AA4" s="96">
        <f>Timeline!AA4</f>
        <v/>
      </c>
      <c r="AB4" s="96">
        <f>Timeline!AB4</f>
        <v/>
      </c>
      <c r="AC4" s="96">
        <f>Timeline!AC4</f>
        <v/>
      </c>
      <c r="AD4" s="96">
        <f>Timeline!AD4</f>
        <v/>
      </c>
      <c r="AE4" s="96">
        <f>Timeline!AE4</f>
        <v/>
      </c>
      <c r="AF4" s="96">
        <f>Timeline!AF4</f>
        <v/>
      </c>
      <c r="AG4" s="96">
        <f>Timeline!AG4</f>
        <v/>
      </c>
      <c r="AH4" s="96">
        <f>Timeline!AH4</f>
        <v/>
      </c>
      <c r="AI4" s="96">
        <f>Timeline!AI4</f>
        <v/>
      </c>
      <c r="AJ4" s="96">
        <f>Timeline!AJ4</f>
        <v/>
      </c>
      <c r="AK4" s="96">
        <f>Timeline!AK4</f>
        <v/>
      </c>
      <c r="AL4" s="96">
        <f>Timeline!AL4</f>
        <v/>
      </c>
      <c r="AM4" s="96">
        <f>Timeline!AM4</f>
        <v/>
      </c>
      <c r="AN4" s="96">
        <f>Timeline!AN4</f>
        <v/>
      </c>
      <c r="AO4" s="96">
        <f>Timeline!AO4</f>
        <v/>
      </c>
      <c r="AP4" s="96">
        <f>Timeline!AP4</f>
        <v/>
      </c>
      <c r="AQ4" s="96">
        <f>Timeline!AQ4</f>
        <v/>
      </c>
      <c r="AR4" s="96">
        <f>Timeline!AR4</f>
        <v/>
      </c>
      <c r="AS4" s="96">
        <f>Timeline!AS4</f>
        <v/>
      </c>
      <c r="AT4" s="96">
        <f>Timeline!AT4</f>
        <v/>
      </c>
      <c r="AU4" s="96">
        <f>Timeline!AU4</f>
        <v/>
      </c>
      <c r="AV4" s="96">
        <f>Timeline!AV4</f>
        <v/>
      </c>
      <c r="AW4" s="96">
        <f>Timeline!AW4</f>
        <v/>
      </c>
      <c r="AX4" s="96">
        <f>Timeline!AX4</f>
        <v/>
      </c>
      <c r="AY4" s="96">
        <f>Timeline!AY4</f>
        <v/>
      </c>
      <c r="AZ4" s="96">
        <f>Timeline!AZ4</f>
        <v/>
      </c>
      <c r="BA4" s="96">
        <f>Timeline!BA4</f>
        <v/>
      </c>
      <c r="BB4" s="96">
        <f>Timeline!BB4</f>
        <v/>
      </c>
      <c r="BC4" s="96">
        <f>Timeline!BC4</f>
        <v/>
      </c>
      <c r="BD4" s="96">
        <f>Timeline!BD4</f>
        <v/>
      </c>
      <c r="BE4" s="96">
        <f>Timeline!BE4</f>
        <v/>
      </c>
      <c r="BF4" s="96">
        <f>Timeline!BF4</f>
        <v/>
      </c>
      <c r="BG4" s="96">
        <f>Timeline!BG4</f>
        <v/>
      </c>
      <c r="BH4" s="96">
        <f>Timeline!BH4</f>
        <v/>
      </c>
      <c r="BI4" s="96">
        <f>Timeline!BI4</f>
        <v/>
      </c>
      <c r="BJ4" s="96">
        <f>Timeline!BJ4</f>
        <v/>
      </c>
      <c r="BK4" s="96">
        <f>Timeline!BK4</f>
        <v/>
      </c>
      <c r="BL4" s="96">
        <f>Timeline!BL4</f>
        <v/>
      </c>
    </row>
    <row r="5">
      <c r="A5" s="94" t="inlineStr">
        <is>
          <t>Period end</t>
        </is>
      </c>
      <c r="B5" s="95" t="n"/>
      <c r="C5" s="95" t="n"/>
      <c r="D5" s="94" t="n"/>
      <c r="E5" s="97">
        <f>Timeline!E5</f>
        <v/>
      </c>
      <c r="F5" s="97">
        <f>Timeline!F5</f>
        <v/>
      </c>
      <c r="G5" s="97">
        <f>Timeline!G5</f>
        <v/>
      </c>
      <c r="H5" s="97">
        <f>Timeline!H5</f>
        <v/>
      </c>
      <c r="I5" s="97">
        <f>Timeline!I5</f>
        <v/>
      </c>
      <c r="J5" s="97">
        <f>Timeline!J5</f>
        <v/>
      </c>
      <c r="K5" s="97">
        <f>Timeline!K5</f>
        <v/>
      </c>
      <c r="L5" s="97">
        <f>Timeline!L5</f>
        <v/>
      </c>
      <c r="M5" s="97">
        <f>Timeline!M5</f>
        <v/>
      </c>
      <c r="N5" s="97">
        <f>Timeline!N5</f>
        <v/>
      </c>
      <c r="O5" s="97">
        <f>Timeline!O5</f>
        <v/>
      </c>
      <c r="P5" s="97">
        <f>Timeline!P5</f>
        <v/>
      </c>
      <c r="Q5" s="97">
        <f>Timeline!Q5</f>
        <v/>
      </c>
      <c r="R5" s="97">
        <f>Timeline!R5</f>
        <v/>
      </c>
      <c r="S5" s="97">
        <f>Timeline!S5</f>
        <v/>
      </c>
      <c r="T5" s="97">
        <f>Timeline!T5</f>
        <v/>
      </c>
      <c r="U5" s="97">
        <f>Timeline!U5</f>
        <v/>
      </c>
      <c r="V5" s="97">
        <f>Timeline!V5</f>
        <v/>
      </c>
      <c r="W5" s="97">
        <f>Timeline!W5</f>
        <v/>
      </c>
      <c r="X5" s="97">
        <f>Timeline!X5</f>
        <v/>
      </c>
      <c r="Y5" s="97">
        <f>Timeline!Y5</f>
        <v/>
      </c>
      <c r="Z5" s="97">
        <f>Timeline!Z5</f>
        <v/>
      </c>
      <c r="AA5" s="97">
        <f>Timeline!AA5</f>
        <v/>
      </c>
      <c r="AB5" s="97">
        <f>Timeline!AB5</f>
        <v/>
      </c>
      <c r="AC5" s="97">
        <f>Timeline!AC5</f>
        <v/>
      </c>
      <c r="AD5" s="97">
        <f>Timeline!AD5</f>
        <v/>
      </c>
      <c r="AE5" s="97">
        <f>Timeline!AE5</f>
        <v/>
      </c>
      <c r="AF5" s="97">
        <f>Timeline!AF5</f>
        <v/>
      </c>
      <c r="AG5" s="97">
        <f>Timeline!AG5</f>
        <v/>
      </c>
      <c r="AH5" s="97">
        <f>Timeline!AH5</f>
        <v/>
      </c>
      <c r="AI5" s="97">
        <f>Timeline!AI5</f>
        <v/>
      </c>
      <c r="AJ5" s="97">
        <f>Timeline!AJ5</f>
        <v/>
      </c>
      <c r="AK5" s="97">
        <f>Timeline!AK5</f>
        <v/>
      </c>
      <c r="AL5" s="97">
        <f>Timeline!AL5</f>
        <v/>
      </c>
      <c r="AM5" s="97">
        <f>Timeline!AM5</f>
        <v/>
      </c>
      <c r="AN5" s="97">
        <f>Timeline!AN5</f>
        <v/>
      </c>
      <c r="AO5" s="97">
        <f>Timeline!AO5</f>
        <v/>
      </c>
      <c r="AP5" s="97">
        <f>Timeline!AP5</f>
        <v/>
      </c>
      <c r="AQ5" s="97">
        <f>Timeline!AQ5</f>
        <v/>
      </c>
      <c r="AR5" s="97">
        <f>Timeline!AR5</f>
        <v/>
      </c>
      <c r="AS5" s="97">
        <f>Timeline!AS5</f>
        <v/>
      </c>
      <c r="AT5" s="97">
        <f>Timeline!AT5</f>
        <v/>
      </c>
      <c r="AU5" s="97">
        <f>Timeline!AU5</f>
        <v/>
      </c>
      <c r="AV5" s="97">
        <f>Timeline!AV5</f>
        <v/>
      </c>
      <c r="AW5" s="97">
        <f>Timeline!AW5</f>
        <v/>
      </c>
      <c r="AX5" s="97">
        <f>Timeline!AX5</f>
        <v/>
      </c>
      <c r="AY5" s="97">
        <f>Timeline!AY5</f>
        <v/>
      </c>
      <c r="AZ5" s="97">
        <f>Timeline!AZ5</f>
        <v/>
      </c>
      <c r="BA5" s="97">
        <f>Timeline!BA5</f>
        <v/>
      </c>
      <c r="BB5" s="97">
        <f>Timeline!BB5</f>
        <v/>
      </c>
      <c r="BC5" s="97">
        <f>Timeline!BC5</f>
        <v/>
      </c>
      <c r="BD5" s="97">
        <f>Timeline!BD5</f>
        <v/>
      </c>
      <c r="BE5" s="97">
        <f>Timeline!BE5</f>
        <v/>
      </c>
      <c r="BF5" s="97">
        <f>Timeline!BF5</f>
        <v/>
      </c>
      <c r="BG5" s="97">
        <f>Timeline!BG5</f>
        <v/>
      </c>
      <c r="BH5" s="97">
        <f>Timeline!BH5</f>
        <v/>
      </c>
      <c r="BI5" s="97">
        <f>Timeline!BI5</f>
        <v/>
      </c>
      <c r="BJ5" s="97">
        <f>Timeline!BJ5</f>
        <v/>
      </c>
      <c r="BK5" s="97">
        <f>Timeline!BK5</f>
        <v/>
      </c>
      <c r="BL5" s="97">
        <f>Timeline!BL5</f>
        <v/>
      </c>
    </row>
    <row r="6">
      <c r="A6" s="94" t="inlineStr">
        <is>
          <t>Year #</t>
        </is>
      </c>
      <c r="B6" s="95" t="n"/>
      <c r="C6" s="95" t="n"/>
      <c r="D6" s="94" t="n"/>
      <c r="E6" s="96">
        <f>Timeline!E6</f>
        <v/>
      </c>
      <c r="F6" s="96">
        <f>Timeline!F6</f>
        <v/>
      </c>
      <c r="G6" s="96">
        <f>Timeline!G6</f>
        <v/>
      </c>
      <c r="H6" s="96">
        <f>Timeline!H6</f>
        <v/>
      </c>
      <c r="I6" s="96">
        <f>Timeline!I6</f>
        <v/>
      </c>
      <c r="J6" s="96">
        <f>Timeline!J6</f>
        <v/>
      </c>
      <c r="K6" s="96">
        <f>Timeline!K6</f>
        <v/>
      </c>
      <c r="L6" s="96">
        <f>Timeline!L6</f>
        <v/>
      </c>
      <c r="M6" s="96">
        <f>Timeline!M6</f>
        <v/>
      </c>
      <c r="N6" s="96">
        <f>Timeline!N6</f>
        <v/>
      </c>
      <c r="O6" s="96">
        <f>Timeline!O6</f>
        <v/>
      </c>
      <c r="P6" s="96">
        <f>Timeline!P6</f>
        <v/>
      </c>
      <c r="Q6" s="96">
        <f>Timeline!Q6</f>
        <v/>
      </c>
      <c r="R6" s="96">
        <f>Timeline!R6</f>
        <v/>
      </c>
      <c r="S6" s="96">
        <f>Timeline!S6</f>
        <v/>
      </c>
      <c r="T6" s="96">
        <f>Timeline!T6</f>
        <v/>
      </c>
      <c r="U6" s="96">
        <f>Timeline!U6</f>
        <v/>
      </c>
      <c r="V6" s="96">
        <f>Timeline!V6</f>
        <v/>
      </c>
      <c r="W6" s="96">
        <f>Timeline!W6</f>
        <v/>
      </c>
      <c r="X6" s="96">
        <f>Timeline!X6</f>
        <v/>
      </c>
      <c r="Y6" s="96">
        <f>Timeline!Y6</f>
        <v/>
      </c>
      <c r="Z6" s="96">
        <f>Timeline!Z6</f>
        <v/>
      </c>
      <c r="AA6" s="96">
        <f>Timeline!AA6</f>
        <v/>
      </c>
      <c r="AB6" s="96">
        <f>Timeline!AB6</f>
        <v/>
      </c>
      <c r="AC6" s="96">
        <f>Timeline!AC6</f>
        <v/>
      </c>
      <c r="AD6" s="96">
        <f>Timeline!AD6</f>
        <v/>
      </c>
      <c r="AE6" s="96">
        <f>Timeline!AE6</f>
        <v/>
      </c>
      <c r="AF6" s="96">
        <f>Timeline!AF6</f>
        <v/>
      </c>
      <c r="AG6" s="96">
        <f>Timeline!AG6</f>
        <v/>
      </c>
      <c r="AH6" s="96">
        <f>Timeline!AH6</f>
        <v/>
      </c>
      <c r="AI6" s="96">
        <f>Timeline!AI6</f>
        <v/>
      </c>
      <c r="AJ6" s="96">
        <f>Timeline!AJ6</f>
        <v/>
      </c>
      <c r="AK6" s="96">
        <f>Timeline!AK6</f>
        <v/>
      </c>
      <c r="AL6" s="96">
        <f>Timeline!AL6</f>
        <v/>
      </c>
      <c r="AM6" s="96">
        <f>Timeline!AM6</f>
        <v/>
      </c>
      <c r="AN6" s="96">
        <f>Timeline!AN6</f>
        <v/>
      </c>
      <c r="AO6" s="96">
        <f>Timeline!AO6</f>
        <v/>
      </c>
      <c r="AP6" s="96">
        <f>Timeline!AP6</f>
        <v/>
      </c>
      <c r="AQ6" s="96">
        <f>Timeline!AQ6</f>
        <v/>
      </c>
      <c r="AR6" s="96">
        <f>Timeline!AR6</f>
        <v/>
      </c>
      <c r="AS6" s="96">
        <f>Timeline!AS6</f>
        <v/>
      </c>
      <c r="AT6" s="96">
        <f>Timeline!AT6</f>
        <v/>
      </c>
      <c r="AU6" s="96">
        <f>Timeline!AU6</f>
        <v/>
      </c>
      <c r="AV6" s="96">
        <f>Timeline!AV6</f>
        <v/>
      </c>
      <c r="AW6" s="96">
        <f>Timeline!AW6</f>
        <v/>
      </c>
      <c r="AX6" s="96">
        <f>Timeline!AX6</f>
        <v/>
      </c>
      <c r="AY6" s="96">
        <f>Timeline!AY6</f>
        <v/>
      </c>
      <c r="AZ6" s="96">
        <f>Timeline!AZ6</f>
        <v/>
      </c>
      <c r="BA6" s="96">
        <f>Timeline!BA6</f>
        <v/>
      </c>
      <c r="BB6" s="96">
        <f>Timeline!BB6</f>
        <v/>
      </c>
      <c r="BC6" s="96">
        <f>Timeline!BC6</f>
        <v/>
      </c>
      <c r="BD6" s="96">
        <f>Timeline!BD6</f>
        <v/>
      </c>
      <c r="BE6" s="96">
        <f>Timeline!BE6</f>
        <v/>
      </c>
      <c r="BF6" s="96">
        <f>Timeline!BF6</f>
        <v/>
      </c>
      <c r="BG6" s="96">
        <f>Timeline!BG6</f>
        <v/>
      </c>
      <c r="BH6" s="96">
        <f>Timeline!BH6</f>
        <v/>
      </c>
      <c r="BI6" s="96">
        <f>Timeline!BI6</f>
        <v/>
      </c>
      <c r="BJ6" s="96">
        <f>Timeline!BJ6</f>
        <v/>
      </c>
      <c r="BK6" s="96">
        <f>Timeline!BK6</f>
        <v/>
      </c>
      <c r="BL6" s="96">
        <f>Timeline!BL6</f>
        <v/>
      </c>
    </row>
    <row r="7"/>
    <row r="8">
      <c r="A8" s="21" t="inlineStr">
        <is>
          <t>Instalments collected by cohort (LCY)</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100" t="inlineStr">
        <is>
          <t>Total</t>
        </is>
      </c>
      <c r="B9" s="101" t="inlineStr"/>
      <c r="C9" s="103" t="n"/>
      <c r="D9" s="103" t="n"/>
      <c r="E9" s="104">
        <f>SUM(E10:E69)</f>
        <v/>
      </c>
      <c r="F9" s="104">
        <f>SUM(F10:F69)</f>
        <v/>
      </c>
      <c r="G9" s="104">
        <f>SUM(G10:G69)</f>
        <v/>
      </c>
      <c r="H9" s="104">
        <f>SUM(H10:H69)</f>
        <v/>
      </c>
      <c r="I9" s="104">
        <f>SUM(I10:I69)</f>
        <v/>
      </c>
      <c r="J9" s="104">
        <f>SUM(J10:J69)</f>
        <v/>
      </c>
      <c r="K9" s="104">
        <f>SUM(K10:K69)</f>
        <v/>
      </c>
      <c r="L9" s="104">
        <f>SUM(L10:L69)</f>
        <v/>
      </c>
      <c r="M9" s="104">
        <f>SUM(M10:M69)</f>
        <v/>
      </c>
      <c r="N9" s="104">
        <f>SUM(N10:N69)</f>
        <v/>
      </c>
      <c r="O9" s="104">
        <f>SUM(O10:O69)</f>
        <v/>
      </c>
      <c r="P9" s="104">
        <f>SUM(P10:P69)</f>
        <v/>
      </c>
      <c r="Q9" s="104">
        <f>SUM(Q10:Q69)</f>
        <v/>
      </c>
      <c r="R9" s="104">
        <f>SUM(R10:R69)</f>
        <v/>
      </c>
      <c r="S9" s="104">
        <f>SUM(S10:S69)</f>
        <v/>
      </c>
      <c r="T9" s="104">
        <f>SUM(T10:T69)</f>
        <v/>
      </c>
      <c r="U9" s="104">
        <f>SUM(U10:U69)</f>
        <v/>
      </c>
      <c r="V9" s="104">
        <f>SUM(V10:V69)</f>
        <v/>
      </c>
      <c r="W9" s="104">
        <f>SUM(W10:W69)</f>
        <v/>
      </c>
      <c r="X9" s="104">
        <f>SUM(X10:X69)</f>
        <v/>
      </c>
      <c r="Y9" s="104">
        <f>SUM(Y10:Y69)</f>
        <v/>
      </c>
      <c r="Z9" s="104">
        <f>SUM(Z10:Z69)</f>
        <v/>
      </c>
      <c r="AA9" s="104">
        <f>SUM(AA10:AA69)</f>
        <v/>
      </c>
      <c r="AB9" s="104">
        <f>SUM(AB10:AB69)</f>
        <v/>
      </c>
      <c r="AC9" s="104">
        <f>SUM(AC10:AC69)</f>
        <v/>
      </c>
      <c r="AD9" s="104">
        <f>SUM(AD10:AD69)</f>
        <v/>
      </c>
      <c r="AE9" s="104">
        <f>SUM(AE10:AE69)</f>
        <v/>
      </c>
      <c r="AF9" s="104">
        <f>SUM(AF10:AF69)</f>
        <v/>
      </c>
      <c r="AG9" s="104">
        <f>SUM(AG10:AG69)</f>
        <v/>
      </c>
      <c r="AH9" s="104">
        <f>SUM(AH10:AH69)</f>
        <v/>
      </c>
      <c r="AI9" s="104">
        <f>SUM(AI10:AI69)</f>
        <v/>
      </c>
      <c r="AJ9" s="104">
        <f>SUM(AJ10:AJ69)</f>
        <v/>
      </c>
      <c r="AK9" s="104">
        <f>SUM(AK10:AK69)</f>
        <v/>
      </c>
      <c r="AL9" s="104">
        <f>SUM(AL10:AL69)</f>
        <v/>
      </c>
      <c r="AM9" s="104">
        <f>SUM(AM10:AM69)</f>
        <v/>
      </c>
      <c r="AN9" s="104">
        <f>SUM(AN10:AN69)</f>
        <v/>
      </c>
      <c r="AO9" s="104">
        <f>SUM(AO10:AO69)</f>
        <v/>
      </c>
      <c r="AP9" s="104">
        <f>SUM(AP10:AP69)</f>
        <v/>
      </c>
      <c r="AQ9" s="104">
        <f>SUM(AQ10:AQ69)</f>
        <v/>
      </c>
      <c r="AR9" s="104">
        <f>SUM(AR10:AR69)</f>
        <v/>
      </c>
      <c r="AS9" s="104">
        <f>SUM(AS10:AS69)</f>
        <v/>
      </c>
      <c r="AT9" s="104">
        <f>SUM(AT10:AT69)</f>
        <v/>
      </c>
      <c r="AU9" s="104">
        <f>SUM(AU10:AU69)</f>
        <v/>
      </c>
      <c r="AV9" s="104">
        <f>SUM(AV10:AV69)</f>
        <v/>
      </c>
      <c r="AW9" s="104">
        <f>SUM(AW10:AW69)</f>
        <v/>
      </c>
      <c r="AX9" s="104">
        <f>SUM(AX10:AX69)</f>
        <v/>
      </c>
      <c r="AY9" s="104">
        <f>SUM(AY10:AY69)</f>
        <v/>
      </c>
      <c r="AZ9" s="104">
        <f>SUM(AZ10:AZ69)</f>
        <v/>
      </c>
      <c r="BA9" s="104">
        <f>SUM(BA10:BA69)</f>
        <v/>
      </c>
      <c r="BB9" s="104">
        <f>SUM(BB10:BB69)</f>
        <v/>
      </c>
      <c r="BC9" s="104">
        <f>SUM(BC10:BC69)</f>
        <v/>
      </c>
      <c r="BD9" s="104">
        <f>SUM(BD10:BD69)</f>
        <v/>
      </c>
      <c r="BE9" s="104">
        <f>SUM(BE10:BE69)</f>
        <v/>
      </c>
      <c r="BF9" s="104">
        <f>SUM(BF10:BF69)</f>
        <v/>
      </c>
      <c r="BG9" s="104">
        <f>SUM(BG10:BG69)</f>
        <v/>
      </c>
      <c r="BH9" s="104">
        <f>SUM(BH10:BH69)</f>
        <v/>
      </c>
      <c r="BI9" s="104">
        <f>SUM(BI10:BI69)</f>
        <v/>
      </c>
      <c r="BJ9" s="104">
        <f>SUM(BJ10:BJ69)</f>
        <v/>
      </c>
      <c r="BK9" s="104">
        <f>SUM(BK10:BK69)</f>
        <v/>
      </c>
      <c r="BL9" s="104">
        <f>SUM(BL10:BL69)</f>
        <v/>
      </c>
    </row>
    <row r="10">
      <c r="A10" s="147" t="inlineStr">
        <is>
          <t>Cohort month 1</t>
        </is>
      </c>
      <c r="B10" s="147" t="n">
        <v>1</v>
      </c>
      <c r="C10" s="41">
        <f>INDEX(Ops!$E$85:$BL$85,1,$B10)</f>
        <v/>
      </c>
      <c r="F10" s="153">
        <f>$C10*INDEX(Curves!$AQ$8:$AQ$68,F$4-$B10+1)</f>
        <v/>
      </c>
      <c r="G10" s="153">
        <f>$C10*INDEX(Curves!$AQ$8:$AQ$68,G$4-$B10+1)</f>
        <v/>
      </c>
      <c r="H10" s="153">
        <f>$C10*INDEX(Curves!$AQ$8:$AQ$68,H$4-$B10+1)</f>
        <v/>
      </c>
      <c r="I10" s="153">
        <f>$C10*INDEX(Curves!$AQ$8:$AQ$68,I$4-$B10+1)</f>
        <v/>
      </c>
      <c r="J10" s="153">
        <f>$C10*INDEX(Curves!$AQ$8:$AQ$68,J$4-$B10+1)</f>
        <v/>
      </c>
      <c r="K10" s="153">
        <f>$C10*INDEX(Curves!$AQ$8:$AQ$68,K$4-$B10+1)</f>
        <v/>
      </c>
      <c r="L10" s="153">
        <f>$C10*INDEX(Curves!$AQ$8:$AQ$68,L$4-$B10+1)</f>
        <v/>
      </c>
      <c r="M10" s="153">
        <f>$C10*INDEX(Curves!$AQ$8:$AQ$68,M$4-$B10+1)</f>
        <v/>
      </c>
      <c r="N10" s="153">
        <f>$C10*INDEX(Curves!$AQ$8:$AQ$68,N$4-$B10+1)</f>
        <v/>
      </c>
      <c r="O10" s="153">
        <f>$C10*INDEX(Curves!$AQ$8:$AQ$68,O$4-$B10+1)</f>
        <v/>
      </c>
      <c r="P10" s="153">
        <f>$C10*INDEX(Curves!$AQ$8:$AQ$68,P$4-$B10+1)</f>
        <v/>
      </c>
      <c r="Q10" s="153">
        <f>$C10*INDEX(Curves!$AQ$8:$AQ$68,Q$4-$B10+1)</f>
        <v/>
      </c>
      <c r="R10" s="153">
        <f>$C10*INDEX(Curves!$AQ$8:$AQ$68,R$4-$B10+1)</f>
        <v/>
      </c>
      <c r="S10" s="153">
        <f>$C10*INDEX(Curves!$AQ$8:$AQ$68,S$4-$B10+1)</f>
        <v/>
      </c>
      <c r="T10" s="153">
        <f>$C10*INDEX(Curves!$AQ$8:$AQ$68,T$4-$B10+1)</f>
        <v/>
      </c>
      <c r="U10" s="153">
        <f>$C10*INDEX(Curves!$AQ$8:$AQ$68,U$4-$B10+1)</f>
        <v/>
      </c>
      <c r="V10" s="153">
        <f>$C10*INDEX(Curves!$AQ$8:$AQ$68,V$4-$B10+1)</f>
        <v/>
      </c>
      <c r="W10" s="153">
        <f>$C10*INDEX(Curves!$AQ$8:$AQ$68,W$4-$B10+1)</f>
        <v/>
      </c>
      <c r="X10" s="153">
        <f>$C10*INDEX(Curves!$AQ$8:$AQ$68,X$4-$B10+1)</f>
        <v/>
      </c>
      <c r="Y10" s="153">
        <f>$C10*INDEX(Curves!$AQ$8:$AQ$68,Y$4-$B10+1)</f>
        <v/>
      </c>
      <c r="Z10" s="153">
        <f>$C10*INDEX(Curves!$AQ$8:$AQ$68,Z$4-$B10+1)</f>
        <v/>
      </c>
      <c r="AA10" s="153">
        <f>$C10*INDEX(Curves!$AQ$8:$AQ$68,AA$4-$B10+1)</f>
        <v/>
      </c>
      <c r="AB10" s="153">
        <f>$C10*INDEX(Curves!$AQ$8:$AQ$68,AB$4-$B10+1)</f>
        <v/>
      </c>
      <c r="AC10" s="153">
        <f>$C10*INDEX(Curves!$AQ$8:$AQ$68,AC$4-$B10+1)</f>
        <v/>
      </c>
      <c r="AD10" s="153">
        <f>$C10*INDEX(Curves!$AQ$8:$AQ$68,AD$4-$B10+1)</f>
        <v/>
      </c>
      <c r="AE10" s="153">
        <f>$C10*INDEX(Curves!$AQ$8:$AQ$68,AE$4-$B10+1)</f>
        <v/>
      </c>
      <c r="AF10" s="153">
        <f>$C10*INDEX(Curves!$AQ$8:$AQ$68,AF$4-$B10+1)</f>
        <v/>
      </c>
      <c r="AG10" s="153">
        <f>$C10*INDEX(Curves!$AQ$8:$AQ$68,AG$4-$B10+1)</f>
        <v/>
      </c>
      <c r="AH10" s="153">
        <f>$C10*INDEX(Curves!$AQ$8:$AQ$68,AH$4-$B10+1)</f>
        <v/>
      </c>
      <c r="AI10" s="153">
        <f>$C10*INDEX(Curves!$AQ$8:$AQ$68,AI$4-$B10+1)</f>
        <v/>
      </c>
      <c r="AJ10" s="153">
        <f>$C10*INDEX(Curves!$AQ$8:$AQ$68,AJ$4-$B10+1)</f>
        <v/>
      </c>
      <c r="AK10" s="153">
        <f>$C10*INDEX(Curves!$AQ$8:$AQ$68,AK$4-$B10+1)</f>
        <v/>
      </c>
      <c r="AL10" s="153">
        <f>$C10*INDEX(Curves!$AQ$8:$AQ$68,AL$4-$B10+1)</f>
        <v/>
      </c>
      <c r="AM10" s="153">
        <f>$C10*INDEX(Curves!$AQ$8:$AQ$68,AM$4-$B10+1)</f>
        <v/>
      </c>
      <c r="AN10" s="153">
        <f>$C10*INDEX(Curves!$AQ$8:$AQ$68,AN$4-$B10+1)</f>
        <v/>
      </c>
      <c r="AO10" s="153">
        <f>$C10*INDEX(Curves!$AQ$8:$AQ$68,AO$4-$B10+1)</f>
        <v/>
      </c>
      <c r="AP10" s="153">
        <f>$C10*INDEX(Curves!$AQ$8:$AQ$68,AP$4-$B10+1)</f>
        <v/>
      </c>
      <c r="AQ10" s="153">
        <f>$C10*INDEX(Curves!$AQ$8:$AQ$68,AQ$4-$B10+1)</f>
        <v/>
      </c>
      <c r="AR10" s="153">
        <f>$C10*INDEX(Curves!$AQ$8:$AQ$68,AR$4-$B10+1)</f>
        <v/>
      </c>
      <c r="AS10" s="153">
        <f>$C10*INDEX(Curves!$AQ$8:$AQ$68,AS$4-$B10+1)</f>
        <v/>
      </c>
      <c r="AT10" s="153">
        <f>$C10*INDEX(Curves!$AQ$8:$AQ$68,AT$4-$B10+1)</f>
        <v/>
      </c>
      <c r="AU10" s="153">
        <f>$C10*INDEX(Curves!$AQ$8:$AQ$68,AU$4-$B10+1)</f>
        <v/>
      </c>
      <c r="AV10" s="153">
        <f>$C10*INDEX(Curves!$AQ$8:$AQ$68,AV$4-$B10+1)</f>
        <v/>
      </c>
      <c r="AW10" s="153">
        <f>$C10*INDEX(Curves!$AQ$8:$AQ$68,AW$4-$B10+1)</f>
        <v/>
      </c>
      <c r="AX10" s="153">
        <f>$C10*INDEX(Curves!$AQ$8:$AQ$68,AX$4-$B10+1)</f>
        <v/>
      </c>
      <c r="AY10" s="153">
        <f>$C10*INDEX(Curves!$AQ$8:$AQ$68,AY$4-$B10+1)</f>
        <v/>
      </c>
      <c r="AZ10" s="153">
        <f>$C10*INDEX(Curves!$AQ$8:$AQ$68,AZ$4-$B10+1)</f>
        <v/>
      </c>
      <c r="BA10" s="153">
        <f>$C10*INDEX(Curves!$AQ$8:$AQ$68,BA$4-$B10+1)</f>
        <v/>
      </c>
      <c r="BB10" s="153">
        <f>$C10*INDEX(Curves!$AQ$8:$AQ$68,BB$4-$B10+1)</f>
        <v/>
      </c>
      <c r="BC10" s="153">
        <f>$C10*INDEX(Curves!$AQ$8:$AQ$68,BC$4-$B10+1)</f>
        <v/>
      </c>
      <c r="BD10" s="153">
        <f>$C10*INDEX(Curves!$AQ$8:$AQ$68,BD$4-$B10+1)</f>
        <v/>
      </c>
      <c r="BE10" s="153">
        <f>$C10*INDEX(Curves!$AQ$8:$AQ$68,BE$4-$B10+1)</f>
        <v/>
      </c>
      <c r="BF10" s="153">
        <f>$C10*INDEX(Curves!$AQ$8:$AQ$68,BF$4-$B10+1)</f>
        <v/>
      </c>
      <c r="BG10" s="153">
        <f>$C10*INDEX(Curves!$AQ$8:$AQ$68,BG$4-$B10+1)</f>
        <v/>
      </c>
      <c r="BH10" s="153">
        <f>$C10*INDEX(Curves!$AQ$8:$AQ$68,BH$4-$B10+1)</f>
        <v/>
      </c>
      <c r="BI10" s="153">
        <f>$C10*INDEX(Curves!$AQ$8:$AQ$68,BI$4-$B10+1)</f>
        <v/>
      </c>
      <c r="BJ10" s="153">
        <f>$C10*INDEX(Curves!$AQ$8:$AQ$68,BJ$4-$B10+1)</f>
        <v/>
      </c>
      <c r="BK10" s="153">
        <f>$C10*INDEX(Curves!$AQ$8:$AQ$68,BK$4-$B10+1)</f>
        <v/>
      </c>
      <c r="BL10" s="153">
        <f>$C10*INDEX(Curves!$AQ$8:$AQ$68,BL$4-$B10+1)</f>
        <v/>
      </c>
    </row>
    <row r="11">
      <c r="A11" s="147" t="inlineStr">
        <is>
          <t>Cohort month 2</t>
        </is>
      </c>
      <c r="B11" s="147" t="n">
        <v>2</v>
      </c>
      <c r="C11" s="41">
        <f>INDEX(Ops!$E$85:$BL$85,1,$B11)</f>
        <v/>
      </c>
      <c r="G11" s="153">
        <f>$C11*INDEX(Curves!$AQ$8:$AQ$68,G$4-$B11+1)</f>
        <v/>
      </c>
      <c r="H11" s="153">
        <f>$C11*INDEX(Curves!$AQ$8:$AQ$68,H$4-$B11+1)</f>
        <v/>
      </c>
      <c r="I11" s="153">
        <f>$C11*INDEX(Curves!$AQ$8:$AQ$68,I$4-$B11+1)</f>
        <v/>
      </c>
      <c r="J11" s="153">
        <f>$C11*INDEX(Curves!$AQ$8:$AQ$68,J$4-$B11+1)</f>
        <v/>
      </c>
      <c r="K11" s="153">
        <f>$C11*INDEX(Curves!$AQ$8:$AQ$68,K$4-$B11+1)</f>
        <v/>
      </c>
      <c r="L11" s="153">
        <f>$C11*INDEX(Curves!$AQ$8:$AQ$68,L$4-$B11+1)</f>
        <v/>
      </c>
      <c r="M11" s="153">
        <f>$C11*INDEX(Curves!$AQ$8:$AQ$68,M$4-$B11+1)</f>
        <v/>
      </c>
      <c r="N11" s="153">
        <f>$C11*INDEX(Curves!$AQ$8:$AQ$68,N$4-$B11+1)</f>
        <v/>
      </c>
      <c r="O11" s="153">
        <f>$C11*INDEX(Curves!$AQ$8:$AQ$68,O$4-$B11+1)</f>
        <v/>
      </c>
      <c r="P11" s="153">
        <f>$C11*INDEX(Curves!$AQ$8:$AQ$68,P$4-$B11+1)</f>
        <v/>
      </c>
      <c r="Q11" s="153">
        <f>$C11*INDEX(Curves!$AQ$8:$AQ$68,Q$4-$B11+1)</f>
        <v/>
      </c>
      <c r="R11" s="153">
        <f>$C11*INDEX(Curves!$AQ$8:$AQ$68,R$4-$B11+1)</f>
        <v/>
      </c>
      <c r="S11" s="153">
        <f>$C11*INDEX(Curves!$AQ$8:$AQ$68,S$4-$B11+1)</f>
        <v/>
      </c>
      <c r="T11" s="153">
        <f>$C11*INDEX(Curves!$AQ$8:$AQ$68,T$4-$B11+1)</f>
        <v/>
      </c>
      <c r="U11" s="153">
        <f>$C11*INDEX(Curves!$AQ$8:$AQ$68,U$4-$B11+1)</f>
        <v/>
      </c>
      <c r="V11" s="153">
        <f>$C11*INDEX(Curves!$AQ$8:$AQ$68,V$4-$B11+1)</f>
        <v/>
      </c>
      <c r="W11" s="153">
        <f>$C11*INDEX(Curves!$AQ$8:$AQ$68,W$4-$B11+1)</f>
        <v/>
      </c>
      <c r="X11" s="153">
        <f>$C11*INDEX(Curves!$AQ$8:$AQ$68,X$4-$B11+1)</f>
        <v/>
      </c>
      <c r="Y11" s="153">
        <f>$C11*INDEX(Curves!$AQ$8:$AQ$68,Y$4-$B11+1)</f>
        <v/>
      </c>
      <c r="Z11" s="153">
        <f>$C11*INDEX(Curves!$AQ$8:$AQ$68,Z$4-$B11+1)</f>
        <v/>
      </c>
      <c r="AA11" s="153">
        <f>$C11*INDEX(Curves!$AQ$8:$AQ$68,AA$4-$B11+1)</f>
        <v/>
      </c>
      <c r="AB11" s="153">
        <f>$C11*INDEX(Curves!$AQ$8:$AQ$68,AB$4-$B11+1)</f>
        <v/>
      </c>
      <c r="AC11" s="153">
        <f>$C11*INDEX(Curves!$AQ$8:$AQ$68,AC$4-$B11+1)</f>
        <v/>
      </c>
      <c r="AD11" s="153">
        <f>$C11*INDEX(Curves!$AQ$8:$AQ$68,AD$4-$B11+1)</f>
        <v/>
      </c>
      <c r="AE11" s="153">
        <f>$C11*INDEX(Curves!$AQ$8:$AQ$68,AE$4-$B11+1)</f>
        <v/>
      </c>
      <c r="AF11" s="153">
        <f>$C11*INDEX(Curves!$AQ$8:$AQ$68,AF$4-$B11+1)</f>
        <v/>
      </c>
      <c r="AG11" s="153">
        <f>$C11*INDEX(Curves!$AQ$8:$AQ$68,AG$4-$B11+1)</f>
        <v/>
      </c>
      <c r="AH11" s="153">
        <f>$C11*INDEX(Curves!$AQ$8:$AQ$68,AH$4-$B11+1)</f>
        <v/>
      </c>
      <c r="AI11" s="153">
        <f>$C11*INDEX(Curves!$AQ$8:$AQ$68,AI$4-$B11+1)</f>
        <v/>
      </c>
      <c r="AJ11" s="153">
        <f>$C11*INDEX(Curves!$AQ$8:$AQ$68,AJ$4-$B11+1)</f>
        <v/>
      </c>
      <c r="AK11" s="153">
        <f>$C11*INDEX(Curves!$AQ$8:$AQ$68,AK$4-$B11+1)</f>
        <v/>
      </c>
      <c r="AL11" s="153">
        <f>$C11*INDEX(Curves!$AQ$8:$AQ$68,AL$4-$B11+1)</f>
        <v/>
      </c>
      <c r="AM11" s="153">
        <f>$C11*INDEX(Curves!$AQ$8:$AQ$68,AM$4-$B11+1)</f>
        <v/>
      </c>
      <c r="AN11" s="153">
        <f>$C11*INDEX(Curves!$AQ$8:$AQ$68,AN$4-$B11+1)</f>
        <v/>
      </c>
      <c r="AO11" s="153">
        <f>$C11*INDEX(Curves!$AQ$8:$AQ$68,AO$4-$B11+1)</f>
        <v/>
      </c>
      <c r="AP11" s="153">
        <f>$C11*INDEX(Curves!$AQ$8:$AQ$68,AP$4-$B11+1)</f>
        <v/>
      </c>
      <c r="AQ11" s="153">
        <f>$C11*INDEX(Curves!$AQ$8:$AQ$68,AQ$4-$B11+1)</f>
        <v/>
      </c>
      <c r="AR11" s="153">
        <f>$C11*INDEX(Curves!$AQ$8:$AQ$68,AR$4-$B11+1)</f>
        <v/>
      </c>
      <c r="AS11" s="153">
        <f>$C11*INDEX(Curves!$AQ$8:$AQ$68,AS$4-$B11+1)</f>
        <v/>
      </c>
      <c r="AT11" s="153">
        <f>$C11*INDEX(Curves!$AQ$8:$AQ$68,AT$4-$B11+1)</f>
        <v/>
      </c>
      <c r="AU11" s="153">
        <f>$C11*INDEX(Curves!$AQ$8:$AQ$68,AU$4-$B11+1)</f>
        <v/>
      </c>
      <c r="AV11" s="153">
        <f>$C11*INDEX(Curves!$AQ$8:$AQ$68,AV$4-$B11+1)</f>
        <v/>
      </c>
      <c r="AW11" s="153">
        <f>$C11*INDEX(Curves!$AQ$8:$AQ$68,AW$4-$B11+1)</f>
        <v/>
      </c>
      <c r="AX11" s="153">
        <f>$C11*INDEX(Curves!$AQ$8:$AQ$68,AX$4-$B11+1)</f>
        <v/>
      </c>
      <c r="AY11" s="153">
        <f>$C11*INDEX(Curves!$AQ$8:$AQ$68,AY$4-$B11+1)</f>
        <v/>
      </c>
      <c r="AZ11" s="153">
        <f>$C11*INDEX(Curves!$AQ$8:$AQ$68,AZ$4-$B11+1)</f>
        <v/>
      </c>
      <c r="BA11" s="153">
        <f>$C11*INDEX(Curves!$AQ$8:$AQ$68,BA$4-$B11+1)</f>
        <v/>
      </c>
      <c r="BB11" s="153">
        <f>$C11*INDEX(Curves!$AQ$8:$AQ$68,BB$4-$B11+1)</f>
        <v/>
      </c>
      <c r="BC11" s="153">
        <f>$C11*INDEX(Curves!$AQ$8:$AQ$68,BC$4-$B11+1)</f>
        <v/>
      </c>
      <c r="BD11" s="153">
        <f>$C11*INDEX(Curves!$AQ$8:$AQ$68,BD$4-$B11+1)</f>
        <v/>
      </c>
      <c r="BE11" s="153">
        <f>$C11*INDEX(Curves!$AQ$8:$AQ$68,BE$4-$B11+1)</f>
        <v/>
      </c>
      <c r="BF11" s="153">
        <f>$C11*INDEX(Curves!$AQ$8:$AQ$68,BF$4-$B11+1)</f>
        <v/>
      </c>
      <c r="BG11" s="153">
        <f>$C11*INDEX(Curves!$AQ$8:$AQ$68,BG$4-$B11+1)</f>
        <v/>
      </c>
      <c r="BH11" s="153">
        <f>$C11*INDEX(Curves!$AQ$8:$AQ$68,BH$4-$B11+1)</f>
        <v/>
      </c>
      <c r="BI11" s="153">
        <f>$C11*INDEX(Curves!$AQ$8:$AQ$68,BI$4-$B11+1)</f>
        <v/>
      </c>
      <c r="BJ11" s="153">
        <f>$C11*INDEX(Curves!$AQ$8:$AQ$68,BJ$4-$B11+1)</f>
        <v/>
      </c>
      <c r="BK11" s="153">
        <f>$C11*INDEX(Curves!$AQ$8:$AQ$68,BK$4-$B11+1)</f>
        <v/>
      </c>
      <c r="BL11" s="153">
        <f>$C11*INDEX(Curves!$AQ$8:$AQ$68,BL$4-$B11+1)</f>
        <v/>
      </c>
    </row>
    <row r="12">
      <c r="A12" s="147" t="inlineStr">
        <is>
          <t>Cohort month 3</t>
        </is>
      </c>
      <c r="B12" s="147" t="n">
        <v>3</v>
      </c>
      <c r="C12" s="41">
        <f>INDEX(Ops!$E$85:$BL$85,1,$B12)</f>
        <v/>
      </c>
      <c r="H12" s="153">
        <f>$C12*INDEX(Curves!$AQ$8:$AQ$68,H$4-$B12+1)</f>
        <v/>
      </c>
      <c r="I12" s="153">
        <f>$C12*INDEX(Curves!$AQ$8:$AQ$68,I$4-$B12+1)</f>
        <v/>
      </c>
      <c r="J12" s="153">
        <f>$C12*INDEX(Curves!$AQ$8:$AQ$68,J$4-$B12+1)</f>
        <v/>
      </c>
      <c r="K12" s="153">
        <f>$C12*INDEX(Curves!$AQ$8:$AQ$68,K$4-$B12+1)</f>
        <v/>
      </c>
      <c r="L12" s="153">
        <f>$C12*INDEX(Curves!$AQ$8:$AQ$68,L$4-$B12+1)</f>
        <v/>
      </c>
      <c r="M12" s="153">
        <f>$C12*INDEX(Curves!$AQ$8:$AQ$68,M$4-$B12+1)</f>
        <v/>
      </c>
      <c r="N12" s="153">
        <f>$C12*INDEX(Curves!$AQ$8:$AQ$68,N$4-$B12+1)</f>
        <v/>
      </c>
      <c r="O12" s="153">
        <f>$C12*INDEX(Curves!$AQ$8:$AQ$68,O$4-$B12+1)</f>
        <v/>
      </c>
      <c r="P12" s="153">
        <f>$C12*INDEX(Curves!$AQ$8:$AQ$68,P$4-$B12+1)</f>
        <v/>
      </c>
      <c r="Q12" s="153">
        <f>$C12*INDEX(Curves!$AQ$8:$AQ$68,Q$4-$B12+1)</f>
        <v/>
      </c>
      <c r="R12" s="153">
        <f>$C12*INDEX(Curves!$AQ$8:$AQ$68,R$4-$B12+1)</f>
        <v/>
      </c>
      <c r="S12" s="153">
        <f>$C12*INDEX(Curves!$AQ$8:$AQ$68,S$4-$B12+1)</f>
        <v/>
      </c>
      <c r="T12" s="153">
        <f>$C12*INDEX(Curves!$AQ$8:$AQ$68,T$4-$B12+1)</f>
        <v/>
      </c>
      <c r="U12" s="153">
        <f>$C12*INDEX(Curves!$AQ$8:$AQ$68,U$4-$B12+1)</f>
        <v/>
      </c>
      <c r="V12" s="153">
        <f>$C12*INDEX(Curves!$AQ$8:$AQ$68,V$4-$B12+1)</f>
        <v/>
      </c>
      <c r="W12" s="153">
        <f>$C12*INDEX(Curves!$AQ$8:$AQ$68,W$4-$B12+1)</f>
        <v/>
      </c>
      <c r="X12" s="153">
        <f>$C12*INDEX(Curves!$AQ$8:$AQ$68,X$4-$B12+1)</f>
        <v/>
      </c>
      <c r="Y12" s="153">
        <f>$C12*INDEX(Curves!$AQ$8:$AQ$68,Y$4-$B12+1)</f>
        <v/>
      </c>
      <c r="Z12" s="153">
        <f>$C12*INDEX(Curves!$AQ$8:$AQ$68,Z$4-$B12+1)</f>
        <v/>
      </c>
      <c r="AA12" s="153">
        <f>$C12*INDEX(Curves!$AQ$8:$AQ$68,AA$4-$B12+1)</f>
        <v/>
      </c>
      <c r="AB12" s="153">
        <f>$C12*INDEX(Curves!$AQ$8:$AQ$68,AB$4-$B12+1)</f>
        <v/>
      </c>
      <c r="AC12" s="153">
        <f>$C12*INDEX(Curves!$AQ$8:$AQ$68,AC$4-$B12+1)</f>
        <v/>
      </c>
      <c r="AD12" s="153">
        <f>$C12*INDEX(Curves!$AQ$8:$AQ$68,AD$4-$B12+1)</f>
        <v/>
      </c>
      <c r="AE12" s="153">
        <f>$C12*INDEX(Curves!$AQ$8:$AQ$68,AE$4-$B12+1)</f>
        <v/>
      </c>
      <c r="AF12" s="153">
        <f>$C12*INDEX(Curves!$AQ$8:$AQ$68,AF$4-$B12+1)</f>
        <v/>
      </c>
      <c r="AG12" s="153">
        <f>$C12*INDEX(Curves!$AQ$8:$AQ$68,AG$4-$B12+1)</f>
        <v/>
      </c>
      <c r="AH12" s="153">
        <f>$C12*INDEX(Curves!$AQ$8:$AQ$68,AH$4-$B12+1)</f>
        <v/>
      </c>
      <c r="AI12" s="153">
        <f>$C12*INDEX(Curves!$AQ$8:$AQ$68,AI$4-$B12+1)</f>
        <v/>
      </c>
      <c r="AJ12" s="153">
        <f>$C12*INDEX(Curves!$AQ$8:$AQ$68,AJ$4-$B12+1)</f>
        <v/>
      </c>
      <c r="AK12" s="153">
        <f>$C12*INDEX(Curves!$AQ$8:$AQ$68,AK$4-$B12+1)</f>
        <v/>
      </c>
      <c r="AL12" s="153">
        <f>$C12*INDEX(Curves!$AQ$8:$AQ$68,AL$4-$B12+1)</f>
        <v/>
      </c>
      <c r="AM12" s="153">
        <f>$C12*INDEX(Curves!$AQ$8:$AQ$68,AM$4-$B12+1)</f>
        <v/>
      </c>
      <c r="AN12" s="153">
        <f>$C12*INDEX(Curves!$AQ$8:$AQ$68,AN$4-$B12+1)</f>
        <v/>
      </c>
      <c r="AO12" s="153">
        <f>$C12*INDEX(Curves!$AQ$8:$AQ$68,AO$4-$B12+1)</f>
        <v/>
      </c>
      <c r="AP12" s="153">
        <f>$C12*INDEX(Curves!$AQ$8:$AQ$68,AP$4-$B12+1)</f>
        <v/>
      </c>
      <c r="AQ12" s="153">
        <f>$C12*INDEX(Curves!$AQ$8:$AQ$68,AQ$4-$B12+1)</f>
        <v/>
      </c>
      <c r="AR12" s="153">
        <f>$C12*INDEX(Curves!$AQ$8:$AQ$68,AR$4-$B12+1)</f>
        <v/>
      </c>
      <c r="AS12" s="153">
        <f>$C12*INDEX(Curves!$AQ$8:$AQ$68,AS$4-$B12+1)</f>
        <v/>
      </c>
      <c r="AT12" s="153">
        <f>$C12*INDEX(Curves!$AQ$8:$AQ$68,AT$4-$B12+1)</f>
        <v/>
      </c>
      <c r="AU12" s="153">
        <f>$C12*INDEX(Curves!$AQ$8:$AQ$68,AU$4-$B12+1)</f>
        <v/>
      </c>
      <c r="AV12" s="153">
        <f>$C12*INDEX(Curves!$AQ$8:$AQ$68,AV$4-$B12+1)</f>
        <v/>
      </c>
      <c r="AW12" s="153">
        <f>$C12*INDEX(Curves!$AQ$8:$AQ$68,AW$4-$B12+1)</f>
        <v/>
      </c>
      <c r="AX12" s="153">
        <f>$C12*INDEX(Curves!$AQ$8:$AQ$68,AX$4-$B12+1)</f>
        <v/>
      </c>
      <c r="AY12" s="153">
        <f>$C12*INDEX(Curves!$AQ$8:$AQ$68,AY$4-$B12+1)</f>
        <v/>
      </c>
      <c r="AZ12" s="153">
        <f>$C12*INDEX(Curves!$AQ$8:$AQ$68,AZ$4-$B12+1)</f>
        <v/>
      </c>
      <c r="BA12" s="153">
        <f>$C12*INDEX(Curves!$AQ$8:$AQ$68,BA$4-$B12+1)</f>
        <v/>
      </c>
      <c r="BB12" s="153">
        <f>$C12*INDEX(Curves!$AQ$8:$AQ$68,BB$4-$B12+1)</f>
        <v/>
      </c>
      <c r="BC12" s="153">
        <f>$C12*INDEX(Curves!$AQ$8:$AQ$68,BC$4-$B12+1)</f>
        <v/>
      </c>
      <c r="BD12" s="153">
        <f>$C12*INDEX(Curves!$AQ$8:$AQ$68,BD$4-$B12+1)</f>
        <v/>
      </c>
      <c r="BE12" s="153">
        <f>$C12*INDEX(Curves!$AQ$8:$AQ$68,BE$4-$B12+1)</f>
        <v/>
      </c>
      <c r="BF12" s="153">
        <f>$C12*INDEX(Curves!$AQ$8:$AQ$68,BF$4-$B12+1)</f>
        <v/>
      </c>
      <c r="BG12" s="153">
        <f>$C12*INDEX(Curves!$AQ$8:$AQ$68,BG$4-$B12+1)</f>
        <v/>
      </c>
      <c r="BH12" s="153">
        <f>$C12*INDEX(Curves!$AQ$8:$AQ$68,BH$4-$B12+1)</f>
        <v/>
      </c>
      <c r="BI12" s="153">
        <f>$C12*INDEX(Curves!$AQ$8:$AQ$68,BI$4-$B12+1)</f>
        <v/>
      </c>
      <c r="BJ12" s="153">
        <f>$C12*INDEX(Curves!$AQ$8:$AQ$68,BJ$4-$B12+1)</f>
        <v/>
      </c>
      <c r="BK12" s="153">
        <f>$C12*INDEX(Curves!$AQ$8:$AQ$68,BK$4-$B12+1)</f>
        <v/>
      </c>
      <c r="BL12" s="153">
        <f>$C12*INDEX(Curves!$AQ$8:$AQ$68,BL$4-$B12+1)</f>
        <v/>
      </c>
    </row>
    <row r="13">
      <c r="A13" s="147" t="inlineStr">
        <is>
          <t>Cohort month 4</t>
        </is>
      </c>
      <c r="B13" s="147" t="n">
        <v>4</v>
      </c>
      <c r="C13" s="41">
        <f>INDEX(Ops!$E$85:$BL$85,1,$B13)</f>
        <v/>
      </c>
      <c r="I13" s="153">
        <f>$C13*INDEX(Curves!$AQ$8:$AQ$68,I$4-$B13+1)</f>
        <v/>
      </c>
      <c r="J13" s="153">
        <f>$C13*INDEX(Curves!$AQ$8:$AQ$68,J$4-$B13+1)</f>
        <v/>
      </c>
      <c r="K13" s="153">
        <f>$C13*INDEX(Curves!$AQ$8:$AQ$68,K$4-$B13+1)</f>
        <v/>
      </c>
      <c r="L13" s="153">
        <f>$C13*INDEX(Curves!$AQ$8:$AQ$68,L$4-$B13+1)</f>
        <v/>
      </c>
      <c r="M13" s="153">
        <f>$C13*INDEX(Curves!$AQ$8:$AQ$68,M$4-$B13+1)</f>
        <v/>
      </c>
      <c r="N13" s="153">
        <f>$C13*INDEX(Curves!$AQ$8:$AQ$68,N$4-$B13+1)</f>
        <v/>
      </c>
      <c r="O13" s="153">
        <f>$C13*INDEX(Curves!$AQ$8:$AQ$68,O$4-$B13+1)</f>
        <v/>
      </c>
      <c r="P13" s="153">
        <f>$C13*INDEX(Curves!$AQ$8:$AQ$68,P$4-$B13+1)</f>
        <v/>
      </c>
      <c r="Q13" s="153">
        <f>$C13*INDEX(Curves!$AQ$8:$AQ$68,Q$4-$B13+1)</f>
        <v/>
      </c>
      <c r="R13" s="153">
        <f>$C13*INDEX(Curves!$AQ$8:$AQ$68,R$4-$B13+1)</f>
        <v/>
      </c>
      <c r="S13" s="153">
        <f>$C13*INDEX(Curves!$AQ$8:$AQ$68,S$4-$B13+1)</f>
        <v/>
      </c>
      <c r="T13" s="153">
        <f>$C13*INDEX(Curves!$AQ$8:$AQ$68,T$4-$B13+1)</f>
        <v/>
      </c>
      <c r="U13" s="153">
        <f>$C13*INDEX(Curves!$AQ$8:$AQ$68,U$4-$B13+1)</f>
        <v/>
      </c>
      <c r="V13" s="153">
        <f>$C13*INDEX(Curves!$AQ$8:$AQ$68,V$4-$B13+1)</f>
        <v/>
      </c>
      <c r="W13" s="153">
        <f>$C13*INDEX(Curves!$AQ$8:$AQ$68,W$4-$B13+1)</f>
        <v/>
      </c>
      <c r="X13" s="153">
        <f>$C13*INDEX(Curves!$AQ$8:$AQ$68,X$4-$B13+1)</f>
        <v/>
      </c>
      <c r="Y13" s="153">
        <f>$C13*INDEX(Curves!$AQ$8:$AQ$68,Y$4-$B13+1)</f>
        <v/>
      </c>
      <c r="Z13" s="153">
        <f>$C13*INDEX(Curves!$AQ$8:$AQ$68,Z$4-$B13+1)</f>
        <v/>
      </c>
      <c r="AA13" s="153">
        <f>$C13*INDEX(Curves!$AQ$8:$AQ$68,AA$4-$B13+1)</f>
        <v/>
      </c>
      <c r="AB13" s="153">
        <f>$C13*INDEX(Curves!$AQ$8:$AQ$68,AB$4-$B13+1)</f>
        <v/>
      </c>
      <c r="AC13" s="153">
        <f>$C13*INDEX(Curves!$AQ$8:$AQ$68,AC$4-$B13+1)</f>
        <v/>
      </c>
      <c r="AD13" s="153">
        <f>$C13*INDEX(Curves!$AQ$8:$AQ$68,AD$4-$B13+1)</f>
        <v/>
      </c>
      <c r="AE13" s="153">
        <f>$C13*INDEX(Curves!$AQ$8:$AQ$68,AE$4-$B13+1)</f>
        <v/>
      </c>
      <c r="AF13" s="153">
        <f>$C13*INDEX(Curves!$AQ$8:$AQ$68,AF$4-$B13+1)</f>
        <v/>
      </c>
      <c r="AG13" s="153">
        <f>$C13*INDEX(Curves!$AQ$8:$AQ$68,AG$4-$B13+1)</f>
        <v/>
      </c>
      <c r="AH13" s="153">
        <f>$C13*INDEX(Curves!$AQ$8:$AQ$68,AH$4-$B13+1)</f>
        <v/>
      </c>
      <c r="AI13" s="153">
        <f>$C13*INDEX(Curves!$AQ$8:$AQ$68,AI$4-$B13+1)</f>
        <v/>
      </c>
      <c r="AJ13" s="153">
        <f>$C13*INDEX(Curves!$AQ$8:$AQ$68,AJ$4-$B13+1)</f>
        <v/>
      </c>
      <c r="AK13" s="153">
        <f>$C13*INDEX(Curves!$AQ$8:$AQ$68,AK$4-$B13+1)</f>
        <v/>
      </c>
      <c r="AL13" s="153">
        <f>$C13*INDEX(Curves!$AQ$8:$AQ$68,AL$4-$B13+1)</f>
        <v/>
      </c>
      <c r="AM13" s="153">
        <f>$C13*INDEX(Curves!$AQ$8:$AQ$68,AM$4-$B13+1)</f>
        <v/>
      </c>
      <c r="AN13" s="153">
        <f>$C13*INDEX(Curves!$AQ$8:$AQ$68,AN$4-$B13+1)</f>
        <v/>
      </c>
      <c r="AO13" s="153">
        <f>$C13*INDEX(Curves!$AQ$8:$AQ$68,AO$4-$B13+1)</f>
        <v/>
      </c>
      <c r="AP13" s="153">
        <f>$C13*INDEX(Curves!$AQ$8:$AQ$68,AP$4-$B13+1)</f>
        <v/>
      </c>
      <c r="AQ13" s="153">
        <f>$C13*INDEX(Curves!$AQ$8:$AQ$68,AQ$4-$B13+1)</f>
        <v/>
      </c>
      <c r="AR13" s="153">
        <f>$C13*INDEX(Curves!$AQ$8:$AQ$68,AR$4-$B13+1)</f>
        <v/>
      </c>
      <c r="AS13" s="153">
        <f>$C13*INDEX(Curves!$AQ$8:$AQ$68,AS$4-$B13+1)</f>
        <v/>
      </c>
      <c r="AT13" s="153">
        <f>$C13*INDEX(Curves!$AQ$8:$AQ$68,AT$4-$B13+1)</f>
        <v/>
      </c>
      <c r="AU13" s="153">
        <f>$C13*INDEX(Curves!$AQ$8:$AQ$68,AU$4-$B13+1)</f>
        <v/>
      </c>
      <c r="AV13" s="153">
        <f>$C13*INDEX(Curves!$AQ$8:$AQ$68,AV$4-$B13+1)</f>
        <v/>
      </c>
      <c r="AW13" s="153">
        <f>$C13*INDEX(Curves!$AQ$8:$AQ$68,AW$4-$B13+1)</f>
        <v/>
      </c>
      <c r="AX13" s="153">
        <f>$C13*INDEX(Curves!$AQ$8:$AQ$68,AX$4-$B13+1)</f>
        <v/>
      </c>
      <c r="AY13" s="153">
        <f>$C13*INDEX(Curves!$AQ$8:$AQ$68,AY$4-$B13+1)</f>
        <v/>
      </c>
      <c r="AZ13" s="153">
        <f>$C13*INDEX(Curves!$AQ$8:$AQ$68,AZ$4-$B13+1)</f>
        <v/>
      </c>
      <c r="BA13" s="153">
        <f>$C13*INDEX(Curves!$AQ$8:$AQ$68,BA$4-$B13+1)</f>
        <v/>
      </c>
      <c r="BB13" s="153">
        <f>$C13*INDEX(Curves!$AQ$8:$AQ$68,BB$4-$B13+1)</f>
        <v/>
      </c>
      <c r="BC13" s="153">
        <f>$C13*INDEX(Curves!$AQ$8:$AQ$68,BC$4-$B13+1)</f>
        <v/>
      </c>
      <c r="BD13" s="153">
        <f>$C13*INDEX(Curves!$AQ$8:$AQ$68,BD$4-$B13+1)</f>
        <v/>
      </c>
      <c r="BE13" s="153">
        <f>$C13*INDEX(Curves!$AQ$8:$AQ$68,BE$4-$B13+1)</f>
        <v/>
      </c>
      <c r="BF13" s="153">
        <f>$C13*INDEX(Curves!$AQ$8:$AQ$68,BF$4-$B13+1)</f>
        <v/>
      </c>
      <c r="BG13" s="153">
        <f>$C13*INDEX(Curves!$AQ$8:$AQ$68,BG$4-$B13+1)</f>
        <v/>
      </c>
      <c r="BH13" s="153">
        <f>$C13*INDEX(Curves!$AQ$8:$AQ$68,BH$4-$B13+1)</f>
        <v/>
      </c>
      <c r="BI13" s="153">
        <f>$C13*INDEX(Curves!$AQ$8:$AQ$68,BI$4-$B13+1)</f>
        <v/>
      </c>
      <c r="BJ13" s="153">
        <f>$C13*INDEX(Curves!$AQ$8:$AQ$68,BJ$4-$B13+1)</f>
        <v/>
      </c>
      <c r="BK13" s="153">
        <f>$C13*INDEX(Curves!$AQ$8:$AQ$68,BK$4-$B13+1)</f>
        <v/>
      </c>
      <c r="BL13" s="153">
        <f>$C13*INDEX(Curves!$AQ$8:$AQ$68,BL$4-$B13+1)</f>
        <v/>
      </c>
    </row>
    <row r="14">
      <c r="A14" s="147" t="inlineStr">
        <is>
          <t>Cohort month 5</t>
        </is>
      </c>
      <c r="B14" s="147" t="n">
        <v>5</v>
      </c>
      <c r="C14" s="41">
        <f>INDEX(Ops!$E$85:$BL$85,1,$B14)</f>
        <v/>
      </c>
      <c r="J14" s="153">
        <f>$C14*INDEX(Curves!$AQ$8:$AQ$68,J$4-$B14+1)</f>
        <v/>
      </c>
      <c r="K14" s="153">
        <f>$C14*INDEX(Curves!$AQ$8:$AQ$68,K$4-$B14+1)</f>
        <v/>
      </c>
      <c r="L14" s="153">
        <f>$C14*INDEX(Curves!$AQ$8:$AQ$68,L$4-$B14+1)</f>
        <v/>
      </c>
      <c r="M14" s="153">
        <f>$C14*INDEX(Curves!$AQ$8:$AQ$68,M$4-$B14+1)</f>
        <v/>
      </c>
      <c r="N14" s="153">
        <f>$C14*INDEX(Curves!$AQ$8:$AQ$68,N$4-$B14+1)</f>
        <v/>
      </c>
      <c r="O14" s="153">
        <f>$C14*INDEX(Curves!$AQ$8:$AQ$68,O$4-$B14+1)</f>
        <v/>
      </c>
      <c r="P14" s="153">
        <f>$C14*INDEX(Curves!$AQ$8:$AQ$68,P$4-$B14+1)</f>
        <v/>
      </c>
      <c r="Q14" s="153">
        <f>$C14*INDEX(Curves!$AQ$8:$AQ$68,Q$4-$B14+1)</f>
        <v/>
      </c>
      <c r="R14" s="153">
        <f>$C14*INDEX(Curves!$AQ$8:$AQ$68,R$4-$B14+1)</f>
        <v/>
      </c>
      <c r="S14" s="153">
        <f>$C14*INDEX(Curves!$AQ$8:$AQ$68,S$4-$B14+1)</f>
        <v/>
      </c>
      <c r="T14" s="153">
        <f>$C14*INDEX(Curves!$AQ$8:$AQ$68,T$4-$B14+1)</f>
        <v/>
      </c>
      <c r="U14" s="153">
        <f>$C14*INDEX(Curves!$AQ$8:$AQ$68,U$4-$B14+1)</f>
        <v/>
      </c>
      <c r="V14" s="153">
        <f>$C14*INDEX(Curves!$AQ$8:$AQ$68,V$4-$B14+1)</f>
        <v/>
      </c>
      <c r="W14" s="153">
        <f>$C14*INDEX(Curves!$AQ$8:$AQ$68,W$4-$B14+1)</f>
        <v/>
      </c>
      <c r="X14" s="153">
        <f>$C14*INDEX(Curves!$AQ$8:$AQ$68,X$4-$B14+1)</f>
        <v/>
      </c>
      <c r="Y14" s="153">
        <f>$C14*INDEX(Curves!$AQ$8:$AQ$68,Y$4-$B14+1)</f>
        <v/>
      </c>
      <c r="Z14" s="153">
        <f>$C14*INDEX(Curves!$AQ$8:$AQ$68,Z$4-$B14+1)</f>
        <v/>
      </c>
      <c r="AA14" s="153">
        <f>$C14*INDEX(Curves!$AQ$8:$AQ$68,AA$4-$B14+1)</f>
        <v/>
      </c>
      <c r="AB14" s="153">
        <f>$C14*INDEX(Curves!$AQ$8:$AQ$68,AB$4-$B14+1)</f>
        <v/>
      </c>
      <c r="AC14" s="153">
        <f>$C14*INDEX(Curves!$AQ$8:$AQ$68,AC$4-$B14+1)</f>
        <v/>
      </c>
      <c r="AD14" s="153">
        <f>$C14*INDEX(Curves!$AQ$8:$AQ$68,AD$4-$B14+1)</f>
        <v/>
      </c>
      <c r="AE14" s="153">
        <f>$C14*INDEX(Curves!$AQ$8:$AQ$68,AE$4-$B14+1)</f>
        <v/>
      </c>
      <c r="AF14" s="153">
        <f>$C14*INDEX(Curves!$AQ$8:$AQ$68,AF$4-$B14+1)</f>
        <v/>
      </c>
      <c r="AG14" s="153">
        <f>$C14*INDEX(Curves!$AQ$8:$AQ$68,AG$4-$B14+1)</f>
        <v/>
      </c>
      <c r="AH14" s="153">
        <f>$C14*INDEX(Curves!$AQ$8:$AQ$68,AH$4-$B14+1)</f>
        <v/>
      </c>
      <c r="AI14" s="153">
        <f>$C14*INDEX(Curves!$AQ$8:$AQ$68,AI$4-$B14+1)</f>
        <v/>
      </c>
      <c r="AJ14" s="153">
        <f>$C14*INDEX(Curves!$AQ$8:$AQ$68,AJ$4-$B14+1)</f>
        <v/>
      </c>
      <c r="AK14" s="153">
        <f>$C14*INDEX(Curves!$AQ$8:$AQ$68,AK$4-$B14+1)</f>
        <v/>
      </c>
      <c r="AL14" s="153">
        <f>$C14*INDEX(Curves!$AQ$8:$AQ$68,AL$4-$B14+1)</f>
        <v/>
      </c>
      <c r="AM14" s="153">
        <f>$C14*INDEX(Curves!$AQ$8:$AQ$68,AM$4-$B14+1)</f>
        <v/>
      </c>
      <c r="AN14" s="153">
        <f>$C14*INDEX(Curves!$AQ$8:$AQ$68,AN$4-$B14+1)</f>
        <v/>
      </c>
      <c r="AO14" s="153">
        <f>$C14*INDEX(Curves!$AQ$8:$AQ$68,AO$4-$B14+1)</f>
        <v/>
      </c>
      <c r="AP14" s="153">
        <f>$C14*INDEX(Curves!$AQ$8:$AQ$68,AP$4-$B14+1)</f>
        <v/>
      </c>
      <c r="AQ14" s="153">
        <f>$C14*INDEX(Curves!$AQ$8:$AQ$68,AQ$4-$B14+1)</f>
        <v/>
      </c>
      <c r="AR14" s="153">
        <f>$C14*INDEX(Curves!$AQ$8:$AQ$68,AR$4-$B14+1)</f>
        <v/>
      </c>
      <c r="AS14" s="153">
        <f>$C14*INDEX(Curves!$AQ$8:$AQ$68,AS$4-$B14+1)</f>
        <v/>
      </c>
      <c r="AT14" s="153">
        <f>$C14*INDEX(Curves!$AQ$8:$AQ$68,AT$4-$B14+1)</f>
        <v/>
      </c>
      <c r="AU14" s="153">
        <f>$C14*INDEX(Curves!$AQ$8:$AQ$68,AU$4-$B14+1)</f>
        <v/>
      </c>
      <c r="AV14" s="153">
        <f>$C14*INDEX(Curves!$AQ$8:$AQ$68,AV$4-$B14+1)</f>
        <v/>
      </c>
      <c r="AW14" s="153">
        <f>$C14*INDEX(Curves!$AQ$8:$AQ$68,AW$4-$B14+1)</f>
        <v/>
      </c>
      <c r="AX14" s="153">
        <f>$C14*INDEX(Curves!$AQ$8:$AQ$68,AX$4-$B14+1)</f>
        <v/>
      </c>
      <c r="AY14" s="153">
        <f>$C14*INDEX(Curves!$AQ$8:$AQ$68,AY$4-$B14+1)</f>
        <v/>
      </c>
      <c r="AZ14" s="153">
        <f>$C14*INDEX(Curves!$AQ$8:$AQ$68,AZ$4-$B14+1)</f>
        <v/>
      </c>
      <c r="BA14" s="153">
        <f>$C14*INDEX(Curves!$AQ$8:$AQ$68,BA$4-$B14+1)</f>
        <v/>
      </c>
      <c r="BB14" s="153">
        <f>$C14*INDEX(Curves!$AQ$8:$AQ$68,BB$4-$B14+1)</f>
        <v/>
      </c>
      <c r="BC14" s="153">
        <f>$C14*INDEX(Curves!$AQ$8:$AQ$68,BC$4-$B14+1)</f>
        <v/>
      </c>
      <c r="BD14" s="153">
        <f>$C14*INDEX(Curves!$AQ$8:$AQ$68,BD$4-$B14+1)</f>
        <v/>
      </c>
      <c r="BE14" s="153">
        <f>$C14*INDEX(Curves!$AQ$8:$AQ$68,BE$4-$B14+1)</f>
        <v/>
      </c>
      <c r="BF14" s="153">
        <f>$C14*INDEX(Curves!$AQ$8:$AQ$68,BF$4-$B14+1)</f>
        <v/>
      </c>
      <c r="BG14" s="153">
        <f>$C14*INDEX(Curves!$AQ$8:$AQ$68,BG$4-$B14+1)</f>
        <v/>
      </c>
      <c r="BH14" s="153">
        <f>$C14*INDEX(Curves!$AQ$8:$AQ$68,BH$4-$B14+1)</f>
        <v/>
      </c>
      <c r="BI14" s="153">
        <f>$C14*INDEX(Curves!$AQ$8:$AQ$68,BI$4-$B14+1)</f>
        <v/>
      </c>
      <c r="BJ14" s="153">
        <f>$C14*INDEX(Curves!$AQ$8:$AQ$68,BJ$4-$B14+1)</f>
        <v/>
      </c>
      <c r="BK14" s="153">
        <f>$C14*INDEX(Curves!$AQ$8:$AQ$68,BK$4-$B14+1)</f>
        <v/>
      </c>
      <c r="BL14" s="153">
        <f>$C14*INDEX(Curves!$AQ$8:$AQ$68,BL$4-$B14+1)</f>
        <v/>
      </c>
    </row>
    <row r="15">
      <c r="A15" s="147" t="inlineStr">
        <is>
          <t>Cohort month 6</t>
        </is>
      </c>
      <c r="B15" s="147" t="n">
        <v>6</v>
      </c>
      <c r="C15" s="41">
        <f>INDEX(Ops!$E$85:$BL$85,1,$B15)</f>
        <v/>
      </c>
      <c r="K15" s="153">
        <f>$C15*INDEX(Curves!$AQ$8:$AQ$68,K$4-$B15+1)</f>
        <v/>
      </c>
      <c r="L15" s="153">
        <f>$C15*INDEX(Curves!$AQ$8:$AQ$68,L$4-$B15+1)</f>
        <v/>
      </c>
      <c r="M15" s="153">
        <f>$C15*INDEX(Curves!$AQ$8:$AQ$68,M$4-$B15+1)</f>
        <v/>
      </c>
      <c r="N15" s="153">
        <f>$C15*INDEX(Curves!$AQ$8:$AQ$68,N$4-$B15+1)</f>
        <v/>
      </c>
      <c r="O15" s="153">
        <f>$C15*INDEX(Curves!$AQ$8:$AQ$68,O$4-$B15+1)</f>
        <v/>
      </c>
      <c r="P15" s="153">
        <f>$C15*INDEX(Curves!$AQ$8:$AQ$68,P$4-$B15+1)</f>
        <v/>
      </c>
      <c r="Q15" s="153">
        <f>$C15*INDEX(Curves!$AQ$8:$AQ$68,Q$4-$B15+1)</f>
        <v/>
      </c>
      <c r="R15" s="153">
        <f>$C15*INDEX(Curves!$AQ$8:$AQ$68,R$4-$B15+1)</f>
        <v/>
      </c>
      <c r="S15" s="153">
        <f>$C15*INDEX(Curves!$AQ$8:$AQ$68,S$4-$B15+1)</f>
        <v/>
      </c>
      <c r="T15" s="153">
        <f>$C15*INDEX(Curves!$AQ$8:$AQ$68,T$4-$B15+1)</f>
        <v/>
      </c>
      <c r="U15" s="153">
        <f>$C15*INDEX(Curves!$AQ$8:$AQ$68,U$4-$B15+1)</f>
        <v/>
      </c>
      <c r="V15" s="153">
        <f>$C15*INDEX(Curves!$AQ$8:$AQ$68,V$4-$B15+1)</f>
        <v/>
      </c>
      <c r="W15" s="153">
        <f>$C15*INDEX(Curves!$AQ$8:$AQ$68,W$4-$B15+1)</f>
        <v/>
      </c>
      <c r="X15" s="153">
        <f>$C15*INDEX(Curves!$AQ$8:$AQ$68,X$4-$B15+1)</f>
        <v/>
      </c>
      <c r="Y15" s="153">
        <f>$C15*INDEX(Curves!$AQ$8:$AQ$68,Y$4-$B15+1)</f>
        <v/>
      </c>
      <c r="Z15" s="153">
        <f>$C15*INDEX(Curves!$AQ$8:$AQ$68,Z$4-$B15+1)</f>
        <v/>
      </c>
      <c r="AA15" s="153">
        <f>$C15*INDEX(Curves!$AQ$8:$AQ$68,AA$4-$B15+1)</f>
        <v/>
      </c>
      <c r="AB15" s="153">
        <f>$C15*INDEX(Curves!$AQ$8:$AQ$68,AB$4-$B15+1)</f>
        <v/>
      </c>
      <c r="AC15" s="153">
        <f>$C15*INDEX(Curves!$AQ$8:$AQ$68,AC$4-$B15+1)</f>
        <v/>
      </c>
      <c r="AD15" s="153">
        <f>$C15*INDEX(Curves!$AQ$8:$AQ$68,AD$4-$B15+1)</f>
        <v/>
      </c>
      <c r="AE15" s="153">
        <f>$C15*INDEX(Curves!$AQ$8:$AQ$68,AE$4-$B15+1)</f>
        <v/>
      </c>
      <c r="AF15" s="153">
        <f>$C15*INDEX(Curves!$AQ$8:$AQ$68,AF$4-$B15+1)</f>
        <v/>
      </c>
      <c r="AG15" s="153">
        <f>$C15*INDEX(Curves!$AQ$8:$AQ$68,AG$4-$B15+1)</f>
        <v/>
      </c>
      <c r="AH15" s="153">
        <f>$C15*INDEX(Curves!$AQ$8:$AQ$68,AH$4-$B15+1)</f>
        <v/>
      </c>
      <c r="AI15" s="153">
        <f>$C15*INDEX(Curves!$AQ$8:$AQ$68,AI$4-$B15+1)</f>
        <v/>
      </c>
      <c r="AJ15" s="153">
        <f>$C15*INDEX(Curves!$AQ$8:$AQ$68,AJ$4-$B15+1)</f>
        <v/>
      </c>
      <c r="AK15" s="153">
        <f>$C15*INDEX(Curves!$AQ$8:$AQ$68,AK$4-$B15+1)</f>
        <v/>
      </c>
      <c r="AL15" s="153">
        <f>$C15*INDEX(Curves!$AQ$8:$AQ$68,AL$4-$B15+1)</f>
        <v/>
      </c>
      <c r="AM15" s="153">
        <f>$C15*INDEX(Curves!$AQ$8:$AQ$68,AM$4-$B15+1)</f>
        <v/>
      </c>
      <c r="AN15" s="153">
        <f>$C15*INDEX(Curves!$AQ$8:$AQ$68,AN$4-$B15+1)</f>
        <v/>
      </c>
      <c r="AO15" s="153">
        <f>$C15*INDEX(Curves!$AQ$8:$AQ$68,AO$4-$B15+1)</f>
        <v/>
      </c>
      <c r="AP15" s="153">
        <f>$C15*INDEX(Curves!$AQ$8:$AQ$68,AP$4-$B15+1)</f>
        <v/>
      </c>
      <c r="AQ15" s="153">
        <f>$C15*INDEX(Curves!$AQ$8:$AQ$68,AQ$4-$B15+1)</f>
        <v/>
      </c>
      <c r="AR15" s="153">
        <f>$C15*INDEX(Curves!$AQ$8:$AQ$68,AR$4-$B15+1)</f>
        <v/>
      </c>
      <c r="AS15" s="153">
        <f>$C15*INDEX(Curves!$AQ$8:$AQ$68,AS$4-$B15+1)</f>
        <v/>
      </c>
      <c r="AT15" s="153">
        <f>$C15*INDEX(Curves!$AQ$8:$AQ$68,AT$4-$B15+1)</f>
        <v/>
      </c>
      <c r="AU15" s="153">
        <f>$C15*INDEX(Curves!$AQ$8:$AQ$68,AU$4-$B15+1)</f>
        <v/>
      </c>
      <c r="AV15" s="153">
        <f>$C15*INDEX(Curves!$AQ$8:$AQ$68,AV$4-$B15+1)</f>
        <v/>
      </c>
      <c r="AW15" s="153">
        <f>$C15*INDEX(Curves!$AQ$8:$AQ$68,AW$4-$B15+1)</f>
        <v/>
      </c>
      <c r="AX15" s="153">
        <f>$C15*INDEX(Curves!$AQ$8:$AQ$68,AX$4-$B15+1)</f>
        <v/>
      </c>
      <c r="AY15" s="153">
        <f>$C15*INDEX(Curves!$AQ$8:$AQ$68,AY$4-$B15+1)</f>
        <v/>
      </c>
      <c r="AZ15" s="153">
        <f>$C15*INDEX(Curves!$AQ$8:$AQ$68,AZ$4-$B15+1)</f>
        <v/>
      </c>
      <c r="BA15" s="153">
        <f>$C15*INDEX(Curves!$AQ$8:$AQ$68,BA$4-$B15+1)</f>
        <v/>
      </c>
      <c r="BB15" s="153">
        <f>$C15*INDEX(Curves!$AQ$8:$AQ$68,BB$4-$B15+1)</f>
        <v/>
      </c>
      <c r="BC15" s="153">
        <f>$C15*INDEX(Curves!$AQ$8:$AQ$68,BC$4-$B15+1)</f>
        <v/>
      </c>
      <c r="BD15" s="153">
        <f>$C15*INDEX(Curves!$AQ$8:$AQ$68,BD$4-$B15+1)</f>
        <v/>
      </c>
      <c r="BE15" s="153">
        <f>$C15*INDEX(Curves!$AQ$8:$AQ$68,BE$4-$B15+1)</f>
        <v/>
      </c>
      <c r="BF15" s="153">
        <f>$C15*INDEX(Curves!$AQ$8:$AQ$68,BF$4-$B15+1)</f>
        <v/>
      </c>
      <c r="BG15" s="153">
        <f>$C15*INDEX(Curves!$AQ$8:$AQ$68,BG$4-$B15+1)</f>
        <v/>
      </c>
      <c r="BH15" s="153">
        <f>$C15*INDEX(Curves!$AQ$8:$AQ$68,BH$4-$B15+1)</f>
        <v/>
      </c>
      <c r="BI15" s="153">
        <f>$C15*INDEX(Curves!$AQ$8:$AQ$68,BI$4-$B15+1)</f>
        <v/>
      </c>
      <c r="BJ15" s="153">
        <f>$C15*INDEX(Curves!$AQ$8:$AQ$68,BJ$4-$B15+1)</f>
        <v/>
      </c>
      <c r="BK15" s="153">
        <f>$C15*INDEX(Curves!$AQ$8:$AQ$68,BK$4-$B15+1)</f>
        <v/>
      </c>
      <c r="BL15" s="153">
        <f>$C15*INDEX(Curves!$AQ$8:$AQ$68,BL$4-$B15+1)</f>
        <v/>
      </c>
    </row>
    <row r="16">
      <c r="A16" s="147" t="inlineStr">
        <is>
          <t>Cohort month 7</t>
        </is>
      </c>
      <c r="B16" s="147" t="n">
        <v>7</v>
      </c>
      <c r="C16" s="41">
        <f>INDEX(Ops!$E$85:$BL$85,1,$B16)</f>
        <v/>
      </c>
      <c r="L16" s="153">
        <f>$C16*INDEX(Curves!$AQ$8:$AQ$68,L$4-$B16+1)</f>
        <v/>
      </c>
      <c r="M16" s="153">
        <f>$C16*INDEX(Curves!$AQ$8:$AQ$68,M$4-$B16+1)</f>
        <v/>
      </c>
      <c r="N16" s="153">
        <f>$C16*INDEX(Curves!$AQ$8:$AQ$68,N$4-$B16+1)</f>
        <v/>
      </c>
      <c r="O16" s="153">
        <f>$C16*INDEX(Curves!$AQ$8:$AQ$68,O$4-$B16+1)</f>
        <v/>
      </c>
      <c r="P16" s="153">
        <f>$C16*INDEX(Curves!$AQ$8:$AQ$68,P$4-$B16+1)</f>
        <v/>
      </c>
      <c r="Q16" s="153">
        <f>$C16*INDEX(Curves!$AQ$8:$AQ$68,Q$4-$B16+1)</f>
        <v/>
      </c>
      <c r="R16" s="153">
        <f>$C16*INDEX(Curves!$AQ$8:$AQ$68,R$4-$B16+1)</f>
        <v/>
      </c>
      <c r="S16" s="153">
        <f>$C16*INDEX(Curves!$AQ$8:$AQ$68,S$4-$B16+1)</f>
        <v/>
      </c>
      <c r="T16" s="153">
        <f>$C16*INDEX(Curves!$AQ$8:$AQ$68,T$4-$B16+1)</f>
        <v/>
      </c>
      <c r="U16" s="153">
        <f>$C16*INDEX(Curves!$AQ$8:$AQ$68,U$4-$B16+1)</f>
        <v/>
      </c>
      <c r="V16" s="153">
        <f>$C16*INDEX(Curves!$AQ$8:$AQ$68,V$4-$B16+1)</f>
        <v/>
      </c>
      <c r="W16" s="153">
        <f>$C16*INDEX(Curves!$AQ$8:$AQ$68,W$4-$B16+1)</f>
        <v/>
      </c>
      <c r="X16" s="153">
        <f>$C16*INDEX(Curves!$AQ$8:$AQ$68,X$4-$B16+1)</f>
        <v/>
      </c>
      <c r="Y16" s="153">
        <f>$C16*INDEX(Curves!$AQ$8:$AQ$68,Y$4-$B16+1)</f>
        <v/>
      </c>
      <c r="Z16" s="153">
        <f>$C16*INDEX(Curves!$AQ$8:$AQ$68,Z$4-$B16+1)</f>
        <v/>
      </c>
      <c r="AA16" s="153">
        <f>$C16*INDEX(Curves!$AQ$8:$AQ$68,AA$4-$B16+1)</f>
        <v/>
      </c>
      <c r="AB16" s="153">
        <f>$C16*INDEX(Curves!$AQ$8:$AQ$68,AB$4-$B16+1)</f>
        <v/>
      </c>
      <c r="AC16" s="153">
        <f>$C16*INDEX(Curves!$AQ$8:$AQ$68,AC$4-$B16+1)</f>
        <v/>
      </c>
      <c r="AD16" s="153">
        <f>$C16*INDEX(Curves!$AQ$8:$AQ$68,AD$4-$B16+1)</f>
        <v/>
      </c>
      <c r="AE16" s="153">
        <f>$C16*INDEX(Curves!$AQ$8:$AQ$68,AE$4-$B16+1)</f>
        <v/>
      </c>
      <c r="AF16" s="153">
        <f>$C16*INDEX(Curves!$AQ$8:$AQ$68,AF$4-$B16+1)</f>
        <v/>
      </c>
      <c r="AG16" s="153">
        <f>$C16*INDEX(Curves!$AQ$8:$AQ$68,AG$4-$B16+1)</f>
        <v/>
      </c>
      <c r="AH16" s="153">
        <f>$C16*INDEX(Curves!$AQ$8:$AQ$68,AH$4-$B16+1)</f>
        <v/>
      </c>
      <c r="AI16" s="153">
        <f>$C16*INDEX(Curves!$AQ$8:$AQ$68,AI$4-$B16+1)</f>
        <v/>
      </c>
      <c r="AJ16" s="153">
        <f>$C16*INDEX(Curves!$AQ$8:$AQ$68,AJ$4-$B16+1)</f>
        <v/>
      </c>
      <c r="AK16" s="153">
        <f>$C16*INDEX(Curves!$AQ$8:$AQ$68,AK$4-$B16+1)</f>
        <v/>
      </c>
      <c r="AL16" s="153">
        <f>$C16*INDEX(Curves!$AQ$8:$AQ$68,AL$4-$B16+1)</f>
        <v/>
      </c>
      <c r="AM16" s="153">
        <f>$C16*INDEX(Curves!$AQ$8:$AQ$68,AM$4-$B16+1)</f>
        <v/>
      </c>
      <c r="AN16" s="153">
        <f>$C16*INDEX(Curves!$AQ$8:$AQ$68,AN$4-$B16+1)</f>
        <v/>
      </c>
      <c r="AO16" s="153">
        <f>$C16*INDEX(Curves!$AQ$8:$AQ$68,AO$4-$B16+1)</f>
        <v/>
      </c>
      <c r="AP16" s="153">
        <f>$C16*INDEX(Curves!$AQ$8:$AQ$68,AP$4-$B16+1)</f>
        <v/>
      </c>
      <c r="AQ16" s="153">
        <f>$C16*INDEX(Curves!$AQ$8:$AQ$68,AQ$4-$B16+1)</f>
        <v/>
      </c>
      <c r="AR16" s="153">
        <f>$C16*INDEX(Curves!$AQ$8:$AQ$68,AR$4-$B16+1)</f>
        <v/>
      </c>
      <c r="AS16" s="153">
        <f>$C16*INDEX(Curves!$AQ$8:$AQ$68,AS$4-$B16+1)</f>
        <v/>
      </c>
      <c r="AT16" s="153">
        <f>$C16*INDEX(Curves!$AQ$8:$AQ$68,AT$4-$B16+1)</f>
        <v/>
      </c>
      <c r="AU16" s="153">
        <f>$C16*INDEX(Curves!$AQ$8:$AQ$68,AU$4-$B16+1)</f>
        <v/>
      </c>
      <c r="AV16" s="153">
        <f>$C16*INDEX(Curves!$AQ$8:$AQ$68,AV$4-$B16+1)</f>
        <v/>
      </c>
      <c r="AW16" s="153">
        <f>$C16*INDEX(Curves!$AQ$8:$AQ$68,AW$4-$B16+1)</f>
        <v/>
      </c>
      <c r="AX16" s="153">
        <f>$C16*INDEX(Curves!$AQ$8:$AQ$68,AX$4-$B16+1)</f>
        <v/>
      </c>
      <c r="AY16" s="153">
        <f>$C16*INDEX(Curves!$AQ$8:$AQ$68,AY$4-$B16+1)</f>
        <v/>
      </c>
      <c r="AZ16" s="153">
        <f>$C16*INDEX(Curves!$AQ$8:$AQ$68,AZ$4-$B16+1)</f>
        <v/>
      </c>
      <c r="BA16" s="153">
        <f>$C16*INDEX(Curves!$AQ$8:$AQ$68,BA$4-$B16+1)</f>
        <v/>
      </c>
      <c r="BB16" s="153">
        <f>$C16*INDEX(Curves!$AQ$8:$AQ$68,BB$4-$B16+1)</f>
        <v/>
      </c>
      <c r="BC16" s="153">
        <f>$C16*INDEX(Curves!$AQ$8:$AQ$68,BC$4-$B16+1)</f>
        <v/>
      </c>
      <c r="BD16" s="153">
        <f>$C16*INDEX(Curves!$AQ$8:$AQ$68,BD$4-$B16+1)</f>
        <v/>
      </c>
      <c r="BE16" s="153">
        <f>$C16*INDEX(Curves!$AQ$8:$AQ$68,BE$4-$B16+1)</f>
        <v/>
      </c>
      <c r="BF16" s="153">
        <f>$C16*INDEX(Curves!$AQ$8:$AQ$68,BF$4-$B16+1)</f>
        <v/>
      </c>
      <c r="BG16" s="153">
        <f>$C16*INDEX(Curves!$AQ$8:$AQ$68,BG$4-$B16+1)</f>
        <v/>
      </c>
      <c r="BH16" s="153">
        <f>$C16*INDEX(Curves!$AQ$8:$AQ$68,BH$4-$B16+1)</f>
        <v/>
      </c>
      <c r="BI16" s="153">
        <f>$C16*INDEX(Curves!$AQ$8:$AQ$68,BI$4-$B16+1)</f>
        <v/>
      </c>
      <c r="BJ16" s="153">
        <f>$C16*INDEX(Curves!$AQ$8:$AQ$68,BJ$4-$B16+1)</f>
        <v/>
      </c>
      <c r="BK16" s="153">
        <f>$C16*INDEX(Curves!$AQ$8:$AQ$68,BK$4-$B16+1)</f>
        <v/>
      </c>
      <c r="BL16" s="153">
        <f>$C16*INDEX(Curves!$AQ$8:$AQ$68,BL$4-$B16+1)</f>
        <v/>
      </c>
    </row>
    <row r="17">
      <c r="A17" s="147" t="inlineStr">
        <is>
          <t>Cohort month 8</t>
        </is>
      </c>
      <c r="B17" s="147" t="n">
        <v>8</v>
      </c>
      <c r="C17" s="41">
        <f>INDEX(Ops!$E$85:$BL$85,1,$B17)</f>
        <v/>
      </c>
      <c r="M17" s="153">
        <f>$C17*INDEX(Curves!$AQ$8:$AQ$68,M$4-$B17+1)</f>
        <v/>
      </c>
      <c r="N17" s="153">
        <f>$C17*INDEX(Curves!$AQ$8:$AQ$68,N$4-$B17+1)</f>
        <v/>
      </c>
      <c r="O17" s="153">
        <f>$C17*INDEX(Curves!$AQ$8:$AQ$68,O$4-$B17+1)</f>
        <v/>
      </c>
      <c r="P17" s="153">
        <f>$C17*INDEX(Curves!$AQ$8:$AQ$68,P$4-$B17+1)</f>
        <v/>
      </c>
      <c r="Q17" s="153">
        <f>$C17*INDEX(Curves!$AQ$8:$AQ$68,Q$4-$B17+1)</f>
        <v/>
      </c>
      <c r="R17" s="153">
        <f>$C17*INDEX(Curves!$AQ$8:$AQ$68,R$4-$B17+1)</f>
        <v/>
      </c>
      <c r="S17" s="153">
        <f>$C17*INDEX(Curves!$AQ$8:$AQ$68,S$4-$B17+1)</f>
        <v/>
      </c>
      <c r="T17" s="153">
        <f>$C17*INDEX(Curves!$AQ$8:$AQ$68,T$4-$B17+1)</f>
        <v/>
      </c>
      <c r="U17" s="153">
        <f>$C17*INDEX(Curves!$AQ$8:$AQ$68,U$4-$B17+1)</f>
        <v/>
      </c>
      <c r="V17" s="153">
        <f>$C17*INDEX(Curves!$AQ$8:$AQ$68,V$4-$B17+1)</f>
        <v/>
      </c>
      <c r="W17" s="153">
        <f>$C17*INDEX(Curves!$AQ$8:$AQ$68,W$4-$B17+1)</f>
        <v/>
      </c>
      <c r="X17" s="153">
        <f>$C17*INDEX(Curves!$AQ$8:$AQ$68,X$4-$B17+1)</f>
        <v/>
      </c>
      <c r="Y17" s="153">
        <f>$C17*INDEX(Curves!$AQ$8:$AQ$68,Y$4-$B17+1)</f>
        <v/>
      </c>
      <c r="Z17" s="153">
        <f>$C17*INDEX(Curves!$AQ$8:$AQ$68,Z$4-$B17+1)</f>
        <v/>
      </c>
      <c r="AA17" s="153">
        <f>$C17*INDEX(Curves!$AQ$8:$AQ$68,AA$4-$B17+1)</f>
        <v/>
      </c>
      <c r="AB17" s="153">
        <f>$C17*INDEX(Curves!$AQ$8:$AQ$68,AB$4-$B17+1)</f>
        <v/>
      </c>
      <c r="AC17" s="153">
        <f>$C17*INDEX(Curves!$AQ$8:$AQ$68,AC$4-$B17+1)</f>
        <v/>
      </c>
      <c r="AD17" s="153">
        <f>$C17*INDEX(Curves!$AQ$8:$AQ$68,AD$4-$B17+1)</f>
        <v/>
      </c>
      <c r="AE17" s="153">
        <f>$C17*INDEX(Curves!$AQ$8:$AQ$68,AE$4-$B17+1)</f>
        <v/>
      </c>
      <c r="AF17" s="153">
        <f>$C17*INDEX(Curves!$AQ$8:$AQ$68,AF$4-$B17+1)</f>
        <v/>
      </c>
      <c r="AG17" s="153">
        <f>$C17*INDEX(Curves!$AQ$8:$AQ$68,AG$4-$B17+1)</f>
        <v/>
      </c>
      <c r="AH17" s="153">
        <f>$C17*INDEX(Curves!$AQ$8:$AQ$68,AH$4-$B17+1)</f>
        <v/>
      </c>
      <c r="AI17" s="153">
        <f>$C17*INDEX(Curves!$AQ$8:$AQ$68,AI$4-$B17+1)</f>
        <v/>
      </c>
      <c r="AJ17" s="153">
        <f>$C17*INDEX(Curves!$AQ$8:$AQ$68,AJ$4-$B17+1)</f>
        <v/>
      </c>
      <c r="AK17" s="153">
        <f>$C17*INDEX(Curves!$AQ$8:$AQ$68,AK$4-$B17+1)</f>
        <v/>
      </c>
      <c r="AL17" s="153">
        <f>$C17*INDEX(Curves!$AQ$8:$AQ$68,AL$4-$B17+1)</f>
        <v/>
      </c>
      <c r="AM17" s="153">
        <f>$C17*INDEX(Curves!$AQ$8:$AQ$68,AM$4-$B17+1)</f>
        <v/>
      </c>
      <c r="AN17" s="153">
        <f>$C17*INDEX(Curves!$AQ$8:$AQ$68,AN$4-$B17+1)</f>
        <v/>
      </c>
      <c r="AO17" s="153">
        <f>$C17*INDEX(Curves!$AQ$8:$AQ$68,AO$4-$B17+1)</f>
        <v/>
      </c>
      <c r="AP17" s="153">
        <f>$C17*INDEX(Curves!$AQ$8:$AQ$68,AP$4-$B17+1)</f>
        <v/>
      </c>
      <c r="AQ17" s="153">
        <f>$C17*INDEX(Curves!$AQ$8:$AQ$68,AQ$4-$B17+1)</f>
        <v/>
      </c>
      <c r="AR17" s="153">
        <f>$C17*INDEX(Curves!$AQ$8:$AQ$68,AR$4-$B17+1)</f>
        <v/>
      </c>
      <c r="AS17" s="153">
        <f>$C17*INDEX(Curves!$AQ$8:$AQ$68,AS$4-$B17+1)</f>
        <v/>
      </c>
      <c r="AT17" s="153">
        <f>$C17*INDEX(Curves!$AQ$8:$AQ$68,AT$4-$B17+1)</f>
        <v/>
      </c>
      <c r="AU17" s="153">
        <f>$C17*INDEX(Curves!$AQ$8:$AQ$68,AU$4-$B17+1)</f>
        <v/>
      </c>
      <c r="AV17" s="153">
        <f>$C17*INDEX(Curves!$AQ$8:$AQ$68,AV$4-$B17+1)</f>
        <v/>
      </c>
      <c r="AW17" s="153">
        <f>$C17*INDEX(Curves!$AQ$8:$AQ$68,AW$4-$B17+1)</f>
        <v/>
      </c>
      <c r="AX17" s="153">
        <f>$C17*INDEX(Curves!$AQ$8:$AQ$68,AX$4-$B17+1)</f>
        <v/>
      </c>
      <c r="AY17" s="153">
        <f>$C17*INDEX(Curves!$AQ$8:$AQ$68,AY$4-$B17+1)</f>
        <v/>
      </c>
      <c r="AZ17" s="153">
        <f>$C17*INDEX(Curves!$AQ$8:$AQ$68,AZ$4-$B17+1)</f>
        <v/>
      </c>
      <c r="BA17" s="153">
        <f>$C17*INDEX(Curves!$AQ$8:$AQ$68,BA$4-$B17+1)</f>
        <v/>
      </c>
      <c r="BB17" s="153">
        <f>$C17*INDEX(Curves!$AQ$8:$AQ$68,BB$4-$B17+1)</f>
        <v/>
      </c>
      <c r="BC17" s="153">
        <f>$C17*INDEX(Curves!$AQ$8:$AQ$68,BC$4-$B17+1)</f>
        <v/>
      </c>
      <c r="BD17" s="153">
        <f>$C17*INDEX(Curves!$AQ$8:$AQ$68,BD$4-$B17+1)</f>
        <v/>
      </c>
      <c r="BE17" s="153">
        <f>$C17*INDEX(Curves!$AQ$8:$AQ$68,BE$4-$B17+1)</f>
        <v/>
      </c>
      <c r="BF17" s="153">
        <f>$C17*INDEX(Curves!$AQ$8:$AQ$68,BF$4-$B17+1)</f>
        <v/>
      </c>
      <c r="BG17" s="153">
        <f>$C17*INDEX(Curves!$AQ$8:$AQ$68,BG$4-$B17+1)</f>
        <v/>
      </c>
      <c r="BH17" s="153">
        <f>$C17*INDEX(Curves!$AQ$8:$AQ$68,BH$4-$B17+1)</f>
        <v/>
      </c>
      <c r="BI17" s="153">
        <f>$C17*INDEX(Curves!$AQ$8:$AQ$68,BI$4-$B17+1)</f>
        <v/>
      </c>
      <c r="BJ17" s="153">
        <f>$C17*INDEX(Curves!$AQ$8:$AQ$68,BJ$4-$B17+1)</f>
        <v/>
      </c>
      <c r="BK17" s="153">
        <f>$C17*INDEX(Curves!$AQ$8:$AQ$68,BK$4-$B17+1)</f>
        <v/>
      </c>
      <c r="BL17" s="153">
        <f>$C17*INDEX(Curves!$AQ$8:$AQ$68,BL$4-$B17+1)</f>
        <v/>
      </c>
    </row>
    <row r="18">
      <c r="A18" s="147" t="inlineStr">
        <is>
          <t>Cohort month 9</t>
        </is>
      </c>
      <c r="B18" s="147" t="n">
        <v>9</v>
      </c>
      <c r="C18" s="41">
        <f>INDEX(Ops!$E$85:$BL$85,1,$B18)</f>
        <v/>
      </c>
      <c r="N18" s="153">
        <f>$C18*INDEX(Curves!$AQ$8:$AQ$68,N$4-$B18+1)</f>
        <v/>
      </c>
      <c r="O18" s="153">
        <f>$C18*INDEX(Curves!$AQ$8:$AQ$68,O$4-$B18+1)</f>
        <v/>
      </c>
      <c r="P18" s="153">
        <f>$C18*INDEX(Curves!$AQ$8:$AQ$68,P$4-$B18+1)</f>
        <v/>
      </c>
      <c r="Q18" s="153">
        <f>$C18*INDEX(Curves!$AQ$8:$AQ$68,Q$4-$B18+1)</f>
        <v/>
      </c>
      <c r="R18" s="153">
        <f>$C18*INDEX(Curves!$AQ$8:$AQ$68,R$4-$B18+1)</f>
        <v/>
      </c>
      <c r="S18" s="153">
        <f>$C18*INDEX(Curves!$AQ$8:$AQ$68,S$4-$B18+1)</f>
        <v/>
      </c>
      <c r="T18" s="153">
        <f>$C18*INDEX(Curves!$AQ$8:$AQ$68,T$4-$B18+1)</f>
        <v/>
      </c>
      <c r="U18" s="153">
        <f>$C18*INDEX(Curves!$AQ$8:$AQ$68,U$4-$B18+1)</f>
        <v/>
      </c>
      <c r="V18" s="153">
        <f>$C18*INDEX(Curves!$AQ$8:$AQ$68,V$4-$B18+1)</f>
        <v/>
      </c>
      <c r="W18" s="153">
        <f>$C18*INDEX(Curves!$AQ$8:$AQ$68,W$4-$B18+1)</f>
        <v/>
      </c>
      <c r="X18" s="153">
        <f>$C18*INDEX(Curves!$AQ$8:$AQ$68,X$4-$B18+1)</f>
        <v/>
      </c>
      <c r="Y18" s="153">
        <f>$C18*INDEX(Curves!$AQ$8:$AQ$68,Y$4-$B18+1)</f>
        <v/>
      </c>
      <c r="Z18" s="153">
        <f>$C18*INDEX(Curves!$AQ$8:$AQ$68,Z$4-$B18+1)</f>
        <v/>
      </c>
      <c r="AA18" s="153">
        <f>$C18*INDEX(Curves!$AQ$8:$AQ$68,AA$4-$B18+1)</f>
        <v/>
      </c>
      <c r="AB18" s="153">
        <f>$C18*INDEX(Curves!$AQ$8:$AQ$68,AB$4-$B18+1)</f>
        <v/>
      </c>
      <c r="AC18" s="153">
        <f>$C18*INDEX(Curves!$AQ$8:$AQ$68,AC$4-$B18+1)</f>
        <v/>
      </c>
      <c r="AD18" s="153">
        <f>$C18*INDEX(Curves!$AQ$8:$AQ$68,AD$4-$B18+1)</f>
        <v/>
      </c>
      <c r="AE18" s="153">
        <f>$C18*INDEX(Curves!$AQ$8:$AQ$68,AE$4-$B18+1)</f>
        <v/>
      </c>
      <c r="AF18" s="153">
        <f>$C18*INDEX(Curves!$AQ$8:$AQ$68,AF$4-$B18+1)</f>
        <v/>
      </c>
      <c r="AG18" s="153">
        <f>$C18*INDEX(Curves!$AQ$8:$AQ$68,AG$4-$B18+1)</f>
        <v/>
      </c>
      <c r="AH18" s="153">
        <f>$C18*INDEX(Curves!$AQ$8:$AQ$68,AH$4-$B18+1)</f>
        <v/>
      </c>
      <c r="AI18" s="153">
        <f>$C18*INDEX(Curves!$AQ$8:$AQ$68,AI$4-$B18+1)</f>
        <v/>
      </c>
      <c r="AJ18" s="153">
        <f>$C18*INDEX(Curves!$AQ$8:$AQ$68,AJ$4-$B18+1)</f>
        <v/>
      </c>
      <c r="AK18" s="153">
        <f>$C18*INDEX(Curves!$AQ$8:$AQ$68,AK$4-$B18+1)</f>
        <v/>
      </c>
      <c r="AL18" s="153">
        <f>$C18*INDEX(Curves!$AQ$8:$AQ$68,AL$4-$B18+1)</f>
        <v/>
      </c>
      <c r="AM18" s="153">
        <f>$C18*INDEX(Curves!$AQ$8:$AQ$68,AM$4-$B18+1)</f>
        <v/>
      </c>
      <c r="AN18" s="153">
        <f>$C18*INDEX(Curves!$AQ$8:$AQ$68,AN$4-$B18+1)</f>
        <v/>
      </c>
      <c r="AO18" s="153">
        <f>$C18*INDEX(Curves!$AQ$8:$AQ$68,AO$4-$B18+1)</f>
        <v/>
      </c>
      <c r="AP18" s="153">
        <f>$C18*INDEX(Curves!$AQ$8:$AQ$68,AP$4-$B18+1)</f>
        <v/>
      </c>
      <c r="AQ18" s="153">
        <f>$C18*INDEX(Curves!$AQ$8:$AQ$68,AQ$4-$B18+1)</f>
        <v/>
      </c>
      <c r="AR18" s="153">
        <f>$C18*INDEX(Curves!$AQ$8:$AQ$68,AR$4-$B18+1)</f>
        <v/>
      </c>
      <c r="AS18" s="153">
        <f>$C18*INDEX(Curves!$AQ$8:$AQ$68,AS$4-$B18+1)</f>
        <v/>
      </c>
      <c r="AT18" s="153">
        <f>$C18*INDEX(Curves!$AQ$8:$AQ$68,AT$4-$B18+1)</f>
        <v/>
      </c>
      <c r="AU18" s="153">
        <f>$C18*INDEX(Curves!$AQ$8:$AQ$68,AU$4-$B18+1)</f>
        <v/>
      </c>
      <c r="AV18" s="153">
        <f>$C18*INDEX(Curves!$AQ$8:$AQ$68,AV$4-$B18+1)</f>
        <v/>
      </c>
      <c r="AW18" s="153">
        <f>$C18*INDEX(Curves!$AQ$8:$AQ$68,AW$4-$B18+1)</f>
        <v/>
      </c>
      <c r="AX18" s="153">
        <f>$C18*INDEX(Curves!$AQ$8:$AQ$68,AX$4-$B18+1)</f>
        <v/>
      </c>
      <c r="AY18" s="153">
        <f>$C18*INDEX(Curves!$AQ$8:$AQ$68,AY$4-$B18+1)</f>
        <v/>
      </c>
      <c r="AZ18" s="153">
        <f>$C18*INDEX(Curves!$AQ$8:$AQ$68,AZ$4-$B18+1)</f>
        <v/>
      </c>
      <c r="BA18" s="153">
        <f>$C18*INDEX(Curves!$AQ$8:$AQ$68,BA$4-$B18+1)</f>
        <v/>
      </c>
      <c r="BB18" s="153">
        <f>$C18*INDEX(Curves!$AQ$8:$AQ$68,BB$4-$B18+1)</f>
        <v/>
      </c>
      <c r="BC18" s="153">
        <f>$C18*INDEX(Curves!$AQ$8:$AQ$68,BC$4-$B18+1)</f>
        <v/>
      </c>
      <c r="BD18" s="153">
        <f>$C18*INDEX(Curves!$AQ$8:$AQ$68,BD$4-$B18+1)</f>
        <v/>
      </c>
      <c r="BE18" s="153">
        <f>$C18*INDEX(Curves!$AQ$8:$AQ$68,BE$4-$B18+1)</f>
        <v/>
      </c>
      <c r="BF18" s="153">
        <f>$C18*INDEX(Curves!$AQ$8:$AQ$68,BF$4-$B18+1)</f>
        <v/>
      </c>
      <c r="BG18" s="153">
        <f>$C18*INDEX(Curves!$AQ$8:$AQ$68,BG$4-$B18+1)</f>
        <v/>
      </c>
      <c r="BH18" s="153">
        <f>$C18*INDEX(Curves!$AQ$8:$AQ$68,BH$4-$B18+1)</f>
        <v/>
      </c>
      <c r="BI18" s="153">
        <f>$C18*INDEX(Curves!$AQ$8:$AQ$68,BI$4-$B18+1)</f>
        <v/>
      </c>
      <c r="BJ18" s="153">
        <f>$C18*INDEX(Curves!$AQ$8:$AQ$68,BJ$4-$B18+1)</f>
        <v/>
      </c>
      <c r="BK18" s="153">
        <f>$C18*INDEX(Curves!$AQ$8:$AQ$68,BK$4-$B18+1)</f>
        <v/>
      </c>
      <c r="BL18" s="153">
        <f>$C18*INDEX(Curves!$AQ$8:$AQ$68,BL$4-$B18+1)</f>
        <v/>
      </c>
    </row>
    <row r="19">
      <c r="A19" s="147" t="inlineStr">
        <is>
          <t>Cohort month 10</t>
        </is>
      </c>
      <c r="B19" s="147" t="n">
        <v>10</v>
      </c>
      <c r="C19" s="41">
        <f>INDEX(Ops!$E$85:$BL$85,1,$B19)</f>
        <v/>
      </c>
      <c r="O19" s="153">
        <f>$C19*INDEX(Curves!$AQ$8:$AQ$68,O$4-$B19+1)</f>
        <v/>
      </c>
      <c r="P19" s="153">
        <f>$C19*INDEX(Curves!$AQ$8:$AQ$68,P$4-$B19+1)</f>
        <v/>
      </c>
      <c r="Q19" s="153">
        <f>$C19*INDEX(Curves!$AQ$8:$AQ$68,Q$4-$B19+1)</f>
        <v/>
      </c>
      <c r="R19" s="153">
        <f>$C19*INDEX(Curves!$AQ$8:$AQ$68,R$4-$B19+1)</f>
        <v/>
      </c>
      <c r="S19" s="153">
        <f>$C19*INDEX(Curves!$AQ$8:$AQ$68,S$4-$B19+1)</f>
        <v/>
      </c>
      <c r="T19" s="153">
        <f>$C19*INDEX(Curves!$AQ$8:$AQ$68,T$4-$B19+1)</f>
        <v/>
      </c>
      <c r="U19" s="153">
        <f>$C19*INDEX(Curves!$AQ$8:$AQ$68,U$4-$B19+1)</f>
        <v/>
      </c>
      <c r="V19" s="153">
        <f>$C19*INDEX(Curves!$AQ$8:$AQ$68,V$4-$B19+1)</f>
        <v/>
      </c>
      <c r="W19" s="153">
        <f>$C19*INDEX(Curves!$AQ$8:$AQ$68,W$4-$B19+1)</f>
        <v/>
      </c>
      <c r="X19" s="153">
        <f>$C19*INDEX(Curves!$AQ$8:$AQ$68,X$4-$B19+1)</f>
        <v/>
      </c>
      <c r="Y19" s="153">
        <f>$C19*INDEX(Curves!$AQ$8:$AQ$68,Y$4-$B19+1)</f>
        <v/>
      </c>
      <c r="Z19" s="153">
        <f>$C19*INDEX(Curves!$AQ$8:$AQ$68,Z$4-$B19+1)</f>
        <v/>
      </c>
      <c r="AA19" s="153">
        <f>$C19*INDEX(Curves!$AQ$8:$AQ$68,AA$4-$B19+1)</f>
        <v/>
      </c>
      <c r="AB19" s="153">
        <f>$C19*INDEX(Curves!$AQ$8:$AQ$68,AB$4-$B19+1)</f>
        <v/>
      </c>
      <c r="AC19" s="153">
        <f>$C19*INDEX(Curves!$AQ$8:$AQ$68,AC$4-$B19+1)</f>
        <v/>
      </c>
      <c r="AD19" s="153">
        <f>$C19*INDEX(Curves!$AQ$8:$AQ$68,AD$4-$B19+1)</f>
        <v/>
      </c>
      <c r="AE19" s="153">
        <f>$C19*INDEX(Curves!$AQ$8:$AQ$68,AE$4-$B19+1)</f>
        <v/>
      </c>
      <c r="AF19" s="153">
        <f>$C19*INDEX(Curves!$AQ$8:$AQ$68,AF$4-$B19+1)</f>
        <v/>
      </c>
      <c r="AG19" s="153">
        <f>$C19*INDEX(Curves!$AQ$8:$AQ$68,AG$4-$B19+1)</f>
        <v/>
      </c>
      <c r="AH19" s="153">
        <f>$C19*INDEX(Curves!$AQ$8:$AQ$68,AH$4-$B19+1)</f>
        <v/>
      </c>
      <c r="AI19" s="153">
        <f>$C19*INDEX(Curves!$AQ$8:$AQ$68,AI$4-$B19+1)</f>
        <v/>
      </c>
      <c r="AJ19" s="153">
        <f>$C19*INDEX(Curves!$AQ$8:$AQ$68,AJ$4-$B19+1)</f>
        <v/>
      </c>
      <c r="AK19" s="153">
        <f>$C19*INDEX(Curves!$AQ$8:$AQ$68,AK$4-$B19+1)</f>
        <v/>
      </c>
      <c r="AL19" s="153">
        <f>$C19*INDEX(Curves!$AQ$8:$AQ$68,AL$4-$B19+1)</f>
        <v/>
      </c>
      <c r="AM19" s="153">
        <f>$C19*INDEX(Curves!$AQ$8:$AQ$68,AM$4-$B19+1)</f>
        <v/>
      </c>
      <c r="AN19" s="153">
        <f>$C19*INDEX(Curves!$AQ$8:$AQ$68,AN$4-$B19+1)</f>
        <v/>
      </c>
      <c r="AO19" s="153">
        <f>$C19*INDEX(Curves!$AQ$8:$AQ$68,AO$4-$B19+1)</f>
        <v/>
      </c>
      <c r="AP19" s="153">
        <f>$C19*INDEX(Curves!$AQ$8:$AQ$68,AP$4-$B19+1)</f>
        <v/>
      </c>
      <c r="AQ19" s="153">
        <f>$C19*INDEX(Curves!$AQ$8:$AQ$68,AQ$4-$B19+1)</f>
        <v/>
      </c>
      <c r="AR19" s="153">
        <f>$C19*INDEX(Curves!$AQ$8:$AQ$68,AR$4-$B19+1)</f>
        <v/>
      </c>
      <c r="AS19" s="153">
        <f>$C19*INDEX(Curves!$AQ$8:$AQ$68,AS$4-$B19+1)</f>
        <v/>
      </c>
      <c r="AT19" s="153">
        <f>$C19*INDEX(Curves!$AQ$8:$AQ$68,AT$4-$B19+1)</f>
        <v/>
      </c>
      <c r="AU19" s="153">
        <f>$C19*INDEX(Curves!$AQ$8:$AQ$68,AU$4-$B19+1)</f>
        <v/>
      </c>
      <c r="AV19" s="153">
        <f>$C19*INDEX(Curves!$AQ$8:$AQ$68,AV$4-$B19+1)</f>
        <v/>
      </c>
      <c r="AW19" s="153">
        <f>$C19*INDEX(Curves!$AQ$8:$AQ$68,AW$4-$B19+1)</f>
        <v/>
      </c>
      <c r="AX19" s="153">
        <f>$C19*INDEX(Curves!$AQ$8:$AQ$68,AX$4-$B19+1)</f>
        <v/>
      </c>
      <c r="AY19" s="153">
        <f>$C19*INDEX(Curves!$AQ$8:$AQ$68,AY$4-$B19+1)</f>
        <v/>
      </c>
      <c r="AZ19" s="153">
        <f>$C19*INDEX(Curves!$AQ$8:$AQ$68,AZ$4-$B19+1)</f>
        <v/>
      </c>
      <c r="BA19" s="153">
        <f>$C19*INDEX(Curves!$AQ$8:$AQ$68,BA$4-$B19+1)</f>
        <v/>
      </c>
      <c r="BB19" s="153">
        <f>$C19*INDEX(Curves!$AQ$8:$AQ$68,BB$4-$B19+1)</f>
        <v/>
      </c>
      <c r="BC19" s="153">
        <f>$C19*INDEX(Curves!$AQ$8:$AQ$68,BC$4-$B19+1)</f>
        <v/>
      </c>
      <c r="BD19" s="153">
        <f>$C19*INDEX(Curves!$AQ$8:$AQ$68,BD$4-$B19+1)</f>
        <v/>
      </c>
      <c r="BE19" s="153">
        <f>$C19*INDEX(Curves!$AQ$8:$AQ$68,BE$4-$B19+1)</f>
        <v/>
      </c>
      <c r="BF19" s="153">
        <f>$C19*INDEX(Curves!$AQ$8:$AQ$68,BF$4-$B19+1)</f>
        <v/>
      </c>
      <c r="BG19" s="153">
        <f>$C19*INDEX(Curves!$AQ$8:$AQ$68,BG$4-$B19+1)</f>
        <v/>
      </c>
      <c r="BH19" s="153">
        <f>$C19*INDEX(Curves!$AQ$8:$AQ$68,BH$4-$B19+1)</f>
        <v/>
      </c>
      <c r="BI19" s="153">
        <f>$C19*INDEX(Curves!$AQ$8:$AQ$68,BI$4-$B19+1)</f>
        <v/>
      </c>
      <c r="BJ19" s="153">
        <f>$C19*INDEX(Curves!$AQ$8:$AQ$68,BJ$4-$B19+1)</f>
        <v/>
      </c>
      <c r="BK19" s="153">
        <f>$C19*INDEX(Curves!$AQ$8:$AQ$68,BK$4-$B19+1)</f>
        <v/>
      </c>
      <c r="BL19" s="153">
        <f>$C19*INDEX(Curves!$AQ$8:$AQ$68,BL$4-$B19+1)</f>
        <v/>
      </c>
    </row>
    <row r="20">
      <c r="A20" s="147" t="inlineStr">
        <is>
          <t>Cohort month 11</t>
        </is>
      </c>
      <c r="B20" s="147" t="n">
        <v>11</v>
      </c>
      <c r="C20" s="41">
        <f>INDEX(Ops!$E$85:$BL$85,1,$B20)</f>
        <v/>
      </c>
      <c r="P20" s="153">
        <f>$C20*INDEX(Curves!$AQ$8:$AQ$68,P$4-$B20+1)</f>
        <v/>
      </c>
      <c r="Q20" s="153">
        <f>$C20*INDEX(Curves!$AQ$8:$AQ$68,Q$4-$B20+1)</f>
        <v/>
      </c>
      <c r="R20" s="153">
        <f>$C20*INDEX(Curves!$AQ$8:$AQ$68,R$4-$B20+1)</f>
        <v/>
      </c>
      <c r="S20" s="153">
        <f>$C20*INDEX(Curves!$AQ$8:$AQ$68,S$4-$B20+1)</f>
        <v/>
      </c>
      <c r="T20" s="153">
        <f>$C20*INDEX(Curves!$AQ$8:$AQ$68,T$4-$B20+1)</f>
        <v/>
      </c>
      <c r="U20" s="153">
        <f>$C20*INDEX(Curves!$AQ$8:$AQ$68,U$4-$B20+1)</f>
        <v/>
      </c>
      <c r="V20" s="153">
        <f>$C20*INDEX(Curves!$AQ$8:$AQ$68,V$4-$B20+1)</f>
        <v/>
      </c>
      <c r="W20" s="153">
        <f>$C20*INDEX(Curves!$AQ$8:$AQ$68,W$4-$B20+1)</f>
        <v/>
      </c>
      <c r="X20" s="153">
        <f>$C20*INDEX(Curves!$AQ$8:$AQ$68,X$4-$B20+1)</f>
        <v/>
      </c>
      <c r="Y20" s="153">
        <f>$C20*INDEX(Curves!$AQ$8:$AQ$68,Y$4-$B20+1)</f>
        <v/>
      </c>
      <c r="Z20" s="153">
        <f>$C20*INDEX(Curves!$AQ$8:$AQ$68,Z$4-$B20+1)</f>
        <v/>
      </c>
      <c r="AA20" s="153">
        <f>$C20*INDEX(Curves!$AQ$8:$AQ$68,AA$4-$B20+1)</f>
        <v/>
      </c>
      <c r="AB20" s="153">
        <f>$C20*INDEX(Curves!$AQ$8:$AQ$68,AB$4-$B20+1)</f>
        <v/>
      </c>
      <c r="AC20" s="153">
        <f>$C20*INDEX(Curves!$AQ$8:$AQ$68,AC$4-$B20+1)</f>
        <v/>
      </c>
      <c r="AD20" s="153">
        <f>$C20*INDEX(Curves!$AQ$8:$AQ$68,AD$4-$B20+1)</f>
        <v/>
      </c>
      <c r="AE20" s="153">
        <f>$C20*INDEX(Curves!$AQ$8:$AQ$68,AE$4-$B20+1)</f>
        <v/>
      </c>
      <c r="AF20" s="153">
        <f>$C20*INDEX(Curves!$AQ$8:$AQ$68,AF$4-$B20+1)</f>
        <v/>
      </c>
      <c r="AG20" s="153">
        <f>$C20*INDEX(Curves!$AQ$8:$AQ$68,AG$4-$B20+1)</f>
        <v/>
      </c>
      <c r="AH20" s="153">
        <f>$C20*INDEX(Curves!$AQ$8:$AQ$68,AH$4-$B20+1)</f>
        <v/>
      </c>
      <c r="AI20" s="153">
        <f>$C20*INDEX(Curves!$AQ$8:$AQ$68,AI$4-$B20+1)</f>
        <v/>
      </c>
      <c r="AJ20" s="153">
        <f>$C20*INDEX(Curves!$AQ$8:$AQ$68,AJ$4-$B20+1)</f>
        <v/>
      </c>
      <c r="AK20" s="153">
        <f>$C20*INDEX(Curves!$AQ$8:$AQ$68,AK$4-$B20+1)</f>
        <v/>
      </c>
      <c r="AL20" s="153">
        <f>$C20*INDEX(Curves!$AQ$8:$AQ$68,AL$4-$B20+1)</f>
        <v/>
      </c>
      <c r="AM20" s="153">
        <f>$C20*INDEX(Curves!$AQ$8:$AQ$68,AM$4-$B20+1)</f>
        <v/>
      </c>
      <c r="AN20" s="153">
        <f>$C20*INDEX(Curves!$AQ$8:$AQ$68,AN$4-$B20+1)</f>
        <v/>
      </c>
      <c r="AO20" s="153">
        <f>$C20*INDEX(Curves!$AQ$8:$AQ$68,AO$4-$B20+1)</f>
        <v/>
      </c>
      <c r="AP20" s="153">
        <f>$C20*INDEX(Curves!$AQ$8:$AQ$68,AP$4-$B20+1)</f>
        <v/>
      </c>
      <c r="AQ20" s="153">
        <f>$C20*INDEX(Curves!$AQ$8:$AQ$68,AQ$4-$B20+1)</f>
        <v/>
      </c>
      <c r="AR20" s="153">
        <f>$C20*INDEX(Curves!$AQ$8:$AQ$68,AR$4-$B20+1)</f>
        <v/>
      </c>
      <c r="AS20" s="153">
        <f>$C20*INDEX(Curves!$AQ$8:$AQ$68,AS$4-$B20+1)</f>
        <v/>
      </c>
      <c r="AT20" s="153">
        <f>$C20*INDEX(Curves!$AQ$8:$AQ$68,AT$4-$B20+1)</f>
        <v/>
      </c>
      <c r="AU20" s="153">
        <f>$C20*INDEX(Curves!$AQ$8:$AQ$68,AU$4-$B20+1)</f>
        <v/>
      </c>
      <c r="AV20" s="153">
        <f>$C20*INDEX(Curves!$AQ$8:$AQ$68,AV$4-$B20+1)</f>
        <v/>
      </c>
      <c r="AW20" s="153">
        <f>$C20*INDEX(Curves!$AQ$8:$AQ$68,AW$4-$B20+1)</f>
        <v/>
      </c>
      <c r="AX20" s="153">
        <f>$C20*INDEX(Curves!$AQ$8:$AQ$68,AX$4-$B20+1)</f>
        <v/>
      </c>
      <c r="AY20" s="153">
        <f>$C20*INDEX(Curves!$AQ$8:$AQ$68,AY$4-$B20+1)</f>
        <v/>
      </c>
      <c r="AZ20" s="153">
        <f>$C20*INDEX(Curves!$AQ$8:$AQ$68,AZ$4-$B20+1)</f>
        <v/>
      </c>
      <c r="BA20" s="153">
        <f>$C20*INDEX(Curves!$AQ$8:$AQ$68,BA$4-$B20+1)</f>
        <v/>
      </c>
      <c r="BB20" s="153">
        <f>$C20*INDEX(Curves!$AQ$8:$AQ$68,BB$4-$B20+1)</f>
        <v/>
      </c>
      <c r="BC20" s="153">
        <f>$C20*INDEX(Curves!$AQ$8:$AQ$68,BC$4-$B20+1)</f>
        <v/>
      </c>
      <c r="BD20" s="153">
        <f>$C20*INDEX(Curves!$AQ$8:$AQ$68,BD$4-$B20+1)</f>
        <v/>
      </c>
      <c r="BE20" s="153">
        <f>$C20*INDEX(Curves!$AQ$8:$AQ$68,BE$4-$B20+1)</f>
        <v/>
      </c>
      <c r="BF20" s="153">
        <f>$C20*INDEX(Curves!$AQ$8:$AQ$68,BF$4-$B20+1)</f>
        <v/>
      </c>
      <c r="BG20" s="153">
        <f>$C20*INDEX(Curves!$AQ$8:$AQ$68,BG$4-$B20+1)</f>
        <v/>
      </c>
      <c r="BH20" s="153">
        <f>$C20*INDEX(Curves!$AQ$8:$AQ$68,BH$4-$B20+1)</f>
        <v/>
      </c>
      <c r="BI20" s="153">
        <f>$C20*INDEX(Curves!$AQ$8:$AQ$68,BI$4-$B20+1)</f>
        <v/>
      </c>
      <c r="BJ20" s="153">
        <f>$C20*INDEX(Curves!$AQ$8:$AQ$68,BJ$4-$B20+1)</f>
        <v/>
      </c>
      <c r="BK20" s="153">
        <f>$C20*INDEX(Curves!$AQ$8:$AQ$68,BK$4-$B20+1)</f>
        <v/>
      </c>
      <c r="BL20" s="153">
        <f>$C20*INDEX(Curves!$AQ$8:$AQ$68,BL$4-$B20+1)</f>
        <v/>
      </c>
    </row>
    <row r="21">
      <c r="A21" s="147" t="inlineStr">
        <is>
          <t>Cohort month 12</t>
        </is>
      </c>
      <c r="B21" s="147" t="n">
        <v>12</v>
      </c>
      <c r="C21" s="41">
        <f>INDEX(Ops!$E$85:$BL$85,1,$B21)</f>
        <v/>
      </c>
      <c r="Q21" s="153">
        <f>$C21*INDEX(Curves!$AQ$8:$AQ$68,Q$4-$B21+1)</f>
        <v/>
      </c>
      <c r="R21" s="153">
        <f>$C21*INDEX(Curves!$AQ$8:$AQ$68,R$4-$B21+1)</f>
        <v/>
      </c>
      <c r="S21" s="153">
        <f>$C21*INDEX(Curves!$AQ$8:$AQ$68,S$4-$B21+1)</f>
        <v/>
      </c>
      <c r="T21" s="153">
        <f>$C21*INDEX(Curves!$AQ$8:$AQ$68,T$4-$B21+1)</f>
        <v/>
      </c>
      <c r="U21" s="153">
        <f>$C21*INDEX(Curves!$AQ$8:$AQ$68,U$4-$B21+1)</f>
        <v/>
      </c>
      <c r="V21" s="153">
        <f>$C21*INDEX(Curves!$AQ$8:$AQ$68,V$4-$B21+1)</f>
        <v/>
      </c>
      <c r="W21" s="153">
        <f>$C21*INDEX(Curves!$AQ$8:$AQ$68,W$4-$B21+1)</f>
        <v/>
      </c>
      <c r="X21" s="153">
        <f>$C21*INDEX(Curves!$AQ$8:$AQ$68,X$4-$B21+1)</f>
        <v/>
      </c>
      <c r="Y21" s="153">
        <f>$C21*INDEX(Curves!$AQ$8:$AQ$68,Y$4-$B21+1)</f>
        <v/>
      </c>
      <c r="Z21" s="153">
        <f>$C21*INDEX(Curves!$AQ$8:$AQ$68,Z$4-$B21+1)</f>
        <v/>
      </c>
      <c r="AA21" s="153">
        <f>$C21*INDEX(Curves!$AQ$8:$AQ$68,AA$4-$B21+1)</f>
        <v/>
      </c>
      <c r="AB21" s="153">
        <f>$C21*INDEX(Curves!$AQ$8:$AQ$68,AB$4-$B21+1)</f>
        <v/>
      </c>
      <c r="AC21" s="153">
        <f>$C21*INDEX(Curves!$AQ$8:$AQ$68,AC$4-$B21+1)</f>
        <v/>
      </c>
      <c r="AD21" s="153">
        <f>$C21*INDEX(Curves!$AQ$8:$AQ$68,AD$4-$B21+1)</f>
        <v/>
      </c>
      <c r="AE21" s="153">
        <f>$C21*INDEX(Curves!$AQ$8:$AQ$68,AE$4-$B21+1)</f>
        <v/>
      </c>
      <c r="AF21" s="153">
        <f>$C21*INDEX(Curves!$AQ$8:$AQ$68,AF$4-$B21+1)</f>
        <v/>
      </c>
      <c r="AG21" s="153">
        <f>$C21*INDEX(Curves!$AQ$8:$AQ$68,AG$4-$B21+1)</f>
        <v/>
      </c>
      <c r="AH21" s="153">
        <f>$C21*INDEX(Curves!$AQ$8:$AQ$68,AH$4-$B21+1)</f>
        <v/>
      </c>
      <c r="AI21" s="153">
        <f>$C21*INDEX(Curves!$AQ$8:$AQ$68,AI$4-$B21+1)</f>
        <v/>
      </c>
      <c r="AJ21" s="153">
        <f>$C21*INDEX(Curves!$AQ$8:$AQ$68,AJ$4-$B21+1)</f>
        <v/>
      </c>
      <c r="AK21" s="153">
        <f>$C21*INDEX(Curves!$AQ$8:$AQ$68,AK$4-$B21+1)</f>
        <v/>
      </c>
      <c r="AL21" s="153">
        <f>$C21*INDEX(Curves!$AQ$8:$AQ$68,AL$4-$B21+1)</f>
        <v/>
      </c>
      <c r="AM21" s="153">
        <f>$C21*INDEX(Curves!$AQ$8:$AQ$68,AM$4-$B21+1)</f>
        <v/>
      </c>
      <c r="AN21" s="153">
        <f>$C21*INDEX(Curves!$AQ$8:$AQ$68,AN$4-$B21+1)</f>
        <v/>
      </c>
      <c r="AO21" s="153">
        <f>$C21*INDEX(Curves!$AQ$8:$AQ$68,AO$4-$B21+1)</f>
        <v/>
      </c>
      <c r="AP21" s="153">
        <f>$C21*INDEX(Curves!$AQ$8:$AQ$68,AP$4-$B21+1)</f>
        <v/>
      </c>
      <c r="AQ21" s="153">
        <f>$C21*INDEX(Curves!$AQ$8:$AQ$68,AQ$4-$B21+1)</f>
        <v/>
      </c>
      <c r="AR21" s="153">
        <f>$C21*INDEX(Curves!$AQ$8:$AQ$68,AR$4-$B21+1)</f>
        <v/>
      </c>
      <c r="AS21" s="153">
        <f>$C21*INDEX(Curves!$AQ$8:$AQ$68,AS$4-$B21+1)</f>
        <v/>
      </c>
      <c r="AT21" s="153">
        <f>$C21*INDEX(Curves!$AQ$8:$AQ$68,AT$4-$B21+1)</f>
        <v/>
      </c>
      <c r="AU21" s="153">
        <f>$C21*INDEX(Curves!$AQ$8:$AQ$68,AU$4-$B21+1)</f>
        <v/>
      </c>
      <c r="AV21" s="153">
        <f>$C21*INDEX(Curves!$AQ$8:$AQ$68,AV$4-$B21+1)</f>
        <v/>
      </c>
      <c r="AW21" s="153">
        <f>$C21*INDEX(Curves!$AQ$8:$AQ$68,AW$4-$B21+1)</f>
        <v/>
      </c>
      <c r="AX21" s="153">
        <f>$C21*INDEX(Curves!$AQ$8:$AQ$68,AX$4-$B21+1)</f>
        <v/>
      </c>
      <c r="AY21" s="153">
        <f>$C21*INDEX(Curves!$AQ$8:$AQ$68,AY$4-$B21+1)</f>
        <v/>
      </c>
      <c r="AZ21" s="153">
        <f>$C21*INDEX(Curves!$AQ$8:$AQ$68,AZ$4-$B21+1)</f>
        <v/>
      </c>
      <c r="BA21" s="153">
        <f>$C21*INDEX(Curves!$AQ$8:$AQ$68,BA$4-$B21+1)</f>
        <v/>
      </c>
      <c r="BB21" s="153">
        <f>$C21*INDEX(Curves!$AQ$8:$AQ$68,BB$4-$B21+1)</f>
        <v/>
      </c>
      <c r="BC21" s="153">
        <f>$C21*INDEX(Curves!$AQ$8:$AQ$68,BC$4-$B21+1)</f>
        <v/>
      </c>
      <c r="BD21" s="153">
        <f>$C21*INDEX(Curves!$AQ$8:$AQ$68,BD$4-$B21+1)</f>
        <v/>
      </c>
      <c r="BE21" s="153">
        <f>$C21*INDEX(Curves!$AQ$8:$AQ$68,BE$4-$B21+1)</f>
        <v/>
      </c>
      <c r="BF21" s="153">
        <f>$C21*INDEX(Curves!$AQ$8:$AQ$68,BF$4-$B21+1)</f>
        <v/>
      </c>
      <c r="BG21" s="153">
        <f>$C21*INDEX(Curves!$AQ$8:$AQ$68,BG$4-$B21+1)</f>
        <v/>
      </c>
      <c r="BH21" s="153">
        <f>$C21*INDEX(Curves!$AQ$8:$AQ$68,BH$4-$B21+1)</f>
        <v/>
      </c>
      <c r="BI21" s="153">
        <f>$C21*INDEX(Curves!$AQ$8:$AQ$68,BI$4-$B21+1)</f>
        <v/>
      </c>
      <c r="BJ21" s="153">
        <f>$C21*INDEX(Curves!$AQ$8:$AQ$68,BJ$4-$B21+1)</f>
        <v/>
      </c>
      <c r="BK21" s="153">
        <f>$C21*INDEX(Curves!$AQ$8:$AQ$68,BK$4-$B21+1)</f>
        <v/>
      </c>
      <c r="BL21" s="153">
        <f>$C21*INDEX(Curves!$AQ$8:$AQ$68,BL$4-$B21+1)</f>
        <v/>
      </c>
    </row>
    <row r="22">
      <c r="A22" s="147" t="inlineStr">
        <is>
          <t>Cohort month 13</t>
        </is>
      </c>
      <c r="B22" s="147" t="n">
        <v>13</v>
      </c>
      <c r="C22" s="41">
        <f>INDEX(Ops!$E$85:$BL$85,1,$B22)</f>
        <v/>
      </c>
      <c r="R22" s="153">
        <f>$C22*INDEX(Curves!$AQ$8:$AQ$68,R$4-$B22+1)</f>
        <v/>
      </c>
      <c r="S22" s="153">
        <f>$C22*INDEX(Curves!$AQ$8:$AQ$68,S$4-$B22+1)</f>
        <v/>
      </c>
      <c r="T22" s="153">
        <f>$C22*INDEX(Curves!$AQ$8:$AQ$68,T$4-$B22+1)</f>
        <v/>
      </c>
      <c r="U22" s="153">
        <f>$C22*INDEX(Curves!$AQ$8:$AQ$68,U$4-$B22+1)</f>
        <v/>
      </c>
      <c r="V22" s="153">
        <f>$C22*INDEX(Curves!$AQ$8:$AQ$68,V$4-$B22+1)</f>
        <v/>
      </c>
      <c r="W22" s="153">
        <f>$C22*INDEX(Curves!$AQ$8:$AQ$68,W$4-$B22+1)</f>
        <v/>
      </c>
      <c r="X22" s="153">
        <f>$C22*INDEX(Curves!$AQ$8:$AQ$68,X$4-$B22+1)</f>
        <v/>
      </c>
      <c r="Y22" s="153">
        <f>$C22*INDEX(Curves!$AQ$8:$AQ$68,Y$4-$B22+1)</f>
        <v/>
      </c>
      <c r="Z22" s="153">
        <f>$C22*INDEX(Curves!$AQ$8:$AQ$68,Z$4-$B22+1)</f>
        <v/>
      </c>
      <c r="AA22" s="153">
        <f>$C22*INDEX(Curves!$AQ$8:$AQ$68,AA$4-$B22+1)</f>
        <v/>
      </c>
      <c r="AB22" s="153">
        <f>$C22*INDEX(Curves!$AQ$8:$AQ$68,AB$4-$B22+1)</f>
        <v/>
      </c>
      <c r="AC22" s="153">
        <f>$C22*INDEX(Curves!$AQ$8:$AQ$68,AC$4-$B22+1)</f>
        <v/>
      </c>
      <c r="AD22" s="153">
        <f>$C22*INDEX(Curves!$AQ$8:$AQ$68,AD$4-$B22+1)</f>
        <v/>
      </c>
      <c r="AE22" s="153">
        <f>$C22*INDEX(Curves!$AQ$8:$AQ$68,AE$4-$B22+1)</f>
        <v/>
      </c>
      <c r="AF22" s="153">
        <f>$C22*INDEX(Curves!$AQ$8:$AQ$68,AF$4-$B22+1)</f>
        <v/>
      </c>
      <c r="AG22" s="153">
        <f>$C22*INDEX(Curves!$AQ$8:$AQ$68,AG$4-$B22+1)</f>
        <v/>
      </c>
      <c r="AH22" s="153">
        <f>$C22*INDEX(Curves!$AQ$8:$AQ$68,AH$4-$B22+1)</f>
        <v/>
      </c>
      <c r="AI22" s="153">
        <f>$C22*INDEX(Curves!$AQ$8:$AQ$68,AI$4-$B22+1)</f>
        <v/>
      </c>
      <c r="AJ22" s="153">
        <f>$C22*INDEX(Curves!$AQ$8:$AQ$68,AJ$4-$B22+1)</f>
        <v/>
      </c>
      <c r="AK22" s="153">
        <f>$C22*INDEX(Curves!$AQ$8:$AQ$68,AK$4-$B22+1)</f>
        <v/>
      </c>
      <c r="AL22" s="153">
        <f>$C22*INDEX(Curves!$AQ$8:$AQ$68,AL$4-$B22+1)</f>
        <v/>
      </c>
      <c r="AM22" s="153">
        <f>$C22*INDEX(Curves!$AQ$8:$AQ$68,AM$4-$B22+1)</f>
        <v/>
      </c>
      <c r="AN22" s="153">
        <f>$C22*INDEX(Curves!$AQ$8:$AQ$68,AN$4-$B22+1)</f>
        <v/>
      </c>
      <c r="AO22" s="153">
        <f>$C22*INDEX(Curves!$AQ$8:$AQ$68,AO$4-$B22+1)</f>
        <v/>
      </c>
      <c r="AP22" s="153">
        <f>$C22*INDEX(Curves!$AQ$8:$AQ$68,AP$4-$B22+1)</f>
        <v/>
      </c>
      <c r="AQ22" s="153">
        <f>$C22*INDEX(Curves!$AQ$8:$AQ$68,AQ$4-$B22+1)</f>
        <v/>
      </c>
      <c r="AR22" s="153">
        <f>$C22*INDEX(Curves!$AQ$8:$AQ$68,AR$4-$B22+1)</f>
        <v/>
      </c>
      <c r="AS22" s="153">
        <f>$C22*INDEX(Curves!$AQ$8:$AQ$68,AS$4-$B22+1)</f>
        <v/>
      </c>
      <c r="AT22" s="153">
        <f>$C22*INDEX(Curves!$AQ$8:$AQ$68,AT$4-$B22+1)</f>
        <v/>
      </c>
      <c r="AU22" s="153">
        <f>$C22*INDEX(Curves!$AQ$8:$AQ$68,AU$4-$B22+1)</f>
        <v/>
      </c>
      <c r="AV22" s="153">
        <f>$C22*INDEX(Curves!$AQ$8:$AQ$68,AV$4-$B22+1)</f>
        <v/>
      </c>
      <c r="AW22" s="153">
        <f>$C22*INDEX(Curves!$AQ$8:$AQ$68,AW$4-$B22+1)</f>
        <v/>
      </c>
      <c r="AX22" s="153">
        <f>$C22*INDEX(Curves!$AQ$8:$AQ$68,AX$4-$B22+1)</f>
        <v/>
      </c>
      <c r="AY22" s="153">
        <f>$C22*INDEX(Curves!$AQ$8:$AQ$68,AY$4-$B22+1)</f>
        <v/>
      </c>
      <c r="AZ22" s="153">
        <f>$C22*INDEX(Curves!$AQ$8:$AQ$68,AZ$4-$B22+1)</f>
        <v/>
      </c>
      <c r="BA22" s="153">
        <f>$C22*INDEX(Curves!$AQ$8:$AQ$68,BA$4-$B22+1)</f>
        <v/>
      </c>
      <c r="BB22" s="153">
        <f>$C22*INDEX(Curves!$AQ$8:$AQ$68,BB$4-$B22+1)</f>
        <v/>
      </c>
      <c r="BC22" s="153">
        <f>$C22*INDEX(Curves!$AQ$8:$AQ$68,BC$4-$B22+1)</f>
        <v/>
      </c>
      <c r="BD22" s="153">
        <f>$C22*INDEX(Curves!$AQ$8:$AQ$68,BD$4-$B22+1)</f>
        <v/>
      </c>
      <c r="BE22" s="153">
        <f>$C22*INDEX(Curves!$AQ$8:$AQ$68,BE$4-$B22+1)</f>
        <v/>
      </c>
      <c r="BF22" s="153">
        <f>$C22*INDEX(Curves!$AQ$8:$AQ$68,BF$4-$B22+1)</f>
        <v/>
      </c>
      <c r="BG22" s="153">
        <f>$C22*INDEX(Curves!$AQ$8:$AQ$68,BG$4-$B22+1)</f>
        <v/>
      </c>
      <c r="BH22" s="153">
        <f>$C22*INDEX(Curves!$AQ$8:$AQ$68,BH$4-$B22+1)</f>
        <v/>
      </c>
      <c r="BI22" s="153">
        <f>$C22*INDEX(Curves!$AQ$8:$AQ$68,BI$4-$B22+1)</f>
        <v/>
      </c>
      <c r="BJ22" s="153">
        <f>$C22*INDEX(Curves!$AQ$8:$AQ$68,BJ$4-$B22+1)</f>
        <v/>
      </c>
      <c r="BK22" s="153">
        <f>$C22*INDEX(Curves!$AQ$8:$AQ$68,BK$4-$B22+1)</f>
        <v/>
      </c>
      <c r="BL22" s="153">
        <f>$C22*INDEX(Curves!$AQ$8:$AQ$68,BL$4-$B22+1)</f>
        <v/>
      </c>
    </row>
    <row r="23">
      <c r="A23" s="147" t="inlineStr">
        <is>
          <t>Cohort month 14</t>
        </is>
      </c>
      <c r="B23" s="147" t="n">
        <v>14</v>
      </c>
      <c r="C23" s="41">
        <f>INDEX(Ops!$E$85:$BL$85,1,$B23)</f>
        <v/>
      </c>
      <c r="S23" s="153">
        <f>$C23*INDEX(Curves!$AQ$8:$AQ$68,S$4-$B23+1)</f>
        <v/>
      </c>
      <c r="T23" s="153">
        <f>$C23*INDEX(Curves!$AQ$8:$AQ$68,T$4-$B23+1)</f>
        <v/>
      </c>
      <c r="U23" s="153">
        <f>$C23*INDEX(Curves!$AQ$8:$AQ$68,U$4-$B23+1)</f>
        <v/>
      </c>
      <c r="V23" s="153">
        <f>$C23*INDEX(Curves!$AQ$8:$AQ$68,V$4-$B23+1)</f>
        <v/>
      </c>
      <c r="W23" s="153">
        <f>$C23*INDEX(Curves!$AQ$8:$AQ$68,W$4-$B23+1)</f>
        <v/>
      </c>
      <c r="X23" s="153">
        <f>$C23*INDEX(Curves!$AQ$8:$AQ$68,X$4-$B23+1)</f>
        <v/>
      </c>
      <c r="Y23" s="153">
        <f>$C23*INDEX(Curves!$AQ$8:$AQ$68,Y$4-$B23+1)</f>
        <v/>
      </c>
      <c r="Z23" s="153">
        <f>$C23*INDEX(Curves!$AQ$8:$AQ$68,Z$4-$B23+1)</f>
        <v/>
      </c>
      <c r="AA23" s="153">
        <f>$C23*INDEX(Curves!$AQ$8:$AQ$68,AA$4-$B23+1)</f>
        <v/>
      </c>
      <c r="AB23" s="153">
        <f>$C23*INDEX(Curves!$AQ$8:$AQ$68,AB$4-$B23+1)</f>
        <v/>
      </c>
      <c r="AC23" s="153">
        <f>$C23*INDEX(Curves!$AQ$8:$AQ$68,AC$4-$B23+1)</f>
        <v/>
      </c>
      <c r="AD23" s="153">
        <f>$C23*INDEX(Curves!$AQ$8:$AQ$68,AD$4-$B23+1)</f>
        <v/>
      </c>
      <c r="AE23" s="153">
        <f>$C23*INDEX(Curves!$AQ$8:$AQ$68,AE$4-$B23+1)</f>
        <v/>
      </c>
      <c r="AF23" s="153">
        <f>$C23*INDEX(Curves!$AQ$8:$AQ$68,AF$4-$B23+1)</f>
        <v/>
      </c>
      <c r="AG23" s="153">
        <f>$C23*INDEX(Curves!$AQ$8:$AQ$68,AG$4-$B23+1)</f>
        <v/>
      </c>
      <c r="AH23" s="153">
        <f>$C23*INDEX(Curves!$AQ$8:$AQ$68,AH$4-$B23+1)</f>
        <v/>
      </c>
      <c r="AI23" s="153">
        <f>$C23*INDEX(Curves!$AQ$8:$AQ$68,AI$4-$B23+1)</f>
        <v/>
      </c>
      <c r="AJ23" s="153">
        <f>$C23*INDEX(Curves!$AQ$8:$AQ$68,AJ$4-$B23+1)</f>
        <v/>
      </c>
      <c r="AK23" s="153">
        <f>$C23*INDEX(Curves!$AQ$8:$AQ$68,AK$4-$B23+1)</f>
        <v/>
      </c>
      <c r="AL23" s="153">
        <f>$C23*INDEX(Curves!$AQ$8:$AQ$68,AL$4-$B23+1)</f>
        <v/>
      </c>
      <c r="AM23" s="153">
        <f>$C23*INDEX(Curves!$AQ$8:$AQ$68,AM$4-$B23+1)</f>
        <v/>
      </c>
      <c r="AN23" s="153">
        <f>$C23*INDEX(Curves!$AQ$8:$AQ$68,AN$4-$B23+1)</f>
        <v/>
      </c>
      <c r="AO23" s="153">
        <f>$C23*INDEX(Curves!$AQ$8:$AQ$68,AO$4-$B23+1)</f>
        <v/>
      </c>
      <c r="AP23" s="153">
        <f>$C23*INDEX(Curves!$AQ$8:$AQ$68,AP$4-$B23+1)</f>
        <v/>
      </c>
      <c r="AQ23" s="153">
        <f>$C23*INDEX(Curves!$AQ$8:$AQ$68,AQ$4-$B23+1)</f>
        <v/>
      </c>
      <c r="AR23" s="153">
        <f>$C23*INDEX(Curves!$AQ$8:$AQ$68,AR$4-$B23+1)</f>
        <v/>
      </c>
      <c r="AS23" s="153">
        <f>$C23*INDEX(Curves!$AQ$8:$AQ$68,AS$4-$B23+1)</f>
        <v/>
      </c>
      <c r="AT23" s="153">
        <f>$C23*INDEX(Curves!$AQ$8:$AQ$68,AT$4-$B23+1)</f>
        <v/>
      </c>
      <c r="AU23" s="153">
        <f>$C23*INDEX(Curves!$AQ$8:$AQ$68,AU$4-$B23+1)</f>
        <v/>
      </c>
      <c r="AV23" s="153">
        <f>$C23*INDEX(Curves!$AQ$8:$AQ$68,AV$4-$B23+1)</f>
        <v/>
      </c>
      <c r="AW23" s="153">
        <f>$C23*INDEX(Curves!$AQ$8:$AQ$68,AW$4-$B23+1)</f>
        <v/>
      </c>
      <c r="AX23" s="153">
        <f>$C23*INDEX(Curves!$AQ$8:$AQ$68,AX$4-$B23+1)</f>
        <v/>
      </c>
      <c r="AY23" s="153">
        <f>$C23*INDEX(Curves!$AQ$8:$AQ$68,AY$4-$B23+1)</f>
        <v/>
      </c>
      <c r="AZ23" s="153">
        <f>$C23*INDEX(Curves!$AQ$8:$AQ$68,AZ$4-$B23+1)</f>
        <v/>
      </c>
      <c r="BA23" s="153">
        <f>$C23*INDEX(Curves!$AQ$8:$AQ$68,BA$4-$B23+1)</f>
        <v/>
      </c>
      <c r="BB23" s="153">
        <f>$C23*INDEX(Curves!$AQ$8:$AQ$68,BB$4-$B23+1)</f>
        <v/>
      </c>
      <c r="BC23" s="153">
        <f>$C23*INDEX(Curves!$AQ$8:$AQ$68,BC$4-$B23+1)</f>
        <v/>
      </c>
      <c r="BD23" s="153">
        <f>$C23*INDEX(Curves!$AQ$8:$AQ$68,BD$4-$B23+1)</f>
        <v/>
      </c>
      <c r="BE23" s="153">
        <f>$C23*INDEX(Curves!$AQ$8:$AQ$68,BE$4-$B23+1)</f>
        <v/>
      </c>
      <c r="BF23" s="153">
        <f>$C23*INDEX(Curves!$AQ$8:$AQ$68,BF$4-$B23+1)</f>
        <v/>
      </c>
      <c r="BG23" s="153">
        <f>$C23*INDEX(Curves!$AQ$8:$AQ$68,BG$4-$B23+1)</f>
        <v/>
      </c>
      <c r="BH23" s="153">
        <f>$C23*INDEX(Curves!$AQ$8:$AQ$68,BH$4-$B23+1)</f>
        <v/>
      </c>
      <c r="BI23" s="153">
        <f>$C23*INDEX(Curves!$AQ$8:$AQ$68,BI$4-$B23+1)</f>
        <v/>
      </c>
      <c r="BJ23" s="153">
        <f>$C23*INDEX(Curves!$AQ$8:$AQ$68,BJ$4-$B23+1)</f>
        <v/>
      </c>
      <c r="BK23" s="153">
        <f>$C23*INDEX(Curves!$AQ$8:$AQ$68,BK$4-$B23+1)</f>
        <v/>
      </c>
      <c r="BL23" s="153">
        <f>$C23*INDEX(Curves!$AQ$8:$AQ$68,BL$4-$B23+1)</f>
        <v/>
      </c>
    </row>
    <row r="24">
      <c r="A24" s="147" t="inlineStr">
        <is>
          <t>Cohort month 15</t>
        </is>
      </c>
      <c r="B24" s="147" t="n">
        <v>15</v>
      </c>
      <c r="C24" s="41">
        <f>INDEX(Ops!$E$85:$BL$85,1,$B24)</f>
        <v/>
      </c>
      <c r="T24" s="153">
        <f>$C24*INDEX(Curves!$AQ$8:$AQ$68,T$4-$B24+1)</f>
        <v/>
      </c>
      <c r="U24" s="153">
        <f>$C24*INDEX(Curves!$AQ$8:$AQ$68,U$4-$B24+1)</f>
        <v/>
      </c>
      <c r="V24" s="153">
        <f>$C24*INDEX(Curves!$AQ$8:$AQ$68,V$4-$B24+1)</f>
        <v/>
      </c>
      <c r="W24" s="153">
        <f>$C24*INDEX(Curves!$AQ$8:$AQ$68,W$4-$B24+1)</f>
        <v/>
      </c>
      <c r="X24" s="153">
        <f>$C24*INDEX(Curves!$AQ$8:$AQ$68,X$4-$B24+1)</f>
        <v/>
      </c>
      <c r="Y24" s="153">
        <f>$C24*INDEX(Curves!$AQ$8:$AQ$68,Y$4-$B24+1)</f>
        <v/>
      </c>
      <c r="Z24" s="153">
        <f>$C24*INDEX(Curves!$AQ$8:$AQ$68,Z$4-$B24+1)</f>
        <v/>
      </c>
      <c r="AA24" s="153">
        <f>$C24*INDEX(Curves!$AQ$8:$AQ$68,AA$4-$B24+1)</f>
        <v/>
      </c>
      <c r="AB24" s="153">
        <f>$C24*INDEX(Curves!$AQ$8:$AQ$68,AB$4-$B24+1)</f>
        <v/>
      </c>
      <c r="AC24" s="153">
        <f>$C24*INDEX(Curves!$AQ$8:$AQ$68,AC$4-$B24+1)</f>
        <v/>
      </c>
      <c r="AD24" s="153">
        <f>$C24*INDEX(Curves!$AQ$8:$AQ$68,AD$4-$B24+1)</f>
        <v/>
      </c>
      <c r="AE24" s="153">
        <f>$C24*INDEX(Curves!$AQ$8:$AQ$68,AE$4-$B24+1)</f>
        <v/>
      </c>
      <c r="AF24" s="153">
        <f>$C24*INDEX(Curves!$AQ$8:$AQ$68,AF$4-$B24+1)</f>
        <v/>
      </c>
      <c r="AG24" s="153">
        <f>$C24*INDEX(Curves!$AQ$8:$AQ$68,AG$4-$B24+1)</f>
        <v/>
      </c>
      <c r="AH24" s="153">
        <f>$C24*INDEX(Curves!$AQ$8:$AQ$68,AH$4-$B24+1)</f>
        <v/>
      </c>
      <c r="AI24" s="153">
        <f>$C24*INDEX(Curves!$AQ$8:$AQ$68,AI$4-$B24+1)</f>
        <v/>
      </c>
      <c r="AJ24" s="153">
        <f>$C24*INDEX(Curves!$AQ$8:$AQ$68,AJ$4-$B24+1)</f>
        <v/>
      </c>
      <c r="AK24" s="153">
        <f>$C24*INDEX(Curves!$AQ$8:$AQ$68,AK$4-$B24+1)</f>
        <v/>
      </c>
      <c r="AL24" s="153">
        <f>$C24*INDEX(Curves!$AQ$8:$AQ$68,AL$4-$B24+1)</f>
        <v/>
      </c>
      <c r="AM24" s="153">
        <f>$C24*INDEX(Curves!$AQ$8:$AQ$68,AM$4-$B24+1)</f>
        <v/>
      </c>
      <c r="AN24" s="153">
        <f>$C24*INDEX(Curves!$AQ$8:$AQ$68,AN$4-$B24+1)</f>
        <v/>
      </c>
      <c r="AO24" s="153">
        <f>$C24*INDEX(Curves!$AQ$8:$AQ$68,AO$4-$B24+1)</f>
        <v/>
      </c>
      <c r="AP24" s="153">
        <f>$C24*INDEX(Curves!$AQ$8:$AQ$68,AP$4-$B24+1)</f>
        <v/>
      </c>
      <c r="AQ24" s="153">
        <f>$C24*INDEX(Curves!$AQ$8:$AQ$68,AQ$4-$B24+1)</f>
        <v/>
      </c>
      <c r="AR24" s="153">
        <f>$C24*INDEX(Curves!$AQ$8:$AQ$68,AR$4-$B24+1)</f>
        <v/>
      </c>
      <c r="AS24" s="153">
        <f>$C24*INDEX(Curves!$AQ$8:$AQ$68,AS$4-$B24+1)</f>
        <v/>
      </c>
      <c r="AT24" s="153">
        <f>$C24*INDEX(Curves!$AQ$8:$AQ$68,AT$4-$B24+1)</f>
        <v/>
      </c>
      <c r="AU24" s="153">
        <f>$C24*INDEX(Curves!$AQ$8:$AQ$68,AU$4-$B24+1)</f>
        <v/>
      </c>
      <c r="AV24" s="153">
        <f>$C24*INDEX(Curves!$AQ$8:$AQ$68,AV$4-$B24+1)</f>
        <v/>
      </c>
      <c r="AW24" s="153">
        <f>$C24*INDEX(Curves!$AQ$8:$AQ$68,AW$4-$B24+1)</f>
        <v/>
      </c>
      <c r="AX24" s="153">
        <f>$C24*INDEX(Curves!$AQ$8:$AQ$68,AX$4-$B24+1)</f>
        <v/>
      </c>
      <c r="AY24" s="153">
        <f>$C24*INDEX(Curves!$AQ$8:$AQ$68,AY$4-$B24+1)</f>
        <v/>
      </c>
      <c r="AZ24" s="153">
        <f>$C24*INDEX(Curves!$AQ$8:$AQ$68,AZ$4-$B24+1)</f>
        <v/>
      </c>
      <c r="BA24" s="153">
        <f>$C24*INDEX(Curves!$AQ$8:$AQ$68,BA$4-$B24+1)</f>
        <v/>
      </c>
      <c r="BB24" s="153">
        <f>$C24*INDEX(Curves!$AQ$8:$AQ$68,BB$4-$B24+1)</f>
        <v/>
      </c>
      <c r="BC24" s="153">
        <f>$C24*INDEX(Curves!$AQ$8:$AQ$68,BC$4-$B24+1)</f>
        <v/>
      </c>
      <c r="BD24" s="153">
        <f>$C24*INDEX(Curves!$AQ$8:$AQ$68,BD$4-$B24+1)</f>
        <v/>
      </c>
      <c r="BE24" s="153">
        <f>$C24*INDEX(Curves!$AQ$8:$AQ$68,BE$4-$B24+1)</f>
        <v/>
      </c>
      <c r="BF24" s="153">
        <f>$C24*INDEX(Curves!$AQ$8:$AQ$68,BF$4-$B24+1)</f>
        <v/>
      </c>
      <c r="BG24" s="153">
        <f>$C24*INDEX(Curves!$AQ$8:$AQ$68,BG$4-$B24+1)</f>
        <v/>
      </c>
      <c r="BH24" s="153">
        <f>$C24*INDEX(Curves!$AQ$8:$AQ$68,BH$4-$B24+1)</f>
        <v/>
      </c>
      <c r="BI24" s="153">
        <f>$C24*INDEX(Curves!$AQ$8:$AQ$68,BI$4-$B24+1)</f>
        <v/>
      </c>
      <c r="BJ24" s="153">
        <f>$C24*INDEX(Curves!$AQ$8:$AQ$68,BJ$4-$B24+1)</f>
        <v/>
      </c>
      <c r="BK24" s="153">
        <f>$C24*INDEX(Curves!$AQ$8:$AQ$68,BK$4-$B24+1)</f>
        <v/>
      </c>
      <c r="BL24" s="153">
        <f>$C24*INDEX(Curves!$AQ$8:$AQ$68,BL$4-$B24+1)</f>
        <v/>
      </c>
    </row>
    <row r="25">
      <c r="A25" s="147" t="inlineStr">
        <is>
          <t>Cohort month 16</t>
        </is>
      </c>
      <c r="B25" s="147" t="n">
        <v>16</v>
      </c>
      <c r="C25" s="41">
        <f>INDEX(Ops!$E$85:$BL$85,1,$B25)</f>
        <v/>
      </c>
      <c r="U25" s="153">
        <f>$C25*INDEX(Curves!$AQ$8:$AQ$68,U$4-$B25+1)</f>
        <v/>
      </c>
      <c r="V25" s="153">
        <f>$C25*INDEX(Curves!$AQ$8:$AQ$68,V$4-$B25+1)</f>
        <v/>
      </c>
      <c r="W25" s="153">
        <f>$C25*INDEX(Curves!$AQ$8:$AQ$68,W$4-$B25+1)</f>
        <v/>
      </c>
      <c r="X25" s="153">
        <f>$C25*INDEX(Curves!$AQ$8:$AQ$68,X$4-$B25+1)</f>
        <v/>
      </c>
      <c r="Y25" s="153">
        <f>$C25*INDEX(Curves!$AQ$8:$AQ$68,Y$4-$B25+1)</f>
        <v/>
      </c>
      <c r="Z25" s="153">
        <f>$C25*INDEX(Curves!$AQ$8:$AQ$68,Z$4-$B25+1)</f>
        <v/>
      </c>
      <c r="AA25" s="153">
        <f>$C25*INDEX(Curves!$AQ$8:$AQ$68,AA$4-$B25+1)</f>
        <v/>
      </c>
      <c r="AB25" s="153">
        <f>$C25*INDEX(Curves!$AQ$8:$AQ$68,AB$4-$B25+1)</f>
        <v/>
      </c>
      <c r="AC25" s="153">
        <f>$C25*INDEX(Curves!$AQ$8:$AQ$68,AC$4-$B25+1)</f>
        <v/>
      </c>
      <c r="AD25" s="153">
        <f>$C25*INDEX(Curves!$AQ$8:$AQ$68,AD$4-$B25+1)</f>
        <v/>
      </c>
      <c r="AE25" s="153">
        <f>$C25*INDEX(Curves!$AQ$8:$AQ$68,AE$4-$B25+1)</f>
        <v/>
      </c>
      <c r="AF25" s="153">
        <f>$C25*INDEX(Curves!$AQ$8:$AQ$68,AF$4-$B25+1)</f>
        <v/>
      </c>
      <c r="AG25" s="153">
        <f>$C25*INDEX(Curves!$AQ$8:$AQ$68,AG$4-$B25+1)</f>
        <v/>
      </c>
      <c r="AH25" s="153">
        <f>$C25*INDEX(Curves!$AQ$8:$AQ$68,AH$4-$B25+1)</f>
        <v/>
      </c>
      <c r="AI25" s="153">
        <f>$C25*INDEX(Curves!$AQ$8:$AQ$68,AI$4-$B25+1)</f>
        <v/>
      </c>
      <c r="AJ25" s="153">
        <f>$C25*INDEX(Curves!$AQ$8:$AQ$68,AJ$4-$B25+1)</f>
        <v/>
      </c>
      <c r="AK25" s="153">
        <f>$C25*INDEX(Curves!$AQ$8:$AQ$68,AK$4-$B25+1)</f>
        <v/>
      </c>
      <c r="AL25" s="153">
        <f>$C25*INDEX(Curves!$AQ$8:$AQ$68,AL$4-$B25+1)</f>
        <v/>
      </c>
      <c r="AM25" s="153">
        <f>$C25*INDEX(Curves!$AQ$8:$AQ$68,AM$4-$B25+1)</f>
        <v/>
      </c>
      <c r="AN25" s="153">
        <f>$C25*INDEX(Curves!$AQ$8:$AQ$68,AN$4-$B25+1)</f>
        <v/>
      </c>
      <c r="AO25" s="153">
        <f>$C25*INDEX(Curves!$AQ$8:$AQ$68,AO$4-$B25+1)</f>
        <v/>
      </c>
      <c r="AP25" s="153">
        <f>$C25*INDEX(Curves!$AQ$8:$AQ$68,AP$4-$B25+1)</f>
        <v/>
      </c>
      <c r="AQ25" s="153">
        <f>$C25*INDEX(Curves!$AQ$8:$AQ$68,AQ$4-$B25+1)</f>
        <v/>
      </c>
      <c r="AR25" s="153">
        <f>$C25*INDEX(Curves!$AQ$8:$AQ$68,AR$4-$B25+1)</f>
        <v/>
      </c>
      <c r="AS25" s="153">
        <f>$C25*INDEX(Curves!$AQ$8:$AQ$68,AS$4-$B25+1)</f>
        <v/>
      </c>
      <c r="AT25" s="153">
        <f>$C25*INDEX(Curves!$AQ$8:$AQ$68,AT$4-$B25+1)</f>
        <v/>
      </c>
      <c r="AU25" s="153">
        <f>$C25*INDEX(Curves!$AQ$8:$AQ$68,AU$4-$B25+1)</f>
        <v/>
      </c>
      <c r="AV25" s="153">
        <f>$C25*INDEX(Curves!$AQ$8:$AQ$68,AV$4-$B25+1)</f>
        <v/>
      </c>
      <c r="AW25" s="153">
        <f>$C25*INDEX(Curves!$AQ$8:$AQ$68,AW$4-$B25+1)</f>
        <v/>
      </c>
      <c r="AX25" s="153">
        <f>$C25*INDEX(Curves!$AQ$8:$AQ$68,AX$4-$B25+1)</f>
        <v/>
      </c>
      <c r="AY25" s="153">
        <f>$C25*INDEX(Curves!$AQ$8:$AQ$68,AY$4-$B25+1)</f>
        <v/>
      </c>
      <c r="AZ25" s="153">
        <f>$C25*INDEX(Curves!$AQ$8:$AQ$68,AZ$4-$B25+1)</f>
        <v/>
      </c>
      <c r="BA25" s="153">
        <f>$C25*INDEX(Curves!$AQ$8:$AQ$68,BA$4-$B25+1)</f>
        <v/>
      </c>
      <c r="BB25" s="153">
        <f>$C25*INDEX(Curves!$AQ$8:$AQ$68,BB$4-$B25+1)</f>
        <v/>
      </c>
      <c r="BC25" s="153">
        <f>$C25*INDEX(Curves!$AQ$8:$AQ$68,BC$4-$B25+1)</f>
        <v/>
      </c>
      <c r="BD25" s="153">
        <f>$C25*INDEX(Curves!$AQ$8:$AQ$68,BD$4-$B25+1)</f>
        <v/>
      </c>
      <c r="BE25" s="153">
        <f>$C25*INDEX(Curves!$AQ$8:$AQ$68,BE$4-$B25+1)</f>
        <v/>
      </c>
      <c r="BF25" s="153">
        <f>$C25*INDEX(Curves!$AQ$8:$AQ$68,BF$4-$B25+1)</f>
        <v/>
      </c>
      <c r="BG25" s="153">
        <f>$C25*INDEX(Curves!$AQ$8:$AQ$68,BG$4-$B25+1)</f>
        <v/>
      </c>
      <c r="BH25" s="153">
        <f>$C25*INDEX(Curves!$AQ$8:$AQ$68,BH$4-$B25+1)</f>
        <v/>
      </c>
      <c r="BI25" s="153">
        <f>$C25*INDEX(Curves!$AQ$8:$AQ$68,BI$4-$B25+1)</f>
        <v/>
      </c>
      <c r="BJ25" s="153">
        <f>$C25*INDEX(Curves!$AQ$8:$AQ$68,BJ$4-$B25+1)</f>
        <v/>
      </c>
      <c r="BK25" s="153">
        <f>$C25*INDEX(Curves!$AQ$8:$AQ$68,BK$4-$B25+1)</f>
        <v/>
      </c>
      <c r="BL25" s="153">
        <f>$C25*INDEX(Curves!$AQ$8:$AQ$68,BL$4-$B25+1)</f>
        <v/>
      </c>
    </row>
    <row r="26">
      <c r="A26" s="147" t="inlineStr">
        <is>
          <t>Cohort month 17</t>
        </is>
      </c>
      <c r="B26" s="147" t="n">
        <v>17</v>
      </c>
      <c r="C26" s="41">
        <f>INDEX(Ops!$E$85:$BL$85,1,$B26)</f>
        <v/>
      </c>
      <c r="V26" s="153">
        <f>$C26*INDEX(Curves!$AQ$8:$AQ$68,V$4-$B26+1)</f>
        <v/>
      </c>
      <c r="W26" s="153">
        <f>$C26*INDEX(Curves!$AQ$8:$AQ$68,W$4-$B26+1)</f>
        <v/>
      </c>
      <c r="X26" s="153">
        <f>$C26*INDEX(Curves!$AQ$8:$AQ$68,X$4-$B26+1)</f>
        <v/>
      </c>
      <c r="Y26" s="153">
        <f>$C26*INDEX(Curves!$AQ$8:$AQ$68,Y$4-$B26+1)</f>
        <v/>
      </c>
      <c r="Z26" s="153">
        <f>$C26*INDEX(Curves!$AQ$8:$AQ$68,Z$4-$B26+1)</f>
        <v/>
      </c>
      <c r="AA26" s="153">
        <f>$C26*INDEX(Curves!$AQ$8:$AQ$68,AA$4-$B26+1)</f>
        <v/>
      </c>
      <c r="AB26" s="153">
        <f>$C26*INDEX(Curves!$AQ$8:$AQ$68,AB$4-$B26+1)</f>
        <v/>
      </c>
      <c r="AC26" s="153">
        <f>$C26*INDEX(Curves!$AQ$8:$AQ$68,AC$4-$B26+1)</f>
        <v/>
      </c>
      <c r="AD26" s="153">
        <f>$C26*INDEX(Curves!$AQ$8:$AQ$68,AD$4-$B26+1)</f>
        <v/>
      </c>
      <c r="AE26" s="153">
        <f>$C26*INDEX(Curves!$AQ$8:$AQ$68,AE$4-$B26+1)</f>
        <v/>
      </c>
      <c r="AF26" s="153">
        <f>$C26*INDEX(Curves!$AQ$8:$AQ$68,AF$4-$B26+1)</f>
        <v/>
      </c>
      <c r="AG26" s="153">
        <f>$C26*INDEX(Curves!$AQ$8:$AQ$68,AG$4-$B26+1)</f>
        <v/>
      </c>
      <c r="AH26" s="153">
        <f>$C26*INDEX(Curves!$AQ$8:$AQ$68,AH$4-$B26+1)</f>
        <v/>
      </c>
      <c r="AI26" s="153">
        <f>$C26*INDEX(Curves!$AQ$8:$AQ$68,AI$4-$B26+1)</f>
        <v/>
      </c>
      <c r="AJ26" s="153">
        <f>$C26*INDEX(Curves!$AQ$8:$AQ$68,AJ$4-$B26+1)</f>
        <v/>
      </c>
      <c r="AK26" s="153">
        <f>$C26*INDEX(Curves!$AQ$8:$AQ$68,AK$4-$B26+1)</f>
        <v/>
      </c>
      <c r="AL26" s="153">
        <f>$C26*INDEX(Curves!$AQ$8:$AQ$68,AL$4-$B26+1)</f>
        <v/>
      </c>
      <c r="AM26" s="153">
        <f>$C26*INDEX(Curves!$AQ$8:$AQ$68,AM$4-$B26+1)</f>
        <v/>
      </c>
      <c r="AN26" s="153">
        <f>$C26*INDEX(Curves!$AQ$8:$AQ$68,AN$4-$B26+1)</f>
        <v/>
      </c>
      <c r="AO26" s="153">
        <f>$C26*INDEX(Curves!$AQ$8:$AQ$68,AO$4-$B26+1)</f>
        <v/>
      </c>
      <c r="AP26" s="153">
        <f>$C26*INDEX(Curves!$AQ$8:$AQ$68,AP$4-$B26+1)</f>
        <v/>
      </c>
      <c r="AQ26" s="153">
        <f>$C26*INDEX(Curves!$AQ$8:$AQ$68,AQ$4-$B26+1)</f>
        <v/>
      </c>
      <c r="AR26" s="153">
        <f>$C26*INDEX(Curves!$AQ$8:$AQ$68,AR$4-$B26+1)</f>
        <v/>
      </c>
      <c r="AS26" s="153">
        <f>$C26*INDEX(Curves!$AQ$8:$AQ$68,AS$4-$B26+1)</f>
        <v/>
      </c>
      <c r="AT26" s="153">
        <f>$C26*INDEX(Curves!$AQ$8:$AQ$68,AT$4-$B26+1)</f>
        <v/>
      </c>
      <c r="AU26" s="153">
        <f>$C26*INDEX(Curves!$AQ$8:$AQ$68,AU$4-$B26+1)</f>
        <v/>
      </c>
      <c r="AV26" s="153">
        <f>$C26*INDEX(Curves!$AQ$8:$AQ$68,AV$4-$B26+1)</f>
        <v/>
      </c>
      <c r="AW26" s="153">
        <f>$C26*INDEX(Curves!$AQ$8:$AQ$68,AW$4-$B26+1)</f>
        <v/>
      </c>
      <c r="AX26" s="153">
        <f>$C26*INDEX(Curves!$AQ$8:$AQ$68,AX$4-$B26+1)</f>
        <v/>
      </c>
      <c r="AY26" s="153">
        <f>$C26*INDEX(Curves!$AQ$8:$AQ$68,AY$4-$B26+1)</f>
        <v/>
      </c>
      <c r="AZ26" s="153">
        <f>$C26*INDEX(Curves!$AQ$8:$AQ$68,AZ$4-$B26+1)</f>
        <v/>
      </c>
      <c r="BA26" s="153">
        <f>$C26*INDEX(Curves!$AQ$8:$AQ$68,BA$4-$B26+1)</f>
        <v/>
      </c>
      <c r="BB26" s="153">
        <f>$C26*INDEX(Curves!$AQ$8:$AQ$68,BB$4-$B26+1)</f>
        <v/>
      </c>
      <c r="BC26" s="153">
        <f>$C26*INDEX(Curves!$AQ$8:$AQ$68,BC$4-$B26+1)</f>
        <v/>
      </c>
      <c r="BD26" s="153">
        <f>$C26*INDEX(Curves!$AQ$8:$AQ$68,BD$4-$B26+1)</f>
        <v/>
      </c>
      <c r="BE26" s="153">
        <f>$C26*INDEX(Curves!$AQ$8:$AQ$68,BE$4-$B26+1)</f>
        <v/>
      </c>
      <c r="BF26" s="153">
        <f>$C26*INDEX(Curves!$AQ$8:$AQ$68,BF$4-$B26+1)</f>
        <v/>
      </c>
      <c r="BG26" s="153">
        <f>$C26*INDEX(Curves!$AQ$8:$AQ$68,BG$4-$B26+1)</f>
        <v/>
      </c>
      <c r="BH26" s="153">
        <f>$C26*INDEX(Curves!$AQ$8:$AQ$68,BH$4-$B26+1)</f>
        <v/>
      </c>
      <c r="BI26" s="153">
        <f>$C26*INDEX(Curves!$AQ$8:$AQ$68,BI$4-$B26+1)</f>
        <v/>
      </c>
      <c r="BJ26" s="153">
        <f>$C26*INDEX(Curves!$AQ$8:$AQ$68,BJ$4-$B26+1)</f>
        <v/>
      </c>
      <c r="BK26" s="153">
        <f>$C26*INDEX(Curves!$AQ$8:$AQ$68,BK$4-$B26+1)</f>
        <v/>
      </c>
      <c r="BL26" s="153">
        <f>$C26*INDEX(Curves!$AQ$8:$AQ$68,BL$4-$B26+1)</f>
        <v/>
      </c>
    </row>
    <row r="27">
      <c r="A27" s="147" t="inlineStr">
        <is>
          <t>Cohort month 18</t>
        </is>
      </c>
      <c r="B27" s="147" t="n">
        <v>18</v>
      </c>
      <c r="C27" s="41">
        <f>INDEX(Ops!$E$85:$BL$85,1,$B27)</f>
        <v/>
      </c>
      <c r="W27" s="153">
        <f>$C27*INDEX(Curves!$AQ$8:$AQ$68,W$4-$B27+1)</f>
        <v/>
      </c>
      <c r="X27" s="153">
        <f>$C27*INDEX(Curves!$AQ$8:$AQ$68,X$4-$B27+1)</f>
        <v/>
      </c>
      <c r="Y27" s="153">
        <f>$C27*INDEX(Curves!$AQ$8:$AQ$68,Y$4-$B27+1)</f>
        <v/>
      </c>
      <c r="Z27" s="153">
        <f>$C27*INDEX(Curves!$AQ$8:$AQ$68,Z$4-$B27+1)</f>
        <v/>
      </c>
      <c r="AA27" s="153">
        <f>$C27*INDEX(Curves!$AQ$8:$AQ$68,AA$4-$B27+1)</f>
        <v/>
      </c>
      <c r="AB27" s="153">
        <f>$C27*INDEX(Curves!$AQ$8:$AQ$68,AB$4-$B27+1)</f>
        <v/>
      </c>
      <c r="AC27" s="153">
        <f>$C27*INDEX(Curves!$AQ$8:$AQ$68,AC$4-$B27+1)</f>
        <v/>
      </c>
      <c r="AD27" s="153">
        <f>$C27*INDEX(Curves!$AQ$8:$AQ$68,AD$4-$B27+1)</f>
        <v/>
      </c>
      <c r="AE27" s="153">
        <f>$C27*INDEX(Curves!$AQ$8:$AQ$68,AE$4-$B27+1)</f>
        <v/>
      </c>
      <c r="AF27" s="153">
        <f>$C27*INDEX(Curves!$AQ$8:$AQ$68,AF$4-$B27+1)</f>
        <v/>
      </c>
      <c r="AG27" s="153">
        <f>$C27*INDEX(Curves!$AQ$8:$AQ$68,AG$4-$B27+1)</f>
        <v/>
      </c>
      <c r="AH27" s="153">
        <f>$C27*INDEX(Curves!$AQ$8:$AQ$68,AH$4-$B27+1)</f>
        <v/>
      </c>
      <c r="AI27" s="153">
        <f>$C27*INDEX(Curves!$AQ$8:$AQ$68,AI$4-$B27+1)</f>
        <v/>
      </c>
      <c r="AJ27" s="153">
        <f>$C27*INDEX(Curves!$AQ$8:$AQ$68,AJ$4-$B27+1)</f>
        <v/>
      </c>
      <c r="AK27" s="153">
        <f>$C27*INDEX(Curves!$AQ$8:$AQ$68,AK$4-$B27+1)</f>
        <v/>
      </c>
      <c r="AL27" s="153">
        <f>$C27*INDEX(Curves!$AQ$8:$AQ$68,AL$4-$B27+1)</f>
        <v/>
      </c>
      <c r="AM27" s="153">
        <f>$C27*INDEX(Curves!$AQ$8:$AQ$68,AM$4-$B27+1)</f>
        <v/>
      </c>
      <c r="AN27" s="153">
        <f>$C27*INDEX(Curves!$AQ$8:$AQ$68,AN$4-$B27+1)</f>
        <v/>
      </c>
      <c r="AO27" s="153">
        <f>$C27*INDEX(Curves!$AQ$8:$AQ$68,AO$4-$B27+1)</f>
        <v/>
      </c>
      <c r="AP27" s="153">
        <f>$C27*INDEX(Curves!$AQ$8:$AQ$68,AP$4-$B27+1)</f>
        <v/>
      </c>
      <c r="AQ27" s="153">
        <f>$C27*INDEX(Curves!$AQ$8:$AQ$68,AQ$4-$B27+1)</f>
        <v/>
      </c>
      <c r="AR27" s="153">
        <f>$C27*INDEX(Curves!$AQ$8:$AQ$68,AR$4-$B27+1)</f>
        <v/>
      </c>
      <c r="AS27" s="153">
        <f>$C27*INDEX(Curves!$AQ$8:$AQ$68,AS$4-$B27+1)</f>
        <v/>
      </c>
      <c r="AT27" s="153">
        <f>$C27*INDEX(Curves!$AQ$8:$AQ$68,AT$4-$B27+1)</f>
        <v/>
      </c>
      <c r="AU27" s="153">
        <f>$C27*INDEX(Curves!$AQ$8:$AQ$68,AU$4-$B27+1)</f>
        <v/>
      </c>
      <c r="AV27" s="153">
        <f>$C27*INDEX(Curves!$AQ$8:$AQ$68,AV$4-$B27+1)</f>
        <v/>
      </c>
      <c r="AW27" s="153">
        <f>$C27*INDEX(Curves!$AQ$8:$AQ$68,AW$4-$B27+1)</f>
        <v/>
      </c>
      <c r="AX27" s="153">
        <f>$C27*INDEX(Curves!$AQ$8:$AQ$68,AX$4-$B27+1)</f>
        <v/>
      </c>
      <c r="AY27" s="153">
        <f>$C27*INDEX(Curves!$AQ$8:$AQ$68,AY$4-$B27+1)</f>
        <v/>
      </c>
      <c r="AZ27" s="153">
        <f>$C27*INDEX(Curves!$AQ$8:$AQ$68,AZ$4-$B27+1)</f>
        <v/>
      </c>
      <c r="BA27" s="153">
        <f>$C27*INDEX(Curves!$AQ$8:$AQ$68,BA$4-$B27+1)</f>
        <v/>
      </c>
      <c r="BB27" s="153">
        <f>$C27*INDEX(Curves!$AQ$8:$AQ$68,BB$4-$B27+1)</f>
        <v/>
      </c>
      <c r="BC27" s="153">
        <f>$C27*INDEX(Curves!$AQ$8:$AQ$68,BC$4-$B27+1)</f>
        <v/>
      </c>
      <c r="BD27" s="153">
        <f>$C27*INDEX(Curves!$AQ$8:$AQ$68,BD$4-$B27+1)</f>
        <v/>
      </c>
      <c r="BE27" s="153">
        <f>$C27*INDEX(Curves!$AQ$8:$AQ$68,BE$4-$B27+1)</f>
        <v/>
      </c>
      <c r="BF27" s="153">
        <f>$C27*INDEX(Curves!$AQ$8:$AQ$68,BF$4-$B27+1)</f>
        <v/>
      </c>
      <c r="BG27" s="153">
        <f>$C27*INDEX(Curves!$AQ$8:$AQ$68,BG$4-$B27+1)</f>
        <v/>
      </c>
      <c r="BH27" s="153">
        <f>$C27*INDEX(Curves!$AQ$8:$AQ$68,BH$4-$B27+1)</f>
        <v/>
      </c>
      <c r="BI27" s="153">
        <f>$C27*INDEX(Curves!$AQ$8:$AQ$68,BI$4-$B27+1)</f>
        <v/>
      </c>
      <c r="BJ27" s="153">
        <f>$C27*INDEX(Curves!$AQ$8:$AQ$68,BJ$4-$B27+1)</f>
        <v/>
      </c>
      <c r="BK27" s="153">
        <f>$C27*INDEX(Curves!$AQ$8:$AQ$68,BK$4-$B27+1)</f>
        <v/>
      </c>
      <c r="BL27" s="153">
        <f>$C27*INDEX(Curves!$AQ$8:$AQ$68,BL$4-$B27+1)</f>
        <v/>
      </c>
    </row>
    <row r="28">
      <c r="A28" s="147" t="inlineStr">
        <is>
          <t>Cohort month 19</t>
        </is>
      </c>
      <c r="B28" s="147" t="n">
        <v>19</v>
      </c>
      <c r="C28" s="41">
        <f>INDEX(Ops!$E$85:$BL$85,1,$B28)</f>
        <v/>
      </c>
      <c r="X28" s="153">
        <f>$C28*INDEX(Curves!$AQ$8:$AQ$68,X$4-$B28+1)</f>
        <v/>
      </c>
      <c r="Y28" s="153">
        <f>$C28*INDEX(Curves!$AQ$8:$AQ$68,Y$4-$B28+1)</f>
        <v/>
      </c>
      <c r="Z28" s="153">
        <f>$C28*INDEX(Curves!$AQ$8:$AQ$68,Z$4-$B28+1)</f>
        <v/>
      </c>
      <c r="AA28" s="153">
        <f>$C28*INDEX(Curves!$AQ$8:$AQ$68,AA$4-$B28+1)</f>
        <v/>
      </c>
      <c r="AB28" s="153">
        <f>$C28*INDEX(Curves!$AQ$8:$AQ$68,AB$4-$B28+1)</f>
        <v/>
      </c>
      <c r="AC28" s="153">
        <f>$C28*INDEX(Curves!$AQ$8:$AQ$68,AC$4-$B28+1)</f>
        <v/>
      </c>
      <c r="AD28" s="153">
        <f>$C28*INDEX(Curves!$AQ$8:$AQ$68,AD$4-$B28+1)</f>
        <v/>
      </c>
      <c r="AE28" s="153">
        <f>$C28*INDEX(Curves!$AQ$8:$AQ$68,AE$4-$B28+1)</f>
        <v/>
      </c>
      <c r="AF28" s="153">
        <f>$C28*INDEX(Curves!$AQ$8:$AQ$68,AF$4-$B28+1)</f>
        <v/>
      </c>
      <c r="AG28" s="153">
        <f>$C28*INDEX(Curves!$AQ$8:$AQ$68,AG$4-$B28+1)</f>
        <v/>
      </c>
      <c r="AH28" s="153">
        <f>$C28*INDEX(Curves!$AQ$8:$AQ$68,AH$4-$B28+1)</f>
        <v/>
      </c>
      <c r="AI28" s="153">
        <f>$C28*INDEX(Curves!$AQ$8:$AQ$68,AI$4-$B28+1)</f>
        <v/>
      </c>
      <c r="AJ28" s="153">
        <f>$C28*INDEX(Curves!$AQ$8:$AQ$68,AJ$4-$B28+1)</f>
        <v/>
      </c>
      <c r="AK28" s="153">
        <f>$C28*INDEX(Curves!$AQ$8:$AQ$68,AK$4-$B28+1)</f>
        <v/>
      </c>
      <c r="AL28" s="153">
        <f>$C28*INDEX(Curves!$AQ$8:$AQ$68,AL$4-$B28+1)</f>
        <v/>
      </c>
      <c r="AM28" s="153">
        <f>$C28*INDEX(Curves!$AQ$8:$AQ$68,AM$4-$B28+1)</f>
        <v/>
      </c>
      <c r="AN28" s="153">
        <f>$C28*INDEX(Curves!$AQ$8:$AQ$68,AN$4-$B28+1)</f>
        <v/>
      </c>
      <c r="AO28" s="153">
        <f>$C28*INDEX(Curves!$AQ$8:$AQ$68,AO$4-$B28+1)</f>
        <v/>
      </c>
      <c r="AP28" s="153">
        <f>$C28*INDEX(Curves!$AQ$8:$AQ$68,AP$4-$B28+1)</f>
        <v/>
      </c>
      <c r="AQ28" s="153">
        <f>$C28*INDEX(Curves!$AQ$8:$AQ$68,AQ$4-$B28+1)</f>
        <v/>
      </c>
      <c r="AR28" s="153">
        <f>$C28*INDEX(Curves!$AQ$8:$AQ$68,AR$4-$B28+1)</f>
        <v/>
      </c>
      <c r="AS28" s="153">
        <f>$C28*INDEX(Curves!$AQ$8:$AQ$68,AS$4-$B28+1)</f>
        <v/>
      </c>
      <c r="AT28" s="153">
        <f>$C28*INDEX(Curves!$AQ$8:$AQ$68,AT$4-$B28+1)</f>
        <v/>
      </c>
      <c r="AU28" s="153">
        <f>$C28*INDEX(Curves!$AQ$8:$AQ$68,AU$4-$B28+1)</f>
        <v/>
      </c>
      <c r="AV28" s="153">
        <f>$C28*INDEX(Curves!$AQ$8:$AQ$68,AV$4-$B28+1)</f>
        <v/>
      </c>
      <c r="AW28" s="153">
        <f>$C28*INDEX(Curves!$AQ$8:$AQ$68,AW$4-$B28+1)</f>
        <v/>
      </c>
      <c r="AX28" s="153">
        <f>$C28*INDEX(Curves!$AQ$8:$AQ$68,AX$4-$B28+1)</f>
        <v/>
      </c>
      <c r="AY28" s="153">
        <f>$C28*INDEX(Curves!$AQ$8:$AQ$68,AY$4-$B28+1)</f>
        <v/>
      </c>
      <c r="AZ28" s="153">
        <f>$C28*INDEX(Curves!$AQ$8:$AQ$68,AZ$4-$B28+1)</f>
        <v/>
      </c>
      <c r="BA28" s="153">
        <f>$C28*INDEX(Curves!$AQ$8:$AQ$68,BA$4-$B28+1)</f>
        <v/>
      </c>
      <c r="BB28" s="153">
        <f>$C28*INDEX(Curves!$AQ$8:$AQ$68,BB$4-$B28+1)</f>
        <v/>
      </c>
      <c r="BC28" s="153">
        <f>$C28*INDEX(Curves!$AQ$8:$AQ$68,BC$4-$B28+1)</f>
        <v/>
      </c>
      <c r="BD28" s="153">
        <f>$C28*INDEX(Curves!$AQ$8:$AQ$68,BD$4-$B28+1)</f>
        <v/>
      </c>
      <c r="BE28" s="153">
        <f>$C28*INDEX(Curves!$AQ$8:$AQ$68,BE$4-$B28+1)</f>
        <v/>
      </c>
      <c r="BF28" s="153">
        <f>$C28*INDEX(Curves!$AQ$8:$AQ$68,BF$4-$B28+1)</f>
        <v/>
      </c>
      <c r="BG28" s="153">
        <f>$C28*INDEX(Curves!$AQ$8:$AQ$68,BG$4-$B28+1)</f>
        <v/>
      </c>
      <c r="BH28" s="153">
        <f>$C28*INDEX(Curves!$AQ$8:$AQ$68,BH$4-$B28+1)</f>
        <v/>
      </c>
      <c r="BI28" s="153">
        <f>$C28*INDEX(Curves!$AQ$8:$AQ$68,BI$4-$B28+1)</f>
        <v/>
      </c>
      <c r="BJ28" s="153">
        <f>$C28*INDEX(Curves!$AQ$8:$AQ$68,BJ$4-$B28+1)</f>
        <v/>
      </c>
      <c r="BK28" s="153">
        <f>$C28*INDEX(Curves!$AQ$8:$AQ$68,BK$4-$B28+1)</f>
        <v/>
      </c>
      <c r="BL28" s="153">
        <f>$C28*INDEX(Curves!$AQ$8:$AQ$68,BL$4-$B28+1)</f>
        <v/>
      </c>
    </row>
    <row r="29">
      <c r="A29" s="147" t="inlineStr">
        <is>
          <t>Cohort month 20</t>
        </is>
      </c>
      <c r="B29" s="147" t="n">
        <v>20</v>
      </c>
      <c r="C29" s="41">
        <f>INDEX(Ops!$E$85:$BL$85,1,$B29)</f>
        <v/>
      </c>
      <c r="Y29" s="153">
        <f>$C29*INDEX(Curves!$AQ$8:$AQ$68,Y$4-$B29+1)</f>
        <v/>
      </c>
      <c r="Z29" s="153">
        <f>$C29*INDEX(Curves!$AQ$8:$AQ$68,Z$4-$B29+1)</f>
        <v/>
      </c>
      <c r="AA29" s="153">
        <f>$C29*INDEX(Curves!$AQ$8:$AQ$68,AA$4-$B29+1)</f>
        <v/>
      </c>
      <c r="AB29" s="153">
        <f>$C29*INDEX(Curves!$AQ$8:$AQ$68,AB$4-$B29+1)</f>
        <v/>
      </c>
      <c r="AC29" s="153">
        <f>$C29*INDEX(Curves!$AQ$8:$AQ$68,AC$4-$B29+1)</f>
        <v/>
      </c>
      <c r="AD29" s="153">
        <f>$C29*INDEX(Curves!$AQ$8:$AQ$68,AD$4-$B29+1)</f>
        <v/>
      </c>
      <c r="AE29" s="153">
        <f>$C29*INDEX(Curves!$AQ$8:$AQ$68,AE$4-$B29+1)</f>
        <v/>
      </c>
      <c r="AF29" s="153">
        <f>$C29*INDEX(Curves!$AQ$8:$AQ$68,AF$4-$B29+1)</f>
        <v/>
      </c>
      <c r="AG29" s="153">
        <f>$C29*INDEX(Curves!$AQ$8:$AQ$68,AG$4-$B29+1)</f>
        <v/>
      </c>
      <c r="AH29" s="153">
        <f>$C29*INDEX(Curves!$AQ$8:$AQ$68,AH$4-$B29+1)</f>
        <v/>
      </c>
      <c r="AI29" s="153">
        <f>$C29*INDEX(Curves!$AQ$8:$AQ$68,AI$4-$B29+1)</f>
        <v/>
      </c>
      <c r="AJ29" s="153">
        <f>$C29*INDEX(Curves!$AQ$8:$AQ$68,AJ$4-$B29+1)</f>
        <v/>
      </c>
      <c r="AK29" s="153">
        <f>$C29*INDEX(Curves!$AQ$8:$AQ$68,AK$4-$B29+1)</f>
        <v/>
      </c>
      <c r="AL29" s="153">
        <f>$C29*INDEX(Curves!$AQ$8:$AQ$68,AL$4-$B29+1)</f>
        <v/>
      </c>
      <c r="AM29" s="153">
        <f>$C29*INDEX(Curves!$AQ$8:$AQ$68,AM$4-$B29+1)</f>
        <v/>
      </c>
      <c r="AN29" s="153">
        <f>$C29*INDEX(Curves!$AQ$8:$AQ$68,AN$4-$B29+1)</f>
        <v/>
      </c>
      <c r="AO29" s="153">
        <f>$C29*INDEX(Curves!$AQ$8:$AQ$68,AO$4-$B29+1)</f>
        <v/>
      </c>
      <c r="AP29" s="153">
        <f>$C29*INDEX(Curves!$AQ$8:$AQ$68,AP$4-$B29+1)</f>
        <v/>
      </c>
      <c r="AQ29" s="153">
        <f>$C29*INDEX(Curves!$AQ$8:$AQ$68,AQ$4-$B29+1)</f>
        <v/>
      </c>
      <c r="AR29" s="153">
        <f>$C29*INDEX(Curves!$AQ$8:$AQ$68,AR$4-$B29+1)</f>
        <v/>
      </c>
      <c r="AS29" s="153">
        <f>$C29*INDEX(Curves!$AQ$8:$AQ$68,AS$4-$B29+1)</f>
        <v/>
      </c>
      <c r="AT29" s="153">
        <f>$C29*INDEX(Curves!$AQ$8:$AQ$68,AT$4-$B29+1)</f>
        <v/>
      </c>
      <c r="AU29" s="153">
        <f>$C29*INDEX(Curves!$AQ$8:$AQ$68,AU$4-$B29+1)</f>
        <v/>
      </c>
      <c r="AV29" s="153">
        <f>$C29*INDEX(Curves!$AQ$8:$AQ$68,AV$4-$B29+1)</f>
        <v/>
      </c>
      <c r="AW29" s="153">
        <f>$C29*INDEX(Curves!$AQ$8:$AQ$68,AW$4-$B29+1)</f>
        <v/>
      </c>
      <c r="AX29" s="153">
        <f>$C29*INDEX(Curves!$AQ$8:$AQ$68,AX$4-$B29+1)</f>
        <v/>
      </c>
      <c r="AY29" s="153">
        <f>$C29*INDEX(Curves!$AQ$8:$AQ$68,AY$4-$B29+1)</f>
        <v/>
      </c>
      <c r="AZ29" s="153">
        <f>$C29*INDEX(Curves!$AQ$8:$AQ$68,AZ$4-$B29+1)</f>
        <v/>
      </c>
      <c r="BA29" s="153">
        <f>$C29*INDEX(Curves!$AQ$8:$AQ$68,BA$4-$B29+1)</f>
        <v/>
      </c>
      <c r="BB29" s="153">
        <f>$C29*INDEX(Curves!$AQ$8:$AQ$68,BB$4-$B29+1)</f>
        <v/>
      </c>
      <c r="BC29" s="153">
        <f>$C29*INDEX(Curves!$AQ$8:$AQ$68,BC$4-$B29+1)</f>
        <v/>
      </c>
      <c r="BD29" s="153">
        <f>$C29*INDEX(Curves!$AQ$8:$AQ$68,BD$4-$B29+1)</f>
        <v/>
      </c>
      <c r="BE29" s="153">
        <f>$C29*INDEX(Curves!$AQ$8:$AQ$68,BE$4-$B29+1)</f>
        <v/>
      </c>
      <c r="BF29" s="153">
        <f>$C29*INDEX(Curves!$AQ$8:$AQ$68,BF$4-$B29+1)</f>
        <v/>
      </c>
      <c r="BG29" s="153">
        <f>$C29*INDEX(Curves!$AQ$8:$AQ$68,BG$4-$B29+1)</f>
        <v/>
      </c>
      <c r="BH29" s="153">
        <f>$C29*INDEX(Curves!$AQ$8:$AQ$68,BH$4-$B29+1)</f>
        <v/>
      </c>
      <c r="BI29" s="153">
        <f>$C29*INDEX(Curves!$AQ$8:$AQ$68,BI$4-$B29+1)</f>
        <v/>
      </c>
      <c r="BJ29" s="153">
        <f>$C29*INDEX(Curves!$AQ$8:$AQ$68,BJ$4-$B29+1)</f>
        <v/>
      </c>
      <c r="BK29" s="153">
        <f>$C29*INDEX(Curves!$AQ$8:$AQ$68,BK$4-$B29+1)</f>
        <v/>
      </c>
      <c r="BL29" s="153">
        <f>$C29*INDEX(Curves!$AQ$8:$AQ$68,BL$4-$B29+1)</f>
        <v/>
      </c>
    </row>
    <row r="30">
      <c r="A30" s="147" t="inlineStr">
        <is>
          <t>Cohort month 21</t>
        </is>
      </c>
      <c r="B30" s="147" t="n">
        <v>21</v>
      </c>
      <c r="C30" s="41">
        <f>INDEX(Ops!$E$85:$BL$85,1,$B30)</f>
        <v/>
      </c>
      <c r="Z30" s="153">
        <f>$C30*INDEX(Curves!$AQ$8:$AQ$68,Z$4-$B30+1)</f>
        <v/>
      </c>
      <c r="AA30" s="153">
        <f>$C30*INDEX(Curves!$AQ$8:$AQ$68,AA$4-$B30+1)</f>
        <v/>
      </c>
      <c r="AB30" s="153">
        <f>$C30*INDEX(Curves!$AQ$8:$AQ$68,AB$4-$B30+1)</f>
        <v/>
      </c>
      <c r="AC30" s="153">
        <f>$C30*INDEX(Curves!$AQ$8:$AQ$68,AC$4-$B30+1)</f>
        <v/>
      </c>
      <c r="AD30" s="153">
        <f>$C30*INDEX(Curves!$AQ$8:$AQ$68,AD$4-$B30+1)</f>
        <v/>
      </c>
      <c r="AE30" s="153">
        <f>$C30*INDEX(Curves!$AQ$8:$AQ$68,AE$4-$B30+1)</f>
        <v/>
      </c>
      <c r="AF30" s="153">
        <f>$C30*INDEX(Curves!$AQ$8:$AQ$68,AF$4-$B30+1)</f>
        <v/>
      </c>
      <c r="AG30" s="153">
        <f>$C30*INDEX(Curves!$AQ$8:$AQ$68,AG$4-$B30+1)</f>
        <v/>
      </c>
      <c r="AH30" s="153">
        <f>$C30*INDEX(Curves!$AQ$8:$AQ$68,AH$4-$B30+1)</f>
        <v/>
      </c>
      <c r="AI30" s="153">
        <f>$C30*INDEX(Curves!$AQ$8:$AQ$68,AI$4-$B30+1)</f>
        <v/>
      </c>
      <c r="AJ30" s="153">
        <f>$C30*INDEX(Curves!$AQ$8:$AQ$68,AJ$4-$B30+1)</f>
        <v/>
      </c>
      <c r="AK30" s="153">
        <f>$C30*INDEX(Curves!$AQ$8:$AQ$68,AK$4-$B30+1)</f>
        <v/>
      </c>
      <c r="AL30" s="153">
        <f>$C30*INDEX(Curves!$AQ$8:$AQ$68,AL$4-$B30+1)</f>
        <v/>
      </c>
      <c r="AM30" s="153">
        <f>$C30*INDEX(Curves!$AQ$8:$AQ$68,AM$4-$B30+1)</f>
        <v/>
      </c>
      <c r="AN30" s="153">
        <f>$C30*INDEX(Curves!$AQ$8:$AQ$68,AN$4-$B30+1)</f>
        <v/>
      </c>
      <c r="AO30" s="153">
        <f>$C30*INDEX(Curves!$AQ$8:$AQ$68,AO$4-$B30+1)</f>
        <v/>
      </c>
      <c r="AP30" s="153">
        <f>$C30*INDEX(Curves!$AQ$8:$AQ$68,AP$4-$B30+1)</f>
        <v/>
      </c>
      <c r="AQ30" s="153">
        <f>$C30*INDEX(Curves!$AQ$8:$AQ$68,AQ$4-$B30+1)</f>
        <v/>
      </c>
      <c r="AR30" s="153">
        <f>$C30*INDEX(Curves!$AQ$8:$AQ$68,AR$4-$B30+1)</f>
        <v/>
      </c>
      <c r="AS30" s="153">
        <f>$C30*INDEX(Curves!$AQ$8:$AQ$68,AS$4-$B30+1)</f>
        <v/>
      </c>
      <c r="AT30" s="153">
        <f>$C30*INDEX(Curves!$AQ$8:$AQ$68,AT$4-$B30+1)</f>
        <v/>
      </c>
      <c r="AU30" s="153">
        <f>$C30*INDEX(Curves!$AQ$8:$AQ$68,AU$4-$B30+1)</f>
        <v/>
      </c>
      <c r="AV30" s="153">
        <f>$C30*INDEX(Curves!$AQ$8:$AQ$68,AV$4-$B30+1)</f>
        <v/>
      </c>
      <c r="AW30" s="153">
        <f>$C30*INDEX(Curves!$AQ$8:$AQ$68,AW$4-$B30+1)</f>
        <v/>
      </c>
      <c r="AX30" s="153">
        <f>$C30*INDEX(Curves!$AQ$8:$AQ$68,AX$4-$B30+1)</f>
        <v/>
      </c>
      <c r="AY30" s="153">
        <f>$C30*INDEX(Curves!$AQ$8:$AQ$68,AY$4-$B30+1)</f>
        <v/>
      </c>
      <c r="AZ30" s="153">
        <f>$C30*INDEX(Curves!$AQ$8:$AQ$68,AZ$4-$B30+1)</f>
        <v/>
      </c>
      <c r="BA30" s="153">
        <f>$C30*INDEX(Curves!$AQ$8:$AQ$68,BA$4-$B30+1)</f>
        <v/>
      </c>
      <c r="BB30" s="153">
        <f>$C30*INDEX(Curves!$AQ$8:$AQ$68,BB$4-$B30+1)</f>
        <v/>
      </c>
      <c r="BC30" s="153">
        <f>$C30*INDEX(Curves!$AQ$8:$AQ$68,BC$4-$B30+1)</f>
        <v/>
      </c>
      <c r="BD30" s="153">
        <f>$C30*INDEX(Curves!$AQ$8:$AQ$68,BD$4-$B30+1)</f>
        <v/>
      </c>
      <c r="BE30" s="153">
        <f>$C30*INDEX(Curves!$AQ$8:$AQ$68,BE$4-$B30+1)</f>
        <v/>
      </c>
      <c r="BF30" s="153">
        <f>$C30*INDEX(Curves!$AQ$8:$AQ$68,BF$4-$B30+1)</f>
        <v/>
      </c>
      <c r="BG30" s="153">
        <f>$C30*INDEX(Curves!$AQ$8:$AQ$68,BG$4-$B30+1)</f>
        <v/>
      </c>
      <c r="BH30" s="153">
        <f>$C30*INDEX(Curves!$AQ$8:$AQ$68,BH$4-$B30+1)</f>
        <v/>
      </c>
      <c r="BI30" s="153">
        <f>$C30*INDEX(Curves!$AQ$8:$AQ$68,BI$4-$B30+1)</f>
        <v/>
      </c>
      <c r="BJ30" s="153">
        <f>$C30*INDEX(Curves!$AQ$8:$AQ$68,BJ$4-$B30+1)</f>
        <v/>
      </c>
      <c r="BK30" s="153">
        <f>$C30*INDEX(Curves!$AQ$8:$AQ$68,BK$4-$B30+1)</f>
        <v/>
      </c>
      <c r="BL30" s="153">
        <f>$C30*INDEX(Curves!$AQ$8:$AQ$68,BL$4-$B30+1)</f>
        <v/>
      </c>
    </row>
    <row r="31">
      <c r="A31" s="147" t="inlineStr">
        <is>
          <t>Cohort month 22</t>
        </is>
      </c>
      <c r="B31" s="147" t="n">
        <v>22</v>
      </c>
      <c r="C31" s="41">
        <f>INDEX(Ops!$E$85:$BL$85,1,$B31)</f>
        <v/>
      </c>
      <c r="AA31" s="153">
        <f>$C31*INDEX(Curves!$AQ$8:$AQ$68,AA$4-$B31+1)</f>
        <v/>
      </c>
      <c r="AB31" s="153">
        <f>$C31*INDEX(Curves!$AQ$8:$AQ$68,AB$4-$B31+1)</f>
        <v/>
      </c>
      <c r="AC31" s="153">
        <f>$C31*INDEX(Curves!$AQ$8:$AQ$68,AC$4-$B31+1)</f>
        <v/>
      </c>
      <c r="AD31" s="153">
        <f>$C31*INDEX(Curves!$AQ$8:$AQ$68,AD$4-$B31+1)</f>
        <v/>
      </c>
      <c r="AE31" s="153">
        <f>$C31*INDEX(Curves!$AQ$8:$AQ$68,AE$4-$B31+1)</f>
        <v/>
      </c>
      <c r="AF31" s="153">
        <f>$C31*INDEX(Curves!$AQ$8:$AQ$68,AF$4-$B31+1)</f>
        <v/>
      </c>
      <c r="AG31" s="153">
        <f>$C31*INDEX(Curves!$AQ$8:$AQ$68,AG$4-$B31+1)</f>
        <v/>
      </c>
      <c r="AH31" s="153">
        <f>$C31*INDEX(Curves!$AQ$8:$AQ$68,AH$4-$B31+1)</f>
        <v/>
      </c>
      <c r="AI31" s="153">
        <f>$C31*INDEX(Curves!$AQ$8:$AQ$68,AI$4-$B31+1)</f>
        <v/>
      </c>
      <c r="AJ31" s="153">
        <f>$C31*INDEX(Curves!$AQ$8:$AQ$68,AJ$4-$B31+1)</f>
        <v/>
      </c>
      <c r="AK31" s="153">
        <f>$C31*INDEX(Curves!$AQ$8:$AQ$68,AK$4-$B31+1)</f>
        <v/>
      </c>
      <c r="AL31" s="153">
        <f>$C31*INDEX(Curves!$AQ$8:$AQ$68,AL$4-$B31+1)</f>
        <v/>
      </c>
      <c r="AM31" s="153">
        <f>$C31*INDEX(Curves!$AQ$8:$AQ$68,AM$4-$B31+1)</f>
        <v/>
      </c>
      <c r="AN31" s="153">
        <f>$C31*INDEX(Curves!$AQ$8:$AQ$68,AN$4-$B31+1)</f>
        <v/>
      </c>
      <c r="AO31" s="153">
        <f>$C31*INDEX(Curves!$AQ$8:$AQ$68,AO$4-$B31+1)</f>
        <v/>
      </c>
      <c r="AP31" s="153">
        <f>$C31*INDEX(Curves!$AQ$8:$AQ$68,AP$4-$B31+1)</f>
        <v/>
      </c>
      <c r="AQ31" s="153">
        <f>$C31*INDEX(Curves!$AQ$8:$AQ$68,AQ$4-$B31+1)</f>
        <v/>
      </c>
      <c r="AR31" s="153">
        <f>$C31*INDEX(Curves!$AQ$8:$AQ$68,AR$4-$B31+1)</f>
        <v/>
      </c>
      <c r="AS31" s="153">
        <f>$C31*INDEX(Curves!$AQ$8:$AQ$68,AS$4-$B31+1)</f>
        <v/>
      </c>
      <c r="AT31" s="153">
        <f>$C31*INDEX(Curves!$AQ$8:$AQ$68,AT$4-$B31+1)</f>
        <v/>
      </c>
      <c r="AU31" s="153">
        <f>$C31*INDEX(Curves!$AQ$8:$AQ$68,AU$4-$B31+1)</f>
        <v/>
      </c>
      <c r="AV31" s="153">
        <f>$C31*INDEX(Curves!$AQ$8:$AQ$68,AV$4-$B31+1)</f>
        <v/>
      </c>
      <c r="AW31" s="153">
        <f>$C31*INDEX(Curves!$AQ$8:$AQ$68,AW$4-$B31+1)</f>
        <v/>
      </c>
      <c r="AX31" s="153">
        <f>$C31*INDEX(Curves!$AQ$8:$AQ$68,AX$4-$B31+1)</f>
        <v/>
      </c>
      <c r="AY31" s="153">
        <f>$C31*INDEX(Curves!$AQ$8:$AQ$68,AY$4-$B31+1)</f>
        <v/>
      </c>
      <c r="AZ31" s="153">
        <f>$C31*INDEX(Curves!$AQ$8:$AQ$68,AZ$4-$B31+1)</f>
        <v/>
      </c>
      <c r="BA31" s="153">
        <f>$C31*INDEX(Curves!$AQ$8:$AQ$68,BA$4-$B31+1)</f>
        <v/>
      </c>
      <c r="BB31" s="153">
        <f>$C31*INDEX(Curves!$AQ$8:$AQ$68,BB$4-$B31+1)</f>
        <v/>
      </c>
      <c r="BC31" s="153">
        <f>$C31*INDEX(Curves!$AQ$8:$AQ$68,BC$4-$B31+1)</f>
        <v/>
      </c>
      <c r="BD31" s="153">
        <f>$C31*INDEX(Curves!$AQ$8:$AQ$68,BD$4-$B31+1)</f>
        <v/>
      </c>
      <c r="BE31" s="153">
        <f>$C31*INDEX(Curves!$AQ$8:$AQ$68,BE$4-$B31+1)</f>
        <v/>
      </c>
      <c r="BF31" s="153">
        <f>$C31*INDEX(Curves!$AQ$8:$AQ$68,BF$4-$B31+1)</f>
        <v/>
      </c>
      <c r="BG31" s="153">
        <f>$C31*INDEX(Curves!$AQ$8:$AQ$68,BG$4-$B31+1)</f>
        <v/>
      </c>
      <c r="BH31" s="153">
        <f>$C31*INDEX(Curves!$AQ$8:$AQ$68,BH$4-$B31+1)</f>
        <v/>
      </c>
      <c r="BI31" s="153">
        <f>$C31*INDEX(Curves!$AQ$8:$AQ$68,BI$4-$B31+1)</f>
        <v/>
      </c>
      <c r="BJ31" s="153">
        <f>$C31*INDEX(Curves!$AQ$8:$AQ$68,BJ$4-$B31+1)</f>
        <v/>
      </c>
      <c r="BK31" s="153">
        <f>$C31*INDEX(Curves!$AQ$8:$AQ$68,BK$4-$B31+1)</f>
        <v/>
      </c>
      <c r="BL31" s="153">
        <f>$C31*INDEX(Curves!$AQ$8:$AQ$68,BL$4-$B31+1)</f>
        <v/>
      </c>
    </row>
    <row r="32">
      <c r="A32" s="147" t="inlineStr">
        <is>
          <t>Cohort month 23</t>
        </is>
      </c>
      <c r="B32" s="147" t="n">
        <v>23</v>
      </c>
      <c r="C32" s="41">
        <f>INDEX(Ops!$E$85:$BL$85,1,$B32)</f>
        <v/>
      </c>
      <c r="AB32" s="153">
        <f>$C32*INDEX(Curves!$AQ$8:$AQ$68,AB$4-$B32+1)</f>
        <v/>
      </c>
      <c r="AC32" s="153">
        <f>$C32*INDEX(Curves!$AQ$8:$AQ$68,AC$4-$B32+1)</f>
        <v/>
      </c>
      <c r="AD32" s="153">
        <f>$C32*INDEX(Curves!$AQ$8:$AQ$68,AD$4-$B32+1)</f>
        <v/>
      </c>
      <c r="AE32" s="153">
        <f>$C32*INDEX(Curves!$AQ$8:$AQ$68,AE$4-$B32+1)</f>
        <v/>
      </c>
      <c r="AF32" s="153">
        <f>$C32*INDEX(Curves!$AQ$8:$AQ$68,AF$4-$B32+1)</f>
        <v/>
      </c>
      <c r="AG32" s="153">
        <f>$C32*INDEX(Curves!$AQ$8:$AQ$68,AG$4-$B32+1)</f>
        <v/>
      </c>
      <c r="AH32" s="153">
        <f>$C32*INDEX(Curves!$AQ$8:$AQ$68,AH$4-$B32+1)</f>
        <v/>
      </c>
      <c r="AI32" s="153">
        <f>$C32*INDEX(Curves!$AQ$8:$AQ$68,AI$4-$B32+1)</f>
        <v/>
      </c>
      <c r="AJ32" s="153">
        <f>$C32*INDEX(Curves!$AQ$8:$AQ$68,AJ$4-$B32+1)</f>
        <v/>
      </c>
      <c r="AK32" s="153">
        <f>$C32*INDEX(Curves!$AQ$8:$AQ$68,AK$4-$B32+1)</f>
        <v/>
      </c>
      <c r="AL32" s="153">
        <f>$C32*INDEX(Curves!$AQ$8:$AQ$68,AL$4-$B32+1)</f>
        <v/>
      </c>
      <c r="AM32" s="153">
        <f>$C32*INDEX(Curves!$AQ$8:$AQ$68,AM$4-$B32+1)</f>
        <v/>
      </c>
      <c r="AN32" s="153">
        <f>$C32*INDEX(Curves!$AQ$8:$AQ$68,AN$4-$B32+1)</f>
        <v/>
      </c>
      <c r="AO32" s="153">
        <f>$C32*INDEX(Curves!$AQ$8:$AQ$68,AO$4-$B32+1)</f>
        <v/>
      </c>
      <c r="AP32" s="153">
        <f>$C32*INDEX(Curves!$AQ$8:$AQ$68,AP$4-$B32+1)</f>
        <v/>
      </c>
      <c r="AQ32" s="153">
        <f>$C32*INDEX(Curves!$AQ$8:$AQ$68,AQ$4-$B32+1)</f>
        <v/>
      </c>
      <c r="AR32" s="153">
        <f>$C32*INDEX(Curves!$AQ$8:$AQ$68,AR$4-$B32+1)</f>
        <v/>
      </c>
      <c r="AS32" s="153">
        <f>$C32*INDEX(Curves!$AQ$8:$AQ$68,AS$4-$B32+1)</f>
        <v/>
      </c>
      <c r="AT32" s="153">
        <f>$C32*INDEX(Curves!$AQ$8:$AQ$68,AT$4-$B32+1)</f>
        <v/>
      </c>
      <c r="AU32" s="153">
        <f>$C32*INDEX(Curves!$AQ$8:$AQ$68,AU$4-$B32+1)</f>
        <v/>
      </c>
      <c r="AV32" s="153">
        <f>$C32*INDEX(Curves!$AQ$8:$AQ$68,AV$4-$B32+1)</f>
        <v/>
      </c>
      <c r="AW32" s="153">
        <f>$C32*INDEX(Curves!$AQ$8:$AQ$68,AW$4-$B32+1)</f>
        <v/>
      </c>
      <c r="AX32" s="153">
        <f>$C32*INDEX(Curves!$AQ$8:$AQ$68,AX$4-$B32+1)</f>
        <v/>
      </c>
      <c r="AY32" s="153">
        <f>$C32*INDEX(Curves!$AQ$8:$AQ$68,AY$4-$B32+1)</f>
        <v/>
      </c>
      <c r="AZ32" s="153">
        <f>$C32*INDEX(Curves!$AQ$8:$AQ$68,AZ$4-$B32+1)</f>
        <v/>
      </c>
      <c r="BA32" s="153">
        <f>$C32*INDEX(Curves!$AQ$8:$AQ$68,BA$4-$B32+1)</f>
        <v/>
      </c>
      <c r="BB32" s="153">
        <f>$C32*INDEX(Curves!$AQ$8:$AQ$68,BB$4-$B32+1)</f>
        <v/>
      </c>
      <c r="BC32" s="153">
        <f>$C32*INDEX(Curves!$AQ$8:$AQ$68,BC$4-$B32+1)</f>
        <v/>
      </c>
      <c r="BD32" s="153">
        <f>$C32*INDEX(Curves!$AQ$8:$AQ$68,BD$4-$B32+1)</f>
        <v/>
      </c>
      <c r="BE32" s="153">
        <f>$C32*INDEX(Curves!$AQ$8:$AQ$68,BE$4-$B32+1)</f>
        <v/>
      </c>
      <c r="BF32" s="153">
        <f>$C32*INDEX(Curves!$AQ$8:$AQ$68,BF$4-$B32+1)</f>
        <v/>
      </c>
      <c r="BG32" s="153">
        <f>$C32*INDEX(Curves!$AQ$8:$AQ$68,BG$4-$B32+1)</f>
        <v/>
      </c>
      <c r="BH32" s="153">
        <f>$C32*INDEX(Curves!$AQ$8:$AQ$68,BH$4-$B32+1)</f>
        <v/>
      </c>
      <c r="BI32" s="153">
        <f>$C32*INDEX(Curves!$AQ$8:$AQ$68,BI$4-$B32+1)</f>
        <v/>
      </c>
      <c r="BJ32" s="153">
        <f>$C32*INDEX(Curves!$AQ$8:$AQ$68,BJ$4-$B32+1)</f>
        <v/>
      </c>
      <c r="BK32" s="153">
        <f>$C32*INDEX(Curves!$AQ$8:$AQ$68,BK$4-$B32+1)</f>
        <v/>
      </c>
      <c r="BL32" s="153">
        <f>$C32*INDEX(Curves!$AQ$8:$AQ$68,BL$4-$B32+1)</f>
        <v/>
      </c>
    </row>
    <row r="33">
      <c r="A33" s="147" t="inlineStr">
        <is>
          <t>Cohort month 24</t>
        </is>
      </c>
      <c r="B33" s="147" t="n">
        <v>24</v>
      </c>
      <c r="C33" s="41">
        <f>INDEX(Ops!$E$85:$BL$85,1,$B33)</f>
        <v/>
      </c>
      <c r="AC33" s="153">
        <f>$C33*INDEX(Curves!$AQ$8:$AQ$68,AC$4-$B33+1)</f>
        <v/>
      </c>
      <c r="AD33" s="153">
        <f>$C33*INDEX(Curves!$AQ$8:$AQ$68,AD$4-$B33+1)</f>
        <v/>
      </c>
      <c r="AE33" s="153">
        <f>$C33*INDEX(Curves!$AQ$8:$AQ$68,AE$4-$B33+1)</f>
        <v/>
      </c>
      <c r="AF33" s="153">
        <f>$C33*INDEX(Curves!$AQ$8:$AQ$68,AF$4-$B33+1)</f>
        <v/>
      </c>
      <c r="AG33" s="153">
        <f>$C33*INDEX(Curves!$AQ$8:$AQ$68,AG$4-$B33+1)</f>
        <v/>
      </c>
      <c r="AH33" s="153">
        <f>$C33*INDEX(Curves!$AQ$8:$AQ$68,AH$4-$B33+1)</f>
        <v/>
      </c>
      <c r="AI33" s="153">
        <f>$C33*INDEX(Curves!$AQ$8:$AQ$68,AI$4-$B33+1)</f>
        <v/>
      </c>
      <c r="AJ33" s="153">
        <f>$C33*INDEX(Curves!$AQ$8:$AQ$68,AJ$4-$B33+1)</f>
        <v/>
      </c>
      <c r="AK33" s="153">
        <f>$C33*INDEX(Curves!$AQ$8:$AQ$68,AK$4-$B33+1)</f>
        <v/>
      </c>
      <c r="AL33" s="153">
        <f>$C33*INDEX(Curves!$AQ$8:$AQ$68,AL$4-$B33+1)</f>
        <v/>
      </c>
      <c r="AM33" s="153">
        <f>$C33*INDEX(Curves!$AQ$8:$AQ$68,AM$4-$B33+1)</f>
        <v/>
      </c>
      <c r="AN33" s="153">
        <f>$C33*INDEX(Curves!$AQ$8:$AQ$68,AN$4-$B33+1)</f>
        <v/>
      </c>
      <c r="AO33" s="153">
        <f>$C33*INDEX(Curves!$AQ$8:$AQ$68,AO$4-$B33+1)</f>
        <v/>
      </c>
      <c r="AP33" s="153">
        <f>$C33*INDEX(Curves!$AQ$8:$AQ$68,AP$4-$B33+1)</f>
        <v/>
      </c>
      <c r="AQ33" s="153">
        <f>$C33*INDEX(Curves!$AQ$8:$AQ$68,AQ$4-$B33+1)</f>
        <v/>
      </c>
      <c r="AR33" s="153">
        <f>$C33*INDEX(Curves!$AQ$8:$AQ$68,AR$4-$B33+1)</f>
        <v/>
      </c>
      <c r="AS33" s="153">
        <f>$C33*INDEX(Curves!$AQ$8:$AQ$68,AS$4-$B33+1)</f>
        <v/>
      </c>
      <c r="AT33" s="153">
        <f>$C33*INDEX(Curves!$AQ$8:$AQ$68,AT$4-$B33+1)</f>
        <v/>
      </c>
      <c r="AU33" s="153">
        <f>$C33*INDEX(Curves!$AQ$8:$AQ$68,AU$4-$B33+1)</f>
        <v/>
      </c>
      <c r="AV33" s="153">
        <f>$C33*INDEX(Curves!$AQ$8:$AQ$68,AV$4-$B33+1)</f>
        <v/>
      </c>
      <c r="AW33" s="153">
        <f>$C33*INDEX(Curves!$AQ$8:$AQ$68,AW$4-$B33+1)</f>
        <v/>
      </c>
      <c r="AX33" s="153">
        <f>$C33*INDEX(Curves!$AQ$8:$AQ$68,AX$4-$B33+1)</f>
        <v/>
      </c>
      <c r="AY33" s="153">
        <f>$C33*INDEX(Curves!$AQ$8:$AQ$68,AY$4-$B33+1)</f>
        <v/>
      </c>
      <c r="AZ33" s="153">
        <f>$C33*INDEX(Curves!$AQ$8:$AQ$68,AZ$4-$B33+1)</f>
        <v/>
      </c>
      <c r="BA33" s="153">
        <f>$C33*INDEX(Curves!$AQ$8:$AQ$68,BA$4-$B33+1)</f>
        <v/>
      </c>
      <c r="BB33" s="153">
        <f>$C33*INDEX(Curves!$AQ$8:$AQ$68,BB$4-$B33+1)</f>
        <v/>
      </c>
      <c r="BC33" s="153">
        <f>$C33*INDEX(Curves!$AQ$8:$AQ$68,BC$4-$B33+1)</f>
        <v/>
      </c>
      <c r="BD33" s="153">
        <f>$C33*INDEX(Curves!$AQ$8:$AQ$68,BD$4-$B33+1)</f>
        <v/>
      </c>
      <c r="BE33" s="153">
        <f>$C33*INDEX(Curves!$AQ$8:$AQ$68,BE$4-$B33+1)</f>
        <v/>
      </c>
      <c r="BF33" s="153">
        <f>$C33*INDEX(Curves!$AQ$8:$AQ$68,BF$4-$B33+1)</f>
        <v/>
      </c>
      <c r="BG33" s="153">
        <f>$C33*INDEX(Curves!$AQ$8:$AQ$68,BG$4-$B33+1)</f>
        <v/>
      </c>
      <c r="BH33" s="153">
        <f>$C33*INDEX(Curves!$AQ$8:$AQ$68,BH$4-$B33+1)</f>
        <v/>
      </c>
      <c r="BI33" s="153">
        <f>$C33*INDEX(Curves!$AQ$8:$AQ$68,BI$4-$B33+1)</f>
        <v/>
      </c>
      <c r="BJ33" s="153">
        <f>$C33*INDEX(Curves!$AQ$8:$AQ$68,BJ$4-$B33+1)</f>
        <v/>
      </c>
      <c r="BK33" s="153">
        <f>$C33*INDEX(Curves!$AQ$8:$AQ$68,BK$4-$B33+1)</f>
        <v/>
      </c>
      <c r="BL33" s="153">
        <f>$C33*INDEX(Curves!$AQ$8:$AQ$68,BL$4-$B33+1)</f>
        <v/>
      </c>
    </row>
    <row r="34">
      <c r="A34" s="147" t="inlineStr">
        <is>
          <t>Cohort month 25</t>
        </is>
      </c>
      <c r="B34" s="147" t="n">
        <v>25</v>
      </c>
      <c r="C34" s="41">
        <f>INDEX(Ops!$E$85:$BL$85,1,$B34)</f>
        <v/>
      </c>
      <c r="AD34" s="153">
        <f>$C34*INDEX(Curves!$AQ$8:$AQ$68,AD$4-$B34+1)</f>
        <v/>
      </c>
      <c r="AE34" s="153">
        <f>$C34*INDEX(Curves!$AQ$8:$AQ$68,AE$4-$B34+1)</f>
        <v/>
      </c>
      <c r="AF34" s="153">
        <f>$C34*INDEX(Curves!$AQ$8:$AQ$68,AF$4-$B34+1)</f>
        <v/>
      </c>
      <c r="AG34" s="153">
        <f>$C34*INDEX(Curves!$AQ$8:$AQ$68,AG$4-$B34+1)</f>
        <v/>
      </c>
      <c r="AH34" s="153">
        <f>$C34*INDEX(Curves!$AQ$8:$AQ$68,AH$4-$B34+1)</f>
        <v/>
      </c>
      <c r="AI34" s="153">
        <f>$C34*INDEX(Curves!$AQ$8:$AQ$68,AI$4-$B34+1)</f>
        <v/>
      </c>
      <c r="AJ34" s="153">
        <f>$C34*INDEX(Curves!$AQ$8:$AQ$68,AJ$4-$B34+1)</f>
        <v/>
      </c>
      <c r="AK34" s="153">
        <f>$C34*INDEX(Curves!$AQ$8:$AQ$68,AK$4-$B34+1)</f>
        <v/>
      </c>
      <c r="AL34" s="153">
        <f>$C34*INDEX(Curves!$AQ$8:$AQ$68,AL$4-$B34+1)</f>
        <v/>
      </c>
      <c r="AM34" s="153">
        <f>$C34*INDEX(Curves!$AQ$8:$AQ$68,AM$4-$B34+1)</f>
        <v/>
      </c>
      <c r="AN34" s="153">
        <f>$C34*INDEX(Curves!$AQ$8:$AQ$68,AN$4-$B34+1)</f>
        <v/>
      </c>
      <c r="AO34" s="153">
        <f>$C34*INDEX(Curves!$AQ$8:$AQ$68,AO$4-$B34+1)</f>
        <v/>
      </c>
      <c r="AP34" s="153">
        <f>$C34*INDEX(Curves!$AQ$8:$AQ$68,AP$4-$B34+1)</f>
        <v/>
      </c>
      <c r="AQ34" s="153">
        <f>$C34*INDEX(Curves!$AQ$8:$AQ$68,AQ$4-$B34+1)</f>
        <v/>
      </c>
      <c r="AR34" s="153">
        <f>$C34*INDEX(Curves!$AQ$8:$AQ$68,AR$4-$B34+1)</f>
        <v/>
      </c>
      <c r="AS34" s="153">
        <f>$C34*INDEX(Curves!$AQ$8:$AQ$68,AS$4-$B34+1)</f>
        <v/>
      </c>
      <c r="AT34" s="153">
        <f>$C34*INDEX(Curves!$AQ$8:$AQ$68,AT$4-$B34+1)</f>
        <v/>
      </c>
      <c r="AU34" s="153">
        <f>$C34*INDEX(Curves!$AQ$8:$AQ$68,AU$4-$B34+1)</f>
        <v/>
      </c>
      <c r="AV34" s="153">
        <f>$C34*INDEX(Curves!$AQ$8:$AQ$68,AV$4-$B34+1)</f>
        <v/>
      </c>
      <c r="AW34" s="153">
        <f>$C34*INDEX(Curves!$AQ$8:$AQ$68,AW$4-$B34+1)</f>
        <v/>
      </c>
      <c r="AX34" s="153">
        <f>$C34*INDEX(Curves!$AQ$8:$AQ$68,AX$4-$B34+1)</f>
        <v/>
      </c>
      <c r="AY34" s="153">
        <f>$C34*INDEX(Curves!$AQ$8:$AQ$68,AY$4-$B34+1)</f>
        <v/>
      </c>
      <c r="AZ34" s="153">
        <f>$C34*INDEX(Curves!$AQ$8:$AQ$68,AZ$4-$B34+1)</f>
        <v/>
      </c>
      <c r="BA34" s="153">
        <f>$C34*INDEX(Curves!$AQ$8:$AQ$68,BA$4-$B34+1)</f>
        <v/>
      </c>
      <c r="BB34" s="153">
        <f>$C34*INDEX(Curves!$AQ$8:$AQ$68,BB$4-$B34+1)</f>
        <v/>
      </c>
      <c r="BC34" s="153">
        <f>$C34*INDEX(Curves!$AQ$8:$AQ$68,BC$4-$B34+1)</f>
        <v/>
      </c>
      <c r="BD34" s="153">
        <f>$C34*INDEX(Curves!$AQ$8:$AQ$68,BD$4-$B34+1)</f>
        <v/>
      </c>
      <c r="BE34" s="153">
        <f>$C34*INDEX(Curves!$AQ$8:$AQ$68,BE$4-$B34+1)</f>
        <v/>
      </c>
      <c r="BF34" s="153">
        <f>$C34*INDEX(Curves!$AQ$8:$AQ$68,BF$4-$B34+1)</f>
        <v/>
      </c>
      <c r="BG34" s="153">
        <f>$C34*INDEX(Curves!$AQ$8:$AQ$68,BG$4-$B34+1)</f>
        <v/>
      </c>
      <c r="BH34" s="153">
        <f>$C34*INDEX(Curves!$AQ$8:$AQ$68,BH$4-$B34+1)</f>
        <v/>
      </c>
      <c r="BI34" s="153">
        <f>$C34*INDEX(Curves!$AQ$8:$AQ$68,BI$4-$B34+1)</f>
        <v/>
      </c>
      <c r="BJ34" s="153">
        <f>$C34*INDEX(Curves!$AQ$8:$AQ$68,BJ$4-$B34+1)</f>
        <v/>
      </c>
      <c r="BK34" s="153">
        <f>$C34*INDEX(Curves!$AQ$8:$AQ$68,BK$4-$B34+1)</f>
        <v/>
      </c>
      <c r="BL34" s="153">
        <f>$C34*INDEX(Curves!$AQ$8:$AQ$68,BL$4-$B34+1)</f>
        <v/>
      </c>
    </row>
    <row r="35">
      <c r="A35" s="147" t="inlineStr">
        <is>
          <t>Cohort month 26</t>
        </is>
      </c>
      <c r="B35" s="147" t="n">
        <v>26</v>
      </c>
      <c r="C35" s="41">
        <f>INDEX(Ops!$E$85:$BL$85,1,$B35)</f>
        <v/>
      </c>
      <c r="AE35" s="153">
        <f>$C35*INDEX(Curves!$AQ$8:$AQ$68,AE$4-$B35+1)</f>
        <v/>
      </c>
      <c r="AF35" s="153">
        <f>$C35*INDEX(Curves!$AQ$8:$AQ$68,AF$4-$B35+1)</f>
        <v/>
      </c>
      <c r="AG35" s="153">
        <f>$C35*INDEX(Curves!$AQ$8:$AQ$68,AG$4-$B35+1)</f>
        <v/>
      </c>
      <c r="AH35" s="153">
        <f>$C35*INDEX(Curves!$AQ$8:$AQ$68,AH$4-$B35+1)</f>
        <v/>
      </c>
      <c r="AI35" s="153">
        <f>$C35*INDEX(Curves!$AQ$8:$AQ$68,AI$4-$B35+1)</f>
        <v/>
      </c>
      <c r="AJ35" s="153">
        <f>$C35*INDEX(Curves!$AQ$8:$AQ$68,AJ$4-$B35+1)</f>
        <v/>
      </c>
      <c r="AK35" s="153">
        <f>$C35*INDEX(Curves!$AQ$8:$AQ$68,AK$4-$B35+1)</f>
        <v/>
      </c>
      <c r="AL35" s="153">
        <f>$C35*INDEX(Curves!$AQ$8:$AQ$68,AL$4-$B35+1)</f>
        <v/>
      </c>
      <c r="AM35" s="153">
        <f>$C35*INDEX(Curves!$AQ$8:$AQ$68,AM$4-$B35+1)</f>
        <v/>
      </c>
      <c r="AN35" s="153">
        <f>$C35*INDEX(Curves!$AQ$8:$AQ$68,AN$4-$B35+1)</f>
        <v/>
      </c>
      <c r="AO35" s="153">
        <f>$C35*INDEX(Curves!$AQ$8:$AQ$68,AO$4-$B35+1)</f>
        <v/>
      </c>
      <c r="AP35" s="153">
        <f>$C35*INDEX(Curves!$AQ$8:$AQ$68,AP$4-$B35+1)</f>
        <v/>
      </c>
      <c r="AQ35" s="153">
        <f>$C35*INDEX(Curves!$AQ$8:$AQ$68,AQ$4-$B35+1)</f>
        <v/>
      </c>
      <c r="AR35" s="153">
        <f>$C35*INDEX(Curves!$AQ$8:$AQ$68,AR$4-$B35+1)</f>
        <v/>
      </c>
      <c r="AS35" s="153">
        <f>$C35*INDEX(Curves!$AQ$8:$AQ$68,AS$4-$B35+1)</f>
        <v/>
      </c>
      <c r="AT35" s="153">
        <f>$C35*INDEX(Curves!$AQ$8:$AQ$68,AT$4-$B35+1)</f>
        <v/>
      </c>
      <c r="AU35" s="153">
        <f>$C35*INDEX(Curves!$AQ$8:$AQ$68,AU$4-$B35+1)</f>
        <v/>
      </c>
      <c r="AV35" s="153">
        <f>$C35*INDEX(Curves!$AQ$8:$AQ$68,AV$4-$B35+1)</f>
        <v/>
      </c>
      <c r="AW35" s="153">
        <f>$C35*INDEX(Curves!$AQ$8:$AQ$68,AW$4-$B35+1)</f>
        <v/>
      </c>
      <c r="AX35" s="153">
        <f>$C35*INDEX(Curves!$AQ$8:$AQ$68,AX$4-$B35+1)</f>
        <v/>
      </c>
      <c r="AY35" s="153">
        <f>$C35*INDEX(Curves!$AQ$8:$AQ$68,AY$4-$B35+1)</f>
        <v/>
      </c>
      <c r="AZ35" s="153">
        <f>$C35*INDEX(Curves!$AQ$8:$AQ$68,AZ$4-$B35+1)</f>
        <v/>
      </c>
      <c r="BA35" s="153">
        <f>$C35*INDEX(Curves!$AQ$8:$AQ$68,BA$4-$B35+1)</f>
        <v/>
      </c>
      <c r="BB35" s="153">
        <f>$C35*INDEX(Curves!$AQ$8:$AQ$68,BB$4-$B35+1)</f>
        <v/>
      </c>
      <c r="BC35" s="153">
        <f>$C35*INDEX(Curves!$AQ$8:$AQ$68,BC$4-$B35+1)</f>
        <v/>
      </c>
      <c r="BD35" s="153">
        <f>$C35*INDEX(Curves!$AQ$8:$AQ$68,BD$4-$B35+1)</f>
        <v/>
      </c>
      <c r="BE35" s="153">
        <f>$C35*INDEX(Curves!$AQ$8:$AQ$68,BE$4-$B35+1)</f>
        <v/>
      </c>
      <c r="BF35" s="153">
        <f>$C35*INDEX(Curves!$AQ$8:$AQ$68,BF$4-$B35+1)</f>
        <v/>
      </c>
      <c r="BG35" s="153">
        <f>$C35*INDEX(Curves!$AQ$8:$AQ$68,BG$4-$B35+1)</f>
        <v/>
      </c>
      <c r="BH35" s="153">
        <f>$C35*INDEX(Curves!$AQ$8:$AQ$68,BH$4-$B35+1)</f>
        <v/>
      </c>
      <c r="BI35" s="153">
        <f>$C35*INDEX(Curves!$AQ$8:$AQ$68,BI$4-$B35+1)</f>
        <v/>
      </c>
      <c r="BJ35" s="153">
        <f>$C35*INDEX(Curves!$AQ$8:$AQ$68,BJ$4-$B35+1)</f>
        <v/>
      </c>
      <c r="BK35" s="153">
        <f>$C35*INDEX(Curves!$AQ$8:$AQ$68,BK$4-$B35+1)</f>
        <v/>
      </c>
      <c r="BL35" s="153">
        <f>$C35*INDEX(Curves!$AQ$8:$AQ$68,BL$4-$B35+1)</f>
        <v/>
      </c>
    </row>
    <row r="36">
      <c r="A36" s="147" t="inlineStr">
        <is>
          <t>Cohort month 27</t>
        </is>
      </c>
      <c r="B36" s="147" t="n">
        <v>27</v>
      </c>
      <c r="C36" s="41">
        <f>INDEX(Ops!$E$85:$BL$85,1,$B36)</f>
        <v/>
      </c>
      <c r="AF36" s="153">
        <f>$C36*INDEX(Curves!$AQ$8:$AQ$68,AF$4-$B36+1)</f>
        <v/>
      </c>
      <c r="AG36" s="153">
        <f>$C36*INDEX(Curves!$AQ$8:$AQ$68,AG$4-$B36+1)</f>
        <v/>
      </c>
      <c r="AH36" s="153">
        <f>$C36*INDEX(Curves!$AQ$8:$AQ$68,AH$4-$B36+1)</f>
        <v/>
      </c>
      <c r="AI36" s="153">
        <f>$C36*INDEX(Curves!$AQ$8:$AQ$68,AI$4-$B36+1)</f>
        <v/>
      </c>
      <c r="AJ36" s="153">
        <f>$C36*INDEX(Curves!$AQ$8:$AQ$68,AJ$4-$B36+1)</f>
        <v/>
      </c>
      <c r="AK36" s="153">
        <f>$C36*INDEX(Curves!$AQ$8:$AQ$68,AK$4-$B36+1)</f>
        <v/>
      </c>
      <c r="AL36" s="153">
        <f>$C36*INDEX(Curves!$AQ$8:$AQ$68,AL$4-$B36+1)</f>
        <v/>
      </c>
      <c r="AM36" s="153">
        <f>$C36*INDEX(Curves!$AQ$8:$AQ$68,AM$4-$B36+1)</f>
        <v/>
      </c>
      <c r="AN36" s="153">
        <f>$C36*INDEX(Curves!$AQ$8:$AQ$68,AN$4-$B36+1)</f>
        <v/>
      </c>
      <c r="AO36" s="153">
        <f>$C36*INDEX(Curves!$AQ$8:$AQ$68,AO$4-$B36+1)</f>
        <v/>
      </c>
      <c r="AP36" s="153">
        <f>$C36*INDEX(Curves!$AQ$8:$AQ$68,AP$4-$B36+1)</f>
        <v/>
      </c>
      <c r="AQ36" s="153">
        <f>$C36*INDEX(Curves!$AQ$8:$AQ$68,AQ$4-$B36+1)</f>
        <v/>
      </c>
      <c r="AR36" s="153">
        <f>$C36*INDEX(Curves!$AQ$8:$AQ$68,AR$4-$B36+1)</f>
        <v/>
      </c>
      <c r="AS36" s="153">
        <f>$C36*INDEX(Curves!$AQ$8:$AQ$68,AS$4-$B36+1)</f>
        <v/>
      </c>
      <c r="AT36" s="153">
        <f>$C36*INDEX(Curves!$AQ$8:$AQ$68,AT$4-$B36+1)</f>
        <v/>
      </c>
      <c r="AU36" s="153">
        <f>$C36*INDEX(Curves!$AQ$8:$AQ$68,AU$4-$B36+1)</f>
        <v/>
      </c>
      <c r="AV36" s="153">
        <f>$C36*INDEX(Curves!$AQ$8:$AQ$68,AV$4-$B36+1)</f>
        <v/>
      </c>
      <c r="AW36" s="153">
        <f>$C36*INDEX(Curves!$AQ$8:$AQ$68,AW$4-$B36+1)</f>
        <v/>
      </c>
      <c r="AX36" s="153">
        <f>$C36*INDEX(Curves!$AQ$8:$AQ$68,AX$4-$B36+1)</f>
        <v/>
      </c>
      <c r="AY36" s="153">
        <f>$C36*INDEX(Curves!$AQ$8:$AQ$68,AY$4-$B36+1)</f>
        <v/>
      </c>
      <c r="AZ36" s="153">
        <f>$C36*INDEX(Curves!$AQ$8:$AQ$68,AZ$4-$B36+1)</f>
        <v/>
      </c>
      <c r="BA36" s="153">
        <f>$C36*INDEX(Curves!$AQ$8:$AQ$68,BA$4-$B36+1)</f>
        <v/>
      </c>
      <c r="BB36" s="153">
        <f>$C36*INDEX(Curves!$AQ$8:$AQ$68,BB$4-$B36+1)</f>
        <v/>
      </c>
      <c r="BC36" s="153">
        <f>$C36*INDEX(Curves!$AQ$8:$AQ$68,BC$4-$B36+1)</f>
        <v/>
      </c>
      <c r="BD36" s="153">
        <f>$C36*INDEX(Curves!$AQ$8:$AQ$68,BD$4-$B36+1)</f>
        <v/>
      </c>
      <c r="BE36" s="153">
        <f>$C36*INDEX(Curves!$AQ$8:$AQ$68,BE$4-$B36+1)</f>
        <v/>
      </c>
      <c r="BF36" s="153">
        <f>$C36*INDEX(Curves!$AQ$8:$AQ$68,BF$4-$B36+1)</f>
        <v/>
      </c>
      <c r="BG36" s="153">
        <f>$C36*INDEX(Curves!$AQ$8:$AQ$68,BG$4-$B36+1)</f>
        <v/>
      </c>
      <c r="BH36" s="153">
        <f>$C36*INDEX(Curves!$AQ$8:$AQ$68,BH$4-$B36+1)</f>
        <v/>
      </c>
      <c r="BI36" s="153">
        <f>$C36*INDEX(Curves!$AQ$8:$AQ$68,BI$4-$B36+1)</f>
        <v/>
      </c>
      <c r="BJ36" s="153">
        <f>$C36*INDEX(Curves!$AQ$8:$AQ$68,BJ$4-$B36+1)</f>
        <v/>
      </c>
      <c r="BK36" s="153">
        <f>$C36*INDEX(Curves!$AQ$8:$AQ$68,BK$4-$B36+1)</f>
        <v/>
      </c>
      <c r="BL36" s="153">
        <f>$C36*INDEX(Curves!$AQ$8:$AQ$68,BL$4-$B36+1)</f>
        <v/>
      </c>
    </row>
    <row r="37">
      <c r="A37" s="147" t="inlineStr">
        <is>
          <t>Cohort month 28</t>
        </is>
      </c>
      <c r="B37" s="147" t="n">
        <v>28</v>
      </c>
      <c r="C37" s="41">
        <f>INDEX(Ops!$E$85:$BL$85,1,$B37)</f>
        <v/>
      </c>
      <c r="AG37" s="153">
        <f>$C37*INDEX(Curves!$AQ$8:$AQ$68,AG$4-$B37+1)</f>
        <v/>
      </c>
      <c r="AH37" s="153">
        <f>$C37*INDEX(Curves!$AQ$8:$AQ$68,AH$4-$B37+1)</f>
        <v/>
      </c>
      <c r="AI37" s="153">
        <f>$C37*INDEX(Curves!$AQ$8:$AQ$68,AI$4-$B37+1)</f>
        <v/>
      </c>
      <c r="AJ37" s="153">
        <f>$C37*INDEX(Curves!$AQ$8:$AQ$68,AJ$4-$B37+1)</f>
        <v/>
      </c>
      <c r="AK37" s="153">
        <f>$C37*INDEX(Curves!$AQ$8:$AQ$68,AK$4-$B37+1)</f>
        <v/>
      </c>
      <c r="AL37" s="153">
        <f>$C37*INDEX(Curves!$AQ$8:$AQ$68,AL$4-$B37+1)</f>
        <v/>
      </c>
      <c r="AM37" s="153">
        <f>$C37*INDEX(Curves!$AQ$8:$AQ$68,AM$4-$B37+1)</f>
        <v/>
      </c>
      <c r="AN37" s="153">
        <f>$C37*INDEX(Curves!$AQ$8:$AQ$68,AN$4-$B37+1)</f>
        <v/>
      </c>
      <c r="AO37" s="153">
        <f>$C37*INDEX(Curves!$AQ$8:$AQ$68,AO$4-$B37+1)</f>
        <v/>
      </c>
      <c r="AP37" s="153">
        <f>$C37*INDEX(Curves!$AQ$8:$AQ$68,AP$4-$B37+1)</f>
        <v/>
      </c>
      <c r="AQ37" s="153">
        <f>$C37*INDEX(Curves!$AQ$8:$AQ$68,AQ$4-$B37+1)</f>
        <v/>
      </c>
      <c r="AR37" s="153">
        <f>$C37*INDEX(Curves!$AQ$8:$AQ$68,AR$4-$B37+1)</f>
        <v/>
      </c>
      <c r="AS37" s="153">
        <f>$C37*INDEX(Curves!$AQ$8:$AQ$68,AS$4-$B37+1)</f>
        <v/>
      </c>
      <c r="AT37" s="153">
        <f>$C37*INDEX(Curves!$AQ$8:$AQ$68,AT$4-$B37+1)</f>
        <v/>
      </c>
      <c r="AU37" s="153">
        <f>$C37*INDEX(Curves!$AQ$8:$AQ$68,AU$4-$B37+1)</f>
        <v/>
      </c>
      <c r="AV37" s="153">
        <f>$C37*INDEX(Curves!$AQ$8:$AQ$68,AV$4-$B37+1)</f>
        <v/>
      </c>
      <c r="AW37" s="153">
        <f>$C37*INDEX(Curves!$AQ$8:$AQ$68,AW$4-$B37+1)</f>
        <v/>
      </c>
      <c r="AX37" s="153">
        <f>$C37*INDEX(Curves!$AQ$8:$AQ$68,AX$4-$B37+1)</f>
        <v/>
      </c>
      <c r="AY37" s="153">
        <f>$C37*INDEX(Curves!$AQ$8:$AQ$68,AY$4-$B37+1)</f>
        <v/>
      </c>
      <c r="AZ37" s="153">
        <f>$C37*INDEX(Curves!$AQ$8:$AQ$68,AZ$4-$B37+1)</f>
        <v/>
      </c>
      <c r="BA37" s="153">
        <f>$C37*INDEX(Curves!$AQ$8:$AQ$68,BA$4-$B37+1)</f>
        <v/>
      </c>
      <c r="BB37" s="153">
        <f>$C37*INDEX(Curves!$AQ$8:$AQ$68,BB$4-$B37+1)</f>
        <v/>
      </c>
      <c r="BC37" s="153">
        <f>$C37*INDEX(Curves!$AQ$8:$AQ$68,BC$4-$B37+1)</f>
        <v/>
      </c>
      <c r="BD37" s="153">
        <f>$C37*INDEX(Curves!$AQ$8:$AQ$68,BD$4-$B37+1)</f>
        <v/>
      </c>
      <c r="BE37" s="153">
        <f>$C37*INDEX(Curves!$AQ$8:$AQ$68,BE$4-$B37+1)</f>
        <v/>
      </c>
      <c r="BF37" s="153">
        <f>$C37*INDEX(Curves!$AQ$8:$AQ$68,BF$4-$B37+1)</f>
        <v/>
      </c>
      <c r="BG37" s="153">
        <f>$C37*INDEX(Curves!$AQ$8:$AQ$68,BG$4-$B37+1)</f>
        <v/>
      </c>
      <c r="BH37" s="153">
        <f>$C37*INDEX(Curves!$AQ$8:$AQ$68,BH$4-$B37+1)</f>
        <v/>
      </c>
      <c r="BI37" s="153">
        <f>$C37*INDEX(Curves!$AQ$8:$AQ$68,BI$4-$B37+1)</f>
        <v/>
      </c>
      <c r="BJ37" s="153">
        <f>$C37*INDEX(Curves!$AQ$8:$AQ$68,BJ$4-$B37+1)</f>
        <v/>
      </c>
      <c r="BK37" s="153">
        <f>$C37*INDEX(Curves!$AQ$8:$AQ$68,BK$4-$B37+1)</f>
        <v/>
      </c>
      <c r="BL37" s="153">
        <f>$C37*INDEX(Curves!$AQ$8:$AQ$68,BL$4-$B37+1)</f>
        <v/>
      </c>
    </row>
    <row r="38">
      <c r="A38" s="147" t="inlineStr">
        <is>
          <t>Cohort month 29</t>
        </is>
      </c>
      <c r="B38" s="147" t="n">
        <v>29</v>
      </c>
      <c r="C38" s="41">
        <f>INDEX(Ops!$E$85:$BL$85,1,$B38)</f>
        <v/>
      </c>
      <c r="AH38" s="153">
        <f>$C38*INDEX(Curves!$AQ$8:$AQ$68,AH$4-$B38+1)</f>
        <v/>
      </c>
      <c r="AI38" s="153">
        <f>$C38*INDEX(Curves!$AQ$8:$AQ$68,AI$4-$B38+1)</f>
        <v/>
      </c>
      <c r="AJ38" s="153">
        <f>$C38*INDEX(Curves!$AQ$8:$AQ$68,AJ$4-$B38+1)</f>
        <v/>
      </c>
      <c r="AK38" s="153">
        <f>$C38*INDEX(Curves!$AQ$8:$AQ$68,AK$4-$B38+1)</f>
        <v/>
      </c>
      <c r="AL38" s="153">
        <f>$C38*INDEX(Curves!$AQ$8:$AQ$68,AL$4-$B38+1)</f>
        <v/>
      </c>
      <c r="AM38" s="153">
        <f>$C38*INDEX(Curves!$AQ$8:$AQ$68,AM$4-$B38+1)</f>
        <v/>
      </c>
      <c r="AN38" s="153">
        <f>$C38*INDEX(Curves!$AQ$8:$AQ$68,AN$4-$B38+1)</f>
        <v/>
      </c>
      <c r="AO38" s="153">
        <f>$C38*INDEX(Curves!$AQ$8:$AQ$68,AO$4-$B38+1)</f>
        <v/>
      </c>
      <c r="AP38" s="153">
        <f>$C38*INDEX(Curves!$AQ$8:$AQ$68,AP$4-$B38+1)</f>
        <v/>
      </c>
      <c r="AQ38" s="153">
        <f>$C38*INDEX(Curves!$AQ$8:$AQ$68,AQ$4-$B38+1)</f>
        <v/>
      </c>
      <c r="AR38" s="153">
        <f>$C38*INDEX(Curves!$AQ$8:$AQ$68,AR$4-$B38+1)</f>
        <v/>
      </c>
      <c r="AS38" s="153">
        <f>$C38*INDEX(Curves!$AQ$8:$AQ$68,AS$4-$B38+1)</f>
        <v/>
      </c>
      <c r="AT38" s="153">
        <f>$C38*INDEX(Curves!$AQ$8:$AQ$68,AT$4-$B38+1)</f>
        <v/>
      </c>
      <c r="AU38" s="153">
        <f>$C38*INDEX(Curves!$AQ$8:$AQ$68,AU$4-$B38+1)</f>
        <v/>
      </c>
      <c r="AV38" s="153">
        <f>$C38*INDEX(Curves!$AQ$8:$AQ$68,AV$4-$B38+1)</f>
        <v/>
      </c>
      <c r="AW38" s="153">
        <f>$C38*INDEX(Curves!$AQ$8:$AQ$68,AW$4-$B38+1)</f>
        <v/>
      </c>
      <c r="AX38" s="153">
        <f>$C38*INDEX(Curves!$AQ$8:$AQ$68,AX$4-$B38+1)</f>
        <v/>
      </c>
      <c r="AY38" s="153">
        <f>$C38*INDEX(Curves!$AQ$8:$AQ$68,AY$4-$B38+1)</f>
        <v/>
      </c>
      <c r="AZ38" s="153">
        <f>$C38*INDEX(Curves!$AQ$8:$AQ$68,AZ$4-$B38+1)</f>
        <v/>
      </c>
      <c r="BA38" s="153">
        <f>$C38*INDEX(Curves!$AQ$8:$AQ$68,BA$4-$B38+1)</f>
        <v/>
      </c>
      <c r="BB38" s="153">
        <f>$C38*INDEX(Curves!$AQ$8:$AQ$68,BB$4-$B38+1)</f>
        <v/>
      </c>
      <c r="BC38" s="153">
        <f>$C38*INDEX(Curves!$AQ$8:$AQ$68,BC$4-$B38+1)</f>
        <v/>
      </c>
      <c r="BD38" s="153">
        <f>$C38*INDEX(Curves!$AQ$8:$AQ$68,BD$4-$B38+1)</f>
        <v/>
      </c>
      <c r="BE38" s="153">
        <f>$C38*INDEX(Curves!$AQ$8:$AQ$68,BE$4-$B38+1)</f>
        <v/>
      </c>
      <c r="BF38" s="153">
        <f>$C38*INDEX(Curves!$AQ$8:$AQ$68,BF$4-$B38+1)</f>
        <v/>
      </c>
      <c r="BG38" s="153">
        <f>$C38*INDEX(Curves!$AQ$8:$AQ$68,BG$4-$B38+1)</f>
        <v/>
      </c>
      <c r="BH38" s="153">
        <f>$C38*INDEX(Curves!$AQ$8:$AQ$68,BH$4-$B38+1)</f>
        <v/>
      </c>
      <c r="BI38" s="153">
        <f>$C38*INDEX(Curves!$AQ$8:$AQ$68,BI$4-$B38+1)</f>
        <v/>
      </c>
      <c r="BJ38" s="153">
        <f>$C38*INDEX(Curves!$AQ$8:$AQ$68,BJ$4-$B38+1)</f>
        <v/>
      </c>
      <c r="BK38" s="153">
        <f>$C38*INDEX(Curves!$AQ$8:$AQ$68,BK$4-$B38+1)</f>
        <v/>
      </c>
      <c r="BL38" s="153">
        <f>$C38*INDEX(Curves!$AQ$8:$AQ$68,BL$4-$B38+1)</f>
        <v/>
      </c>
    </row>
    <row r="39">
      <c r="A39" s="147" t="inlineStr">
        <is>
          <t>Cohort month 30</t>
        </is>
      </c>
      <c r="B39" s="147" t="n">
        <v>30</v>
      </c>
      <c r="C39" s="41">
        <f>INDEX(Ops!$E$85:$BL$85,1,$B39)</f>
        <v/>
      </c>
      <c r="AI39" s="153">
        <f>$C39*INDEX(Curves!$AQ$8:$AQ$68,AI$4-$B39+1)</f>
        <v/>
      </c>
      <c r="AJ39" s="153">
        <f>$C39*INDEX(Curves!$AQ$8:$AQ$68,AJ$4-$B39+1)</f>
        <v/>
      </c>
      <c r="AK39" s="153">
        <f>$C39*INDEX(Curves!$AQ$8:$AQ$68,AK$4-$B39+1)</f>
        <v/>
      </c>
      <c r="AL39" s="153">
        <f>$C39*INDEX(Curves!$AQ$8:$AQ$68,AL$4-$B39+1)</f>
        <v/>
      </c>
      <c r="AM39" s="153">
        <f>$C39*INDEX(Curves!$AQ$8:$AQ$68,AM$4-$B39+1)</f>
        <v/>
      </c>
      <c r="AN39" s="153">
        <f>$C39*INDEX(Curves!$AQ$8:$AQ$68,AN$4-$B39+1)</f>
        <v/>
      </c>
      <c r="AO39" s="153">
        <f>$C39*INDEX(Curves!$AQ$8:$AQ$68,AO$4-$B39+1)</f>
        <v/>
      </c>
      <c r="AP39" s="153">
        <f>$C39*INDEX(Curves!$AQ$8:$AQ$68,AP$4-$B39+1)</f>
        <v/>
      </c>
      <c r="AQ39" s="153">
        <f>$C39*INDEX(Curves!$AQ$8:$AQ$68,AQ$4-$B39+1)</f>
        <v/>
      </c>
      <c r="AR39" s="153">
        <f>$C39*INDEX(Curves!$AQ$8:$AQ$68,AR$4-$B39+1)</f>
        <v/>
      </c>
      <c r="AS39" s="153">
        <f>$C39*INDEX(Curves!$AQ$8:$AQ$68,AS$4-$B39+1)</f>
        <v/>
      </c>
      <c r="AT39" s="153">
        <f>$C39*INDEX(Curves!$AQ$8:$AQ$68,AT$4-$B39+1)</f>
        <v/>
      </c>
      <c r="AU39" s="153">
        <f>$C39*INDEX(Curves!$AQ$8:$AQ$68,AU$4-$B39+1)</f>
        <v/>
      </c>
      <c r="AV39" s="153">
        <f>$C39*INDEX(Curves!$AQ$8:$AQ$68,AV$4-$B39+1)</f>
        <v/>
      </c>
      <c r="AW39" s="153">
        <f>$C39*INDEX(Curves!$AQ$8:$AQ$68,AW$4-$B39+1)</f>
        <v/>
      </c>
      <c r="AX39" s="153">
        <f>$C39*INDEX(Curves!$AQ$8:$AQ$68,AX$4-$B39+1)</f>
        <v/>
      </c>
      <c r="AY39" s="153">
        <f>$C39*INDEX(Curves!$AQ$8:$AQ$68,AY$4-$B39+1)</f>
        <v/>
      </c>
      <c r="AZ39" s="153">
        <f>$C39*INDEX(Curves!$AQ$8:$AQ$68,AZ$4-$B39+1)</f>
        <v/>
      </c>
      <c r="BA39" s="153">
        <f>$C39*INDEX(Curves!$AQ$8:$AQ$68,BA$4-$B39+1)</f>
        <v/>
      </c>
      <c r="BB39" s="153">
        <f>$C39*INDEX(Curves!$AQ$8:$AQ$68,BB$4-$B39+1)</f>
        <v/>
      </c>
      <c r="BC39" s="153">
        <f>$C39*INDEX(Curves!$AQ$8:$AQ$68,BC$4-$B39+1)</f>
        <v/>
      </c>
      <c r="BD39" s="153">
        <f>$C39*INDEX(Curves!$AQ$8:$AQ$68,BD$4-$B39+1)</f>
        <v/>
      </c>
      <c r="BE39" s="153">
        <f>$C39*INDEX(Curves!$AQ$8:$AQ$68,BE$4-$B39+1)</f>
        <v/>
      </c>
      <c r="BF39" s="153">
        <f>$C39*INDEX(Curves!$AQ$8:$AQ$68,BF$4-$B39+1)</f>
        <v/>
      </c>
      <c r="BG39" s="153">
        <f>$C39*INDEX(Curves!$AQ$8:$AQ$68,BG$4-$B39+1)</f>
        <v/>
      </c>
      <c r="BH39" s="153">
        <f>$C39*INDEX(Curves!$AQ$8:$AQ$68,BH$4-$B39+1)</f>
        <v/>
      </c>
      <c r="BI39" s="153">
        <f>$C39*INDEX(Curves!$AQ$8:$AQ$68,BI$4-$B39+1)</f>
        <v/>
      </c>
      <c r="BJ39" s="153">
        <f>$C39*INDEX(Curves!$AQ$8:$AQ$68,BJ$4-$B39+1)</f>
        <v/>
      </c>
      <c r="BK39" s="153">
        <f>$C39*INDEX(Curves!$AQ$8:$AQ$68,BK$4-$B39+1)</f>
        <v/>
      </c>
      <c r="BL39" s="153">
        <f>$C39*INDEX(Curves!$AQ$8:$AQ$68,BL$4-$B39+1)</f>
        <v/>
      </c>
    </row>
    <row r="40">
      <c r="A40" s="147" t="inlineStr">
        <is>
          <t>Cohort month 31</t>
        </is>
      </c>
      <c r="B40" s="147" t="n">
        <v>31</v>
      </c>
      <c r="C40" s="41">
        <f>INDEX(Ops!$E$85:$BL$85,1,$B40)</f>
        <v/>
      </c>
      <c r="AJ40" s="153">
        <f>$C40*INDEX(Curves!$AQ$8:$AQ$68,AJ$4-$B40+1)</f>
        <v/>
      </c>
      <c r="AK40" s="153">
        <f>$C40*INDEX(Curves!$AQ$8:$AQ$68,AK$4-$B40+1)</f>
        <v/>
      </c>
      <c r="AL40" s="153">
        <f>$C40*INDEX(Curves!$AQ$8:$AQ$68,AL$4-$B40+1)</f>
        <v/>
      </c>
      <c r="AM40" s="153">
        <f>$C40*INDEX(Curves!$AQ$8:$AQ$68,AM$4-$B40+1)</f>
        <v/>
      </c>
      <c r="AN40" s="153">
        <f>$C40*INDEX(Curves!$AQ$8:$AQ$68,AN$4-$B40+1)</f>
        <v/>
      </c>
      <c r="AO40" s="153">
        <f>$C40*INDEX(Curves!$AQ$8:$AQ$68,AO$4-$B40+1)</f>
        <v/>
      </c>
      <c r="AP40" s="153">
        <f>$C40*INDEX(Curves!$AQ$8:$AQ$68,AP$4-$B40+1)</f>
        <v/>
      </c>
      <c r="AQ40" s="153">
        <f>$C40*INDEX(Curves!$AQ$8:$AQ$68,AQ$4-$B40+1)</f>
        <v/>
      </c>
      <c r="AR40" s="153">
        <f>$C40*INDEX(Curves!$AQ$8:$AQ$68,AR$4-$B40+1)</f>
        <v/>
      </c>
      <c r="AS40" s="153">
        <f>$C40*INDEX(Curves!$AQ$8:$AQ$68,AS$4-$B40+1)</f>
        <v/>
      </c>
      <c r="AT40" s="153">
        <f>$C40*INDEX(Curves!$AQ$8:$AQ$68,AT$4-$B40+1)</f>
        <v/>
      </c>
      <c r="AU40" s="153">
        <f>$C40*INDEX(Curves!$AQ$8:$AQ$68,AU$4-$B40+1)</f>
        <v/>
      </c>
      <c r="AV40" s="153">
        <f>$C40*INDEX(Curves!$AQ$8:$AQ$68,AV$4-$B40+1)</f>
        <v/>
      </c>
      <c r="AW40" s="153">
        <f>$C40*INDEX(Curves!$AQ$8:$AQ$68,AW$4-$B40+1)</f>
        <v/>
      </c>
      <c r="AX40" s="153">
        <f>$C40*INDEX(Curves!$AQ$8:$AQ$68,AX$4-$B40+1)</f>
        <v/>
      </c>
      <c r="AY40" s="153">
        <f>$C40*INDEX(Curves!$AQ$8:$AQ$68,AY$4-$B40+1)</f>
        <v/>
      </c>
      <c r="AZ40" s="153">
        <f>$C40*INDEX(Curves!$AQ$8:$AQ$68,AZ$4-$B40+1)</f>
        <v/>
      </c>
      <c r="BA40" s="153">
        <f>$C40*INDEX(Curves!$AQ$8:$AQ$68,BA$4-$B40+1)</f>
        <v/>
      </c>
      <c r="BB40" s="153">
        <f>$C40*INDEX(Curves!$AQ$8:$AQ$68,BB$4-$B40+1)</f>
        <v/>
      </c>
      <c r="BC40" s="153">
        <f>$C40*INDEX(Curves!$AQ$8:$AQ$68,BC$4-$B40+1)</f>
        <v/>
      </c>
      <c r="BD40" s="153">
        <f>$C40*INDEX(Curves!$AQ$8:$AQ$68,BD$4-$B40+1)</f>
        <v/>
      </c>
      <c r="BE40" s="153">
        <f>$C40*INDEX(Curves!$AQ$8:$AQ$68,BE$4-$B40+1)</f>
        <v/>
      </c>
      <c r="BF40" s="153">
        <f>$C40*INDEX(Curves!$AQ$8:$AQ$68,BF$4-$B40+1)</f>
        <v/>
      </c>
      <c r="BG40" s="153">
        <f>$C40*INDEX(Curves!$AQ$8:$AQ$68,BG$4-$B40+1)</f>
        <v/>
      </c>
      <c r="BH40" s="153">
        <f>$C40*INDEX(Curves!$AQ$8:$AQ$68,BH$4-$B40+1)</f>
        <v/>
      </c>
      <c r="BI40" s="153">
        <f>$C40*INDEX(Curves!$AQ$8:$AQ$68,BI$4-$B40+1)</f>
        <v/>
      </c>
      <c r="BJ40" s="153">
        <f>$C40*INDEX(Curves!$AQ$8:$AQ$68,BJ$4-$B40+1)</f>
        <v/>
      </c>
      <c r="BK40" s="153">
        <f>$C40*INDEX(Curves!$AQ$8:$AQ$68,BK$4-$B40+1)</f>
        <v/>
      </c>
      <c r="BL40" s="153">
        <f>$C40*INDEX(Curves!$AQ$8:$AQ$68,BL$4-$B40+1)</f>
        <v/>
      </c>
    </row>
    <row r="41">
      <c r="A41" s="147" t="inlineStr">
        <is>
          <t>Cohort month 32</t>
        </is>
      </c>
      <c r="B41" s="147" t="n">
        <v>32</v>
      </c>
      <c r="C41" s="41">
        <f>INDEX(Ops!$E$85:$BL$85,1,$B41)</f>
        <v/>
      </c>
      <c r="AK41" s="153">
        <f>$C41*INDEX(Curves!$AQ$8:$AQ$68,AK$4-$B41+1)</f>
        <v/>
      </c>
      <c r="AL41" s="153">
        <f>$C41*INDEX(Curves!$AQ$8:$AQ$68,AL$4-$B41+1)</f>
        <v/>
      </c>
      <c r="AM41" s="153">
        <f>$C41*INDEX(Curves!$AQ$8:$AQ$68,AM$4-$B41+1)</f>
        <v/>
      </c>
      <c r="AN41" s="153">
        <f>$C41*INDEX(Curves!$AQ$8:$AQ$68,AN$4-$B41+1)</f>
        <v/>
      </c>
      <c r="AO41" s="153">
        <f>$C41*INDEX(Curves!$AQ$8:$AQ$68,AO$4-$B41+1)</f>
        <v/>
      </c>
      <c r="AP41" s="153">
        <f>$C41*INDEX(Curves!$AQ$8:$AQ$68,AP$4-$B41+1)</f>
        <v/>
      </c>
      <c r="AQ41" s="153">
        <f>$C41*INDEX(Curves!$AQ$8:$AQ$68,AQ$4-$B41+1)</f>
        <v/>
      </c>
      <c r="AR41" s="153">
        <f>$C41*INDEX(Curves!$AQ$8:$AQ$68,AR$4-$B41+1)</f>
        <v/>
      </c>
      <c r="AS41" s="153">
        <f>$C41*INDEX(Curves!$AQ$8:$AQ$68,AS$4-$B41+1)</f>
        <v/>
      </c>
      <c r="AT41" s="153">
        <f>$C41*INDEX(Curves!$AQ$8:$AQ$68,AT$4-$B41+1)</f>
        <v/>
      </c>
      <c r="AU41" s="153">
        <f>$C41*INDEX(Curves!$AQ$8:$AQ$68,AU$4-$B41+1)</f>
        <v/>
      </c>
      <c r="AV41" s="153">
        <f>$C41*INDEX(Curves!$AQ$8:$AQ$68,AV$4-$B41+1)</f>
        <v/>
      </c>
      <c r="AW41" s="153">
        <f>$C41*INDEX(Curves!$AQ$8:$AQ$68,AW$4-$B41+1)</f>
        <v/>
      </c>
      <c r="AX41" s="153">
        <f>$C41*INDEX(Curves!$AQ$8:$AQ$68,AX$4-$B41+1)</f>
        <v/>
      </c>
      <c r="AY41" s="153">
        <f>$C41*INDEX(Curves!$AQ$8:$AQ$68,AY$4-$B41+1)</f>
        <v/>
      </c>
      <c r="AZ41" s="153">
        <f>$C41*INDEX(Curves!$AQ$8:$AQ$68,AZ$4-$B41+1)</f>
        <v/>
      </c>
      <c r="BA41" s="153">
        <f>$C41*INDEX(Curves!$AQ$8:$AQ$68,BA$4-$B41+1)</f>
        <v/>
      </c>
      <c r="BB41" s="153">
        <f>$C41*INDEX(Curves!$AQ$8:$AQ$68,BB$4-$B41+1)</f>
        <v/>
      </c>
      <c r="BC41" s="153">
        <f>$C41*INDEX(Curves!$AQ$8:$AQ$68,BC$4-$B41+1)</f>
        <v/>
      </c>
      <c r="BD41" s="153">
        <f>$C41*INDEX(Curves!$AQ$8:$AQ$68,BD$4-$B41+1)</f>
        <v/>
      </c>
      <c r="BE41" s="153">
        <f>$C41*INDEX(Curves!$AQ$8:$AQ$68,BE$4-$B41+1)</f>
        <v/>
      </c>
      <c r="BF41" s="153">
        <f>$C41*INDEX(Curves!$AQ$8:$AQ$68,BF$4-$B41+1)</f>
        <v/>
      </c>
      <c r="BG41" s="153">
        <f>$C41*INDEX(Curves!$AQ$8:$AQ$68,BG$4-$B41+1)</f>
        <v/>
      </c>
      <c r="BH41" s="153">
        <f>$C41*INDEX(Curves!$AQ$8:$AQ$68,BH$4-$B41+1)</f>
        <v/>
      </c>
      <c r="BI41" s="153">
        <f>$C41*INDEX(Curves!$AQ$8:$AQ$68,BI$4-$B41+1)</f>
        <v/>
      </c>
      <c r="BJ41" s="153">
        <f>$C41*INDEX(Curves!$AQ$8:$AQ$68,BJ$4-$B41+1)</f>
        <v/>
      </c>
      <c r="BK41" s="153">
        <f>$C41*INDEX(Curves!$AQ$8:$AQ$68,BK$4-$B41+1)</f>
        <v/>
      </c>
      <c r="BL41" s="153">
        <f>$C41*INDEX(Curves!$AQ$8:$AQ$68,BL$4-$B41+1)</f>
        <v/>
      </c>
    </row>
    <row r="42">
      <c r="A42" s="147" t="inlineStr">
        <is>
          <t>Cohort month 33</t>
        </is>
      </c>
      <c r="B42" s="147" t="n">
        <v>33</v>
      </c>
      <c r="C42" s="41">
        <f>INDEX(Ops!$E$85:$BL$85,1,$B42)</f>
        <v/>
      </c>
      <c r="AL42" s="153">
        <f>$C42*INDEX(Curves!$AQ$8:$AQ$68,AL$4-$B42+1)</f>
        <v/>
      </c>
      <c r="AM42" s="153">
        <f>$C42*INDEX(Curves!$AQ$8:$AQ$68,AM$4-$B42+1)</f>
        <v/>
      </c>
      <c r="AN42" s="153">
        <f>$C42*INDEX(Curves!$AQ$8:$AQ$68,AN$4-$B42+1)</f>
        <v/>
      </c>
      <c r="AO42" s="153">
        <f>$C42*INDEX(Curves!$AQ$8:$AQ$68,AO$4-$B42+1)</f>
        <v/>
      </c>
      <c r="AP42" s="153">
        <f>$C42*INDEX(Curves!$AQ$8:$AQ$68,AP$4-$B42+1)</f>
        <v/>
      </c>
      <c r="AQ42" s="153">
        <f>$C42*INDEX(Curves!$AQ$8:$AQ$68,AQ$4-$B42+1)</f>
        <v/>
      </c>
      <c r="AR42" s="153">
        <f>$C42*INDEX(Curves!$AQ$8:$AQ$68,AR$4-$B42+1)</f>
        <v/>
      </c>
      <c r="AS42" s="153">
        <f>$C42*INDEX(Curves!$AQ$8:$AQ$68,AS$4-$B42+1)</f>
        <v/>
      </c>
      <c r="AT42" s="153">
        <f>$C42*INDEX(Curves!$AQ$8:$AQ$68,AT$4-$B42+1)</f>
        <v/>
      </c>
      <c r="AU42" s="153">
        <f>$C42*INDEX(Curves!$AQ$8:$AQ$68,AU$4-$B42+1)</f>
        <v/>
      </c>
      <c r="AV42" s="153">
        <f>$C42*INDEX(Curves!$AQ$8:$AQ$68,AV$4-$B42+1)</f>
        <v/>
      </c>
      <c r="AW42" s="153">
        <f>$C42*INDEX(Curves!$AQ$8:$AQ$68,AW$4-$B42+1)</f>
        <v/>
      </c>
      <c r="AX42" s="153">
        <f>$C42*INDEX(Curves!$AQ$8:$AQ$68,AX$4-$B42+1)</f>
        <v/>
      </c>
      <c r="AY42" s="153">
        <f>$C42*INDEX(Curves!$AQ$8:$AQ$68,AY$4-$B42+1)</f>
        <v/>
      </c>
      <c r="AZ42" s="153">
        <f>$C42*INDEX(Curves!$AQ$8:$AQ$68,AZ$4-$B42+1)</f>
        <v/>
      </c>
      <c r="BA42" s="153">
        <f>$C42*INDEX(Curves!$AQ$8:$AQ$68,BA$4-$B42+1)</f>
        <v/>
      </c>
      <c r="BB42" s="153">
        <f>$C42*INDEX(Curves!$AQ$8:$AQ$68,BB$4-$B42+1)</f>
        <v/>
      </c>
      <c r="BC42" s="153">
        <f>$C42*INDEX(Curves!$AQ$8:$AQ$68,BC$4-$B42+1)</f>
        <v/>
      </c>
      <c r="BD42" s="153">
        <f>$C42*INDEX(Curves!$AQ$8:$AQ$68,BD$4-$B42+1)</f>
        <v/>
      </c>
      <c r="BE42" s="153">
        <f>$C42*INDEX(Curves!$AQ$8:$AQ$68,BE$4-$B42+1)</f>
        <v/>
      </c>
      <c r="BF42" s="153">
        <f>$C42*INDEX(Curves!$AQ$8:$AQ$68,BF$4-$B42+1)</f>
        <v/>
      </c>
      <c r="BG42" s="153">
        <f>$C42*INDEX(Curves!$AQ$8:$AQ$68,BG$4-$B42+1)</f>
        <v/>
      </c>
      <c r="BH42" s="153">
        <f>$C42*INDEX(Curves!$AQ$8:$AQ$68,BH$4-$B42+1)</f>
        <v/>
      </c>
      <c r="BI42" s="153">
        <f>$C42*INDEX(Curves!$AQ$8:$AQ$68,BI$4-$B42+1)</f>
        <v/>
      </c>
      <c r="BJ42" s="153">
        <f>$C42*INDEX(Curves!$AQ$8:$AQ$68,BJ$4-$B42+1)</f>
        <v/>
      </c>
      <c r="BK42" s="153">
        <f>$C42*INDEX(Curves!$AQ$8:$AQ$68,BK$4-$B42+1)</f>
        <v/>
      </c>
      <c r="BL42" s="153">
        <f>$C42*INDEX(Curves!$AQ$8:$AQ$68,BL$4-$B42+1)</f>
        <v/>
      </c>
    </row>
    <row r="43">
      <c r="A43" s="147" t="inlineStr">
        <is>
          <t>Cohort month 34</t>
        </is>
      </c>
      <c r="B43" s="147" t="n">
        <v>34</v>
      </c>
      <c r="C43" s="41">
        <f>INDEX(Ops!$E$85:$BL$85,1,$B43)</f>
        <v/>
      </c>
      <c r="AM43" s="153">
        <f>$C43*INDEX(Curves!$AQ$8:$AQ$68,AM$4-$B43+1)</f>
        <v/>
      </c>
      <c r="AN43" s="153">
        <f>$C43*INDEX(Curves!$AQ$8:$AQ$68,AN$4-$B43+1)</f>
        <v/>
      </c>
      <c r="AO43" s="153">
        <f>$C43*INDEX(Curves!$AQ$8:$AQ$68,AO$4-$B43+1)</f>
        <v/>
      </c>
      <c r="AP43" s="153">
        <f>$C43*INDEX(Curves!$AQ$8:$AQ$68,AP$4-$B43+1)</f>
        <v/>
      </c>
      <c r="AQ43" s="153">
        <f>$C43*INDEX(Curves!$AQ$8:$AQ$68,AQ$4-$B43+1)</f>
        <v/>
      </c>
      <c r="AR43" s="153">
        <f>$C43*INDEX(Curves!$AQ$8:$AQ$68,AR$4-$B43+1)</f>
        <v/>
      </c>
      <c r="AS43" s="153">
        <f>$C43*INDEX(Curves!$AQ$8:$AQ$68,AS$4-$B43+1)</f>
        <v/>
      </c>
      <c r="AT43" s="153">
        <f>$C43*INDEX(Curves!$AQ$8:$AQ$68,AT$4-$B43+1)</f>
        <v/>
      </c>
      <c r="AU43" s="153">
        <f>$C43*INDEX(Curves!$AQ$8:$AQ$68,AU$4-$B43+1)</f>
        <v/>
      </c>
      <c r="AV43" s="153">
        <f>$C43*INDEX(Curves!$AQ$8:$AQ$68,AV$4-$B43+1)</f>
        <v/>
      </c>
      <c r="AW43" s="153">
        <f>$C43*INDEX(Curves!$AQ$8:$AQ$68,AW$4-$B43+1)</f>
        <v/>
      </c>
      <c r="AX43" s="153">
        <f>$C43*INDEX(Curves!$AQ$8:$AQ$68,AX$4-$B43+1)</f>
        <v/>
      </c>
      <c r="AY43" s="153">
        <f>$C43*INDEX(Curves!$AQ$8:$AQ$68,AY$4-$B43+1)</f>
        <v/>
      </c>
      <c r="AZ43" s="153">
        <f>$C43*INDEX(Curves!$AQ$8:$AQ$68,AZ$4-$B43+1)</f>
        <v/>
      </c>
      <c r="BA43" s="153">
        <f>$C43*INDEX(Curves!$AQ$8:$AQ$68,BA$4-$B43+1)</f>
        <v/>
      </c>
      <c r="BB43" s="153">
        <f>$C43*INDEX(Curves!$AQ$8:$AQ$68,BB$4-$B43+1)</f>
        <v/>
      </c>
      <c r="BC43" s="153">
        <f>$C43*INDEX(Curves!$AQ$8:$AQ$68,BC$4-$B43+1)</f>
        <v/>
      </c>
      <c r="BD43" s="153">
        <f>$C43*INDEX(Curves!$AQ$8:$AQ$68,BD$4-$B43+1)</f>
        <v/>
      </c>
      <c r="BE43" s="153">
        <f>$C43*INDEX(Curves!$AQ$8:$AQ$68,BE$4-$B43+1)</f>
        <v/>
      </c>
      <c r="BF43" s="153">
        <f>$C43*INDEX(Curves!$AQ$8:$AQ$68,BF$4-$B43+1)</f>
        <v/>
      </c>
      <c r="BG43" s="153">
        <f>$C43*INDEX(Curves!$AQ$8:$AQ$68,BG$4-$B43+1)</f>
        <v/>
      </c>
      <c r="BH43" s="153">
        <f>$C43*INDEX(Curves!$AQ$8:$AQ$68,BH$4-$B43+1)</f>
        <v/>
      </c>
      <c r="BI43" s="153">
        <f>$C43*INDEX(Curves!$AQ$8:$AQ$68,BI$4-$B43+1)</f>
        <v/>
      </c>
      <c r="BJ43" s="153">
        <f>$C43*INDEX(Curves!$AQ$8:$AQ$68,BJ$4-$B43+1)</f>
        <v/>
      </c>
      <c r="BK43" s="153">
        <f>$C43*INDEX(Curves!$AQ$8:$AQ$68,BK$4-$B43+1)</f>
        <v/>
      </c>
      <c r="BL43" s="153">
        <f>$C43*INDEX(Curves!$AQ$8:$AQ$68,BL$4-$B43+1)</f>
        <v/>
      </c>
    </row>
    <row r="44">
      <c r="A44" s="147" t="inlineStr">
        <is>
          <t>Cohort month 35</t>
        </is>
      </c>
      <c r="B44" s="147" t="n">
        <v>35</v>
      </c>
      <c r="C44" s="41">
        <f>INDEX(Ops!$E$85:$BL$85,1,$B44)</f>
        <v/>
      </c>
      <c r="AN44" s="153">
        <f>$C44*INDEX(Curves!$AQ$8:$AQ$68,AN$4-$B44+1)</f>
        <v/>
      </c>
      <c r="AO44" s="153">
        <f>$C44*INDEX(Curves!$AQ$8:$AQ$68,AO$4-$B44+1)</f>
        <v/>
      </c>
      <c r="AP44" s="153">
        <f>$C44*INDEX(Curves!$AQ$8:$AQ$68,AP$4-$B44+1)</f>
        <v/>
      </c>
      <c r="AQ44" s="153">
        <f>$C44*INDEX(Curves!$AQ$8:$AQ$68,AQ$4-$B44+1)</f>
        <v/>
      </c>
      <c r="AR44" s="153">
        <f>$C44*INDEX(Curves!$AQ$8:$AQ$68,AR$4-$B44+1)</f>
        <v/>
      </c>
      <c r="AS44" s="153">
        <f>$C44*INDEX(Curves!$AQ$8:$AQ$68,AS$4-$B44+1)</f>
        <v/>
      </c>
      <c r="AT44" s="153">
        <f>$C44*INDEX(Curves!$AQ$8:$AQ$68,AT$4-$B44+1)</f>
        <v/>
      </c>
      <c r="AU44" s="153">
        <f>$C44*INDEX(Curves!$AQ$8:$AQ$68,AU$4-$B44+1)</f>
        <v/>
      </c>
      <c r="AV44" s="153">
        <f>$C44*INDEX(Curves!$AQ$8:$AQ$68,AV$4-$B44+1)</f>
        <v/>
      </c>
      <c r="AW44" s="153">
        <f>$C44*INDEX(Curves!$AQ$8:$AQ$68,AW$4-$B44+1)</f>
        <v/>
      </c>
      <c r="AX44" s="153">
        <f>$C44*INDEX(Curves!$AQ$8:$AQ$68,AX$4-$B44+1)</f>
        <v/>
      </c>
      <c r="AY44" s="153">
        <f>$C44*INDEX(Curves!$AQ$8:$AQ$68,AY$4-$B44+1)</f>
        <v/>
      </c>
      <c r="AZ44" s="153">
        <f>$C44*INDEX(Curves!$AQ$8:$AQ$68,AZ$4-$B44+1)</f>
        <v/>
      </c>
      <c r="BA44" s="153">
        <f>$C44*INDEX(Curves!$AQ$8:$AQ$68,BA$4-$B44+1)</f>
        <v/>
      </c>
      <c r="BB44" s="153">
        <f>$C44*INDEX(Curves!$AQ$8:$AQ$68,BB$4-$B44+1)</f>
        <v/>
      </c>
      <c r="BC44" s="153">
        <f>$C44*INDEX(Curves!$AQ$8:$AQ$68,BC$4-$B44+1)</f>
        <v/>
      </c>
      <c r="BD44" s="153">
        <f>$C44*INDEX(Curves!$AQ$8:$AQ$68,BD$4-$B44+1)</f>
        <v/>
      </c>
      <c r="BE44" s="153">
        <f>$C44*INDEX(Curves!$AQ$8:$AQ$68,BE$4-$B44+1)</f>
        <v/>
      </c>
      <c r="BF44" s="153">
        <f>$C44*INDEX(Curves!$AQ$8:$AQ$68,BF$4-$B44+1)</f>
        <v/>
      </c>
      <c r="BG44" s="153">
        <f>$C44*INDEX(Curves!$AQ$8:$AQ$68,BG$4-$B44+1)</f>
        <v/>
      </c>
      <c r="BH44" s="153">
        <f>$C44*INDEX(Curves!$AQ$8:$AQ$68,BH$4-$B44+1)</f>
        <v/>
      </c>
      <c r="BI44" s="153">
        <f>$C44*INDEX(Curves!$AQ$8:$AQ$68,BI$4-$B44+1)</f>
        <v/>
      </c>
      <c r="BJ44" s="153">
        <f>$C44*INDEX(Curves!$AQ$8:$AQ$68,BJ$4-$B44+1)</f>
        <v/>
      </c>
      <c r="BK44" s="153">
        <f>$C44*INDEX(Curves!$AQ$8:$AQ$68,BK$4-$B44+1)</f>
        <v/>
      </c>
      <c r="BL44" s="153">
        <f>$C44*INDEX(Curves!$AQ$8:$AQ$68,BL$4-$B44+1)</f>
        <v/>
      </c>
    </row>
    <row r="45">
      <c r="A45" s="147" t="inlineStr">
        <is>
          <t>Cohort month 36</t>
        </is>
      </c>
      <c r="B45" s="147" t="n">
        <v>36</v>
      </c>
      <c r="C45" s="41">
        <f>INDEX(Ops!$E$85:$BL$85,1,$B45)</f>
        <v/>
      </c>
      <c r="AO45" s="153">
        <f>$C45*INDEX(Curves!$AQ$8:$AQ$68,AO$4-$B45+1)</f>
        <v/>
      </c>
      <c r="AP45" s="153">
        <f>$C45*INDEX(Curves!$AQ$8:$AQ$68,AP$4-$B45+1)</f>
        <v/>
      </c>
      <c r="AQ45" s="153">
        <f>$C45*INDEX(Curves!$AQ$8:$AQ$68,AQ$4-$B45+1)</f>
        <v/>
      </c>
      <c r="AR45" s="153">
        <f>$C45*INDEX(Curves!$AQ$8:$AQ$68,AR$4-$B45+1)</f>
        <v/>
      </c>
      <c r="AS45" s="153">
        <f>$C45*INDEX(Curves!$AQ$8:$AQ$68,AS$4-$B45+1)</f>
        <v/>
      </c>
      <c r="AT45" s="153">
        <f>$C45*INDEX(Curves!$AQ$8:$AQ$68,AT$4-$B45+1)</f>
        <v/>
      </c>
      <c r="AU45" s="153">
        <f>$C45*INDEX(Curves!$AQ$8:$AQ$68,AU$4-$B45+1)</f>
        <v/>
      </c>
      <c r="AV45" s="153">
        <f>$C45*INDEX(Curves!$AQ$8:$AQ$68,AV$4-$B45+1)</f>
        <v/>
      </c>
      <c r="AW45" s="153">
        <f>$C45*INDEX(Curves!$AQ$8:$AQ$68,AW$4-$B45+1)</f>
        <v/>
      </c>
      <c r="AX45" s="153">
        <f>$C45*INDEX(Curves!$AQ$8:$AQ$68,AX$4-$B45+1)</f>
        <v/>
      </c>
      <c r="AY45" s="153">
        <f>$C45*INDEX(Curves!$AQ$8:$AQ$68,AY$4-$B45+1)</f>
        <v/>
      </c>
      <c r="AZ45" s="153">
        <f>$C45*INDEX(Curves!$AQ$8:$AQ$68,AZ$4-$B45+1)</f>
        <v/>
      </c>
      <c r="BA45" s="153">
        <f>$C45*INDEX(Curves!$AQ$8:$AQ$68,BA$4-$B45+1)</f>
        <v/>
      </c>
      <c r="BB45" s="153">
        <f>$C45*INDEX(Curves!$AQ$8:$AQ$68,BB$4-$B45+1)</f>
        <v/>
      </c>
      <c r="BC45" s="153">
        <f>$C45*INDEX(Curves!$AQ$8:$AQ$68,BC$4-$B45+1)</f>
        <v/>
      </c>
      <c r="BD45" s="153">
        <f>$C45*INDEX(Curves!$AQ$8:$AQ$68,BD$4-$B45+1)</f>
        <v/>
      </c>
      <c r="BE45" s="153">
        <f>$C45*INDEX(Curves!$AQ$8:$AQ$68,BE$4-$B45+1)</f>
        <v/>
      </c>
      <c r="BF45" s="153">
        <f>$C45*INDEX(Curves!$AQ$8:$AQ$68,BF$4-$B45+1)</f>
        <v/>
      </c>
      <c r="BG45" s="153">
        <f>$C45*INDEX(Curves!$AQ$8:$AQ$68,BG$4-$B45+1)</f>
        <v/>
      </c>
      <c r="BH45" s="153">
        <f>$C45*INDEX(Curves!$AQ$8:$AQ$68,BH$4-$B45+1)</f>
        <v/>
      </c>
      <c r="BI45" s="153">
        <f>$C45*INDEX(Curves!$AQ$8:$AQ$68,BI$4-$B45+1)</f>
        <v/>
      </c>
      <c r="BJ45" s="153">
        <f>$C45*INDEX(Curves!$AQ$8:$AQ$68,BJ$4-$B45+1)</f>
        <v/>
      </c>
      <c r="BK45" s="153">
        <f>$C45*INDEX(Curves!$AQ$8:$AQ$68,BK$4-$B45+1)</f>
        <v/>
      </c>
      <c r="BL45" s="153">
        <f>$C45*INDEX(Curves!$AQ$8:$AQ$68,BL$4-$B45+1)</f>
        <v/>
      </c>
    </row>
    <row r="46">
      <c r="A46" s="147" t="inlineStr">
        <is>
          <t>Cohort month 37</t>
        </is>
      </c>
      <c r="B46" s="147" t="n">
        <v>37</v>
      </c>
      <c r="C46" s="41">
        <f>INDEX(Ops!$E$85:$BL$85,1,$B46)</f>
        <v/>
      </c>
      <c r="AP46" s="153">
        <f>$C46*INDEX(Curves!$AQ$8:$AQ$68,AP$4-$B46+1)</f>
        <v/>
      </c>
      <c r="AQ46" s="153">
        <f>$C46*INDEX(Curves!$AQ$8:$AQ$68,AQ$4-$B46+1)</f>
        <v/>
      </c>
      <c r="AR46" s="153">
        <f>$C46*INDEX(Curves!$AQ$8:$AQ$68,AR$4-$B46+1)</f>
        <v/>
      </c>
      <c r="AS46" s="153">
        <f>$C46*INDEX(Curves!$AQ$8:$AQ$68,AS$4-$B46+1)</f>
        <v/>
      </c>
      <c r="AT46" s="153">
        <f>$C46*INDEX(Curves!$AQ$8:$AQ$68,AT$4-$B46+1)</f>
        <v/>
      </c>
      <c r="AU46" s="153">
        <f>$C46*INDEX(Curves!$AQ$8:$AQ$68,AU$4-$B46+1)</f>
        <v/>
      </c>
      <c r="AV46" s="153">
        <f>$C46*INDEX(Curves!$AQ$8:$AQ$68,AV$4-$B46+1)</f>
        <v/>
      </c>
      <c r="AW46" s="153">
        <f>$C46*INDEX(Curves!$AQ$8:$AQ$68,AW$4-$B46+1)</f>
        <v/>
      </c>
      <c r="AX46" s="153">
        <f>$C46*INDEX(Curves!$AQ$8:$AQ$68,AX$4-$B46+1)</f>
        <v/>
      </c>
      <c r="AY46" s="153">
        <f>$C46*INDEX(Curves!$AQ$8:$AQ$68,AY$4-$B46+1)</f>
        <v/>
      </c>
      <c r="AZ46" s="153">
        <f>$C46*INDEX(Curves!$AQ$8:$AQ$68,AZ$4-$B46+1)</f>
        <v/>
      </c>
      <c r="BA46" s="153">
        <f>$C46*INDEX(Curves!$AQ$8:$AQ$68,BA$4-$B46+1)</f>
        <v/>
      </c>
      <c r="BB46" s="153">
        <f>$C46*INDEX(Curves!$AQ$8:$AQ$68,BB$4-$B46+1)</f>
        <v/>
      </c>
      <c r="BC46" s="153">
        <f>$C46*INDEX(Curves!$AQ$8:$AQ$68,BC$4-$B46+1)</f>
        <v/>
      </c>
      <c r="BD46" s="153">
        <f>$C46*INDEX(Curves!$AQ$8:$AQ$68,BD$4-$B46+1)</f>
        <v/>
      </c>
      <c r="BE46" s="153">
        <f>$C46*INDEX(Curves!$AQ$8:$AQ$68,BE$4-$B46+1)</f>
        <v/>
      </c>
      <c r="BF46" s="153">
        <f>$C46*INDEX(Curves!$AQ$8:$AQ$68,BF$4-$B46+1)</f>
        <v/>
      </c>
      <c r="BG46" s="153">
        <f>$C46*INDEX(Curves!$AQ$8:$AQ$68,BG$4-$B46+1)</f>
        <v/>
      </c>
      <c r="BH46" s="153">
        <f>$C46*INDEX(Curves!$AQ$8:$AQ$68,BH$4-$B46+1)</f>
        <v/>
      </c>
      <c r="BI46" s="153">
        <f>$C46*INDEX(Curves!$AQ$8:$AQ$68,BI$4-$B46+1)</f>
        <v/>
      </c>
      <c r="BJ46" s="153">
        <f>$C46*INDEX(Curves!$AQ$8:$AQ$68,BJ$4-$B46+1)</f>
        <v/>
      </c>
      <c r="BK46" s="153">
        <f>$C46*INDEX(Curves!$AQ$8:$AQ$68,BK$4-$B46+1)</f>
        <v/>
      </c>
      <c r="BL46" s="153">
        <f>$C46*INDEX(Curves!$AQ$8:$AQ$68,BL$4-$B46+1)</f>
        <v/>
      </c>
    </row>
    <row r="47">
      <c r="A47" s="147" t="inlineStr">
        <is>
          <t>Cohort month 38</t>
        </is>
      </c>
      <c r="B47" s="147" t="n">
        <v>38</v>
      </c>
      <c r="C47" s="41">
        <f>INDEX(Ops!$E$85:$BL$85,1,$B47)</f>
        <v/>
      </c>
      <c r="AQ47" s="153">
        <f>$C47*INDEX(Curves!$AQ$8:$AQ$68,AQ$4-$B47+1)</f>
        <v/>
      </c>
      <c r="AR47" s="153">
        <f>$C47*INDEX(Curves!$AQ$8:$AQ$68,AR$4-$B47+1)</f>
        <v/>
      </c>
      <c r="AS47" s="153">
        <f>$C47*INDEX(Curves!$AQ$8:$AQ$68,AS$4-$B47+1)</f>
        <v/>
      </c>
      <c r="AT47" s="153">
        <f>$C47*INDEX(Curves!$AQ$8:$AQ$68,AT$4-$B47+1)</f>
        <v/>
      </c>
      <c r="AU47" s="153">
        <f>$C47*INDEX(Curves!$AQ$8:$AQ$68,AU$4-$B47+1)</f>
        <v/>
      </c>
      <c r="AV47" s="153">
        <f>$C47*INDEX(Curves!$AQ$8:$AQ$68,AV$4-$B47+1)</f>
        <v/>
      </c>
      <c r="AW47" s="153">
        <f>$C47*INDEX(Curves!$AQ$8:$AQ$68,AW$4-$B47+1)</f>
        <v/>
      </c>
      <c r="AX47" s="153">
        <f>$C47*INDEX(Curves!$AQ$8:$AQ$68,AX$4-$B47+1)</f>
        <v/>
      </c>
      <c r="AY47" s="153">
        <f>$C47*INDEX(Curves!$AQ$8:$AQ$68,AY$4-$B47+1)</f>
        <v/>
      </c>
      <c r="AZ47" s="153">
        <f>$C47*INDEX(Curves!$AQ$8:$AQ$68,AZ$4-$B47+1)</f>
        <v/>
      </c>
      <c r="BA47" s="153">
        <f>$C47*INDEX(Curves!$AQ$8:$AQ$68,BA$4-$B47+1)</f>
        <v/>
      </c>
      <c r="BB47" s="153">
        <f>$C47*INDEX(Curves!$AQ$8:$AQ$68,BB$4-$B47+1)</f>
        <v/>
      </c>
      <c r="BC47" s="153">
        <f>$C47*INDEX(Curves!$AQ$8:$AQ$68,BC$4-$B47+1)</f>
        <v/>
      </c>
      <c r="BD47" s="153">
        <f>$C47*INDEX(Curves!$AQ$8:$AQ$68,BD$4-$B47+1)</f>
        <v/>
      </c>
      <c r="BE47" s="153">
        <f>$C47*INDEX(Curves!$AQ$8:$AQ$68,BE$4-$B47+1)</f>
        <v/>
      </c>
      <c r="BF47" s="153">
        <f>$C47*INDEX(Curves!$AQ$8:$AQ$68,BF$4-$B47+1)</f>
        <v/>
      </c>
      <c r="BG47" s="153">
        <f>$C47*INDEX(Curves!$AQ$8:$AQ$68,BG$4-$B47+1)</f>
        <v/>
      </c>
      <c r="BH47" s="153">
        <f>$C47*INDEX(Curves!$AQ$8:$AQ$68,BH$4-$B47+1)</f>
        <v/>
      </c>
      <c r="BI47" s="153">
        <f>$C47*INDEX(Curves!$AQ$8:$AQ$68,BI$4-$B47+1)</f>
        <v/>
      </c>
      <c r="BJ47" s="153">
        <f>$C47*INDEX(Curves!$AQ$8:$AQ$68,BJ$4-$B47+1)</f>
        <v/>
      </c>
      <c r="BK47" s="153">
        <f>$C47*INDEX(Curves!$AQ$8:$AQ$68,BK$4-$B47+1)</f>
        <v/>
      </c>
      <c r="BL47" s="153">
        <f>$C47*INDEX(Curves!$AQ$8:$AQ$68,BL$4-$B47+1)</f>
        <v/>
      </c>
    </row>
    <row r="48">
      <c r="A48" s="147" t="inlineStr">
        <is>
          <t>Cohort month 39</t>
        </is>
      </c>
      <c r="B48" s="147" t="n">
        <v>39</v>
      </c>
      <c r="C48" s="41">
        <f>INDEX(Ops!$E$85:$BL$85,1,$B48)</f>
        <v/>
      </c>
      <c r="AR48" s="153">
        <f>$C48*INDEX(Curves!$AQ$8:$AQ$68,AR$4-$B48+1)</f>
        <v/>
      </c>
      <c r="AS48" s="153">
        <f>$C48*INDEX(Curves!$AQ$8:$AQ$68,AS$4-$B48+1)</f>
        <v/>
      </c>
      <c r="AT48" s="153">
        <f>$C48*INDEX(Curves!$AQ$8:$AQ$68,AT$4-$B48+1)</f>
        <v/>
      </c>
      <c r="AU48" s="153">
        <f>$C48*INDEX(Curves!$AQ$8:$AQ$68,AU$4-$B48+1)</f>
        <v/>
      </c>
      <c r="AV48" s="153">
        <f>$C48*INDEX(Curves!$AQ$8:$AQ$68,AV$4-$B48+1)</f>
        <v/>
      </c>
      <c r="AW48" s="153">
        <f>$C48*INDEX(Curves!$AQ$8:$AQ$68,AW$4-$B48+1)</f>
        <v/>
      </c>
      <c r="AX48" s="153">
        <f>$C48*INDEX(Curves!$AQ$8:$AQ$68,AX$4-$B48+1)</f>
        <v/>
      </c>
      <c r="AY48" s="153">
        <f>$C48*INDEX(Curves!$AQ$8:$AQ$68,AY$4-$B48+1)</f>
        <v/>
      </c>
      <c r="AZ48" s="153">
        <f>$C48*INDEX(Curves!$AQ$8:$AQ$68,AZ$4-$B48+1)</f>
        <v/>
      </c>
      <c r="BA48" s="153">
        <f>$C48*INDEX(Curves!$AQ$8:$AQ$68,BA$4-$B48+1)</f>
        <v/>
      </c>
      <c r="BB48" s="153">
        <f>$C48*INDEX(Curves!$AQ$8:$AQ$68,BB$4-$B48+1)</f>
        <v/>
      </c>
      <c r="BC48" s="153">
        <f>$C48*INDEX(Curves!$AQ$8:$AQ$68,BC$4-$B48+1)</f>
        <v/>
      </c>
      <c r="BD48" s="153">
        <f>$C48*INDEX(Curves!$AQ$8:$AQ$68,BD$4-$B48+1)</f>
        <v/>
      </c>
      <c r="BE48" s="153">
        <f>$C48*INDEX(Curves!$AQ$8:$AQ$68,BE$4-$B48+1)</f>
        <v/>
      </c>
      <c r="BF48" s="153">
        <f>$C48*INDEX(Curves!$AQ$8:$AQ$68,BF$4-$B48+1)</f>
        <v/>
      </c>
      <c r="BG48" s="153">
        <f>$C48*INDEX(Curves!$AQ$8:$AQ$68,BG$4-$B48+1)</f>
        <v/>
      </c>
      <c r="BH48" s="153">
        <f>$C48*INDEX(Curves!$AQ$8:$AQ$68,BH$4-$B48+1)</f>
        <v/>
      </c>
      <c r="BI48" s="153">
        <f>$C48*INDEX(Curves!$AQ$8:$AQ$68,BI$4-$B48+1)</f>
        <v/>
      </c>
      <c r="BJ48" s="153">
        <f>$C48*INDEX(Curves!$AQ$8:$AQ$68,BJ$4-$B48+1)</f>
        <v/>
      </c>
      <c r="BK48" s="153">
        <f>$C48*INDEX(Curves!$AQ$8:$AQ$68,BK$4-$B48+1)</f>
        <v/>
      </c>
      <c r="BL48" s="153">
        <f>$C48*INDEX(Curves!$AQ$8:$AQ$68,BL$4-$B48+1)</f>
        <v/>
      </c>
    </row>
    <row r="49">
      <c r="A49" s="147" t="inlineStr">
        <is>
          <t>Cohort month 40</t>
        </is>
      </c>
      <c r="B49" s="147" t="n">
        <v>40</v>
      </c>
      <c r="C49" s="41">
        <f>INDEX(Ops!$E$85:$BL$85,1,$B49)</f>
        <v/>
      </c>
      <c r="AS49" s="153">
        <f>$C49*INDEX(Curves!$AQ$8:$AQ$68,AS$4-$B49+1)</f>
        <v/>
      </c>
      <c r="AT49" s="153">
        <f>$C49*INDEX(Curves!$AQ$8:$AQ$68,AT$4-$B49+1)</f>
        <v/>
      </c>
      <c r="AU49" s="153">
        <f>$C49*INDEX(Curves!$AQ$8:$AQ$68,AU$4-$B49+1)</f>
        <v/>
      </c>
      <c r="AV49" s="153">
        <f>$C49*INDEX(Curves!$AQ$8:$AQ$68,AV$4-$B49+1)</f>
        <v/>
      </c>
      <c r="AW49" s="153">
        <f>$C49*INDEX(Curves!$AQ$8:$AQ$68,AW$4-$B49+1)</f>
        <v/>
      </c>
      <c r="AX49" s="153">
        <f>$C49*INDEX(Curves!$AQ$8:$AQ$68,AX$4-$B49+1)</f>
        <v/>
      </c>
      <c r="AY49" s="153">
        <f>$C49*INDEX(Curves!$AQ$8:$AQ$68,AY$4-$B49+1)</f>
        <v/>
      </c>
      <c r="AZ49" s="153">
        <f>$C49*INDEX(Curves!$AQ$8:$AQ$68,AZ$4-$B49+1)</f>
        <v/>
      </c>
      <c r="BA49" s="153">
        <f>$C49*INDEX(Curves!$AQ$8:$AQ$68,BA$4-$B49+1)</f>
        <v/>
      </c>
      <c r="BB49" s="153">
        <f>$C49*INDEX(Curves!$AQ$8:$AQ$68,BB$4-$B49+1)</f>
        <v/>
      </c>
      <c r="BC49" s="153">
        <f>$C49*INDEX(Curves!$AQ$8:$AQ$68,BC$4-$B49+1)</f>
        <v/>
      </c>
      <c r="BD49" s="153">
        <f>$C49*INDEX(Curves!$AQ$8:$AQ$68,BD$4-$B49+1)</f>
        <v/>
      </c>
      <c r="BE49" s="153">
        <f>$C49*INDEX(Curves!$AQ$8:$AQ$68,BE$4-$B49+1)</f>
        <v/>
      </c>
      <c r="BF49" s="153">
        <f>$C49*INDEX(Curves!$AQ$8:$AQ$68,BF$4-$B49+1)</f>
        <v/>
      </c>
      <c r="BG49" s="153">
        <f>$C49*INDEX(Curves!$AQ$8:$AQ$68,BG$4-$B49+1)</f>
        <v/>
      </c>
      <c r="BH49" s="153">
        <f>$C49*INDEX(Curves!$AQ$8:$AQ$68,BH$4-$B49+1)</f>
        <v/>
      </c>
      <c r="BI49" s="153">
        <f>$C49*INDEX(Curves!$AQ$8:$AQ$68,BI$4-$B49+1)</f>
        <v/>
      </c>
      <c r="BJ49" s="153">
        <f>$C49*INDEX(Curves!$AQ$8:$AQ$68,BJ$4-$B49+1)</f>
        <v/>
      </c>
      <c r="BK49" s="153">
        <f>$C49*INDEX(Curves!$AQ$8:$AQ$68,BK$4-$B49+1)</f>
        <v/>
      </c>
      <c r="BL49" s="153">
        <f>$C49*INDEX(Curves!$AQ$8:$AQ$68,BL$4-$B49+1)</f>
        <v/>
      </c>
    </row>
    <row r="50">
      <c r="A50" s="147" t="inlineStr">
        <is>
          <t>Cohort month 41</t>
        </is>
      </c>
      <c r="B50" s="147" t="n">
        <v>41</v>
      </c>
      <c r="C50" s="41">
        <f>INDEX(Ops!$E$85:$BL$85,1,$B50)</f>
        <v/>
      </c>
      <c r="AT50" s="153">
        <f>$C50*INDEX(Curves!$AQ$8:$AQ$68,AT$4-$B50+1)</f>
        <v/>
      </c>
      <c r="AU50" s="153">
        <f>$C50*INDEX(Curves!$AQ$8:$AQ$68,AU$4-$B50+1)</f>
        <v/>
      </c>
      <c r="AV50" s="153">
        <f>$C50*INDEX(Curves!$AQ$8:$AQ$68,AV$4-$B50+1)</f>
        <v/>
      </c>
      <c r="AW50" s="153">
        <f>$C50*INDEX(Curves!$AQ$8:$AQ$68,AW$4-$B50+1)</f>
        <v/>
      </c>
      <c r="AX50" s="153">
        <f>$C50*INDEX(Curves!$AQ$8:$AQ$68,AX$4-$B50+1)</f>
        <v/>
      </c>
      <c r="AY50" s="153">
        <f>$C50*INDEX(Curves!$AQ$8:$AQ$68,AY$4-$B50+1)</f>
        <v/>
      </c>
      <c r="AZ50" s="153">
        <f>$C50*INDEX(Curves!$AQ$8:$AQ$68,AZ$4-$B50+1)</f>
        <v/>
      </c>
      <c r="BA50" s="153">
        <f>$C50*INDEX(Curves!$AQ$8:$AQ$68,BA$4-$B50+1)</f>
        <v/>
      </c>
      <c r="BB50" s="153">
        <f>$C50*INDEX(Curves!$AQ$8:$AQ$68,BB$4-$B50+1)</f>
        <v/>
      </c>
      <c r="BC50" s="153">
        <f>$C50*INDEX(Curves!$AQ$8:$AQ$68,BC$4-$B50+1)</f>
        <v/>
      </c>
      <c r="BD50" s="153">
        <f>$C50*INDEX(Curves!$AQ$8:$AQ$68,BD$4-$B50+1)</f>
        <v/>
      </c>
      <c r="BE50" s="153">
        <f>$C50*INDEX(Curves!$AQ$8:$AQ$68,BE$4-$B50+1)</f>
        <v/>
      </c>
      <c r="BF50" s="153">
        <f>$C50*INDEX(Curves!$AQ$8:$AQ$68,BF$4-$B50+1)</f>
        <v/>
      </c>
      <c r="BG50" s="153">
        <f>$C50*INDEX(Curves!$AQ$8:$AQ$68,BG$4-$B50+1)</f>
        <v/>
      </c>
      <c r="BH50" s="153">
        <f>$C50*INDEX(Curves!$AQ$8:$AQ$68,BH$4-$B50+1)</f>
        <v/>
      </c>
      <c r="BI50" s="153">
        <f>$C50*INDEX(Curves!$AQ$8:$AQ$68,BI$4-$B50+1)</f>
        <v/>
      </c>
      <c r="BJ50" s="153">
        <f>$C50*INDEX(Curves!$AQ$8:$AQ$68,BJ$4-$B50+1)</f>
        <v/>
      </c>
      <c r="BK50" s="153">
        <f>$C50*INDEX(Curves!$AQ$8:$AQ$68,BK$4-$B50+1)</f>
        <v/>
      </c>
      <c r="BL50" s="153">
        <f>$C50*INDEX(Curves!$AQ$8:$AQ$68,BL$4-$B50+1)</f>
        <v/>
      </c>
    </row>
    <row r="51">
      <c r="A51" s="147" t="inlineStr">
        <is>
          <t>Cohort month 42</t>
        </is>
      </c>
      <c r="B51" s="147" t="n">
        <v>42</v>
      </c>
      <c r="C51" s="41">
        <f>INDEX(Ops!$E$85:$BL$85,1,$B51)</f>
        <v/>
      </c>
      <c r="AU51" s="153">
        <f>$C51*INDEX(Curves!$AQ$8:$AQ$68,AU$4-$B51+1)</f>
        <v/>
      </c>
      <c r="AV51" s="153">
        <f>$C51*INDEX(Curves!$AQ$8:$AQ$68,AV$4-$B51+1)</f>
        <v/>
      </c>
      <c r="AW51" s="153">
        <f>$C51*INDEX(Curves!$AQ$8:$AQ$68,AW$4-$B51+1)</f>
        <v/>
      </c>
      <c r="AX51" s="153">
        <f>$C51*INDEX(Curves!$AQ$8:$AQ$68,AX$4-$B51+1)</f>
        <v/>
      </c>
      <c r="AY51" s="153">
        <f>$C51*INDEX(Curves!$AQ$8:$AQ$68,AY$4-$B51+1)</f>
        <v/>
      </c>
      <c r="AZ51" s="153">
        <f>$C51*INDEX(Curves!$AQ$8:$AQ$68,AZ$4-$B51+1)</f>
        <v/>
      </c>
      <c r="BA51" s="153">
        <f>$C51*INDEX(Curves!$AQ$8:$AQ$68,BA$4-$B51+1)</f>
        <v/>
      </c>
      <c r="BB51" s="153">
        <f>$C51*INDEX(Curves!$AQ$8:$AQ$68,BB$4-$B51+1)</f>
        <v/>
      </c>
      <c r="BC51" s="153">
        <f>$C51*INDEX(Curves!$AQ$8:$AQ$68,BC$4-$B51+1)</f>
        <v/>
      </c>
      <c r="BD51" s="153">
        <f>$C51*INDEX(Curves!$AQ$8:$AQ$68,BD$4-$B51+1)</f>
        <v/>
      </c>
      <c r="BE51" s="153">
        <f>$C51*INDEX(Curves!$AQ$8:$AQ$68,BE$4-$B51+1)</f>
        <v/>
      </c>
      <c r="BF51" s="153">
        <f>$C51*INDEX(Curves!$AQ$8:$AQ$68,BF$4-$B51+1)</f>
        <v/>
      </c>
      <c r="BG51" s="153">
        <f>$C51*INDEX(Curves!$AQ$8:$AQ$68,BG$4-$B51+1)</f>
        <v/>
      </c>
      <c r="BH51" s="153">
        <f>$C51*INDEX(Curves!$AQ$8:$AQ$68,BH$4-$B51+1)</f>
        <v/>
      </c>
      <c r="BI51" s="153">
        <f>$C51*INDEX(Curves!$AQ$8:$AQ$68,BI$4-$B51+1)</f>
        <v/>
      </c>
      <c r="BJ51" s="153">
        <f>$C51*INDEX(Curves!$AQ$8:$AQ$68,BJ$4-$B51+1)</f>
        <v/>
      </c>
      <c r="BK51" s="153">
        <f>$C51*INDEX(Curves!$AQ$8:$AQ$68,BK$4-$B51+1)</f>
        <v/>
      </c>
      <c r="BL51" s="153">
        <f>$C51*INDEX(Curves!$AQ$8:$AQ$68,BL$4-$B51+1)</f>
        <v/>
      </c>
    </row>
    <row r="52">
      <c r="A52" s="147" t="inlineStr">
        <is>
          <t>Cohort month 43</t>
        </is>
      </c>
      <c r="B52" s="147" t="n">
        <v>43</v>
      </c>
      <c r="C52" s="41">
        <f>INDEX(Ops!$E$85:$BL$85,1,$B52)</f>
        <v/>
      </c>
      <c r="AV52" s="153">
        <f>$C52*INDEX(Curves!$AQ$8:$AQ$68,AV$4-$B52+1)</f>
        <v/>
      </c>
      <c r="AW52" s="153">
        <f>$C52*INDEX(Curves!$AQ$8:$AQ$68,AW$4-$B52+1)</f>
        <v/>
      </c>
      <c r="AX52" s="153">
        <f>$C52*INDEX(Curves!$AQ$8:$AQ$68,AX$4-$B52+1)</f>
        <v/>
      </c>
      <c r="AY52" s="153">
        <f>$C52*INDEX(Curves!$AQ$8:$AQ$68,AY$4-$B52+1)</f>
        <v/>
      </c>
      <c r="AZ52" s="153">
        <f>$C52*INDEX(Curves!$AQ$8:$AQ$68,AZ$4-$B52+1)</f>
        <v/>
      </c>
      <c r="BA52" s="153">
        <f>$C52*INDEX(Curves!$AQ$8:$AQ$68,BA$4-$B52+1)</f>
        <v/>
      </c>
      <c r="BB52" s="153">
        <f>$C52*INDEX(Curves!$AQ$8:$AQ$68,BB$4-$B52+1)</f>
        <v/>
      </c>
      <c r="BC52" s="153">
        <f>$C52*INDEX(Curves!$AQ$8:$AQ$68,BC$4-$B52+1)</f>
        <v/>
      </c>
      <c r="BD52" s="153">
        <f>$C52*INDEX(Curves!$AQ$8:$AQ$68,BD$4-$B52+1)</f>
        <v/>
      </c>
      <c r="BE52" s="153">
        <f>$C52*INDEX(Curves!$AQ$8:$AQ$68,BE$4-$B52+1)</f>
        <v/>
      </c>
      <c r="BF52" s="153">
        <f>$C52*INDEX(Curves!$AQ$8:$AQ$68,BF$4-$B52+1)</f>
        <v/>
      </c>
      <c r="BG52" s="153">
        <f>$C52*INDEX(Curves!$AQ$8:$AQ$68,BG$4-$B52+1)</f>
        <v/>
      </c>
      <c r="BH52" s="153">
        <f>$C52*INDEX(Curves!$AQ$8:$AQ$68,BH$4-$B52+1)</f>
        <v/>
      </c>
      <c r="BI52" s="153">
        <f>$C52*INDEX(Curves!$AQ$8:$AQ$68,BI$4-$B52+1)</f>
        <v/>
      </c>
      <c r="BJ52" s="153">
        <f>$C52*INDEX(Curves!$AQ$8:$AQ$68,BJ$4-$B52+1)</f>
        <v/>
      </c>
      <c r="BK52" s="153">
        <f>$C52*INDEX(Curves!$AQ$8:$AQ$68,BK$4-$B52+1)</f>
        <v/>
      </c>
      <c r="BL52" s="153">
        <f>$C52*INDEX(Curves!$AQ$8:$AQ$68,BL$4-$B52+1)</f>
        <v/>
      </c>
    </row>
    <row r="53">
      <c r="A53" s="147" t="inlineStr">
        <is>
          <t>Cohort month 44</t>
        </is>
      </c>
      <c r="B53" s="147" t="n">
        <v>44</v>
      </c>
      <c r="C53" s="41">
        <f>INDEX(Ops!$E$85:$BL$85,1,$B53)</f>
        <v/>
      </c>
      <c r="AW53" s="153">
        <f>$C53*INDEX(Curves!$AQ$8:$AQ$68,AW$4-$B53+1)</f>
        <v/>
      </c>
      <c r="AX53" s="153">
        <f>$C53*INDEX(Curves!$AQ$8:$AQ$68,AX$4-$B53+1)</f>
        <v/>
      </c>
      <c r="AY53" s="153">
        <f>$C53*INDEX(Curves!$AQ$8:$AQ$68,AY$4-$B53+1)</f>
        <v/>
      </c>
      <c r="AZ53" s="153">
        <f>$C53*INDEX(Curves!$AQ$8:$AQ$68,AZ$4-$B53+1)</f>
        <v/>
      </c>
      <c r="BA53" s="153">
        <f>$C53*INDEX(Curves!$AQ$8:$AQ$68,BA$4-$B53+1)</f>
        <v/>
      </c>
      <c r="BB53" s="153">
        <f>$C53*INDEX(Curves!$AQ$8:$AQ$68,BB$4-$B53+1)</f>
        <v/>
      </c>
      <c r="BC53" s="153">
        <f>$C53*INDEX(Curves!$AQ$8:$AQ$68,BC$4-$B53+1)</f>
        <v/>
      </c>
      <c r="BD53" s="153">
        <f>$C53*INDEX(Curves!$AQ$8:$AQ$68,BD$4-$B53+1)</f>
        <v/>
      </c>
      <c r="BE53" s="153">
        <f>$C53*INDEX(Curves!$AQ$8:$AQ$68,BE$4-$B53+1)</f>
        <v/>
      </c>
      <c r="BF53" s="153">
        <f>$C53*INDEX(Curves!$AQ$8:$AQ$68,BF$4-$B53+1)</f>
        <v/>
      </c>
      <c r="BG53" s="153">
        <f>$C53*INDEX(Curves!$AQ$8:$AQ$68,BG$4-$B53+1)</f>
        <v/>
      </c>
      <c r="BH53" s="153">
        <f>$C53*INDEX(Curves!$AQ$8:$AQ$68,BH$4-$B53+1)</f>
        <v/>
      </c>
      <c r="BI53" s="153">
        <f>$C53*INDEX(Curves!$AQ$8:$AQ$68,BI$4-$B53+1)</f>
        <v/>
      </c>
      <c r="BJ53" s="153">
        <f>$C53*INDEX(Curves!$AQ$8:$AQ$68,BJ$4-$B53+1)</f>
        <v/>
      </c>
      <c r="BK53" s="153">
        <f>$C53*INDEX(Curves!$AQ$8:$AQ$68,BK$4-$B53+1)</f>
        <v/>
      </c>
      <c r="BL53" s="153">
        <f>$C53*INDEX(Curves!$AQ$8:$AQ$68,BL$4-$B53+1)</f>
        <v/>
      </c>
    </row>
    <row r="54">
      <c r="A54" s="147" t="inlineStr">
        <is>
          <t>Cohort month 45</t>
        </is>
      </c>
      <c r="B54" s="147" t="n">
        <v>45</v>
      </c>
      <c r="C54" s="41">
        <f>INDEX(Ops!$E$85:$BL$85,1,$B54)</f>
        <v/>
      </c>
      <c r="AX54" s="153">
        <f>$C54*INDEX(Curves!$AQ$8:$AQ$68,AX$4-$B54+1)</f>
        <v/>
      </c>
      <c r="AY54" s="153">
        <f>$C54*INDEX(Curves!$AQ$8:$AQ$68,AY$4-$B54+1)</f>
        <v/>
      </c>
      <c r="AZ54" s="153">
        <f>$C54*INDEX(Curves!$AQ$8:$AQ$68,AZ$4-$B54+1)</f>
        <v/>
      </c>
      <c r="BA54" s="153">
        <f>$C54*INDEX(Curves!$AQ$8:$AQ$68,BA$4-$B54+1)</f>
        <v/>
      </c>
      <c r="BB54" s="153">
        <f>$C54*INDEX(Curves!$AQ$8:$AQ$68,BB$4-$B54+1)</f>
        <v/>
      </c>
      <c r="BC54" s="153">
        <f>$C54*INDEX(Curves!$AQ$8:$AQ$68,BC$4-$B54+1)</f>
        <v/>
      </c>
      <c r="BD54" s="153">
        <f>$C54*INDEX(Curves!$AQ$8:$AQ$68,BD$4-$B54+1)</f>
        <v/>
      </c>
      <c r="BE54" s="153">
        <f>$C54*INDEX(Curves!$AQ$8:$AQ$68,BE$4-$B54+1)</f>
        <v/>
      </c>
      <c r="BF54" s="153">
        <f>$C54*INDEX(Curves!$AQ$8:$AQ$68,BF$4-$B54+1)</f>
        <v/>
      </c>
      <c r="BG54" s="153">
        <f>$C54*INDEX(Curves!$AQ$8:$AQ$68,BG$4-$B54+1)</f>
        <v/>
      </c>
      <c r="BH54" s="153">
        <f>$C54*INDEX(Curves!$AQ$8:$AQ$68,BH$4-$B54+1)</f>
        <v/>
      </c>
      <c r="BI54" s="153">
        <f>$C54*INDEX(Curves!$AQ$8:$AQ$68,BI$4-$B54+1)</f>
        <v/>
      </c>
      <c r="BJ54" s="153">
        <f>$C54*INDEX(Curves!$AQ$8:$AQ$68,BJ$4-$B54+1)</f>
        <v/>
      </c>
      <c r="BK54" s="153">
        <f>$C54*INDEX(Curves!$AQ$8:$AQ$68,BK$4-$B54+1)</f>
        <v/>
      </c>
      <c r="BL54" s="153">
        <f>$C54*INDEX(Curves!$AQ$8:$AQ$68,BL$4-$B54+1)</f>
        <v/>
      </c>
    </row>
    <row r="55">
      <c r="A55" s="147" t="inlineStr">
        <is>
          <t>Cohort month 46</t>
        </is>
      </c>
      <c r="B55" s="147" t="n">
        <v>46</v>
      </c>
      <c r="C55" s="41">
        <f>INDEX(Ops!$E$85:$BL$85,1,$B55)</f>
        <v/>
      </c>
      <c r="AY55" s="153">
        <f>$C55*INDEX(Curves!$AQ$8:$AQ$68,AY$4-$B55+1)</f>
        <v/>
      </c>
      <c r="AZ55" s="153">
        <f>$C55*INDEX(Curves!$AQ$8:$AQ$68,AZ$4-$B55+1)</f>
        <v/>
      </c>
      <c r="BA55" s="153">
        <f>$C55*INDEX(Curves!$AQ$8:$AQ$68,BA$4-$B55+1)</f>
        <v/>
      </c>
      <c r="BB55" s="153">
        <f>$C55*INDEX(Curves!$AQ$8:$AQ$68,BB$4-$B55+1)</f>
        <v/>
      </c>
      <c r="BC55" s="153">
        <f>$C55*INDEX(Curves!$AQ$8:$AQ$68,BC$4-$B55+1)</f>
        <v/>
      </c>
      <c r="BD55" s="153">
        <f>$C55*INDEX(Curves!$AQ$8:$AQ$68,BD$4-$B55+1)</f>
        <v/>
      </c>
      <c r="BE55" s="153">
        <f>$C55*INDEX(Curves!$AQ$8:$AQ$68,BE$4-$B55+1)</f>
        <v/>
      </c>
      <c r="BF55" s="153">
        <f>$C55*INDEX(Curves!$AQ$8:$AQ$68,BF$4-$B55+1)</f>
        <v/>
      </c>
      <c r="BG55" s="153">
        <f>$C55*INDEX(Curves!$AQ$8:$AQ$68,BG$4-$B55+1)</f>
        <v/>
      </c>
      <c r="BH55" s="153">
        <f>$C55*INDEX(Curves!$AQ$8:$AQ$68,BH$4-$B55+1)</f>
        <v/>
      </c>
      <c r="BI55" s="153">
        <f>$C55*INDEX(Curves!$AQ$8:$AQ$68,BI$4-$B55+1)</f>
        <v/>
      </c>
      <c r="BJ55" s="153">
        <f>$C55*INDEX(Curves!$AQ$8:$AQ$68,BJ$4-$B55+1)</f>
        <v/>
      </c>
      <c r="BK55" s="153">
        <f>$C55*INDEX(Curves!$AQ$8:$AQ$68,BK$4-$B55+1)</f>
        <v/>
      </c>
      <c r="BL55" s="153">
        <f>$C55*INDEX(Curves!$AQ$8:$AQ$68,BL$4-$B55+1)</f>
        <v/>
      </c>
    </row>
    <row r="56">
      <c r="A56" s="147" t="inlineStr">
        <is>
          <t>Cohort month 47</t>
        </is>
      </c>
      <c r="B56" s="147" t="n">
        <v>47</v>
      </c>
      <c r="C56" s="41">
        <f>INDEX(Ops!$E$85:$BL$85,1,$B56)</f>
        <v/>
      </c>
      <c r="AZ56" s="153">
        <f>$C56*INDEX(Curves!$AQ$8:$AQ$68,AZ$4-$B56+1)</f>
        <v/>
      </c>
      <c r="BA56" s="153">
        <f>$C56*INDEX(Curves!$AQ$8:$AQ$68,BA$4-$B56+1)</f>
        <v/>
      </c>
      <c r="BB56" s="153">
        <f>$C56*INDEX(Curves!$AQ$8:$AQ$68,BB$4-$B56+1)</f>
        <v/>
      </c>
      <c r="BC56" s="153">
        <f>$C56*INDEX(Curves!$AQ$8:$AQ$68,BC$4-$B56+1)</f>
        <v/>
      </c>
      <c r="BD56" s="153">
        <f>$C56*INDEX(Curves!$AQ$8:$AQ$68,BD$4-$B56+1)</f>
        <v/>
      </c>
      <c r="BE56" s="153">
        <f>$C56*INDEX(Curves!$AQ$8:$AQ$68,BE$4-$B56+1)</f>
        <v/>
      </c>
      <c r="BF56" s="153">
        <f>$C56*INDEX(Curves!$AQ$8:$AQ$68,BF$4-$B56+1)</f>
        <v/>
      </c>
      <c r="BG56" s="153">
        <f>$C56*INDEX(Curves!$AQ$8:$AQ$68,BG$4-$B56+1)</f>
        <v/>
      </c>
      <c r="BH56" s="153">
        <f>$C56*INDEX(Curves!$AQ$8:$AQ$68,BH$4-$B56+1)</f>
        <v/>
      </c>
      <c r="BI56" s="153">
        <f>$C56*INDEX(Curves!$AQ$8:$AQ$68,BI$4-$B56+1)</f>
        <v/>
      </c>
      <c r="BJ56" s="153">
        <f>$C56*INDEX(Curves!$AQ$8:$AQ$68,BJ$4-$B56+1)</f>
        <v/>
      </c>
      <c r="BK56" s="153">
        <f>$C56*INDEX(Curves!$AQ$8:$AQ$68,BK$4-$B56+1)</f>
        <v/>
      </c>
      <c r="BL56" s="153">
        <f>$C56*INDEX(Curves!$AQ$8:$AQ$68,BL$4-$B56+1)</f>
        <v/>
      </c>
    </row>
    <row r="57">
      <c r="A57" s="147" t="inlineStr">
        <is>
          <t>Cohort month 48</t>
        </is>
      </c>
      <c r="B57" s="147" t="n">
        <v>48</v>
      </c>
      <c r="C57" s="41">
        <f>INDEX(Ops!$E$85:$BL$85,1,$B57)</f>
        <v/>
      </c>
      <c r="BA57" s="153">
        <f>$C57*INDEX(Curves!$AQ$8:$AQ$68,BA$4-$B57+1)</f>
        <v/>
      </c>
      <c r="BB57" s="153">
        <f>$C57*INDEX(Curves!$AQ$8:$AQ$68,BB$4-$B57+1)</f>
        <v/>
      </c>
      <c r="BC57" s="153">
        <f>$C57*INDEX(Curves!$AQ$8:$AQ$68,BC$4-$B57+1)</f>
        <v/>
      </c>
      <c r="BD57" s="153">
        <f>$C57*INDEX(Curves!$AQ$8:$AQ$68,BD$4-$B57+1)</f>
        <v/>
      </c>
      <c r="BE57" s="153">
        <f>$C57*INDEX(Curves!$AQ$8:$AQ$68,BE$4-$B57+1)</f>
        <v/>
      </c>
      <c r="BF57" s="153">
        <f>$C57*INDEX(Curves!$AQ$8:$AQ$68,BF$4-$B57+1)</f>
        <v/>
      </c>
      <c r="BG57" s="153">
        <f>$C57*INDEX(Curves!$AQ$8:$AQ$68,BG$4-$B57+1)</f>
        <v/>
      </c>
      <c r="BH57" s="153">
        <f>$C57*INDEX(Curves!$AQ$8:$AQ$68,BH$4-$B57+1)</f>
        <v/>
      </c>
      <c r="BI57" s="153">
        <f>$C57*INDEX(Curves!$AQ$8:$AQ$68,BI$4-$B57+1)</f>
        <v/>
      </c>
      <c r="BJ57" s="153">
        <f>$C57*INDEX(Curves!$AQ$8:$AQ$68,BJ$4-$B57+1)</f>
        <v/>
      </c>
      <c r="BK57" s="153">
        <f>$C57*INDEX(Curves!$AQ$8:$AQ$68,BK$4-$B57+1)</f>
        <v/>
      </c>
      <c r="BL57" s="153">
        <f>$C57*INDEX(Curves!$AQ$8:$AQ$68,BL$4-$B57+1)</f>
        <v/>
      </c>
    </row>
    <row r="58">
      <c r="A58" s="147" t="inlineStr">
        <is>
          <t>Cohort month 49</t>
        </is>
      </c>
      <c r="B58" s="147" t="n">
        <v>49</v>
      </c>
      <c r="C58" s="41">
        <f>INDEX(Ops!$E$85:$BL$85,1,$B58)</f>
        <v/>
      </c>
      <c r="BB58" s="153">
        <f>$C58*INDEX(Curves!$AQ$8:$AQ$68,BB$4-$B58+1)</f>
        <v/>
      </c>
      <c r="BC58" s="153">
        <f>$C58*INDEX(Curves!$AQ$8:$AQ$68,BC$4-$B58+1)</f>
        <v/>
      </c>
      <c r="BD58" s="153">
        <f>$C58*INDEX(Curves!$AQ$8:$AQ$68,BD$4-$B58+1)</f>
        <v/>
      </c>
      <c r="BE58" s="153">
        <f>$C58*INDEX(Curves!$AQ$8:$AQ$68,BE$4-$B58+1)</f>
        <v/>
      </c>
      <c r="BF58" s="153">
        <f>$C58*INDEX(Curves!$AQ$8:$AQ$68,BF$4-$B58+1)</f>
        <v/>
      </c>
      <c r="BG58" s="153">
        <f>$C58*INDEX(Curves!$AQ$8:$AQ$68,BG$4-$B58+1)</f>
        <v/>
      </c>
      <c r="BH58" s="153">
        <f>$C58*INDEX(Curves!$AQ$8:$AQ$68,BH$4-$B58+1)</f>
        <v/>
      </c>
      <c r="BI58" s="153">
        <f>$C58*INDEX(Curves!$AQ$8:$AQ$68,BI$4-$B58+1)</f>
        <v/>
      </c>
      <c r="BJ58" s="153">
        <f>$C58*INDEX(Curves!$AQ$8:$AQ$68,BJ$4-$B58+1)</f>
        <v/>
      </c>
      <c r="BK58" s="153">
        <f>$C58*INDEX(Curves!$AQ$8:$AQ$68,BK$4-$B58+1)</f>
        <v/>
      </c>
      <c r="BL58" s="153">
        <f>$C58*INDEX(Curves!$AQ$8:$AQ$68,BL$4-$B58+1)</f>
        <v/>
      </c>
    </row>
    <row r="59">
      <c r="A59" s="147" t="inlineStr">
        <is>
          <t>Cohort month 50</t>
        </is>
      </c>
      <c r="B59" s="147" t="n">
        <v>50</v>
      </c>
      <c r="C59" s="41">
        <f>INDEX(Ops!$E$85:$BL$85,1,$B59)</f>
        <v/>
      </c>
      <c r="BC59" s="153">
        <f>$C59*INDEX(Curves!$AQ$8:$AQ$68,BC$4-$B59+1)</f>
        <v/>
      </c>
      <c r="BD59" s="153">
        <f>$C59*INDEX(Curves!$AQ$8:$AQ$68,BD$4-$B59+1)</f>
        <v/>
      </c>
      <c r="BE59" s="153">
        <f>$C59*INDEX(Curves!$AQ$8:$AQ$68,BE$4-$B59+1)</f>
        <v/>
      </c>
      <c r="BF59" s="153">
        <f>$C59*INDEX(Curves!$AQ$8:$AQ$68,BF$4-$B59+1)</f>
        <v/>
      </c>
      <c r="BG59" s="153">
        <f>$C59*INDEX(Curves!$AQ$8:$AQ$68,BG$4-$B59+1)</f>
        <v/>
      </c>
      <c r="BH59" s="153">
        <f>$C59*INDEX(Curves!$AQ$8:$AQ$68,BH$4-$B59+1)</f>
        <v/>
      </c>
      <c r="BI59" s="153">
        <f>$C59*INDEX(Curves!$AQ$8:$AQ$68,BI$4-$B59+1)</f>
        <v/>
      </c>
      <c r="BJ59" s="153">
        <f>$C59*INDEX(Curves!$AQ$8:$AQ$68,BJ$4-$B59+1)</f>
        <v/>
      </c>
      <c r="BK59" s="153">
        <f>$C59*INDEX(Curves!$AQ$8:$AQ$68,BK$4-$B59+1)</f>
        <v/>
      </c>
      <c r="BL59" s="153">
        <f>$C59*INDEX(Curves!$AQ$8:$AQ$68,BL$4-$B59+1)</f>
        <v/>
      </c>
    </row>
    <row r="60">
      <c r="A60" s="147" t="inlineStr">
        <is>
          <t>Cohort month 51</t>
        </is>
      </c>
      <c r="B60" s="147" t="n">
        <v>51</v>
      </c>
      <c r="C60" s="41">
        <f>INDEX(Ops!$E$85:$BL$85,1,$B60)</f>
        <v/>
      </c>
      <c r="BD60" s="153">
        <f>$C60*INDEX(Curves!$AQ$8:$AQ$68,BD$4-$B60+1)</f>
        <v/>
      </c>
      <c r="BE60" s="153">
        <f>$C60*INDEX(Curves!$AQ$8:$AQ$68,BE$4-$B60+1)</f>
        <v/>
      </c>
      <c r="BF60" s="153">
        <f>$C60*INDEX(Curves!$AQ$8:$AQ$68,BF$4-$B60+1)</f>
        <v/>
      </c>
      <c r="BG60" s="153">
        <f>$C60*INDEX(Curves!$AQ$8:$AQ$68,BG$4-$B60+1)</f>
        <v/>
      </c>
      <c r="BH60" s="153">
        <f>$C60*INDEX(Curves!$AQ$8:$AQ$68,BH$4-$B60+1)</f>
        <v/>
      </c>
      <c r="BI60" s="153">
        <f>$C60*INDEX(Curves!$AQ$8:$AQ$68,BI$4-$B60+1)</f>
        <v/>
      </c>
      <c r="BJ60" s="153">
        <f>$C60*INDEX(Curves!$AQ$8:$AQ$68,BJ$4-$B60+1)</f>
        <v/>
      </c>
      <c r="BK60" s="153">
        <f>$C60*INDEX(Curves!$AQ$8:$AQ$68,BK$4-$B60+1)</f>
        <v/>
      </c>
      <c r="BL60" s="153">
        <f>$C60*INDEX(Curves!$AQ$8:$AQ$68,BL$4-$B60+1)</f>
        <v/>
      </c>
    </row>
    <row r="61">
      <c r="A61" s="147" t="inlineStr">
        <is>
          <t>Cohort month 52</t>
        </is>
      </c>
      <c r="B61" s="147" t="n">
        <v>52</v>
      </c>
      <c r="C61" s="41">
        <f>INDEX(Ops!$E$85:$BL$85,1,$B61)</f>
        <v/>
      </c>
      <c r="BE61" s="153">
        <f>$C61*INDEX(Curves!$AQ$8:$AQ$68,BE$4-$B61+1)</f>
        <v/>
      </c>
      <c r="BF61" s="153">
        <f>$C61*INDEX(Curves!$AQ$8:$AQ$68,BF$4-$B61+1)</f>
        <v/>
      </c>
      <c r="BG61" s="153">
        <f>$C61*INDEX(Curves!$AQ$8:$AQ$68,BG$4-$B61+1)</f>
        <v/>
      </c>
      <c r="BH61" s="153">
        <f>$C61*INDEX(Curves!$AQ$8:$AQ$68,BH$4-$B61+1)</f>
        <v/>
      </c>
      <c r="BI61" s="153">
        <f>$C61*INDEX(Curves!$AQ$8:$AQ$68,BI$4-$B61+1)</f>
        <v/>
      </c>
      <c r="BJ61" s="153">
        <f>$C61*INDEX(Curves!$AQ$8:$AQ$68,BJ$4-$B61+1)</f>
        <v/>
      </c>
      <c r="BK61" s="153">
        <f>$C61*INDEX(Curves!$AQ$8:$AQ$68,BK$4-$B61+1)</f>
        <v/>
      </c>
      <c r="BL61" s="153">
        <f>$C61*INDEX(Curves!$AQ$8:$AQ$68,BL$4-$B61+1)</f>
        <v/>
      </c>
    </row>
    <row r="62">
      <c r="A62" s="147" t="inlineStr">
        <is>
          <t>Cohort month 53</t>
        </is>
      </c>
      <c r="B62" s="147" t="n">
        <v>53</v>
      </c>
      <c r="C62" s="41">
        <f>INDEX(Ops!$E$85:$BL$85,1,$B62)</f>
        <v/>
      </c>
      <c r="BF62" s="153">
        <f>$C62*INDEX(Curves!$AQ$8:$AQ$68,BF$4-$B62+1)</f>
        <v/>
      </c>
      <c r="BG62" s="153">
        <f>$C62*INDEX(Curves!$AQ$8:$AQ$68,BG$4-$B62+1)</f>
        <v/>
      </c>
      <c r="BH62" s="153">
        <f>$C62*INDEX(Curves!$AQ$8:$AQ$68,BH$4-$B62+1)</f>
        <v/>
      </c>
      <c r="BI62" s="153">
        <f>$C62*INDEX(Curves!$AQ$8:$AQ$68,BI$4-$B62+1)</f>
        <v/>
      </c>
      <c r="BJ62" s="153">
        <f>$C62*INDEX(Curves!$AQ$8:$AQ$68,BJ$4-$B62+1)</f>
        <v/>
      </c>
      <c r="BK62" s="153">
        <f>$C62*INDEX(Curves!$AQ$8:$AQ$68,BK$4-$B62+1)</f>
        <v/>
      </c>
      <c r="BL62" s="153">
        <f>$C62*INDEX(Curves!$AQ$8:$AQ$68,BL$4-$B62+1)</f>
        <v/>
      </c>
    </row>
    <row r="63">
      <c r="A63" s="147" t="inlineStr">
        <is>
          <t>Cohort month 54</t>
        </is>
      </c>
      <c r="B63" s="147" t="n">
        <v>54</v>
      </c>
      <c r="C63" s="41">
        <f>INDEX(Ops!$E$85:$BL$85,1,$B63)</f>
        <v/>
      </c>
      <c r="BG63" s="153">
        <f>$C63*INDEX(Curves!$AQ$8:$AQ$68,BG$4-$B63+1)</f>
        <v/>
      </c>
      <c r="BH63" s="153">
        <f>$C63*INDEX(Curves!$AQ$8:$AQ$68,BH$4-$B63+1)</f>
        <v/>
      </c>
      <c r="BI63" s="153">
        <f>$C63*INDEX(Curves!$AQ$8:$AQ$68,BI$4-$B63+1)</f>
        <v/>
      </c>
      <c r="BJ63" s="153">
        <f>$C63*INDEX(Curves!$AQ$8:$AQ$68,BJ$4-$B63+1)</f>
        <v/>
      </c>
      <c r="BK63" s="153">
        <f>$C63*INDEX(Curves!$AQ$8:$AQ$68,BK$4-$B63+1)</f>
        <v/>
      </c>
      <c r="BL63" s="153">
        <f>$C63*INDEX(Curves!$AQ$8:$AQ$68,BL$4-$B63+1)</f>
        <v/>
      </c>
    </row>
    <row r="64">
      <c r="A64" s="147" t="inlineStr">
        <is>
          <t>Cohort month 55</t>
        </is>
      </c>
      <c r="B64" s="147" t="n">
        <v>55</v>
      </c>
      <c r="C64" s="41">
        <f>INDEX(Ops!$E$85:$BL$85,1,$B64)</f>
        <v/>
      </c>
      <c r="BH64" s="153">
        <f>$C64*INDEX(Curves!$AQ$8:$AQ$68,BH$4-$B64+1)</f>
        <v/>
      </c>
      <c r="BI64" s="153">
        <f>$C64*INDEX(Curves!$AQ$8:$AQ$68,BI$4-$B64+1)</f>
        <v/>
      </c>
      <c r="BJ64" s="153">
        <f>$C64*INDEX(Curves!$AQ$8:$AQ$68,BJ$4-$B64+1)</f>
        <v/>
      </c>
      <c r="BK64" s="153">
        <f>$C64*INDEX(Curves!$AQ$8:$AQ$68,BK$4-$B64+1)</f>
        <v/>
      </c>
      <c r="BL64" s="153">
        <f>$C64*INDEX(Curves!$AQ$8:$AQ$68,BL$4-$B64+1)</f>
        <v/>
      </c>
    </row>
    <row r="65">
      <c r="A65" s="147" t="inlineStr">
        <is>
          <t>Cohort month 56</t>
        </is>
      </c>
      <c r="B65" s="147" t="n">
        <v>56</v>
      </c>
      <c r="C65" s="41">
        <f>INDEX(Ops!$E$85:$BL$85,1,$B65)</f>
        <v/>
      </c>
      <c r="BI65" s="153">
        <f>$C65*INDEX(Curves!$AQ$8:$AQ$68,BI$4-$B65+1)</f>
        <v/>
      </c>
      <c r="BJ65" s="153">
        <f>$C65*INDEX(Curves!$AQ$8:$AQ$68,BJ$4-$B65+1)</f>
        <v/>
      </c>
      <c r="BK65" s="153">
        <f>$C65*INDEX(Curves!$AQ$8:$AQ$68,BK$4-$B65+1)</f>
        <v/>
      </c>
      <c r="BL65" s="153">
        <f>$C65*INDEX(Curves!$AQ$8:$AQ$68,BL$4-$B65+1)</f>
        <v/>
      </c>
    </row>
    <row r="66">
      <c r="A66" s="147" t="inlineStr">
        <is>
          <t>Cohort month 57</t>
        </is>
      </c>
      <c r="B66" s="147" t="n">
        <v>57</v>
      </c>
      <c r="C66" s="41">
        <f>INDEX(Ops!$E$85:$BL$85,1,$B66)</f>
        <v/>
      </c>
      <c r="BJ66" s="153">
        <f>$C66*INDEX(Curves!$AQ$8:$AQ$68,BJ$4-$B66+1)</f>
        <v/>
      </c>
      <c r="BK66" s="153">
        <f>$C66*INDEX(Curves!$AQ$8:$AQ$68,BK$4-$B66+1)</f>
        <v/>
      </c>
      <c r="BL66" s="153">
        <f>$C66*INDEX(Curves!$AQ$8:$AQ$68,BL$4-$B66+1)</f>
        <v/>
      </c>
    </row>
    <row r="67">
      <c r="A67" s="147" t="inlineStr">
        <is>
          <t>Cohort month 58</t>
        </is>
      </c>
      <c r="B67" s="147" t="n">
        <v>58</v>
      </c>
      <c r="C67" s="41">
        <f>INDEX(Ops!$E$85:$BL$85,1,$B67)</f>
        <v/>
      </c>
      <c r="BK67" s="153">
        <f>$C67*INDEX(Curves!$AQ$8:$AQ$68,BK$4-$B67+1)</f>
        <v/>
      </c>
      <c r="BL67" s="153">
        <f>$C67*INDEX(Curves!$AQ$8:$AQ$68,BL$4-$B67+1)</f>
        <v/>
      </c>
    </row>
    <row r="68">
      <c r="A68" s="147" t="inlineStr">
        <is>
          <t>Cohort month 59</t>
        </is>
      </c>
      <c r="B68" s="147" t="n">
        <v>59</v>
      </c>
      <c r="C68" s="41">
        <f>INDEX(Ops!$E$85:$BL$85,1,$B68)</f>
        <v/>
      </c>
      <c r="BL68" s="153">
        <f>$C68*INDEX(Curves!$AQ$8:$AQ$68,BL$4-$B68+1)</f>
        <v/>
      </c>
    </row>
    <row r="69">
      <c r="A69" s="147" t="inlineStr">
        <is>
          <t>Cohort month 60</t>
        </is>
      </c>
      <c r="B69" s="147" t="n">
        <v>60</v>
      </c>
      <c r="C69" s="41">
        <f>INDEX(Ops!$E$85:$BL$85,1,$B69)</f>
        <v/>
      </c>
    </row>
    <row r="70"/>
    <row r="71">
      <c r="A71" s="21" t="inlineStr">
        <is>
          <t>Active accounts by cohort</t>
        </is>
      </c>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c r="AA71" s="22" t="n"/>
      <c r="AB71" s="22" t="n"/>
      <c r="AC71" s="22" t="n"/>
      <c r="AD71" s="22" t="n"/>
      <c r="AE71" s="22" t="n"/>
      <c r="AF71" s="22" t="n"/>
      <c r="AG71" s="22" t="n"/>
      <c r="AH71" s="22" t="n"/>
      <c r="AI71" s="22" t="n"/>
      <c r="AJ71" s="22" t="n"/>
      <c r="AK71" s="22" t="n"/>
      <c r="AL71" s="22" t="n"/>
      <c r="AM71" s="22" t="n"/>
      <c r="AN71" s="22" t="n"/>
      <c r="AO71" s="22" t="n"/>
      <c r="AP71" s="22" t="n"/>
      <c r="AQ71" s="22" t="n"/>
      <c r="AR71" s="22" t="n"/>
      <c r="AS71" s="22" t="n"/>
      <c r="AT71" s="22" t="n"/>
      <c r="AU71" s="22" t="n"/>
      <c r="AV71" s="22" t="n"/>
      <c r="AW71" s="22" t="n"/>
      <c r="AX71" s="22" t="n"/>
      <c r="AY71" s="22" t="n"/>
      <c r="AZ71" s="22" t="n"/>
      <c r="BA71" s="22" t="n"/>
      <c r="BB71" s="22" t="n"/>
      <c r="BC71" s="22" t="n"/>
      <c r="BD71" s="22" t="n"/>
      <c r="BE71" s="22" t="n"/>
      <c r="BF71" s="22" t="n"/>
      <c r="BG71" s="22" t="n"/>
      <c r="BH71" s="22" t="n"/>
      <c r="BI71" s="22" t="n"/>
      <c r="BJ71" s="22" t="n"/>
      <c r="BK71" s="22" t="n"/>
      <c r="BL71" s="22" t="n"/>
    </row>
    <row r="72">
      <c r="A72" s="100" t="inlineStr">
        <is>
          <t>Total</t>
        </is>
      </c>
      <c r="B72" s="101" t="inlineStr"/>
      <c r="C72" s="103" t="n"/>
      <c r="D72" s="103" t="n"/>
      <c r="E72" s="104">
        <f>SUM(E73:E132)</f>
        <v/>
      </c>
      <c r="F72" s="104">
        <f>SUM(F73:F132)</f>
        <v/>
      </c>
      <c r="G72" s="104">
        <f>SUM(G73:G132)</f>
        <v/>
      </c>
      <c r="H72" s="104">
        <f>SUM(H73:H132)</f>
        <v/>
      </c>
      <c r="I72" s="104">
        <f>SUM(I73:I132)</f>
        <v/>
      </c>
      <c r="J72" s="104">
        <f>SUM(J73:J132)</f>
        <v/>
      </c>
      <c r="K72" s="104">
        <f>SUM(K73:K132)</f>
        <v/>
      </c>
      <c r="L72" s="104">
        <f>SUM(L73:L132)</f>
        <v/>
      </c>
      <c r="M72" s="104">
        <f>SUM(M73:M132)</f>
        <v/>
      </c>
      <c r="N72" s="104">
        <f>SUM(N73:N132)</f>
        <v/>
      </c>
      <c r="O72" s="104">
        <f>SUM(O73:O132)</f>
        <v/>
      </c>
      <c r="P72" s="104">
        <f>SUM(P73:P132)</f>
        <v/>
      </c>
      <c r="Q72" s="104">
        <f>SUM(Q73:Q132)</f>
        <v/>
      </c>
      <c r="R72" s="104">
        <f>SUM(R73:R132)</f>
        <v/>
      </c>
      <c r="S72" s="104">
        <f>SUM(S73:S132)</f>
        <v/>
      </c>
      <c r="T72" s="104">
        <f>SUM(T73:T132)</f>
        <v/>
      </c>
      <c r="U72" s="104">
        <f>SUM(U73:U132)</f>
        <v/>
      </c>
      <c r="V72" s="104">
        <f>SUM(V73:V132)</f>
        <v/>
      </c>
      <c r="W72" s="104">
        <f>SUM(W73:W132)</f>
        <v/>
      </c>
      <c r="X72" s="104">
        <f>SUM(X73:X132)</f>
        <v/>
      </c>
      <c r="Y72" s="104">
        <f>SUM(Y73:Y132)</f>
        <v/>
      </c>
      <c r="Z72" s="104">
        <f>SUM(Z73:Z132)</f>
        <v/>
      </c>
      <c r="AA72" s="104">
        <f>SUM(AA73:AA132)</f>
        <v/>
      </c>
      <c r="AB72" s="104">
        <f>SUM(AB73:AB132)</f>
        <v/>
      </c>
      <c r="AC72" s="104">
        <f>SUM(AC73:AC132)</f>
        <v/>
      </c>
      <c r="AD72" s="104">
        <f>SUM(AD73:AD132)</f>
        <v/>
      </c>
      <c r="AE72" s="104">
        <f>SUM(AE73:AE132)</f>
        <v/>
      </c>
      <c r="AF72" s="104">
        <f>SUM(AF73:AF132)</f>
        <v/>
      </c>
      <c r="AG72" s="104">
        <f>SUM(AG73:AG132)</f>
        <v/>
      </c>
      <c r="AH72" s="104">
        <f>SUM(AH73:AH132)</f>
        <v/>
      </c>
      <c r="AI72" s="104">
        <f>SUM(AI73:AI132)</f>
        <v/>
      </c>
      <c r="AJ72" s="104">
        <f>SUM(AJ73:AJ132)</f>
        <v/>
      </c>
      <c r="AK72" s="104">
        <f>SUM(AK73:AK132)</f>
        <v/>
      </c>
      <c r="AL72" s="104">
        <f>SUM(AL73:AL132)</f>
        <v/>
      </c>
      <c r="AM72" s="104">
        <f>SUM(AM73:AM132)</f>
        <v/>
      </c>
      <c r="AN72" s="104">
        <f>SUM(AN73:AN132)</f>
        <v/>
      </c>
      <c r="AO72" s="104">
        <f>SUM(AO73:AO132)</f>
        <v/>
      </c>
      <c r="AP72" s="104">
        <f>SUM(AP73:AP132)</f>
        <v/>
      </c>
      <c r="AQ72" s="104">
        <f>SUM(AQ73:AQ132)</f>
        <v/>
      </c>
      <c r="AR72" s="104">
        <f>SUM(AR73:AR132)</f>
        <v/>
      </c>
      <c r="AS72" s="104">
        <f>SUM(AS73:AS132)</f>
        <v/>
      </c>
      <c r="AT72" s="104">
        <f>SUM(AT73:AT132)</f>
        <v/>
      </c>
      <c r="AU72" s="104">
        <f>SUM(AU73:AU132)</f>
        <v/>
      </c>
      <c r="AV72" s="104">
        <f>SUM(AV73:AV132)</f>
        <v/>
      </c>
      <c r="AW72" s="104">
        <f>SUM(AW73:AW132)</f>
        <v/>
      </c>
      <c r="AX72" s="104">
        <f>SUM(AX73:AX132)</f>
        <v/>
      </c>
      <c r="AY72" s="104">
        <f>SUM(AY73:AY132)</f>
        <v/>
      </c>
      <c r="AZ72" s="104">
        <f>SUM(AZ73:AZ132)</f>
        <v/>
      </c>
      <c r="BA72" s="104">
        <f>SUM(BA73:BA132)</f>
        <v/>
      </c>
      <c r="BB72" s="104">
        <f>SUM(BB73:BB132)</f>
        <v/>
      </c>
      <c r="BC72" s="104">
        <f>SUM(BC73:BC132)</f>
        <v/>
      </c>
      <c r="BD72" s="104">
        <f>SUM(BD73:BD132)</f>
        <v/>
      </c>
      <c r="BE72" s="104">
        <f>SUM(BE73:BE132)</f>
        <v/>
      </c>
      <c r="BF72" s="104">
        <f>SUM(BF73:BF132)</f>
        <v/>
      </c>
      <c r="BG72" s="104">
        <f>SUM(BG73:BG132)</f>
        <v/>
      </c>
      <c r="BH72" s="104">
        <f>SUM(BH73:BH132)</f>
        <v/>
      </c>
      <c r="BI72" s="104">
        <f>SUM(BI73:BI132)</f>
        <v/>
      </c>
      <c r="BJ72" s="104">
        <f>SUM(BJ73:BJ132)</f>
        <v/>
      </c>
      <c r="BK72" s="104">
        <f>SUM(BK73:BK132)</f>
        <v/>
      </c>
      <c r="BL72" s="104">
        <f>SUM(BL73:BL132)</f>
        <v/>
      </c>
    </row>
    <row r="73">
      <c r="A73" s="147" t="inlineStr">
        <is>
          <t>Cohort month 1</t>
        </is>
      </c>
      <c r="B73" s="147" t="n">
        <v>1</v>
      </c>
      <c r="C73" s="41">
        <f>INDEX(Ops!$E$84:$BL$84,1,$B73)</f>
        <v/>
      </c>
      <c r="F73" s="153">
        <f>$C73*INDEX(Curves!$AT$8:$AT$68,F$4-$B73+1)</f>
        <v/>
      </c>
      <c r="G73" s="153">
        <f>$C73*INDEX(Curves!$AT$8:$AT$68,G$4-$B73+1)</f>
        <v/>
      </c>
      <c r="H73" s="153">
        <f>$C73*INDEX(Curves!$AT$8:$AT$68,H$4-$B73+1)</f>
        <v/>
      </c>
      <c r="I73" s="153">
        <f>$C73*INDEX(Curves!$AT$8:$AT$68,I$4-$B73+1)</f>
        <v/>
      </c>
      <c r="J73" s="153">
        <f>$C73*INDEX(Curves!$AT$8:$AT$68,J$4-$B73+1)</f>
        <v/>
      </c>
      <c r="K73" s="153">
        <f>$C73*INDEX(Curves!$AT$8:$AT$68,K$4-$B73+1)</f>
        <v/>
      </c>
      <c r="L73" s="153">
        <f>$C73*INDEX(Curves!$AT$8:$AT$68,L$4-$B73+1)</f>
        <v/>
      </c>
      <c r="M73" s="153">
        <f>$C73*INDEX(Curves!$AT$8:$AT$68,M$4-$B73+1)</f>
        <v/>
      </c>
      <c r="N73" s="153">
        <f>$C73*INDEX(Curves!$AT$8:$AT$68,N$4-$B73+1)</f>
        <v/>
      </c>
      <c r="O73" s="153">
        <f>$C73*INDEX(Curves!$AT$8:$AT$68,O$4-$B73+1)</f>
        <v/>
      </c>
      <c r="P73" s="153">
        <f>$C73*INDEX(Curves!$AT$8:$AT$68,P$4-$B73+1)</f>
        <v/>
      </c>
      <c r="Q73" s="153">
        <f>$C73*INDEX(Curves!$AT$8:$AT$68,Q$4-$B73+1)</f>
        <v/>
      </c>
      <c r="R73" s="153">
        <f>$C73*INDEX(Curves!$AT$8:$AT$68,R$4-$B73+1)</f>
        <v/>
      </c>
      <c r="S73" s="153">
        <f>$C73*INDEX(Curves!$AT$8:$AT$68,S$4-$B73+1)</f>
        <v/>
      </c>
      <c r="T73" s="153">
        <f>$C73*INDEX(Curves!$AT$8:$AT$68,T$4-$B73+1)</f>
        <v/>
      </c>
      <c r="U73" s="153">
        <f>$C73*INDEX(Curves!$AT$8:$AT$68,U$4-$B73+1)</f>
        <v/>
      </c>
      <c r="V73" s="153">
        <f>$C73*INDEX(Curves!$AT$8:$AT$68,V$4-$B73+1)</f>
        <v/>
      </c>
      <c r="W73" s="153">
        <f>$C73*INDEX(Curves!$AT$8:$AT$68,W$4-$B73+1)</f>
        <v/>
      </c>
      <c r="X73" s="153">
        <f>$C73*INDEX(Curves!$AT$8:$AT$68,X$4-$B73+1)</f>
        <v/>
      </c>
      <c r="Y73" s="153">
        <f>$C73*INDEX(Curves!$AT$8:$AT$68,Y$4-$B73+1)</f>
        <v/>
      </c>
      <c r="Z73" s="153">
        <f>$C73*INDEX(Curves!$AT$8:$AT$68,Z$4-$B73+1)</f>
        <v/>
      </c>
      <c r="AA73" s="153">
        <f>$C73*INDEX(Curves!$AT$8:$AT$68,AA$4-$B73+1)</f>
        <v/>
      </c>
      <c r="AB73" s="153">
        <f>$C73*INDEX(Curves!$AT$8:$AT$68,AB$4-$B73+1)</f>
        <v/>
      </c>
      <c r="AC73" s="153">
        <f>$C73*INDEX(Curves!$AT$8:$AT$68,AC$4-$B73+1)</f>
        <v/>
      </c>
      <c r="AD73" s="153">
        <f>$C73*INDEX(Curves!$AT$8:$AT$68,AD$4-$B73+1)</f>
        <v/>
      </c>
      <c r="AE73" s="153">
        <f>$C73*INDEX(Curves!$AT$8:$AT$68,AE$4-$B73+1)</f>
        <v/>
      </c>
      <c r="AF73" s="153">
        <f>$C73*INDEX(Curves!$AT$8:$AT$68,AF$4-$B73+1)</f>
        <v/>
      </c>
      <c r="AG73" s="153">
        <f>$C73*INDEX(Curves!$AT$8:$AT$68,AG$4-$B73+1)</f>
        <v/>
      </c>
      <c r="AH73" s="153">
        <f>$C73*INDEX(Curves!$AT$8:$AT$68,AH$4-$B73+1)</f>
        <v/>
      </c>
      <c r="AI73" s="153">
        <f>$C73*INDEX(Curves!$AT$8:$AT$68,AI$4-$B73+1)</f>
        <v/>
      </c>
      <c r="AJ73" s="153">
        <f>$C73*INDEX(Curves!$AT$8:$AT$68,AJ$4-$B73+1)</f>
        <v/>
      </c>
      <c r="AK73" s="153">
        <f>$C73*INDEX(Curves!$AT$8:$AT$68,AK$4-$B73+1)</f>
        <v/>
      </c>
      <c r="AL73" s="153">
        <f>$C73*INDEX(Curves!$AT$8:$AT$68,AL$4-$B73+1)</f>
        <v/>
      </c>
      <c r="AM73" s="153">
        <f>$C73*INDEX(Curves!$AT$8:$AT$68,AM$4-$B73+1)</f>
        <v/>
      </c>
      <c r="AN73" s="153">
        <f>$C73*INDEX(Curves!$AT$8:$AT$68,AN$4-$B73+1)</f>
        <v/>
      </c>
      <c r="AO73" s="153">
        <f>$C73*INDEX(Curves!$AT$8:$AT$68,AO$4-$B73+1)</f>
        <v/>
      </c>
      <c r="AP73" s="153">
        <f>$C73*INDEX(Curves!$AT$8:$AT$68,AP$4-$B73+1)</f>
        <v/>
      </c>
      <c r="AQ73" s="153">
        <f>$C73*INDEX(Curves!$AT$8:$AT$68,AQ$4-$B73+1)</f>
        <v/>
      </c>
      <c r="AR73" s="153">
        <f>$C73*INDEX(Curves!$AT$8:$AT$68,AR$4-$B73+1)</f>
        <v/>
      </c>
      <c r="AS73" s="153">
        <f>$C73*INDEX(Curves!$AT$8:$AT$68,AS$4-$B73+1)</f>
        <v/>
      </c>
      <c r="AT73" s="153">
        <f>$C73*INDEX(Curves!$AT$8:$AT$68,AT$4-$B73+1)</f>
        <v/>
      </c>
      <c r="AU73" s="153">
        <f>$C73*INDEX(Curves!$AT$8:$AT$68,AU$4-$B73+1)</f>
        <v/>
      </c>
      <c r="AV73" s="153">
        <f>$C73*INDEX(Curves!$AT$8:$AT$68,AV$4-$B73+1)</f>
        <v/>
      </c>
      <c r="AW73" s="153">
        <f>$C73*INDEX(Curves!$AT$8:$AT$68,AW$4-$B73+1)</f>
        <v/>
      </c>
      <c r="AX73" s="153">
        <f>$C73*INDEX(Curves!$AT$8:$AT$68,AX$4-$B73+1)</f>
        <v/>
      </c>
      <c r="AY73" s="153">
        <f>$C73*INDEX(Curves!$AT$8:$AT$68,AY$4-$B73+1)</f>
        <v/>
      </c>
      <c r="AZ73" s="153">
        <f>$C73*INDEX(Curves!$AT$8:$AT$68,AZ$4-$B73+1)</f>
        <v/>
      </c>
      <c r="BA73" s="153">
        <f>$C73*INDEX(Curves!$AT$8:$AT$68,BA$4-$B73+1)</f>
        <v/>
      </c>
      <c r="BB73" s="153">
        <f>$C73*INDEX(Curves!$AT$8:$AT$68,BB$4-$B73+1)</f>
        <v/>
      </c>
      <c r="BC73" s="153">
        <f>$C73*INDEX(Curves!$AT$8:$AT$68,BC$4-$B73+1)</f>
        <v/>
      </c>
      <c r="BD73" s="153">
        <f>$C73*INDEX(Curves!$AT$8:$AT$68,BD$4-$B73+1)</f>
        <v/>
      </c>
      <c r="BE73" s="153">
        <f>$C73*INDEX(Curves!$AT$8:$AT$68,BE$4-$B73+1)</f>
        <v/>
      </c>
      <c r="BF73" s="153">
        <f>$C73*INDEX(Curves!$AT$8:$AT$68,BF$4-$B73+1)</f>
        <v/>
      </c>
      <c r="BG73" s="153">
        <f>$C73*INDEX(Curves!$AT$8:$AT$68,BG$4-$B73+1)</f>
        <v/>
      </c>
      <c r="BH73" s="153">
        <f>$C73*INDEX(Curves!$AT$8:$AT$68,BH$4-$B73+1)</f>
        <v/>
      </c>
      <c r="BI73" s="153">
        <f>$C73*INDEX(Curves!$AT$8:$AT$68,BI$4-$B73+1)</f>
        <v/>
      </c>
      <c r="BJ73" s="153">
        <f>$C73*INDEX(Curves!$AT$8:$AT$68,BJ$4-$B73+1)</f>
        <v/>
      </c>
      <c r="BK73" s="153">
        <f>$C73*INDEX(Curves!$AT$8:$AT$68,BK$4-$B73+1)</f>
        <v/>
      </c>
      <c r="BL73" s="153">
        <f>$C73*INDEX(Curves!$AT$8:$AT$68,BL$4-$B73+1)</f>
        <v/>
      </c>
    </row>
    <row r="74">
      <c r="A74" s="147" t="inlineStr">
        <is>
          <t>Cohort month 2</t>
        </is>
      </c>
      <c r="B74" s="147" t="n">
        <v>2</v>
      </c>
      <c r="C74" s="41">
        <f>INDEX(Ops!$E$84:$BL$84,1,$B74)</f>
        <v/>
      </c>
      <c r="G74" s="153">
        <f>$C74*INDEX(Curves!$AT$8:$AT$68,G$4-$B74+1)</f>
        <v/>
      </c>
      <c r="H74" s="153">
        <f>$C74*INDEX(Curves!$AT$8:$AT$68,H$4-$B74+1)</f>
        <v/>
      </c>
      <c r="I74" s="153">
        <f>$C74*INDEX(Curves!$AT$8:$AT$68,I$4-$B74+1)</f>
        <v/>
      </c>
      <c r="J74" s="153">
        <f>$C74*INDEX(Curves!$AT$8:$AT$68,J$4-$B74+1)</f>
        <v/>
      </c>
      <c r="K74" s="153">
        <f>$C74*INDEX(Curves!$AT$8:$AT$68,K$4-$B74+1)</f>
        <v/>
      </c>
      <c r="L74" s="153">
        <f>$C74*INDEX(Curves!$AT$8:$AT$68,L$4-$B74+1)</f>
        <v/>
      </c>
      <c r="M74" s="153">
        <f>$C74*INDEX(Curves!$AT$8:$AT$68,M$4-$B74+1)</f>
        <v/>
      </c>
      <c r="N74" s="153">
        <f>$C74*INDEX(Curves!$AT$8:$AT$68,N$4-$B74+1)</f>
        <v/>
      </c>
      <c r="O74" s="153">
        <f>$C74*INDEX(Curves!$AT$8:$AT$68,O$4-$B74+1)</f>
        <v/>
      </c>
      <c r="P74" s="153">
        <f>$C74*INDEX(Curves!$AT$8:$AT$68,P$4-$B74+1)</f>
        <v/>
      </c>
      <c r="Q74" s="153">
        <f>$C74*INDEX(Curves!$AT$8:$AT$68,Q$4-$B74+1)</f>
        <v/>
      </c>
      <c r="R74" s="153">
        <f>$C74*INDEX(Curves!$AT$8:$AT$68,R$4-$B74+1)</f>
        <v/>
      </c>
      <c r="S74" s="153">
        <f>$C74*INDEX(Curves!$AT$8:$AT$68,S$4-$B74+1)</f>
        <v/>
      </c>
      <c r="T74" s="153">
        <f>$C74*INDEX(Curves!$AT$8:$AT$68,T$4-$B74+1)</f>
        <v/>
      </c>
      <c r="U74" s="153">
        <f>$C74*INDEX(Curves!$AT$8:$AT$68,U$4-$B74+1)</f>
        <v/>
      </c>
      <c r="V74" s="153">
        <f>$C74*INDEX(Curves!$AT$8:$AT$68,V$4-$B74+1)</f>
        <v/>
      </c>
      <c r="W74" s="153">
        <f>$C74*INDEX(Curves!$AT$8:$AT$68,W$4-$B74+1)</f>
        <v/>
      </c>
      <c r="X74" s="153">
        <f>$C74*INDEX(Curves!$AT$8:$AT$68,X$4-$B74+1)</f>
        <v/>
      </c>
      <c r="Y74" s="153">
        <f>$C74*INDEX(Curves!$AT$8:$AT$68,Y$4-$B74+1)</f>
        <v/>
      </c>
      <c r="Z74" s="153">
        <f>$C74*INDEX(Curves!$AT$8:$AT$68,Z$4-$B74+1)</f>
        <v/>
      </c>
      <c r="AA74" s="153">
        <f>$C74*INDEX(Curves!$AT$8:$AT$68,AA$4-$B74+1)</f>
        <v/>
      </c>
      <c r="AB74" s="153">
        <f>$C74*INDEX(Curves!$AT$8:$AT$68,AB$4-$B74+1)</f>
        <v/>
      </c>
      <c r="AC74" s="153">
        <f>$C74*INDEX(Curves!$AT$8:$AT$68,AC$4-$B74+1)</f>
        <v/>
      </c>
      <c r="AD74" s="153">
        <f>$C74*INDEX(Curves!$AT$8:$AT$68,AD$4-$B74+1)</f>
        <v/>
      </c>
      <c r="AE74" s="153">
        <f>$C74*INDEX(Curves!$AT$8:$AT$68,AE$4-$B74+1)</f>
        <v/>
      </c>
      <c r="AF74" s="153">
        <f>$C74*INDEX(Curves!$AT$8:$AT$68,AF$4-$B74+1)</f>
        <v/>
      </c>
      <c r="AG74" s="153">
        <f>$C74*INDEX(Curves!$AT$8:$AT$68,AG$4-$B74+1)</f>
        <v/>
      </c>
      <c r="AH74" s="153">
        <f>$C74*INDEX(Curves!$AT$8:$AT$68,AH$4-$B74+1)</f>
        <v/>
      </c>
      <c r="AI74" s="153">
        <f>$C74*INDEX(Curves!$AT$8:$AT$68,AI$4-$B74+1)</f>
        <v/>
      </c>
      <c r="AJ74" s="153">
        <f>$C74*INDEX(Curves!$AT$8:$AT$68,AJ$4-$B74+1)</f>
        <v/>
      </c>
      <c r="AK74" s="153">
        <f>$C74*INDEX(Curves!$AT$8:$AT$68,AK$4-$B74+1)</f>
        <v/>
      </c>
      <c r="AL74" s="153">
        <f>$C74*INDEX(Curves!$AT$8:$AT$68,AL$4-$B74+1)</f>
        <v/>
      </c>
      <c r="AM74" s="153">
        <f>$C74*INDEX(Curves!$AT$8:$AT$68,AM$4-$B74+1)</f>
        <v/>
      </c>
      <c r="AN74" s="153">
        <f>$C74*INDEX(Curves!$AT$8:$AT$68,AN$4-$B74+1)</f>
        <v/>
      </c>
      <c r="AO74" s="153">
        <f>$C74*INDEX(Curves!$AT$8:$AT$68,AO$4-$B74+1)</f>
        <v/>
      </c>
      <c r="AP74" s="153">
        <f>$C74*INDEX(Curves!$AT$8:$AT$68,AP$4-$B74+1)</f>
        <v/>
      </c>
      <c r="AQ74" s="153">
        <f>$C74*INDEX(Curves!$AT$8:$AT$68,AQ$4-$B74+1)</f>
        <v/>
      </c>
      <c r="AR74" s="153">
        <f>$C74*INDEX(Curves!$AT$8:$AT$68,AR$4-$B74+1)</f>
        <v/>
      </c>
      <c r="AS74" s="153">
        <f>$C74*INDEX(Curves!$AT$8:$AT$68,AS$4-$B74+1)</f>
        <v/>
      </c>
      <c r="AT74" s="153">
        <f>$C74*INDEX(Curves!$AT$8:$AT$68,AT$4-$B74+1)</f>
        <v/>
      </c>
      <c r="AU74" s="153">
        <f>$C74*INDEX(Curves!$AT$8:$AT$68,AU$4-$B74+1)</f>
        <v/>
      </c>
      <c r="AV74" s="153">
        <f>$C74*INDEX(Curves!$AT$8:$AT$68,AV$4-$B74+1)</f>
        <v/>
      </c>
      <c r="AW74" s="153">
        <f>$C74*INDEX(Curves!$AT$8:$AT$68,AW$4-$B74+1)</f>
        <v/>
      </c>
      <c r="AX74" s="153">
        <f>$C74*INDEX(Curves!$AT$8:$AT$68,AX$4-$B74+1)</f>
        <v/>
      </c>
      <c r="AY74" s="153">
        <f>$C74*INDEX(Curves!$AT$8:$AT$68,AY$4-$B74+1)</f>
        <v/>
      </c>
      <c r="AZ74" s="153">
        <f>$C74*INDEX(Curves!$AT$8:$AT$68,AZ$4-$B74+1)</f>
        <v/>
      </c>
      <c r="BA74" s="153">
        <f>$C74*INDEX(Curves!$AT$8:$AT$68,BA$4-$B74+1)</f>
        <v/>
      </c>
      <c r="BB74" s="153">
        <f>$C74*INDEX(Curves!$AT$8:$AT$68,BB$4-$B74+1)</f>
        <v/>
      </c>
      <c r="BC74" s="153">
        <f>$C74*INDEX(Curves!$AT$8:$AT$68,BC$4-$B74+1)</f>
        <v/>
      </c>
      <c r="BD74" s="153">
        <f>$C74*INDEX(Curves!$AT$8:$AT$68,BD$4-$B74+1)</f>
        <v/>
      </c>
      <c r="BE74" s="153">
        <f>$C74*INDEX(Curves!$AT$8:$AT$68,BE$4-$B74+1)</f>
        <v/>
      </c>
      <c r="BF74" s="153">
        <f>$C74*INDEX(Curves!$AT$8:$AT$68,BF$4-$B74+1)</f>
        <v/>
      </c>
      <c r="BG74" s="153">
        <f>$C74*INDEX(Curves!$AT$8:$AT$68,BG$4-$B74+1)</f>
        <v/>
      </c>
      <c r="BH74" s="153">
        <f>$C74*INDEX(Curves!$AT$8:$AT$68,BH$4-$B74+1)</f>
        <v/>
      </c>
      <c r="BI74" s="153">
        <f>$C74*INDEX(Curves!$AT$8:$AT$68,BI$4-$B74+1)</f>
        <v/>
      </c>
      <c r="BJ74" s="153">
        <f>$C74*INDEX(Curves!$AT$8:$AT$68,BJ$4-$B74+1)</f>
        <v/>
      </c>
      <c r="BK74" s="153">
        <f>$C74*INDEX(Curves!$AT$8:$AT$68,BK$4-$B74+1)</f>
        <v/>
      </c>
      <c r="BL74" s="153">
        <f>$C74*INDEX(Curves!$AT$8:$AT$68,BL$4-$B74+1)</f>
        <v/>
      </c>
    </row>
    <row r="75">
      <c r="A75" s="147" t="inlineStr">
        <is>
          <t>Cohort month 3</t>
        </is>
      </c>
      <c r="B75" s="147" t="n">
        <v>3</v>
      </c>
      <c r="C75" s="41">
        <f>INDEX(Ops!$E$84:$BL$84,1,$B75)</f>
        <v/>
      </c>
      <c r="H75" s="153">
        <f>$C75*INDEX(Curves!$AT$8:$AT$68,H$4-$B75+1)</f>
        <v/>
      </c>
      <c r="I75" s="153">
        <f>$C75*INDEX(Curves!$AT$8:$AT$68,I$4-$B75+1)</f>
        <v/>
      </c>
      <c r="J75" s="153">
        <f>$C75*INDEX(Curves!$AT$8:$AT$68,J$4-$B75+1)</f>
        <v/>
      </c>
      <c r="K75" s="153">
        <f>$C75*INDEX(Curves!$AT$8:$AT$68,K$4-$B75+1)</f>
        <v/>
      </c>
      <c r="L75" s="153">
        <f>$C75*INDEX(Curves!$AT$8:$AT$68,L$4-$B75+1)</f>
        <v/>
      </c>
      <c r="M75" s="153">
        <f>$C75*INDEX(Curves!$AT$8:$AT$68,M$4-$B75+1)</f>
        <v/>
      </c>
      <c r="N75" s="153">
        <f>$C75*INDEX(Curves!$AT$8:$AT$68,N$4-$B75+1)</f>
        <v/>
      </c>
      <c r="O75" s="153">
        <f>$C75*INDEX(Curves!$AT$8:$AT$68,O$4-$B75+1)</f>
        <v/>
      </c>
      <c r="P75" s="153">
        <f>$C75*INDEX(Curves!$AT$8:$AT$68,P$4-$B75+1)</f>
        <v/>
      </c>
      <c r="Q75" s="153">
        <f>$C75*INDEX(Curves!$AT$8:$AT$68,Q$4-$B75+1)</f>
        <v/>
      </c>
      <c r="R75" s="153">
        <f>$C75*INDEX(Curves!$AT$8:$AT$68,R$4-$B75+1)</f>
        <v/>
      </c>
      <c r="S75" s="153">
        <f>$C75*INDEX(Curves!$AT$8:$AT$68,S$4-$B75+1)</f>
        <v/>
      </c>
      <c r="T75" s="153">
        <f>$C75*INDEX(Curves!$AT$8:$AT$68,T$4-$B75+1)</f>
        <v/>
      </c>
      <c r="U75" s="153">
        <f>$C75*INDEX(Curves!$AT$8:$AT$68,U$4-$B75+1)</f>
        <v/>
      </c>
      <c r="V75" s="153">
        <f>$C75*INDEX(Curves!$AT$8:$AT$68,V$4-$B75+1)</f>
        <v/>
      </c>
      <c r="W75" s="153">
        <f>$C75*INDEX(Curves!$AT$8:$AT$68,W$4-$B75+1)</f>
        <v/>
      </c>
      <c r="X75" s="153">
        <f>$C75*INDEX(Curves!$AT$8:$AT$68,X$4-$B75+1)</f>
        <v/>
      </c>
      <c r="Y75" s="153">
        <f>$C75*INDEX(Curves!$AT$8:$AT$68,Y$4-$B75+1)</f>
        <v/>
      </c>
      <c r="Z75" s="153">
        <f>$C75*INDEX(Curves!$AT$8:$AT$68,Z$4-$B75+1)</f>
        <v/>
      </c>
      <c r="AA75" s="153">
        <f>$C75*INDEX(Curves!$AT$8:$AT$68,AA$4-$B75+1)</f>
        <v/>
      </c>
      <c r="AB75" s="153">
        <f>$C75*INDEX(Curves!$AT$8:$AT$68,AB$4-$B75+1)</f>
        <v/>
      </c>
      <c r="AC75" s="153">
        <f>$C75*INDEX(Curves!$AT$8:$AT$68,AC$4-$B75+1)</f>
        <v/>
      </c>
      <c r="AD75" s="153">
        <f>$C75*INDEX(Curves!$AT$8:$AT$68,AD$4-$B75+1)</f>
        <v/>
      </c>
      <c r="AE75" s="153">
        <f>$C75*INDEX(Curves!$AT$8:$AT$68,AE$4-$B75+1)</f>
        <v/>
      </c>
      <c r="AF75" s="153">
        <f>$C75*INDEX(Curves!$AT$8:$AT$68,AF$4-$B75+1)</f>
        <v/>
      </c>
      <c r="AG75" s="153">
        <f>$C75*INDEX(Curves!$AT$8:$AT$68,AG$4-$B75+1)</f>
        <v/>
      </c>
      <c r="AH75" s="153">
        <f>$C75*INDEX(Curves!$AT$8:$AT$68,AH$4-$B75+1)</f>
        <v/>
      </c>
      <c r="AI75" s="153">
        <f>$C75*INDEX(Curves!$AT$8:$AT$68,AI$4-$B75+1)</f>
        <v/>
      </c>
      <c r="AJ75" s="153">
        <f>$C75*INDEX(Curves!$AT$8:$AT$68,AJ$4-$B75+1)</f>
        <v/>
      </c>
      <c r="AK75" s="153">
        <f>$C75*INDEX(Curves!$AT$8:$AT$68,AK$4-$B75+1)</f>
        <v/>
      </c>
      <c r="AL75" s="153">
        <f>$C75*INDEX(Curves!$AT$8:$AT$68,AL$4-$B75+1)</f>
        <v/>
      </c>
      <c r="AM75" s="153">
        <f>$C75*INDEX(Curves!$AT$8:$AT$68,AM$4-$B75+1)</f>
        <v/>
      </c>
      <c r="AN75" s="153">
        <f>$C75*INDEX(Curves!$AT$8:$AT$68,AN$4-$B75+1)</f>
        <v/>
      </c>
      <c r="AO75" s="153">
        <f>$C75*INDEX(Curves!$AT$8:$AT$68,AO$4-$B75+1)</f>
        <v/>
      </c>
      <c r="AP75" s="153">
        <f>$C75*INDEX(Curves!$AT$8:$AT$68,AP$4-$B75+1)</f>
        <v/>
      </c>
      <c r="AQ75" s="153">
        <f>$C75*INDEX(Curves!$AT$8:$AT$68,AQ$4-$B75+1)</f>
        <v/>
      </c>
      <c r="AR75" s="153">
        <f>$C75*INDEX(Curves!$AT$8:$AT$68,AR$4-$B75+1)</f>
        <v/>
      </c>
      <c r="AS75" s="153">
        <f>$C75*INDEX(Curves!$AT$8:$AT$68,AS$4-$B75+1)</f>
        <v/>
      </c>
      <c r="AT75" s="153">
        <f>$C75*INDEX(Curves!$AT$8:$AT$68,AT$4-$B75+1)</f>
        <v/>
      </c>
      <c r="AU75" s="153">
        <f>$C75*INDEX(Curves!$AT$8:$AT$68,AU$4-$B75+1)</f>
        <v/>
      </c>
      <c r="AV75" s="153">
        <f>$C75*INDEX(Curves!$AT$8:$AT$68,AV$4-$B75+1)</f>
        <v/>
      </c>
      <c r="AW75" s="153">
        <f>$C75*INDEX(Curves!$AT$8:$AT$68,AW$4-$B75+1)</f>
        <v/>
      </c>
      <c r="AX75" s="153">
        <f>$C75*INDEX(Curves!$AT$8:$AT$68,AX$4-$B75+1)</f>
        <v/>
      </c>
      <c r="AY75" s="153">
        <f>$C75*INDEX(Curves!$AT$8:$AT$68,AY$4-$B75+1)</f>
        <v/>
      </c>
      <c r="AZ75" s="153">
        <f>$C75*INDEX(Curves!$AT$8:$AT$68,AZ$4-$B75+1)</f>
        <v/>
      </c>
      <c r="BA75" s="153">
        <f>$C75*INDEX(Curves!$AT$8:$AT$68,BA$4-$B75+1)</f>
        <v/>
      </c>
      <c r="BB75" s="153">
        <f>$C75*INDEX(Curves!$AT$8:$AT$68,BB$4-$B75+1)</f>
        <v/>
      </c>
      <c r="BC75" s="153">
        <f>$C75*INDEX(Curves!$AT$8:$AT$68,BC$4-$B75+1)</f>
        <v/>
      </c>
      <c r="BD75" s="153">
        <f>$C75*INDEX(Curves!$AT$8:$AT$68,BD$4-$B75+1)</f>
        <v/>
      </c>
      <c r="BE75" s="153">
        <f>$C75*INDEX(Curves!$AT$8:$AT$68,BE$4-$B75+1)</f>
        <v/>
      </c>
      <c r="BF75" s="153">
        <f>$C75*INDEX(Curves!$AT$8:$AT$68,BF$4-$B75+1)</f>
        <v/>
      </c>
      <c r="BG75" s="153">
        <f>$C75*INDEX(Curves!$AT$8:$AT$68,BG$4-$B75+1)</f>
        <v/>
      </c>
      <c r="BH75" s="153">
        <f>$C75*INDEX(Curves!$AT$8:$AT$68,BH$4-$B75+1)</f>
        <v/>
      </c>
      <c r="BI75" s="153">
        <f>$C75*INDEX(Curves!$AT$8:$AT$68,BI$4-$B75+1)</f>
        <v/>
      </c>
      <c r="BJ75" s="153">
        <f>$C75*INDEX(Curves!$AT$8:$AT$68,BJ$4-$B75+1)</f>
        <v/>
      </c>
      <c r="BK75" s="153">
        <f>$C75*INDEX(Curves!$AT$8:$AT$68,BK$4-$B75+1)</f>
        <v/>
      </c>
      <c r="BL75" s="153">
        <f>$C75*INDEX(Curves!$AT$8:$AT$68,BL$4-$B75+1)</f>
        <v/>
      </c>
    </row>
    <row r="76">
      <c r="A76" s="147" t="inlineStr">
        <is>
          <t>Cohort month 4</t>
        </is>
      </c>
      <c r="B76" s="147" t="n">
        <v>4</v>
      </c>
      <c r="C76" s="41">
        <f>INDEX(Ops!$E$84:$BL$84,1,$B76)</f>
        <v/>
      </c>
      <c r="I76" s="153">
        <f>$C76*INDEX(Curves!$AT$8:$AT$68,I$4-$B76+1)</f>
        <v/>
      </c>
      <c r="J76" s="153">
        <f>$C76*INDEX(Curves!$AT$8:$AT$68,J$4-$B76+1)</f>
        <v/>
      </c>
      <c r="K76" s="153">
        <f>$C76*INDEX(Curves!$AT$8:$AT$68,K$4-$B76+1)</f>
        <v/>
      </c>
      <c r="L76" s="153">
        <f>$C76*INDEX(Curves!$AT$8:$AT$68,L$4-$B76+1)</f>
        <v/>
      </c>
      <c r="M76" s="153">
        <f>$C76*INDEX(Curves!$AT$8:$AT$68,M$4-$B76+1)</f>
        <v/>
      </c>
      <c r="N76" s="153">
        <f>$C76*INDEX(Curves!$AT$8:$AT$68,N$4-$B76+1)</f>
        <v/>
      </c>
      <c r="O76" s="153">
        <f>$C76*INDEX(Curves!$AT$8:$AT$68,O$4-$B76+1)</f>
        <v/>
      </c>
      <c r="P76" s="153">
        <f>$C76*INDEX(Curves!$AT$8:$AT$68,P$4-$B76+1)</f>
        <v/>
      </c>
      <c r="Q76" s="153">
        <f>$C76*INDEX(Curves!$AT$8:$AT$68,Q$4-$B76+1)</f>
        <v/>
      </c>
      <c r="R76" s="153">
        <f>$C76*INDEX(Curves!$AT$8:$AT$68,R$4-$B76+1)</f>
        <v/>
      </c>
      <c r="S76" s="153">
        <f>$C76*INDEX(Curves!$AT$8:$AT$68,S$4-$B76+1)</f>
        <v/>
      </c>
      <c r="T76" s="153">
        <f>$C76*INDEX(Curves!$AT$8:$AT$68,T$4-$B76+1)</f>
        <v/>
      </c>
      <c r="U76" s="153">
        <f>$C76*INDEX(Curves!$AT$8:$AT$68,U$4-$B76+1)</f>
        <v/>
      </c>
      <c r="V76" s="153">
        <f>$C76*INDEX(Curves!$AT$8:$AT$68,V$4-$B76+1)</f>
        <v/>
      </c>
      <c r="W76" s="153">
        <f>$C76*INDEX(Curves!$AT$8:$AT$68,W$4-$B76+1)</f>
        <v/>
      </c>
      <c r="X76" s="153">
        <f>$C76*INDEX(Curves!$AT$8:$AT$68,X$4-$B76+1)</f>
        <v/>
      </c>
      <c r="Y76" s="153">
        <f>$C76*INDEX(Curves!$AT$8:$AT$68,Y$4-$B76+1)</f>
        <v/>
      </c>
      <c r="Z76" s="153">
        <f>$C76*INDEX(Curves!$AT$8:$AT$68,Z$4-$B76+1)</f>
        <v/>
      </c>
      <c r="AA76" s="153">
        <f>$C76*INDEX(Curves!$AT$8:$AT$68,AA$4-$B76+1)</f>
        <v/>
      </c>
      <c r="AB76" s="153">
        <f>$C76*INDEX(Curves!$AT$8:$AT$68,AB$4-$B76+1)</f>
        <v/>
      </c>
      <c r="AC76" s="153">
        <f>$C76*INDEX(Curves!$AT$8:$AT$68,AC$4-$B76+1)</f>
        <v/>
      </c>
      <c r="AD76" s="153">
        <f>$C76*INDEX(Curves!$AT$8:$AT$68,AD$4-$B76+1)</f>
        <v/>
      </c>
      <c r="AE76" s="153">
        <f>$C76*INDEX(Curves!$AT$8:$AT$68,AE$4-$B76+1)</f>
        <v/>
      </c>
      <c r="AF76" s="153">
        <f>$C76*INDEX(Curves!$AT$8:$AT$68,AF$4-$B76+1)</f>
        <v/>
      </c>
      <c r="AG76" s="153">
        <f>$C76*INDEX(Curves!$AT$8:$AT$68,AG$4-$B76+1)</f>
        <v/>
      </c>
      <c r="AH76" s="153">
        <f>$C76*INDEX(Curves!$AT$8:$AT$68,AH$4-$B76+1)</f>
        <v/>
      </c>
      <c r="AI76" s="153">
        <f>$C76*INDEX(Curves!$AT$8:$AT$68,AI$4-$B76+1)</f>
        <v/>
      </c>
      <c r="AJ76" s="153">
        <f>$C76*INDEX(Curves!$AT$8:$AT$68,AJ$4-$B76+1)</f>
        <v/>
      </c>
      <c r="AK76" s="153">
        <f>$C76*INDEX(Curves!$AT$8:$AT$68,AK$4-$B76+1)</f>
        <v/>
      </c>
      <c r="AL76" s="153">
        <f>$C76*INDEX(Curves!$AT$8:$AT$68,AL$4-$B76+1)</f>
        <v/>
      </c>
      <c r="AM76" s="153">
        <f>$C76*INDEX(Curves!$AT$8:$AT$68,AM$4-$B76+1)</f>
        <v/>
      </c>
      <c r="AN76" s="153">
        <f>$C76*INDEX(Curves!$AT$8:$AT$68,AN$4-$B76+1)</f>
        <v/>
      </c>
      <c r="AO76" s="153">
        <f>$C76*INDEX(Curves!$AT$8:$AT$68,AO$4-$B76+1)</f>
        <v/>
      </c>
      <c r="AP76" s="153">
        <f>$C76*INDEX(Curves!$AT$8:$AT$68,AP$4-$B76+1)</f>
        <v/>
      </c>
      <c r="AQ76" s="153">
        <f>$C76*INDEX(Curves!$AT$8:$AT$68,AQ$4-$B76+1)</f>
        <v/>
      </c>
      <c r="AR76" s="153">
        <f>$C76*INDEX(Curves!$AT$8:$AT$68,AR$4-$B76+1)</f>
        <v/>
      </c>
      <c r="AS76" s="153">
        <f>$C76*INDEX(Curves!$AT$8:$AT$68,AS$4-$B76+1)</f>
        <v/>
      </c>
      <c r="AT76" s="153">
        <f>$C76*INDEX(Curves!$AT$8:$AT$68,AT$4-$B76+1)</f>
        <v/>
      </c>
      <c r="AU76" s="153">
        <f>$C76*INDEX(Curves!$AT$8:$AT$68,AU$4-$B76+1)</f>
        <v/>
      </c>
      <c r="AV76" s="153">
        <f>$C76*INDEX(Curves!$AT$8:$AT$68,AV$4-$B76+1)</f>
        <v/>
      </c>
      <c r="AW76" s="153">
        <f>$C76*INDEX(Curves!$AT$8:$AT$68,AW$4-$B76+1)</f>
        <v/>
      </c>
      <c r="AX76" s="153">
        <f>$C76*INDEX(Curves!$AT$8:$AT$68,AX$4-$B76+1)</f>
        <v/>
      </c>
      <c r="AY76" s="153">
        <f>$C76*INDEX(Curves!$AT$8:$AT$68,AY$4-$B76+1)</f>
        <v/>
      </c>
      <c r="AZ76" s="153">
        <f>$C76*INDEX(Curves!$AT$8:$AT$68,AZ$4-$B76+1)</f>
        <v/>
      </c>
      <c r="BA76" s="153">
        <f>$C76*INDEX(Curves!$AT$8:$AT$68,BA$4-$B76+1)</f>
        <v/>
      </c>
      <c r="BB76" s="153">
        <f>$C76*INDEX(Curves!$AT$8:$AT$68,BB$4-$B76+1)</f>
        <v/>
      </c>
      <c r="BC76" s="153">
        <f>$C76*INDEX(Curves!$AT$8:$AT$68,BC$4-$B76+1)</f>
        <v/>
      </c>
      <c r="BD76" s="153">
        <f>$C76*INDEX(Curves!$AT$8:$AT$68,BD$4-$B76+1)</f>
        <v/>
      </c>
      <c r="BE76" s="153">
        <f>$C76*INDEX(Curves!$AT$8:$AT$68,BE$4-$B76+1)</f>
        <v/>
      </c>
      <c r="BF76" s="153">
        <f>$C76*INDEX(Curves!$AT$8:$AT$68,BF$4-$B76+1)</f>
        <v/>
      </c>
      <c r="BG76" s="153">
        <f>$C76*INDEX(Curves!$AT$8:$AT$68,BG$4-$B76+1)</f>
        <v/>
      </c>
      <c r="BH76" s="153">
        <f>$C76*INDEX(Curves!$AT$8:$AT$68,BH$4-$B76+1)</f>
        <v/>
      </c>
      <c r="BI76" s="153">
        <f>$C76*INDEX(Curves!$AT$8:$AT$68,BI$4-$B76+1)</f>
        <v/>
      </c>
      <c r="BJ76" s="153">
        <f>$C76*INDEX(Curves!$AT$8:$AT$68,BJ$4-$B76+1)</f>
        <v/>
      </c>
      <c r="BK76" s="153">
        <f>$C76*INDEX(Curves!$AT$8:$AT$68,BK$4-$B76+1)</f>
        <v/>
      </c>
      <c r="BL76" s="153">
        <f>$C76*INDEX(Curves!$AT$8:$AT$68,BL$4-$B76+1)</f>
        <v/>
      </c>
    </row>
    <row r="77">
      <c r="A77" s="147" t="inlineStr">
        <is>
          <t>Cohort month 5</t>
        </is>
      </c>
      <c r="B77" s="147" t="n">
        <v>5</v>
      </c>
      <c r="C77" s="41">
        <f>INDEX(Ops!$E$84:$BL$84,1,$B77)</f>
        <v/>
      </c>
      <c r="J77" s="153">
        <f>$C77*INDEX(Curves!$AT$8:$AT$68,J$4-$B77+1)</f>
        <v/>
      </c>
      <c r="K77" s="153">
        <f>$C77*INDEX(Curves!$AT$8:$AT$68,K$4-$B77+1)</f>
        <v/>
      </c>
      <c r="L77" s="153">
        <f>$C77*INDEX(Curves!$AT$8:$AT$68,L$4-$B77+1)</f>
        <v/>
      </c>
      <c r="M77" s="153">
        <f>$C77*INDEX(Curves!$AT$8:$AT$68,M$4-$B77+1)</f>
        <v/>
      </c>
      <c r="N77" s="153">
        <f>$C77*INDEX(Curves!$AT$8:$AT$68,N$4-$B77+1)</f>
        <v/>
      </c>
      <c r="O77" s="153">
        <f>$C77*INDEX(Curves!$AT$8:$AT$68,O$4-$B77+1)</f>
        <v/>
      </c>
      <c r="P77" s="153">
        <f>$C77*INDEX(Curves!$AT$8:$AT$68,P$4-$B77+1)</f>
        <v/>
      </c>
      <c r="Q77" s="153">
        <f>$C77*INDEX(Curves!$AT$8:$AT$68,Q$4-$B77+1)</f>
        <v/>
      </c>
      <c r="R77" s="153">
        <f>$C77*INDEX(Curves!$AT$8:$AT$68,R$4-$B77+1)</f>
        <v/>
      </c>
      <c r="S77" s="153">
        <f>$C77*INDEX(Curves!$AT$8:$AT$68,S$4-$B77+1)</f>
        <v/>
      </c>
      <c r="T77" s="153">
        <f>$C77*INDEX(Curves!$AT$8:$AT$68,T$4-$B77+1)</f>
        <v/>
      </c>
      <c r="U77" s="153">
        <f>$C77*INDEX(Curves!$AT$8:$AT$68,U$4-$B77+1)</f>
        <v/>
      </c>
      <c r="V77" s="153">
        <f>$C77*INDEX(Curves!$AT$8:$AT$68,V$4-$B77+1)</f>
        <v/>
      </c>
      <c r="W77" s="153">
        <f>$C77*INDEX(Curves!$AT$8:$AT$68,W$4-$B77+1)</f>
        <v/>
      </c>
      <c r="X77" s="153">
        <f>$C77*INDEX(Curves!$AT$8:$AT$68,X$4-$B77+1)</f>
        <v/>
      </c>
      <c r="Y77" s="153">
        <f>$C77*INDEX(Curves!$AT$8:$AT$68,Y$4-$B77+1)</f>
        <v/>
      </c>
      <c r="Z77" s="153">
        <f>$C77*INDEX(Curves!$AT$8:$AT$68,Z$4-$B77+1)</f>
        <v/>
      </c>
      <c r="AA77" s="153">
        <f>$C77*INDEX(Curves!$AT$8:$AT$68,AA$4-$B77+1)</f>
        <v/>
      </c>
      <c r="AB77" s="153">
        <f>$C77*INDEX(Curves!$AT$8:$AT$68,AB$4-$B77+1)</f>
        <v/>
      </c>
      <c r="AC77" s="153">
        <f>$C77*INDEX(Curves!$AT$8:$AT$68,AC$4-$B77+1)</f>
        <v/>
      </c>
      <c r="AD77" s="153">
        <f>$C77*INDEX(Curves!$AT$8:$AT$68,AD$4-$B77+1)</f>
        <v/>
      </c>
      <c r="AE77" s="153">
        <f>$C77*INDEX(Curves!$AT$8:$AT$68,AE$4-$B77+1)</f>
        <v/>
      </c>
      <c r="AF77" s="153">
        <f>$C77*INDEX(Curves!$AT$8:$AT$68,AF$4-$B77+1)</f>
        <v/>
      </c>
      <c r="AG77" s="153">
        <f>$C77*INDEX(Curves!$AT$8:$AT$68,AG$4-$B77+1)</f>
        <v/>
      </c>
      <c r="AH77" s="153">
        <f>$C77*INDEX(Curves!$AT$8:$AT$68,AH$4-$B77+1)</f>
        <v/>
      </c>
      <c r="AI77" s="153">
        <f>$C77*INDEX(Curves!$AT$8:$AT$68,AI$4-$B77+1)</f>
        <v/>
      </c>
      <c r="AJ77" s="153">
        <f>$C77*INDEX(Curves!$AT$8:$AT$68,AJ$4-$B77+1)</f>
        <v/>
      </c>
      <c r="AK77" s="153">
        <f>$C77*INDEX(Curves!$AT$8:$AT$68,AK$4-$B77+1)</f>
        <v/>
      </c>
      <c r="AL77" s="153">
        <f>$C77*INDEX(Curves!$AT$8:$AT$68,AL$4-$B77+1)</f>
        <v/>
      </c>
      <c r="AM77" s="153">
        <f>$C77*INDEX(Curves!$AT$8:$AT$68,AM$4-$B77+1)</f>
        <v/>
      </c>
      <c r="AN77" s="153">
        <f>$C77*INDEX(Curves!$AT$8:$AT$68,AN$4-$B77+1)</f>
        <v/>
      </c>
      <c r="AO77" s="153">
        <f>$C77*INDEX(Curves!$AT$8:$AT$68,AO$4-$B77+1)</f>
        <v/>
      </c>
      <c r="AP77" s="153">
        <f>$C77*INDEX(Curves!$AT$8:$AT$68,AP$4-$B77+1)</f>
        <v/>
      </c>
      <c r="AQ77" s="153">
        <f>$C77*INDEX(Curves!$AT$8:$AT$68,AQ$4-$B77+1)</f>
        <v/>
      </c>
      <c r="AR77" s="153">
        <f>$C77*INDEX(Curves!$AT$8:$AT$68,AR$4-$B77+1)</f>
        <v/>
      </c>
      <c r="AS77" s="153">
        <f>$C77*INDEX(Curves!$AT$8:$AT$68,AS$4-$B77+1)</f>
        <v/>
      </c>
      <c r="AT77" s="153">
        <f>$C77*INDEX(Curves!$AT$8:$AT$68,AT$4-$B77+1)</f>
        <v/>
      </c>
      <c r="AU77" s="153">
        <f>$C77*INDEX(Curves!$AT$8:$AT$68,AU$4-$B77+1)</f>
        <v/>
      </c>
      <c r="AV77" s="153">
        <f>$C77*INDEX(Curves!$AT$8:$AT$68,AV$4-$B77+1)</f>
        <v/>
      </c>
      <c r="AW77" s="153">
        <f>$C77*INDEX(Curves!$AT$8:$AT$68,AW$4-$B77+1)</f>
        <v/>
      </c>
      <c r="AX77" s="153">
        <f>$C77*INDEX(Curves!$AT$8:$AT$68,AX$4-$B77+1)</f>
        <v/>
      </c>
      <c r="AY77" s="153">
        <f>$C77*INDEX(Curves!$AT$8:$AT$68,AY$4-$B77+1)</f>
        <v/>
      </c>
      <c r="AZ77" s="153">
        <f>$C77*INDEX(Curves!$AT$8:$AT$68,AZ$4-$B77+1)</f>
        <v/>
      </c>
      <c r="BA77" s="153">
        <f>$C77*INDEX(Curves!$AT$8:$AT$68,BA$4-$B77+1)</f>
        <v/>
      </c>
      <c r="BB77" s="153">
        <f>$C77*INDEX(Curves!$AT$8:$AT$68,BB$4-$B77+1)</f>
        <v/>
      </c>
      <c r="BC77" s="153">
        <f>$C77*INDEX(Curves!$AT$8:$AT$68,BC$4-$B77+1)</f>
        <v/>
      </c>
      <c r="BD77" s="153">
        <f>$C77*INDEX(Curves!$AT$8:$AT$68,BD$4-$B77+1)</f>
        <v/>
      </c>
      <c r="BE77" s="153">
        <f>$C77*INDEX(Curves!$AT$8:$AT$68,BE$4-$B77+1)</f>
        <v/>
      </c>
      <c r="BF77" s="153">
        <f>$C77*INDEX(Curves!$AT$8:$AT$68,BF$4-$B77+1)</f>
        <v/>
      </c>
      <c r="BG77" s="153">
        <f>$C77*INDEX(Curves!$AT$8:$AT$68,BG$4-$B77+1)</f>
        <v/>
      </c>
      <c r="BH77" s="153">
        <f>$C77*INDEX(Curves!$AT$8:$AT$68,BH$4-$B77+1)</f>
        <v/>
      </c>
      <c r="BI77" s="153">
        <f>$C77*INDEX(Curves!$AT$8:$AT$68,BI$4-$B77+1)</f>
        <v/>
      </c>
      <c r="BJ77" s="153">
        <f>$C77*INDEX(Curves!$AT$8:$AT$68,BJ$4-$B77+1)</f>
        <v/>
      </c>
      <c r="BK77" s="153">
        <f>$C77*INDEX(Curves!$AT$8:$AT$68,BK$4-$B77+1)</f>
        <v/>
      </c>
      <c r="BL77" s="153">
        <f>$C77*INDEX(Curves!$AT$8:$AT$68,BL$4-$B77+1)</f>
        <v/>
      </c>
    </row>
    <row r="78">
      <c r="A78" s="147" t="inlineStr">
        <is>
          <t>Cohort month 6</t>
        </is>
      </c>
      <c r="B78" s="147" t="n">
        <v>6</v>
      </c>
      <c r="C78" s="41">
        <f>INDEX(Ops!$E$84:$BL$84,1,$B78)</f>
        <v/>
      </c>
      <c r="K78" s="153">
        <f>$C78*INDEX(Curves!$AT$8:$AT$68,K$4-$B78+1)</f>
        <v/>
      </c>
      <c r="L78" s="153">
        <f>$C78*INDEX(Curves!$AT$8:$AT$68,L$4-$B78+1)</f>
        <v/>
      </c>
      <c r="M78" s="153">
        <f>$C78*INDEX(Curves!$AT$8:$AT$68,M$4-$B78+1)</f>
        <v/>
      </c>
      <c r="N78" s="153">
        <f>$C78*INDEX(Curves!$AT$8:$AT$68,N$4-$B78+1)</f>
        <v/>
      </c>
      <c r="O78" s="153">
        <f>$C78*INDEX(Curves!$AT$8:$AT$68,O$4-$B78+1)</f>
        <v/>
      </c>
      <c r="P78" s="153">
        <f>$C78*INDEX(Curves!$AT$8:$AT$68,P$4-$B78+1)</f>
        <v/>
      </c>
      <c r="Q78" s="153">
        <f>$C78*INDEX(Curves!$AT$8:$AT$68,Q$4-$B78+1)</f>
        <v/>
      </c>
      <c r="R78" s="153">
        <f>$C78*INDEX(Curves!$AT$8:$AT$68,R$4-$B78+1)</f>
        <v/>
      </c>
      <c r="S78" s="153">
        <f>$C78*INDEX(Curves!$AT$8:$AT$68,S$4-$B78+1)</f>
        <v/>
      </c>
      <c r="T78" s="153">
        <f>$C78*INDEX(Curves!$AT$8:$AT$68,T$4-$B78+1)</f>
        <v/>
      </c>
      <c r="U78" s="153">
        <f>$C78*INDEX(Curves!$AT$8:$AT$68,U$4-$B78+1)</f>
        <v/>
      </c>
      <c r="V78" s="153">
        <f>$C78*INDEX(Curves!$AT$8:$AT$68,V$4-$B78+1)</f>
        <v/>
      </c>
      <c r="W78" s="153">
        <f>$C78*INDEX(Curves!$AT$8:$AT$68,W$4-$B78+1)</f>
        <v/>
      </c>
      <c r="X78" s="153">
        <f>$C78*INDEX(Curves!$AT$8:$AT$68,X$4-$B78+1)</f>
        <v/>
      </c>
      <c r="Y78" s="153">
        <f>$C78*INDEX(Curves!$AT$8:$AT$68,Y$4-$B78+1)</f>
        <v/>
      </c>
      <c r="Z78" s="153">
        <f>$C78*INDEX(Curves!$AT$8:$AT$68,Z$4-$B78+1)</f>
        <v/>
      </c>
      <c r="AA78" s="153">
        <f>$C78*INDEX(Curves!$AT$8:$AT$68,AA$4-$B78+1)</f>
        <v/>
      </c>
      <c r="AB78" s="153">
        <f>$C78*INDEX(Curves!$AT$8:$AT$68,AB$4-$B78+1)</f>
        <v/>
      </c>
      <c r="AC78" s="153">
        <f>$C78*INDEX(Curves!$AT$8:$AT$68,AC$4-$B78+1)</f>
        <v/>
      </c>
      <c r="AD78" s="153">
        <f>$C78*INDEX(Curves!$AT$8:$AT$68,AD$4-$B78+1)</f>
        <v/>
      </c>
      <c r="AE78" s="153">
        <f>$C78*INDEX(Curves!$AT$8:$AT$68,AE$4-$B78+1)</f>
        <v/>
      </c>
      <c r="AF78" s="153">
        <f>$C78*INDEX(Curves!$AT$8:$AT$68,AF$4-$B78+1)</f>
        <v/>
      </c>
      <c r="AG78" s="153">
        <f>$C78*INDEX(Curves!$AT$8:$AT$68,AG$4-$B78+1)</f>
        <v/>
      </c>
      <c r="AH78" s="153">
        <f>$C78*INDEX(Curves!$AT$8:$AT$68,AH$4-$B78+1)</f>
        <v/>
      </c>
      <c r="AI78" s="153">
        <f>$C78*INDEX(Curves!$AT$8:$AT$68,AI$4-$B78+1)</f>
        <v/>
      </c>
      <c r="AJ78" s="153">
        <f>$C78*INDEX(Curves!$AT$8:$AT$68,AJ$4-$B78+1)</f>
        <v/>
      </c>
      <c r="AK78" s="153">
        <f>$C78*INDEX(Curves!$AT$8:$AT$68,AK$4-$B78+1)</f>
        <v/>
      </c>
      <c r="AL78" s="153">
        <f>$C78*INDEX(Curves!$AT$8:$AT$68,AL$4-$B78+1)</f>
        <v/>
      </c>
      <c r="AM78" s="153">
        <f>$C78*INDEX(Curves!$AT$8:$AT$68,AM$4-$B78+1)</f>
        <v/>
      </c>
      <c r="AN78" s="153">
        <f>$C78*INDEX(Curves!$AT$8:$AT$68,AN$4-$B78+1)</f>
        <v/>
      </c>
      <c r="AO78" s="153">
        <f>$C78*INDEX(Curves!$AT$8:$AT$68,AO$4-$B78+1)</f>
        <v/>
      </c>
      <c r="AP78" s="153">
        <f>$C78*INDEX(Curves!$AT$8:$AT$68,AP$4-$B78+1)</f>
        <v/>
      </c>
      <c r="AQ78" s="153">
        <f>$C78*INDEX(Curves!$AT$8:$AT$68,AQ$4-$B78+1)</f>
        <v/>
      </c>
      <c r="AR78" s="153">
        <f>$C78*INDEX(Curves!$AT$8:$AT$68,AR$4-$B78+1)</f>
        <v/>
      </c>
      <c r="AS78" s="153">
        <f>$C78*INDEX(Curves!$AT$8:$AT$68,AS$4-$B78+1)</f>
        <v/>
      </c>
      <c r="AT78" s="153">
        <f>$C78*INDEX(Curves!$AT$8:$AT$68,AT$4-$B78+1)</f>
        <v/>
      </c>
      <c r="AU78" s="153">
        <f>$C78*INDEX(Curves!$AT$8:$AT$68,AU$4-$B78+1)</f>
        <v/>
      </c>
      <c r="AV78" s="153">
        <f>$C78*INDEX(Curves!$AT$8:$AT$68,AV$4-$B78+1)</f>
        <v/>
      </c>
      <c r="AW78" s="153">
        <f>$C78*INDEX(Curves!$AT$8:$AT$68,AW$4-$B78+1)</f>
        <v/>
      </c>
      <c r="AX78" s="153">
        <f>$C78*INDEX(Curves!$AT$8:$AT$68,AX$4-$B78+1)</f>
        <v/>
      </c>
      <c r="AY78" s="153">
        <f>$C78*INDEX(Curves!$AT$8:$AT$68,AY$4-$B78+1)</f>
        <v/>
      </c>
      <c r="AZ78" s="153">
        <f>$C78*INDEX(Curves!$AT$8:$AT$68,AZ$4-$B78+1)</f>
        <v/>
      </c>
      <c r="BA78" s="153">
        <f>$C78*INDEX(Curves!$AT$8:$AT$68,BA$4-$B78+1)</f>
        <v/>
      </c>
      <c r="BB78" s="153">
        <f>$C78*INDEX(Curves!$AT$8:$AT$68,BB$4-$B78+1)</f>
        <v/>
      </c>
      <c r="BC78" s="153">
        <f>$C78*INDEX(Curves!$AT$8:$AT$68,BC$4-$B78+1)</f>
        <v/>
      </c>
      <c r="BD78" s="153">
        <f>$C78*INDEX(Curves!$AT$8:$AT$68,BD$4-$B78+1)</f>
        <v/>
      </c>
      <c r="BE78" s="153">
        <f>$C78*INDEX(Curves!$AT$8:$AT$68,BE$4-$B78+1)</f>
        <v/>
      </c>
      <c r="BF78" s="153">
        <f>$C78*INDEX(Curves!$AT$8:$AT$68,BF$4-$B78+1)</f>
        <v/>
      </c>
      <c r="BG78" s="153">
        <f>$C78*INDEX(Curves!$AT$8:$AT$68,BG$4-$B78+1)</f>
        <v/>
      </c>
      <c r="BH78" s="153">
        <f>$C78*INDEX(Curves!$AT$8:$AT$68,BH$4-$B78+1)</f>
        <v/>
      </c>
      <c r="BI78" s="153">
        <f>$C78*INDEX(Curves!$AT$8:$AT$68,BI$4-$B78+1)</f>
        <v/>
      </c>
      <c r="BJ78" s="153">
        <f>$C78*INDEX(Curves!$AT$8:$AT$68,BJ$4-$B78+1)</f>
        <v/>
      </c>
      <c r="BK78" s="153">
        <f>$C78*INDEX(Curves!$AT$8:$AT$68,BK$4-$B78+1)</f>
        <v/>
      </c>
      <c r="BL78" s="153">
        <f>$C78*INDEX(Curves!$AT$8:$AT$68,BL$4-$B78+1)</f>
        <v/>
      </c>
    </row>
    <row r="79">
      <c r="A79" s="147" t="inlineStr">
        <is>
          <t>Cohort month 7</t>
        </is>
      </c>
      <c r="B79" s="147" t="n">
        <v>7</v>
      </c>
      <c r="C79" s="41">
        <f>INDEX(Ops!$E$84:$BL$84,1,$B79)</f>
        <v/>
      </c>
      <c r="L79" s="153">
        <f>$C79*INDEX(Curves!$AT$8:$AT$68,L$4-$B79+1)</f>
        <v/>
      </c>
      <c r="M79" s="153">
        <f>$C79*INDEX(Curves!$AT$8:$AT$68,M$4-$B79+1)</f>
        <v/>
      </c>
      <c r="N79" s="153">
        <f>$C79*INDEX(Curves!$AT$8:$AT$68,N$4-$B79+1)</f>
        <v/>
      </c>
      <c r="O79" s="153">
        <f>$C79*INDEX(Curves!$AT$8:$AT$68,O$4-$B79+1)</f>
        <v/>
      </c>
      <c r="P79" s="153">
        <f>$C79*INDEX(Curves!$AT$8:$AT$68,P$4-$B79+1)</f>
        <v/>
      </c>
      <c r="Q79" s="153">
        <f>$C79*INDEX(Curves!$AT$8:$AT$68,Q$4-$B79+1)</f>
        <v/>
      </c>
      <c r="R79" s="153">
        <f>$C79*INDEX(Curves!$AT$8:$AT$68,R$4-$B79+1)</f>
        <v/>
      </c>
      <c r="S79" s="153">
        <f>$C79*INDEX(Curves!$AT$8:$AT$68,S$4-$B79+1)</f>
        <v/>
      </c>
      <c r="T79" s="153">
        <f>$C79*INDEX(Curves!$AT$8:$AT$68,T$4-$B79+1)</f>
        <v/>
      </c>
      <c r="U79" s="153">
        <f>$C79*INDEX(Curves!$AT$8:$AT$68,U$4-$B79+1)</f>
        <v/>
      </c>
      <c r="V79" s="153">
        <f>$C79*INDEX(Curves!$AT$8:$AT$68,V$4-$B79+1)</f>
        <v/>
      </c>
      <c r="W79" s="153">
        <f>$C79*INDEX(Curves!$AT$8:$AT$68,W$4-$B79+1)</f>
        <v/>
      </c>
      <c r="X79" s="153">
        <f>$C79*INDEX(Curves!$AT$8:$AT$68,X$4-$B79+1)</f>
        <v/>
      </c>
      <c r="Y79" s="153">
        <f>$C79*INDEX(Curves!$AT$8:$AT$68,Y$4-$B79+1)</f>
        <v/>
      </c>
      <c r="Z79" s="153">
        <f>$C79*INDEX(Curves!$AT$8:$AT$68,Z$4-$B79+1)</f>
        <v/>
      </c>
      <c r="AA79" s="153">
        <f>$C79*INDEX(Curves!$AT$8:$AT$68,AA$4-$B79+1)</f>
        <v/>
      </c>
      <c r="AB79" s="153">
        <f>$C79*INDEX(Curves!$AT$8:$AT$68,AB$4-$B79+1)</f>
        <v/>
      </c>
      <c r="AC79" s="153">
        <f>$C79*INDEX(Curves!$AT$8:$AT$68,AC$4-$B79+1)</f>
        <v/>
      </c>
      <c r="AD79" s="153">
        <f>$C79*INDEX(Curves!$AT$8:$AT$68,AD$4-$B79+1)</f>
        <v/>
      </c>
      <c r="AE79" s="153">
        <f>$C79*INDEX(Curves!$AT$8:$AT$68,AE$4-$B79+1)</f>
        <v/>
      </c>
      <c r="AF79" s="153">
        <f>$C79*INDEX(Curves!$AT$8:$AT$68,AF$4-$B79+1)</f>
        <v/>
      </c>
      <c r="AG79" s="153">
        <f>$C79*INDEX(Curves!$AT$8:$AT$68,AG$4-$B79+1)</f>
        <v/>
      </c>
      <c r="AH79" s="153">
        <f>$C79*INDEX(Curves!$AT$8:$AT$68,AH$4-$B79+1)</f>
        <v/>
      </c>
      <c r="AI79" s="153">
        <f>$C79*INDEX(Curves!$AT$8:$AT$68,AI$4-$B79+1)</f>
        <v/>
      </c>
      <c r="AJ79" s="153">
        <f>$C79*INDEX(Curves!$AT$8:$AT$68,AJ$4-$B79+1)</f>
        <v/>
      </c>
      <c r="AK79" s="153">
        <f>$C79*INDEX(Curves!$AT$8:$AT$68,AK$4-$B79+1)</f>
        <v/>
      </c>
      <c r="AL79" s="153">
        <f>$C79*INDEX(Curves!$AT$8:$AT$68,AL$4-$B79+1)</f>
        <v/>
      </c>
      <c r="AM79" s="153">
        <f>$C79*INDEX(Curves!$AT$8:$AT$68,AM$4-$B79+1)</f>
        <v/>
      </c>
      <c r="AN79" s="153">
        <f>$C79*INDEX(Curves!$AT$8:$AT$68,AN$4-$B79+1)</f>
        <v/>
      </c>
      <c r="AO79" s="153">
        <f>$C79*INDEX(Curves!$AT$8:$AT$68,AO$4-$B79+1)</f>
        <v/>
      </c>
      <c r="AP79" s="153">
        <f>$C79*INDEX(Curves!$AT$8:$AT$68,AP$4-$B79+1)</f>
        <v/>
      </c>
      <c r="AQ79" s="153">
        <f>$C79*INDEX(Curves!$AT$8:$AT$68,AQ$4-$B79+1)</f>
        <v/>
      </c>
      <c r="AR79" s="153">
        <f>$C79*INDEX(Curves!$AT$8:$AT$68,AR$4-$B79+1)</f>
        <v/>
      </c>
      <c r="AS79" s="153">
        <f>$C79*INDEX(Curves!$AT$8:$AT$68,AS$4-$B79+1)</f>
        <v/>
      </c>
      <c r="AT79" s="153">
        <f>$C79*INDEX(Curves!$AT$8:$AT$68,AT$4-$B79+1)</f>
        <v/>
      </c>
      <c r="AU79" s="153">
        <f>$C79*INDEX(Curves!$AT$8:$AT$68,AU$4-$B79+1)</f>
        <v/>
      </c>
      <c r="AV79" s="153">
        <f>$C79*INDEX(Curves!$AT$8:$AT$68,AV$4-$B79+1)</f>
        <v/>
      </c>
      <c r="AW79" s="153">
        <f>$C79*INDEX(Curves!$AT$8:$AT$68,AW$4-$B79+1)</f>
        <v/>
      </c>
      <c r="AX79" s="153">
        <f>$C79*INDEX(Curves!$AT$8:$AT$68,AX$4-$B79+1)</f>
        <v/>
      </c>
      <c r="AY79" s="153">
        <f>$C79*INDEX(Curves!$AT$8:$AT$68,AY$4-$B79+1)</f>
        <v/>
      </c>
      <c r="AZ79" s="153">
        <f>$C79*INDEX(Curves!$AT$8:$AT$68,AZ$4-$B79+1)</f>
        <v/>
      </c>
      <c r="BA79" s="153">
        <f>$C79*INDEX(Curves!$AT$8:$AT$68,BA$4-$B79+1)</f>
        <v/>
      </c>
      <c r="BB79" s="153">
        <f>$C79*INDEX(Curves!$AT$8:$AT$68,BB$4-$B79+1)</f>
        <v/>
      </c>
      <c r="BC79" s="153">
        <f>$C79*INDEX(Curves!$AT$8:$AT$68,BC$4-$B79+1)</f>
        <v/>
      </c>
      <c r="BD79" s="153">
        <f>$C79*INDEX(Curves!$AT$8:$AT$68,BD$4-$B79+1)</f>
        <v/>
      </c>
      <c r="BE79" s="153">
        <f>$C79*INDEX(Curves!$AT$8:$AT$68,BE$4-$B79+1)</f>
        <v/>
      </c>
      <c r="BF79" s="153">
        <f>$C79*INDEX(Curves!$AT$8:$AT$68,BF$4-$B79+1)</f>
        <v/>
      </c>
      <c r="BG79" s="153">
        <f>$C79*INDEX(Curves!$AT$8:$AT$68,BG$4-$B79+1)</f>
        <v/>
      </c>
      <c r="BH79" s="153">
        <f>$C79*INDEX(Curves!$AT$8:$AT$68,BH$4-$B79+1)</f>
        <v/>
      </c>
      <c r="BI79" s="153">
        <f>$C79*INDEX(Curves!$AT$8:$AT$68,BI$4-$B79+1)</f>
        <v/>
      </c>
      <c r="BJ79" s="153">
        <f>$C79*INDEX(Curves!$AT$8:$AT$68,BJ$4-$B79+1)</f>
        <v/>
      </c>
      <c r="BK79" s="153">
        <f>$C79*INDEX(Curves!$AT$8:$AT$68,BK$4-$B79+1)</f>
        <v/>
      </c>
      <c r="BL79" s="153">
        <f>$C79*INDEX(Curves!$AT$8:$AT$68,BL$4-$B79+1)</f>
        <v/>
      </c>
    </row>
    <row r="80">
      <c r="A80" s="147" t="inlineStr">
        <is>
          <t>Cohort month 8</t>
        </is>
      </c>
      <c r="B80" s="147" t="n">
        <v>8</v>
      </c>
      <c r="C80" s="41">
        <f>INDEX(Ops!$E$84:$BL$84,1,$B80)</f>
        <v/>
      </c>
      <c r="M80" s="153">
        <f>$C80*INDEX(Curves!$AT$8:$AT$68,M$4-$B80+1)</f>
        <v/>
      </c>
      <c r="N80" s="153">
        <f>$C80*INDEX(Curves!$AT$8:$AT$68,N$4-$B80+1)</f>
        <v/>
      </c>
      <c r="O80" s="153">
        <f>$C80*INDEX(Curves!$AT$8:$AT$68,O$4-$B80+1)</f>
        <v/>
      </c>
      <c r="P80" s="153">
        <f>$C80*INDEX(Curves!$AT$8:$AT$68,P$4-$B80+1)</f>
        <v/>
      </c>
      <c r="Q80" s="153">
        <f>$C80*INDEX(Curves!$AT$8:$AT$68,Q$4-$B80+1)</f>
        <v/>
      </c>
      <c r="R80" s="153">
        <f>$C80*INDEX(Curves!$AT$8:$AT$68,R$4-$B80+1)</f>
        <v/>
      </c>
      <c r="S80" s="153">
        <f>$C80*INDEX(Curves!$AT$8:$AT$68,S$4-$B80+1)</f>
        <v/>
      </c>
      <c r="T80" s="153">
        <f>$C80*INDEX(Curves!$AT$8:$AT$68,T$4-$B80+1)</f>
        <v/>
      </c>
      <c r="U80" s="153">
        <f>$C80*INDEX(Curves!$AT$8:$AT$68,U$4-$B80+1)</f>
        <v/>
      </c>
      <c r="V80" s="153">
        <f>$C80*INDEX(Curves!$AT$8:$AT$68,V$4-$B80+1)</f>
        <v/>
      </c>
      <c r="W80" s="153">
        <f>$C80*INDEX(Curves!$AT$8:$AT$68,W$4-$B80+1)</f>
        <v/>
      </c>
      <c r="X80" s="153">
        <f>$C80*INDEX(Curves!$AT$8:$AT$68,X$4-$B80+1)</f>
        <v/>
      </c>
      <c r="Y80" s="153">
        <f>$C80*INDEX(Curves!$AT$8:$AT$68,Y$4-$B80+1)</f>
        <v/>
      </c>
      <c r="Z80" s="153">
        <f>$C80*INDEX(Curves!$AT$8:$AT$68,Z$4-$B80+1)</f>
        <v/>
      </c>
      <c r="AA80" s="153">
        <f>$C80*INDEX(Curves!$AT$8:$AT$68,AA$4-$B80+1)</f>
        <v/>
      </c>
      <c r="AB80" s="153">
        <f>$C80*INDEX(Curves!$AT$8:$AT$68,AB$4-$B80+1)</f>
        <v/>
      </c>
      <c r="AC80" s="153">
        <f>$C80*INDEX(Curves!$AT$8:$AT$68,AC$4-$B80+1)</f>
        <v/>
      </c>
      <c r="AD80" s="153">
        <f>$C80*INDEX(Curves!$AT$8:$AT$68,AD$4-$B80+1)</f>
        <v/>
      </c>
      <c r="AE80" s="153">
        <f>$C80*INDEX(Curves!$AT$8:$AT$68,AE$4-$B80+1)</f>
        <v/>
      </c>
      <c r="AF80" s="153">
        <f>$C80*INDEX(Curves!$AT$8:$AT$68,AF$4-$B80+1)</f>
        <v/>
      </c>
      <c r="AG80" s="153">
        <f>$C80*INDEX(Curves!$AT$8:$AT$68,AG$4-$B80+1)</f>
        <v/>
      </c>
      <c r="AH80" s="153">
        <f>$C80*INDEX(Curves!$AT$8:$AT$68,AH$4-$B80+1)</f>
        <v/>
      </c>
      <c r="AI80" s="153">
        <f>$C80*INDEX(Curves!$AT$8:$AT$68,AI$4-$B80+1)</f>
        <v/>
      </c>
      <c r="AJ80" s="153">
        <f>$C80*INDEX(Curves!$AT$8:$AT$68,AJ$4-$B80+1)</f>
        <v/>
      </c>
      <c r="AK80" s="153">
        <f>$C80*INDEX(Curves!$AT$8:$AT$68,AK$4-$B80+1)</f>
        <v/>
      </c>
      <c r="AL80" s="153">
        <f>$C80*INDEX(Curves!$AT$8:$AT$68,AL$4-$B80+1)</f>
        <v/>
      </c>
      <c r="AM80" s="153">
        <f>$C80*INDEX(Curves!$AT$8:$AT$68,AM$4-$B80+1)</f>
        <v/>
      </c>
      <c r="AN80" s="153">
        <f>$C80*INDEX(Curves!$AT$8:$AT$68,AN$4-$B80+1)</f>
        <v/>
      </c>
      <c r="AO80" s="153">
        <f>$C80*INDEX(Curves!$AT$8:$AT$68,AO$4-$B80+1)</f>
        <v/>
      </c>
      <c r="AP80" s="153">
        <f>$C80*INDEX(Curves!$AT$8:$AT$68,AP$4-$B80+1)</f>
        <v/>
      </c>
      <c r="AQ80" s="153">
        <f>$C80*INDEX(Curves!$AT$8:$AT$68,AQ$4-$B80+1)</f>
        <v/>
      </c>
      <c r="AR80" s="153">
        <f>$C80*INDEX(Curves!$AT$8:$AT$68,AR$4-$B80+1)</f>
        <v/>
      </c>
      <c r="AS80" s="153">
        <f>$C80*INDEX(Curves!$AT$8:$AT$68,AS$4-$B80+1)</f>
        <v/>
      </c>
      <c r="AT80" s="153">
        <f>$C80*INDEX(Curves!$AT$8:$AT$68,AT$4-$B80+1)</f>
        <v/>
      </c>
      <c r="AU80" s="153">
        <f>$C80*INDEX(Curves!$AT$8:$AT$68,AU$4-$B80+1)</f>
        <v/>
      </c>
      <c r="AV80" s="153">
        <f>$C80*INDEX(Curves!$AT$8:$AT$68,AV$4-$B80+1)</f>
        <v/>
      </c>
      <c r="AW80" s="153">
        <f>$C80*INDEX(Curves!$AT$8:$AT$68,AW$4-$B80+1)</f>
        <v/>
      </c>
      <c r="AX80" s="153">
        <f>$C80*INDEX(Curves!$AT$8:$AT$68,AX$4-$B80+1)</f>
        <v/>
      </c>
      <c r="AY80" s="153">
        <f>$C80*INDEX(Curves!$AT$8:$AT$68,AY$4-$B80+1)</f>
        <v/>
      </c>
      <c r="AZ80" s="153">
        <f>$C80*INDEX(Curves!$AT$8:$AT$68,AZ$4-$B80+1)</f>
        <v/>
      </c>
      <c r="BA80" s="153">
        <f>$C80*INDEX(Curves!$AT$8:$AT$68,BA$4-$B80+1)</f>
        <v/>
      </c>
      <c r="BB80" s="153">
        <f>$C80*INDEX(Curves!$AT$8:$AT$68,BB$4-$B80+1)</f>
        <v/>
      </c>
      <c r="BC80" s="153">
        <f>$C80*INDEX(Curves!$AT$8:$AT$68,BC$4-$B80+1)</f>
        <v/>
      </c>
      <c r="BD80" s="153">
        <f>$C80*INDEX(Curves!$AT$8:$AT$68,BD$4-$B80+1)</f>
        <v/>
      </c>
      <c r="BE80" s="153">
        <f>$C80*INDEX(Curves!$AT$8:$AT$68,BE$4-$B80+1)</f>
        <v/>
      </c>
      <c r="BF80" s="153">
        <f>$C80*INDEX(Curves!$AT$8:$AT$68,BF$4-$B80+1)</f>
        <v/>
      </c>
      <c r="BG80" s="153">
        <f>$C80*INDEX(Curves!$AT$8:$AT$68,BG$4-$B80+1)</f>
        <v/>
      </c>
      <c r="BH80" s="153">
        <f>$C80*INDEX(Curves!$AT$8:$AT$68,BH$4-$B80+1)</f>
        <v/>
      </c>
      <c r="BI80" s="153">
        <f>$C80*INDEX(Curves!$AT$8:$AT$68,BI$4-$B80+1)</f>
        <v/>
      </c>
      <c r="BJ80" s="153">
        <f>$C80*INDEX(Curves!$AT$8:$AT$68,BJ$4-$B80+1)</f>
        <v/>
      </c>
      <c r="BK80" s="153">
        <f>$C80*INDEX(Curves!$AT$8:$AT$68,BK$4-$B80+1)</f>
        <v/>
      </c>
      <c r="BL80" s="153">
        <f>$C80*INDEX(Curves!$AT$8:$AT$68,BL$4-$B80+1)</f>
        <v/>
      </c>
    </row>
    <row r="81">
      <c r="A81" s="147" t="inlineStr">
        <is>
          <t>Cohort month 9</t>
        </is>
      </c>
      <c r="B81" s="147" t="n">
        <v>9</v>
      </c>
      <c r="C81" s="41">
        <f>INDEX(Ops!$E$84:$BL$84,1,$B81)</f>
        <v/>
      </c>
      <c r="N81" s="153">
        <f>$C81*INDEX(Curves!$AT$8:$AT$68,N$4-$B81+1)</f>
        <v/>
      </c>
      <c r="O81" s="153">
        <f>$C81*INDEX(Curves!$AT$8:$AT$68,O$4-$B81+1)</f>
        <v/>
      </c>
      <c r="P81" s="153">
        <f>$C81*INDEX(Curves!$AT$8:$AT$68,P$4-$B81+1)</f>
        <v/>
      </c>
      <c r="Q81" s="153">
        <f>$C81*INDEX(Curves!$AT$8:$AT$68,Q$4-$B81+1)</f>
        <v/>
      </c>
      <c r="R81" s="153">
        <f>$C81*INDEX(Curves!$AT$8:$AT$68,R$4-$B81+1)</f>
        <v/>
      </c>
      <c r="S81" s="153">
        <f>$C81*INDEX(Curves!$AT$8:$AT$68,S$4-$B81+1)</f>
        <v/>
      </c>
      <c r="T81" s="153">
        <f>$C81*INDEX(Curves!$AT$8:$AT$68,T$4-$B81+1)</f>
        <v/>
      </c>
      <c r="U81" s="153">
        <f>$C81*INDEX(Curves!$AT$8:$AT$68,U$4-$B81+1)</f>
        <v/>
      </c>
      <c r="V81" s="153">
        <f>$C81*INDEX(Curves!$AT$8:$AT$68,V$4-$B81+1)</f>
        <v/>
      </c>
      <c r="W81" s="153">
        <f>$C81*INDEX(Curves!$AT$8:$AT$68,W$4-$B81+1)</f>
        <v/>
      </c>
      <c r="X81" s="153">
        <f>$C81*INDEX(Curves!$AT$8:$AT$68,X$4-$B81+1)</f>
        <v/>
      </c>
      <c r="Y81" s="153">
        <f>$C81*INDEX(Curves!$AT$8:$AT$68,Y$4-$B81+1)</f>
        <v/>
      </c>
      <c r="Z81" s="153">
        <f>$C81*INDEX(Curves!$AT$8:$AT$68,Z$4-$B81+1)</f>
        <v/>
      </c>
      <c r="AA81" s="153">
        <f>$C81*INDEX(Curves!$AT$8:$AT$68,AA$4-$B81+1)</f>
        <v/>
      </c>
      <c r="AB81" s="153">
        <f>$C81*INDEX(Curves!$AT$8:$AT$68,AB$4-$B81+1)</f>
        <v/>
      </c>
      <c r="AC81" s="153">
        <f>$C81*INDEX(Curves!$AT$8:$AT$68,AC$4-$B81+1)</f>
        <v/>
      </c>
      <c r="AD81" s="153">
        <f>$C81*INDEX(Curves!$AT$8:$AT$68,AD$4-$B81+1)</f>
        <v/>
      </c>
      <c r="AE81" s="153">
        <f>$C81*INDEX(Curves!$AT$8:$AT$68,AE$4-$B81+1)</f>
        <v/>
      </c>
      <c r="AF81" s="153">
        <f>$C81*INDEX(Curves!$AT$8:$AT$68,AF$4-$B81+1)</f>
        <v/>
      </c>
      <c r="AG81" s="153">
        <f>$C81*INDEX(Curves!$AT$8:$AT$68,AG$4-$B81+1)</f>
        <v/>
      </c>
      <c r="AH81" s="153">
        <f>$C81*INDEX(Curves!$AT$8:$AT$68,AH$4-$B81+1)</f>
        <v/>
      </c>
      <c r="AI81" s="153">
        <f>$C81*INDEX(Curves!$AT$8:$AT$68,AI$4-$B81+1)</f>
        <v/>
      </c>
      <c r="AJ81" s="153">
        <f>$C81*INDEX(Curves!$AT$8:$AT$68,AJ$4-$B81+1)</f>
        <v/>
      </c>
      <c r="AK81" s="153">
        <f>$C81*INDEX(Curves!$AT$8:$AT$68,AK$4-$B81+1)</f>
        <v/>
      </c>
      <c r="AL81" s="153">
        <f>$C81*INDEX(Curves!$AT$8:$AT$68,AL$4-$B81+1)</f>
        <v/>
      </c>
      <c r="AM81" s="153">
        <f>$C81*INDEX(Curves!$AT$8:$AT$68,AM$4-$B81+1)</f>
        <v/>
      </c>
      <c r="AN81" s="153">
        <f>$C81*INDEX(Curves!$AT$8:$AT$68,AN$4-$B81+1)</f>
        <v/>
      </c>
      <c r="AO81" s="153">
        <f>$C81*INDEX(Curves!$AT$8:$AT$68,AO$4-$B81+1)</f>
        <v/>
      </c>
      <c r="AP81" s="153">
        <f>$C81*INDEX(Curves!$AT$8:$AT$68,AP$4-$B81+1)</f>
        <v/>
      </c>
      <c r="AQ81" s="153">
        <f>$C81*INDEX(Curves!$AT$8:$AT$68,AQ$4-$B81+1)</f>
        <v/>
      </c>
      <c r="AR81" s="153">
        <f>$C81*INDEX(Curves!$AT$8:$AT$68,AR$4-$B81+1)</f>
        <v/>
      </c>
      <c r="AS81" s="153">
        <f>$C81*INDEX(Curves!$AT$8:$AT$68,AS$4-$B81+1)</f>
        <v/>
      </c>
      <c r="AT81" s="153">
        <f>$C81*INDEX(Curves!$AT$8:$AT$68,AT$4-$B81+1)</f>
        <v/>
      </c>
      <c r="AU81" s="153">
        <f>$C81*INDEX(Curves!$AT$8:$AT$68,AU$4-$B81+1)</f>
        <v/>
      </c>
      <c r="AV81" s="153">
        <f>$C81*INDEX(Curves!$AT$8:$AT$68,AV$4-$B81+1)</f>
        <v/>
      </c>
      <c r="AW81" s="153">
        <f>$C81*INDEX(Curves!$AT$8:$AT$68,AW$4-$B81+1)</f>
        <v/>
      </c>
      <c r="AX81" s="153">
        <f>$C81*INDEX(Curves!$AT$8:$AT$68,AX$4-$B81+1)</f>
        <v/>
      </c>
      <c r="AY81" s="153">
        <f>$C81*INDEX(Curves!$AT$8:$AT$68,AY$4-$B81+1)</f>
        <v/>
      </c>
      <c r="AZ81" s="153">
        <f>$C81*INDEX(Curves!$AT$8:$AT$68,AZ$4-$B81+1)</f>
        <v/>
      </c>
      <c r="BA81" s="153">
        <f>$C81*INDEX(Curves!$AT$8:$AT$68,BA$4-$B81+1)</f>
        <v/>
      </c>
      <c r="BB81" s="153">
        <f>$C81*INDEX(Curves!$AT$8:$AT$68,BB$4-$B81+1)</f>
        <v/>
      </c>
      <c r="BC81" s="153">
        <f>$C81*INDEX(Curves!$AT$8:$AT$68,BC$4-$B81+1)</f>
        <v/>
      </c>
      <c r="BD81" s="153">
        <f>$C81*INDEX(Curves!$AT$8:$AT$68,BD$4-$B81+1)</f>
        <v/>
      </c>
      <c r="BE81" s="153">
        <f>$C81*INDEX(Curves!$AT$8:$AT$68,BE$4-$B81+1)</f>
        <v/>
      </c>
      <c r="BF81" s="153">
        <f>$C81*INDEX(Curves!$AT$8:$AT$68,BF$4-$B81+1)</f>
        <v/>
      </c>
      <c r="BG81" s="153">
        <f>$C81*INDEX(Curves!$AT$8:$AT$68,BG$4-$B81+1)</f>
        <v/>
      </c>
      <c r="BH81" s="153">
        <f>$C81*INDEX(Curves!$AT$8:$AT$68,BH$4-$B81+1)</f>
        <v/>
      </c>
      <c r="BI81" s="153">
        <f>$C81*INDEX(Curves!$AT$8:$AT$68,BI$4-$B81+1)</f>
        <v/>
      </c>
      <c r="BJ81" s="153">
        <f>$C81*INDEX(Curves!$AT$8:$AT$68,BJ$4-$B81+1)</f>
        <v/>
      </c>
      <c r="BK81" s="153">
        <f>$C81*INDEX(Curves!$AT$8:$AT$68,BK$4-$B81+1)</f>
        <v/>
      </c>
      <c r="BL81" s="153">
        <f>$C81*INDEX(Curves!$AT$8:$AT$68,BL$4-$B81+1)</f>
        <v/>
      </c>
    </row>
    <row r="82">
      <c r="A82" s="147" t="inlineStr">
        <is>
          <t>Cohort month 10</t>
        </is>
      </c>
      <c r="B82" s="147" t="n">
        <v>10</v>
      </c>
      <c r="C82" s="41">
        <f>INDEX(Ops!$E$84:$BL$84,1,$B82)</f>
        <v/>
      </c>
      <c r="O82" s="153">
        <f>$C82*INDEX(Curves!$AT$8:$AT$68,O$4-$B82+1)</f>
        <v/>
      </c>
      <c r="P82" s="153">
        <f>$C82*INDEX(Curves!$AT$8:$AT$68,P$4-$B82+1)</f>
        <v/>
      </c>
      <c r="Q82" s="153">
        <f>$C82*INDEX(Curves!$AT$8:$AT$68,Q$4-$B82+1)</f>
        <v/>
      </c>
      <c r="R82" s="153">
        <f>$C82*INDEX(Curves!$AT$8:$AT$68,R$4-$B82+1)</f>
        <v/>
      </c>
      <c r="S82" s="153">
        <f>$C82*INDEX(Curves!$AT$8:$AT$68,S$4-$B82+1)</f>
        <v/>
      </c>
      <c r="T82" s="153">
        <f>$C82*INDEX(Curves!$AT$8:$AT$68,T$4-$B82+1)</f>
        <v/>
      </c>
      <c r="U82" s="153">
        <f>$C82*INDEX(Curves!$AT$8:$AT$68,U$4-$B82+1)</f>
        <v/>
      </c>
      <c r="V82" s="153">
        <f>$C82*INDEX(Curves!$AT$8:$AT$68,V$4-$B82+1)</f>
        <v/>
      </c>
      <c r="W82" s="153">
        <f>$C82*INDEX(Curves!$AT$8:$AT$68,W$4-$B82+1)</f>
        <v/>
      </c>
      <c r="X82" s="153">
        <f>$C82*INDEX(Curves!$AT$8:$AT$68,X$4-$B82+1)</f>
        <v/>
      </c>
      <c r="Y82" s="153">
        <f>$C82*INDEX(Curves!$AT$8:$AT$68,Y$4-$B82+1)</f>
        <v/>
      </c>
      <c r="Z82" s="153">
        <f>$C82*INDEX(Curves!$AT$8:$AT$68,Z$4-$B82+1)</f>
        <v/>
      </c>
      <c r="AA82" s="153">
        <f>$C82*INDEX(Curves!$AT$8:$AT$68,AA$4-$B82+1)</f>
        <v/>
      </c>
      <c r="AB82" s="153">
        <f>$C82*INDEX(Curves!$AT$8:$AT$68,AB$4-$B82+1)</f>
        <v/>
      </c>
      <c r="AC82" s="153">
        <f>$C82*INDEX(Curves!$AT$8:$AT$68,AC$4-$B82+1)</f>
        <v/>
      </c>
      <c r="AD82" s="153">
        <f>$C82*INDEX(Curves!$AT$8:$AT$68,AD$4-$B82+1)</f>
        <v/>
      </c>
      <c r="AE82" s="153">
        <f>$C82*INDEX(Curves!$AT$8:$AT$68,AE$4-$B82+1)</f>
        <v/>
      </c>
      <c r="AF82" s="153">
        <f>$C82*INDEX(Curves!$AT$8:$AT$68,AF$4-$B82+1)</f>
        <v/>
      </c>
      <c r="AG82" s="153">
        <f>$C82*INDEX(Curves!$AT$8:$AT$68,AG$4-$B82+1)</f>
        <v/>
      </c>
      <c r="AH82" s="153">
        <f>$C82*INDEX(Curves!$AT$8:$AT$68,AH$4-$B82+1)</f>
        <v/>
      </c>
      <c r="AI82" s="153">
        <f>$C82*INDEX(Curves!$AT$8:$AT$68,AI$4-$B82+1)</f>
        <v/>
      </c>
      <c r="AJ82" s="153">
        <f>$C82*INDEX(Curves!$AT$8:$AT$68,AJ$4-$B82+1)</f>
        <v/>
      </c>
      <c r="AK82" s="153">
        <f>$C82*INDEX(Curves!$AT$8:$AT$68,AK$4-$B82+1)</f>
        <v/>
      </c>
      <c r="AL82" s="153">
        <f>$C82*INDEX(Curves!$AT$8:$AT$68,AL$4-$B82+1)</f>
        <v/>
      </c>
      <c r="AM82" s="153">
        <f>$C82*INDEX(Curves!$AT$8:$AT$68,AM$4-$B82+1)</f>
        <v/>
      </c>
      <c r="AN82" s="153">
        <f>$C82*INDEX(Curves!$AT$8:$AT$68,AN$4-$B82+1)</f>
        <v/>
      </c>
      <c r="AO82" s="153">
        <f>$C82*INDEX(Curves!$AT$8:$AT$68,AO$4-$B82+1)</f>
        <v/>
      </c>
      <c r="AP82" s="153">
        <f>$C82*INDEX(Curves!$AT$8:$AT$68,AP$4-$B82+1)</f>
        <v/>
      </c>
      <c r="AQ82" s="153">
        <f>$C82*INDEX(Curves!$AT$8:$AT$68,AQ$4-$B82+1)</f>
        <v/>
      </c>
      <c r="AR82" s="153">
        <f>$C82*INDEX(Curves!$AT$8:$AT$68,AR$4-$B82+1)</f>
        <v/>
      </c>
      <c r="AS82" s="153">
        <f>$C82*INDEX(Curves!$AT$8:$AT$68,AS$4-$B82+1)</f>
        <v/>
      </c>
      <c r="AT82" s="153">
        <f>$C82*INDEX(Curves!$AT$8:$AT$68,AT$4-$B82+1)</f>
        <v/>
      </c>
      <c r="AU82" s="153">
        <f>$C82*INDEX(Curves!$AT$8:$AT$68,AU$4-$B82+1)</f>
        <v/>
      </c>
      <c r="AV82" s="153">
        <f>$C82*INDEX(Curves!$AT$8:$AT$68,AV$4-$B82+1)</f>
        <v/>
      </c>
      <c r="AW82" s="153">
        <f>$C82*INDEX(Curves!$AT$8:$AT$68,AW$4-$B82+1)</f>
        <v/>
      </c>
      <c r="AX82" s="153">
        <f>$C82*INDEX(Curves!$AT$8:$AT$68,AX$4-$B82+1)</f>
        <v/>
      </c>
      <c r="AY82" s="153">
        <f>$C82*INDEX(Curves!$AT$8:$AT$68,AY$4-$B82+1)</f>
        <v/>
      </c>
      <c r="AZ82" s="153">
        <f>$C82*INDEX(Curves!$AT$8:$AT$68,AZ$4-$B82+1)</f>
        <v/>
      </c>
      <c r="BA82" s="153">
        <f>$C82*INDEX(Curves!$AT$8:$AT$68,BA$4-$B82+1)</f>
        <v/>
      </c>
      <c r="BB82" s="153">
        <f>$C82*INDEX(Curves!$AT$8:$AT$68,BB$4-$B82+1)</f>
        <v/>
      </c>
      <c r="BC82" s="153">
        <f>$C82*INDEX(Curves!$AT$8:$AT$68,BC$4-$B82+1)</f>
        <v/>
      </c>
      <c r="BD82" s="153">
        <f>$C82*INDEX(Curves!$AT$8:$AT$68,BD$4-$B82+1)</f>
        <v/>
      </c>
      <c r="BE82" s="153">
        <f>$C82*INDEX(Curves!$AT$8:$AT$68,BE$4-$B82+1)</f>
        <v/>
      </c>
      <c r="BF82" s="153">
        <f>$C82*INDEX(Curves!$AT$8:$AT$68,BF$4-$B82+1)</f>
        <v/>
      </c>
      <c r="BG82" s="153">
        <f>$C82*INDEX(Curves!$AT$8:$AT$68,BG$4-$B82+1)</f>
        <v/>
      </c>
      <c r="BH82" s="153">
        <f>$C82*INDEX(Curves!$AT$8:$AT$68,BH$4-$B82+1)</f>
        <v/>
      </c>
      <c r="BI82" s="153">
        <f>$C82*INDEX(Curves!$AT$8:$AT$68,BI$4-$B82+1)</f>
        <v/>
      </c>
      <c r="BJ82" s="153">
        <f>$C82*INDEX(Curves!$AT$8:$AT$68,BJ$4-$B82+1)</f>
        <v/>
      </c>
      <c r="BK82" s="153">
        <f>$C82*INDEX(Curves!$AT$8:$AT$68,BK$4-$B82+1)</f>
        <v/>
      </c>
      <c r="BL82" s="153">
        <f>$C82*INDEX(Curves!$AT$8:$AT$68,BL$4-$B82+1)</f>
        <v/>
      </c>
    </row>
    <row r="83">
      <c r="A83" s="147" t="inlineStr">
        <is>
          <t>Cohort month 11</t>
        </is>
      </c>
      <c r="B83" s="147" t="n">
        <v>11</v>
      </c>
      <c r="C83" s="41">
        <f>INDEX(Ops!$E$84:$BL$84,1,$B83)</f>
        <v/>
      </c>
      <c r="P83" s="153">
        <f>$C83*INDEX(Curves!$AT$8:$AT$68,P$4-$B83+1)</f>
        <v/>
      </c>
      <c r="Q83" s="153">
        <f>$C83*INDEX(Curves!$AT$8:$AT$68,Q$4-$B83+1)</f>
        <v/>
      </c>
      <c r="R83" s="153">
        <f>$C83*INDEX(Curves!$AT$8:$AT$68,R$4-$B83+1)</f>
        <v/>
      </c>
      <c r="S83" s="153">
        <f>$C83*INDEX(Curves!$AT$8:$AT$68,S$4-$B83+1)</f>
        <v/>
      </c>
      <c r="T83" s="153">
        <f>$C83*INDEX(Curves!$AT$8:$AT$68,T$4-$B83+1)</f>
        <v/>
      </c>
      <c r="U83" s="153">
        <f>$C83*INDEX(Curves!$AT$8:$AT$68,U$4-$B83+1)</f>
        <v/>
      </c>
      <c r="V83" s="153">
        <f>$C83*INDEX(Curves!$AT$8:$AT$68,V$4-$B83+1)</f>
        <v/>
      </c>
      <c r="W83" s="153">
        <f>$C83*INDEX(Curves!$AT$8:$AT$68,W$4-$B83+1)</f>
        <v/>
      </c>
      <c r="X83" s="153">
        <f>$C83*INDEX(Curves!$AT$8:$AT$68,X$4-$B83+1)</f>
        <v/>
      </c>
      <c r="Y83" s="153">
        <f>$C83*INDEX(Curves!$AT$8:$AT$68,Y$4-$B83+1)</f>
        <v/>
      </c>
      <c r="Z83" s="153">
        <f>$C83*INDEX(Curves!$AT$8:$AT$68,Z$4-$B83+1)</f>
        <v/>
      </c>
      <c r="AA83" s="153">
        <f>$C83*INDEX(Curves!$AT$8:$AT$68,AA$4-$B83+1)</f>
        <v/>
      </c>
      <c r="AB83" s="153">
        <f>$C83*INDEX(Curves!$AT$8:$AT$68,AB$4-$B83+1)</f>
        <v/>
      </c>
      <c r="AC83" s="153">
        <f>$C83*INDEX(Curves!$AT$8:$AT$68,AC$4-$B83+1)</f>
        <v/>
      </c>
      <c r="AD83" s="153">
        <f>$C83*INDEX(Curves!$AT$8:$AT$68,AD$4-$B83+1)</f>
        <v/>
      </c>
      <c r="AE83" s="153">
        <f>$C83*INDEX(Curves!$AT$8:$AT$68,AE$4-$B83+1)</f>
        <v/>
      </c>
      <c r="AF83" s="153">
        <f>$C83*INDEX(Curves!$AT$8:$AT$68,AF$4-$B83+1)</f>
        <v/>
      </c>
      <c r="AG83" s="153">
        <f>$C83*INDEX(Curves!$AT$8:$AT$68,AG$4-$B83+1)</f>
        <v/>
      </c>
      <c r="AH83" s="153">
        <f>$C83*INDEX(Curves!$AT$8:$AT$68,AH$4-$B83+1)</f>
        <v/>
      </c>
      <c r="AI83" s="153">
        <f>$C83*INDEX(Curves!$AT$8:$AT$68,AI$4-$B83+1)</f>
        <v/>
      </c>
      <c r="AJ83" s="153">
        <f>$C83*INDEX(Curves!$AT$8:$AT$68,AJ$4-$B83+1)</f>
        <v/>
      </c>
      <c r="AK83" s="153">
        <f>$C83*INDEX(Curves!$AT$8:$AT$68,AK$4-$B83+1)</f>
        <v/>
      </c>
      <c r="AL83" s="153">
        <f>$C83*INDEX(Curves!$AT$8:$AT$68,AL$4-$B83+1)</f>
        <v/>
      </c>
      <c r="AM83" s="153">
        <f>$C83*INDEX(Curves!$AT$8:$AT$68,AM$4-$B83+1)</f>
        <v/>
      </c>
      <c r="AN83" s="153">
        <f>$C83*INDEX(Curves!$AT$8:$AT$68,AN$4-$B83+1)</f>
        <v/>
      </c>
      <c r="AO83" s="153">
        <f>$C83*INDEX(Curves!$AT$8:$AT$68,AO$4-$B83+1)</f>
        <v/>
      </c>
      <c r="AP83" s="153">
        <f>$C83*INDEX(Curves!$AT$8:$AT$68,AP$4-$B83+1)</f>
        <v/>
      </c>
      <c r="AQ83" s="153">
        <f>$C83*INDEX(Curves!$AT$8:$AT$68,AQ$4-$B83+1)</f>
        <v/>
      </c>
      <c r="AR83" s="153">
        <f>$C83*INDEX(Curves!$AT$8:$AT$68,AR$4-$B83+1)</f>
        <v/>
      </c>
      <c r="AS83" s="153">
        <f>$C83*INDEX(Curves!$AT$8:$AT$68,AS$4-$B83+1)</f>
        <v/>
      </c>
      <c r="AT83" s="153">
        <f>$C83*INDEX(Curves!$AT$8:$AT$68,AT$4-$B83+1)</f>
        <v/>
      </c>
      <c r="AU83" s="153">
        <f>$C83*INDEX(Curves!$AT$8:$AT$68,AU$4-$B83+1)</f>
        <v/>
      </c>
      <c r="AV83" s="153">
        <f>$C83*INDEX(Curves!$AT$8:$AT$68,AV$4-$B83+1)</f>
        <v/>
      </c>
      <c r="AW83" s="153">
        <f>$C83*INDEX(Curves!$AT$8:$AT$68,AW$4-$B83+1)</f>
        <v/>
      </c>
      <c r="AX83" s="153">
        <f>$C83*INDEX(Curves!$AT$8:$AT$68,AX$4-$B83+1)</f>
        <v/>
      </c>
      <c r="AY83" s="153">
        <f>$C83*INDEX(Curves!$AT$8:$AT$68,AY$4-$B83+1)</f>
        <v/>
      </c>
      <c r="AZ83" s="153">
        <f>$C83*INDEX(Curves!$AT$8:$AT$68,AZ$4-$B83+1)</f>
        <v/>
      </c>
      <c r="BA83" s="153">
        <f>$C83*INDEX(Curves!$AT$8:$AT$68,BA$4-$B83+1)</f>
        <v/>
      </c>
      <c r="BB83" s="153">
        <f>$C83*INDEX(Curves!$AT$8:$AT$68,BB$4-$B83+1)</f>
        <v/>
      </c>
      <c r="BC83" s="153">
        <f>$C83*INDEX(Curves!$AT$8:$AT$68,BC$4-$B83+1)</f>
        <v/>
      </c>
      <c r="BD83" s="153">
        <f>$C83*INDEX(Curves!$AT$8:$AT$68,BD$4-$B83+1)</f>
        <v/>
      </c>
      <c r="BE83" s="153">
        <f>$C83*INDEX(Curves!$AT$8:$AT$68,BE$4-$B83+1)</f>
        <v/>
      </c>
      <c r="BF83" s="153">
        <f>$C83*INDEX(Curves!$AT$8:$AT$68,BF$4-$B83+1)</f>
        <v/>
      </c>
      <c r="BG83" s="153">
        <f>$C83*INDEX(Curves!$AT$8:$AT$68,BG$4-$B83+1)</f>
        <v/>
      </c>
      <c r="BH83" s="153">
        <f>$C83*INDEX(Curves!$AT$8:$AT$68,BH$4-$B83+1)</f>
        <v/>
      </c>
      <c r="BI83" s="153">
        <f>$C83*INDEX(Curves!$AT$8:$AT$68,BI$4-$B83+1)</f>
        <v/>
      </c>
      <c r="BJ83" s="153">
        <f>$C83*INDEX(Curves!$AT$8:$AT$68,BJ$4-$B83+1)</f>
        <v/>
      </c>
      <c r="BK83" s="153">
        <f>$C83*INDEX(Curves!$AT$8:$AT$68,BK$4-$B83+1)</f>
        <v/>
      </c>
      <c r="BL83" s="153">
        <f>$C83*INDEX(Curves!$AT$8:$AT$68,BL$4-$B83+1)</f>
        <v/>
      </c>
    </row>
    <row r="84">
      <c r="A84" s="147" t="inlineStr">
        <is>
          <t>Cohort month 12</t>
        </is>
      </c>
      <c r="B84" s="147" t="n">
        <v>12</v>
      </c>
      <c r="C84" s="41">
        <f>INDEX(Ops!$E$84:$BL$84,1,$B84)</f>
        <v/>
      </c>
      <c r="Q84" s="153">
        <f>$C84*INDEX(Curves!$AT$8:$AT$68,Q$4-$B84+1)</f>
        <v/>
      </c>
      <c r="R84" s="153">
        <f>$C84*INDEX(Curves!$AT$8:$AT$68,R$4-$B84+1)</f>
        <v/>
      </c>
      <c r="S84" s="153">
        <f>$C84*INDEX(Curves!$AT$8:$AT$68,S$4-$B84+1)</f>
        <v/>
      </c>
      <c r="T84" s="153">
        <f>$C84*INDEX(Curves!$AT$8:$AT$68,T$4-$B84+1)</f>
        <v/>
      </c>
      <c r="U84" s="153">
        <f>$C84*INDEX(Curves!$AT$8:$AT$68,U$4-$B84+1)</f>
        <v/>
      </c>
      <c r="V84" s="153">
        <f>$C84*INDEX(Curves!$AT$8:$AT$68,V$4-$B84+1)</f>
        <v/>
      </c>
      <c r="W84" s="153">
        <f>$C84*INDEX(Curves!$AT$8:$AT$68,W$4-$B84+1)</f>
        <v/>
      </c>
      <c r="X84" s="153">
        <f>$C84*INDEX(Curves!$AT$8:$AT$68,X$4-$B84+1)</f>
        <v/>
      </c>
      <c r="Y84" s="153">
        <f>$C84*INDEX(Curves!$AT$8:$AT$68,Y$4-$B84+1)</f>
        <v/>
      </c>
      <c r="Z84" s="153">
        <f>$C84*INDEX(Curves!$AT$8:$AT$68,Z$4-$B84+1)</f>
        <v/>
      </c>
      <c r="AA84" s="153">
        <f>$C84*INDEX(Curves!$AT$8:$AT$68,AA$4-$B84+1)</f>
        <v/>
      </c>
      <c r="AB84" s="153">
        <f>$C84*INDEX(Curves!$AT$8:$AT$68,AB$4-$B84+1)</f>
        <v/>
      </c>
      <c r="AC84" s="153">
        <f>$C84*INDEX(Curves!$AT$8:$AT$68,AC$4-$B84+1)</f>
        <v/>
      </c>
      <c r="AD84" s="153">
        <f>$C84*INDEX(Curves!$AT$8:$AT$68,AD$4-$B84+1)</f>
        <v/>
      </c>
      <c r="AE84" s="153">
        <f>$C84*INDEX(Curves!$AT$8:$AT$68,AE$4-$B84+1)</f>
        <v/>
      </c>
      <c r="AF84" s="153">
        <f>$C84*INDEX(Curves!$AT$8:$AT$68,AF$4-$B84+1)</f>
        <v/>
      </c>
      <c r="AG84" s="153">
        <f>$C84*INDEX(Curves!$AT$8:$AT$68,AG$4-$B84+1)</f>
        <v/>
      </c>
      <c r="AH84" s="153">
        <f>$C84*INDEX(Curves!$AT$8:$AT$68,AH$4-$B84+1)</f>
        <v/>
      </c>
      <c r="AI84" s="153">
        <f>$C84*INDEX(Curves!$AT$8:$AT$68,AI$4-$B84+1)</f>
        <v/>
      </c>
      <c r="AJ84" s="153">
        <f>$C84*INDEX(Curves!$AT$8:$AT$68,AJ$4-$B84+1)</f>
        <v/>
      </c>
      <c r="AK84" s="153">
        <f>$C84*INDEX(Curves!$AT$8:$AT$68,AK$4-$B84+1)</f>
        <v/>
      </c>
      <c r="AL84" s="153">
        <f>$C84*INDEX(Curves!$AT$8:$AT$68,AL$4-$B84+1)</f>
        <v/>
      </c>
      <c r="AM84" s="153">
        <f>$C84*INDEX(Curves!$AT$8:$AT$68,AM$4-$B84+1)</f>
        <v/>
      </c>
      <c r="AN84" s="153">
        <f>$C84*INDEX(Curves!$AT$8:$AT$68,AN$4-$B84+1)</f>
        <v/>
      </c>
      <c r="AO84" s="153">
        <f>$C84*INDEX(Curves!$AT$8:$AT$68,AO$4-$B84+1)</f>
        <v/>
      </c>
      <c r="AP84" s="153">
        <f>$C84*INDEX(Curves!$AT$8:$AT$68,AP$4-$B84+1)</f>
        <v/>
      </c>
      <c r="AQ84" s="153">
        <f>$C84*INDEX(Curves!$AT$8:$AT$68,AQ$4-$B84+1)</f>
        <v/>
      </c>
      <c r="AR84" s="153">
        <f>$C84*INDEX(Curves!$AT$8:$AT$68,AR$4-$B84+1)</f>
        <v/>
      </c>
      <c r="AS84" s="153">
        <f>$C84*INDEX(Curves!$AT$8:$AT$68,AS$4-$B84+1)</f>
        <v/>
      </c>
      <c r="AT84" s="153">
        <f>$C84*INDEX(Curves!$AT$8:$AT$68,AT$4-$B84+1)</f>
        <v/>
      </c>
      <c r="AU84" s="153">
        <f>$C84*INDEX(Curves!$AT$8:$AT$68,AU$4-$B84+1)</f>
        <v/>
      </c>
      <c r="AV84" s="153">
        <f>$C84*INDEX(Curves!$AT$8:$AT$68,AV$4-$B84+1)</f>
        <v/>
      </c>
      <c r="AW84" s="153">
        <f>$C84*INDEX(Curves!$AT$8:$AT$68,AW$4-$B84+1)</f>
        <v/>
      </c>
      <c r="AX84" s="153">
        <f>$C84*INDEX(Curves!$AT$8:$AT$68,AX$4-$B84+1)</f>
        <v/>
      </c>
      <c r="AY84" s="153">
        <f>$C84*INDEX(Curves!$AT$8:$AT$68,AY$4-$B84+1)</f>
        <v/>
      </c>
      <c r="AZ84" s="153">
        <f>$C84*INDEX(Curves!$AT$8:$AT$68,AZ$4-$B84+1)</f>
        <v/>
      </c>
      <c r="BA84" s="153">
        <f>$C84*INDEX(Curves!$AT$8:$AT$68,BA$4-$B84+1)</f>
        <v/>
      </c>
      <c r="BB84" s="153">
        <f>$C84*INDEX(Curves!$AT$8:$AT$68,BB$4-$B84+1)</f>
        <v/>
      </c>
      <c r="BC84" s="153">
        <f>$C84*INDEX(Curves!$AT$8:$AT$68,BC$4-$B84+1)</f>
        <v/>
      </c>
      <c r="BD84" s="153">
        <f>$C84*INDEX(Curves!$AT$8:$AT$68,BD$4-$B84+1)</f>
        <v/>
      </c>
      <c r="BE84" s="153">
        <f>$C84*INDEX(Curves!$AT$8:$AT$68,BE$4-$B84+1)</f>
        <v/>
      </c>
      <c r="BF84" s="153">
        <f>$C84*INDEX(Curves!$AT$8:$AT$68,BF$4-$B84+1)</f>
        <v/>
      </c>
      <c r="BG84" s="153">
        <f>$C84*INDEX(Curves!$AT$8:$AT$68,BG$4-$B84+1)</f>
        <v/>
      </c>
      <c r="BH84" s="153">
        <f>$C84*INDEX(Curves!$AT$8:$AT$68,BH$4-$B84+1)</f>
        <v/>
      </c>
      <c r="BI84" s="153">
        <f>$C84*INDEX(Curves!$AT$8:$AT$68,BI$4-$B84+1)</f>
        <v/>
      </c>
      <c r="BJ84" s="153">
        <f>$C84*INDEX(Curves!$AT$8:$AT$68,BJ$4-$B84+1)</f>
        <v/>
      </c>
      <c r="BK84" s="153">
        <f>$C84*INDEX(Curves!$AT$8:$AT$68,BK$4-$B84+1)</f>
        <v/>
      </c>
      <c r="BL84" s="153">
        <f>$C84*INDEX(Curves!$AT$8:$AT$68,BL$4-$B84+1)</f>
        <v/>
      </c>
    </row>
    <row r="85">
      <c r="A85" s="147" t="inlineStr">
        <is>
          <t>Cohort month 13</t>
        </is>
      </c>
      <c r="B85" s="147" t="n">
        <v>13</v>
      </c>
      <c r="C85" s="41">
        <f>INDEX(Ops!$E$84:$BL$84,1,$B85)</f>
        <v/>
      </c>
      <c r="R85" s="153">
        <f>$C85*INDEX(Curves!$AT$8:$AT$68,R$4-$B85+1)</f>
        <v/>
      </c>
      <c r="S85" s="153">
        <f>$C85*INDEX(Curves!$AT$8:$AT$68,S$4-$B85+1)</f>
        <v/>
      </c>
      <c r="T85" s="153">
        <f>$C85*INDEX(Curves!$AT$8:$AT$68,T$4-$B85+1)</f>
        <v/>
      </c>
      <c r="U85" s="153">
        <f>$C85*INDEX(Curves!$AT$8:$AT$68,U$4-$B85+1)</f>
        <v/>
      </c>
      <c r="V85" s="153">
        <f>$C85*INDEX(Curves!$AT$8:$AT$68,V$4-$B85+1)</f>
        <v/>
      </c>
      <c r="W85" s="153">
        <f>$C85*INDEX(Curves!$AT$8:$AT$68,W$4-$B85+1)</f>
        <v/>
      </c>
      <c r="X85" s="153">
        <f>$C85*INDEX(Curves!$AT$8:$AT$68,X$4-$B85+1)</f>
        <v/>
      </c>
      <c r="Y85" s="153">
        <f>$C85*INDEX(Curves!$AT$8:$AT$68,Y$4-$B85+1)</f>
        <v/>
      </c>
      <c r="Z85" s="153">
        <f>$C85*INDEX(Curves!$AT$8:$AT$68,Z$4-$B85+1)</f>
        <v/>
      </c>
      <c r="AA85" s="153">
        <f>$C85*INDEX(Curves!$AT$8:$AT$68,AA$4-$B85+1)</f>
        <v/>
      </c>
      <c r="AB85" s="153">
        <f>$C85*INDEX(Curves!$AT$8:$AT$68,AB$4-$B85+1)</f>
        <v/>
      </c>
      <c r="AC85" s="153">
        <f>$C85*INDEX(Curves!$AT$8:$AT$68,AC$4-$B85+1)</f>
        <v/>
      </c>
      <c r="AD85" s="153">
        <f>$C85*INDEX(Curves!$AT$8:$AT$68,AD$4-$B85+1)</f>
        <v/>
      </c>
      <c r="AE85" s="153">
        <f>$C85*INDEX(Curves!$AT$8:$AT$68,AE$4-$B85+1)</f>
        <v/>
      </c>
      <c r="AF85" s="153">
        <f>$C85*INDEX(Curves!$AT$8:$AT$68,AF$4-$B85+1)</f>
        <v/>
      </c>
      <c r="AG85" s="153">
        <f>$C85*INDEX(Curves!$AT$8:$AT$68,AG$4-$B85+1)</f>
        <v/>
      </c>
      <c r="AH85" s="153">
        <f>$C85*INDEX(Curves!$AT$8:$AT$68,AH$4-$B85+1)</f>
        <v/>
      </c>
      <c r="AI85" s="153">
        <f>$C85*INDEX(Curves!$AT$8:$AT$68,AI$4-$B85+1)</f>
        <v/>
      </c>
      <c r="AJ85" s="153">
        <f>$C85*INDEX(Curves!$AT$8:$AT$68,AJ$4-$B85+1)</f>
        <v/>
      </c>
      <c r="AK85" s="153">
        <f>$C85*INDEX(Curves!$AT$8:$AT$68,AK$4-$B85+1)</f>
        <v/>
      </c>
      <c r="AL85" s="153">
        <f>$C85*INDEX(Curves!$AT$8:$AT$68,AL$4-$B85+1)</f>
        <v/>
      </c>
      <c r="AM85" s="153">
        <f>$C85*INDEX(Curves!$AT$8:$AT$68,AM$4-$B85+1)</f>
        <v/>
      </c>
      <c r="AN85" s="153">
        <f>$C85*INDEX(Curves!$AT$8:$AT$68,AN$4-$B85+1)</f>
        <v/>
      </c>
      <c r="AO85" s="153">
        <f>$C85*INDEX(Curves!$AT$8:$AT$68,AO$4-$B85+1)</f>
        <v/>
      </c>
      <c r="AP85" s="153">
        <f>$C85*INDEX(Curves!$AT$8:$AT$68,AP$4-$B85+1)</f>
        <v/>
      </c>
      <c r="AQ85" s="153">
        <f>$C85*INDEX(Curves!$AT$8:$AT$68,AQ$4-$B85+1)</f>
        <v/>
      </c>
      <c r="AR85" s="153">
        <f>$C85*INDEX(Curves!$AT$8:$AT$68,AR$4-$B85+1)</f>
        <v/>
      </c>
      <c r="AS85" s="153">
        <f>$C85*INDEX(Curves!$AT$8:$AT$68,AS$4-$B85+1)</f>
        <v/>
      </c>
      <c r="AT85" s="153">
        <f>$C85*INDEX(Curves!$AT$8:$AT$68,AT$4-$B85+1)</f>
        <v/>
      </c>
      <c r="AU85" s="153">
        <f>$C85*INDEX(Curves!$AT$8:$AT$68,AU$4-$B85+1)</f>
        <v/>
      </c>
      <c r="AV85" s="153">
        <f>$C85*INDEX(Curves!$AT$8:$AT$68,AV$4-$B85+1)</f>
        <v/>
      </c>
      <c r="AW85" s="153">
        <f>$C85*INDEX(Curves!$AT$8:$AT$68,AW$4-$B85+1)</f>
        <v/>
      </c>
      <c r="AX85" s="153">
        <f>$C85*INDEX(Curves!$AT$8:$AT$68,AX$4-$B85+1)</f>
        <v/>
      </c>
      <c r="AY85" s="153">
        <f>$C85*INDEX(Curves!$AT$8:$AT$68,AY$4-$B85+1)</f>
        <v/>
      </c>
      <c r="AZ85" s="153">
        <f>$C85*INDEX(Curves!$AT$8:$AT$68,AZ$4-$B85+1)</f>
        <v/>
      </c>
      <c r="BA85" s="153">
        <f>$C85*INDEX(Curves!$AT$8:$AT$68,BA$4-$B85+1)</f>
        <v/>
      </c>
      <c r="BB85" s="153">
        <f>$C85*INDEX(Curves!$AT$8:$AT$68,BB$4-$B85+1)</f>
        <v/>
      </c>
      <c r="BC85" s="153">
        <f>$C85*INDEX(Curves!$AT$8:$AT$68,BC$4-$B85+1)</f>
        <v/>
      </c>
      <c r="BD85" s="153">
        <f>$C85*INDEX(Curves!$AT$8:$AT$68,BD$4-$B85+1)</f>
        <v/>
      </c>
      <c r="BE85" s="153">
        <f>$C85*INDEX(Curves!$AT$8:$AT$68,BE$4-$B85+1)</f>
        <v/>
      </c>
      <c r="BF85" s="153">
        <f>$C85*INDEX(Curves!$AT$8:$AT$68,BF$4-$B85+1)</f>
        <v/>
      </c>
      <c r="BG85" s="153">
        <f>$C85*INDEX(Curves!$AT$8:$AT$68,BG$4-$B85+1)</f>
        <v/>
      </c>
      <c r="BH85" s="153">
        <f>$C85*INDEX(Curves!$AT$8:$AT$68,BH$4-$B85+1)</f>
        <v/>
      </c>
      <c r="BI85" s="153">
        <f>$C85*INDEX(Curves!$AT$8:$AT$68,BI$4-$B85+1)</f>
        <v/>
      </c>
      <c r="BJ85" s="153">
        <f>$C85*INDEX(Curves!$AT$8:$AT$68,BJ$4-$B85+1)</f>
        <v/>
      </c>
      <c r="BK85" s="153">
        <f>$C85*INDEX(Curves!$AT$8:$AT$68,BK$4-$B85+1)</f>
        <v/>
      </c>
      <c r="BL85" s="153">
        <f>$C85*INDEX(Curves!$AT$8:$AT$68,BL$4-$B85+1)</f>
        <v/>
      </c>
    </row>
    <row r="86">
      <c r="A86" s="147" t="inlineStr">
        <is>
          <t>Cohort month 14</t>
        </is>
      </c>
      <c r="B86" s="147" t="n">
        <v>14</v>
      </c>
      <c r="C86" s="41">
        <f>INDEX(Ops!$E$84:$BL$84,1,$B86)</f>
        <v/>
      </c>
      <c r="S86" s="153">
        <f>$C86*INDEX(Curves!$AT$8:$AT$68,S$4-$B86+1)</f>
        <v/>
      </c>
      <c r="T86" s="153">
        <f>$C86*INDEX(Curves!$AT$8:$AT$68,T$4-$B86+1)</f>
        <v/>
      </c>
      <c r="U86" s="153">
        <f>$C86*INDEX(Curves!$AT$8:$AT$68,U$4-$B86+1)</f>
        <v/>
      </c>
      <c r="V86" s="153">
        <f>$C86*INDEX(Curves!$AT$8:$AT$68,V$4-$B86+1)</f>
        <v/>
      </c>
      <c r="W86" s="153">
        <f>$C86*INDEX(Curves!$AT$8:$AT$68,W$4-$B86+1)</f>
        <v/>
      </c>
      <c r="X86" s="153">
        <f>$C86*INDEX(Curves!$AT$8:$AT$68,X$4-$B86+1)</f>
        <v/>
      </c>
      <c r="Y86" s="153">
        <f>$C86*INDEX(Curves!$AT$8:$AT$68,Y$4-$B86+1)</f>
        <v/>
      </c>
      <c r="Z86" s="153">
        <f>$C86*INDEX(Curves!$AT$8:$AT$68,Z$4-$B86+1)</f>
        <v/>
      </c>
      <c r="AA86" s="153">
        <f>$C86*INDEX(Curves!$AT$8:$AT$68,AA$4-$B86+1)</f>
        <v/>
      </c>
      <c r="AB86" s="153">
        <f>$C86*INDEX(Curves!$AT$8:$AT$68,AB$4-$B86+1)</f>
        <v/>
      </c>
      <c r="AC86" s="153">
        <f>$C86*INDEX(Curves!$AT$8:$AT$68,AC$4-$B86+1)</f>
        <v/>
      </c>
      <c r="AD86" s="153">
        <f>$C86*INDEX(Curves!$AT$8:$AT$68,AD$4-$B86+1)</f>
        <v/>
      </c>
      <c r="AE86" s="153">
        <f>$C86*INDEX(Curves!$AT$8:$AT$68,AE$4-$B86+1)</f>
        <v/>
      </c>
      <c r="AF86" s="153">
        <f>$C86*INDEX(Curves!$AT$8:$AT$68,AF$4-$B86+1)</f>
        <v/>
      </c>
      <c r="AG86" s="153">
        <f>$C86*INDEX(Curves!$AT$8:$AT$68,AG$4-$B86+1)</f>
        <v/>
      </c>
      <c r="AH86" s="153">
        <f>$C86*INDEX(Curves!$AT$8:$AT$68,AH$4-$B86+1)</f>
        <v/>
      </c>
      <c r="AI86" s="153">
        <f>$C86*INDEX(Curves!$AT$8:$AT$68,AI$4-$B86+1)</f>
        <v/>
      </c>
      <c r="AJ86" s="153">
        <f>$C86*INDEX(Curves!$AT$8:$AT$68,AJ$4-$B86+1)</f>
        <v/>
      </c>
      <c r="AK86" s="153">
        <f>$C86*INDEX(Curves!$AT$8:$AT$68,AK$4-$B86+1)</f>
        <v/>
      </c>
      <c r="AL86" s="153">
        <f>$C86*INDEX(Curves!$AT$8:$AT$68,AL$4-$B86+1)</f>
        <v/>
      </c>
      <c r="AM86" s="153">
        <f>$C86*INDEX(Curves!$AT$8:$AT$68,AM$4-$B86+1)</f>
        <v/>
      </c>
      <c r="AN86" s="153">
        <f>$C86*INDEX(Curves!$AT$8:$AT$68,AN$4-$B86+1)</f>
        <v/>
      </c>
      <c r="AO86" s="153">
        <f>$C86*INDEX(Curves!$AT$8:$AT$68,AO$4-$B86+1)</f>
        <v/>
      </c>
      <c r="AP86" s="153">
        <f>$C86*INDEX(Curves!$AT$8:$AT$68,AP$4-$B86+1)</f>
        <v/>
      </c>
      <c r="AQ86" s="153">
        <f>$C86*INDEX(Curves!$AT$8:$AT$68,AQ$4-$B86+1)</f>
        <v/>
      </c>
      <c r="AR86" s="153">
        <f>$C86*INDEX(Curves!$AT$8:$AT$68,AR$4-$B86+1)</f>
        <v/>
      </c>
      <c r="AS86" s="153">
        <f>$C86*INDEX(Curves!$AT$8:$AT$68,AS$4-$B86+1)</f>
        <v/>
      </c>
      <c r="AT86" s="153">
        <f>$C86*INDEX(Curves!$AT$8:$AT$68,AT$4-$B86+1)</f>
        <v/>
      </c>
      <c r="AU86" s="153">
        <f>$C86*INDEX(Curves!$AT$8:$AT$68,AU$4-$B86+1)</f>
        <v/>
      </c>
      <c r="AV86" s="153">
        <f>$C86*INDEX(Curves!$AT$8:$AT$68,AV$4-$B86+1)</f>
        <v/>
      </c>
      <c r="AW86" s="153">
        <f>$C86*INDEX(Curves!$AT$8:$AT$68,AW$4-$B86+1)</f>
        <v/>
      </c>
      <c r="AX86" s="153">
        <f>$C86*INDEX(Curves!$AT$8:$AT$68,AX$4-$B86+1)</f>
        <v/>
      </c>
      <c r="AY86" s="153">
        <f>$C86*INDEX(Curves!$AT$8:$AT$68,AY$4-$B86+1)</f>
        <v/>
      </c>
      <c r="AZ86" s="153">
        <f>$C86*INDEX(Curves!$AT$8:$AT$68,AZ$4-$B86+1)</f>
        <v/>
      </c>
      <c r="BA86" s="153">
        <f>$C86*INDEX(Curves!$AT$8:$AT$68,BA$4-$B86+1)</f>
        <v/>
      </c>
      <c r="BB86" s="153">
        <f>$C86*INDEX(Curves!$AT$8:$AT$68,BB$4-$B86+1)</f>
        <v/>
      </c>
      <c r="BC86" s="153">
        <f>$C86*INDEX(Curves!$AT$8:$AT$68,BC$4-$B86+1)</f>
        <v/>
      </c>
      <c r="BD86" s="153">
        <f>$C86*INDEX(Curves!$AT$8:$AT$68,BD$4-$B86+1)</f>
        <v/>
      </c>
      <c r="BE86" s="153">
        <f>$C86*INDEX(Curves!$AT$8:$AT$68,BE$4-$B86+1)</f>
        <v/>
      </c>
      <c r="BF86" s="153">
        <f>$C86*INDEX(Curves!$AT$8:$AT$68,BF$4-$B86+1)</f>
        <v/>
      </c>
      <c r="BG86" s="153">
        <f>$C86*INDEX(Curves!$AT$8:$AT$68,BG$4-$B86+1)</f>
        <v/>
      </c>
      <c r="BH86" s="153">
        <f>$C86*INDEX(Curves!$AT$8:$AT$68,BH$4-$B86+1)</f>
        <v/>
      </c>
      <c r="BI86" s="153">
        <f>$C86*INDEX(Curves!$AT$8:$AT$68,BI$4-$B86+1)</f>
        <v/>
      </c>
      <c r="BJ86" s="153">
        <f>$C86*INDEX(Curves!$AT$8:$AT$68,BJ$4-$B86+1)</f>
        <v/>
      </c>
      <c r="BK86" s="153">
        <f>$C86*INDEX(Curves!$AT$8:$AT$68,BK$4-$B86+1)</f>
        <v/>
      </c>
      <c r="BL86" s="153">
        <f>$C86*INDEX(Curves!$AT$8:$AT$68,BL$4-$B86+1)</f>
        <v/>
      </c>
    </row>
    <row r="87">
      <c r="A87" s="147" t="inlineStr">
        <is>
          <t>Cohort month 15</t>
        </is>
      </c>
      <c r="B87" s="147" t="n">
        <v>15</v>
      </c>
      <c r="C87" s="41">
        <f>INDEX(Ops!$E$84:$BL$84,1,$B87)</f>
        <v/>
      </c>
      <c r="T87" s="153">
        <f>$C87*INDEX(Curves!$AT$8:$AT$68,T$4-$B87+1)</f>
        <v/>
      </c>
      <c r="U87" s="153">
        <f>$C87*INDEX(Curves!$AT$8:$AT$68,U$4-$B87+1)</f>
        <v/>
      </c>
      <c r="V87" s="153">
        <f>$C87*INDEX(Curves!$AT$8:$AT$68,V$4-$B87+1)</f>
        <v/>
      </c>
      <c r="W87" s="153">
        <f>$C87*INDEX(Curves!$AT$8:$AT$68,W$4-$B87+1)</f>
        <v/>
      </c>
      <c r="X87" s="153">
        <f>$C87*INDEX(Curves!$AT$8:$AT$68,X$4-$B87+1)</f>
        <v/>
      </c>
      <c r="Y87" s="153">
        <f>$C87*INDEX(Curves!$AT$8:$AT$68,Y$4-$B87+1)</f>
        <v/>
      </c>
      <c r="Z87" s="153">
        <f>$C87*INDEX(Curves!$AT$8:$AT$68,Z$4-$B87+1)</f>
        <v/>
      </c>
      <c r="AA87" s="153">
        <f>$C87*INDEX(Curves!$AT$8:$AT$68,AA$4-$B87+1)</f>
        <v/>
      </c>
      <c r="AB87" s="153">
        <f>$C87*INDEX(Curves!$AT$8:$AT$68,AB$4-$B87+1)</f>
        <v/>
      </c>
      <c r="AC87" s="153">
        <f>$C87*INDEX(Curves!$AT$8:$AT$68,AC$4-$B87+1)</f>
        <v/>
      </c>
      <c r="AD87" s="153">
        <f>$C87*INDEX(Curves!$AT$8:$AT$68,AD$4-$B87+1)</f>
        <v/>
      </c>
      <c r="AE87" s="153">
        <f>$C87*INDEX(Curves!$AT$8:$AT$68,AE$4-$B87+1)</f>
        <v/>
      </c>
      <c r="AF87" s="153">
        <f>$C87*INDEX(Curves!$AT$8:$AT$68,AF$4-$B87+1)</f>
        <v/>
      </c>
      <c r="AG87" s="153">
        <f>$C87*INDEX(Curves!$AT$8:$AT$68,AG$4-$B87+1)</f>
        <v/>
      </c>
      <c r="AH87" s="153">
        <f>$C87*INDEX(Curves!$AT$8:$AT$68,AH$4-$B87+1)</f>
        <v/>
      </c>
      <c r="AI87" s="153">
        <f>$C87*INDEX(Curves!$AT$8:$AT$68,AI$4-$B87+1)</f>
        <v/>
      </c>
      <c r="AJ87" s="153">
        <f>$C87*INDEX(Curves!$AT$8:$AT$68,AJ$4-$B87+1)</f>
        <v/>
      </c>
      <c r="AK87" s="153">
        <f>$C87*INDEX(Curves!$AT$8:$AT$68,AK$4-$B87+1)</f>
        <v/>
      </c>
      <c r="AL87" s="153">
        <f>$C87*INDEX(Curves!$AT$8:$AT$68,AL$4-$B87+1)</f>
        <v/>
      </c>
      <c r="AM87" s="153">
        <f>$C87*INDEX(Curves!$AT$8:$AT$68,AM$4-$B87+1)</f>
        <v/>
      </c>
      <c r="AN87" s="153">
        <f>$C87*INDEX(Curves!$AT$8:$AT$68,AN$4-$B87+1)</f>
        <v/>
      </c>
      <c r="AO87" s="153">
        <f>$C87*INDEX(Curves!$AT$8:$AT$68,AO$4-$B87+1)</f>
        <v/>
      </c>
      <c r="AP87" s="153">
        <f>$C87*INDEX(Curves!$AT$8:$AT$68,AP$4-$B87+1)</f>
        <v/>
      </c>
      <c r="AQ87" s="153">
        <f>$C87*INDEX(Curves!$AT$8:$AT$68,AQ$4-$B87+1)</f>
        <v/>
      </c>
      <c r="AR87" s="153">
        <f>$C87*INDEX(Curves!$AT$8:$AT$68,AR$4-$B87+1)</f>
        <v/>
      </c>
      <c r="AS87" s="153">
        <f>$C87*INDEX(Curves!$AT$8:$AT$68,AS$4-$B87+1)</f>
        <v/>
      </c>
      <c r="AT87" s="153">
        <f>$C87*INDEX(Curves!$AT$8:$AT$68,AT$4-$B87+1)</f>
        <v/>
      </c>
      <c r="AU87" s="153">
        <f>$C87*INDEX(Curves!$AT$8:$AT$68,AU$4-$B87+1)</f>
        <v/>
      </c>
      <c r="AV87" s="153">
        <f>$C87*INDEX(Curves!$AT$8:$AT$68,AV$4-$B87+1)</f>
        <v/>
      </c>
      <c r="AW87" s="153">
        <f>$C87*INDEX(Curves!$AT$8:$AT$68,AW$4-$B87+1)</f>
        <v/>
      </c>
      <c r="AX87" s="153">
        <f>$C87*INDEX(Curves!$AT$8:$AT$68,AX$4-$B87+1)</f>
        <v/>
      </c>
      <c r="AY87" s="153">
        <f>$C87*INDEX(Curves!$AT$8:$AT$68,AY$4-$B87+1)</f>
        <v/>
      </c>
      <c r="AZ87" s="153">
        <f>$C87*INDEX(Curves!$AT$8:$AT$68,AZ$4-$B87+1)</f>
        <v/>
      </c>
      <c r="BA87" s="153">
        <f>$C87*INDEX(Curves!$AT$8:$AT$68,BA$4-$B87+1)</f>
        <v/>
      </c>
      <c r="BB87" s="153">
        <f>$C87*INDEX(Curves!$AT$8:$AT$68,BB$4-$B87+1)</f>
        <v/>
      </c>
      <c r="BC87" s="153">
        <f>$C87*INDEX(Curves!$AT$8:$AT$68,BC$4-$B87+1)</f>
        <v/>
      </c>
      <c r="BD87" s="153">
        <f>$C87*INDEX(Curves!$AT$8:$AT$68,BD$4-$B87+1)</f>
        <v/>
      </c>
      <c r="BE87" s="153">
        <f>$C87*INDEX(Curves!$AT$8:$AT$68,BE$4-$B87+1)</f>
        <v/>
      </c>
      <c r="BF87" s="153">
        <f>$C87*INDEX(Curves!$AT$8:$AT$68,BF$4-$B87+1)</f>
        <v/>
      </c>
      <c r="BG87" s="153">
        <f>$C87*INDEX(Curves!$AT$8:$AT$68,BG$4-$B87+1)</f>
        <v/>
      </c>
      <c r="BH87" s="153">
        <f>$C87*INDEX(Curves!$AT$8:$AT$68,BH$4-$B87+1)</f>
        <v/>
      </c>
      <c r="BI87" s="153">
        <f>$C87*INDEX(Curves!$AT$8:$AT$68,BI$4-$B87+1)</f>
        <v/>
      </c>
      <c r="BJ87" s="153">
        <f>$C87*INDEX(Curves!$AT$8:$AT$68,BJ$4-$B87+1)</f>
        <v/>
      </c>
      <c r="BK87" s="153">
        <f>$C87*INDEX(Curves!$AT$8:$AT$68,BK$4-$B87+1)</f>
        <v/>
      </c>
      <c r="BL87" s="153">
        <f>$C87*INDEX(Curves!$AT$8:$AT$68,BL$4-$B87+1)</f>
        <v/>
      </c>
    </row>
    <row r="88">
      <c r="A88" s="147" t="inlineStr">
        <is>
          <t>Cohort month 16</t>
        </is>
      </c>
      <c r="B88" s="147" t="n">
        <v>16</v>
      </c>
      <c r="C88" s="41">
        <f>INDEX(Ops!$E$84:$BL$84,1,$B88)</f>
        <v/>
      </c>
      <c r="U88" s="153">
        <f>$C88*INDEX(Curves!$AT$8:$AT$68,U$4-$B88+1)</f>
        <v/>
      </c>
      <c r="V88" s="153">
        <f>$C88*INDEX(Curves!$AT$8:$AT$68,V$4-$B88+1)</f>
        <v/>
      </c>
      <c r="W88" s="153">
        <f>$C88*INDEX(Curves!$AT$8:$AT$68,W$4-$B88+1)</f>
        <v/>
      </c>
      <c r="X88" s="153">
        <f>$C88*INDEX(Curves!$AT$8:$AT$68,X$4-$B88+1)</f>
        <v/>
      </c>
      <c r="Y88" s="153">
        <f>$C88*INDEX(Curves!$AT$8:$AT$68,Y$4-$B88+1)</f>
        <v/>
      </c>
      <c r="Z88" s="153">
        <f>$C88*INDEX(Curves!$AT$8:$AT$68,Z$4-$B88+1)</f>
        <v/>
      </c>
      <c r="AA88" s="153">
        <f>$C88*INDEX(Curves!$AT$8:$AT$68,AA$4-$B88+1)</f>
        <v/>
      </c>
      <c r="AB88" s="153">
        <f>$C88*INDEX(Curves!$AT$8:$AT$68,AB$4-$B88+1)</f>
        <v/>
      </c>
      <c r="AC88" s="153">
        <f>$C88*INDEX(Curves!$AT$8:$AT$68,AC$4-$B88+1)</f>
        <v/>
      </c>
      <c r="AD88" s="153">
        <f>$C88*INDEX(Curves!$AT$8:$AT$68,AD$4-$B88+1)</f>
        <v/>
      </c>
      <c r="AE88" s="153">
        <f>$C88*INDEX(Curves!$AT$8:$AT$68,AE$4-$B88+1)</f>
        <v/>
      </c>
      <c r="AF88" s="153">
        <f>$C88*INDEX(Curves!$AT$8:$AT$68,AF$4-$B88+1)</f>
        <v/>
      </c>
      <c r="AG88" s="153">
        <f>$C88*INDEX(Curves!$AT$8:$AT$68,AG$4-$B88+1)</f>
        <v/>
      </c>
      <c r="AH88" s="153">
        <f>$C88*INDEX(Curves!$AT$8:$AT$68,AH$4-$B88+1)</f>
        <v/>
      </c>
      <c r="AI88" s="153">
        <f>$C88*INDEX(Curves!$AT$8:$AT$68,AI$4-$B88+1)</f>
        <v/>
      </c>
      <c r="AJ88" s="153">
        <f>$C88*INDEX(Curves!$AT$8:$AT$68,AJ$4-$B88+1)</f>
        <v/>
      </c>
      <c r="AK88" s="153">
        <f>$C88*INDEX(Curves!$AT$8:$AT$68,AK$4-$B88+1)</f>
        <v/>
      </c>
      <c r="AL88" s="153">
        <f>$C88*INDEX(Curves!$AT$8:$AT$68,AL$4-$B88+1)</f>
        <v/>
      </c>
      <c r="AM88" s="153">
        <f>$C88*INDEX(Curves!$AT$8:$AT$68,AM$4-$B88+1)</f>
        <v/>
      </c>
      <c r="AN88" s="153">
        <f>$C88*INDEX(Curves!$AT$8:$AT$68,AN$4-$B88+1)</f>
        <v/>
      </c>
      <c r="AO88" s="153">
        <f>$C88*INDEX(Curves!$AT$8:$AT$68,AO$4-$B88+1)</f>
        <v/>
      </c>
      <c r="AP88" s="153">
        <f>$C88*INDEX(Curves!$AT$8:$AT$68,AP$4-$B88+1)</f>
        <v/>
      </c>
      <c r="AQ88" s="153">
        <f>$C88*INDEX(Curves!$AT$8:$AT$68,AQ$4-$B88+1)</f>
        <v/>
      </c>
      <c r="AR88" s="153">
        <f>$C88*INDEX(Curves!$AT$8:$AT$68,AR$4-$B88+1)</f>
        <v/>
      </c>
      <c r="AS88" s="153">
        <f>$C88*INDEX(Curves!$AT$8:$AT$68,AS$4-$B88+1)</f>
        <v/>
      </c>
      <c r="AT88" s="153">
        <f>$C88*INDEX(Curves!$AT$8:$AT$68,AT$4-$B88+1)</f>
        <v/>
      </c>
      <c r="AU88" s="153">
        <f>$C88*INDEX(Curves!$AT$8:$AT$68,AU$4-$B88+1)</f>
        <v/>
      </c>
      <c r="AV88" s="153">
        <f>$C88*INDEX(Curves!$AT$8:$AT$68,AV$4-$B88+1)</f>
        <v/>
      </c>
      <c r="AW88" s="153">
        <f>$C88*INDEX(Curves!$AT$8:$AT$68,AW$4-$B88+1)</f>
        <v/>
      </c>
      <c r="AX88" s="153">
        <f>$C88*INDEX(Curves!$AT$8:$AT$68,AX$4-$B88+1)</f>
        <v/>
      </c>
      <c r="AY88" s="153">
        <f>$C88*INDEX(Curves!$AT$8:$AT$68,AY$4-$B88+1)</f>
        <v/>
      </c>
      <c r="AZ88" s="153">
        <f>$C88*INDEX(Curves!$AT$8:$AT$68,AZ$4-$B88+1)</f>
        <v/>
      </c>
      <c r="BA88" s="153">
        <f>$C88*INDEX(Curves!$AT$8:$AT$68,BA$4-$B88+1)</f>
        <v/>
      </c>
      <c r="BB88" s="153">
        <f>$C88*INDEX(Curves!$AT$8:$AT$68,BB$4-$B88+1)</f>
        <v/>
      </c>
      <c r="BC88" s="153">
        <f>$C88*INDEX(Curves!$AT$8:$AT$68,BC$4-$B88+1)</f>
        <v/>
      </c>
      <c r="BD88" s="153">
        <f>$C88*INDEX(Curves!$AT$8:$AT$68,BD$4-$B88+1)</f>
        <v/>
      </c>
      <c r="BE88" s="153">
        <f>$C88*INDEX(Curves!$AT$8:$AT$68,BE$4-$B88+1)</f>
        <v/>
      </c>
      <c r="BF88" s="153">
        <f>$C88*INDEX(Curves!$AT$8:$AT$68,BF$4-$B88+1)</f>
        <v/>
      </c>
      <c r="BG88" s="153">
        <f>$C88*INDEX(Curves!$AT$8:$AT$68,BG$4-$B88+1)</f>
        <v/>
      </c>
      <c r="BH88" s="153">
        <f>$C88*INDEX(Curves!$AT$8:$AT$68,BH$4-$B88+1)</f>
        <v/>
      </c>
      <c r="BI88" s="153">
        <f>$C88*INDEX(Curves!$AT$8:$AT$68,BI$4-$B88+1)</f>
        <v/>
      </c>
      <c r="BJ88" s="153">
        <f>$C88*INDEX(Curves!$AT$8:$AT$68,BJ$4-$B88+1)</f>
        <v/>
      </c>
      <c r="BK88" s="153">
        <f>$C88*INDEX(Curves!$AT$8:$AT$68,BK$4-$B88+1)</f>
        <v/>
      </c>
      <c r="BL88" s="153">
        <f>$C88*INDEX(Curves!$AT$8:$AT$68,BL$4-$B88+1)</f>
        <v/>
      </c>
    </row>
    <row r="89">
      <c r="A89" s="147" t="inlineStr">
        <is>
          <t>Cohort month 17</t>
        </is>
      </c>
      <c r="B89" s="147" t="n">
        <v>17</v>
      </c>
      <c r="C89" s="41">
        <f>INDEX(Ops!$E$84:$BL$84,1,$B89)</f>
        <v/>
      </c>
      <c r="V89" s="153">
        <f>$C89*INDEX(Curves!$AT$8:$AT$68,V$4-$B89+1)</f>
        <v/>
      </c>
      <c r="W89" s="153">
        <f>$C89*INDEX(Curves!$AT$8:$AT$68,W$4-$B89+1)</f>
        <v/>
      </c>
      <c r="X89" s="153">
        <f>$C89*INDEX(Curves!$AT$8:$AT$68,X$4-$B89+1)</f>
        <v/>
      </c>
      <c r="Y89" s="153">
        <f>$C89*INDEX(Curves!$AT$8:$AT$68,Y$4-$B89+1)</f>
        <v/>
      </c>
      <c r="Z89" s="153">
        <f>$C89*INDEX(Curves!$AT$8:$AT$68,Z$4-$B89+1)</f>
        <v/>
      </c>
      <c r="AA89" s="153">
        <f>$C89*INDEX(Curves!$AT$8:$AT$68,AA$4-$B89+1)</f>
        <v/>
      </c>
      <c r="AB89" s="153">
        <f>$C89*INDEX(Curves!$AT$8:$AT$68,AB$4-$B89+1)</f>
        <v/>
      </c>
      <c r="AC89" s="153">
        <f>$C89*INDEX(Curves!$AT$8:$AT$68,AC$4-$B89+1)</f>
        <v/>
      </c>
      <c r="AD89" s="153">
        <f>$C89*INDEX(Curves!$AT$8:$AT$68,AD$4-$B89+1)</f>
        <v/>
      </c>
      <c r="AE89" s="153">
        <f>$C89*INDEX(Curves!$AT$8:$AT$68,AE$4-$B89+1)</f>
        <v/>
      </c>
      <c r="AF89" s="153">
        <f>$C89*INDEX(Curves!$AT$8:$AT$68,AF$4-$B89+1)</f>
        <v/>
      </c>
      <c r="AG89" s="153">
        <f>$C89*INDEX(Curves!$AT$8:$AT$68,AG$4-$B89+1)</f>
        <v/>
      </c>
      <c r="AH89" s="153">
        <f>$C89*INDEX(Curves!$AT$8:$AT$68,AH$4-$B89+1)</f>
        <v/>
      </c>
      <c r="AI89" s="153">
        <f>$C89*INDEX(Curves!$AT$8:$AT$68,AI$4-$B89+1)</f>
        <v/>
      </c>
      <c r="AJ89" s="153">
        <f>$C89*INDEX(Curves!$AT$8:$AT$68,AJ$4-$B89+1)</f>
        <v/>
      </c>
      <c r="AK89" s="153">
        <f>$C89*INDEX(Curves!$AT$8:$AT$68,AK$4-$B89+1)</f>
        <v/>
      </c>
      <c r="AL89" s="153">
        <f>$C89*INDEX(Curves!$AT$8:$AT$68,AL$4-$B89+1)</f>
        <v/>
      </c>
      <c r="AM89" s="153">
        <f>$C89*INDEX(Curves!$AT$8:$AT$68,AM$4-$B89+1)</f>
        <v/>
      </c>
      <c r="AN89" s="153">
        <f>$C89*INDEX(Curves!$AT$8:$AT$68,AN$4-$B89+1)</f>
        <v/>
      </c>
      <c r="AO89" s="153">
        <f>$C89*INDEX(Curves!$AT$8:$AT$68,AO$4-$B89+1)</f>
        <v/>
      </c>
      <c r="AP89" s="153">
        <f>$C89*INDEX(Curves!$AT$8:$AT$68,AP$4-$B89+1)</f>
        <v/>
      </c>
      <c r="AQ89" s="153">
        <f>$C89*INDEX(Curves!$AT$8:$AT$68,AQ$4-$B89+1)</f>
        <v/>
      </c>
      <c r="AR89" s="153">
        <f>$C89*INDEX(Curves!$AT$8:$AT$68,AR$4-$B89+1)</f>
        <v/>
      </c>
      <c r="AS89" s="153">
        <f>$C89*INDEX(Curves!$AT$8:$AT$68,AS$4-$B89+1)</f>
        <v/>
      </c>
      <c r="AT89" s="153">
        <f>$C89*INDEX(Curves!$AT$8:$AT$68,AT$4-$B89+1)</f>
        <v/>
      </c>
      <c r="AU89" s="153">
        <f>$C89*INDEX(Curves!$AT$8:$AT$68,AU$4-$B89+1)</f>
        <v/>
      </c>
      <c r="AV89" s="153">
        <f>$C89*INDEX(Curves!$AT$8:$AT$68,AV$4-$B89+1)</f>
        <v/>
      </c>
      <c r="AW89" s="153">
        <f>$C89*INDEX(Curves!$AT$8:$AT$68,AW$4-$B89+1)</f>
        <v/>
      </c>
      <c r="AX89" s="153">
        <f>$C89*INDEX(Curves!$AT$8:$AT$68,AX$4-$B89+1)</f>
        <v/>
      </c>
      <c r="AY89" s="153">
        <f>$C89*INDEX(Curves!$AT$8:$AT$68,AY$4-$B89+1)</f>
        <v/>
      </c>
      <c r="AZ89" s="153">
        <f>$C89*INDEX(Curves!$AT$8:$AT$68,AZ$4-$B89+1)</f>
        <v/>
      </c>
      <c r="BA89" s="153">
        <f>$C89*INDEX(Curves!$AT$8:$AT$68,BA$4-$B89+1)</f>
        <v/>
      </c>
      <c r="BB89" s="153">
        <f>$C89*INDEX(Curves!$AT$8:$AT$68,BB$4-$B89+1)</f>
        <v/>
      </c>
      <c r="BC89" s="153">
        <f>$C89*INDEX(Curves!$AT$8:$AT$68,BC$4-$B89+1)</f>
        <v/>
      </c>
      <c r="BD89" s="153">
        <f>$C89*INDEX(Curves!$AT$8:$AT$68,BD$4-$B89+1)</f>
        <v/>
      </c>
      <c r="BE89" s="153">
        <f>$C89*INDEX(Curves!$AT$8:$AT$68,BE$4-$B89+1)</f>
        <v/>
      </c>
      <c r="BF89" s="153">
        <f>$C89*INDEX(Curves!$AT$8:$AT$68,BF$4-$B89+1)</f>
        <v/>
      </c>
      <c r="BG89" s="153">
        <f>$C89*INDEX(Curves!$AT$8:$AT$68,BG$4-$B89+1)</f>
        <v/>
      </c>
      <c r="BH89" s="153">
        <f>$C89*INDEX(Curves!$AT$8:$AT$68,BH$4-$B89+1)</f>
        <v/>
      </c>
      <c r="BI89" s="153">
        <f>$C89*INDEX(Curves!$AT$8:$AT$68,BI$4-$B89+1)</f>
        <v/>
      </c>
      <c r="BJ89" s="153">
        <f>$C89*INDEX(Curves!$AT$8:$AT$68,BJ$4-$B89+1)</f>
        <v/>
      </c>
      <c r="BK89" s="153">
        <f>$C89*INDEX(Curves!$AT$8:$AT$68,BK$4-$B89+1)</f>
        <v/>
      </c>
      <c r="BL89" s="153">
        <f>$C89*INDEX(Curves!$AT$8:$AT$68,BL$4-$B89+1)</f>
        <v/>
      </c>
    </row>
    <row r="90">
      <c r="A90" s="147" t="inlineStr">
        <is>
          <t>Cohort month 18</t>
        </is>
      </c>
      <c r="B90" s="147" t="n">
        <v>18</v>
      </c>
      <c r="C90" s="41">
        <f>INDEX(Ops!$E$84:$BL$84,1,$B90)</f>
        <v/>
      </c>
      <c r="W90" s="153">
        <f>$C90*INDEX(Curves!$AT$8:$AT$68,W$4-$B90+1)</f>
        <v/>
      </c>
      <c r="X90" s="153">
        <f>$C90*INDEX(Curves!$AT$8:$AT$68,X$4-$B90+1)</f>
        <v/>
      </c>
      <c r="Y90" s="153">
        <f>$C90*INDEX(Curves!$AT$8:$AT$68,Y$4-$B90+1)</f>
        <v/>
      </c>
      <c r="Z90" s="153">
        <f>$C90*INDEX(Curves!$AT$8:$AT$68,Z$4-$B90+1)</f>
        <v/>
      </c>
      <c r="AA90" s="153">
        <f>$C90*INDEX(Curves!$AT$8:$AT$68,AA$4-$B90+1)</f>
        <v/>
      </c>
      <c r="AB90" s="153">
        <f>$C90*INDEX(Curves!$AT$8:$AT$68,AB$4-$B90+1)</f>
        <v/>
      </c>
      <c r="AC90" s="153">
        <f>$C90*INDEX(Curves!$AT$8:$AT$68,AC$4-$B90+1)</f>
        <v/>
      </c>
      <c r="AD90" s="153">
        <f>$C90*INDEX(Curves!$AT$8:$AT$68,AD$4-$B90+1)</f>
        <v/>
      </c>
      <c r="AE90" s="153">
        <f>$C90*INDEX(Curves!$AT$8:$AT$68,AE$4-$B90+1)</f>
        <v/>
      </c>
      <c r="AF90" s="153">
        <f>$C90*INDEX(Curves!$AT$8:$AT$68,AF$4-$B90+1)</f>
        <v/>
      </c>
      <c r="AG90" s="153">
        <f>$C90*INDEX(Curves!$AT$8:$AT$68,AG$4-$B90+1)</f>
        <v/>
      </c>
      <c r="AH90" s="153">
        <f>$C90*INDEX(Curves!$AT$8:$AT$68,AH$4-$B90+1)</f>
        <v/>
      </c>
      <c r="AI90" s="153">
        <f>$C90*INDEX(Curves!$AT$8:$AT$68,AI$4-$B90+1)</f>
        <v/>
      </c>
      <c r="AJ90" s="153">
        <f>$C90*INDEX(Curves!$AT$8:$AT$68,AJ$4-$B90+1)</f>
        <v/>
      </c>
      <c r="AK90" s="153">
        <f>$C90*INDEX(Curves!$AT$8:$AT$68,AK$4-$B90+1)</f>
        <v/>
      </c>
      <c r="AL90" s="153">
        <f>$C90*INDEX(Curves!$AT$8:$AT$68,AL$4-$B90+1)</f>
        <v/>
      </c>
      <c r="AM90" s="153">
        <f>$C90*INDEX(Curves!$AT$8:$AT$68,AM$4-$B90+1)</f>
        <v/>
      </c>
      <c r="AN90" s="153">
        <f>$C90*INDEX(Curves!$AT$8:$AT$68,AN$4-$B90+1)</f>
        <v/>
      </c>
      <c r="AO90" s="153">
        <f>$C90*INDEX(Curves!$AT$8:$AT$68,AO$4-$B90+1)</f>
        <v/>
      </c>
      <c r="AP90" s="153">
        <f>$C90*INDEX(Curves!$AT$8:$AT$68,AP$4-$B90+1)</f>
        <v/>
      </c>
      <c r="AQ90" s="153">
        <f>$C90*INDEX(Curves!$AT$8:$AT$68,AQ$4-$B90+1)</f>
        <v/>
      </c>
      <c r="AR90" s="153">
        <f>$C90*INDEX(Curves!$AT$8:$AT$68,AR$4-$B90+1)</f>
        <v/>
      </c>
      <c r="AS90" s="153">
        <f>$C90*INDEX(Curves!$AT$8:$AT$68,AS$4-$B90+1)</f>
        <v/>
      </c>
      <c r="AT90" s="153">
        <f>$C90*INDEX(Curves!$AT$8:$AT$68,AT$4-$B90+1)</f>
        <v/>
      </c>
      <c r="AU90" s="153">
        <f>$C90*INDEX(Curves!$AT$8:$AT$68,AU$4-$B90+1)</f>
        <v/>
      </c>
      <c r="AV90" s="153">
        <f>$C90*INDEX(Curves!$AT$8:$AT$68,AV$4-$B90+1)</f>
        <v/>
      </c>
      <c r="AW90" s="153">
        <f>$C90*INDEX(Curves!$AT$8:$AT$68,AW$4-$B90+1)</f>
        <v/>
      </c>
      <c r="AX90" s="153">
        <f>$C90*INDEX(Curves!$AT$8:$AT$68,AX$4-$B90+1)</f>
        <v/>
      </c>
      <c r="AY90" s="153">
        <f>$C90*INDEX(Curves!$AT$8:$AT$68,AY$4-$B90+1)</f>
        <v/>
      </c>
      <c r="AZ90" s="153">
        <f>$C90*INDEX(Curves!$AT$8:$AT$68,AZ$4-$B90+1)</f>
        <v/>
      </c>
      <c r="BA90" s="153">
        <f>$C90*INDEX(Curves!$AT$8:$AT$68,BA$4-$B90+1)</f>
        <v/>
      </c>
      <c r="BB90" s="153">
        <f>$C90*INDEX(Curves!$AT$8:$AT$68,BB$4-$B90+1)</f>
        <v/>
      </c>
      <c r="BC90" s="153">
        <f>$C90*INDEX(Curves!$AT$8:$AT$68,BC$4-$B90+1)</f>
        <v/>
      </c>
      <c r="BD90" s="153">
        <f>$C90*INDEX(Curves!$AT$8:$AT$68,BD$4-$B90+1)</f>
        <v/>
      </c>
      <c r="BE90" s="153">
        <f>$C90*INDEX(Curves!$AT$8:$AT$68,BE$4-$B90+1)</f>
        <v/>
      </c>
      <c r="BF90" s="153">
        <f>$C90*INDEX(Curves!$AT$8:$AT$68,BF$4-$B90+1)</f>
        <v/>
      </c>
      <c r="BG90" s="153">
        <f>$C90*INDEX(Curves!$AT$8:$AT$68,BG$4-$B90+1)</f>
        <v/>
      </c>
      <c r="BH90" s="153">
        <f>$C90*INDEX(Curves!$AT$8:$AT$68,BH$4-$B90+1)</f>
        <v/>
      </c>
      <c r="BI90" s="153">
        <f>$C90*INDEX(Curves!$AT$8:$AT$68,BI$4-$B90+1)</f>
        <v/>
      </c>
      <c r="BJ90" s="153">
        <f>$C90*INDEX(Curves!$AT$8:$AT$68,BJ$4-$B90+1)</f>
        <v/>
      </c>
      <c r="BK90" s="153">
        <f>$C90*INDEX(Curves!$AT$8:$AT$68,BK$4-$B90+1)</f>
        <v/>
      </c>
      <c r="BL90" s="153">
        <f>$C90*INDEX(Curves!$AT$8:$AT$68,BL$4-$B90+1)</f>
        <v/>
      </c>
    </row>
    <row r="91">
      <c r="A91" s="147" t="inlineStr">
        <is>
          <t>Cohort month 19</t>
        </is>
      </c>
      <c r="B91" s="147" t="n">
        <v>19</v>
      </c>
      <c r="C91" s="41">
        <f>INDEX(Ops!$E$84:$BL$84,1,$B91)</f>
        <v/>
      </c>
      <c r="X91" s="153">
        <f>$C91*INDEX(Curves!$AT$8:$AT$68,X$4-$B91+1)</f>
        <v/>
      </c>
      <c r="Y91" s="153">
        <f>$C91*INDEX(Curves!$AT$8:$AT$68,Y$4-$B91+1)</f>
        <v/>
      </c>
      <c r="Z91" s="153">
        <f>$C91*INDEX(Curves!$AT$8:$AT$68,Z$4-$B91+1)</f>
        <v/>
      </c>
      <c r="AA91" s="153">
        <f>$C91*INDEX(Curves!$AT$8:$AT$68,AA$4-$B91+1)</f>
        <v/>
      </c>
      <c r="AB91" s="153">
        <f>$C91*INDEX(Curves!$AT$8:$AT$68,AB$4-$B91+1)</f>
        <v/>
      </c>
      <c r="AC91" s="153">
        <f>$C91*INDEX(Curves!$AT$8:$AT$68,AC$4-$B91+1)</f>
        <v/>
      </c>
      <c r="AD91" s="153">
        <f>$C91*INDEX(Curves!$AT$8:$AT$68,AD$4-$B91+1)</f>
        <v/>
      </c>
      <c r="AE91" s="153">
        <f>$C91*INDEX(Curves!$AT$8:$AT$68,AE$4-$B91+1)</f>
        <v/>
      </c>
      <c r="AF91" s="153">
        <f>$C91*INDEX(Curves!$AT$8:$AT$68,AF$4-$B91+1)</f>
        <v/>
      </c>
      <c r="AG91" s="153">
        <f>$C91*INDEX(Curves!$AT$8:$AT$68,AG$4-$B91+1)</f>
        <v/>
      </c>
      <c r="AH91" s="153">
        <f>$C91*INDEX(Curves!$AT$8:$AT$68,AH$4-$B91+1)</f>
        <v/>
      </c>
      <c r="AI91" s="153">
        <f>$C91*INDEX(Curves!$AT$8:$AT$68,AI$4-$B91+1)</f>
        <v/>
      </c>
      <c r="AJ91" s="153">
        <f>$C91*INDEX(Curves!$AT$8:$AT$68,AJ$4-$B91+1)</f>
        <v/>
      </c>
      <c r="AK91" s="153">
        <f>$C91*INDEX(Curves!$AT$8:$AT$68,AK$4-$B91+1)</f>
        <v/>
      </c>
      <c r="AL91" s="153">
        <f>$C91*INDEX(Curves!$AT$8:$AT$68,AL$4-$B91+1)</f>
        <v/>
      </c>
      <c r="AM91" s="153">
        <f>$C91*INDEX(Curves!$AT$8:$AT$68,AM$4-$B91+1)</f>
        <v/>
      </c>
      <c r="AN91" s="153">
        <f>$C91*INDEX(Curves!$AT$8:$AT$68,AN$4-$B91+1)</f>
        <v/>
      </c>
      <c r="AO91" s="153">
        <f>$C91*INDEX(Curves!$AT$8:$AT$68,AO$4-$B91+1)</f>
        <v/>
      </c>
      <c r="AP91" s="153">
        <f>$C91*INDEX(Curves!$AT$8:$AT$68,AP$4-$B91+1)</f>
        <v/>
      </c>
      <c r="AQ91" s="153">
        <f>$C91*INDEX(Curves!$AT$8:$AT$68,AQ$4-$B91+1)</f>
        <v/>
      </c>
      <c r="AR91" s="153">
        <f>$C91*INDEX(Curves!$AT$8:$AT$68,AR$4-$B91+1)</f>
        <v/>
      </c>
      <c r="AS91" s="153">
        <f>$C91*INDEX(Curves!$AT$8:$AT$68,AS$4-$B91+1)</f>
        <v/>
      </c>
      <c r="AT91" s="153">
        <f>$C91*INDEX(Curves!$AT$8:$AT$68,AT$4-$B91+1)</f>
        <v/>
      </c>
      <c r="AU91" s="153">
        <f>$C91*INDEX(Curves!$AT$8:$AT$68,AU$4-$B91+1)</f>
        <v/>
      </c>
      <c r="AV91" s="153">
        <f>$C91*INDEX(Curves!$AT$8:$AT$68,AV$4-$B91+1)</f>
        <v/>
      </c>
      <c r="AW91" s="153">
        <f>$C91*INDEX(Curves!$AT$8:$AT$68,AW$4-$B91+1)</f>
        <v/>
      </c>
      <c r="AX91" s="153">
        <f>$C91*INDEX(Curves!$AT$8:$AT$68,AX$4-$B91+1)</f>
        <v/>
      </c>
      <c r="AY91" s="153">
        <f>$C91*INDEX(Curves!$AT$8:$AT$68,AY$4-$B91+1)</f>
        <v/>
      </c>
      <c r="AZ91" s="153">
        <f>$C91*INDEX(Curves!$AT$8:$AT$68,AZ$4-$B91+1)</f>
        <v/>
      </c>
      <c r="BA91" s="153">
        <f>$C91*INDEX(Curves!$AT$8:$AT$68,BA$4-$B91+1)</f>
        <v/>
      </c>
      <c r="BB91" s="153">
        <f>$C91*INDEX(Curves!$AT$8:$AT$68,BB$4-$B91+1)</f>
        <v/>
      </c>
      <c r="BC91" s="153">
        <f>$C91*INDEX(Curves!$AT$8:$AT$68,BC$4-$B91+1)</f>
        <v/>
      </c>
      <c r="BD91" s="153">
        <f>$C91*INDEX(Curves!$AT$8:$AT$68,BD$4-$B91+1)</f>
        <v/>
      </c>
      <c r="BE91" s="153">
        <f>$C91*INDEX(Curves!$AT$8:$AT$68,BE$4-$B91+1)</f>
        <v/>
      </c>
      <c r="BF91" s="153">
        <f>$C91*INDEX(Curves!$AT$8:$AT$68,BF$4-$B91+1)</f>
        <v/>
      </c>
      <c r="BG91" s="153">
        <f>$C91*INDEX(Curves!$AT$8:$AT$68,BG$4-$B91+1)</f>
        <v/>
      </c>
      <c r="BH91" s="153">
        <f>$C91*INDEX(Curves!$AT$8:$AT$68,BH$4-$B91+1)</f>
        <v/>
      </c>
      <c r="BI91" s="153">
        <f>$C91*INDEX(Curves!$AT$8:$AT$68,BI$4-$B91+1)</f>
        <v/>
      </c>
      <c r="BJ91" s="153">
        <f>$C91*INDEX(Curves!$AT$8:$AT$68,BJ$4-$B91+1)</f>
        <v/>
      </c>
      <c r="BK91" s="153">
        <f>$C91*INDEX(Curves!$AT$8:$AT$68,BK$4-$B91+1)</f>
        <v/>
      </c>
      <c r="BL91" s="153">
        <f>$C91*INDEX(Curves!$AT$8:$AT$68,BL$4-$B91+1)</f>
        <v/>
      </c>
    </row>
    <row r="92">
      <c r="A92" s="147" t="inlineStr">
        <is>
          <t>Cohort month 20</t>
        </is>
      </c>
      <c r="B92" s="147" t="n">
        <v>20</v>
      </c>
      <c r="C92" s="41">
        <f>INDEX(Ops!$E$84:$BL$84,1,$B92)</f>
        <v/>
      </c>
      <c r="Y92" s="153">
        <f>$C92*INDEX(Curves!$AT$8:$AT$68,Y$4-$B92+1)</f>
        <v/>
      </c>
      <c r="Z92" s="153">
        <f>$C92*INDEX(Curves!$AT$8:$AT$68,Z$4-$B92+1)</f>
        <v/>
      </c>
      <c r="AA92" s="153">
        <f>$C92*INDEX(Curves!$AT$8:$AT$68,AA$4-$B92+1)</f>
        <v/>
      </c>
      <c r="AB92" s="153">
        <f>$C92*INDEX(Curves!$AT$8:$AT$68,AB$4-$B92+1)</f>
        <v/>
      </c>
      <c r="AC92" s="153">
        <f>$C92*INDEX(Curves!$AT$8:$AT$68,AC$4-$B92+1)</f>
        <v/>
      </c>
      <c r="AD92" s="153">
        <f>$C92*INDEX(Curves!$AT$8:$AT$68,AD$4-$B92+1)</f>
        <v/>
      </c>
      <c r="AE92" s="153">
        <f>$C92*INDEX(Curves!$AT$8:$AT$68,AE$4-$B92+1)</f>
        <v/>
      </c>
      <c r="AF92" s="153">
        <f>$C92*INDEX(Curves!$AT$8:$AT$68,AF$4-$B92+1)</f>
        <v/>
      </c>
      <c r="AG92" s="153">
        <f>$C92*INDEX(Curves!$AT$8:$AT$68,AG$4-$B92+1)</f>
        <v/>
      </c>
      <c r="AH92" s="153">
        <f>$C92*INDEX(Curves!$AT$8:$AT$68,AH$4-$B92+1)</f>
        <v/>
      </c>
      <c r="AI92" s="153">
        <f>$C92*INDEX(Curves!$AT$8:$AT$68,AI$4-$B92+1)</f>
        <v/>
      </c>
      <c r="AJ92" s="153">
        <f>$C92*INDEX(Curves!$AT$8:$AT$68,AJ$4-$B92+1)</f>
        <v/>
      </c>
      <c r="AK92" s="153">
        <f>$C92*INDEX(Curves!$AT$8:$AT$68,AK$4-$B92+1)</f>
        <v/>
      </c>
      <c r="AL92" s="153">
        <f>$C92*INDEX(Curves!$AT$8:$AT$68,AL$4-$B92+1)</f>
        <v/>
      </c>
      <c r="AM92" s="153">
        <f>$C92*INDEX(Curves!$AT$8:$AT$68,AM$4-$B92+1)</f>
        <v/>
      </c>
      <c r="AN92" s="153">
        <f>$C92*INDEX(Curves!$AT$8:$AT$68,AN$4-$B92+1)</f>
        <v/>
      </c>
      <c r="AO92" s="153">
        <f>$C92*INDEX(Curves!$AT$8:$AT$68,AO$4-$B92+1)</f>
        <v/>
      </c>
      <c r="AP92" s="153">
        <f>$C92*INDEX(Curves!$AT$8:$AT$68,AP$4-$B92+1)</f>
        <v/>
      </c>
      <c r="AQ92" s="153">
        <f>$C92*INDEX(Curves!$AT$8:$AT$68,AQ$4-$B92+1)</f>
        <v/>
      </c>
      <c r="AR92" s="153">
        <f>$C92*INDEX(Curves!$AT$8:$AT$68,AR$4-$B92+1)</f>
        <v/>
      </c>
      <c r="AS92" s="153">
        <f>$C92*INDEX(Curves!$AT$8:$AT$68,AS$4-$B92+1)</f>
        <v/>
      </c>
      <c r="AT92" s="153">
        <f>$C92*INDEX(Curves!$AT$8:$AT$68,AT$4-$B92+1)</f>
        <v/>
      </c>
      <c r="AU92" s="153">
        <f>$C92*INDEX(Curves!$AT$8:$AT$68,AU$4-$B92+1)</f>
        <v/>
      </c>
      <c r="AV92" s="153">
        <f>$C92*INDEX(Curves!$AT$8:$AT$68,AV$4-$B92+1)</f>
        <v/>
      </c>
      <c r="AW92" s="153">
        <f>$C92*INDEX(Curves!$AT$8:$AT$68,AW$4-$B92+1)</f>
        <v/>
      </c>
      <c r="AX92" s="153">
        <f>$C92*INDEX(Curves!$AT$8:$AT$68,AX$4-$B92+1)</f>
        <v/>
      </c>
      <c r="AY92" s="153">
        <f>$C92*INDEX(Curves!$AT$8:$AT$68,AY$4-$B92+1)</f>
        <v/>
      </c>
      <c r="AZ92" s="153">
        <f>$C92*INDEX(Curves!$AT$8:$AT$68,AZ$4-$B92+1)</f>
        <v/>
      </c>
      <c r="BA92" s="153">
        <f>$C92*INDEX(Curves!$AT$8:$AT$68,BA$4-$B92+1)</f>
        <v/>
      </c>
      <c r="BB92" s="153">
        <f>$C92*INDEX(Curves!$AT$8:$AT$68,BB$4-$B92+1)</f>
        <v/>
      </c>
      <c r="BC92" s="153">
        <f>$C92*INDEX(Curves!$AT$8:$AT$68,BC$4-$B92+1)</f>
        <v/>
      </c>
      <c r="BD92" s="153">
        <f>$C92*INDEX(Curves!$AT$8:$AT$68,BD$4-$B92+1)</f>
        <v/>
      </c>
      <c r="BE92" s="153">
        <f>$C92*INDEX(Curves!$AT$8:$AT$68,BE$4-$B92+1)</f>
        <v/>
      </c>
      <c r="BF92" s="153">
        <f>$C92*INDEX(Curves!$AT$8:$AT$68,BF$4-$B92+1)</f>
        <v/>
      </c>
      <c r="BG92" s="153">
        <f>$C92*INDEX(Curves!$AT$8:$AT$68,BG$4-$B92+1)</f>
        <v/>
      </c>
      <c r="BH92" s="153">
        <f>$C92*INDEX(Curves!$AT$8:$AT$68,BH$4-$B92+1)</f>
        <v/>
      </c>
      <c r="BI92" s="153">
        <f>$C92*INDEX(Curves!$AT$8:$AT$68,BI$4-$B92+1)</f>
        <v/>
      </c>
      <c r="BJ92" s="153">
        <f>$C92*INDEX(Curves!$AT$8:$AT$68,BJ$4-$B92+1)</f>
        <v/>
      </c>
      <c r="BK92" s="153">
        <f>$C92*INDEX(Curves!$AT$8:$AT$68,BK$4-$B92+1)</f>
        <v/>
      </c>
      <c r="BL92" s="153">
        <f>$C92*INDEX(Curves!$AT$8:$AT$68,BL$4-$B92+1)</f>
        <v/>
      </c>
    </row>
    <row r="93">
      <c r="A93" s="147" t="inlineStr">
        <is>
          <t>Cohort month 21</t>
        </is>
      </c>
      <c r="B93" s="147" t="n">
        <v>21</v>
      </c>
      <c r="C93" s="41">
        <f>INDEX(Ops!$E$84:$BL$84,1,$B93)</f>
        <v/>
      </c>
      <c r="Z93" s="153">
        <f>$C93*INDEX(Curves!$AT$8:$AT$68,Z$4-$B93+1)</f>
        <v/>
      </c>
      <c r="AA93" s="153">
        <f>$C93*INDEX(Curves!$AT$8:$AT$68,AA$4-$B93+1)</f>
        <v/>
      </c>
      <c r="AB93" s="153">
        <f>$C93*INDEX(Curves!$AT$8:$AT$68,AB$4-$B93+1)</f>
        <v/>
      </c>
      <c r="AC93" s="153">
        <f>$C93*INDEX(Curves!$AT$8:$AT$68,AC$4-$B93+1)</f>
        <v/>
      </c>
      <c r="AD93" s="153">
        <f>$C93*INDEX(Curves!$AT$8:$AT$68,AD$4-$B93+1)</f>
        <v/>
      </c>
      <c r="AE93" s="153">
        <f>$C93*INDEX(Curves!$AT$8:$AT$68,AE$4-$B93+1)</f>
        <v/>
      </c>
      <c r="AF93" s="153">
        <f>$C93*INDEX(Curves!$AT$8:$AT$68,AF$4-$B93+1)</f>
        <v/>
      </c>
      <c r="AG93" s="153">
        <f>$C93*INDEX(Curves!$AT$8:$AT$68,AG$4-$B93+1)</f>
        <v/>
      </c>
      <c r="AH93" s="153">
        <f>$C93*INDEX(Curves!$AT$8:$AT$68,AH$4-$B93+1)</f>
        <v/>
      </c>
      <c r="AI93" s="153">
        <f>$C93*INDEX(Curves!$AT$8:$AT$68,AI$4-$B93+1)</f>
        <v/>
      </c>
      <c r="AJ93" s="153">
        <f>$C93*INDEX(Curves!$AT$8:$AT$68,AJ$4-$B93+1)</f>
        <v/>
      </c>
      <c r="AK93" s="153">
        <f>$C93*INDEX(Curves!$AT$8:$AT$68,AK$4-$B93+1)</f>
        <v/>
      </c>
      <c r="AL93" s="153">
        <f>$C93*INDEX(Curves!$AT$8:$AT$68,AL$4-$B93+1)</f>
        <v/>
      </c>
      <c r="AM93" s="153">
        <f>$C93*INDEX(Curves!$AT$8:$AT$68,AM$4-$B93+1)</f>
        <v/>
      </c>
      <c r="AN93" s="153">
        <f>$C93*INDEX(Curves!$AT$8:$AT$68,AN$4-$B93+1)</f>
        <v/>
      </c>
      <c r="AO93" s="153">
        <f>$C93*INDEX(Curves!$AT$8:$AT$68,AO$4-$B93+1)</f>
        <v/>
      </c>
      <c r="AP93" s="153">
        <f>$C93*INDEX(Curves!$AT$8:$AT$68,AP$4-$B93+1)</f>
        <v/>
      </c>
      <c r="AQ93" s="153">
        <f>$C93*INDEX(Curves!$AT$8:$AT$68,AQ$4-$B93+1)</f>
        <v/>
      </c>
      <c r="AR93" s="153">
        <f>$C93*INDEX(Curves!$AT$8:$AT$68,AR$4-$B93+1)</f>
        <v/>
      </c>
      <c r="AS93" s="153">
        <f>$C93*INDEX(Curves!$AT$8:$AT$68,AS$4-$B93+1)</f>
        <v/>
      </c>
      <c r="AT93" s="153">
        <f>$C93*INDEX(Curves!$AT$8:$AT$68,AT$4-$B93+1)</f>
        <v/>
      </c>
      <c r="AU93" s="153">
        <f>$C93*INDEX(Curves!$AT$8:$AT$68,AU$4-$B93+1)</f>
        <v/>
      </c>
      <c r="AV93" s="153">
        <f>$C93*INDEX(Curves!$AT$8:$AT$68,AV$4-$B93+1)</f>
        <v/>
      </c>
      <c r="AW93" s="153">
        <f>$C93*INDEX(Curves!$AT$8:$AT$68,AW$4-$B93+1)</f>
        <v/>
      </c>
      <c r="AX93" s="153">
        <f>$C93*INDEX(Curves!$AT$8:$AT$68,AX$4-$B93+1)</f>
        <v/>
      </c>
      <c r="AY93" s="153">
        <f>$C93*INDEX(Curves!$AT$8:$AT$68,AY$4-$B93+1)</f>
        <v/>
      </c>
      <c r="AZ93" s="153">
        <f>$C93*INDEX(Curves!$AT$8:$AT$68,AZ$4-$B93+1)</f>
        <v/>
      </c>
      <c r="BA93" s="153">
        <f>$C93*INDEX(Curves!$AT$8:$AT$68,BA$4-$B93+1)</f>
        <v/>
      </c>
      <c r="BB93" s="153">
        <f>$C93*INDEX(Curves!$AT$8:$AT$68,BB$4-$B93+1)</f>
        <v/>
      </c>
      <c r="BC93" s="153">
        <f>$C93*INDEX(Curves!$AT$8:$AT$68,BC$4-$B93+1)</f>
        <v/>
      </c>
      <c r="BD93" s="153">
        <f>$C93*INDEX(Curves!$AT$8:$AT$68,BD$4-$B93+1)</f>
        <v/>
      </c>
      <c r="BE93" s="153">
        <f>$C93*INDEX(Curves!$AT$8:$AT$68,BE$4-$B93+1)</f>
        <v/>
      </c>
      <c r="BF93" s="153">
        <f>$C93*INDEX(Curves!$AT$8:$AT$68,BF$4-$B93+1)</f>
        <v/>
      </c>
      <c r="BG93" s="153">
        <f>$C93*INDEX(Curves!$AT$8:$AT$68,BG$4-$B93+1)</f>
        <v/>
      </c>
      <c r="BH93" s="153">
        <f>$C93*INDEX(Curves!$AT$8:$AT$68,BH$4-$B93+1)</f>
        <v/>
      </c>
      <c r="BI93" s="153">
        <f>$C93*INDEX(Curves!$AT$8:$AT$68,BI$4-$B93+1)</f>
        <v/>
      </c>
      <c r="BJ93" s="153">
        <f>$C93*INDEX(Curves!$AT$8:$AT$68,BJ$4-$B93+1)</f>
        <v/>
      </c>
      <c r="BK93" s="153">
        <f>$C93*INDEX(Curves!$AT$8:$AT$68,BK$4-$B93+1)</f>
        <v/>
      </c>
      <c r="BL93" s="153">
        <f>$C93*INDEX(Curves!$AT$8:$AT$68,BL$4-$B93+1)</f>
        <v/>
      </c>
    </row>
    <row r="94">
      <c r="A94" s="147" t="inlineStr">
        <is>
          <t>Cohort month 22</t>
        </is>
      </c>
      <c r="B94" s="147" t="n">
        <v>22</v>
      </c>
      <c r="C94" s="41">
        <f>INDEX(Ops!$E$84:$BL$84,1,$B94)</f>
        <v/>
      </c>
      <c r="AA94" s="153">
        <f>$C94*INDEX(Curves!$AT$8:$AT$68,AA$4-$B94+1)</f>
        <v/>
      </c>
      <c r="AB94" s="153">
        <f>$C94*INDEX(Curves!$AT$8:$AT$68,AB$4-$B94+1)</f>
        <v/>
      </c>
      <c r="AC94" s="153">
        <f>$C94*INDEX(Curves!$AT$8:$AT$68,AC$4-$B94+1)</f>
        <v/>
      </c>
      <c r="AD94" s="153">
        <f>$C94*INDEX(Curves!$AT$8:$AT$68,AD$4-$B94+1)</f>
        <v/>
      </c>
      <c r="AE94" s="153">
        <f>$C94*INDEX(Curves!$AT$8:$AT$68,AE$4-$B94+1)</f>
        <v/>
      </c>
      <c r="AF94" s="153">
        <f>$C94*INDEX(Curves!$AT$8:$AT$68,AF$4-$B94+1)</f>
        <v/>
      </c>
      <c r="AG94" s="153">
        <f>$C94*INDEX(Curves!$AT$8:$AT$68,AG$4-$B94+1)</f>
        <v/>
      </c>
      <c r="AH94" s="153">
        <f>$C94*INDEX(Curves!$AT$8:$AT$68,AH$4-$B94+1)</f>
        <v/>
      </c>
      <c r="AI94" s="153">
        <f>$C94*INDEX(Curves!$AT$8:$AT$68,AI$4-$B94+1)</f>
        <v/>
      </c>
      <c r="AJ94" s="153">
        <f>$C94*INDEX(Curves!$AT$8:$AT$68,AJ$4-$B94+1)</f>
        <v/>
      </c>
      <c r="AK94" s="153">
        <f>$C94*INDEX(Curves!$AT$8:$AT$68,AK$4-$B94+1)</f>
        <v/>
      </c>
      <c r="AL94" s="153">
        <f>$C94*INDEX(Curves!$AT$8:$AT$68,AL$4-$B94+1)</f>
        <v/>
      </c>
      <c r="AM94" s="153">
        <f>$C94*INDEX(Curves!$AT$8:$AT$68,AM$4-$B94+1)</f>
        <v/>
      </c>
      <c r="AN94" s="153">
        <f>$C94*INDEX(Curves!$AT$8:$AT$68,AN$4-$B94+1)</f>
        <v/>
      </c>
      <c r="AO94" s="153">
        <f>$C94*INDEX(Curves!$AT$8:$AT$68,AO$4-$B94+1)</f>
        <v/>
      </c>
      <c r="AP94" s="153">
        <f>$C94*INDEX(Curves!$AT$8:$AT$68,AP$4-$B94+1)</f>
        <v/>
      </c>
      <c r="AQ94" s="153">
        <f>$C94*INDEX(Curves!$AT$8:$AT$68,AQ$4-$B94+1)</f>
        <v/>
      </c>
      <c r="AR94" s="153">
        <f>$C94*INDEX(Curves!$AT$8:$AT$68,AR$4-$B94+1)</f>
        <v/>
      </c>
      <c r="AS94" s="153">
        <f>$C94*INDEX(Curves!$AT$8:$AT$68,AS$4-$B94+1)</f>
        <v/>
      </c>
      <c r="AT94" s="153">
        <f>$C94*INDEX(Curves!$AT$8:$AT$68,AT$4-$B94+1)</f>
        <v/>
      </c>
      <c r="AU94" s="153">
        <f>$C94*INDEX(Curves!$AT$8:$AT$68,AU$4-$B94+1)</f>
        <v/>
      </c>
      <c r="AV94" s="153">
        <f>$C94*INDEX(Curves!$AT$8:$AT$68,AV$4-$B94+1)</f>
        <v/>
      </c>
      <c r="AW94" s="153">
        <f>$C94*INDEX(Curves!$AT$8:$AT$68,AW$4-$B94+1)</f>
        <v/>
      </c>
      <c r="AX94" s="153">
        <f>$C94*INDEX(Curves!$AT$8:$AT$68,AX$4-$B94+1)</f>
        <v/>
      </c>
      <c r="AY94" s="153">
        <f>$C94*INDEX(Curves!$AT$8:$AT$68,AY$4-$B94+1)</f>
        <v/>
      </c>
      <c r="AZ94" s="153">
        <f>$C94*INDEX(Curves!$AT$8:$AT$68,AZ$4-$B94+1)</f>
        <v/>
      </c>
      <c r="BA94" s="153">
        <f>$C94*INDEX(Curves!$AT$8:$AT$68,BA$4-$B94+1)</f>
        <v/>
      </c>
      <c r="BB94" s="153">
        <f>$C94*INDEX(Curves!$AT$8:$AT$68,BB$4-$B94+1)</f>
        <v/>
      </c>
      <c r="BC94" s="153">
        <f>$C94*INDEX(Curves!$AT$8:$AT$68,BC$4-$B94+1)</f>
        <v/>
      </c>
      <c r="BD94" s="153">
        <f>$C94*INDEX(Curves!$AT$8:$AT$68,BD$4-$B94+1)</f>
        <v/>
      </c>
      <c r="BE94" s="153">
        <f>$C94*INDEX(Curves!$AT$8:$AT$68,BE$4-$B94+1)</f>
        <v/>
      </c>
      <c r="BF94" s="153">
        <f>$C94*INDEX(Curves!$AT$8:$AT$68,BF$4-$B94+1)</f>
        <v/>
      </c>
      <c r="BG94" s="153">
        <f>$C94*INDEX(Curves!$AT$8:$AT$68,BG$4-$B94+1)</f>
        <v/>
      </c>
      <c r="BH94" s="153">
        <f>$C94*INDEX(Curves!$AT$8:$AT$68,BH$4-$B94+1)</f>
        <v/>
      </c>
      <c r="BI94" s="153">
        <f>$C94*INDEX(Curves!$AT$8:$AT$68,BI$4-$B94+1)</f>
        <v/>
      </c>
      <c r="BJ94" s="153">
        <f>$C94*INDEX(Curves!$AT$8:$AT$68,BJ$4-$B94+1)</f>
        <v/>
      </c>
      <c r="BK94" s="153">
        <f>$C94*INDEX(Curves!$AT$8:$AT$68,BK$4-$B94+1)</f>
        <v/>
      </c>
      <c r="BL94" s="153">
        <f>$C94*INDEX(Curves!$AT$8:$AT$68,BL$4-$B94+1)</f>
        <v/>
      </c>
    </row>
    <row r="95">
      <c r="A95" s="147" t="inlineStr">
        <is>
          <t>Cohort month 23</t>
        </is>
      </c>
      <c r="B95" s="147" t="n">
        <v>23</v>
      </c>
      <c r="C95" s="41">
        <f>INDEX(Ops!$E$84:$BL$84,1,$B95)</f>
        <v/>
      </c>
      <c r="AB95" s="153">
        <f>$C95*INDEX(Curves!$AT$8:$AT$68,AB$4-$B95+1)</f>
        <v/>
      </c>
      <c r="AC95" s="153">
        <f>$C95*INDEX(Curves!$AT$8:$AT$68,AC$4-$B95+1)</f>
        <v/>
      </c>
      <c r="AD95" s="153">
        <f>$C95*INDEX(Curves!$AT$8:$AT$68,AD$4-$B95+1)</f>
        <v/>
      </c>
      <c r="AE95" s="153">
        <f>$C95*INDEX(Curves!$AT$8:$AT$68,AE$4-$B95+1)</f>
        <v/>
      </c>
      <c r="AF95" s="153">
        <f>$C95*INDEX(Curves!$AT$8:$AT$68,AF$4-$B95+1)</f>
        <v/>
      </c>
      <c r="AG95" s="153">
        <f>$C95*INDEX(Curves!$AT$8:$AT$68,AG$4-$B95+1)</f>
        <v/>
      </c>
      <c r="AH95" s="153">
        <f>$C95*INDEX(Curves!$AT$8:$AT$68,AH$4-$B95+1)</f>
        <v/>
      </c>
      <c r="AI95" s="153">
        <f>$C95*INDEX(Curves!$AT$8:$AT$68,AI$4-$B95+1)</f>
        <v/>
      </c>
      <c r="AJ95" s="153">
        <f>$C95*INDEX(Curves!$AT$8:$AT$68,AJ$4-$B95+1)</f>
        <v/>
      </c>
      <c r="AK95" s="153">
        <f>$C95*INDEX(Curves!$AT$8:$AT$68,AK$4-$B95+1)</f>
        <v/>
      </c>
      <c r="AL95" s="153">
        <f>$C95*INDEX(Curves!$AT$8:$AT$68,AL$4-$B95+1)</f>
        <v/>
      </c>
      <c r="AM95" s="153">
        <f>$C95*INDEX(Curves!$AT$8:$AT$68,AM$4-$B95+1)</f>
        <v/>
      </c>
      <c r="AN95" s="153">
        <f>$C95*INDEX(Curves!$AT$8:$AT$68,AN$4-$B95+1)</f>
        <v/>
      </c>
      <c r="AO95" s="153">
        <f>$C95*INDEX(Curves!$AT$8:$AT$68,AO$4-$B95+1)</f>
        <v/>
      </c>
      <c r="AP95" s="153">
        <f>$C95*INDEX(Curves!$AT$8:$AT$68,AP$4-$B95+1)</f>
        <v/>
      </c>
      <c r="AQ95" s="153">
        <f>$C95*INDEX(Curves!$AT$8:$AT$68,AQ$4-$B95+1)</f>
        <v/>
      </c>
      <c r="AR95" s="153">
        <f>$C95*INDEX(Curves!$AT$8:$AT$68,AR$4-$B95+1)</f>
        <v/>
      </c>
      <c r="AS95" s="153">
        <f>$C95*INDEX(Curves!$AT$8:$AT$68,AS$4-$B95+1)</f>
        <v/>
      </c>
      <c r="AT95" s="153">
        <f>$C95*INDEX(Curves!$AT$8:$AT$68,AT$4-$B95+1)</f>
        <v/>
      </c>
      <c r="AU95" s="153">
        <f>$C95*INDEX(Curves!$AT$8:$AT$68,AU$4-$B95+1)</f>
        <v/>
      </c>
      <c r="AV95" s="153">
        <f>$C95*INDEX(Curves!$AT$8:$AT$68,AV$4-$B95+1)</f>
        <v/>
      </c>
      <c r="AW95" s="153">
        <f>$C95*INDEX(Curves!$AT$8:$AT$68,AW$4-$B95+1)</f>
        <v/>
      </c>
      <c r="AX95" s="153">
        <f>$C95*INDEX(Curves!$AT$8:$AT$68,AX$4-$B95+1)</f>
        <v/>
      </c>
      <c r="AY95" s="153">
        <f>$C95*INDEX(Curves!$AT$8:$AT$68,AY$4-$B95+1)</f>
        <v/>
      </c>
      <c r="AZ95" s="153">
        <f>$C95*INDEX(Curves!$AT$8:$AT$68,AZ$4-$B95+1)</f>
        <v/>
      </c>
      <c r="BA95" s="153">
        <f>$C95*INDEX(Curves!$AT$8:$AT$68,BA$4-$B95+1)</f>
        <v/>
      </c>
      <c r="BB95" s="153">
        <f>$C95*INDEX(Curves!$AT$8:$AT$68,BB$4-$B95+1)</f>
        <v/>
      </c>
      <c r="BC95" s="153">
        <f>$C95*INDEX(Curves!$AT$8:$AT$68,BC$4-$B95+1)</f>
        <v/>
      </c>
      <c r="BD95" s="153">
        <f>$C95*INDEX(Curves!$AT$8:$AT$68,BD$4-$B95+1)</f>
        <v/>
      </c>
      <c r="BE95" s="153">
        <f>$C95*INDEX(Curves!$AT$8:$AT$68,BE$4-$B95+1)</f>
        <v/>
      </c>
      <c r="BF95" s="153">
        <f>$C95*INDEX(Curves!$AT$8:$AT$68,BF$4-$B95+1)</f>
        <v/>
      </c>
      <c r="BG95" s="153">
        <f>$C95*INDEX(Curves!$AT$8:$AT$68,BG$4-$B95+1)</f>
        <v/>
      </c>
      <c r="BH95" s="153">
        <f>$C95*INDEX(Curves!$AT$8:$AT$68,BH$4-$B95+1)</f>
        <v/>
      </c>
      <c r="BI95" s="153">
        <f>$C95*INDEX(Curves!$AT$8:$AT$68,BI$4-$B95+1)</f>
        <v/>
      </c>
      <c r="BJ95" s="153">
        <f>$C95*INDEX(Curves!$AT$8:$AT$68,BJ$4-$B95+1)</f>
        <v/>
      </c>
      <c r="BK95" s="153">
        <f>$C95*INDEX(Curves!$AT$8:$AT$68,BK$4-$B95+1)</f>
        <v/>
      </c>
      <c r="BL95" s="153">
        <f>$C95*INDEX(Curves!$AT$8:$AT$68,BL$4-$B95+1)</f>
        <v/>
      </c>
    </row>
    <row r="96">
      <c r="A96" s="147" t="inlineStr">
        <is>
          <t>Cohort month 24</t>
        </is>
      </c>
      <c r="B96" s="147" t="n">
        <v>24</v>
      </c>
      <c r="C96" s="41">
        <f>INDEX(Ops!$E$84:$BL$84,1,$B96)</f>
        <v/>
      </c>
      <c r="AC96" s="153">
        <f>$C96*INDEX(Curves!$AT$8:$AT$68,AC$4-$B96+1)</f>
        <v/>
      </c>
      <c r="AD96" s="153">
        <f>$C96*INDEX(Curves!$AT$8:$AT$68,AD$4-$B96+1)</f>
        <v/>
      </c>
      <c r="AE96" s="153">
        <f>$C96*INDEX(Curves!$AT$8:$AT$68,AE$4-$B96+1)</f>
        <v/>
      </c>
      <c r="AF96" s="153">
        <f>$C96*INDEX(Curves!$AT$8:$AT$68,AF$4-$B96+1)</f>
        <v/>
      </c>
      <c r="AG96" s="153">
        <f>$C96*INDEX(Curves!$AT$8:$AT$68,AG$4-$B96+1)</f>
        <v/>
      </c>
      <c r="AH96" s="153">
        <f>$C96*INDEX(Curves!$AT$8:$AT$68,AH$4-$B96+1)</f>
        <v/>
      </c>
      <c r="AI96" s="153">
        <f>$C96*INDEX(Curves!$AT$8:$AT$68,AI$4-$B96+1)</f>
        <v/>
      </c>
      <c r="AJ96" s="153">
        <f>$C96*INDEX(Curves!$AT$8:$AT$68,AJ$4-$B96+1)</f>
        <v/>
      </c>
      <c r="AK96" s="153">
        <f>$C96*INDEX(Curves!$AT$8:$AT$68,AK$4-$B96+1)</f>
        <v/>
      </c>
      <c r="AL96" s="153">
        <f>$C96*INDEX(Curves!$AT$8:$AT$68,AL$4-$B96+1)</f>
        <v/>
      </c>
      <c r="AM96" s="153">
        <f>$C96*INDEX(Curves!$AT$8:$AT$68,AM$4-$B96+1)</f>
        <v/>
      </c>
      <c r="AN96" s="153">
        <f>$C96*INDEX(Curves!$AT$8:$AT$68,AN$4-$B96+1)</f>
        <v/>
      </c>
      <c r="AO96" s="153">
        <f>$C96*INDEX(Curves!$AT$8:$AT$68,AO$4-$B96+1)</f>
        <v/>
      </c>
      <c r="AP96" s="153">
        <f>$C96*INDEX(Curves!$AT$8:$AT$68,AP$4-$B96+1)</f>
        <v/>
      </c>
      <c r="AQ96" s="153">
        <f>$C96*INDEX(Curves!$AT$8:$AT$68,AQ$4-$B96+1)</f>
        <v/>
      </c>
      <c r="AR96" s="153">
        <f>$C96*INDEX(Curves!$AT$8:$AT$68,AR$4-$B96+1)</f>
        <v/>
      </c>
      <c r="AS96" s="153">
        <f>$C96*INDEX(Curves!$AT$8:$AT$68,AS$4-$B96+1)</f>
        <v/>
      </c>
      <c r="AT96" s="153">
        <f>$C96*INDEX(Curves!$AT$8:$AT$68,AT$4-$B96+1)</f>
        <v/>
      </c>
      <c r="AU96" s="153">
        <f>$C96*INDEX(Curves!$AT$8:$AT$68,AU$4-$B96+1)</f>
        <v/>
      </c>
      <c r="AV96" s="153">
        <f>$C96*INDEX(Curves!$AT$8:$AT$68,AV$4-$B96+1)</f>
        <v/>
      </c>
      <c r="AW96" s="153">
        <f>$C96*INDEX(Curves!$AT$8:$AT$68,AW$4-$B96+1)</f>
        <v/>
      </c>
      <c r="AX96" s="153">
        <f>$C96*INDEX(Curves!$AT$8:$AT$68,AX$4-$B96+1)</f>
        <v/>
      </c>
      <c r="AY96" s="153">
        <f>$C96*INDEX(Curves!$AT$8:$AT$68,AY$4-$B96+1)</f>
        <v/>
      </c>
      <c r="AZ96" s="153">
        <f>$C96*INDEX(Curves!$AT$8:$AT$68,AZ$4-$B96+1)</f>
        <v/>
      </c>
      <c r="BA96" s="153">
        <f>$C96*INDEX(Curves!$AT$8:$AT$68,BA$4-$B96+1)</f>
        <v/>
      </c>
      <c r="BB96" s="153">
        <f>$C96*INDEX(Curves!$AT$8:$AT$68,BB$4-$B96+1)</f>
        <v/>
      </c>
      <c r="BC96" s="153">
        <f>$C96*INDEX(Curves!$AT$8:$AT$68,BC$4-$B96+1)</f>
        <v/>
      </c>
      <c r="BD96" s="153">
        <f>$C96*INDEX(Curves!$AT$8:$AT$68,BD$4-$B96+1)</f>
        <v/>
      </c>
      <c r="BE96" s="153">
        <f>$C96*INDEX(Curves!$AT$8:$AT$68,BE$4-$B96+1)</f>
        <v/>
      </c>
      <c r="BF96" s="153">
        <f>$C96*INDEX(Curves!$AT$8:$AT$68,BF$4-$B96+1)</f>
        <v/>
      </c>
      <c r="BG96" s="153">
        <f>$C96*INDEX(Curves!$AT$8:$AT$68,BG$4-$B96+1)</f>
        <v/>
      </c>
      <c r="BH96" s="153">
        <f>$C96*INDEX(Curves!$AT$8:$AT$68,BH$4-$B96+1)</f>
        <v/>
      </c>
      <c r="BI96" s="153">
        <f>$C96*INDEX(Curves!$AT$8:$AT$68,BI$4-$B96+1)</f>
        <v/>
      </c>
      <c r="BJ96" s="153">
        <f>$C96*INDEX(Curves!$AT$8:$AT$68,BJ$4-$B96+1)</f>
        <v/>
      </c>
      <c r="BK96" s="153">
        <f>$C96*INDEX(Curves!$AT$8:$AT$68,BK$4-$B96+1)</f>
        <v/>
      </c>
      <c r="BL96" s="153">
        <f>$C96*INDEX(Curves!$AT$8:$AT$68,BL$4-$B96+1)</f>
        <v/>
      </c>
    </row>
    <row r="97">
      <c r="A97" s="147" t="inlineStr">
        <is>
          <t>Cohort month 25</t>
        </is>
      </c>
      <c r="B97" s="147" t="n">
        <v>25</v>
      </c>
      <c r="C97" s="41">
        <f>INDEX(Ops!$E$84:$BL$84,1,$B97)</f>
        <v/>
      </c>
      <c r="AD97" s="153">
        <f>$C97*INDEX(Curves!$AT$8:$AT$68,AD$4-$B97+1)</f>
        <v/>
      </c>
      <c r="AE97" s="153">
        <f>$C97*INDEX(Curves!$AT$8:$AT$68,AE$4-$B97+1)</f>
        <v/>
      </c>
      <c r="AF97" s="153">
        <f>$C97*INDEX(Curves!$AT$8:$AT$68,AF$4-$B97+1)</f>
        <v/>
      </c>
      <c r="AG97" s="153">
        <f>$C97*INDEX(Curves!$AT$8:$AT$68,AG$4-$B97+1)</f>
        <v/>
      </c>
      <c r="AH97" s="153">
        <f>$C97*INDEX(Curves!$AT$8:$AT$68,AH$4-$B97+1)</f>
        <v/>
      </c>
      <c r="AI97" s="153">
        <f>$C97*INDEX(Curves!$AT$8:$AT$68,AI$4-$B97+1)</f>
        <v/>
      </c>
      <c r="AJ97" s="153">
        <f>$C97*INDEX(Curves!$AT$8:$AT$68,AJ$4-$B97+1)</f>
        <v/>
      </c>
      <c r="AK97" s="153">
        <f>$C97*INDEX(Curves!$AT$8:$AT$68,AK$4-$B97+1)</f>
        <v/>
      </c>
      <c r="AL97" s="153">
        <f>$C97*INDEX(Curves!$AT$8:$AT$68,AL$4-$B97+1)</f>
        <v/>
      </c>
      <c r="AM97" s="153">
        <f>$C97*INDEX(Curves!$AT$8:$AT$68,AM$4-$B97+1)</f>
        <v/>
      </c>
      <c r="AN97" s="153">
        <f>$C97*INDEX(Curves!$AT$8:$AT$68,AN$4-$B97+1)</f>
        <v/>
      </c>
      <c r="AO97" s="153">
        <f>$C97*INDEX(Curves!$AT$8:$AT$68,AO$4-$B97+1)</f>
        <v/>
      </c>
      <c r="AP97" s="153">
        <f>$C97*INDEX(Curves!$AT$8:$AT$68,AP$4-$B97+1)</f>
        <v/>
      </c>
      <c r="AQ97" s="153">
        <f>$C97*INDEX(Curves!$AT$8:$AT$68,AQ$4-$B97+1)</f>
        <v/>
      </c>
      <c r="AR97" s="153">
        <f>$C97*INDEX(Curves!$AT$8:$AT$68,AR$4-$B97+1)</f>
        <v/>
      </c>
      <c r="AS97" s="153">
        <f>$C97*INDEX(Curves!$AT$8:$AT$68,AS$4-$B97+1)</f>
        <v/>
      </c>
      <c r="AT97" s="153">
        <f>$C97*INDEX(Curves!$AT$8:$AT$68,AT$4-$B97+1)</f>
        <v/>
      </c>
      <c r="AU97" s="153">
        <f>$C97*INDEX(Curves!$AT$8:$AT$68,AU$4-$B97+1)</f>
        <v/>
      </c>
      <c r="AV97" s="153">
        <f>$C97*INDEX(Curves!$AT$8:$AT$68,AV$4-$B97+1)</f>
        <v/>
      </c>
      <c r="AW97" s="153">
        <f>$C97*INDEX(Curves!$AT$8:$AT$68,AW$4-$B97+1)</f>
        <v/>
      </c>
      <c r="AX97" s="153">
        <f>$C97*INDEX(Curves!$AT$8:$AT$68,AX$4-$B97+1)</f>
        <v/>
      </c>
      <c r="AY97" s="153">
        <f>$C97*INDEX(Curves!$AT$8:$AT$68,AY$4-$B97+1)</f>
        <v/>
      </c>
      <c r="AZ97" s="153">
        <f>$C97*INDEX(Curves!$AT$8:$AT$68,AZ$4-$B97+1)</f>
        <v/>
      </c>
      <c r="BA97" s="153">
        <f>$C97*INDEX(Curves!$AT$8:$AT$68,BA$4-$B97+1)</f>
        <v/>
      </c>
      <c r="BB97" s="153">
        <f>$C97*INDEX(Curves!$AT$8:$AT$68,BB$4-$B97+1)</f>
        <v/>
      </c>
      <c r="BC97" s="153">
        <f>$C97*INDEX(Curves!$AT$8:$AT$68,BC$4-$B97+1)</f>
        <v/>
      </c>
      <c r="BD97" s="153">
        <f>$C97*INDEX(Curves!$AT$8:$AT$68,BD$4-$B97+1)</f>
        <v/>
      </c>
      <c r="BE97" s="153">
        <f>$C97*INDEX(Curves!$AT$8:$AT$68,BE$4-$B97+1)</f>
        <v/>
      </c>
      <c r="BF97" s="153">
        <f>$C97*INDEX(Curves!$AT$8:$AT$68,BF$4-$B97+1)</f>
        <v/>
      </c>
      <c r="BG97" s="153">
        <f>$C97*INDEX(Curves!$AT$8:$AT$68,BG$4-$B97+1)</f>
        <v/>
      </c>
      <c r="BH97" s="153">
        <f>$C97*INDEX(Curves!$AT$8:$AT$68,BH$4-$B97+1)</f>
        <v/>
      </c>
      <c r="BI97" s="153">
        <f>$C97*INDEX(Curves!$AT$8:$AT$68,BI$4-$B97+1)</f>
        <v/>
      </c>
      <c r="BJ97" s="153">
        <f>$C97*INDEX(Curves!$AT$8:$AT$68,BJ$4-$B97+1)</f>
        <v/>
      </c>
      <c r="BK97" s="153">
        <f>$C97*INDEX(Curves!$AT$8:$AT$68,BK$4-$B97+1)</f>
        <v/>
      </c>
      <c r="BL97" s="153">
        <f>$C97*INDEX(Curves!$AT$8:$AT$68,BL$4-$B97+1)</f>
        <v/>
      </c>
    </row>
    <row r="98">
      <c r="A98" s="147" t="inlineStr">
        <is>
          <t>Cohort month 26</t>
        </is>
      </c>
      <c r="B98" s="147" t="n">
        <v>26</v>
      </c>
      <c r="C98" s="41">
        <f>INDEX(Ops!$E$84:$BL$84,1,$B98)</f>
        <v/>
      </c>
      <c r="AE98" s="153">
        <f>$C98*INDEX(Curves!$AT$8:$AT$68,AE$4-$B98+1)</f>
        <v/>
      </c>
      <c r="AF98" s="153">
        <f>$C98*INDEX(Curves!$AT$8:$AT$68,AF$4-$B98+1)</f>
        <v/>
      </c>
      <c r="AG98" s="153">
        <f>$C98*INDEX(Curves!$AT$8:$AT$68,AG$4-$B98+1)</f>
        <v/>
      </c>
      <c r="AH98" s="153">
        <f>$C98*INDEX(Curves!$AT$8:$AT$68,AH$4-$B98+1)</f>
        <v/>
      </c>
      <c r="AI98" s="153">
        <f>$C98*INDEX(Curves!$AT$8:$AT$68,AI$4-$B98+1)</f>
        <v/>
      </c>
      <c r="AJ98" s="153">
        <f>$C98*INDEX(Curves!$AT$8:$AT$68,AJ$4-$B98+1)</f>
        <v/>
      </c>
      <c r="AK98" s="153">
        <f>$C98*INDEX(Curves!$AT$8:$AT$68,AK$4-$B98+1)</f>
        <v/>
      </c>
      <c r="AL98" s="153">
        <f>$C98*INDEX(Curves!$AT$8:$AT$68,AL$4-$B98+1)</f>
        <v/>
      </c>
      <c r="AM98" s="153">
        <f>$C98*INDEX(Curves!$AT$8:$AT$68,AM$4-$B98+1)</f>
        <v/>
      </c>
      <c r="AN98" s="153">
        <f>$C98*INDEX(Curves!$AT$8:$AT$68,AN$4-$B98+1)</f>
        <v/>
      </c>
      <c r="AO98" s="153">
        <f>$C98*INDEX(Curves!$AT$8:$AT$68,AO$4-$B98+1)</f>
        <v/>
      </c>
      <c r="AP98" s="153">
        <f>$C98*INDEX(Curves!$AT$8:$AT$68,AP$4-$B98+1)</f>
        <v/>
      </c>
      <c r="AQ98" s="153">
        <f>$C98*INDEX(Curves!$AT$8:$AT$68,AQ$4-$B98+1)</f>
        <v/>
      </c>
      <c r="AR98" s="153">
        <f>$C98*INDEX(Curves!$AT$8:$AT$68,AR$4-$B98+1)</f>
        <v/>
      </c>
      <c r="AS98" s="153">
        <f>$C98*INDEX(Curves!$AT$8:$AT$68,AS$4-$B98+1)</f>
        <v/>
      </c>
      <c r="AT98" s="153">
        <f>$C98*INDEX(Curves!$AT$8:$AT$68,AT$4-$B98+1)</f>
        <v/>
      </c>
      <c r="AU98" s="153">
        <f>$C98*INDEX(Curves!$AT$8:$AT$68,AU$4-$B98+1)</f>
        <v/>
      </c>
      <c r="AV98" s="153">
        <f>$C98*INDEX(Curves!$AT$8:$AT$68,AV$4-$B98+1)</f>
        <v/>
      </c>
      <c r="AW98" s="153">
        <f>$C98*INDEX(Curves!$AT$8:$AT$68,AW$4-$B98+1)</f>
        <v/>
      </c>
      <c r="AX98" s="153">
        <f>$C98*INDEX(Curves!$AT$8:$AT$68,AX$4-$B98+1)</f>
        <v/>
      </c>
      <c r="AY98" s="153">
        <f>$C98*INDEX(Curves!$AT$8:$AT$68,AY$4-$B98+1)</f>
        <v/>
      </c>
      <c r="AZ98" s="153">
        <f>$C98*INDEX(Curves!$AT$8:$AT$68,AZ$4-$B98+1)</f>
        <v/>
      </c>
      <c r="BA98" s="153">
        <f>$C98*INDEX(Curves!$AT$8:$AT$68,BA$4-$B98+1)</f>
        <v/>
      </c>
      <c r="BB98" s="153">
        <f>$C98*INDEX(Curves!$AT$8:$AT$68,BB$4-$B98+1)</f>
        <v/>
      </c>
      <c r="BC98" s="153">
        <f>$C98*INDEX(Curves!$AT$8:$AT$68,BC$4-$B98+1)</f>
        <v/>
      </c>
      <c r="BD98" s="153">
        <f>$C98*INDEX(Curves!$AT$8:$AT$68,BD$4-$B98+1)</f>
        <v/>
      </c>
      <c r="BE98" s="153">
        <f>$C98*INDEX(Curves!$AT$8:$AT$68,BE$4-$B98+1)</f>
        <v/>
      </c>
      <c r="BF98" s="153">
        <f>$C98*INDEX(Curves!$AT$8:$AT$68,BF$4-$B98+1)</f>
        <v/>
      </c>
      <c r="BG98" s="153">
        <f>$C98*INDEX(Curves!$AT$8:$AT$68,BG$4-$B98+1)</f>
        <v/>
      </c>
      <c r="BH98" s="153">
        <f>$C98*INDEX(Curves!$AT$8:$AT$68,BH$4-$B98+1)</f>
        <v/>
      </c>
      <c r="BI98" s="153">
        <f>$C98*INDEX(Curves!$AT$8:$AT$68,BI$4-$B98+1)</f>
        <v/>
      </c>
      <c r="BJ98" s="153">
        <f>$C98*INDEX(Curves!$AT$8:$AT$68,BJ$4-$B98+1)</f>
        <v/>
      </c>
      <c r="BK98" s="153">
        <f>$C98*INDEX(Curves!$AT$8:$AT$68,BK$4-$B98+1)</f>
        <v/>
      </c>
      <c r="BL98" s="153">
        <f>$C98*INDEX(Curves!$AT$8:$AT$68,BL$4-$B98+1)</f>
        <v/>
      </c>
    </row>
    <row r="99">
      <c r="A99" s="147" t="inlineStr">
        <is>
          <t>Cohort month 27</t>
        </is>
      </c>
      <c r="B99" s="147" t="n">
        <v>27</v>
      </c>
      <c r="C99" s="41">
        <f>INDEX(Ops!$E$84:$BL$84,1,$B99)</f>
        <v/>
      </c>
      <c r="AF99" s="153">
        <f>$C99*INDEX(Curves!$AT$8:$AT$68,AF$4-$B99+1)</f>
        <v/>
      </c>
      <c r="AG99" s="153">
        <f>$C99*INDEX(Curves!$AT$8:$AT$68,AG$4-$B99+1)</f>
        <v/>
      </c>
      <c r="AH99" s="153">
        <f>$C99*INDEX(Curves!$AT$8:$AT$68,AH$4-$B99+1)</f>
        <v/>
      </c>
      <c r="AI99" s="153">
        <f>$C99*INDEX(Curves!$AT$8:$AT$68,AI$4-$B99+1)</f>
        <v/>
      </c>
      <c r="AJ99" s="153">
        <f>$C99*INDEX(Curves!$AT$8:$AT$68,AJ$4-$B99+1)</f>
        <v/>
      </c>
      <c r="AK99" s="153">
        <f>$C99*INDEX(Curves!$AT$8:$AT$68,AK$4-$B99+1)</f>
        <v/>
      </c>
      <c r="AL99" s="153">
        <f>$C99*INDEX(Curves!$AT$8:$AT$68,AL$4-$B99+1)</f>
        <v/>
      </c>
      <c r="AM99" s="153">
        <f>$C99*INDEX(Curves!$AT$8:$AT$68,AM$4-$B99+1)</f>
        <v/>
      </c>
      <c r="AN99" s="153">
        <f>$C99*INDEX(Curves!$AT$8:$AT$68,AN$4-$B99+1)</f>
        <v/>
      </c>
      <c r="AO99" s="153">
        <f>$C99*INDEX(Curves!$AT$8:$AT$68,AO$4-$B99+1)</f>
        <v/>
      </c>
      <c r="AP99" s="153">
        <f>$C99*INDEX(Curves!$AT$8:$AT$68,AP$4-$B99+1)</f>
        <v/>
      </c>
      <c r="AQ99" s="153">
        <f>$C99*INDEX(Curves!$AT$8:$AT$68,AQ$4-$B99+1)</f>
        <v/>
      </c>
      <c r="AR99" s="153">
        <f>$C99*INDEX(Curves!$AT$8:$AT$68,AR$4-$B99+1)</f>
        <v/>
      </c>
      <c r="AS99" s="153">
        <f>$C99*INDEX(Curves!$AT$8:$AT$68,AS$4-$B99+1)</f>
        <v/>
      </c>
      <c r="AT99" s="153">
        <f>$C99*INDEX(Curves!$AT$8:$AT$68,AT$4-$B99+1)</f>
        <v/>
      </c>
      <c r="AU99" s="153">
        <f>$C99*INDEX(Curves!$AT$8:$AT$68,AU$4-$B99+1)</f>
        <v/>
      </c>
      <c r="AV99" s="153">
        <f>$C99*INDEX(Curves!$AT$8:$AT$68,AV$4-$B99+1)</f>
        <v/>
      </c>
      <c r="AW99" s="153">
        <f>$C99*INDEX(Curves!$AT$8:$AT$68,AW$4-$B99+1)</f>
        <v/>
      </c>
      <c r="AX99" s="153">
        <f>$C99*INDEX(Curves!$AT$8:$AT$68,AX$4-$B99+1)</f>
        <v/>
      </c>
      <c r="AY99" s="153">
        <f>$C99*INDEX(Curves!$AT$8:$AT$68,AY$4-$B99+1)</f>
        <v/>
      </c>
      <c r="AZ99" s="153">
        <f>$C99*INDEX(Curves!$AT$8:$AT$68,AZ$4-$B99+1)</f>
        <v/>
      </c>
      <c r="BA99" s="153">
        <f>$C99*INDEX(Curves!$AT$8:$AT$68,BA$4-$B99+1)</f>
        <v/>
      </c>
      <c r="BB99" s="153">
        <f>$C99*INDEX(Curves!$AT$8:$AT$68,BB$4-$B99+1)</f>
        <v/>
      </c>
      <c r="BC99" s="153">
        <f>$C99*INDEX(Curves!$AT$8:$AT$68,BC$4-$B99+1)</f>
        <v/>
      </c>
      <c r="BD99" s="153">
        <f>$C99*INDEX(Curves!$AT$8:$AT$68,BD$4-$B99+1)</f>
        <v/>
      </c>
      <c r="BE99" s="153">
        <f>$C99*INDEX(Curves!$AT$8:$AT$68,BE$4-$B99+1)</f>
        <v/>
      </c>
      <c r="BF99" s="153">
        <f>$C99*INDEX(Curves!$AT$8:$AT$68,BF$4-$B99+1)</f>
        <v/>
      </c>
      <c r="BG99" s="153">
        <f>$C99*INDEX(Curves!$AT$8:$AT$68,BG$4-$B99+1)</f>
        <v/>
      </c>
      <c r="BH99" s="153">
        <f>$C99*INDEX(Curves!$AT$8:$AT$68,BH$4-$B99+1)</f>
        <v/>
      </c>
      <c r="BI99" s="153">
        <f>$C99*INDEX(Curves!$AT$8:$AT$68,BI$4-$B99+1)</f>
        <v/>
      </c>
      <c r="BJ99" s="153">
        <f>$C99*INDEX(Curves!$AT$8:$AT$68,BJ$4-$B99+1)</f>
        <v/>
      </c>
      <c r="BK99" s="153">
        <f>$C99*INDEX(Curves!$AT$8:$AT$68,BK$4-$B99+1)</f>
        <v/>
      </c>
      <c r="BL99" s="153">
        <f>$C99*INDEX(Curves!$AT$8:$AT$68,BL$4-$B99+1)</f>
        <v/>
      </c>
    </row>
    <row r="100">
      <c r="A100" s="147" t="inlineStr">
        <is>
          <t>Cohort month 28</t>
        </is>
      </c>
      <c r="B100" s="147" t="n">
        <v>28</v>
      </c>
      <c r="C100" s="41">
        <f>INDEX(Ops!$E$84:$BL$84,1,$B100)</f>
        <v/>
      </c>
      <c r="AG100" s="153">
        <f>$C100*INDEX(Curves!$AT$8:$AT$68,AG$4-$B100+1)</f>
        <v/>
      </c>
      <c r="AH100" s="153">
        <f>$C100*INDEX(Curves!$AT$8:$AT$68,AH$4-$B100+1)</f>
        <v/>
      </c>
      <c r="AI100" s="153">
        <f>$C100*INDEX(Curves!$AT$8:$AT$68,AI$4-$B100+1)</f>
        <v/>
      </c>
      <c r="AJ100" s="153">
        <f>$C100*INDEX(Curves!$AT$8:$AT$68,AJ$4-$B100+1)</f>
        <v/>
      </c>
      <c r="AK100" s="153">
        <f>$C100*INDEX(Curves!$AT$8:$AT$68,AK$4-$B100+1)</f>
        <v/>
      </c>
      <c r="AL100" s="153">
        <f>$C100*INDEX(Curves!$AT$8:$AT$68,AL$4-$B100+1)</f>
        <v/>
      </c>
      <c r="AM100" s="153">
        <f>$C100*INDEX(Curves!$AT$8:$AT$68,AM$4-$B100+1)</f>
        <v/>
      </c>
      <c r="AN100" s="153">
        <f>$C100*INDEX(Curves!$AT$8:$AT$68,AN$4-$B100+1)</f>
        <v/>
      </c>
      <c r="AO100" s="153">
        <f>$C100*INDEX(Curves!$AT$8:$AT$68,AO$4-$B100+1)</f>
        <v/>
      </c>
      <c r="AP100" s="153">
        <f>$C100*INDEX(Curves!$AT$8:$AT$68,AP$4-$B100+1)</f>
        <v/>
      </c>
      <c r="AQ100" s="153">
        <f>$C100*INDEX(Curves!$AT$8:$AT$68,AQ$4-$B100+1)</f>
        <v/>
      </c>
      <c r="AR100" s="153">
        <f>$C100*INDEX(Curves!$AT$8:$AT$68,AR$4-$B100+1)</f>
        <v/>
      </c>
      <c r="AS100" s="153">
        <f>$C100*INDEX(Curves!$AT$8:$AT$68,AS$4-$B100+1)</f>
        <v/>
      </c>
      <c r="AT100" s="153">
        <f>$C100*INDEX(Curves!$AT$8:$AT$68,AT$4-$B100+1)</f>
        <v/>
      </c>
      <c r="AU100" s="153">
        <f>$C100*INDEX(Curves!$AT$8:$AT$68,AU$4-$B100+1)</f>
        <v/>
      </c>
      <c r="AV100" s="153">
        <f>$C100*INDEX(Curves!$AT$8:$AT$68,AV$4-$B100+1)</f>
        <v/>
      </c>
      <c r="AW100" s="153">
        <f>$C100*INDEX(Curves!$AT$8:$AT$68,AW$4-$B100+1)</f>
        <v/>
      </c>
      <c r="AX100" s="153">
        <f>$C100*INDEX(Curves!$AT$8:$AT$68,AX$4-$B100+1)</f>
        <v/>
      </c>
      <c r="AY100" s="153">
        <f>$C100*INDEX(Curves!$AT$8:$AT$68,AY$4-$B100+1)</f>
        <v/>
      </c>
      <c r="AZ100" s="153">
        <f>$C100*INDEX(Curves!$AT$8:$AT$68,AZ$4-$B100+1)</f>
        <v/>
      </c>
      <c r="BA100" s="153">
        <f>$C100*INDEX(Curves!$AT$8:$AT$68,BA$4-$B100+1)</f>
        <v/>
      </c>
      <c r="BB100" s="153">
        <f>$C100*INDEX(Curves!$AT$8:$AT$68,BB$4-$B100+1)</f>
        <v/>
      </c>
      <c r="BC100" s="153">
        <f>$C100*INDEX(Curves!$AT$8:$AT$68,BC$4-$B100+1)</f>
        <v/>
      </c>
      <c r="BD100" s="153">
        <f>$C100*INDEX(Curves!$AT$8:$AT$68,BD$4-$B100+1)</f>
        <v/>
      </c>
      <c r="BE100" s="153">
        <f>$C100*INDEX(Curves!$AT$8:$AT$68,BE$4-$B100+1)</f>
        <v/>
      </c>
      <c r="BF100" s="153">
        <f>$C100*INDEX(Curves!$AT$8:$AT$68,BF$4-$B100+1)</f>
        <v/>
      </c>
      <c r="BG100" s="153">
        <f>$C100*INDEX(Curves!$AT$8:$AT$68,BG$4-$B100+1)</f>
        <v/>
      </c>
      <c r="BH100" s="153">
        <f>$C100*INDEX(Curves!$AT$8:$AT$68,BH$4-$B100+1)</f>
        <v/>
      </c>
      <c r="BI100" s="153">
        <f>$C100*INDEX(Curves!$AT$8:$AT$68,BI$4-$B100+1)</f>
        <v/>
      </c>
      <c r="BJ100" s="153">
        <f>$C100*INDEX(Curves!$AT$8:$AT$68,BJ$4-$B100+1)</f>
        <v/>
      </c>
      <c r="BK100" s="153">
        <f>$C100*INDEX(Curves!$AT$8:$AT$68,BK$4-$B100+1)</f>
        <v/>
      </c>
      <c r="BL100" s="153">
        <f>$C100*INDEX(Curves!$AT$8:$AT$68,BL$4-$B100+1)</f>
        <v/>
      </c>
    </row>
    <row r="101">
      <c r="A101" s="147" t="inlineStr">
        <is>
          <t>Cohort month 29</t>
        </is>
      </c>
      <c r="B101" s="147" t="n">
        <v>29</v>
      </c>
      <c r="C101" s="41">
        <f>INDEX(Ops!$E$84:$BL$84,1,$B101)</f>
        <v/>
      </c>
      <c r="AH101" s="153">
        <f>$C101*INDEX(Curves!$AT$8:$AT$68,AH$4-$B101+1)</f>
        <v/>
      </c>
      <c r="AI101" s="153">
        <f>$C101*INDEX(Curves!$AT$8:$AT$68,AI$4-$B101+1)</f>
        <v/>
      </c>
      <c r="AJ101" s="153">
        <f>$C101*INDEX(Curves!$AT$8:$AT$68,AJ$4-$B101+1)</f>
        <v/>
      </c>
      <c r="AK101" s="153">
        <f>$C101*INDEX(Curves!$AT$8:$AT$68,AK$4-$B101+1)</f>
        <v/>
      </c>
      <c r="AL101" s="153">
        <f>$C101*INDEX(Curves!$AT$8:$AT$68,AL$4-$B101+1)</f>
        <v/>
      </c>
      <c r="AM101" s="153">
        <f>$C101*INDEX(Curves!$AT$8:$AT$68,AM$4-$B101+1)</f>
        <v/>
      </c>
      <c r="AN101" s="153">
        <f>$C101*INDEX(Curves!$AT$8:$AT$68,AN$4-$B101+1)</f>
        <v/>
      </c>
      <c r="AO101" s="153">
        <f>$C101*INDEX(Curves!$AT$8:$AT$68,AO$4-$B101+1)</f>
        <v/>
      </c>
      <c r="AP101" s="153">
        <f>$C101*INDEX(Curves!$AT$8:$AT$68,AP$4-$B101+1)</f>
        <v/>
      </c>
      <c r="AQ101" s="153">
        <f>$C101*INDEX(Curves!$AT$8:$AT$68,AQ$4-$B101+1)</f>
        <v/>
      </c>
      <c r="AR101" s="153">
        <f>$C101*INDEX(Curves!$AT$8:$AT$68,AR$4-$B101+1)</f>
        <v/>
      </c>
      <c r="AS101" s="153">
        <f>$C101*INDEX(Curves!$AT$8:$AT$68,AS$4-$B101+1)</f>
        <v/>
      </c>
      <c r="AT101" s="153">
        <f>$C101*INDEX(Curves!$AT$8:$AT$68,AT$4-$B101+1)</f>
        <v/>
      </c>
      <c r="AU101" s="153">
        <f>$C101*INDEX(Curves!$AT$8:$AT$68,AU$4-$B101+1)</f>
        <v/>
      </c>
      <c r="AV101" s="153">
        <f>$C101*INDEX(Curves!$AT$8:$AT$68,AV$4-$B101+1)</f>
        <v/>
      </c>
      <c r="AW101" s="153">
        <f>$C101*INDEX(Curves!$AT$8:$AT$68,AW$4-$B101+1)</f>
        <v/>
      </c>
      <c r="AX101" s="153">
        <f>$C101*INDEX(Curves!$AT$8:$AT$68,AX$4-$B101+1)</f>
        <v/>
      </c>
      <c r="AY101" s="153">
        <f>$C101*INDEX(Curves!$AT$8:$AT$68,AY$4-$B101+1)</f>
        <v/>
      </c>
      <c r="AZ101" s="153">
        <f>$C101*INDEX(Curves!$AT$8:$AT$68,AZ$4-$B101+1)</f>
        <v/>
      </c>
      <c r="BA101" s="153">
        <f>$C101*INDEX(Curves!$AT$8:$AT$68,BA$4-$B101+1)</f>
        <v/>
      </c>
      <c r="BB101" s="153">
        <f>$C101*INDEX(Curves!$AT$8:$AT$68,BB$4-$B101+1)</f>
        <v/>
      </c>
      <c r="BC101" s="153">
        <f>$C101*INDEX(Curves!$AT$8:$AT$68,BC$4-$B101+1)</f>
        <v/>
      </c>
      <c r="BD101" s="153">
        <f>$C101*INDEX(Curves!$AT$8:$AT$68,BD$4-$B101+1)</f>
        <v/>
      </c>
      <c r="BE101" s="153">
        <f>$C101*INDEX(Curves!$AT$8:$AT$68,BE$4-$B101+1)</f>
        <v/>
      </c>
      <c r="BF101" s="153">
        <f>$C101*INDEX(Curves!$AT$8:$AT$68,BF$4-$B101+1)</f>
        <v/>
      </c>
      <c r="BG101" s="153">
        <f>$C101*INDEX(Curves!$AT$8:$AT$68,BG$4-$B101+1)</f>
        <v/>
      </c>
      <c r="BH101" s="153">
        <f>$C101*INDEX(Curves!$AT$8:$AT$68,BH$4-$B101+1)</f>
        <v/>
      </c>
      <c r="BI101" s="153">
        <f>$C101*INDEX(Curves!$AT$8:$AT$68,BI$4-$B101+1)</f>
        <v/>
      </c>
      <c r="BJ101" s="153">
        <f>$C101*INDEX(Curves!$AT$8:$AT$68,BJ$4-$B101+1)</f>
        <v/>
      </c>
      <c r="BK101" s="153">
        <f>$C101*INDEX(Curves!$AT$8:$AT$68,BK$4-$B101+1)</f>
        <v/>
      </c>
      <c r="BL101" s="153">
        <f>$C101*INDEX(Curves!$AT$8:$AT$68,BL$4-$B101+1)</f>
        <v/>
      </c>
    </row>
    <row r="102">
      <c r="A102" s="147" t="inlineStr">
        <is>
          <t>Cohort month 30</t>
        </is>
      </c>
      <c r="B102" s="147" t="n">
        <v>30</v>
      </c>
      <c r="C102" s="41">
        <f>INDEX(Ops!$E$84:$BL$84,1,$B102)</f>
        <v/>
      </c>
      <c r="AI102" s="153">
        <f>$C102*INDEX(Curves!$AT$8:$AT$68,AI$4-$B102+1)</f>
        <v/>
      </c>
      <c r="AJ102" s="153">
        <f>$C102*INDEX(Curves!$AT$8:$AT$68,AJ$4-$B102+1)</f>
        <v/>
      </c>
      <c r="AK102" s="153">
        <f>$C102*INDEX(Curves!$AT$8:$AT$68,AK$4-$B102+1)</f>
        <v/>
      </c>
      <c r="AL102" s="153">
        <f>$C102*INDEX(Curves!$AT$8:$AT$68,AL$4-$B102+1)</f>
        <v/>
      </c>
      <c r="AM102" s="153">
        <f>$C102*INDEX(Curves!$AT$8:$AT$68,AM$4-$B102+1)</f>
        <v/>
      </c>
      <c r="AN102" s="153">
        <f>$C102*INDEX(Curves!$AT$8:$AT$68,AN$4-$B102+1)</f>
        <v/>
      </c>
      <c r="AO102" s="153">
        <f>$C102*INDEX(Curves!$AT$8:$AT$68,AO$4-$B102+1)</f>
        <v/>
      </c>
      <c r="AP102" s="153">
        <f>$C102*INDEX(Curves!$AT$8:$AT$68,AP$4-$B102+1)</f>
        <v/>
      </c>
      <c r="AQ102" s="153">
        <f>$C102*INDEX(Curves!$AT$8:$AT$68,AQ$4-$B102+1)</f>
        <v/>
      </c>
      <c r="AR102" s="153">
        <f>$C102*INDEX(Curves!$AT$8:$AT$68,AR$4-$B102+1)</f>
        <v/>
      </c>
      <c r="AS102" s="153">
        <f>$C102*INDEX(Curves!$AT$8:$AT$68,AS$4-$B102+1)</f>
        <v/>
      </c>
      <c r="AT102" s="153">
        <f>$C102*INDEX(Curves!$AT$8:$AT$68,AT$4-$B102+1)</f>
        <v/>
      </c>
      <c r="AU102" s="153">
        <f>$C102*INDEX(Curves!$AT$8:$AT$68,AU$4-$B102+1)</f>
        <v/>
      </c>
      <c r="AV102" s="153">
        <f>$C102*INDEX(Curves!$AT$8:$AT$68,AV$4-$B102+1)</f>
        <v/>
      </c>
      <c r="AW102" s="153">
        <f>$C102*INDEX(Curves!$AT$8:$AT$68,AW$4-$B102+1)</f>
        <v/>
      </c>
      <c r="AX102" s="153">
        <f>$C102*INDEX(Curves!$AT$8:$AT$68,AX$4-$B102+1)</f>
        <v/>
      </c>
      <c r="AY102" s="153">
        <f>$C102*INDEX(Curves!$AT$8:$AT$68,AY$4-$B102+1)</f>
        <v/>
      </c>
      <c r="AZ102" s="153">
        <f>$C102*INDEX(Curves!$AT$8:$AT$68,AZ$4-$B102+1)</f>
        <v/>
      </c>
      <c r="BA102" s="153">
        <f>$C102*INDEX(Curves!$AT$8:$AT$68,BA$4-$B102+1)</f>
        <v/>
      </c>
      <c r="BB102" s="153">
        <f>$C102*INDEX(Curves!$AT$8:$AT$68,BB$4-$B102+1)</f>
        <v/>
      </c>
      <c r="BC102" s="153">
        <f>$C102*INDEX(Curves!$AT$8:$AT$68,BC$4-$B102+1)</f>
        <v/>
      </c>
      <c r="BD102" s="153">
        <f>$C102*INDEX(Curves!$AT$8:$AT$68,BD$4-$B102+1)</f>
        <v/>
      </c>
      <c r="BE102" s="153">
        <f>$C102*INDEX(Curves!$AT$8:$AT$68,BE$4-$B102+1)</f>
        <v/>
      </c>
      <c r="BF102" s="153">
        <f>$C102*INDEX(Curves!$AT$8:$AT$68,BF$4-$B102+1)</f>
        <v/>
      </c>
      <c r="BG102" s="153">
        <f>$C102*INDEX(Curves!$AT$8:$AT$68,BG$4-$B102+1)</f>
        <v/>
      </c>
      <c r="BH102" s="153">
        <f>$C102*INDEX(Curves!$AT$8:$AT$68,BH$4-$B102+1)</f>
        <v/>
      </c>
      <c r="BI102" s="153">
        <f>$C102*INDEX(Curves!$AT$8:$AT$68,BI$4-$B102+1)</f>
        <v/>
      </c>
      <c r="BJ102" s="153">
        <f>$C102*INDEX(Curves!$AT$8:$AT$68,BJ$4-$B102+1)</f>
        <v/>
      </c>
      <c r="BK102" s="153">
        <f>$C102*INDEX(Curves!$AT$8:$AT$68,BK$4-$B102+1)</f>
        <v/>
      </c>
      <c r="BL102" s="153">
        <f>$C102*INDEX(Curves!$AT$8:$AT$68,BL$4-$B102+1)</f>
        <v/>
      </c>
    </row>
    <row r="103">
      <c r="A103" s="147" t="inlineStr">
        <is>
          <t>Cohort month 31</t>
        </is>
      </c>
      <c r="B103" s="147" t="n">
        <v>31</v>
      </c>
      <c r="C103" s="41">
        <f>INDEX(Ops!$E$84:$BL$84,1,$B103)</f>
        <v/>
      </c>
      <c r="AJ103" s="153">
        <f>$C103*INDEX(Curves!$AT$8:$AT$68,AJ$4-$B103+1)</f>
        <v/>
      </c>
      <c r="AK103" s="153">
        <f>$C103*INDEX(Curves!$AT$8:$AT$68,AK$4-$B103+1)</f>
        <v/>
      </c>
      <c r="AL103" s="153">
        <f>$C103*INDEX(Curves!$AT$8:$AT$68,AL$4-$B103+1)</f>
        <v/>
      </c>
      <c r="AM103" s="153">
        <f>$C103*INDEX(Curves!$AT$8:$AT$68,AM$4-$B103+1)</f>
        <v/>
      </c>
      <c r="AN103" s="153">
        <f>$C103*INDEX(Curves!$AT$8:$AT$68,AN$4-$B103+1)</f>
        <v/>
      </c>
      <c r="AO103" s="153">
        <f>$C103*INDEX(Curves!$AT$8:$AT$68,AO$4-$B103+1)</f>
        <v/>
      </c>
      <c r="AP103" s="153">
        <f>$C103*INDEX(Curves!$AT$8:$AT$68,AP$4-$B103+1)</f>
        <v/>
      </c>
      <c r="AQ103" s="153">
        <f>$C103*INDEX(Curves!$AT$8:$AT$68,AQ$4-$B103+1)</f>
        <v/>
      </c>
      <c r="AR103" s="153">
        <f>$C103*INDEX(Curves!$AT$8:$AT$68,AR$4-$B103+1)</f>
        <v/>
      </c>
      <c r="AS103" s="153">
        <f>$C103*INDEX(Curves!$AT$8:$AT$68,AS$4-$B103+1)</f>
        <v/>
      </c>
      <c r="AT103" s="153">
        <f>$C103*INDEX(Curves!$AT$8:$AT$68,AT$4-$B103+1)</f>
        <v/>
      </c>
      <c r="AU103" s="153">
        <f>$C103*INDEX(Curves!$AT$8:$AT$68,AU$4-$B103+1)</f>
        <v/>
      </c>
      <c r="AV103" s="153">
        <f>$C103*INDEX(Curves!$AT$8:$AT$68,AV$4-$B103+1)</f>
        <v/>
      </c>
      <c r="AW103" s="153">
        <f>$C103*INDEX(Curves!$AT$8:$AT$68,AW$4-$B103+1)</f>
        <v/>
      </c>
      <c r="AX103" s="153">
        <f>$C103*INDEX(Curves!$AT$8:$AT$68,AX$4-$B103+1)</f>
        <v/>
      </c>
      <c r="AY103" s="153">
        <f>$C103*INDEX(Curves!$AT$8:$AT$68,AY$4-$B103+1)</f>
        <v/>
      </c>
      <c r="AZ103" s="153">
        <f>$C103*INDEX(Curves!$AT$8:$AT$68,AZ$4-$B103+1)</f>
        <v/>
      </c>
      <c r="BA103" s="153">
        <f>$C103*INDEX(Curves!$AT$8:$AT$68,BA$4-$B103+1)</f>
        <v/>
      </c>
      <c r="BB103" s="153">
        <f>$C103*INDEX(Curves!$AT$8:$AT$68,BB$4-$B103+1)</f>
        <v/>
      </c>
      <c r="BC103" s="153">
        <f>$C103*INDEX(Curves!$AT$8:$AT$68,BC$4-$B103+1)</f>
        <v/>
      </c>
      <c r="BD103" s="153">
        <f>$C103*INDEX(Curves!$AT$8:$AT$68,BD$4-$B103+1)</f>
        <v/>
      </c>
      <c r="BE103" s="153">
        <f>$C103*INDEX(Curves!$AT$8:$AT$68,BE$4-$B103+1)</f>
        <v/>
      </c>
      <c r="BF103" s="153">
        <f>$C103*INDEX(Curves!$AT$8:$AT$68,BF$4-$B103+1)</f>
        <v/>
      </c>
      <c r="BG103" s="153">
        <f>$C103*INDEX(Curves!$AT$8:$AT$68,BG$4-$B103+1)</f>
        <v/>
      </c>
      <c r="BH103" s="153">
        <f>$C103*INDEX(Curves!$AT$8:$AT$68,BH$4-$B103+1)</f>
        <v/>
      </c>
      <c r="BI103" s="153">
        <f>$C103*INDEX(Curves!$AT$8:$AT$68,BI$4-$B103+1)</f>
        <v/>
      </c>
      <c r="BJ103" s="153">
        <f>$C103*INDEX(Curves!$AT$8:$AT$68,BJ$4-$B103+1)</f>
        <v/>
      </c>
      <c r="BK103" s="153">
        <f>$C103*INDEX(Curves!$AT$8:$AT$68,BK$4-$B103+1)</f>
        <v/>
      </c>
      <c r="BL103" s="153">
        <f>$C103*INDEX(Curves!$AT$8:$AT$68,BL$4-$B103+1)</f>
        <v/>
      </c>
    </row>
    <row r="104">
      <c r="A104" s="147" t="inlineStr">
        <is>
          <t>Cohort month 32</t>
        </is>
      </c>
      <c r="B104" s="147" t="n">
        <v>32</v>
      </c>
      <c r="C104" s="41">
        <f>INDEX(Ops!$E$84:$BL$84,1,$B104)</f>
        <v/>
      </c>
      <c r="AK104" s="153">
        <f>$C104*INDEX(Curves!$AT$8:$AT$68,AK$4-$B104+1)</f>
        <v/>
      </c>
      <c r="AL104" s="153">
        <f>$C104*INDEX(Curves!$AT$8:$AT$68,AL$4-$B104+1)</f>
        <v/>
      </c>
      <c r="AM104" s="153">
        <f>$C104*INDEX(Curves!$AT$8:$AT$68,AM$4-$B104+1)</f>
        <v/>
      </c>
      <c r="AN104" s="153">
        <f>$C104*INDEX(Curves!$AT$8:$AT$68,AN$4-$B104+1)</f>
        <v/>
      </c>
      <c r="AO104" s="153">
        <f>$C104*INDEX(Curves!$AT$8:$AT$68,AO$4-$B104+1)</f>
        <v/>
      </c>
      <c r="AP104" s="153">
        <f>$C104*INDEX(Curves!$AT$8:$AT$68,AP$4-$B104+1)</f>
        <v/>
      </c>
      <c r="AQ104" s="153">
        <f>$C104*INDEX(Curves!$AT$8:$AT$68,AQ$4-$B104+1)</f>
        <v/>
      </c>
      <c r="AR104" s="153">
        <f>$C104*INDEX(Curves!$AT$8:$AT$68,AR$4-$B104+1)</f>
        <v/>
      </c>
      <c r="AS104" s="153">
        <f>$C104*INDEX(Curves!$AT$8:$AT$68,AS$4-$B104+1)</f>
        <v/>
      </c>
      <c r="AT104" s="153">
        <f>$C104*INDEX(Curves!$AT$8:$AT$68,AT$4-$B104+1)</f>
        <v/>
      </c>
      <c r="AU104" s="153">
        <f>$C104*INDEX(Curves!$AT$8:$AT$68,AU$4-$B104+1)</f>
        <v/>
      </c>
      <c r="AV104" s="153">
        <f>$C104*INDEX(Curves!$AT$8:$AT$68,AV$4-$B104+1)</f>
        <v/>
      </c>
      <c r="AW104" s="153">
        <f>$C104*INDEX(Curves!$AT$8:$AT$68,AW$4-$B104+1)</f>
        <v/>
      </c>
      <c r="AX104" s="153">
        <f>$C104*INDEX(Curves!$AT$8:$AT$68,AX$4-$B104+1)</f>
        <v/>
      </c>
      <c r="AY104" s="153">
        <f>$C104*INDEX(Curves!$AT$8:$AT$68,AY$4-$B104+1)</f>
        <v/>
      </c>
      <c r="AZ104" s="153">
        <f>$C104*INDEX(Curves!$AT$8:$AT$68,AZ$4-$B104+1)</f>
        <v/>
      </c>
      <c r="BA104" s="153">
        <f>$C104*INDEX(Curves!$AT$8:$AT$68,BA$4-$B104+1)</f>
        <v/>
      </c>
      <c r="BB104" s="153">
        <f>$C104*INDEX(Curves!$AT$8:$AT$68,BB$4-$B104+1)</f>
        <v/>
      </c>
      <c r="BC104" s="153">
        <f>$C104*INDEX(Curves!$AT$8:$AT$68,BC$4-$B104+1)</f>
        <v/>
      </c>
      <c r="BD104" s="153">
        <f>$C104*INDEX(Curves!$AT$8:$AT$68,BD$4-$B104+1)</f>
        <v/>
      </c>
      <c r="BE104" s="153">
        <f>$C104*INDEX(Curves!$AT$8:$AT$68,BE$4-$B104+1)</f>
        <v/>
      </c>
      <c r="BF104" s="153">
        <f>$C104*INDEX(Curves!$AT$8:$AT$68,BF$4-$B104+1)</f>
        <v/>
      </c>
      <c r="BG104" s="153">
        <f>$C104*INDEX(Curves!$AT$8:$AT$68,BG$4-$B104+1)</f>
        <v/>
      </c>
      <c r="BH104" s="153">
        <f>$C104*INDEX(Curves!$AT$8:$AT$68,BH$4-$B104+1)</f>
        <v/>
      </c>
      <c r="BI104" s="153">
        <f>$C104*INDEX(Curves!$AT$8:$AT$68,BI$4-$B104+1)</f>
        <v/>
      </c>
      <c r="BJ104" s="153">
        <f>$C104*INDEX(Curves!$AT$8:$AT$68,BJ$4-$B104+1)</f>
        <v/>
      </c>
      <c r="BK104" s="153">
        <f>$C104*INDEX(Curves!$AT$8:$AT$68,BK$4-$B104+1)</f>
        <v/>
      </c>
      <c r="BL104" s="153">
        <f>$C104*INDEX(Curves!$AT$8:$AT$68,BL$4-$B104+1)</f>
        <v/>
      </c>
    </row>
    <row r="105">
      <c r="A105" s="147" t="inlineStr">
        <is>
          <t>Cohort month 33</t>
        </is>
      </c>
      <c r="B105" s="147" t="n">
        <v>33</v>
      </c>
      <c r="C105" s="41">
        <f>INDEX(Ops!$E$84:$BL$84,1,$B105)</f>
        <v/>
      </c>
      <c r="AL105" s="153">
        <f>$C105*INDEX(Curves!$AT$8:$AT$68,AL$4-$B105+1)</f>
        <v/>
      </c>
      <c r="AM105" s="153">
        <f>$C105*INDEX(Curves!$AT$8:$AT$68,AM$4-$B105+1)</f>
        <v/>
      </c>
      <c r="AN105" s="153">
        <f>$C105*INDEX(Curves!$AT$8:$AT$68,AN$4-$B105+1)</f>
        <v/>
      </c>
      <c r="AO105" s="153">
        <f>$C105*INDEX(Curves!$AT$8:$AT$68,AO$4-$B105+1)</f>
        <v/>
      </c>
      <c r="AP105" s="153">
        <f>$C105*INDEX(Curves!$AT$8:$AT$68,AP$4-$B105+1)</f>
        <v/>
      </c>
      <c r="AQ105" s="153">
        <f>$C105*INDEX(Curves!$AT$8:$AT$68,AQ$4-$B105+1)</f>
        <v/>
      </c>
      <c r="AR105" s="153">
        <f>$C105*INDEX(Curves!$AT$8:$AT$68,AR$4-$B105+1)</f>
        <v/>
      </c>
      <c r="AS105" s="153">
        <f>$C105*INDEX(Curves!$AT$8:$AT$68,AS$4-$B105+1)</f>
        <v/>
      </c>
      <c r="AT105" s="153">
        <f>$C105*INDEX(Curves!$AT$8:$AT$68,AT$4-$B105+1)</f>
        <v/>
      </c>
      <c r="AU105" s="153">
        <f>$C105*INDEX(Curves!$AT$8:$AT$68,AU$4-$B105+1)</f>
        <v/>
      </c>
      <c r="AV105" s="153">
        <f>$C105*INDEX(Curves!$AT$8:$AT$68,AV$4-$B105+1)</f>
        <v/>
      </c>
      <c r="AW105" s="153">
        <f>$C105*INDEX(Curves!$AT$8:$AT$68,AW$4-$B105+1)</f>
        <v/>
      </c>
      <c r="AX105" s="153">
        <f>$C105*INDEX(Curves!$AT$8:$AT$68,AX$4-$B105+1)</f>
        <v/>
      </c>
      <c r="AY105" s="153">
        <f>$C105*INDEX(Curves!$AT$8:$AT$68,AY$4-$B105+1)</f>
        <v/>
      </c>
      <c r="AZ105" s="153">
        <f>$C105*INDEX(Curves!$AT$8:$AT$68,AZ$4-$B105+1)</f>
        <v/>
      </c>
      <c r="BA105" s="153">
        <f>$C105*INDEX(Curves!$AT$8:$AT$68,BA$4-$B105+1)</f>
        <v/>
      </c>
      <c r="BB105" s="153">
        <f>$C105*INDEX(Curves!$AT$8:$AT$68,BB$4-$B105+1)</f>
        <v/>
      </c>
      <c r="BC105" s="153">
        <f>$C105*INDEX(Curves!$AT$8:$AT$68,BC$4-$B105+1)</f>
        <v/>
      </c>
      <c r="BD105" s="153">
        <f>$C105*INDEX(Curves!$AT$8:$AT$68,BD$4-$B105+1)</f>
        <v/>
      </c>
      <c r="BE105" s="153">
        <f>$C105*INDEX(Curves!$AT$8:$AT$68,BE$4-$B105+1)</f>
        <v/>
      </c>
      <c r="BF105" s="153">
        <f>$C105*INDEX(Curves!$AT$8:$AT$68,BF$4-$B105+1)</f>
        <v/>
      </c>
      <c r="BG105" s="153">
        <f>$C105*INDEX(Curves!$AT$8:$AT$68,BG$4-$B105+1)</f>
        <v/>
      </c>
      <c r="BH105" s="153">
        <f>$C105*INDEX(Curves!$AT$8:$AT$68,BH$4-$B105+1)</f>
        <v/>
      </c>
      <c r="BI105" s="153">
        <f>$C105*INDEX(Curves!$AT$8:$AT$68,BI$4-$B105+1)</f>
        <v/>
      </c>
      <c r="BJ105" s="153">
        <f>$C105*INDEX(Curves!$AT$8:$AT$68,BJ$4-$B105+1)</f>
        <v/>
      </c>
      <c r="BK105" s="153">
        <f>$C105*INDEX(Curves!$AT$8:$AT$68,BK$4-$B105+1)</f>
        <v/>
      </c>
      <c r="BL105" s="153">
        <f>$C105*INDEX(Curves!$AT$8:$AT$68,BL$4-$B105+1)</f>
        <v/>
      </c>
    </row>
    <row r="106">
      <c r="A106" s="147" t="inlineStr">
        <is>
          <t>Cohort month 34</t>
        </is>
      </c>
      <c r="B106" s="147" t="n">
        <v>34</v>
      </c>
      <c r="C106" s="41">
        <f>INDEX(Ops!$E$84:$BL$84,1,$B106)</f>
        <v/>
      </c>
      <c r="AM106" s="153">
        <f>$C106*INDEX(Curves!$AT$8:$AT$68,AM$4-$B106+1)</f>
        <v/>
      </c>
      <c r="AN106" s="153">
        <f>$C106*INDEX(Curves!$AT$8:$AT$68,AN$4-$B106+1)</f>
        <v/>
      </c>
      <c r="AO106" s="153">
        <f>$C106*INDEX(Curves!$AT$8:$AT$68,AO$4-$B106+1)</f>
        <v/>
      </c>
      <c r="AP106" s="153">
        <f>$C106*INDEX(Curves!$AT$8:$AT$68,AP$4-$B106+1)</f>
        <v/>
      </c>
      <c r="AQ106" s="153">
        <f>$C106*INDEX(Curves!$AT$8:$AT$68,AQ$4-$B106+1)</f>
        <v/>
      </c>
      <c r="AR106" s="153">
        <f>$C106*INDEX(Curves!$AT$8:$AT$68,AR$4-$B106+1)</f>
        <v/>
      </c>
      <c r="AS106" s="153">
        <f>$C106*INDEX(Curves!$AT$8:$AT$68,AS$4-$B106+1)</f>
        <v/>
      </c>
      <c r="AT106" s="153">
        <f>$C106*INDEX(Curves!$AT$8:$AT$68,AT$4-$B106+1)</f>
        <v/>
      </c>
      <c r="AU106" s="153">
        <f>$C106*INDEX(Curves!$AT$8:$AT$68,AU$4-$B106+1)</f>
        <v/>
      </c>
      <c r="AV106" s="153">
        <f>$C106*INDEX(Curves!$AT$8:$AT$68,AV$4-$B106+1)</f>
        <v/>
      </c>
      <c r="AW106" s="153">
        <f>$C106*INDEX(Curves!$AT$8:$AT$68,AW$4-$B106+1)</f>
        <v/>
      </c>
      <c r="AX106" s="153">
        <f>$C106*INDEX(Curves!$AT$8:$AT$68,AX$4-$B106+1)</f>
        <v/>
      </c>
      <c r="AY106" s="153">
        <f>$C106*INDEX(Curves!$AT$8:$AT$68,AY$4-$B106+1)</f>
        <v/>
      </c>
      <c r="AZ106" s="153">
        <f>$C106*INDEX(Curves!$AT$8:$AT$68,AZ$4-$B106+1)</f>
        <v/>
      </c>
      <c r="BA106" s="153">
        <f>$C106*INDEX(Curves!$AT$8:$AT$68,BA$4-$B106+1)</f>
        <v/>
      </c>
      <c r="BB106" s="153">
        <f>$C106*INDEX(Curves!$AT$8:$AT$68,BB$4-$B106+1)</f>
        <v/>
      </c>
      <c r="BC106" s="153">
        <f>$C106*INDEX(Curves!$AT$8:$AT$68,BC$4-$B106+1)</f>
        <v/>
      </c>
      <c r="BD106" s="153">
        <f>$C106*INDEX(Curves!$AT$8:$AT$68,BD$4-$B106+1)</f>
        <v/>
      </c>
      <c r="BE106" s="153">
        <f>$C106*INDEX(Curves!$AT$8:$AT$68,BE$4-$B106+1)</f>
        <v/>
      </c>
      <c r="BF106" s="153">
        <f>$C106*INDEX(Curves!$AT$8:$AT$68,BF$4-$B106+1)</f>
        <v/>
      </c>
      <c r="BG106" s="153">
        <f>$C106*INDEX(Curves!$AT$8:$AT$68,BG$4-$B106+1)</f>
        <v/>
      </c>
      <c r="BH106" s="153">
        <f>$C106*INDEX(Curves!$AT$8:$AT$68,BH$4-$B106+1)</f>
        <v/>
      </c>
      <c r="BI106" s="153">
        <f>$C106*INDEX(Curves!$AT$8:$AT$68,BI$4-$B106+1)</f>
        <v/>
      </c>
      <c r="BJ106" s="153">
        <f>$C106*INDEX(Curves!$AT$8:$AT$68,BJ$4-$B106+1)</f>
        <v/>
      </c>
      <c r="BK106" s="153">
        <f>$C106*INDEX(Curves!$AT$8:$AT$68,BK$4-$B106+1)</f>
        <v/>
      </c>
      <c r="BL106" s="153">
        <f>$C106*INDEX(Curves!$AT$8:$AT$68,BL$4-$B106+1)</f>
        <v/>
      </c>
    </row>
    <row r="107">
      <c r="A107" s="147" t="inlineStr">
        <is>
          <t>Cohort month 35</t>
        </is>
      </c>
      <c r="B107" s="147" t="n">
        <v>35</v>
      </c>
      <c r="C107" s="41">
        <f>INDEX(Ops!$E$84:$BL$84,1,$B107)</f>
        <v/>
      </c>
      <c r="AN107" s="153">
        <f>$C107*INDEX(Curves!$AT$8:$AT$68,AN$4-$B107+1)</f>
        <v/>
      </c>
      <c r="AO107" s="153">
        <f>$C107*INDEX(Curves!$AT$8:$AT$68,AO$4-$B107+1)</f>
        <v/>
      </c>
      <c r="AP107" s="153">
        <f>$C107*INDEX(Curves!$AT$8:$AT$68,AP$4-$B107+1)</f>
        <v/>
      </c>
      <c r="AQ107" s="153">
        <f>$C107*INDEX(Curves!$AT$8:$AT$68,AQ$4-$B107+1)</f>
        <v/>
      </c>
      <c r="AR107" s="153">
        <f>$C107*INDEX(Curves!$AT$8:$AT$68,AR$4-$B107+1)</f>
        <v/>
      </c>
      <c r="AS107" s="153">
        <f>$C107*INDEX(Curves!$AT$8:$AT$68,AS$4-$B107+1)</f>
        <v/>
      </c>
      <c r="AT107" s="153">
        <f>$C107*INDEX(Curves!$AT$8:$AT$68,AT$4-$B107+1)</f>
        <v/>
      </c>
      <c r="AU107" s="153">
        <f>$C107*INDEX(Curves!$AT$8:$AT$68,AU$4-$B107+1)</f>
        <v/>
      </c>
      <c r="AV107" s="153">
        <f>$C107*INDEX(Curves!$AT$8:$AT$68,AV$4-$B107+1)</f>
        <v/>
      </c>
      <c r="AW107" s="153">
        <f>$C107*INDEX(Curves!$AT$8:$AT$68,AW$4-$B107+1)</f>
        <v/>
      </c>
      <c r="AX107" s="153">
        <f>$C107*INDEX(Curves!$AT$8:$AT$68,AX$4-$B107+1)</f>
        <v/>
      </c>
      <c r="AY107" s="153">
        <f>$C107*INDEX(Curves!$AT$8:$AT$68,AY$4-$B107+1)</f>
        <v/>
      </c>
      <c r="AZ107" s="153">
        <f>$C107*INDEX(Curves!$AT$8:$AT$68,AZ$4-$B107+1)</f>
        <v/>
      </c>
      <c r="BA107" s="153">
        <f>$C107*INDEX(Curves!$AT$8:$AT$68,BA$4-$B107+1)</f>
        <v/>
      </c>
      <c r="BB107" s="153">
        <f>$C107*INDEX(Curves!$AT$8:$AT$68,BB$4-$B107+1)</f>
        <v/>
      </c>
      <c r="BC107" s="153">
        <f>$C107*INDEX(Curves!$AT$8:$AT$68,BC$4-$B107+1)</f>
        <v/>
      </c>
      <c r="BD107" s="153">
        <f>$C107*INDEX(Curves!$AT$8:$AT$68,BD$4-$B107+1)</f>
        <v/>
      </c>
      <c r="BE107" s="153">
        <f>$C107*INDEX(Curves!$AT$8:$AT$68,BE$4-$B107+1)</f>
        <v/>
      </c>
      <c r="BF107" s="153">
        <f>$C107*INDEX(Curves!$AT$8:$AT$68,BF$4-$B107+1)</f>
        <v/>
      </c>
      <c r="BG107" s="153">
        <f>$C107*INDEX(Curves!$AT$8:$AT$68,BG$4-$B107+1)</f>
        <v/>
      </c>
      <c r="BH107" s="153">
        <f>$C107*INDEX(Curves!$AT$8:$AT$68,BH$4-$B107+1)</f>
        <v/>
      </c>
      <c r="BI107" s="153">
        <f>$C107*INDEX(Curves!$AT$8:$AT$68,BI$4-$B107+1)</f>
        <v/>
      </c>
      <c r="BJ107" s="153">
        <f>$C107*INDEX(Curves!$AT$8:$AT$68,BJ$4-$B107+1)</f>
        <v/>
      </c>
      <c r="BK107" s="153">
        <f>$C107*INDEX(Curves!$AT$8:$AT$68,BK$4-$B107+1)</f>
        <v/>
      </c>
      <c r="BL107" s="153">
        <f>$C107*INDEX(Curves!$AT$8:$AT$68,BL$4-$B107+1)</f>
        <v/>
      </c>
    </row>
    <row r="108">
      <c r="A108" s="147" t="inlineStr">
        <is>
          <t>Cohort month 36</t>
        </is>
      </c>
      <c r="B108" s="147" t="n">
        <v>36</v>
      </c>
      <c r="C108" s="41">
        <f>INDEX(Ops!$E$84:$BL$84,1,$B108)</f>
        <v/>
      </c>
      <c r="AO108" s="153">
        <f>$C108*INDEX(Curves!$AT$8:$AT$68,AO$4-$B108+1)</f>
        <v/>
      </c>
      <c r="AP108" s="153">
        <f>$C108*INDEX(Curves!$AT$8:$AT$68,AP$4-$B108+1)</f>
        <v/>
      </c>
      <c r="AQ108" s="153">
        <f>$C108*INDEX(Curves!$AT$8:$AT$68,AQ$4-$B108+1)</f>
        <v/>
      </c>
      <c r="AR108" s="153">
        <f>$C108*INDEX(Curves!$AT$8:$AT$68,AR$4-$B108+1)</f>
        <v/>
      </c>
      <c r="AS108" s="153">
        <f>$C108*INDEX(Curves!$AT$8:$AT$68,AS$4-$B108+1)</f>
        <v/>
      </c>
      <c r="AT108" s="153">
        <f>$C108*INDEX(Curves!$AT$8:$AT$68,AT$4-$B108+1)</f>
        <v/>
      </c>
      <c r="AU108" s="153">
        <f>$C108*INDEX(Curves!$AT$8:$AT$68,AU$4-$B108+1)</f>
        <v/>
      </c>
      <c r="AV108" s="153">
        <f>$C108*INDEX(Curves!$AT$8:$AT$68,AV$4-$B108+1)</f>
        <v/>
      </c>
      <c r="AW108" s="153">
        <f>$C108*INDEX(Curves!$AT$8:$AT$68,AW$4-$B108+1)</f>
        <v/>
      </c>
      <c r="AX108" s="153">
        <f>$C108*INDEX(Curves!$AT$8:$AT$68,AX$4-$B108+1)</f>
        <v/>
      </c>
      <c r="AY108" s="153">
        <f>$C108*INDEX(Curves!$AT$8:$AT$68,AY$4-$B108+1)</f>
        <v/>
      </c>
      <c r="AZ108" s="153">
        <f>$C108*INDEX(Curves!$AT$8:$AT$68,AZ$4-$B108+1)</f>
        <v/>
      </c>
      <c r="BA108" s="153">
        <f>$C108*INDEX(Curves!$AT$8:$AT$68,BA$4-$B108+1)</f>
        <v/>
      </c>
      <c r="BB108" s="153">
        <f>$C108*INDEX(Curves!$AT$8:$AT$68,BB$4-$B108+1)</f>
        <v/>
      </c>
      <c r="BC108" s="153">
        <f>$C108*INDEX(Curves!$AT$8:$AT$68,BC$4-$B108+1)</f>
        <v/>
      </c>
      <c r="BD108" s="153">
        <f>$C108*INDEX(Curves!$AT$8:$AT$68,BD$4-$B108+1)</f>
        <v/>
      </c>
      <c r="BE108" s="153">
        <f>$C108*INDEX(Curves!$AT$8:$AT$68,BE$4-$B108+1)</f>
        <v/>
      </c>
      <c r="BF108" s="153">
        <f>$C108*INDEX(Curves!$AT$8:$AT$68,BF$4-$B108+1)</f>
        <v/>
      </c>
      <c r="BG108" s="153">
        <f>$C108*INDEX(Curves!$AT$8:$AT$68,BG$4-$B108+1)</f>
        <v/>
      </c>
      <c r="BH108" s="153">
        <f>$C108*INDEX(Curves!$AT$8:$AT$68,BH$4-$B108+1)</f>
        <v/>
      </c>
      <c r="BI108" s="153">
        <f>$C108*INDEX(Curves!$AT$8:$AT$68,BI$4-$B108+1)</f>
        <v/>
      </c>
      <c r="BJ108" s="153">
        <f>$C108*INDEX(Curves!$AT$8:$AT$68,BJ$4-$B108+1)</f>
        <v/>
      </c>
      <c r="BK108" s="153">
        <f>$C108*INDEX(Curves!$AT$8:$AT$68,BK$4-$B108+1)</f>
        <v/>
      </c>
      <c r="BL108" s="153">
        <f>$C108*INDEX(Curves!$AT$8:$AT$68,BL$4-$B108+1)</f>
        <v/>
      </c>
    </row>
    <row r="109">
      <c r="A109" s="147" t="inlineStr">
        <is>
          <t>Cohort month 37</t>
        </is>
      </c>
      <c r="B109" s="147" t="n">
        <v>37</v>
      </c>
      <c r="C109" s="41">
        <f>INDEX(Ops!$E$84:$BL$84,1,$B109)</f>
        <v/>
      </c>
      <c r="AP109" s="153">
        <f>$C109*INDEX(Curves!$AT$8:$AT$68,AP$4-$B109+1)</f>
        <v/>
      </c>
      <c r="AQ109" s="153">
        <f>$C109*INDEX(Curves!$AT$8:$AT$68,AQ$4-$B109+1)</f>
        <v/>
      </c>
      <c r="AR109" s="153">
        <f>$C109*INDEX(Curves!$AT$8:$AT$68,AR$4-$B109+1)</f>
        <v/>
      </c>
      <c r="AS109" s="153">
        <f>$C109*INDEX(Curves!$AT$8:$AT$68,AS$4-$B109+1)</f>
        <v/>
      </c>
      <c r="AT109" s="153">
        <f>$C109*INDEX(Curves!$AT$8:$AT$68,AT$4-$B109+1)</f>
        <v/>
      </c>
      <c r="AU109" s="153">
        <f>$C109*INDEX(Curves!$AT$8:$AT$68,AU$4-$B109+1)</f>
        <v/>
      </c>
      <c r="AV109" s="153">
        <f>$C109*INDEX(Curves!$AT$8:$AT$68,AV$4-$B109+1)</f>
        <v/>
      </c>
      <c r="AW109" s="153">
        <f>$C109*INDEX(Curves!$AT$8:$AT$68,AW$4-$B109+1)</f>
        <v/>
      </c>
      <c r="AX109" s="153">
        <f>$C109*INDEX(Curves!$AT$8:$AT$68,AX$4-$B109+1)</f>
        <v/>
      </c>
      <c r="AY109" s="153">
        <f>$C109*INDEX(Curves!$AT$8:$AT$68,AY$4-$B109+1)</f>
        <v/>
      </c>
      <c r="AZ109" s="153">
        <f>$C109*INDEX(Curves!$AT$8:$AT$68,AZ$4-$B109+1)</f>
        <v/>
      </c>
      <c r="BA109" s="153">
        <f>$C109*INDEX(Curves!$AT$8:$AT$68,BA$4-$B109+1)</f>
        <v/>
      </c>
      <c r="BB109" s="153">
        <f>$C109*INDEX(Curves!$AT$8:$AT$68,BB$4-$B109+1)</f>
        <v/>
      </c>
      <c r="BC109" s="153">
        <f>$C109*INDEX(Curves!$AT$8:$AT$68,BC$4-$B109+1)</f>
        <v/>
      </c>
      <c r="BD109" s="153">
        <f>$C109*INDEX(Curves!$AT$8:$AT$68,BD$4-$B109+1)</f>
        <v/>
      </c>
      <c r="BE109" s="153">
        <f>$C109*INDEX(Curves!$AT$8:$AT$68,BE$4-$B109+1)</f>
        <v/>
      </c>
      <c r="BF109" s="153">
        <f>$C109*INDEX(Curves!$AT$8:$AT$68,BF$4-$B109+1)</f>
        <v/>
      </c>
      <c r="BG109" s="153">
        <f>$C109*INDEX(Curves!$AT$8:$AT$68,BG$4-$B109+1)</f>
        <v/>
      </c>
      <c r="BH109" s="153">
        <f>$C109*INDEX(Curves!$AT$8:$AT$68,BH$4-$B109+1)</f>
        <v/>
      </c>
      <c r="BI109" s="153">
        <f>$C109*INDEX(Curves!$AT$8:$AT$68,BI$4-$B109+1)</f>
        <v/>
      </c>
      <c r="BJ109" s="153">
        <f>$C109*INDEX(Curves!$AT$8:$AT$68,BJ$4-$B109+1)</f>
        <v/>
      </c>
      <c r="BK109" s="153">
        <f>$C109*INDEX(Curves!$AT$8:$AT$68,BK$4-$B109+1)</f>
        <v/>
      </c>
      <c r="BL109" s="153">
        <f>$C109*INDEX(Curves!$AT$8:$AT$68,BL$4-$B109+1)</f>
        <v/>
      </c>
    </row>
    <row r="110">
      <c r="A110" s="147" t="inlineStr">
        <is>
          <t>Cohort month 38</t>
        </is>
      </c>
      <c r="B110" s="147" t="n">
        <v>38</v>
      </c>
      <c r="C110" s="41">
        <f>INDEX(Ops!$E$84:$BL$84,1,$B110)</f>
        <v/>
      </c>
      <c r="AQ110" s="153">
        <f>$C110*INDEX(Curves!$AT$8:$AT$68,AQ$4-$B110+1)</f>
        <v/>
      </c>
      <c r="AR110" s="153">
        <f>$C110*INDEX(Curves!$AT$8:$AT$68,AR$4-$B110+1)</f>
        <v/>
      </c>
      <c r="AS110" s="153">
        <f>$C110*INDEX(Curves!$AT$8:$AT$68,AS$4-$B110+1)</f>
        <v/>
      </c>
      <c r="AT110" s="153">
        <f>$C110*INDEX(Curves!$AT$8:$AT$68,AT$4-$B110+1)</f>
        <v/>
      </c>
      <c r="AU110" s="153">
        <f>$C110*INDEX(Curves!$AT$8:$AT$68,AU$4-$B110+1)</f>
        <v/>
      </c>
      <c r="AV110" s="153">
        <f>$C110*INDEX(Curves!$AT$8:$AT$68,AV$4-$B110+1)</f>
        <v/>
      </c>
      <c r="AW110" s="153">
        <f>$C110*INDEX(Curves!$AT$8:$AT$68,AW$4-$B110+1)</f>
        <v/>
      </c>
      <c r="AX110" s="153">
        <f>$C110*INDEX(Curves!$AT$8:$AT$68,AX$4-$B110+1)</f>
        <v/>
      </c>
      <c r="AY110" s="153">
        <f>$C110*INDEX(Curves!$AT$8:$AT$68,AY$4-$B110+1)</f>
        <v/>
      </c>
      <c r="AZ110" s="153">
        <f>$C110*INDEX(Curves!$AT$8:$AT$68,AZ$4-$B110+1)</f>
        <v/>
      </c>
      <c r="BA110" s="153">
        <f>$C110*INDEX(Curves!$AT$8:$AT$68,BA$4-$B110+1)</f>
        <v/>
      </c>
      <c r="BB110" s="153">
        <f>$C110*INDEX(Curves!$AT$8:$AT$68,BB$4-$B110+1)</f>
        <v/>
      </c>
      <c r="BC110" s="153">
        <f>$C110*INDEX(Curves!$AT$8:$AT$68,BC$4-$B110+1)</f>
        <v/>
      </c>
      <c r="BD110" s="153">
        <f>$C110*INDEX(Curves!$AT$8:$AT$68,BD$4-$B110+1)</f>
        <v/>
      </c>
      <c r="BE110" s="153">
        <f>$C110*INDEX(Curves!$AT$8:$AT$68,BE$4-$B110+1)</f>
        <v/>
      </c>
      <c r="BF110" s="153">
        <f>$C110*INDEX(Curves!$AT$8:$AT$68,BF$4-$B110+1)</f>
        <v/>
      </c>
      <c r="BG110" s="153">
        <f>$C110*INDEX(Curves!$AT$8:$AT$68,BG$4-$B110+1)</f>
        <v/>
      </c>
      <c r="BH110" s="153">
        <f>$C110*INDEX(Curves!$AT$8:$AT$68,BH$4-$B110+1)</f>
        <v/>
      </c>
      <c r="BI110" s="153">
        <f>$C110*INDEX(Curves!$AT$8:$AT$68,BI$4-$B110+1)</f>
        <v/>
      </c>
      <c r="BJ110" s="153">
        <f>$C110*INDEX(Curves!$AT$8:$AT$68,BJ$4-$B110+1)</f>
        <v/>
      </c>
      <c r="BK110" s="153">
        <f>$C110*INDEX(Curves!$AT$8:$AT$68,BK$4-$B110+1)</f>
        <v/>
      </c>
      <c r="BL110" s="153">
        <f>$C110*INDEX(Curves!$AT$8:$AT$68,BL$4-$B110+1)</f>
        <v/>
      </c>
    </row>
    <row r="111">
      <c r="A111" s="147" t="inlineStr">
        <is>
          <t>Cohort month 39</t>
        </is>
      </c>
      <c r="B111" s="147" t="n">
        <v>39</v>
      </c>
      <c r="C111" s="41">
        <f>INDEX(Ops!$E$84:$BL$84,1,$B111)</f>
        <v/>
      </c>
      <c r="AR111" s="153">
        <f>$C111*INDEX(Curves!$AT$8:$AT$68,AR$4-$B111+1)</f>
        <v/>
      </c>
      <c r="AS111" s="153">
        <f>$C111*INDEX(Curves!$AT$8:$AT$68,AS$4-$B111+1)</f>
        <v/>
      </c>
      <c r="AT111" s="153">
        <f>$C111*INDEX(Curves!$AT$8:$AT$68,AT$4-$B111+1)</f>
        <v/>
      </c>
      <c r="AU111" s="153">
        <f>$C111*INDEX(Curves!$AT$8:$AT$68,AU$4-$B111+1)</f>
        <v/>
      </c>
      <c r="AV111" s="153">
        <f>$C111*INDEX(Curves!$AT$8:$AT$68,AV$4-$B111+1)</f>
        <v/>
      </c>
      <c r="AW111" s="153">
        <f>$C111*INDEX(Curves!$AT$8:$AT$68,AW$4-$B111+1)</f>
        <v/>
      </c>
      <c r="AX111" s="153">
        <f>$C111*INDEX(Curves!$AT$8:$AT$68,AX$4-$B111+1)</f>
        <v/>
      </c>
      <c r="AY111" s="153">
        <f>$C111*INDEX(Curves!$AT$8:$AT$68,AY$4-$B111+1)</f>
        <v/>
      </c>
      <c r="AZ111" s="153">
        <f>$C111*INDEX(Curves!$AT$8:$AT$68,AZ$4-$B111+1)</f>
        <v/>
      </c>
      <c r="BA111" s="153">
        <f>$C111*INDEX(Curves!$AT$8:$AT$68,BA$4-$B111+1)</f>
        <v/>
      </c>
      <c r="BB111" s="153">
        <f>$C111*INDEX(Curves!$AT$8:$AT$68,BB$4-$B111+1)</f>
        <v/>
      </c>
      <c r="BC111" s="153">
        <f>$C111*INDEX(Curves!$AT$8:$AT$68,BC$4-$B111+1)</f>
        <v/>
      </c>
      <c r="BD111" s="153">
        <f>$C111*INDEX(Curves!$AT$8:$AT$68,BD$4-$B111+1)</f>
        <v/>
      </c>
      <c r="BE111" s="153">
        <f>$C111*INDEX(Curves!$AT$8:$AT$68,BE$4-$B111+1)</f>
        <v/>
      </c>
      <c r="BF111" s="153">
        <f>$C111*INDEX(Curves!$AT$8:$AT$68,BF$4-$B111+1)</f>
        <v/>
      </c>
      <c r="BG111" s="153">
        <f>$C111*INDEX(Curves!$AT$8:$AT$68,BG$4-$B111+1)</f>
        <v/>
      </c>
      <c r="BH111" s="153">
        <f>$C111*INDEX(Curves!$AT$8:$AT$68,BH$4-$B111+1)</f>
        <v/>
      </c>
      <c r="BI111" s="153">
        <f>$C111*INDEX(Curves!$AT$8:$AT$68,BI$4-$B111+1)</f>
        <v/>
      </c>
      <c r="BJ111" s="153">
        <f>$C111*INDEX(Curves!$AT$8:$AT$68,BJ$4-$B111+1)</f>
        <v/>
      </c>
      <c r="BK111" s="153">
        <f>$C111*INDEX(Curves!$AT$8:$AT$68,BK$4-$B111+1)</f>
        <v/>
      </c>
      <c r="BL111" s="153">
        <f>$C111*INDEX(Curves!$AT$8:$AT$68,BL$4-$B111+1)</f>
        <v/>
      </c>
    </row>
    <row r="112">
      <c r="A112" s="147" t="inlineStr">
        <is>
          <t>Cohort month 40</t>
        </is>
      </c>
      <c r="B112" s="147" t="n">
        <v>40</v>
      </c>
      <c r="C112" s="41">
        <f>INDEX(Ops!$E$84:$BL$84,1,$B112)</f>
        <v/>
      </c>
      <c r="AS112" s="153">
        <f>$C112*INDEX(Curves!$AT$8:$AT$68,AS$4-$B112+1)</f>
        <v/>
      </c>
      <c r="AT112" s="153">
        <f>$C112*INDEX(Curves!$AT$8:$AT$68,AT$4-$B112+1)</f>
        <v/>
      </c>
      <c r="AU112" s="153">
        <f>$C112*INDEX(Curves!$AT$8:$AT$68,AU$4-$B112+1)</f>
        <v/>
      </c>
      <c r="AV112" s="153">
        <f>$C112*INDEX(Curves!$AT$8:$AT$68,AV$4-$B112+1)</f>
        <v/>
      </c>
      <c r="AW112" s="153">
        <f>$C112*INDEX(Curves!$AT$8:$AT$68,AW$4-$B112+1)</f>
        <v/>
      </c>
      <c r="AX112" s="153">
        <f>$C112*INDEX(Curves!$AT$8:$AT$68,AX$4-$B112+1)</f>
        <v/>
      </c>
      <c r="AY112" s="153">
        <f>$C112*INDEX(Curves!$AT$8:$AT$68,AY$4-$B112+1)</f>
        <v/>
      </c>
      <c r="AZ112" s="153">
        <f>$C112*INDEX(Curves!$AT$8:$AT$68,AZ$4-$B112+1)</f>
        <v/>
      </c>
      <c r="BA112" s="153">
        <f>$C112*INDEX(Curves!$AT$8:$AT$68,BA$4-$B112+1)</f>
        <v/>
      </c>
      <c r="BB112" s="153">
        <f>$C112*INDEX(Curves!$AT$8:$AT$68,BB$4-$B112+1)</f>
        <v/>
      </c>
      <c r="BC112" s="153">
        <f>$C112*INDEX(Curves!$AT$8:$AT$68,BC$4-$B112+1)</f>
        <v/>
      </c>
      <c r="BD112" s="153">
        <f>$C112*INDEX(Curves!$AT$8:$AT$68,BD$4-$B112+1)</f>
        <v/>
      </c>
      <c r="BE112" s="153">
        <f>$C112*INDEX(Curves!$AT$8:$AT$68,BE$4-$B112+1)</f>
        <v/>
      </c>
      <c r="BF112" s="153">
        <f>$C112*INDEX(Curves!$AT$8:$AT$68,BF$4-$B112+1)</f>
        <v/>
      </c>
      <c r="BG112" s="153">
        <f>$C112*INDEX(Curves!$AT$8:$AT$68,BG$4-$B112+1)</f>
        <v/>
      </c>
      <c r="BH112" s="153">
        <f>$C112*INDEX(Curves!$AT$8:$AT$68,BH$4-$B112+1)</f>
        <v/>
      </c>
      <c r="BI112" s="153">
        <f>$C112*INDEX(Curves!$AT$8:$AT$68,BI$4-$B112+1)</f>
        <v/>
      </c>
      <c r="BJ112" s="153">
        <f>$C112*INDEX(Curves!$AT$8:$AT$68,BJ$4-$B112+1)</f>
        <v/>
      </c>
      <c r="BK112" s="153">
        <f>$C112*INDEX(Curves!$AT$8:$AT$68,BK$4-$B112+1)</f>
        <v/>
      </c>
      <c r="BL112" s="153">
        <f>$C112*INDEX(Curves!$AT$8:$AT$68,BL$4-$B112+1)</f>
        <v/>
      </c>
    </row>
    <row r="113">
      <c r="A113" s="147" t="inlineStr">
        <is>
          <t>Cohort month 41</t>
        </is>
      </c>
      <c r="B113" s="147" t="n">
        <v>41</v>
      </c>
      <c r="C113" s="41">
        <f>INDEX(Ops!$E$84:$BL$84,1,$B113)</f>
        <v/>
      </c>
      <c r="AT113" s="153">
        <f>$C113*INDEX(Curves!$AT$8:$AT$68,AT$4-$B113+1)</f>
        <v/>
      </c>
      <c r="AU113" s="153">
        <f>$C113*INDEX(Curves!$AT$8:$AT$68,AU$4-$B113+1)</f>
        <v/>
      </c>
      <c r="AV113" s="153">
        <f>$C113*INDEX(Curves!$AT$8:$AT$68,AV$4-$B113+1)</f>
        <v/>
      </c>
      <c r="AW113" s="153">
        <f>$C113*INDEX(Curves!$AT$8:$AT$68,AW$4-$B113+1)</f>
        <v/>
      </c>
      <c r="AX113" s="153">
        <f>$C113*INDEX(Curves!$AT$8:$AT$68,AX$4-$B113+1)</f>
        <v/>
      </c>
      <c r="AY113" s="153">
        <f>$C113*INDEX(Curves!$AT$8:$AT$68,AY$4-$B113+1)</f>
        <v/>
      </c>
      <c r="AZ113" s="153">
        <f>$C113*INDEX(Curves!$AT$8:$AT$68,AZ$4-$B113+1)</f>
        <v/>
      </c>
      <c r="BA113" s="153">
        <f>$C113*INDEX(Curves!$AT$8:$AT$68,BA$4-$B113+1)</f>
        <v/>
      </c>
      <c r="BB113" s="153">
        <f>$C113*INDEX(Curves!$AT$8:$AT$68,BB$4-$B113+1)</f>
        <v/>
      </c>
      <c r="BC113" s="153">
        <f>$C113*INDEX(Curves!$AT$8:$AT$68,BC$4-$B113+1)</f>
        <v/>
      </c>
      <c r="BD113" s="153">
        <f>$C113*INDEX(Curves!$AT$8:$AT$68,BD$4-$B113+1)</f>
        <v/>
      </c>
      <c r="BE113" s="153">
        <f>$C113*INDEX(Curves!$AT$8:$AT$68,BE$4-$B113+1)</f>
        <v/>
      </c>
      <c r="BF113" s="153">
        <f>$C113*INDEX(Curves!$AT$8:$AT$68,BF$4-$B113+1)</f>
        <v/>
      </c>
      <c r="BG113" s="153">
        <f>$C113*INDEX(Curves!$AT$8:$AT$68,BG$4-$B113+1)</f>
        <v/>
      </c>
      <c r="BH113" s="153">
        <f>$C113*INDEX(Curves!$AT$8:$AT$68,BH$4-$B113+1)</f>
        <v/>
      </c>
      <c r="BI113" s="153">
        <f>$C113*INDEX(Curves!$AT$8:$AT$68,BI$4-$B113+1)</f>
        <v/>
      </c>
      <c r="BJ113" s="153">
        <f>$C113*INDEX(Curves!$AT$8:$AT$68,BJ$4-$B113+1)</f>
        <v/>
      </c>
      <c r="BK113" s="153">
        <f>$C113*INDEX(Curves!$AT$8:$AT$68,BK$4-$B113+1)</f>
        <v/>
      </c>
      <c r="BL113" s="153">
        <f>$C113*INDEX(Curves!$AT$8:$AT$68,BL$4-$B113+1)</f>
        <v/>
      </c>
    </row>
    <row r="114">
      <c r="A114" s="147" t="inlineStr">
        <is>
          <t>Cohort month 42</t>
        </is>
      </c>
      <c r="B114" s="147" t="n">
        <v>42</v>
      </c>
      <c r="C114" s="41">
        <f>INDEX(Ops!$E$84:$BL$84,1,$B114)</f>
        <v/>
      </c>
      <c r="AU114" s="153">
        <f>$C114*INDEX(Curves!$AT$8:$AT$68,AU$4-$B114+1)</f>
        <v/>
      </c>
      <c r="AV114" s="153">
        <f>$C114*INDEX(Curves!$AT$8:$AT$68,AV$4-$B114+1)</f>
        <v/>
      </c>
      <c r="AW114" s="153">
        <f>$C114*INDEX(Curves!$AT$8:$AT$68,AW$4-$B114+1)</f>
        <v/>
      </c>
      <c r="AX114" s="153">
        <f>$C114*INDEX(Curves!$AT$8:$AT$68,AX$4-$B114+1)</f>
        <v/>
      </c>
      <c r="AY114" s="153">
        <f>$C114*INDEX(Curves!$AT$8:$AT$68,AY$4-$B114+1)</f>
        <v/>
      </c>
      <c r="AZ114" s="153">
        <f>$C114*INDEX(Curves!$AT$8:$AT$68,AZ$4-$B114+1)</f>
        <v/>
      </c>
      <c r="BA114" s="153">
        <f>$C114*INDEX(Curves!$AT$8:$AT$68,BA$4-$B114+1)</f>
        <v/>
      </c>
      <c r="BB114" s="153">
        <f>$C114*INDEX(Curves!$AT$8:$AT$68,BB$4-$B114+1)</f>
        <v/>
      </c>
      <c r="BC114" s="153">
        <f>$C114*INDEX(Curves!$AT$8:$AT$68,BC$4-$B114+1)</f>
        <v/>
      </c>
      <c r="BD114" s="153">
        <f>$C114*INDEX(Curves!$AT$8:$AT$68,BD$4-$B114+1)</f>
        <v/>
      </c>
      <c r="BE114" s="153">
        <f>$C114*INDEX(Curves!$AT$8:$AT$68,BE$4-$B114+1)</f>
        <v/>
      </c>
      <c r="BF114" s="153">
        <f>$C114*INDEX(Curves!$AT$8:$AT$68,BF$4-$B114+1)</f>
        <v/>
      </c>
      <c r="BG114" s="153">
        <f>$C114*INDEX(Curves!$AT$8:$AT$68,BG$4-$B114+1)</f>
        <v/>
      </c>
      <c r="BH114" s="153">
        <f>$C114*INDEX(Curves!$AT$8:$AT$68,BH$4-$B114+1)</f>
        <v/>
      </c>
      <c r="BI114" s="153">
        <f>$C114*INDEX(Curves!$AT$8:$AT$68,BI$4-$B114+1)</f>
        <v/>
      </c>
      <c r="BJ114" s="153">
        <f>$C114*INDEX(Curves!$AT$8:$AT$68,BJ$4-$B114+1)</f>
        <v/>
      </c>
      <c r="BK114" s="153">
        <f>$C114*INDEX(Curves!$AT$8:$AT$68,BK$4-$B114+1)</f>
        <v/>
      </c>
      <c r="BL114" s="153">
        <f>$C114*INDEX(Curves!$AT$8:$AT$68,BL$4-$B114+1)</f>
        <v/>
      </c>
    </row>
    <row r="115">
      <c r="A115" s="147" t="inlineStr">
        <is>
          <t>Cohort month 43</t>
        </is>
      </c>
      <c r="B115" s="147" t="n">
        <v>43</v>
      </c>
      <c r="C115" s="41">
        <f>INDEX(Ops!$E$84:$BL$84,1,$B115)</f>
        <v/>
      </c>
      <c r="AV115" s="153">
        <f>$C115*INDEX(Curves!$AT$8:$AT$68,AV$4-$B115+1)</f>
        <v/>
      </c>
      <c r="AW115" s="153">
        <f>$C115*INDEX(Curves!$AT$8:$AT$68,AW$4-$B115+1)</f>
        <v/>
      </c>
      <c r="AX115" s="153">
        <f>$C115*INDEX(Curves!$AT$8:$AT$68,AX$4-$B115+1)</f>
        <v/>
      </c>
      <c r="AY115" s="153">
        <f>$C115*INDEX(Curves!$AT$8:$AT$68,AY$4-$B115+1)</f>
        <v/>
      </c>
      <c r="AZ115" s="153">
        <f>$C115*INDEX(Curves!$AT$8:$AT$68,AZ$4-$B115+1)</f>
        <v/>
      </c>
      <c r="BA115" s="153">
        <f>$C115*INDEX(Curves!$AT$8:$AT$68,BA$4-$B115+1)</f>
        <v/>
      </c>
      <c r="BB115" s="153">
        <f>$C115*INDEX(Curves!$AT$8:$AT$68,BB$4-$B115+1)</f>
        <v/>
      </c>
      <c r="BC115" s="153">
        <f>$C115*INDEX(Curves!$AT$8:$AT$68,BC$4-$B115+1)</f>
        <v/>
      </c>
      <c r="BD115" s="153">
        <f>$C115*INDEX(Curves!$AT$8:$AT$68,BD$4-$B115+1)</f>
        <v/>
      </c>
      <c r="BE115" s="153">
        <f>$C115*INDEX(Curves!$AT$8:$AT$68,BE$4-$B115+1)</f>
        <v/>
      </c>
      <c r="BF115" s="153">
        <f>$C115*INDEX(Curves!$AT$8:$AT$68,BF$4-$B115+1)</f>
        <v/>
      </c>
      <c r="BG115" s="153">
        <f>$C115*INDEX(Curves!$AT$8:$AT$68,BG$4-$B115+1)</f>
        <v/>
      </c>
      <c r="BH115" s="153">
        <f>$C115*INDEX(Curves!$AT$8:$AT$68,BH$4-$B115+1)</f>
        <v/>
      </c>
      <c r="BI115" s="153">
        <f>$C115*INDEX(Curves!$AT$8:$AT$68,BI$4-$B115+1)</f>
        <v/>
      </c>
      <c r="BJ115" s="153">
        <f>$C115*INDEX(Curves!$AT$8:$AT$68,BJ$4-$B115+1)</f>
        <v/>
      </c>
      <c r="BK115" s="153">
        <f>$C115*INDEX(Curves!$AT$8:$AT$68,BK$4-$B115+1)</f>
        <v/>
      </c>
      <c r="BL115" s="153">
        <f>$C115*INDEX(Curves!$AT$8:$AT$68,BL$4-$B115+1)</f>
        <v/>
      </c>
    </row>
    <row r="116">
      <c r="A116" s="147" t="inlineStr">
        <is>
          <t>Cohort month 44</t>
        </is>
      </c>
      <c r="B116" s="147" t="n">
        <v>44</v>
      </c>
      <c r="C116" s="41">
        <f>INDEX(Ops!$E$84:$BL$84,1,$B116)</f>
        <v/>
      </c>
      <c r="AW116" s="153">
        <f>$C116*INDEX(Curves!$AT$8:$AT$68,AW$4-$B116+1)</f>
        <v/>
      </c>
      <c r="AX116" s="153">
        <f>$C116*INDEX(Curves!$AT$8:$AT$68,AX$4-$B116+1)</f>
        <v/>
      </c>
      <c r="AY116" s="153">
        <f>$C116*INDEX(Curves!$AT$8:$AT$68,AY$4-$B116+1)</f>
        <v/>
      </c>
      <c r="AZ116" s="153">
        <f>$C116*INDEX(Curves!$AT$8:$AT$68,AZ$4-$B116+1)</f>
        <v/>
      </c>
      <c r="BA116" s="153">
        <f>$C116*INDEX(Curves!$AT$8:$AT$68,BA$4-$B116+1)</f>
        <v/>
      </c>
      <c r="BB116" s="153">
        <f>$C116*INDEX(Curves!$AT$8:$AT$68,BB$4-$B116+1)</f>
        <v/>
      </c>
      <c r="BC116" s="153">
        <f>$C116*INDEX(Curves!$AT$8:$AT$68,BC$4-$B116+1)</f>
        <v/>
      </c>
      <c r="BD116" s="153">
        <f>$C116*INDEX(Curves!$AT$8:$AT$68,BD$4-$B116+1)</f>
        <v/>
      </c>
      <c r="BE116" s="153">
        <f>$C116*INDEX(Curves!$AT$8:$AT$68,BE$4-$B116+1)</f>
        <v/>
      </c>
      <c r="BF116" s="153">
        <f>$C116*INDEX(Curves!$AT$8:$AT$68,BF$4-$B116+1)</f>
        <v/>
      </c>
      <c r="BG116" s="153">
        <f>$C116*INDEX(Curves!$AT$8:$AT$68,BG$4-$B116+1)</f>
        <v/>
      </c>
      <c r="BH116" s="153">
        <f>$C116*INDEX(Curves!$AT$8:$AT$68,BH$4-$B116+1)</f>
        <v/>
      </c>
      <c r="BI116" s="153">
        <f>$C116*INDEX(Curves!$AT$8:$AT$68,BI$4-$B116+1)</f>
        <v/>
      </c>
      <c r="BJ116" s="153">
        <f>$C116*INDEX(Curves!$AT$8:$AT$68,BJ$4-$B116+1)</f>
        <v/>
      </c>
      <c r="BK116" s="153">
        <f>$C116*INDEX(Curves!$AT$8:$AT$68,BK$4-$B116+1)</f>
        <v/>
      </c>
      <c r="BL116" s="153">
        <f>$C116*INDEX(Curves!$AT$8:$AT$68,BL$4-$B116+1)</f>
        <v/>
      </c>
    </row>
    <row r="117">
      <c r="A117" s="147" t="inlineStr">
        <is>
          <t>Cohort month 45</t>
        </is>
      </c>
      <c r="B117" s="147" t="n">
        <v>45</v>
      </c>
      <c r="C117" s="41">
        <f>INDEX(Ops!$E$84:$BL$84,1,$B117)</f>
        <v/>
      </c>
      <c r="AX117" s="153">
        <f>$C117*INDEX(Curves!$AT$8:$AT$68,AX$4-$B117+1)</f>
        <v/>
      </c>
      <c r="AY117" s="153">
        <f>$C117*INDEX(Curves!$AT$8:$AT$68,AY$4-$B117+1)</f>
        <v/>
      </c>
      <c r="AZ117" s="153">
        <f>$C117*INDEX(Curves!$AT$8:$AT$68,AZ$4-$B117+1)</f>
        <v/>
      </c>
      <c r="BA117" s="153">
        <f>$C117*INDEX(Curves!$AT$8:$AT$68,BA$4-$B117+1)</f>
        <v/>
      </c>
      <c r="BB117" s="153">
        <f>$C117*INDEX(Curves!$AT$8:$AT$68,BB$4-$B117+1)</f>
        <v/>
      </c>
      <c r="BC117" s="153">
        <f>$C117*INDEX(Curves!$AT$8:$AT$68,BC$4-$B117+1)</f>
        <v/>
      </c>
      <c r="BD117" s="153">
        <f>$C117*INDEX(Curves!$AT$8:$AT$68,BD$4-$B117+1)</f>
        <v/>
      </c>
      <c r="BE117" s="153">
        <f>$C117*INDEX(Curves!$AT$8:$AT$68,BE$4-$B117+1)</f>
        <v/>
      </c>
      <c r="BF117" s="153">
        <f>$C117*INDEX(Curves!$AT$8:$AT$68,BF$4-$B117+1)</f>
        <v/>
      </c>
      <c r="BG117" s="153">
        <f>$C117*INDEX(Curves!$AT$8:$AT$68,BG$4-$B117+1)</f>
        <v/>
      </c>
      <c r="BH117" s="153">
        <f>$C117*INDEX(Curves!$AT$8:$AT$68,BH$4-$B117+1)</f>
        <v/>
      </c>
      <c r="BI117" s="153">
        <f>$C117*INDEX(Curves!$AT$8:$AT$68,BI$4-$B117+1)</f>
        <v/>
      </c>
      <c r="BJ117" s="153">
        <f>$C117*INDEX(Curves!$AT$8:$AT$68,BJ$4-$B117+1)</f>
        <v/>
      </c>
      <c r="BK117" s="153">
        <f>$C117*INDEX(Curves!$AT$8:$AT$68,BK$4-$B117+1)</f>
        <v/>
      </c>
      <c r="BL117" s="153">
        <f>$C117*INDEX(Curves!$AT$8:$AT$68,BL$4-$B117+1)</f>
        <v/>
      </c>
    </row>
    <row r="118">
      <c r="A118" s="147" t="inlineStr">
        <is>
          <t>Cohort month 46</t>
        </is>
      </c>
      <c r="B118" s="147" t="n">
        <v>46</v>
      </c>
      <c r="C118" s="41">
        <f>INDEX(Ops!$E$84:$BL$84,1,$B118)</f>
        <v/>
      </c>
      <c r="AY118" s="153">
        <f>$C118*INDEX(Curves!$AT$8:$AT$68,AY$4-$B118+1)</f>
        <v/>
      </c>
      <c r="AZ118" s="153">
        <f>$C118*INDEX(Curves!$AT$8:$AT$68,AZ$4-$B118+1)</f>
        <v/>
      </c>
      <c r="BA118" s="153">
        <f>$C118*INDEX(Curves!$AT$8:$AT$68,BA$4-$B118+1)</f>
        <v/>
      </c>
      <c r="BB118" s="153">
        <f>$C118*INDEX(Curves!$AT$8:$AT$68,BB$4-$B118+1)</f>
        <v/>
      </c>
      <c r="BC118" s="153">
        <f>$C118*INDEX(Curves!$AT$8:$AT$68,BC$4-$B118+1)</f>
        <v/>
      </c>
      <c r="BD118" s="153">
        <f>$C118*INDEX(Curves!$AT$8:$AT$68,BD$4-$B118+1)</f>
        <v/>
      </c>
      <c r="BE118" s="153">
        <f>$C118*INDEX(Curves!$AT$8:$AT$68,BE$4-$B118+1)</f>
        <v/>
      </c>
      <c r="BF118" s="153">
        <f>$C118*INDEX(Curves!$AT$8:$AT$68,BF$4-$B118+1)</f>
        <v/>
      </c>
      <c r="BG118" s="153">
        <f>$C118*INDEX(Curves!$AT$8:$AT$68,BG$4-$B118+1)</f>
        <v/>
      </c>
      <c r="BH118" s="153">
        <f>$C118*INDEX(Curves!$AT$8:$AT$68,BH$4-$B118+1)</f>
        <v/>
      </c>
      <c r="BI118" s="153">
        <f>$C118*INDEX(Curves!$AT$8:$AT$68,BI$4-$B118+1)</f>
        <v/>
      </c>
      <c r="BJ118" s="153">
        <f>$C118*INDEX(Curves!$AT$8:$AT$68,BJ$4-$B118+1)</f>
        <v/>
      </c>
      <c r="BK118" s="153">
        <f>$C118*INDEX(Curves!$AT$8:$AT$68,BK$4-$B118+1)</f>
        <v/>
      </c>
      <c r="BL118" s="153">
        <f>$C118*INDEX(Curves!$AT$8:$AT$68,BL$4-$B118+1)</f>
        <v/>
      </c>
    </row>
    <row r="119">
      <c r="A119" s="147" t="inlineStr">
        <is>
          <t>Cohort month 47</t>
        </is>
      </c>
      <c r="B119" s="147" t="n">
        <v>47</v>
      </c>
      <c r="C119" s="41">
        <f>INDEX(Ops!$E$84:$BL$84,1,$B119)</f>
        <v/>
      </c>
      <c r="AZ119" s="153">
        <f>$C119*INDEX(Curves!$AT$8:$AT$68,AZ$4-$B119+1)</f>
        <v/>
      </c>
      <c r="BA119" s="153">
        <f>$C119*INDEX(Curves!$AT$8:$AT$68,BA$4-$B119+1)</f>
        <v/>
      </c>
      <c r="BB119" s="153">
        <f>$C119*INDEX(Curves!$AT$8:$AT$68,BB$4-$B119+1)</f>
        <v/>
      </c>
      <c r="BC119" s="153">
        <f>$C119*INDEX(Curves!$AT$8:$AT$68,BC$4-$B119+1)</f>
        <v/>
      </c>
      <c r="BD119" s="153">
        <f>$C119*INDEX(Curves!$AT$8:$AT$68,BD$4-$B119+1)</f>
        <v/>
      </c>
      <c r="BE119" s="153">
        <f>$C119*INDEX(Curves!$AT$8:$AT$68,BE$4-$B119+1)</f>
        <v/>
      </c>
      <c r="BF119" s="153">
        <f>$C119*INDEX(Curves!$AT$8:$AT$68,BF$4-$B119+1)</f>
        <v/>
      </c>
      <c r="BG119" s="153">
        <f>$C119*INDEX(Curves!$AT$8:$AT$68,BG$4-$B119+1)</f>
        <v/>
      </c>
      <c r="BH119" s="153">
        <f>$C119*INDEX(Curves!$AT$8:$AT$68,BH$4-$B119+1)</f>
        <v/>
      </c>
      <c r="BI119" s="153">
        <f>$C119*INDEX(Curves!$AT$8:$AT$68,BI$4-$B119+1)</f>
        <v/>
      </c>
      <c r="BJ119" s="153">
        <f>$C119*INDEX(Curves!$AT$8:$AT$68,BJ$4-$B119+1)</f>
        <v/>
      </c>
      <c r="BK119" s="153">
        <f>$C119*INDEX(Curves!$AT$8:$AT$68,BK$4-$B119+1)</f>
        <v/>
      </c>
      <c r="BL119" s="153">
        <f>$C119*INDEX(Curves!$AT$8:$AT$68,BL$4-$B119+1)</f>
        <v/>
      </c>
    </row>
    <row r="120">
      <c r="A120" s="147" t="inlineStr">
        <is>
          <t>Cohort month 48</t>
        </is>
      </c>
      <c r="B120" s="147" t="n">
        <v>48</v>
      </c>
      <c r="C120" s="41">
        <f>INDEX(Ops!$E$84:$BL$84,1,$B120)</f>
        <v/>
      </c>
      <c r="BA120" s="153">
        <f>$C120*INDEX(Curves!$AT$8:$AT$68,BA$4-$B120+1)</f>
        <v/>
      </c>
      <c r="BB120" s="153">
        <f>$C120*INDEX(Curves!$AT$8:$AT$68,BB$4-$B120+1)</f>
        <v/>
      </c>
      <c r="BC120" s="153">
        <f>$C120*INDEX(Curves!$AT$8:$AT$68,BC$4-$B120+1)</f>
        <v/>
      </c>
      <c r="BD120" s="153">
        <f>$C120*INDEX(Curves!$AT$8:$AT$68,BD$4-$B120+1)</f>
        <v/>
      </c>
      <c r="BE120" s="153">
        <f>$C120*INDEX(Curves!$AT$8:$AT$68,BE$4-$B120+1)</f>
        <v/>
      </c>
      <c r="BF120" s="153">
        <f>$C120*INDEX(Curves!$AT$8:$AT$68,BF$4-$B120+1)</f>
        <v/>
      </c>
      <c r="BG120" s="153">
        <f>$C120*INDEX(Curves!$AT$8:$AT$68,BG$4-$B120+1)</f>
        <v/>
      </c>
      <c r="BH120" s="153">
        <f>$C120*INDEX(Curves!$AT$8:$AT$68,BH$4-$B120+1)</f>
        <v/>
      </c>
      <c r="BI120" s="153">
        <f>$C120*INDEX(Curves!$AT$8:$AT$68,BI$4-$B120+1)</f>
        <v/>
      </c>
      <c r="BJ120" s="153">
        <f>$C120*INDEX(Curves!$AT$8:$AT$68,BJ$4-$B120+1)</f>
        <v/>
      </c>
      <c r="BK120" s="153">
        <f>$C120*INDEX(Curves!$AT$8:$AT$68,BK$4-$B120+1)</f>
        <v/>
      </c>
      <c r="BL120" s="153">
        <f>$C120*INDEX(Curves!$AT$8:$AT$68,BL$4-$B120+1)</f>
        <v/>
      </c>
    </row>
    <row r="121">
      <c r="A121" s="147" t="inlineStr">
        <is>
          <t>Cohort month 49</t>
        </is>
      </c>
      <c r="B121" s="147" t="n">
        <v>49</v>
      </c>
      <c r="C121" s="41">
        <f>INDEX(Ops!$E$84:$BL$84,1,$B121)</f>
        <v/>
      </c>
      <c r="BB121" s="153">
        <f>$C121*INDEX(Curves!$AT$8:$AT$68,BB$4-$B121+1)</f>
        <v/>
      </c>
      <c r="BC121" s="153">
        <f>$C121*INDEX(Curves!$AT$8:$AT$68,BC$4-$B121+1)</f>
        <v/>
      </c>
      <c r="BD121" s="153">
        <f>$C121*INDEX(Curves!$AT$8:$AT$68,BD$4-$B121+1)</f>
        <v/>
      </c>
      <c r="BE121" s="153">
        <f>$C121*INDEX(Curves!$AT$8:$AT$68,BE$4-$B121+1)</f>
        <v/>
      </c>
      <c r="BF121" s="153">
        <f>$C121*INDEX(Curves!$AT$8:$AT$68,BF$4-$B121+1)</f>
        <v/>
      </c>
      <c r="BG121" s="153">
        <f>$C121*INDEX(Curves!$AT$8:$AT$68,BG$4-$B121+1)</f>
        <v/>
      </c>
      <c r="BH121" s="153">
        <f>$C121*INDEX(Curves!$AT$8:$AT$68,BH$4-$B121+1)</f>
        <v/>
      </c>
      <c r="BI121" s="153">
        <f>$C121*INDEX(Curves!$AT$8:$AT$68,BI$4-$B121+1)</f>
        <v/>
      </c>
      <c r="BJ121" s="153">
        <f>$C121*INDEX(Curves!$AT$8:$AT$68,BJ$4-$B121+1)</f>
        <v/>
      </c>
      <c r="BK121" s="153">
        <f>$C121*INDEX(Curves!$AT$8:$AT$68,BK$4-$B121+1)</f>
        <v/>
      </c>
      <c r="BL121" s="153">
        <f>$C121*INDEX(Curves!$AT$8:$AT$68,BL$4-$B121+1)</f>
        <v/>
      </c>
    </row>
    <row r="122">
      <c r="A122" s="147" t="inlineStr">
        <is>
          <t>Cohort month 50</t>
        </is>
      </c>
      <c r="B122" s="147" t="n">
        <v>50</v>
      </c>
      <c r="C122" s="41">
        <f>INDEX(Ops!$E$84:$BL$84,1,$B122)</f>
        <v/>
      </c>
      <c r="BC122" s="153">
        <f>$C122*INDEX(Curves!$AT$8:$AT$68,BC$4-$B122+1)</f>
        <v/>
      </c>
      <c r="BD122" s="153">
        <f>$C122*INDEX(Curves!$AT$8:$AT$68,BD$4-$B122+1)</f>
        <v/>
      </c>
      <c r="BE122" s="153">
        <f>$C122*INDEX(Curves!$AT$8:$AT$68,BE$4-$B122+1)</f>
        <v/>
      </c>
      <c r="BF122" s="153">
        <f>$C122*INDEX(Curves!$AT$8:$AT$68,BF$4-$B122+1)</f>
        <v/>
      </c>
      <c r="BG122" s="153">
        <f>$C122*INDEX(Curves!$AT$8:$AT$68,BG$4-$B122+1)</f>
        <v/>
      </c>
      <c r="BH122" s="153">
        <f>$C122*INDEX(Curves!$AT$8:$AT$68,BH$4-$B122+1)</f>
        <v/>
      </c>
      <c r="BI122" s="153">
        <f>$C122*INDEX(Curves!$AT$8:$AT$68,BI$4-$B122+1)</f>
        <v/>
      </c>
      <c r="BJ122" s="153">
        <f>$C122*INDEX(Curves!$AT$8:$AT$68,BJ$4-$B122+1)</f>
        <v/>
      </c>
      <c r="BK122" s="153">
        <f>$C122*INDEX(Curves!$AT$8:$AT$68,BK$4-$B122+1)</f>
        <v/>
      </c>
      <c r="BL122" s="153">
        <f>$C122*INDEX(Curves!$AT$8:$AT$68,BL$4-$B122+1)</f>
        <v/>
      </c>
    </row>
    <row r="123">
      <c r="A123" s="147" t="inlineStr">
        <is>
          <t>Cohort month 51</t>
        </is>
      </c>
      <c r="B123" s="147" t="n">
        <v>51</v>
      </c>
      <c r="C123" s="41">
        <f>INDEX(Ops!$E$84:$BL$84,1,$B123)</f>
        <v/>
      </c>
      <c r="BD123" s="153">
        <f>$C123*INDEX(Curves!$AT$8:$AT$68,BD$4-$B123+1)</f>
        <v/>
      </c>
      <c r="BE123" s="153">
        <f>$C123*INDEX(Curves!$AT$8:$AT$68,BE$4-$B123+1)</f>
        <v/>
      </c>
      <c r="BF123" s="153">
        <f>$C123*INDEX(Curves!$AT$8:$AT$68,BF$4-$B123+1)</f>
        <v/>
      </c>
      <c r="BG123" s="153">
        <f>$C123*INDEX(Curves!$AT$8:$AT$68,BG$4-$B123+1)</f>
        <v/>
      </c>
      <c r="BH123" s="153">
        <f>$C123*INDEX(Curves!$AT$8:$AT$68,BH$4-$B123+1)</f>
        <v/>
      </c>
      <c r="BI123" s="153">
        <f>$C123*INDEX(Curves!$AT$8:$AT$68,BI$4-$B123+1)</f>
        <v/>
      </c>
      <c r="BJ123" s="153">
        <f>$C123*INDEX(Curves!$AT$8:$AT$68,BJ$4-$B123+1)</f>
        <v/>
      </c>
      <c r="BK123" s="153">
        <f>$C123*INDEX(Curves!$AT$8:$AT$68,BK$4-$B123+1)</f>
        <v/>
      </c>
      <c r="BL123" s="153">
        <f>$C123*INDEX(Curves!$AT$8:$AT$68,BL$4-$B123+1)</f>
        <v/>
      </c>
    </row>
    <row r="124">
      <c r="A124" s="147" t="inlineStr">
        <is>
          <t>Cohort month 52</t>
        </is>
      </c>
      <c r="B124" s="147" t="n">
        <v>52</v>
      </c>
      <c r="C124" s="41">
        <f>INDEX(Ops!$E$84:$BL$84,1,$B124)</f>
        <v/>
      </c>
      <c r="BE124" s="153">
        <f>$C124*INDEX(Curves!$AT$8:$AT$68,BE$4-$B124+1)</f>
        <v/>
      </c>
      <c r="BF124" s="153">
        <f>$C124*INDEX(Curves!$AT$8:$AT$68,BF$4-$B124+1)</f>
        <v/>
      </c>
      <c r="BG124" s="153">
        <f>$C124*INDEX(Curves!$AT$8:$AT$68,BG$4-$B124+1)</f>
        <v/>
      </c>
      <c r="BH124" s="153">
        <f>$C124*INDEX(Curves!$AT$8:$AT$68,BH$4-$B124+1)</f>
        <v/>
      </c>
      <c r="BI124" s="153">
        <f>$C124*INDEX(Curves!$AT$8:$AT$68,BI$4-$B124+1)</f>
        <v/>
      </c>
      <c r="BJ124" s="153">
        <f>$C124*INDEX(Curves!$AT$8:$AT$68,BJ$4-$B124+1)</f>
        <v/>
      </c>
      <c r="BK124" s="153">
        <f>$C124*INDEX(Curves!$AT$8:$AT$68,BK$4-$B124+1)</f>
        <v/>
      </c>
      <c r="BL124" s="153">
        <f>$C124*INDEX(Curves!$AT$8:$AT$68,BL$4-$B124+1)</f>
        <v/>
      </c>
    </row>
    <row r="125">
      <c r="A125" s="147" t="inlineStr">
        <is>
          <t>Cohort month 53</t>
        </is>
      </c>
      <c r="B125" s="147" t="n">
        <v>53</v>
      </c>
      <c r="C125" s="41">
        <f>INDEX(Ops!$E$84:$BL$84,1,$B125)</f>
        <v/>
      </c>
      <c r="BF125" s="153">
        <f>$C125*INDEX(Curves!$AT$8:$AT$68,BF$4-$B125+1)</f>
        <v/>
      </c>
      <c r="BG125" s="153">
        <f>$C125*INDEX(Curves!$AT$8:$AT$68,BG$4-$B125+1)</f>
        <v/>
      </c>
      <c r="BH125" s="153">
        <f>$C125*INDEX(Curves!$AT$8:$AT$68,BH$4-$B125+1)</f>
        <v/>
      </c>
      <c r="BI125" s="153">
        <f>$C125*INDEX(Curves!$AT$8:$AT$68,BI$4-$B125+1)</f>
        <v/>
      </c>
      <c r="BJ125" s="153">
        <f>$C125*INDEX(Curves!$AT$8:$AT$68,BJ$4-$B125+1)</f>
        <v/>
      </c>
      <c r="BK125" s="153">
        <f>$C125*INDEX(Curves!$AT$8:$AT$68,BK$4-$B125+1)</f>
        <v/>
      </c>
      <c r="BL125" s="153">
        <f>$C125*INDEX(Curves!$AT$8:$AT$68,BL$4-$B125+1)</f>
        <v/>
      </c>
    </row>
    <row r="126">
      <c r="A126" s="147" t="inlineStr">
        <is>
          <t>Cohort month 54</t>
        </is>
      </c>
      <c r="B126" s="147" t="n">
        <v>54</v>
      </c>
      <c r="C126" s="41">
        <f>INDEX(Ops!$E$84:$BL$84,1,$B126)</f>
        <v/>
      </c>
      <c r="BG126" s="153">
        <f>$C126*INDEX(Curves!$AT$8:$AT$68,BG$4-$B126+1)</f>
        <v/>
      </c>
      <c r="BH126" s="153">
        <f>$C126*INDEX(Curves!$AT$8:$AT$68,BH$4-$B126+1)</f>
        <v/>
      </c>
      <c r="BI126" s="153">
        <f>$C126*INDEX(Curves!$AT$8:$AT$68,BI$4-$B126+1)</f>
        <v/>
      </c>
      <c r="BJ126" s="153">
        <f>$C126*INDEX(Curves!$AT$8:$AT$68,BJ$4-$B126+1)</f>
        <v/>
      </c>
      <c r="BK126" s="153">
        <f>$C126*INDEX(Curves!$AT$8:$AT$68,BK$4-$B126+1)</f>
        <v/>
      </c>
      <c r="BL126" s="153">
        <f>$C126*INDEX(Curves!$AT$8:$AT$68,BL$4-$B126+1)</f>
        <v/>
      </c>
    </row>
    <row r="127">
      <c r="A127" s="147" t="inlineStr">
        <is>
          <t>Cohort month 55</t>
        </is>
      </c>
      <c r="B127" s="147" t="n">
        <v>55</v>
      </c>
      <c r="C127" s="41">
        <f>INDEX(Ops!$E$84:$BL$84,1,$B127)</f>
        <v/>
      </c>
      <c r="BH127" s="153">
        <f>$C127*INDEX(Curves!$AT$8:$AT$68,BH$4-$B127+1)</f>
        <v/>
      </c>
      <c r="BI127" s="153">
        <f>$C127*INDEX(Curves!$AT$8:$AT$68,BI$4-$B127+1)</f>
        <v/>
      </c>
      <c r="BJ127" s="153">
        <f>$C127*INDEX(Curves!$AT$8:$AT$68,BJ$4-$B127+1)</f>
        <v/>
      </c>
      <c r="BK127" s="153">
        <f>$C127*INDEX(Curves!$AT$8:$AT$68,BK$4-$B127+1)</f>
        <v/>
      </c>
      <c r="BL127" s="153">
        <f>$C127*INDEX(Curves!$AT$8:$AT$68,BL$4-$B127+1)</f>
        <v/>
      </c>
    </row>
    <row r="128">
      <c r="A128" s="147" t="inlineStr">
        <is>
          <t>Cohort month 56</t>
        </is>
      </c>
      <c r="B128" s="147" t="n">
        <v>56</v>
      </c>
      <c r="C128" s="41">
        <f>INDEX(Ops!$E$84:$BL$84,1,$B128)</f>
        <v/>
      </c>
      <c r="BI128" s="153">
        <f>$C128*INDEX(Curves!$AT$8:$AT$68,BI$4-$B128+1)</f>
        <v/>
      </c>
      <c r="BJ128" s="153">
        <f>$C128*INDEX(Curves!$AT$8:$AT$68,BJ$4-$B128+1)</f>
        <v/>
      </c>
      <c r="BK128" s="153">
        <f>$C128*INDEX(Curves!$AT$8:$AT$68,BK$4-$B128+1)</f>
        <v/>
      </c>
      <c r="BL128" s="153">
        <f>$C128*INDEX(Curves!$AT$8:$AT$68,BL$4-$B128+1)</f>
        <v/>
      </c>
    </row>
    <row r="129">
      <c r="A129" s="147" t="inlineStr">
        <is>
          <t>Cohort month 57</t>
        </is>
      </c>
      <c r="B129" s="147" t="n">
        <v>57</v>
      </c>
      <c r="C129" s="41">
        <f>INDEX(Ops!$E$84:$BL$84,1,$B129)</f>
        <v/>
      </c>
      <c r="BJ129" s="153">
        <f>$C129*INDEX(Curves!$AT$8:$AT$68,BJ$4-$B129+1)</f>
        <v/>
      </c>
      <c r="BK129" s="153">
        <f>$C129*INDEX(Curves!$AT$8:$AT$68,BK$4-$B129+1)</f>
        <v/>
      </c>
      <c r="BL129" s="153">
        <f>$C129*INDEX(Curves!$AT$8:$AT$68,BL$4-$B129+1)</f>
        <v/>
      </c>
    </row>
    <row r="130">
      <c r="A130" s="147" t="inlineStr">
        <is>
          <t>Cohort month 58</t>
        </is>
      </c>
      <c r="B130" s="147" t="n">
        <v>58</v>
      </c>
      <c r="C130" s="41">
        <f>INDEX(Ops!$E$84:$BL$84,1,$B130)</f>
        <v/>
      </c>
      <c r="BK130" s="153">
        <f>$C130*INDEX(Curves!$AT$8:$AT$68,BK$4-$B130+1)</f>
        <v/>
      </c>
      <c r="BL130" s="153">
        <f>$C130*INDEX(Curves!$AT$8:$AT$68,BL$4-$B130+1)</f>
        <v/>
      </c>
    </row>
    <row r="131">
      <c r="A131" s="147" t="inlineStr">
        <is>
          <t>Cohort month 59</t>
        </is>
      </c>
      <c r="B131" s="147" t="n">
        <v>59</v>
      </c>
      <c r="C131" s="41">
        <f>INDEX(Ops!$E$84:$BL$84,1,$B131)</f>
        <v/>
      </c>
      <c r="BL131" s="153">
        <f>$C131*INDEX(Curves!$AT$8:$AT$68,BL$4-$B131+1)</f>
        <v/>
      </c>
    </row>
    <row r="132">
      <c r="A132" s="147" t="inlineStr">
        <is>
          <t>Cohort month 60</t>
        </is>
      </c>
      <c r="B132" s="147" t="n">
        <v>60</v>
      </c>
      <c r="C132" s="41">
        <f>INDEX(Ops!$E$84:$BL$84,1,$B132)</f>
        <v/>
      </c>
    </row>
    <row r="133"/>
    <row r="134">
      <c r="A134" s="21" t="inlineStr">
        <is>
          <t>Receivables at risk by cohort (LCY)</t>
        </is>
      </c>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c r="AA134" s="22" t="n"/>
      <c r="AB134" s="22" t="n"/>
      <c r="AC134" s="22" t="n"/>
      <c r="AD134" s="22" t="n"/>
      <c r="AE134" s="22" t="n"/>
      <c r="AF134" s="22" t="n"/>
      <c r="AG134" s="22" t="n"/>
      <c r="AH134" s="22" t="n"/>
      <c r="AI134" s="22" t="n"/>
      <c r="AJ134" s="22" t="n"/>
      <c r="AK134" s="22" t="n"/>
      <c r="AL134" s="22" t="n"/>
      <c r="AM134" s="22" t="n"/>
      <c r="AN134" s="22" t="n"/>
      <c r="AO134" s="22" t="n"/>
      <c r="AP134" s="22" t="n"/>
      <c r="AQ134" s="22" t="n"/>
      <c r="AR134" s="22" t="n"/>
      <c r="AS134" s="22" t="n"/>
      <c r="AT134" s="22" t="n"/>
      <c r="AU134" s="22" t="n"/>
      <c r="AV134" s="22" t="n"/>
      <c r="AW134" s="22" t="n"/>
      <c r="AX134" s="22" t="n"/>
      <c r="AY134" s="22" t="n"/>
      <c r="AZ134" s="22" t="n"/>
      <c r="BA134" s="22" t="n"/>
      <c r="BB134" s="22" t="n"/>
      <c r="BC134" s="22" t="n"/>
      <c r="BD134" s="22" t="n"/>
      <c r="BE134" s="22" t="n"/>
      <c r="BF134" s="22" t="n"/>
      <c r="BG134" s="22" t="n"/>
      <c r="BH134" s="22" t="n"/>
      <c r="BI134" s="22" t="n"/>
      <c r="BJ134" s="22" t="n"/>
      <c r="BK134" s="22" t="n"/>
      <c r="BL134" s="22" t="n"/>
    </row>
    <row r="135">
      <c r="A135" s="100" t="inlineStr">
        <is>
          <t>Total</t>
        </is>
      </c>
      <c r="B135" s="101" t="inlineStr"/>
      <c r="C135" s="103" t="n"/>
      <c r="D135" s="103" t="n"/>
      <c r="E135" s="104">
        <f>SUM(E136:E195)</f>
        <v/>
      </c>
      <c r="F135" s="104">
        <f>SUM(F136:F195)</f>
        <v/>
      </c>
      <c r="G135" s="104">
        <f>SUM(G136:G195)</f>
        <v/>
      </c>
      <c r="H135" s="104">
        <f>SUM(H136:H195)</f>
        <v/>
      </c>
      <c r="I135" s="104">
        <f>SUM(I136:I195)</f>
        <v/>
      </c>
      <c r="J135" s="104">
        <f>SUM(J136:J195)</f>
        <v/>
      </c>
      <c r="K135" s="104">
        <f>SUM(K136:K195)</f>
        <v/>
      </c>
      <c r="L135" s="104">
        <f>SUM(L136:L195)</f>
        <v/>
      </c>
      <c r="M135" s="104">
        <f>SUM(M136:M195)</f>
        <v/>
      </c>
      <c r="N135" s="104">
        <f>SUM(N136:N195)</f>
        <v/>
      </c>
      <c r="O135" s="104">
        <f>SUM(O136:O195)</f>
        <v/>
      </c>
      <c r="P135" s="104">
        <f>SUM(P136:P195)</f>
        <v/>
      </c>
      <c r="Q135" s="104">
        <f>SUM(Q136:Q195)</f>
        <v/>
      </c>
      <c r="R135" s="104">
        <f>SUM(R136:R195)</f>
        <v/>
      </c>
      <c r="S135" s="104">
        <f>SUM(S136:S195)</f>
        <v/>
      </c>
      <c r="T135" s="104">
        <f>SUM(T136:T195)</f>
        <v/>
      </c>
      <c r="U135" s="104">
        <f>SUM(U136:U195)</f>
        <v/>
      </c>
      <c r="V135" s="104">
        <f>SUM(V136:V195)</f>
        <v/>
      </c>
      <c r="W135" s="104">
        <f>SUM(W136:W195)</f>
        <v/>
      </c>
      <c r="X135" s="104">
        <f>SUM(X136:X195)</f>
        <v/>
      </c>
      <c r="Y135" s="104">
        <f>SUM(Y136:Y195)</f>
        <v/>
      </c>
      <c r="Z135" s="104">
        <f>SUM(Z136:Z195)</f>
        <v/>
      </c>
      <c r="AA135" s="104">
        <f>SUM(AA136:AA195)</f>
        <v/>
      </c>
      <c r="AB135" s="104">
        <f>SUM(AB136:AB195)</f>
        <v/>
      </c>
      <c r="AC135" s="104">
        <f>SUM(AC136:AC195)</f>
        <v/>
      </c>
      <c r="AD135" s="104">
        <f>SUM(AD136:AD195)</f>
        <v/>
      </c>
      <c r="AE135" s="104">
        <f>SUM(AE136:AE195)</f>
        <v/>
      </c>
      <c r="AF135" s="104">
        <f>SUM(AF136:AF195)</f>
        <v/>
      </c>
      <c r="AG135" s="104">
        <f>SUM(AG136:AG195)</f>
        <v/>
      </c>
      <c r="AH135" s="104">
        <f>SUM(AH136:AH195)</f>
        <v/>
      </c>
      <c r="AI135" s="104">
        <f>SUM(AI136:AI195)</f>
        <v/>
      </c>
      <c r="AJ135" s="104">
        <f>SUM(AJ136:AJ195)</f>
        <v/>
      </c>
      <c r="AK135" s="104">
        <f>SUM(AK136:AK195)</f>
        <v/>
      </c>
      <c r="AL135" s="104">
        <f>SUM(AL136:AL195)</f>
        <v/>
      </c>
      <c r="AM135" s="104">
        <f>SUM(AM136:AM195)</f>
        <v/>
      </c>
      <c r="AN135" s="104">
        <f>SUM(AN136:AN195)</f>
        <v/>
      </c>
      <c r="AO135" s="104">
        <f>SUM(AO136:AO195)</f>
        <v/>
      </c>
      <c r="AP135" s="104">
        <f>SUM(AP136:AP195)</f>
        <v/>
      </c>
      <c r="AQ135" s="104">
        <f>SUM(AQ136:AQ195)</f>
        <v/>
      </c>
      <c r="AR135" s="104">
        <f>SUM(AR136:AR195)</f>
        <v/>
      </c>
      <c r="AS135" s="104">
        <f>SUM(AS136:AS195)</f>
        <v/>
      </c>
      <c r="AT135" s="104">
        <f>SUM(AT136:AT195)</f>
        <v/>
      </c>
      <c r="AU135" s="104">
        <f>SUM(AU136:AU195)</f>
        <v/>
      </c>
      <c r="AV135" s="104">
        <f>SUM(AV136:AV195)</f>
        <v/>
      </c>
      <c r="AW135" s="104">
        <f>SUM(AW136:AW195)</f>
        <v/>
      </c>
      <c r="AX135" s="104">
        <f>SUM(AX136:AX195)</f>
        <v/>
      </c>
      <c r="AY135" s="104">
        <f>SUM(AY136:AY195)</f>
        <v/>
      </c>
      <c r="AZ135" s="104">
        <f>SUM(AZ136:AZ195)</f>
        <v/>
      </c>
      <c r="BA135" s="104">
        <f>SUM(BA136:BA195)</f>
        <v/>
      </c>
      <c r="BB135" s="104">
        <f>SUM(BB136:BB195)</f>
        <v/>
      </c>
      <c r="BC135" s="104">
        <f>SUM(BC136:BC195)</f>
        <v/>
      </c>
      <c r="BD135" s="104">
        <f>SUM(BD136:BD195)</f>
        <v/>
      </c>
      <c r="BE135" s="104">
        <f>SUM(BE136:BE195)</f>
        <v/>
      </c>
      <c r="BF135" s="104">
        <f>SUM(BF136:BF195)</f>
        <v/>
      </c>
      <c r="BG135" s="104">
        <f>SUM(BG136:BG195)</f>
        <v/>
      </c>
      <c r="BH135" s="104">
        <f>SUM(BH136:BH195)</f>
        <v/>
      </c>
      <c r="BI135" s="104">
        <f>SUM(BI136:BI195)</f>
        <v/>
      </c>
      <c r="BJ135" s="104">
        <f>SUM(BJ136:BJ195)</f>
        <v/>
      </c>
      <c r="BK135" s="104">
        <f>SUM(BK136:BK195)</f>
        <v/>
      </c>
      <c r="BL135" s="104">
        <f>SUM(BL136:BL195)</f>
        <v/>
      </c>
    </row>
    <row r="136">
      <c r="A136" s="147" t="inlineStr">
        <is>
          <t>Cohort month 1</t>
        </is>
      </c>
      <c r="B136" s="147" t="n">
        <v>1</v>
      </c>
      <c r="C136" s="41">
        <f>INDEX(Ops!$E$85:$BL$85,1,$B136)</f>
        <v/>
      </c>
      <c r="F136" s="153">
        <f>$C136*INDEX(Curves!$AS$8:$AS$68,F$4-$B136+1)</f>
        <v/>
      </c>
      <c r="G136" s="153">
        <f>$C136*INDEX(Curves!$AS$8:$AS$68,G$4-$B136+1)</f>
        <v/>
      </c>
      <c r="H136" s="153">
        <f>$C136*INDEX(Curves!$AS$8:$AS$68,H$4-$B136+1)</f>
        <v/>
      </c>
      <c r="I136" s="153">
        <f>$C136*INDEX(Curves!$AS$8:$AS$68,I$4-$B136+1)</f>
        <v/>
      </c>
      <c r="J136" s="153">
        <f>$C136*INDEX(Curves!$AS$8:$AS$68,J$4-$B136+1)</f>
        <v/>
      </c>
      <c r="K136" s="153">
        <f>$C136*INDEX(Curves!$AS$8:$AS$68,K$4-$B136+1)</f>
        <v/>
      </c>
      <c r="L136" s="153">
        <f>$C136*INDEX(Curves!$AS$8:$AS$68,L$4-$B136+1)</f>
        <v/>
      </c>
      <c r="M136" s="153">
        <f>$C136*INDEX(Curves!$AS$8:$AS$68,M$4-$B136+1)</f>
        <v/>
      </c>
      <c r="N136" s="153">
        <f>$C136*INDEX(Curves!$AS$8:$AS$68,N$4-$B136+1)</f>
        <v/>
      </c>
      <c r="O136" s="153">
        <f>$C136*INDEX(Curves!$AS$8:$AS$68,O$4-$B136+1)</f>
        <v/>
      </c>
      <c r="P136" s="153">
        <f>$C136*INDEX(Curves!$AS$8:$AS$68,P$4-$B136+1)</f>
        <v/>
      </c>
      <c r="Q136" s="153">
        <f>$C136*INDEX(Curves!$AS$8:$AS$68,Q$4-$B136+1)</f>
        <v/>
      </c>
      <c r="R136" s="153">
        <f>$C136*INDEX(Curves!$AS$8:$AS$68,R$4-$B136+1)</f>
        <v/>
      </c>
      <c r="S136" s="153">
        <f>$C136*INDEX(Curves!$AS$8:$AS$68,S$4-$B136+1)</f>
        <v/>
      </c>
      <c r="T136" s="153">
        <f>$C136*INDEX(Curves!$AS$8:$AS$68,T$4-$B136+1)</f>
        <v/>
      </c>
      <c r="U136" s="153">
        <f>$C136*INDEX(Curves!$AS$8:$AS$68,U$4-$B136+1)</f>
        <v/>
      </c>
      <c r="V136" s="153">
        <f>$C136*INDEX(Curves!$AS$8:$AS$68,V$4-$B136+1)</f>
        <v/>
      </c>
      <c r="W136" s="153">
        <f>$C136*INDEX(Curves!$AS$8:$AS$68,W$4-$B136+1)</f>
        <v/>
      </c>
      <c r="X136" s="153">
        <f>$C136*INDEX(Curves!$AS$8:$AS$68,X$4-$B136+1)</f>
        <v/>
      </c>
      <c r="Y136" s="153">
        <f>$C136*INDEX(Curves!$AS$8:$AS$68,Y$4-$B136+1)</f>
        <v/>
      </c>
      <c r="Z136" s="153">
        <f>$C136*INDEX(Curves!$AS$8:$AS$68,Z$4-$B136+1)</f>
        <v/>
      </c>
      <c r="AA136" s="153">
        <f>$C136*INDEX(Curves!$AS$8:$AS$68,AA$4-$B136+1)</f>
        <v/>
      </c>
      <c r="AB136" s="153">
        <f>$C136*INDEX(Curves!$AS$8:$AS$68,AB$4-$B136+1)</f>
        <v/>
      </c>
      <c r="AC136" s="153">
        <f>$C136*INDEX(Curves!$AS$8:$AS$68,AC$4-$B136+1)</f>
        <v/>
      </c>
      <c r="AD136" s="153">
        <f>$C136*INDEX(Curves!$AS$8:$AS$68,AD$4-$B136+1)</f>
        <v/>
      </c>
      <c r="AE136" s="153">
        <f>$C136*INDEX(Curves!$AS$8:$AS$68,AE$4-$B136+1)</f>
        <v/>
      </c>
      <c r="AF136" s="153">
        <f>$C136*INDEX(Curves!$AS$8:$AS$68,AF$4-$B136+1)</f>
        <v/>
      </c>
      <c r="AG136" s="153">
        <f>$C136*INDEX(Curves!$AS$8:$AS$68,AG$4-$B136+1)</f>
        <v/>
      </c>
      <c r="AH136" s="153">
        <f>$C136*INDEX(Curves!$AS$8:$AS$68,AH$4-$B136+1)</f>
        <v/>
      </c>
      <c r="AI136" s="153">
        <f>$C136*INDEX(Curves!$AS$8:$AS$68,AI$4-$B136+1)</f>
        <v/>
      </c>
      <c r="AJ136" s="153">
        <f>$C136*INDEX(Curves!$AS$8:$AS$68,AJ$4-$B136+1)</f>
        <v/>
      </c>
      <c r="AK136" s="153">
        <f>$C136*INDEX(Curves!$AS$8:$AS$68,AK$4-$B136+1)</f>
        <v/>
      </c>
      <c r="AL136" s="153">
        <f>$C136*INDEX(Curves!$AS$8:$AS$68,AL$4-$B136+1)</f>
        <v/>
      </c>
      <c r="AM136" s="153">
        <f>$C136*INDEX(Curves!$AS$8:$AS$68,AM$4-$B136+1)</f>
        <v/>
      </c>
      <c r="AN136" s="153">
        <f>$C136*INDEX(Curves!$AS$8:$AS$68,AN$4-$B136+1)</f>
        <v/>
      </c>
      <c r="AO136" s="153">
        <f>$C136*INDEX(Curves!$AS$8:$AS$68,AO$4-$B136+1)</f>
        <v/>
      </c>
      <c r="AP136" s="153">
        <f>$C136*INDEX(Curves!$AS$8:$AS$68,AP$4-$B136+1)</f>
        <v/>
      </c>
      <c r="AQ136" s="153">
        <f>$C136*INDEX(Curves!$AS$8:$AS$68,AQ$4-$B136+1)</f>
        <v/>
      </c>
      <c r="AR136" s="153">
        <f>$C136*INDEX(Curves!$AS$8:$AS$68,AR$4-$B136+1)</f>
        <v/>
      </c>
      <c r="AS136" s="153">
        <f>$C136*INDEX(Curves!$AS$8:$AS$68,AS$4-$B136+1)</f>
        <v/>
      </c>
      <c r="AT136" s="153">
        <f>$C136*INDEX(Curves!$AS$8:$AS$68,AT$4-$B136+1)</f>
        <v/>
      </c>
      <c r="AU136" s="153">
        <f>$C136*INDEX(Curves!$AS$8:$AS$68,AU$4-$B136+1)</f>
        <v/>
      </c>
      <c r="AV136" s="153">
        <f>$C136*INDEX(Curves!$AS$8:$AS$68,AV$4-$B136+1)</f>
        <v/>
      </c>
      <c r="AW136" s="153">
        <f>$C136*INDEX(Curves!$AS$8:$AS$68,AW$4-$B136+1)</f>
        <v/>
      </c>
      <c r="AX136" s="153">
        <f>$C136*INDEX(Curves!$AS$8:$AS$68,AX$4-$B136+1)</f>
        <v/>
      </c>
      <c r="AY136" s="153">
        <f>$C136*INDEX(Curves!$AS$8:$AS$68,AY$4-$B136+1)</f>
        <v/>
      </c>
      <c r="AZ136" s="153">
        <f>$C136*INDEX(Curves!$AS$8:$AS$68,AZ$4-$B136+1)</f>
        <v/>
      </c>
      <c r="BA136" s="153">
        <f>$C136*INDEX(Curves!$AS$8:$AS$68,BA$4-$B136+1)</f>
        <v/>
      </c>
      <c r="BB136" s="153">
        <f>$C136*INDEX(Curves!$AS$8:$AS$68,BB$4-$B136+1)</f>
        <v/>
      </c>
      <c r="BC136" s="153">
        <f>$C136*INDEX(Curves!$AS$8:$AS$68,BC$4-$B136+1)</f>
        <v/>
      </c>
      <c r="BD136" s="153">
        <f>$C136*INDEX(Curves!$AS$8:$AS$68,BD$4-$B136+1)</f>
        <v/>
      </c>
      <c r="BE136" s="153">
        <f>$C136*INDEX(Curves!$AS$8:$AS$68,BE$4-$B136+1)</f>
        <v/>
      </c>
      <c r="BF136" s="153">
        <f>$C136*INDEX(Curves!$AS$8:$AS$68,BF$4-$B136+1)</f>
        <v/>
      </c>
      <c r="BG136" s="153">
        <f>$C136*INDEX(Curves!$AS$8:$AS$68,BG$4-$B136+1)</f>
        <v/>
      </c>
      <c r="BH136" s="153">
        <f>$C136*INDEX(Curves!$AS$8:$AS$68,BH$4-$B136+1)</f>
        <v/>
      </c>
      <c r="BI136" s="153">
        <f>$C136*INDEX(Curves!$AS$8:$AS$68,BI$4-$B136+1)</f>
        <v/>
      </c>
      <c r="BJ136" s="153">
        <f>$C136*INDEX(Curves!$AS$8:$AS$68,BJ$4-$B136+1)</f>
        <v/>
      </c>
      <c r="BK136" s="153">
        <f>$C136*INDEX(Curves!$AS$8:$AS$68,BK$4-$B136+1)</f>
        <v/>
      </c>
      <c r="BL136" s="153">
        <f>$C136*INDEX(Curves!$AS$8:$AS$68,BL$4-$B136+1)</f>
        <v/>
      </c>
    </row>
    <row r="137">
      <c r="A137" s="147" t="inlineStr">
        <is>
          <t>Cohort month 2</t>
        </is>
      </c>
      <c r="B137" s="147" t="n">
        <v>2</v>
      </c>
      <c r="C137" s="41">
        <f>INDEX(Ops!$E$85:$BL$85,1,$B137)</f>
        <v/>
      </c>
      <c r="G137" s="153">
        <f>$C137*INDEX(Curves!$AS$8:$AS$68,G$4-$B137+1)</f>
        <v/>
      </c>
      <c r="H137" s="153">
        <f>$C137*INDEX(Curves!$AS$8:$AS$68,H$4-$B137+1)</f>
        <v/>
      </c>
      <c r="I137" s="153">
        <f>$C137*INDEX(Curves!$AS$8:$AS$68,I$4-$B137+1)</f>
        <v/>
      </c>
      <c r="J137" s="153">
        <f>$C137*INDEX(Curves!$AS$8:$AS$68,J$4-$B137+1)</f>
        <v/>
      </c>
      <c r="K137" s="153">
        <f>$C137*INDEX(Curves!$AS$8:$AS$68,K$4-$B137+1)</f>
        <v/>
      </c>
      <c r="L137" s="153">
        <f>$C137*INDEX(Curves!$AS$8:$AS$68,L$4-$B137+1)</f>
        <v/>
      </c>
      <c r="M137" s="153">
        <f>$C137*INDEX(Curves!$AS$8:$AS$68,M$4-$B137+1)</f>
        <v/>
      </c>
      <c r="N137" s="153">
        <f>$C137*INDEX(Curves!$AS$8:$AS$68,N$4-$B137+1)</f>
        <v/>
      </c>
      <c r="O137" s="153">
        <f>$C137*INDEX(Curves!$AS$8:$AS$68,O$4-$B137+1)</f>
        <v/>
      </c>
      <c r="P137" s="153">
        <f>$C137*INDEX(Curves!$AS$8:$AS$68,P$4-$B137+1)</f>
        <v/>
      </c>
      <c r="Q137" s="153">
        <f>$C137*INDEX(Curves!$AS$8:$AS$68,Q$4-$B137+1)</f>
        <v/>
      </c>
      <c r="R137" s="153">
        <f>$C137*INDEX(Curves!$AS$8:$AS$68,R$4-$B137+1)</f>
        <v/>
      </c>
      <c r="S137" s="153">
        <f>$C137*INDEX(Curves!$AS$8:$AS$68,S$4-$B137+1)</f>
        <v/>
      </c>
      <c r="T137" s="153">
        <f>$C137*INDEX(Curves!$AS$8:$AS$68,T$4-$B137+1)</f>
        <v/>
      </c>
      <c r="U137" s="153">
        <f>$C137*INDEX(Curves!$AS$8:$AS$68,U$4-$B137+1)</f>
        <v/>
      </c>
      <c r="V137" s="153">
        <f>$C137*INDEX(Curves!$AS$8:$AS$68,V$4-$B137+1)</f>
        <v/>
      </c>
      <c r="W137" s="153">
        <f>$C137*INDEX(Curves!$AS$8:$AS$68,W$4-$B137+1)</f>
        <v/>
      </c>
      <c r="X137" s="153">
        <f>$C137*INDEX(Curves!$AS$8:$AS$68,X$4-$B137+1)</f>
        <v/>
      </c>
      <c r="Y137" s="153">
        <f>$C137*INDEX(Curves!$AS$8:$AS$68,Y$4-$B137+1)</f>
        <v/>
      </c>
      <c r="Z137" s="153">
        <f>$C137*INDEX(Curves!$AS$8:$AS$68,Z$4-$B137+1)</f>
        <v/>
      </c>
      <c r="AA137" s="153">
        <f>$C137*INDEX(Curves!$AS$8:$AS$68,AA$4-$B137+1)</f>
        <v/>
      </c>
      <c r="AB137" s="153">
        <f>$C137*INDEX(Curves!$AS$8:$AS$68,AB$4-$B137+1)</f>
        <v/>
      </c>
      <c r="AC137" s="153">
        <f>$C137*INDEX(Curves!$AS$8:$AS$68,AC$4-$B137+1)</f>
        <v/>
      </c>
      <c r="AD137" s="153">
        <f>$C137*INDEX(Curves!$AS$8:$AS$68,AD$4-$B137+1)</f>
        <v/>
      </c>
      <c r="AE137" s="153">
        <f>$C137*INDEX(Curves!$AS$8:$AS$68,AE$4-$B137+1)</f>
        <v/>
      </c>
      <c r="AF137" s="153">
        <f>$C137*INDEX(Curves!$AS$8:$AS$68,AF$4-$B137+1)</f>
        <v/>
      </c>
      <c r="AG137" s="153">
        <f>$C137*INDEX(Curves!$AS$8:$AS$68,AG$4-$B137+1)</f>
        <v/>
      </c>
      <c r="AH137" s="153">
        <f>$C137*INDEX(Curves!$AS$8:$AS$68,AH$4-$B137+1)</f>
        <v/>
      </c>
      <c r="AI137" s="153">
        <f>$C137*INDEX(Curves!$AS$8:$AS$68,AI$4-$B137+1)</f>
        <v/>
      </c>
      <c r="AJ137" s="153">
        <f>$C137*INDEX(Curves!$AS$8:$AS$68,AJ$4-$B137+1)</f>
        <v/>
      </c>
      <c r="AK137" s="153">
        <f>$C137*INDEX(Curves!$AS$8:$AS$68,AK$4-$B137+1)</f>
        <v/>
      </c>
      <c r="AL137" s="153">
        <f>$C137*INDEX(Curves!$AS$8:$AS$68,AL$4-$B137+1)</f>
        <v/>
      </c>
      <c r="AM137" s="153">
        <f>$C137*INDEX(Curves!$AS$8:$AS$68,AM$4-$B137+1)</f>
        <v/>
      </c>
      <c r="AN137" s="153">
        <f>$C137*INDEX(Curves!$AS$8:$AS$68,AN$4-$B137+1)</f>
        <v/>
      </c>
      <c r="AO137" s="153">
        <f>$C137*INDEX(Curves!$AS$8:$AS$68,AO$4-$B137+1)</f>
        <v/>
      </c>
      <c r="AP137" s="153">
        <f>$C137*INDEX(Curves!$AS$8:$AS$68,AP$4-$B137+1)</f>
        <v/>
      </c>
      <c r="AQ137" s="153">
        <f>$C137*INDEX(Curves!$AS$8:$AS$68,AQ$4-$B137+1)</f>
        <v/>
      </c>
      <c r="AR137" s="153">
        <f>$C137*INDEX(Curves!$AS$8:$AS$68,AR$4-$B137+1)</f>
        <v/>
      </c>
      <c r="AS137" s="153">
        <f>$C137*INDEX(Curves!$AS$8:$AS$68,AS$4-$B137+1)</f>
        <v/>
      </c>
      <c r="AT137" s="153">
        <f>$C137*INDEX(Curves!$AS$8:$AS$68,AT$4-$B137+1)</f>
        <v/>
      </c>
      <c r="AU137" s="153">
        <f>$C137*INDEX(Curves!$AS$8:$AS$68,AU$4-$B137+1)</f>
        <v/>
      </c>
      <c r="AV137" s="153">
        <f>$C137*INDEX(Curves!$AS$8:$AS$68,AV$4-$B137+1)</f>
        <v/>
      </c>
      <c r="AW137" s="153">
        <f>$C137*INDEX(Curves!$AS$8:$AS$68,AW$4-$B137+1)</f>
        <v/>
      </c>
      <c r="AX137" s="153">
        <f>$C137*INDEX(Curves!$AS$8:$AS$68,AX$4-$B137+1)</f>
        <v/>
      </c>
      <c r="AY137" s="153">
        <f>$C137*INDEX(Curves!$AS$8:$AS$68,AY$4-$B137+1)</f>
        <v/>
      </c>
      <c r="AZ137" s="153">
        <f>$C137*INDEX(Curves!$AS$8:$AS$68,AZ$4-$B137+1)</f>
        <v/>
      </c>
      <c r="BA137" s="153">
        <f>$C137*INDEX(Curves!$AS$8:$AS$68,BA$4-$B137+1)</f>
        <v/>
      </c>
      <c r="BB137" s="153">
        <f>$C137*INDEX(Curves!$AS$8:$AS$68,BB$4-$B137+1)</f>
        <v/>
      </c>
      <c r="BC137" s="153">
        <f>$C137*INDEX(Curves!$AS$8:$AS$68,BC$4-$B137+1)</f>
        <v/>
      </c>
      <c r="BD137" s="153">
        <f>$C137*INDEX(Curves!$AS$8:$AS$68,BD$4-$B137+1)</f>
        <v/>
      </c>
      <c r="BE137" s="153">
        <f>$C137*INDEX(Curves!$AS$8:$AS$68,BE$4-$B137+1)</f>
        <v/>
      </c>
      <c r="BF137" s="153">
        <f>$C137*INDEX(Curves!$AS$8:$AS$68,BF$4-$B137+1)</f>
        <v/>
      </c>
      <c r="BG137" s="153">
        <f>$C137*INDEX(Curves!$AS$8:$AS$68,BG$4-$B137+1)</f>
        <v/>
      </c>
      <c r="BH137" s="153">
        <f>$C137*INDEX(Curves!$AS$8:$AS$68,BH$4-$B137+1)</f>
        <v/>
      </c>
      <c r="BI137" s="153">
        <f>$C137*INDEX(Curves!$AS$8:$AS$68,BI$4-$B137+1)</f>
        <v/>
      </c>
      <c r="BJ137" s="153">
        <f>$C137*INDEX(Curves!$AS$8:$AS$68,BJ$4-$B137+1)</f>
        <v/>
      </c>
      <c r="BK137" s="153">
        <f>$C137*INDEX(Curves!$AS$8:$AS$68,BK$4-$B137+1)</f>
        <v/>
      </c>
      <c r="BL137" s="153">
        <f>$C137*INDEX(Curves!$AS$8:$AS$68,BL$4-$B137+1)</f>
        <v/>
      </c>
    </row>
    <row r="138">
      <c r="A138" s="147" t="inlineStr">
        <is>
          <t>Cohort month 3</t>
        </is>
      </c>
      <c r="B138" s="147" t="n">
        <v>3</v>
      </c>
      <c r="C138" s="41">
        <f>INDEX(Ops!$E$85:$BL$85,1,$B138)</f>
        <v/>
      </c>
      <c r="H138" s="153">
        <f>$C138*INDEX(Curves!$AS$8:$AS$68,H$4-$B138+1)</f>
        <v/>
      </c>
      <c r="I138" s="153">
        <f>$C138*INDEX(Curves!$AS$8:$AS$68,I$4-$B138+1)</f>
        <v/>
      </c>
      <c r="J138" s="153">
        <f>$C138*INDEX(Curves!$AS$8:$AS$68,J$4-$B138+1)</f>
        <v/>
      </c>
      <c r="K138" s="153">
        <f>$C138*INDEX(Curves!$AS$8:$AS$68,K$4-$B138+1)</f>
        <v/>
      </c>
      <c r="L138" s="153">
        <f>$C138*INDEX(Curves!$AS$8:$AS$68,L$4-$B138+1)</f>
        <v/>
      </c>
      <c r="M138" s="153">
        <f>$C138*INDEX(Curves!$AS$8:$AS$68,M$4-$B138+1)</f>
        <v/>
      </c>
      <c r="N138" s="153">
        <f>$C138*INDEX(Curves!$AS$8:$AS$68,N$4-$B138+1)</f>
        <v/>
      </c>
      <c r="O138" s="153">
        <f>$C138*INDEX(Curves!$AS$8:$AS$68,O$4-$B138+1)</f>
        <v/>
      </c>
      <c r="P138" s="153">
        <f>$C138*INDEX(Curves!$AS$8:$AS$68,P$4-$B138+1)</f>
        <v/>
      </c>
      <c r="Q138" s="153">
        <f>$C138*INDEX(Curves!$AS$8:$AS$68,Q$4-$B138+1)</f>
        <v/>
      </c>
      <c r="R138" s="153">
        <f>$C138*INDEX(Curves!$AS$8:$AS$68,R$4-$B138+1)</f>
        <v/>
      </c>
      <c r="S138" s="153">
        <f>$C138*INDEX(Curves!$AS$8:$AS$68,S$4-$B138+1)</f>
        <v/>
      </c>
      <c r="T138" s="153">
        <f>$C138*INDEX(Curves!$AS$8:$AS$68,T$4-$B138+1)</f>
        <v/>
      </c>
      <c r="U138" s="153">
        <f>$C138*INDEX(Curves!$AS$8:$AS$68,U$4-$B138+1)</f>
        <v/>
      </c>
      <c r="V138" s="153">
        <f>$C138*INDEX(Curves!$AS$8:$AS$68,V$4-$B138+1)</f>
        <v/>
      </c>
      <c r="W138" s="153">
        <f>$C138*INDEX(Curves!$AS$8:$AS$68,W$4-$B138+1)</f>
        <v/>
      </c>
      <c r="X138" s="153">
        <f>$C138*INDEX(Curves!$AS$8:$AS$68,X$4-$B138+1)</f>
        <v/>
      </c>
      <c r="Y138" s="153">
        <f>$C138*INDEX(Curves!$AS$8:$AS$68,Y$4-$B138+1)</f>
        <v/>
      </c>
      <c r="Z138" s="153">
        <f>$C138*INDEX(Curves!$AS$8:$AS$68,Z$4-$B138+1)</f>
        <v/>
      </c>
      <c r="AA138" s="153">
        <f>$C138*INDEX(Curves!$AS$8:$AS$68,AA$4-$B138+1)</f>
        <v/>
      </c>
      <c r="AB138" s="153">
        <f>$C138*INDEX(Curves!$AS$8:$AS$68,AB$4-$B138+1)</f>
        <v/>
      </c>
      <c r="AC138" s="153">
        <f>$C138*INDEX(Curves!$AS$8:$AS$68,AC$4-$B138+1)</f>
        <v/>
      </c>
      <c r="AD138" s="153">
        <f>$C138*INDEX(Curves!$AS$8:$AS$68,AD$4-$B138+1)</f>
        <v/>
      </c>
      <c r="AE138" s="153">
        <f>$C138*INDEX(Curves!$AS$8:$AS$68,AE$4-$B138+1)</f>
        <v/>
      </c>
      <c r="AF138" s="153">
        <f>$C138*INDEX(Curves!$AS$8:$AS$68,AF$4-$B138+1)</f>
        <v/>
      </c>
      <c r="AG138" s="153">
        <f>$C138*INDEX(Curves!$AS$8:$AS$68,AG$4-$B138+1)</f>
        <v/>
      </c>
      <c r="AH138" s="153">
        <f>$C138*INDEX(Curves!$AS$8:$AS$68,AH$4-$B138+1)</f>
        <v/>
      </c>
      <c r="AI138" s="153">
        <f>$C138*INDEX(Curves!$AS$8:$AS$68,AI$4-$B138+1)</f>
        <v/>
      </c>
      <c r="AJ138" s="153">
        <f>$C138*INDEX(Curves!$AS$8:$AS$68,AJ$4-$B138+1)</f>
        <v/>
      </c>
      <c r="AK138" s="153">
        <f>$C138*INDEX(Curves!$AS$8:$AS$68,AK$4-$B138+1)</f>
        <v/>
      </c>
      <c r="AL138" s="153">
        <f>$C138*INDEX(Curves!$AS$8:$AS$68,AL$4-$B138+1)</f>
        <v/>
      </c>
      <c r="AM138" s="153">
        <f>$C138*INDEX(Curves!$AS$8:$AS$68,AM$4-$B138+1)</f>
        <v/>
      </c>
      <c r="AN138" s="153">
        <f>$C138*INDEX(Curves!$AS$8:$AS$68,AN$4-$B138+1)</f>
        <v/>
      </c>
      <c r="AO138" s="153">
        <f>$C138*INDEX(Curves!$AS$8:$AS$68,AO$4-$B138+1)</f>
        <v/>
      </c>
      <c r="AP138" s="153">
        <f>$C138*INDEX(Curves!$AS$8:$AS$68,AP$4-$B138+1)</f>
        <v/>
      </c>
      <c r="AQ138" s="153">
        <f>$C138*INDEX(Curves!$AS$8:$AS$68,AQ$4-$B138+1)</f>
        <v/>
      </c>
      <c r="AR138" s="153">
        <f>$C138*INDEX(Curves!$AS$8:$AS$68,AR$4-$B138+1)</f>
        <v/>
      </c>
      <c r="AS138" s="153">
        <f>$C138*INDEX(Curves!$AS$8:$AS$68,AS$4-$B138+1)</f>
        <v/>
      </c>
      <c r="AT138" s="153">
        <f>$C138*INDEX(Curves!$AS$8:$AS$68,AT$4-$B138+1)</f>
        <v/>
      </c>
      <c r="AU138" s="153">
        <f>$C138*INDEX(Curves!$AS$8:$AS$68,AU$4-$B138+1)</f>
        <v/>
      </c>
      <c r="AV138" s="153">
        <f>$C138*INDEX(Curves!$AS$8:$AS$68,AV$4-$B138+1)</f>
        <v/>
      </c>
      <c r="AW138" s="153">
        <f>$C138*INDEX(Curves!$AS$8:$AS$68,AW$4-$B138+1)</f>
        <v/>
      </c>
      <c r="AX138" s="153">
        <f>$C138*INDEX(Curves!$AS$8:$AS$68,AX$4-$B138+1)</f>
        <v/>
      </c>
      <c r="AY138" s="153">
        <f>$C138*INDEX(Curves!$AS$8:$AS$68,AY$4-$B138+1)</f>
        <v/>
      </c>
      <c r="AZ138" s="153">
        <f>$C138*INDEX(Curves!$AS$8:$AS$68,AZ$4-$B138+1)</f>
        <v/>
      </c>
      <c r="BA138" s="153">
        <f>$C138*INDEX(Curves!$AS$8:$AS$68,BA$4-$B138+1)</f>
        <v/>
      </c>
      <c r="BB138" s="153">
        <f>$C138*INDEX(Curves!$AS$8:$AS$68,BB$4-$B138+1)</f>
        <v/>
      </c>
      <c r="BC138" s="153">
        <f>$C138*INDEX(Curves!$AS$8:$AS$68,BC$4-$B138+1)</f>
        <v/>
      </c>
      <c r="BD138" s="153">
        <f>$C138*INDEX(Curves!$AS$8:$AS$68,BD$4-$B138+1)</f>
        <v/>
      </c>
      <c r="BE138" s="153">
        <f>$C138*INDEX(Curves!$AS$8:$AS$68,BE$4-$B138+1)</f>
        <v/>
      </c>
      <c r="BF138" s="153">
        <f>$C138*INDEX(Curves!$AS$8:$AS$68,BF$4-$B138+1)</f>
        <v/>
      </c>
      <c r="BG138" s="153">
        <f>$C138*INDEX(Curves!$AS$8:$AS$68,BG$4-$B138+1)</f>
        <v/>
      </c>
      <c r="BH138" s="153">
        <f>$C138*INDEX(Curves!$AS$8:$AS$68,BH$4-$B138+1)</f>
        <v/>
      </c>
      <c r="BI138" s="153">
        <f>$C138*INDEX(Curves!$AS$8:$AS$68,BI$4-$B138+1)</f>
        <v/>
      </c>
      <c r="BJ138" s="153">
        <f>$C138*INDEX(Curves!$AS$8:$AS$68,BJ$4-$B138+1)</f>
        <v/>
      </c>
      <c r="BK138" s="153">
        <f>$C138*INDEX(Curves!$AS$8:$AS$68,BK$4-$B138+1)</f>
        <v/>
      </c>
      <c r="BL138" s="153">
        <f>$C138*INDEX(Curves!$AS$8:$AS$68,BL$4-$B138+1)</f>
        <v/>
      </c>
    </row>
    <row r="139">
      <c r="A139" s="147" t="inlineStr">
        <is>
          <t>Cohort month 4</t>
        </is>
      </c>
      <c r="B139" s="147" t="n">
        <v>4</v>
      </c>
      <c r="C139" s="41">
        <f>INDEX(Ops!$E$85:$BL$85,1,$B139)</f>
        <v/>
      </c>
      <c r="I139" s="153">
        <f>$C139*INDEX(Curves!$AS$8:$AS$68,I$4-$B139+1)</f>
        <v/>
      </c>
      <c r="J139" s="153">
        <f>$C139*INDEX(Curves!$AS$8:$AS$68,J$4-$B139+1)</f>
        <v/>
      </c>
      <c r="K139" s="153">
        <f>$C139*INDEX(Curves!$AS$8:$AS$68,K$4-$B139+1)</f>
        <v/>
      </c>
      <c r="L139" s="153">
        <f>$C139*INDEX(Curves!$AS$8:$AS$68,L$4-$B139+1)</f>
        <v/>
      </c>
      <c r="M139" s="153">
        <f>$C139*INDEX(Curves!$AS$8:$AS$68,M$4-$B139+1)</f>
        <v/>
      </c>
      <c r="N139" s="153">
        <f>$C139*INDEX(Curves!$AS$8:$AS$68,N$4-$B139+1)</f>
        <v/>
      </c>
      <c r="O139" s="153">
        <f>$C139*INDEX(Curves!$AS$8:$AS$68,O$4-$B139+1)</f>
        <v/>
      </c>
      <c r="P139" s="153">
        <f>$C139*INDEX(Curves!$AS$8:$AS$68,P$4-$B139+1)</f>
        <v/>
      </c>
      <c r="Q139" s="153">
        <f>$C139*INDEX(Curves!$AS$8:$AS$68,Q$4-$B139+1)</f>
        <v/>
      </c>
      <c r="R139" s="153">
        <f>$C139*INDEX(Curves!$AS$8:$AS$68,R$4-$B139+1)</f>
        <v/>
      </c>
      <c r="S139" s="153">
        <f>$C139*INDEX(Curves!$AS$8:$AS$68,S$4-$B139+1)</f>
        <v/>
      </c>
      <c r="T139" s="153">
        <f>$C139*INDEX(Curves!$AS$8:$AS$68,T$4-$B139+1)</f>
        <v/>
      </c>
      <c r="U139" s="153">
        <f>$C139*INDEX(Curves!$AS$8:$AS$68,U$4-$B139+1)</f>
        <v/>
      </c>
      <c r="V139" s="153">
        <f>$C139*INDEX(Curves!$AS$8:$AS$68,V$4-$B139+1)</f>
        <v/>
      </c>
      <c r="W139" s="153">
        <f>$C139*INDEX(Curves!$AS$8:$AS$68,W$4-$B139+1)</f>
        <v/>
      </c>
      <c r="X139" s="153">
        <f>$C139*INDEX(Curves!$AS$8:$AS$68,X$4-$B139+1)</f>
        <v/>
      </c>
      <c r="Y139" s="153">
        <f>$C139*INDEX(Curves!$AS$8:$AS$68,Y$4-$B139+1)</f>
        <v/>
      </c>
      <c r="Z139" s="153">
        <f>$C139*INDEX(Curves!$AS$8:$AS$68,Z$4-$B139+1)</f>
        <v/>
      </c>
      <c r="AA139" s="153">
        <f>$C139*INDEX(Curves!$AS$8:$AS$68,AA$4-$B139+1)</f>
        <v/>
      </c>
      <c r="AB139" s="153">
        <f>$C139*INDEX(Curves!$AS$8:$AS$68,AB$4-$B139+1)</f>
        <v/>
      </c>
      <c r="AC139" s="153">
        <f>$C139*INDEX(Curves!$AS$8:$AS$68,AC$4-$B139+1)</f>
        <v/>
      </c>
      <c r="AD139" s="153">
        <f>$C139*INDEX(Curves!$AS$8:$AS$68,AD$4-$B139+1)</f>
        <v/>
      </c>
      <c r="AE139" s="153">
        <f>$C139*INDEX(Curves!$AS$8:$AS$68,AE$4-$B139+1)</f>
        <v/>
      </c>
      <c r="AF139" s="153">
        <f>$C139*INDEX(Curves!$AS$8:$AS$68,AF$4-$B139+1)</f>
        <v/>
      </c>
      <c r="AG139" s="153">
        <f>$C139*INDEX(Curves!$AS$8:$AS$68,AG$4-$B139+1)</f>
        <v/>
      </c>
      <c r="AH139" s="153">
        <f>$C139*INDEX(Curves!$AS$8:$AS$68,AH$4-$B139+1)</f>
        <v/>
      </c>
      <c r="AI139" s="153">
        <f>$C139*INDEX(Curves!$AS$8:$AS$68,AI$4-$B139+1)</f>
        <v/>
      </c>
      <c r="AJ139" s="153">
        <f>$C139*INDEX(Curves!$AS$8:$AS$68,AJ$4-$B139+1)</f>
        <v/>
      </c>
      <c r="AK139" s="153">
        <f>$C139*INDEX(Curves!$AS$8:$AS$68,AK$4-$B139+1)</f>
        <v/>
      </c>
      <c r="AL139" s="153">
        <f>$C139*INDEX(Curves!$AS$8:$AS$68,AL$4-$B139+1)</f>
        <v/>
      </c>
      <c r="AM139" s="153">
        <f>$C139*INDEX(Curves!$AS$8:$AS$68,AM$4-$B139+1)</f>
        <v/>
      </c>
      <c r="AN139" s="153">
        <f>$C139*INDEX(Curves!$AS$8:$AS$68,AN$4-$B139+1)</f>
        <v/>
      </c>
      <c r="AO139" s="153">
        <f>$C139*INDEX(Curves!$AS$8:$AS$68,AO$4-$B139+1)</f>
        <v/>
      </c>
      <c r="AP139" s="153">
        <f>$C139*INDEX(Curves!$AS$8:$AS$68,AP$4-$B139+1)</f>
        <v/>
      </c>
      <c r="AQ139" s="153">
        <f>$C139*INDEX(Curves!$AS$8:$AS$68,AQ$4-$B139+1)</f>
        <v/>
      </c>
      <c r="AR139" s="153">
        <f>$C139*INDEX(Curves!$AS$8:$AS$68,AR$4-$B139+1)</f>
        <v/>
      </c>
      <c r="AS139" s="153">
        <f>$C139*INDEX(Curves!$AS$8:$AS$68,AS$4-$B139+1)</f>
        <v/>
      </c>
      <c r="AT139" s="153">
        <f>$C139*INDEX(Curves!$AS$8:$AS$68,AT$4-$B139+1)</f>
        <v/>
      </c>
      <c r="AU139" s="153">
        <f>$C139*INDEX(Curves!$AS$8:$AS$68,AU$4-$B139+1)</f>
        <v/>
      </c>
      <c r="AV139" s="153">
        <f>$C139*INDEX(Curves!$AS$8:$AS$68,AV$4-$B139+1)</f>
        <v/>
      </c>
      <c r="AW139" s="153">
        <f>$C139*INDEX(Curves!$AS$8:$AS$68,AW$4-$B139+1)</f>
        <v/>
      </c>
      <c r="AX139" s="153">
        <f>$C139*INDEX(Curves!$AS$8:$AS$68,AX$4-$B139+1)</f>
        <v/>
      </c>
      <c r="AY139" s="153">
        <f>$C139*INDEX(Curves!$AS$8:$AS$68,AY$4-$B139+1)</f>
        <v/>
      </c>
      <c r="AZ139" s="153">
        <f>$C139*INDEX(Curves!$AS$8:$AS$68,AZ$4-$B139+1)</f>
        <v/>
      </c>
      <c r="BA139" s="153">
        <f>$C139*INDEX(Curves!$AS$8:$AS$68,BA$4-$B139+1)</f>
        <v/>
      </c>
      <c r="BB139" s="153">
        <f>$C139*INDEX(Curves!$AS$8:$AS$68,BB$4-$B139+1)</f>
        <v/>
      </c>
      <c r="BC139" s="153">
        <f>$C139*INDEX(Curves!$AS$8:$AS$68,BC$4-$B139+1)</f>
        <v/>
      </c>
      <c r="BD139" s="153">
        <f>$C139*INDEX(Curves!$AS$8:$AS$68,BD$4-$B139+1)</f>
        <v/>
      </c>
      <c r="BE139" s="153">
        <f>$C139*INDEX(Curves!$AS$8:$AS$68,BE$4-$B139+1)</f>
        <v/>
      </c>
      <c r="BF139" s="153">
        <f>$C139*INDEX(Curves!$AS$8:$AS$68,BF$4-$B139+1)</f>
        <v/>
      </c>
      <c r="BG139" s="153">
        <f>$C139*INDEX(Curves!$AS$8:$AS$68,BG$4-$B139+1)</f>
        <v/>
      </c>
      <c r="BH139" s="153">
        <f>$C139*INDEX(Curves!$AS$8:$AS$68,BH$4-$B139+1)</f>
        <v/>
      </c>
      <c r="BI139" s="153">
        <f>$C139*INDEX(Curves!$AS$8:$AS$68,BI$4-$B139+1)</f>
        <v/>
      </c>
      <c r="BJ139" s="153">
        <f>$C139*INDEX(Curves!$AS$8:$AS$68,BJ$4-$B139+1)</f>
        <v/>
      </c>
      <c r="BK139" s="153">
        <f>$C139*INDEX(Curves!$AS$8:$AS$68,BK$4-$B139+1)</f>
        <v/>
      </c>
      <c r="BL139" s="153">
        <f>$C139*INDEX(Curves!$AS$8:$AS$68,BL$4-$B139+1)</f>
        <v/>
      </c>
    </row>
    <row r="140">
      <c r="A140" s="147" t="inlineStr">
        <is>
          <t>Cohort month 5</t>
        </is>
      </c>
      <c r="B140" s="147" t="n">
        <v>5</v>
      </c>
      <c r="C140" s="41">
        <f>INDEX(Ops!$E$85:$BL$85,1,$B140)</f>
        <v/>
      </c>
      <c r="J140" s="153">
        <f>$C140*INDEX(Curves!$AS$8:$AS$68,J$4-$B140+1)</f>
        <v/>
      </c>
      <c r="K140" s="153">
        <f>$C140*INDEX(Curves!$AS$8:$AS$68,K$4-$B140+1)</f>
        <v/>
      </c>
      <c r="L140" s="153">
        <f>$C140*INDEX(Curves!$AS$8:$AS$68,L$4-$B140+1)</f>
        <v/>
      </c>
      <c r="M140" s="153">
        <f>$C140*INDEX(Curves!$AS$8:$AS$68,M$4-$B140+1)</f>
        <v/>
      </c>
      <c r="N140" s="153">
        <f>$C140*INDEX(Curves!$AS$8:$AS$68,N$4-$B140+1)</f>
        <v/>
      </c>
      <c r="O140" s="153">
        <f>$C140*INDEX(Curves!$AS$8:$AS$68,O$4-$B140+1)</f>
        <v/>
      </c>
      <c r="P140" s="153">
        <f>$C140*INDEX(Curves!$AS$8:$AS$68,P$4-$B140+1)</f>
        <v/>
      </c>
      <c r="Q140" s="153">
        <f>$C140*INDEX(Curves!$AS$8:$AS$68,Q$4-$B140+1)</f>
        <v/>
      </c>
      <c r="R140" s="153">
        <f>$C140*INDEX(Curves!$AS$8:$AS$68,R$4-$B140+1)</f>
        <v/>
      </c>
      <c r="S140" s="153">
        <f>$C140*INDEX(Curves!$AS$8:$AS$68,S$4-$B140+1)</f>
        <v/>
      </c>
      <c r="T140" s="153">
        <f>$C140*INDEX(Curves!$AS$8:$AS$68,T$4-$B140+1)</f>
        <v/>
      </c>
      <c r="U140" s="153">
        <f>$C140*INDEX(Curves!$AS$8:$AS$68,U$4-$B140+1)</f>
        <v/>
      </c>
      <c r="V140" s="153">
        <f>$C140*INDEX(Curves!$AS$8:$AS$68,V$4-$B140+1)</f>
        <v/>
      </c>
      <c r="W140" s="153">
        <f>$C140*INDEX(Curves!$AS$8:$AS$68,W$4-$B140+1)</f>
        <v/>
      </c>
      <c r="X140" s="153">
        <f>$C140*INDEX(Curves!$AS$8:$AS$68,X$4-$B140+1)</f>
        <v/>
      </c>
      <c r="Y140" s="153">
        <f>$C140*INDEX(Curves!$AS$8:$AS$68,Y$4-$B140+1)</f>
        <v/>
      </c>
      <c r="Z140" s="153">
        <f>$C140*INDEX(Curves!$AS$8:$AS$68,Z$4-$B140+1)</f>
        <v/>
      </c>
      <c r="AA140" s="153">
        <f>$C140*INDEX(Curves!$AS$8:$AS$68,AA$4-$B140+1)</f>
        <v/>
      </c>
      <c r="AB140" s="153">
        <f>$C140*INDEX(Curves!$AS$8:$AS$68,AB$4-$B140+1)</f>
        <v/>
      </c>
      <c r="AC140" s="153">
        <f>$C140*INDEX(Curves!$AS$8:$AS$68,AC$4-$B140+1)</f>
        <v/>
      </c>
      <c r="AD140" s="153">
        <f>$C140*INDEX(Curves!$AS$8:$AS$68,AD$4-$B140+1)</f>
        <v/>
      </c>
      <c r="AE140" s="153">
        <f>$C140*INDEX(Curves!$AS$8:$AS$68,AE$4-$B140+1)</f>
        <v/>
      </c>
      <c r="AF140" s="153">
        <f>$C140*INDEX(Curves!$AS$8:$AS$68,AF$4-$B140+1)</f>
        <v/>
      </c>
      <c r="AG140" s="153">
        <f>$C140*INDEX(Curves!$AS$8:$AS$68,AG$4-$B140+1)</f>
        <v/>
      </c>
      <c r="AH140" s="153">
        <f>$C140*INDEX(Curves!$AS$8:$AS$68,AH$4-$B140+1)</f>
        <v/>
      </c>
      <c r="AI140" s="153">
        <f>$C140*INDEX(Curves!$AS$8:$AS$68,AI$4-$B140+1)</f>
        <v/>
      </c>
      <c r="AJ140" s="153">
        <f>$C140*INDEX(Curves!$AS$8:$AS$68,AJ$4-$B140+1)</f>
        <v/>
      </c>
      <c r="AK140" s="153">
        <f>$C140*INDEX(Curves!$AS$8:$AS$68,AK$4-$B140+1)</f>
        <v/>
      </c>
      <c r="AL140" s="153">
        <f>$C140*INDEX(Curves!$AS$8:$AS$68,AL$4-$B140+1)</f>
        <v/>
      </c>
      <c r="AM140" s="153">
        <f>$C140*INDEX(Curves!$AS$8:$AS$68,AM$4-$B140+1)</f>
        <v/>
      </c>
      <c r="AN140" s="153">
        <f>$C140*INDEX(Curves!$AS$8:$AS$68,AN$4-$B140+1)</f>
        <v/>
      </c>
      <c r="AO140" s="153">
        <f>$C140*INDEX(Curves!$AS$8:$AS$68,AO$4-$B140+1)</f>
        <v/>
      </c>
      <c r="AP140" s="153">
        <f>$C140*INDEX(Curves!$AS$8:$AS$68,AP$4-$B140+1)</f>
        <v/>
      </c>
      <c r="AQ140" s="153">
        <f>$C140*INDEX(Curves!$AS$8:$AS$68,AQ$4-$B140+1)</f>
        <v/>
      </c>
      <c r="AR140" s="153">
        <f>$C140*INDEX(Curves!$AS$8:$AS$68,AR$4-$B140+1)</f>
        <v/>
      </c>
      <c r="AS140" s="153">
        <f>$C140*INDEX(Curves!$AS$8:$AS$68,AS$4-$B140+1)</f>
        <v/>
      </c>
      <c r="AT140" s="153">
        <f>$C140*INDEX(Curves!$AS$8:$AS$68,AT$4-$B140+1)</f>
        <v/>
      </c>
      <c r="AU140" s="153">
        <f>$C140*INDEX(Curves!$AS$8:$AS$68,AU$4-$B140+1)</f>
        <v/>
      </c>
      <c r="AV140" s="153">
        <f>$C140*INDEX(Curves!$AS$8:$AS$68,AV$4-$B140+1)</f>
        <v/>
      </c>
      <c r="AW140" s="153">
        <f>$C140*INDEX(Curves!$AS$8:$AS$68,AW$4-$B140+1)</f>
        <v/>
      </c>
      <c r="AX140" s="153">
        <f>$C140*INDEX(Curves!$AS$8:$AS$68,AX$4-$B140+1)</f>
        <v/>
      </c>
      <c r="AY140" s="153">
        <f>$C140*INDEX(Curves!$AS$8:$AS$68,AY$4-$B140+1)</f>
        <v/>
      </c>
      <c r="AZ140" s="153">
        <f>$C140*INDEX(Curves!$AS$8:$AS$68,AZ$4-$B140+1)</f>
        <v/>
      </c>
      <c r="BA140" s="153">
        <f>$C140*INDEX(Curves!$AS$8:$AS$68,BA$4-$B140+1)</f>
        <v/>
      </c>
      <c r="BB140" s="153">
        <f>$C140*INDEX(Curves!$AS$8:$AS$68,BB$4-$B140+1)</f>
        <v/>
      </c>
      <c r="BC140" s="153">
        <f>$C140*INDEX(Curves!$AS$8:$AS$68,BC$4-$B140+1)</f>
        <v/>
      </c>
      <c r="BD140" s="153">
        <f>$C140*INDEX(Curves!$AS$8:$AS$68,BD$4-$B140+1)</f>
        <v/>
      </c>
      <c r="BE140" s="153">
        <f>$C140*INDEX(Curves!$AS$8:$AS$68,BE$4-$B140+1)</f>
        <v/>
      </c>
      <c r="BF140" s="153">
        <f>$C140*INDEX(Curves!$AS$8:$AS$68,BF$4-$B140+1)</f>
        <v/>
      </c>
      <c r="BG140" s="153">
        <f>$C140*INDEX(Curves!$AS$8:$AS$68,BG$4-$B140+1)</f>
        <v/>
      </c>
      <c r="BH140" s="153">
        <f>$C140*INDEX(Curves!$AS$8:$AS$68,BH$4-$B140+1)</f>
        <v/>
      </c>
      <c r="BI140" s="153">
        <f>$C140*INDEX(Curves!$AS$8:$AS$68,BI$4-$B140+1)</f>
        <v/>
      </c>
      <c r="BJ140" s="153">
        <f>$C140*INDEX(Curves!$AS$8:$AS$68,BJ$4-$B140+1)</f>
        <v/>
      </c>
      <c r="BK140" s="153">
        <f>$C140*INDEX(Curves!$AS$8:$AS$68,BK$4-$B140+1)</f>
        <v/>
      </c>
      <c r="BL140" s="153">
        <f>$C140*INDEX(Curves!$AS$8:$AS$68,BL$4-$B140+1)</f>
        <v/>
      </c>
    </row>
    <row r="141">
      <c r="A141" s="147" t="inlineStr">
        <is>
          <t>Cohort month 6</t>
        </is>
      </c>
      <c r="B141" s="147" t="n">
        <v>6</v>
      </c>
      <c r="C141" s="41">
        <f>INDEX(Ops!$E$85:$BL$85,1,$B141)</f>
        <v/>
      </c>
      <c r="K141" s="153">
        <f>$C141*INDEX(Curves!$AS$8:$AS$68,K$4-$B141+1)</f>
        <v/>
      </c>
      <c r="L141" s="153">
        <f>$C141*INDEX(Curves!$AS$8:$AS$68,L$4-$B141+1)</f>
        <v/>
      </c>
      <c r="M141" s="153">
        <f>$C141*INDEX(Curves!$AS$8:$AS$68,M$4-$B141+1)</f>
        <v/>
      </c>
      <c r="N141" s="153">
        <f>$C141*INDEX(Curves!$AS$8:$AS$68,N$4-$B141+1)</f>
        <v/>
      </c>
      <c r="O141" s="153">
        <f>$C141*INDEX(Curves!$AS$8:$AS$68,O$4-$B141+1)</f>
        <v/>
      </c>
      <c r="P141" s="153">
        <f>$C141*INDEX(Curves!$AS$8:$AS$68,P$4-$B141+1)</f>
        <v/>
      </c>
      <c r="Q141" s="153">
        <f>$C141*INDEX(Curves!$AS$8:$AS$68,Q$4-$B141+1)</f>
        <v/>
      </c>
      <c r="R141" s="153">
        <f>$C141*INDEX(Curves!$AS$8:$AS$68,R$4-$B141+1)</f>
        <v/>
      </c>
      <c r="S141" s="153">
        <f>$C141*INDEX(Curves!$AS$8:$AS$68,S$4-$B141+1)</f>
        <v/>
      </c>
      <c r="T141" s="153">
        <f>$C141*INDEX(Curves!$AS$8:$AS$68,T$4-$B141+1)</f>
        <v/>
      </c>
      <c r="U141" s="153">
        <f>$C141*INDEX(Curves!$AS$8:$AS$68,U$4-$B141+1)</f>
        <v/>
      </c>
      <c r="V141" s="153">
        <f>$C141*INDEX(Curves!$AS$8:$AS$68,V$4-$B141+1)</f>
        <v/>
      </c>
      <c r="W141" s="153">
        <f>$C141*INDEX(Curves!$AS$8:$AS$68,W$4-$B141+1)</f>
        <v/>
      </c>
      <c r="X141" s="153">
        <f>$C141*INDEX(Curves!$AS$8:$AS$68,X$4-$B141+1)</f>
        <v/>
      </c>
      <c r="Y141" s="153">
        <f>$C141*INDEX(Curves!$AS$8:$AS$68,Y$4-$B141+1)</f>
        <v/>
      </c>
      <c r="Z141" s="153">
        <f>$C141*INDEX(Curves!$AS$8:$AS$68,Z$4-$B141+1)</f>
        <v/>
      </c>
      <c r="AA141" s="153">
        <f>$C141*INDEX(Curves!$AS$8:$AS$68,AA$4-$B141+1)</f>
        <v/>
      </c>
      <c r="AB141" s="153">
        <f>$C141*INDEX(Curves!$AS$8:$AS$68,AB$4-$B141+1)</f>
        <v/>
      </c>
      <c r="AC141" s="153">
        <f>$C141*INDEX(Curves!$AS$8:$AS$68,AC$4-$B141+1)</f>
        <v/>
      </c>
      <c r="AD141" s="153">
        <f>$C141*INDEX(Curves!$AS$8:$AS$68,AD$4-$B141+1)</f>
        <v/>
      </c>
      <c r="AE141" s="153">
        <f>$C141*INDEX(Curves!$AS$8:$AS$68,AE$4-$B141+1)</f>
        <v/>
      </c>
      <c r="AF141" s="153">
        <f>$C141*INDEX(Curves!$AS$8:$AS$68,AF$4-$B141+1)</f>
        <v/>
      </c>
      <c r="AG141" s="153">
        <f>$C141*INDEX(Curves!$AS$8:$AS$68,AG$4-$B141+1)</f>
        <v/>
      </c>
      <c r="AH141" s="153">
        <f>$C141*INDEX(Curves!$AS$8:$AS$68,AH$4-$B141+1)</f>
        <v/>
      </c>
      <c r="AI141" s="153">
        <f>$C141*INDEX(Curves!$AS$8:$AS$68,AI$4-$B141+1)</f>
        <v/>
      </c>
      <c r="AJ141" s="153">
        <f>$C141*INDEX(Curves!$AS$8:$AS$68,AJ$4-$B141+1)</f>
        <v/>
      </c>
      <c r="AK141" s="153">
        <f>$C141*INDEX(Curves!$AS$8:$AS$68,AK$4-$B141+1)</f>
        <v/>
      </c>
      <c r="AL141" s="153">
        <f>$C141*INDEX(Curves!$AS$8:$AS$68,AL$4-$B141+1)</f>
        <v/>
      </c>
      <c r="AM141" s="153">
        <f>$C141*INDEX(Curves!$AS$8:$AS$68,AM$4-$B141+1)</f>
        <v/>
      </c>
      <c r="AN141" s="153">
        <f>$C141*INDEX(Curves!$AS$8:$AS$68,AN$4-$B141+1)</f>
        <v/>
      </c>
      <c r="AO141" s="153">
        <f>$C141*INDEX(Curves!$AS$8:$AS$68,AO$4-$B141+1)</f>
        <v/>
      </c>
      <c r="AP141" s="153">
        <f>$C141*INDEX(Curves!$AS$8:$AS$68,AP$4-$B141+1)</f>
        <v/>
      </c>
      <c r="AQ141" s="153">
        <f>$C141*INDEX(Curves!$AS$8:$AS$68,AQ$4-$B141+1)</f>
        <v/>
      </c>
      <c r="AR141" s="153">
        <f>$C141*INDEX(Curves!$AS$8:$AS$68,AR$4-$B141+1)</f>
        <v/>
      </c>
      <c r="AS141" s="153">
        <f>$C141*INDEX(Curves!$AS$8:$AS$68,AS$4-$B141+1)</f>
        <v/>
      </c>
      <c r="AT141" s="153">
        <f>$C141*INDEX(Curves!$AS$8:$AS$68,AT$4-$B141+1)</f>
        <v/>
      </c>
      <c r="AU141" s="153">
        <f>$C141*INDEX(Curves!$AS$8:$AS$68,AU$4-$B141+1)</f>
        <v/>
      </c>
      <c r="AV141" s="153">
        <f>$C141*INDEX(Curves!$AS$8:$AS$68,AV$4-$B141+1)</f>
        <v/>
      </c>
      <c r="AW141" s="153">
        <f>$C141*INDEX(Curves!$AS$8:$AS$68,AW$4-$B141+1)</f>
        <v/>
      </c>
      <c r="AX141" s="153">
        <f>$C141*INDEX(Curves!$AS$8:$AS$68,AX$4-$B141+1)</f>
        <v/>
      </c>
      <c r="AY141" s="153">
        <f>$C141*INDEX(Curves!$AS$8:$AS$68,AY$4-$B141+1)</f>
        <v/>
      </c>
      <c r="AZ141" s="153">
        <f>$C141*INDEX(Curves!$AS$8:$AS$68,AZ$4-$B141+1)</f>
        <v/>
      </c>
      <c r="BA141" s="153">
        <f>$C141*INDEX(Curves!$AS$8:$AS$68,BA$4-$B141+1)</f>
        <v/>
      </c>
      <c r="BB141" s="153">
        <f>$C141*INDEX(Curves!$AS$8:$AS$68,BB$4-$B141+1)</f>
        <v/>
      </c>
      <c r="BC141" s="153">
        <f>$C141*INDEX(Curves!$AS$8:$AS$68,BC$4-$B141+1)</f>
        <v/>
      </c>
      <c r="BD141" s="153">
        <f>$C141*INDEX(Curves!$AS$8:$AS$68,BD$4-$B141+1)</f>
        <v/>
      </c>
      <c r="BE141" s="153">
        <f>$C141*INDEX(Curves!$AS$8:$AS$68,BE$4-$B141+1)</f>
        <v/>
      </c>
      <c r="BF141" s="153">
        <f>$C141*INDEX(Curves!$AS$8:$AS$68,BF$4-$B141+1)</f>
        <v/>
      </c>
      <c r="BG141" s="153">
        <f>$C141*INDEX(Curves!$AS$8:$AS$68,BG$4-$B141+1)</f>
        <v/>
      </c>
      <c r="BH141" s="153">
        <f>$C141*INDEX(Curves!$AS$8:$AS$68,BH$4-$B141+1)</f>
        <v/>
      </c>
      <c r="BI141" s="153">
        <f>$C141*INDEX(Curves!$AS$8:$AS$68,BI$4-$B141+1)</f>
        <v/>
      </c>
      <c r="BJ141" s="153">
        <f>$C141*INDEX(Curves!$AS$8:$AS$68,BJ$4-$B141+1)</f>
        <v/>
      </c>
      <c r="BK141" s="153">
        <f>$C141*INDEX(Curves!$AS$8:$AS$68,BK$4-$B141+1)</f>
        <v/>
      </c>
      <c r="BL141" s="153">
        <f>$C141*INDEX(Curves!$AS$8:$AS$68,BL$4-$B141+1)</f>
        <v/>
      </c>
    </row>
    <row r="142">
      <c r="A142" s="147" t="inlineStr">
        <is>
          <t>Cohort month 7</t>
        </is>
      </c>
      <c r="B142" s="147" t="n">
        <v>7</v>
      </c>
      <c r="C142" s="41">
        <f>INDEX(Ops!$E$85:$BL$85,1,$B142)</f>
        <v/>
      </c>
      <c r="L142" s="153">
        <f>$C142*INDEX(Curves!$AS$8:$AS$68,L$4-$B142+1)</f>
        <v/>
      </c>
      <c r="M142" s="153">
        <f>$C142*INDEX(Curves!$AS$8:$AS$68,M$4-$B142+1)</f>
        <v/>
      </c>
      <c r="N142" s="153">
        <f>$C142*INDEX(Curves!$AS$8:$AS$68,N$4-$B142+1)</f>
        <v/>
      </c>
      <c r="O142" s="153">
        <f>$C142*INDEX(Curves!$AS$8:$AS$68,O$4-$B142+1)</f>
        <v/>
      </c>
      <c r="P142" s="153">
        <f>$C142*INDEX(Curves!$AS$8:$AS$68,P$4-$B142+1)</f>
        <v/>
      </c>
      <c r="Q142" s="153">
        <f>$C142*INDEX(Curves!$AS$8:$AS$68,Q$4-$B142+1)</f>
        <v/>
      </c>
      <c r="R142" s="153">
        <f>$C142*INDEX(Curves!$AS$8:$AS$68,R$4-$B142+1)</f>
        <v/>
      </c>
      <c r="S142" s="153">
        <f>$C142*INDEX(Curves!$AS$8:$AS$68,S$4-$B142+1)</f>
        <v/>
      </c>
      <c r="T142" s="153">
        <f>$C142*INDEX(Curves!$AS$8:$AS$68,T$4-$B142+1)</f>
        <v/>
      </c>
      <c r="U142" s="153">
        <f>$C142*INDEX(Curves!$AS$8:$AS$68,U$4-$B142+1)</f>
        <v/>
      </c>
      <c r="V142" s="153">
        <f>$C142*INDEX(Curves!$AS$8:$AS$68,V$4-$B142+1)</f>
        <v/>
      </c>
      <c r="W142" s="153">
        <f>$C142*INDEX(Curves!$AS$8:$AS$68,W$4-$B142+1)</f>
        <v/>
      </c>
      <c r="X142" s="153">
        <f>$C142*INDEX(Curves!$AS$8:$AS$68,X$4-$B142+1)</f>
        <v/>
      </c>
      <c r="Y142" s="153">
        <f>$C142*INDEX(Curves!$AS$8:$AS$68,Y$4-$B142+1)</f>
        <v/>
      </c>
      <c r="Z142" s="153">
        <f>$C142*INDEX(Curves!$AS$8:$AS$68,Z$4-$B142+1)</f>
        <v/>
      </c>
      <c r="AA142" s="153">
        <f>$C142*INDEX(Curves!$AS$8:$AS$68,AA$4-$B142+1)</f>
        <v/>
      </c>
      <c r="AB142" s="153">
        <f>$C142*INDEX(Curves!$AS$8:$AS$68,AB$4-$B142+1)</f>
        <v/>
      </c>
      <c r="AC142" s="153">
        <f>$C142*INDEX(Curves!$AS$8:$AS$68,AC$4-$B142+1)</f>
        <v/>
      </c>
      <c r="AD142" s="153">
        <f>$C142*INDEX(Curves!$AS$8:$AS$68,AD$4-$B142+1)</f>
        <v/>
      </c>
      <c r="AE142" s="153">
        <f>$C142*INDEX(Curves!$AS$8:$AS$68,AE$4-$B142+1)</f>
        <v/>
      </c>
      <c r="AF142" s="153">
        <f>$C142*INDEX(Curves!$AS$8:$AS$68,AF$4-$B142+1)</f>
        <v/>
      </c>
      <c r="AG142" s="153">
        <f>$C142*INDEX(Curves!$AS$8:$AS$68,AG$4-$B142+1)</f>
        <v/>
      </c>
      <c r="AH142" s="153">
        <f>$C142*INDEX(Curves!$AS$8:$AS$68,AH$4-$B142+1)</f>
        <v/>
      </c>
      <c r="AI142" s="153">
        <f>$C142*INDEX(Curves!$AS$8:$AS$68,AI$4-$B142+1)</f>
        <v/>
      </c>
      <c r="AJ142" s="153">
        <f>$C142*INDEX(Curves!$AS$8:$AS$68,AJ$4-$B142+1)</f>
        <v/>
      </c>
      <c r="AK142" s="153">
        <f>$C142*INDEX(Curves!$AS$8:$AS$68,AK$4-$B142+1)</f>
        <v/>
      </c>
      <c r="AL142" s="153">
        <f>$C142*INDEX(Curves!$AS$8:$AS$68,AL$4-$B142+1)</f>
        <v/>
      </c>
      <c r="AM142" s="153">
        <f>$C142*INDEX(Curves!$AS$8:$AS$68,AM$4-$B142+1)</f>
        <v/>
      </c>
      <c r="AN142" s="153">
        <f>$C142*INDEX(Curves!$AS$8:$AS$68,AN$4-$B142+1)</f>
        <v/>
      </c>
      <c r="AO142" s="153">
        <f>$C142*INDEX(Curves!$AS$8:$AS$68,AO$4-$B142+1)</f>
        <v/>
      </c>
      <c r="AP142" s="153">
        <f>$C142*INDEX(Curves!$AS$8:$AS$68,AP$4-$B142+1)</f>
        <v/>
      </c>
      <c r="AQ142" s="153">
        <f>$C142*INDEX(Curves!$AS$8:$AS$68,AQ$4-$B142+1)</f>
        <v/>
      </c>
      <c r="AR142" s="153">
        <f>$C142*INDEX(Curves!$AS$8:$AS$68,AR$4-$B142+1)</f>
        <v/>
      </c>
      <c r="AS142" s="153">
        <f>$C142*INDEX(Curves!$AS$8:$AS$68,AS$4-$B142+1)</f>
        <v/>
      </c>
      <c r="AT142" s="153">
        <f>$C142*INDEX(Curves!$AS$8:$AS$68,AT$4-$B142+1)</f>
        <v/>
      </c>
      <c r="AU142" s="153">
        <f>$C142*INDEX(Curves!$AS$8:$AS$68,AU$4-$B142+1)</f>
        <v/>
      </c>
      <c r="AV142" s="153">
        <f>$C142*INDEX(Curves!$AS$8:$AS$68,AV$4-$B142+1)</f>
        <v/>
      </c>
      <c r="AW142" s="153">
        <f>$C142*INDEX(Curves!$AS$8:$AS$68,AW$4-$B142+1)</f>
        <v/>
      </c>
      <c r="AX142" s="153">
        <f>$C142*INDEX(Curves!$AS$8:$AS$68,AX$4-$B142+1)</f>
        <v/>
      </c>
      <c r="AY142" s="153">
        <f>$C142*INDEX(Curves!$AS$8:$AS$68,AY$4-$B142+1)</f>
        <v/>
      </c>
      <c r="AZ142" s="153">
        <f>$C142*INDEX(Curves!$AS$8:$AS$68,AZ$4-$B142+1)</f>
        <v/>
      </c>
      <c r="BA142" s="153">
        <f>$C142*INDEX(Curves!$AS$8:$AS$68,BA$4-$B142+1)</f>
        <v/>
      </c>
      <c r="BB142" s="153">
        <f>$C142*INDEX(Curves!$AS$8:$AS$68,BB$4-$B142+1)</f>
        <v/>
      </c>
      <c r="BC142" s="153">
        <f>$C142*INDEX(Curves!$AS$8:$AS$68,BC$4-$B142+1)</f>
        <v/>
      </c>
      <c r="BD142" s="153">
        <f>$C142*INDEX(Curves!$AS$8:$AS$68,BD$4-$B142+1)</f>
        <v/>
      </c>
      <c r="BE142" s="153">
        <f>$C142*INDEX(Curves!$AS$8:$AS$68,BE$4-$B142+1)</f>
        <v/>
      </c>
      <c r="BF142" s="153">
        <f>$C142*INDEX(Curves!$AS$8:$AS$68,BF$4-$B142+1)</f>
        <v/>
      </c>
      <c r="BG142" s="153">
        <f>$C142*INDEX(Curves!$AS$8:$AS$68,BG$4-$B142+1)</f>
        <v/>
      </c>
      <c r="BH142" s="153">
        <f>$C142*INDEX(Curves!$AS$8:$AS$68,BH$4-$B142+1)</f>
        <v/>
      </c>
      <c r="BI142" s="153">
        <f>$C142*INDEX(Curves!$AS$8:$AS$68,BI$4-$B142+1)</f>
        <v/>
      </c>
      <c r="BJ142" s="153">
        <f>$C142*INDEX(Curves!$AS$8:$AS$68,BJ$4-$B142+1)</f>
        <v/>
      </c>
      <c r="BK142" s="153">
        <f>$C142*INDEX(Curves!$AS$8:$AS$68,BK$4-$B142+1)</f>
        <v/>
      </c>
      <c r="BL142" s="153">
        <f>$C142*INDEX(Curves!$AS$8:$AS$68,BL$4-$B142+1)</f>
        <v/>
      </c>
    </row>
    <row r="143">
      <c r="A143" s="147" t="inlineStr">
        <is>
          <t>Cohort month 8</t>
        </is>
      </c>
      <c r="B143" s="147" t="n">
        <v>8</v>
      </c>
      <c r="C143" s="41">
        <f>INDEX(Ops!$E$85:$BL$85,1,$B143)</f>
        <v/>
      </c>
      <c r="M143" s="153">
        <f>$C143*INDEX(Curves!$AS$8:$AS$68,M$4-$B143+1)</f>
        <v/>
      </c>
      <c r="N143" s="153">
        <f>$C143*INDEX(Curves!$AS$8:$AS$68,N$4-$B143+1)</f>
        <v/>
      </c>
      <c r="O143" s="153">
        <f>$C143*INDEX(Curves!$AS$8:$AS$68,O$4-$B143+1)</f>
        <v/>
      </c>
      <c r="P143" s="153">
        <f>$C143*INDEX(Curves!$AS$8:$AS$68,P$4-$B143+1)</f>
        <v/>
      </c>
      <c r="Q143" s="153">
        <f>$C143*INDEX(Curves!$AS$8:$AS$68,Q$4-$B143+1)</f>
        <v/>
      </c>
      <c r="R143" s="153">
        <f>$C143*INDEX(Curves!$AS$8:$AS$68,R$4-$B143+1)</f>
        <v/>
      </c>
      <c r="S143" s="153">
        <f>$C143*INDEX(Curves!$AS$8:$AS$68,S$4-$B143+1)</f>
        <v/>
      </c>
      <c r="T143" s="153">
        <f>$C143*INDEX(Curves!$AS$8:$AS$68,T$4-$B143+1)</f>
        <v/>
      </c>
      <c r="U143" s="153">
        <f>$C143*INDEX(Curves!$AS$8:$AS$68,U$4-$B143+1)</f>
        <v/>
      </c>
      <c r="V143" s="153">
        <f>$C143*INDEX(Curves!$AS$8:$AS$68,V$4-$B143+1)</f>
        <v/>
      </c>
      <c r="W143" s="153">
        <f>$C143*INDEX(Curves!$AS$8:$AS$68,W$4-$B143+1)</f>
        <v/>
      </c>
      <c r="X143" s="153">
        <f>$C143*INDEX(Curves!$AS$8:$AS$68,X$4-$B143+1)</f>
        <v/>
      </c>
      <c r="Y143" s="153">
        <f>$C143*INDEX(Curves!$AS$8:$AS$68,Y$4-$B143+1)</f>
        <v/>
      </c>
      <c r="Z143" s="153">
        <f>$C143*INDEX(Curves!$AS$8:$AS$68,Z$4-$B143+1)</f>
        <v/>
      </c>
      <c r="AA143" s="153">
        <f>$C143*INDEX(Curves!$AS$8:$AS$68,AA$4-$B143+1)</f>
        <v/>
      </c>
      <c r="AB143" s="153">
        <f>$C143*INDEX(Curves!$AS$8:$AS$68,AB$4-$B143+1)</f>
        <v/>
      </c>
      <c r="AC143" s="153">
        <f>$C143*INDEX(Curves!$AS$8:$AS$68,AC$4-$B143+1)</f>
        <v/>
      </c>
      <c r="AD143" s="153">
        <f>$C143*INDEX(Curves!$AS$8:$AS$68,AD$4-$B143+1)</f>
        <v/>
      </c>
      <c r="AE143" s="153">
        <f>$C143*INDEX(Curves!$AS$8:$AS$68,AE$4-$B143+1)</f>
        <v/>
      </c>
      <c r="AF143" s="153">
        <f>$C143*INDEX(Curves!$AS$8:$AS$68,AF$4-$B143+1)</f>
        <v/>
      </c>
      <c r="AG143" s="153">
        <f>$C143*INDEX(Curves!$AS$8:$AS$68,AG$4-$B143+1)</f>
        <v/>
      </c>
      <c r="AH143" s="153">
        <f>$C143*INDEX(Curves!$AS$8:$AS$68,AH$4-$B143+1)</f>
        <v/>
      </c>
      <c r="AI143" s="153">
        <f>$C143*INDEX(Curves!$AS$8:$AS$68,AI$4-$B143+1)</f>
        <v/>
      </c>
      <c r="AJ143" s="153">
        <f>$C143*INDEX(Curves!$AS$8:$AS$68,AJ$4-$B143+1)</f>
        <v/>
      </c>
      <c r="AK143" s="153">
        <f>$C143*INDEX(Curves!$AS$8:$AS$68,AK$4-$B143+1)</f>
        <v/>
      </c>
      <c r="AL143" s="153">
        <f>$C143*INDEX(Curves!$AS$8:$AS$68,AL$4-$B143+1)</f>
        <v/>
      </c>
      <c r="AM143" s="153">
        <f>$C143*INDEX(Curves!$AS$8:$AS$68,AM$4-$B143+1)</f>
        <v/>
      </c>
      <c r="AN143" s="153">
        <f>$C143*INDEX(Curves!$AS$8:$AS$68,AN$4-$B143+1)</f>
        <v/>
      </c>
      <c r="AO143" s="153">
        <f>$C143*INDEX(Curves!$AS$8:$AS$68,AO$4-$B143+1)</f>
        <v/>
      </c>
      <c r="AP143" s="153">
        <f>$C143*INDEX(Curves!$AS$8:$AS$68,AP$4-$B143+1)</f>
        <v/>
      </c>
      <c r="AQ143" s="153">
        <f>$C143*INDEX(Curves!$AS$8:$AS$68,AQ$4-$B143+1)</f>
        <v/>
      </c>
      <c r="AR143" s="153">
        <f>$C143*INDEX(Curves!$AS$8:$AS$68,AR$4-$B143+1)</f>
        <v/>
      </c>
      <c r="AS143" s="153">
        <f>$C143*INDEX(Curves!$AS$8:$AS$68,AS$4-$B143+1)</f>
        <v/>
      </c>
      <c r="AT143" s="153">
        <f>$C143*INDEX(Curves!$AS$8:$AS$68,AT$4-$B143+1)</f>
        <v/>
      </c>
      <c r="AU143" s="153">
        <f>$C143*INDEX(Curves!$AS$8:$AS$68,AU$4-$B143+1)</f>
        <v/>
      </c>
      <c r="AV143" s="153">
        <f>$C143*INDEX(Curves!$AS$8:$AS$68,AV$4-$B143+1)</f>
        <v/>
      </c>
      <c r="AW143" s="153">
        <f>$C143*INDEX(Curves!$AS$8:$AS$68,AW$4-$B143+1)</f>
        <v/>
      </c>
      <c r="AX143" s="153">
        <f>$C143*INDEX(Curves!$AS$8:$AS$68,AX$4-$B143+1)</f>
        <v/>
      </c>
      <c r="AY143" s="153">
        <f>$C143*INDEX(Curves!$AS$8:$AS$68,AY$4-$B143+1)</f>
        <v/>
      </c>
      <c r="AZ143" s="153">
        <f>$C143*INDEX(Curves!$AS$8:$AS$68,AZ$4-$B143+1)</f>
        <v/>
      </c>
      <c r="BA143" s="153">
        <f>$C143*INDEX(Curves!$AS$8:$AS$68,BA$4-$B143+1)</f>
        <v/>
      </c>
      <c r="BB143" s="153">
        <f>$C143*INDEX(Curves!$AS$8:$AS$68,BB$4-$B143+1)</f>
        <v/>
      </c>
      <c r="BC143" s="153">
        <f>$C143*INDEX(Curves!$AS$8:$AS$68,BC$4-$B143+1)</f>
        <v/>
      </c>
      <c r="BD143" s="153">
        <f>$C143*INDEX(Curves!$AS$8:$AS$68,BD$4-$B143+1)</f>
        <v/>
      </c>
      <c r="BE143" s="153">
        <f>$C143*INDEX(Curves!$AS$8:$AS$68,BE$4-$B143+1)</f>
        <v/>
      </c>
      <c r="BF143" s="153">
        <f>$C143*INDEX(Curves!$AS$8:$AS$68,BF$4-$B143+1)</f>
        <v/>
      </c>
      <c r="BG143" s="153">
        <f>$C143*INDEX(Curves!$AS$8:$AS$68,BG$4-$B143+1)</f>
        <v/>
      </c>
      <c r="BH143" s="153">
        <f>$C143*INDEX(Curves!$AS$8:$AS$68,BH$4-$B143+1)</f>
        <v/>
      </c>
      <c r="BI143" s="153">
        <f>$C143*INDEX(Curves!$AS$8:$AS$68,BI$4-$B143+1)</f>
        <v/>
      </c>
      <c r="BJ143" s="153">
        <f>$C143*INDEX(Curves!$AS$8:$AS$68,BJ$4-$B143+1)</f>
        <v/>
      </c>
      <c r="BK143" s="153">
        <f>$C143*INDEX(Curves!$AS$8:$AS$68,BK$4-$B143+1)</f>
        <v/>
      </c>
      <c r="BL143" s="153">
        <f>$C143*INDEX(Curves!$AS$8:$AS$68,BL$4-$B143+1)</f>
        <v/>
      </c>
    </row>
    <row r="144">
      <c r="A144" s="147" t="inlineStr">
        <is>
          <t>Cohort month 9</t>
        </is>
      </c>
      <c r="B144" s="147" t="n">
        <v>9</v>
      </c>
      <c r="C144" s="41">
        <f>INDEX(Ops!$E$85:$BL$85,1,$B144)</f>
        <v/>
      </c>
      <c r="N144" s="153">
        <f>$C144*INDEX(Curves!$AS$8:$AS$68,N$4-$B144+1)</f>
        <v/>
      </c>
      <c r="O144" s="153">
        <f>$C144*INDEX(Curves!$AS$8:$AS$68,O$4-$B144+1)</f>
        <v/>
      </c>
      <c r="P144" s="153">
        <f>$C144*INDEX(Curves!$AS$8:$AS$68,P$4-$B144+1)</f>
        <v/>
      </c>
      <c r="Q144" s="153">
        <f>$C144*INDEX(Curves!$AS$8:$AS$68,Q$4-$B144+1)</f>
        <v/>
      </c>
      <c r="R144" s="153">
        <f>$C144*INDEX(Curves!$AS$8:$AS$68,R$4-$B144+1)</f>
        <v/>
      </c>
      <c r="S144" s="153">
        <f>$C144*INDEX(Curves!$AS$8:$AS$68,S$4-$B144+1)</f>
        <v/>
      </c>
      <c r="T144" s="153">
        <f>$C144*INDEX(Curves!$AS$8:$AS$68,T$4-$B144+1)</f>
        <v/>
      </c>
      <c r="U144" s="153">
        <f>$C144*INDEX(Curves!$AS$8:$AS$68,U$4-$B144+1)</f>
        <v/>
      </c>
      <c r="V144" s="153">
        <f>$C144*INDEX(Curves!$AS$8:$AS$68,V$4-$B144+1)</f>
        <v/>
      </c>
      <c r="W144" s="153">
        <f>$C144*INDEX(Curves!$AS$8:$AS$68,W$4-$B144+1)</f>
        <v/>
      </c>
      <c r="X144" s="153">
        <f>$C144*INDEX(Curves!$AS$8:$AS$68,X$4-$B144+1)</f>
        <v/>
      </c>
      <c r="Y144" s="153">
        <f>$C144*INDEX(Curves!$AS$8:$AS$68,Y$4-$B144+1)</f>
        <v/>
      </c>
      <c r="Z144" s="153">
        <f>$C144*INDEX(Curves!$AS$8:$AS$68,Z$4-$B144+1)</f>
        <v/>
      </c>
      <c r="AA144" s="153">
        <f>$C144*INDEX(Curves!$AS$8:$AS$68,AA$4-$B144+1)</f>
        <v/>
      </c>
      <c r="AB144" s="153">
        <f>$C144*INDEX(Curves!$AS$8:$AS$68,AB$4-$B144+1)</f>
        <v/>
      </c>
      <c r="AC144" s="153">
        <f>$C144*INDEX(Curves!$AS$8:$AS$68,AC$4-$B144+1)</f>
        <v/>
      </c>
      <c r="AD144" s="153">
        <f>$C144*INDEX(Curves!$AS$8:$AS$68,AD$4-$B144+1)</f>
        <v/>
      </c>
      <c r="AE144" s="153">
        <f>$C144*INDEX(Curves!$AS$8:$AS$68,AE$4-$B144+1)</f>
        <v/>
      </c>
      <c r="AF144" s="153">
        <f>$C144*INDEX(Curves!$AS$8:$AS$68,AF$4-$B144+1)</f>
        <v/>
      </c>
      <c r="AG144" s="153">
        <f>$C144*INDEX(Curves!$AS$8:$AS$68,AG$4-$B144+1)</f>
        <v/>
      </c>
      <c r="AH144" s="153">
        <f>$C144*INDEX(Curves!$AS$8:$AS$68,AH$4-$B144+1)</f>
        <v/>
      </c>
      <c r="AI144" s="153">
        <f>$C144*INDEX(Curves!$AS$8:$AS$68,AI$4-$B144+1)</f>
        <v/>
      </c>
      <c r="AJ144" s="153">
        <f>$C144*INDEX(Curves!$AS$8:$AS$68,AJ$4-$B144+1)</f>
        <v/>
      </c>
      <c r="AK144" s="153">
        <f>$C144*INDEX(Curves!$AS$8:$AS$68,AK$4-$B144+1)</f>
        <v/>
      </c>
      <c r="AL144" s="153">
        <f>$C144*INDEX(Curves!$AS$8:$AS$68,AL$4-$B144+1)</f>
        <v/>
      </c>
      <c r="AM144" s="153">
        <f>$C144*INDEX(Curves!$AS$8:$AS$68,AM$4-$B144+1)</f>
        <v/>
      </c>
      <c r="AN144" s="153">
        <f>$C144*INDEX(Curves!$AS$8:$AS$68,AN$4-$B144+1)</f>
        <v/>
      </c>
      <c r="AO144" s="153">
        <f>$C144*INDEX(Curves!$AS$8:$AS$68,AO$4-$B144+1)</f>
        <v/>
      </c>
      <c r="AP144" s="153">
        <f>$C144*INDEX(Curves!$AS$8:$AS$68,AP$4-$B144+1)</f>
        <v/>
      </c>
      <c r="AQ144" s="153">
        <f>$C144*INDEX(Curves!$AS$8:$AS$68,AQ$4-$B144+1)</f>
        <v/>
      </c>
      <c r="AR144" s="153">
        <f>$C144*INDEX(Curves!$AS$8:$AS$68,AR$4-$B144+1)</f>
        <v/>
      </c>
      <c r="AS144" s="153">
        <f>$C144*INDEX(Curves!$AS$8:$AS$68,AS$4-$B144+1)</f>
        <v/>
      </c>
      <c r="AT144" s="153">
        <f>$C144*INDEX(Curves!$AS$8:$AS$68,AT$4-$B144+1)</f>
        <v/>
      </c>
      <c r="AU144" s="153">
        <f>$C144*INDEX(Curves!$AS$8:$AS$68,AU$4-$B144+1)</f>
        <v/>
      </c>
      <c r="AV144" s="153">
        <f>$C144*INDEX(Curves!$AS$8:$AS$68,AV$4-$B144+1)</f>
        <v/>
      </c>
      <c r="AW144" s="153">
        <f>$C144*INDEX(Curves!$AS$8:$AS$68,AW$4-$B144+1)</f>
        <v/>
      </c>
      <c r="AX144" s="153">
        <f>$C144*INDEX(Curves!$AS$8:$AS$68,AX$4-$B144+1)</f>
        <v/>
      </c>
      <c r="AY144" s="153">
        <f>$C144*INDEX(Curves!$AS$8:$AS$68,AY$4-$B144+1)</f>
        <v/>
      </c>
      <c r="AZ144" s="153">
        <f>$C144*INDEX(Curves!$AS$8:$AS$68,AZ$4-$B144+1)</f>
        <v/>
      </c>
      <c r="BA144" s="153">
        <f>$C144*INDEX(Curves!$AS$8:$AS$68,BA$4-$B144+1)</f>
        <v/>
      </c>
      <c r="BB144" s="153">
        <f>$C144*INDEX(Curves!$AS$8:$AS$68,BB$4-$B144+1)</f>
        <v/>
      </c>
      <c r="BC144" s="153">
        <f>$C144*INDEX(Curves!$AS$8:$AS$68,BC$4-$B144+1)</f>
        <v/>
      </c>
      <c r="BD144" s="153">
        <f>$C144*INDEX(Curves!$AS$8:$AS$68,BD$4-$B144+1)</f>
        <v/>
      </c>
      <c r="BE144" s="153">
        <f>$C144*INDEX(Curves!$AS$8:$AS$68,BE$4-$B144+1)</f>
        <v/>
      </c>
      <c r="BF144" s="153">
        <f>$C144*INDEX(Curves!$AS$8:$AS$68,BF$4-$B144+1)</f>
        <v/>
      </c>
      <c r="BG144" s="153">
        <f>$C144*INDEX(Curves!$AS$8:$AS$68,BG$4-$B144+1)</f>
        <v/>
      </c>
      <c r="BH144" s="153">
        <f>$C144*INDEX(Curves!$AS$8:$AS$68,BH$4-$B144+1)</f>
        <v/>
      </c>
      <c r="BI144" s="153">
        <f>$C144*INDEX(Curves!$AS$8:$AS$68,BI$4-$B144+1)</f>
        <v/>
      </c>
      <c r="BJ144" s="153">
        <f>$C144*INDEX(Curves!$AS$8:$AS$68,BJ$4-$B144+1)</f>
        <v/>
      </c>
      <c r="BK144" s="153">
        <f>$C144*INDEX(Curves!$AS$8:$AS$68,BK$4-$B144+1)</f>
        <v/>
      </c>
      <c r="BL144" s="153">
        <f>$C144*INDEX(Curves!$AS$8:$AS$68,BL$4-$B144+1)</f>
        <v/>
      </c>
    </row>
    <row r="145">
      <c r="A145" s="147" t="inlineStr">
        <is>
          <t>Cohort month 10</t>
        </is>
      </c>
      <c r="B145" s="147" t="n">
        <v>10</v>
      </c>
      <c r="C145" s="41">
        <f>INDEX(Ops!$E$85:$BL$85,1,$B145)</f>
        <v/>
      </c>
      <c r="O145" s="153">
        <f>$C145*INDEX(Curves!$AS$8:$AS$68,O$4-$B145+1)</f>
        <v/>
      </c>
      <c r="P145" s="153">
        <f>$C145*INDEX(Curves!$AS$8:$AS$68,P$4-$B145+1)</f>
        <v/>
      </c>
      <c r="Q145" s="153">
        <f>$C145*INDEX(Curves!$AS$8:$AS$68,Q$4-$B145+1)</f>
        <v/>
      </c>
      <c r="R145" s="153">
        <f>$C145*INDEX(Curves!$AS$8:$AS$68,R$4-$B145+1)</f>
        <v/>
      </c>
      <c r="S145" s="153">
        <f>$C145*INDEX(Curves!$AS$8:$AS$68,S$4-$B145+1)</f>
        <v/>
      </c>
      <c r="T145" s="153">
        <f>$C145*INDEX(Curves!$AS$8:$AS$68,T$4-$B145+1)</f>
        <v/>
      </c>
      <c r="U145" s="153">
        <f>$C145*INDEX(Curves!$AS$8:$AS$68,U$4-$B145+1)</f>
        <v/>
      </c>
      <c r="V145" s="153">
        <f>$C145*INDEX(Curves!$AS$8:$AS$68,V$4-$B145+1)</f>
        <v/>
      </c>
      <c r="W145" s="153">
        <f>$C145*INDEX(Curves!$AS$8:$AS$68,W$4-$B145+1)</f>
        <v/>
      </c>
      <c r="X145" s="153">
        <f>$C145*INDEX(Curves!$AS$8:$AS$68,X$4-$B145+1)</f>
        <v/>
      </c>
      <c r="Y145" s="153">
        <f>$C145*INDEX(Curves!$AS$8:$AS$68,Y$4-$B145+1)</f>
        <v/>
      </c>
      <c r="Z145" s="153">
        <f>$C145*INDEX(Curves!$AS$8:$AS$68,Z$4-$B145+1)</f>
        <v/>
      </c>
      <c r="AA145" s="153">
        <f>$C145*INDEX(Curves!$AS$8:$AS$68,AA$4-$B145+1)</f>
        <v/>
      </c>
      <c r="AB145" s="153">
        <f>$C145*INDEX(Curves!$AS$8:$AS$68,AB$4-$B145+1)</f>
        <v/>
      </c>
      <c r="AC145" s="153">
        <f>$C145*INDEX(Curves!$AS$8:$AS$68,AC$4-$B145+1)</f>
        <v/>
      </c>
      <c r="AD145" s="153">
        <f>$C145*INDEX(Curves!$AS$8:$AS$68,AD$4-$B145+1)</f>
        <v/>
      </c>
      <c r="AE145" s="153">
        <f>$C145*INDEX(Curves!$AS$8:$AS$68,AE$4-$B145+1)</f>
        <v/>
      </c>
      <c r="AF145" s="153">
        <f>$C145*INDEX(Curves!$AS$8:$AS$68,AF$4-$B145+1)</f>
        <v/>
      </c>
      <c r="AG145" s="153">
        <f>$C145*INDEX(Curves!$AS$8:$AS$68,AG$4-$B145+1)</f>
        <v/>
      </c>
      <c r="AH145" s="153">
        <f>$C145*INDEX(Curves!$AS$8:$AS$68,AH$4-$B145+1)</f>
        <v/>
      </c>
      <c r="AI145" s="153">
        <f>$C145*INDEX(Curves!$AS$8:$AS$68,AI$4-$B145+1)</f>
        <v/>
      </c>
      <c r="AJ145" s="153">
        <f>$C145*INDEX(Curves!$AS$8:$AS$68,AJ$4-$B145+1)</f>
        <v/>
      </c>
      <c r="AK145" s="153">
        <f>$C145*INDEX(Curves!$AS$8:$AS$68,AK$4-$B145+1)</f>
        <v/>
      </c>
      <c r="AL145" s="153">
        <f>$C145*INDEX(Curves!$AS$8:$AS$68,AL$4-$B145+1)</f>
        <v/>
      </c>
      <c r="AM145" s="153">
        <f>$C145*INDEX(Curves!$AS$8:$AS$68,AM$4-$B145+1)</f>
        <v/>
      </c>
      <c r="AN145" s="153">
        <f>$C145*INDEX(Curves!$AS$8:$AS$68,AN$4-$B145+1)</f>
        <v/>
      </c>
      <c r="AO145" s="153">
        <f>$C145*INDEX(Curves!$AS$8:$AS$68,AO$4-$B145+1)</f>
        <v/>
      </c>
      <c r="AP145" s="153">
        <f>$C145*INDEX(Curves!$AS$8:$AS$68,AP$4-$B145+1)</f>
        <v/>
      </c>
      <c r="AQ145" s="153">
        <f>$C145*INDEX(Curves!$AS$8:$AS$68,AQ$4-$B145+1)</f>
        <v/>
      </c>
      <c r="AR145" s="153">
        <f>$C145*INDEX(Curves!$AS$8:$AS$68,AR$4-$B145+1)</f>
        <v/>
      </c>
      <c r="AS145" s="153">
        <f>$C145*INDEX(Curves!$AS$8:$AS$68,AS$4-$B145+1)</f>
        <v/>
      </c>
      <c r="AT145" s="153">
        <f>$C145*INDEX(Curves!$AS$8:$AS$68,AT$4-$B145+1)</f>
        <v/>
      </c>
      <c r="AU145" s="153">
        <f>$C145*INDEX(Curves!$AS$8:$AS$68,AU$4-$B145+1)</f>
        <v/>
      </c>
      <c r="AV145" s="153">
        <f>$C145*INDEX(Curves!$AS$8:$AS$68,AV$4-$B145+1)</f>
        <v/>
      </c>
      <c r="AW145" s="153">
        <f>$C145*INDEX(Curves!$AS$8:$AS$68,AW$4-$B145+1)</f>
        <v/>
      </c>
      <c r="AX145" s="153">
        <f>$C145*INDEX(Curves!$AS$8:$AS$68,AX$4-$B145+1)</f>
        <v/>
      </c>
      <c r="AY145" s="153">
        <f>$C145*INDEX(Curves!$AS$8:$AS$68,AY$4-$B145+1)</f>
        <v/>
      </c>
      <c r="AZ145" s="153">
        <f>$C145*INDEX(Curves!$AS$8:$AS$68,AZ$4-$B145+1)</f>
        <v/>
      </c>
      <c r="BA145" s="153">
        <f>$C145*INDEX(Curves!$AS$8:$AS$68,BA$4-$B145+1)</f>
        <v/>
      </c>
      <c r="BB145" s="153">
        <f>$C145*INDEX(Curves!$AS$8:$AS$68,BB$4-$B145+1)</f>
        <v/>
      </c>
      <c r="BC145" s="153">
        <f>$C145*INDEX(Curves!$AS$8:$AS$68,BC$4-$B145+1)</f>
        <v/>
      </c>
      <c r="BD145" s="153">
        <f>$C145*INDEX(Curves!$AS$8:$AS$68,BD$4-$B145+1)</f>
        <v/>
      </c>
      <c r="BE145" s="153">
        <f>$C145*INDEX(Curves!$AS$8:$AS$68,BE$4-$B145+1)</f>
        <v/>
      </c>
      <c r="BF145" s="153">
        <f>$C145*INDEX(Curves!$AS$8:$AS$68,BF$4-$B145+1)</f>
        <v/>
      </c>
      <c r="BG145" s="153">
        <f>$C145*INDEX(Curves!$AS$8:$AS$68,BG$4-$B145+1)</f>
        <v/>
      </c>
      <c r="BH145" s="153">
        <f>$C145*INDEX(Curves!$AS$8:$AS$68,BH$4-$B145+1)</f>
        <v/>
      </c>
      <c r="BI145" s="153">
        <f>$C145*INDEX(Curves!$AS$8:$AS$68,BI$4-$B145+1)</f>
        <v/>
      </c>
      <c r="BJ145" s="153">
        <f>$C145*INDEX(Curves!$AS$8:$AS$68,BJ$4-$B145+1)</f>
        <v/>
      </c>
      <c r="BK145" s="153">
        <f>$C145*INDEX(Curves!$AS$8:$AS$68,BK$4-$B145+1)</f>
        <v/>
      </c>
      <c r="BL145" s="153">
        <f>$C145*INDEX(Curves!$AS$8:$AS$68,BL$4-$B145+1)</f>
        <v/>
      </c>
    </row>
    <row r="146">
      <c r="A146" s="147" t="inlineStr">
        <is>
          <t>Cohort month 11</t>
        </is>
      </c>
      <c r="B146" s="147" t="n">
        <v>11</v>
      </c>
      <c r="C146" s="41">
        <f>INDEX(Ops!$E$85:$BL$85,1,$B146)</f>
        <v/>
      </c>
      <c r="P146" s="153">
        <f>$C146*INDEX(Curves!$AS$8:$AS$68,P$4-$B146+1)</f>
        <v/>
      </c>
      <c r="Q146" s="153">
        <f>$C146*INDEX(Curves!$AS$8:$AS$68,Q$4-$B146+1)</f>
        <v/>
      </c>
      <c r="R146" s="153">
        <f>$C146*INDEX(Curves!$AS$8:$AS$68,R$4-$B146+1)</f>
        <v/>
      </c>
      <c r="S146" s="153">
        <f>$C146*INDEX(Curves!$AS$8:$AS$68,S$4-$B146+1)</f>
        <v/>
      </c>
      <c r="T146" s="153">
        <f>$C146*INDEX(Curves!$AS$8:$AS$68,T$4-$B146+1)</f>
        <v/>
      </c>
      <c r="U146" s="153">
        <f>$C146*INDEX(Curves!$AS$8:$AS$68,U$4-$B146+1)</f>
        <v/>
      </c>
      <c r="V146" s="153">
        <f>$C146*INDEX(Curves!$AS$8:$AS$68,V$4-$B146+1)</f>
        <v/>
      </c>
      <c r="W146" s="153">
        <f>$C146*INDEX(Curves!$AS$8:$AS$68,W$4-$B146+1)</f>
        <v/>
      </c>
      <c r="X146" s="153">
        <f>$C146*INDEX(Curves!$AS$8:$AS$68,X$4-$B146+1)</f>
        <v/>
      </c>
      <c r="Y146" s="153">
        <f>$C146*INDEX(Curves!$AS$8:$AS$68,Y$4-$B146+1)</f>
        <v/>
      </c>
      <c r="Z146" s="153">
        <f>$C146*INDEX(Curves!$AS$8:$AS$68,Z$4-$B146+1)</f>
        <v/>
      </c>
      <c r="AA146" s="153">
        <f>$C146*INDEX(Curves!$AS$8:$AS$68,AA$4-$B146+1)</f>
        <v/>
      </c>
      <c r="AB146" s="153">
        <f>$C146*INDEX(Curves!$AS$8:$AS$68,AB$4-$B146+1)</f>
        <v/>
      </c>
      <c r="AC146" s="153">
        <f>$C146*INDEX(Curves!$AS$8:$AS$68,AC$4-$B146+1)</f>
        <v/>
      </c>
      <c r="AD146" s="153">
        <f>$C146*INDEX(Curves!$AS$8:$AS$68,AD$4-$B146+1)</f>
        <v/>
      </c>
      <c r="AE146" s="153">
        <f>$C146*INDEX(Curves!$AS$8:$AS$68,AE$4-$B146+1)</f>
        <v/>
      </c>
      <c r="AF146" s="153">
        <f>$C146*INDEX(Curves!$AS$8:$AS$68,AF$4-$B146+1)</f>
        <v/>
      </c>
      <c r="AG146" s="153">
        <f>$C146*INDEX(Curves!$AS$8:$AS$68,AG$4-$B146+1)</f>
        <v/>
      </c>
      <c r="AH146" s="153">
        <f>$C146*INDEX(Curves!$AS$8:$AS$68,AH$4-$B146+1)</f>
        <v/>
      </c>
      <c r="AI146" s="153">
        <f>$C146*INDEX(Curves!$AS$8:$AS$68,AI$4-$B146+1)</f>
        <v/>
      </c>
      <c r="AJ146" s="153">
        <f>$C146*INDEX(Curves!$AS$8:$AS$68,AJ$4-$B146+1)</f>
        <v/>
      </c>
      <c r="AK146" s="153">
        <f>$C146*INDEX(Curves!$AS$8:$AS$68,AK$4-$B146+1)</f>
        <v/>
      </c>
      <c r="AL146" s="153">
        <f>$C146*INDEX(Curves!$AS$8:$AS$68,AL$4-$B146+1)</f>
        <v/>
      </c>
      <c r="AM146" s="153">
        <f>$C146*INDEX(Curves!$AS$8:$AS$68,AM$4-$B146+1)</f>
        <v/>
      </c>
      <c r="AN146" s="153">
        <f>$C146*INDEX(Curves!$AS$8:$AS$68,AN$4-$B146+1)</f>
        <v/>
      </c>
      <c r="AO146" s="153">
        <f>$C146*INDEX(Curves!$AS$8:$AS$68,AO$4-$B146+1)</f>
        <v/>
      </c>
      <c r="AP146" s="153">
        <f>$C146*INDEX(Curves!$AS$8:$AS$68,AP$4-$B146+1)</f>
        <v/>
      </c>
      <c r="AQ146" s="153">
        <f>$C146*INDEX(Curves!$AS$8:$AS$68,AQ$4-$B146+1)</f>
        <v/>
      </c>
      <c r="AR146" s="153">
        <f>$C146*INDEX(Curves!$AS$8:$AS$68,AR$4-$B146+1)</f>
        <v/>
      </c>
      <c r="AS146" s="153">
        <f>$C146*INDEX(Curves!$AS$8:$AS$68,AS$4-$B146+1)</f>
        <v/>
      </c>
      <c r="AT146" s="153">
        <f>$C146*INDEX(Curves!$AS$8:$AS$68,AT$4-$B146+1)</f>
        <v/>
      </c>
      <c r="AU146" s="153">
        <f>$C146*INDEX(Curves!$AS$8:$AS$68,AU$4-$B146+1)</f>
        <v/>
      </c>
      <c r="AV146" s="153">
        <f>$C146*INDEX(Curves!$AS$8:$AS$68,AV$4-$B146+1)</f>
        <v/>
      </c>
      <c r="AW146" s="153">
        <f>$C146*INDEX(Curves!$AS$8:$AS$68,AW$4-$B146+1)</f>
        <v/>
      </c>
      <c r="AX146" s="153">
        <f>$C146*INDEX(Curves!$AS$8:$AS$68,AX$4-$B146+1)</f>
        <v/>
      </c>
      <c r="AY146" s="153">
        <f>$C146*INDEX(Curves!$AS$8:$AS$68,AY$4-$B146+1)</f>
        <v/>
      </c>
      <c r="AZ146" s="153">
        <f>$C146*INDEX(Curves!$AS$8:$AS$68,AZ$4-$B146+1)</f>
        <v/>
      </c>
      <c r="BA146" s="153">
        <f>$C146*INDEX(Curves!$AS$8:$AS$68,BA$4-$B146+1)</f>
        <v/>
      </c>
      <c r="BB146" s="153">
        <f>$C146*INDEX(Curves!$AS$8:$AS$68,BB$4-$B146+1)</f>
        <v/>
      </c>
      <c r="BC146" s="153">
        <f>$C146*INDEX(Curves!$AS$8:$AS$68,BC$4-$B146+1)</f>
        <v/>
      </c>
      <c r="BD146" s="153">
        <f>$C146*INDEX(Curves!$AS$8:$AS$68,BD$4-$B146+1)</f>
        <v/>
      </c>
      <c r="BE146" s="153">
        <f>$C146*INDEX(Curves!$AS$8:$AS$68,BE$4-$B146+1)</f>
        <v/>
      </c>
      <c r="BF146" s="153">
        <f>$C146*INDEX(Curves!$AS$8:$AS$68,BF$4-$B146+1)</f>
        <v/>
      </c>
      <c r="BG146" s="153">
        <f>$C146*INDEX(Curves!$AS$8:$AS$68,BG$4-$B146+1)</f>
        <v/>
      </c>
      <c r="BH146" s="153">
        <f>$C146*INDEX(Curves!$AS$8:$AS$68,BH$4-$B146+1)</f>
        <v/>
      </c>
      <c r="BI146" s="153">
        <f>$C146*INDEX(Curves!$AS$8:$AS$68,BI$4-$B146+1)</f>
        <v/>
      </c>
      <c r="BJ146" s="153">
        <f>$C146*INDEX(Curves!$AS$8:$AS$68,BJ$4-$B146+1)</f>
        <v/>
      </c>
      <c r="BK146" s="153">
        <f>$C146*INDEX(Curves!$AS$8:$AS$68,BK$4-$B146+1)</f>
        <v/>
      </c>
      <c r="BL146" s="153">
        <f>$C146*INDEX(Curves!$AS$8:$AS$68,BL$4-$B146+1)</f>
        <v/>
      </c>
    </row>
    <row r="147">
      <c r="A147" s="147" t="inlineStr">
        <is>
          <t>Cohort month 12</t>
        </is>
      </c>
      <c r="B147" s="147" t="n">
        <v>12</v>
      </c>
      <c r="C147" s="41">
        <f>INDEX(Ops!$E$85:$BL$85,1,$B147)</f>
        <v/>
      </c>
      <c r="Q147" s="153">
        <f>$C147*INDEX(Curves!$AS$8:$AS$68,Q$4-$B147+1)</f>
        <v/>
      </c>
      <c r="R147" s="153">
        <f>$C147*INDEX(Curves!$AS$8:$AS$68,R$4-$B147+1)</f>
        <v/>
      </c>
      <c r="S147" s="153">
        <f>$C147*INDEX(Curves!$AS$8:$AS$68,S$4-$B147+1)</f>
        <v/>
      </c>
      <c r="T147" s="153">
        <f>$C147*INDEX(Curves!$AS$8:$AS$68,T$4-$B147+1)</f>
        <v/>
      </c>
      <c r="U147" s="153">
        <f>$C147*INDEX(Curves!$AS$8:$AS$68,U$4-$B147+1)</f>
        <v/>
      </c>
      <c r="V147" s="153">
        <f>$C147*INDEX(Curves!$AS$8:$AS$68,V$4-$B147+1)</f>
        <v/>
      </c>
      <c r="W147" s="153">
        <f>$C147*INDEX(Curves!$AS$8:$AS$68,W$4-$B147+1)</f>
        <v/>
      </c>
      <c r="X147" s="153">
        <f>$C147*INDEX(Curves!$AS$8:$AS$68,X$4-$B147+1)</f>
        <v/>
      </c>
      <c r="Y147" s="153">
        <f>$C147*INDEX(Curves!$AS$8:$AS$68,Y$4-$B147+1)</f>
        <v/>
      </c>
      <c r="Z147" s="153">
        <f>$C147*INDEX(Curves!$AS$8:$AS$68,Z$4-$B147+1)</f>
        <v/>
      </c>
      <c r="AA147" s="153">
        <f>$C147*INDEX(Curves!$AS$8:$AS$68,AA$4-$B147+1)</f>
        <v/>
      </c>
      <c r="AB147" s="153">
        <f>$C147*INDEX(Curves!$AS$8:$AS$68,AB$4-$B147+1)</f>
        <v/>
      </c>
      <c r="AC147" s="153">
        <f>$C147*INDEX(Curves!$AS$8:$AS$68,AC$4-$B147+1)</f>
        <v/>
      </c>
      <c r="AD147" s="153">
        <f>$C147*INDEX(Curves!$AS$8:$AS$68,AD$4-$B147+1)</f>
        <v/>
      </c>
      <c r="AE147" s="153">
        <f>$C147*INDEX(Curves!$AS$8:$AS$68,AE$4-$B147+1)</f>
        <v/>
      </c>
      <c r="AF147" s="153">
        <f>$C147*INDEX(Curves!$AS$8:$AS$68,AF$4-$B147+1)</f>
        <v/>
      </c>
      <c r="AG147" s="153">
        <f>$C147*INDEX(Curves!$AS$8:$AS$68,AG$4-$B147+1)</f>
        <v/>
      </c>
      <c r="AH147" s="153">
        <f>$C147*INDEX(Curves!$AS$8:$AS$68,AH$4-$B147+1)</f>
        <v/>
      </c>
      <c r="AI147" s="153">
        <f>$C147*INDEX(Curves!$AS$8:$AS$68,AI$4-$B147+1)</f>
        <v/>
      </c>
      <c r="AJ147" s="153">
        <f>$C147*INDEX(Curves!$AS$8:$AS$68,AJ$4-$B147+1)</f>
        <v/>
      </c>
      <c r="AK147" s="153">
        <f>$C147*INDEX(Curves!$AS$8:$AS$68,AK$4-$B147+1)</f>
        <v/>
      </c>
      <c r="AL147" s="153">
        <f>$C147*INDEX(Curves!$AS$8:$AS$68,AL$4-$B147+1)</f>
        <v/>
      </c>
      <c r="AM147" s="153">
        <f>$C147*INDEX(Curves!$AS$8:$AS$68,AM$4-$B147+1)</f>
        <v/>
      </c>
      <c r="AN147" s="153">
        <f>$C147*INDEX(Curves!$AS$8:$AS$68,AN$4-$B147+1)</f>
        <v/>
      </c>
      <c r="AO147" s="153">
        <f>$C147*INDEX(Curves!$AS$8:$AS$68,AO$4-$B147+1)</f>
        <v/>
      </c>
      <c r="AP147" s="153">
        <f>$C147*INDEX(Curves!$AS$8:$AS$68,AP$4-$B147+1)</f>
        <v/>
      </c>
      <c r="AQ147" s="153">
        <f>$C147*INDEX(Curves!$AS$8:$AS$68,AQ$4-$B147+1)</f>
        <v/>
      </c>
      <c r="AR147" s="153">
        <f>$C147*INDEX(Curves!$AS$8:$AS$68,AR$4-$B147+1)</f>
        <v/>
      </c>
      <c r="AS147" s="153">
        <f>$C147*INDEX(Curves!$AS$8:$AS$68,AS$4-$B147+1)</f>
        <v/>
      </c>
      <c r="AT147" s="153">
        <f>$C147*INDEX(Curves!$AS$8:$AS$68,AT$4-$B147+1)</f>
        <v/>
      </c>
      <c r="AU147" s="153">
        <f>$C147*INDEX(Curves!$AS$8:$AS$68,AU$4-$B147+1)</f>
        <v/>
      </c>
      <c r="AV147" s="153">
        <f>$C147*INDEX(Curves!$AS$8:$AS$68,AV$4-$B147+1)</f>
        <v/>
      </c>
      <c r="AW147" s="153">
        <f>$C147*INDEX(Curves!$AS$8:$AS$68,AW$4-$B147+1)</f>
        <v/>
      </c>
      <c r="AX147" s="153">
        <f>$C147*INDEX(Curves!$AS$8:$AS$68,AX$4-$B147+1)</f>
        <v/>
      </c>
      <c r="AY147" s="153">
        <f>$C147*INDEX(Curves!$AS$8:$AS$68,AY$4-$B147+1)</f>
        <v/>
      </c>
      <c r="AZ147" s="153">
        <f>$C147*INDEX(Curves!$AS$8:$AS$68,AZ$4-$B147+1)</f>
        <v/>
      </c>
      <c r="BA147" s="153">
        <f>$C147*INDEX(Curves!$AS$8:$AS$68,BA$4-$B147+1)</f>
        <v/>
      </c>
      <c r="BB147" s="153">
        <f>$C147*INDEX(Curves!$AS$8:$AS$68,BB$4-$B147+1)</f>
        <v/>
      </c>
      <c r="BC147" s="153">
        <f>$C147*INDEX(Curves!$AS$8:$AS$68,BC$4-$B147+1)</f>
        <v/>
      </c>
      <c r="BD147" s="153">
        <f>$C147*INDEX(Curves!$AS$8:$AS$68,BD$4-$B147+1)</f>
        <v/>
      </c>
      <c r="BE147" s="153">
        <f>$C147*INDEX(Curves!$AS$8:$AS$68,BE$4-$B147+1)</f>
        <v/>
      </c>
      <c r="BF147" s="153">
        <f>$C147*INDEX(Curves!$AS$8:$AS$68,BF$4-$B147+1)</f>
        <v/>
      </c>
      <c r="BG147" s="153">
        <f>$C147*INDEX(Curves!$AS$8:$AS$68,BG$4-$B147+1)</f>
        <v/>
      </c>
      <c r="BH147" s="153">
        <f>$C147*INDEX(Curves!$AS$8:$AS$68,BH$4-$B147+1)</f>
        <v/>
      </c>
      <c r="BI147" s="153">
        <f>$C147*INDEX(Curves!$AS$8:$AS$68,BI$4-$B147+1)</f>
        <v/>
      </c>
      <c r="BJ147" s="153">
        <f>$C147*INDEX(Curves!$AS$8:$AS$68,BJ$4-$B147+1)</f>
        <v/>
      </c>
      <c r="BK147" s="153">
        <f>$C147*INDEX(Curves!$AS$8:$AS$68,BK$4-$B147+1)</f>
        <v/>
      </c>
      <c r="BL147" s="153">
        <f>$C147*INDEX(Curves!$AS$8:$AS$68,BL$4-$B147+1)</f>
        <v/>
      </c>
    </row>
    <row r="148">
      <c r="A148" s="147" t="inlineStr">
        <is>
          <t>Cohort month 13</t>
        </is>
      </c>
      <c r="B148" s="147" t="n">
        <v>13</v>
      </c>
      <c r="C148" s="41">
        <f>INDEX(Ops!$E$85:$BL$85,1,$B148)</f>
        <v/>
      </c>
      <c r="R148" s="153">
        <f>$C148*INDEX(Curves!$AS$8:$AS$68,R$4-$B148+1)</f>
        <v/>
      </c>
      <c r="S148" s="153">
        <f>$C148*INDEX(Curves!$AS$8:$AS$68,S$4-$B148+1)</f>
        <v/>
      </c>
      <c r="T148" s="153">
        <f>$C148*INDEX(Curves!$AS$8:$AS$68,T$4-$B148+1)</f>
        <v/>
      </c>
      <c r="U148" s="153">
        <f>$C148*INDEX(Curves!$AS$8:$AS$68,U$4-$B148+1)</f>
        <v/>
      </c>
      <c r="V148" s="153">
        <f>$C148*INDEX(Curves!$AS$8:$AS$68,V$4-$B148+1)</f>
        <v/>
      </c>
      <c r="W148" s="153">
        <f>$C148*INDEX(Curves!$AS$8:$AS$68,W$4-$B148+1)</f>
        <v/>
      </c>
      <c r="X148" s="153">
        <f>$C148*INDEX(Curves!$AS$8:$AS$68,X$4-$B148+1)</f>
        <v/>
      </c>
      <c r="Y148" s="153">
        <f>$C148*INDEX(Curves!$AS$8:$AS$68,Y$4-$B148+1)</f>
        <v/>
      </c>
      <c r="Z148" s="153">
        <f>$C148*INDEX(Curves!$AS$8:$AS$68,Z$4-$B148+1)</f>
        <v/>
      </c>
      <c r="AA148" s="153">
        <f>$C148*INDEX(Curves!$AS$8:$AS$68,AA$4-$B148+1)</f>
        <v/>
      </c>
      <c r="AB148" s="153">
        <f>$C148*INDEX(Curves!$AS$8:$AS$68,AB$4-$B148+1)</f>
        <v/>
      </c>
      <c r="AC148" s="153">
        <f>$C148*INDEX(Curves!$AS$8:$AS$68,AC$4-$B148+1)</f>
        <v/>
      </c>
      <c r="AD148" s="153">
        <f>$C148*INDEX(Curves!$AS$8:$AS$68,AD$4-$B148+1)</f>
        <v/>
      </c>
      <c r="AE148" s="153">
        <f>$C148*INDEX(Curves!$AS$8:$AS$68,AE$4-$B148+1)</f>
        <v/>
      </c>
      <c r="AF148" s="153">
        <f>$C148*INDEX(Curves!$AS$8:$AS$68,AF$4-$B148+1)</f>
        <v/>
      </c>
      <c r="AG148" s="153">
        <f>$C148*INDEX(Curves!$AS$8:$AS$68,AG$4-$B148+1)</f>
        <v/>
      </c>
      <c r="AH148" s="153">
        <f>$C148*INDEX(Curves!$AS$8:$AS$68,AH$4-$B148+1)</f>
        <v/>
      </c>
      <c r="AI148" s="153">
        <f>$C148*INDEX(Curves!$AS$8:$AS$68,AI$4-$B148+1)</f>
        <v/>
      </c>
      <c r="AJ148" s="153">
        <f>$C148*INDEX(Curves!$AS$8:$AS$68,AJ$4-$B148+1)</f>
        <v/>
      </c>
      <c r="AK148" s="153">
        <f>$C148*INDEX(Curves!$AS$8:$AS$68,AK$4-$B148+1)</f>
        <v/>
      </c>
      <c r="AL148" s="153">
        <f>$C148*INDEX(Curves!$AS$8:$AS$68,AL$4-$B148+1)</f>
        <v/>
      </c>
      <c r="AM148" s="153">
        <f>$C148*INDEX(Curves!$AS$8:$AS$68,AM$4-$B148+1)</f>
        <v/>
      </c>
      <c r="AN148" s="153">
        <f>$C148*INDEX(Curves!$AS$8:$AS$68,AN$4-$B148+1)</f>
        <v/>
      </c>
      <c r="AO148" s="153">
        <f>$C148*INDEX(Curves!$AS$8:$AS$68,AO$4-$B148+1)</f>
        <v/>
      </c>
      <c r="AP148" s="153">
        <f>$C148*INDEX(Curves!$AS$8:$AS$68,AP$4-$B148+1)</f>
        <v/>
      </c>
      <c r="AQ148" s="153">
        <f>$C148*INDEX(Curves!$AS$8:$AS$68,AQ$4-$B148+1)</f>
        <v/>
      </c>
      <c r="AR148" s="153">
        <f>$C148*INDEX(Curves!$AS$8:$AS$68,AR$4-$B148+1)</f>
        <v/>
      </c>
      <c r="AS148" s="153">
        <f>$C148*INDEX(Curves!$AS$8:$AS$68,AS$4-$B148+1)</f>
        <v/>
      </c>
      <c r="AT148" s="153">
        <f>$C148*INDEX(Curves!$AS$8:$AS$68,AT$4-$B148+1)</f>
        <v/>
      </c>
      <c r="AU148" s="153">
        <f>$C148*INDEX(Curves!$AS$8:$AS$68,AU$4-$B148+1)</f>
        <v/>
      </c>
      <c r="AV148" s="153">
        <f>$C148*INDEX(Curves!$AS$8:$AS$68,AV$4-$B148+1)</f>
        <v/>
      </c>
      <c r="AW148" s="153">
        <f>$C148*INDEX(Curves!$AS$8:$AS$68,AW$4-$B148+1)</f>
        <v/>
      </c>
      <c r="AX148" s="153">
        <f>$C148*INDEX(Curves!$AS$8:$AS$68,AX$4-$B148+1)</f>
        <v/>
      </c>
      <c r="AY148" s="153">
        <f>$C148*INDEX(Curves!$AS$8:$AS$68,AY$4-$B148+1)</f>
        <v/>
      </c>
      <c r="AZ148" s="153">
        <f>$C148*INDEX(Curves!$AS$8:$AS$68,AZ$4-$B148+1)</f>
        <v/>
      </c>
      <c r="BA148" s="153">
        <f>$C148*INDEX(Curves!$AS$8:$AS$68,BA$4-$B148+1)</f>
        <v/>
      </c>
      <c r="BB148" s="153">
        <f>$C148*INDEX(Curves!$AS$8:$AS$68,BB$4-$B148+1)</f>
        <v/>
      </c>
      <c r="BC148" s="153">
        <f>$C148*INDEX(Curves!$AS$8:$AS$68,BC$4-$B148+1)</f>
        <v/>
      </c>
      <c r="BD148" s="153">
        <f>$C148*INDEX(Curves!$AS$8:$AS$68,BD$4-$B148+1)</f>
        <v/>
      </c>
      <c r="BE148" s="153">
        <f>$C148*INDEX(Curves!$AS$8:$AS$68,BE$4-$B148+1)</f>
        <v/>
      </c>
      <c r="BF148" s="153">
        <f>$C148*INDEX(Curves!$AS$8:$AS$68,BF$4-$B148+1)</f>
        <v/>
      </c>
      <c r="BG148" s="153">
        <f>$C148*INDEX(Curves!$AS$8:$AS$68,BG$4-$B148+1)</f>
        <v/>
      </c>
      <c r="BH148" s="153">
        <f>$C148*INDEX(Curves!$AS$8:$AS$68,BH$4-$B148+1)</f>
        <v/>
      </c>
      <c r="BI148" s="153">
        <f>$C148*INDEX(Curves!$AS$8:$AS$68,BI$4-$B148+1)</f>
        <v/>
      </c>
      <c r="BJ148" s="153">
        <f>$C148*INDEX(Curves!$AS$8:$AS$68,BJ$4-$B148+1)</f>
        <v/>
      </c>
      <c r="BK148" s="153">
        <f>$C148*INDEX(Curves!$AS$8:$AS$68,BK$4-$B148+1)</f>
        <v/>
      </c>
      <c r="BL148" s="153">
        <f>$C148*INDEX(Curves!$AS$8:$AS$68,BL$4-$B148+1)</f>
        <v/>
      </c>
    </row>
    <row r="149">
      <c r="A149" s="147" t="inlineStr">
        <is>
          <t>Cohort month 14</t>
        </is>
      </c>
      <c r="B149" s="147" t="n">
        <v>14</v>
      </c>
      <c r="C149" s="41">
        <f>INDEX(Ops!$E$85:$BL$85,1,$B149)</f>
        <v/>
      </c>
      <c r="S149" s="153">
        <f>$C149*INDEX(Curves!$AS$8:$AS$68,S$4-$B149+1)</f>
        <v/>
      </c>
      <c r="T149" s="153">
        <f>$C149*INDEX(Curves!$AS$8:$AS$68,T$4-$B149+1)</f>
        <v/>
      </c>
      <c r="U149" s="153">
        <f>$C149*INDEX(Curves!$AS$8:$AS$68,U$4-$B149+1)</f>
        <v/>
      </c>
      <c r="V149" s="153">
        <f>$C149*INDEX(Curves!$AS$8:$AS$68,V$4-$B149+1)</f>
        <v/>
      </c>
      <c r="W149" s="153">
        <f>$C149*INDEX(Curves!$AS$8:$AS$68,W$4-$B149+1)</f>
        <v/>
      </c>
      <c r="X149" s="153">
        <f>$C149*INDEX(Curves!$AS$8:$AS$68,X$4-$B149+1)</f>
        <v/>
      </c>
      <c r="Y149" s="153">
        <f>$C149*INDEX(Curves!$AS$8:$AS$68,Y$4-$B149+1)</f>
        <v/>
      </c>
      <c r="Z149" s="153">
        <f>$C149*INDEX(Curves!$AS$8:$AS$68,Z$4-$B149+1)</f>
        <v/>
      </c>
      <c r="AA149" s="153">
        <f>$C149*INDEX(Curves!$AS$8:$AS$68,AA$4-$B149+1)</f>
        <v/>
      </c>
      <c r="AB149" s="153">
        <f>$C149*INDEX(Curves!$AS$8:$AS$68,AB$4-$B149+1)</f>
        <v/>
      </c>
      <c r="AC149" s="153">
        <f>$C149*INDEX(Curves!$AS$8:$AS$68,AC$4-$B149+1)</f>
        <v/>
      </c>
      <c r="AD149" s="153">
        <f>$C149*INDEX(Curves!$AS$8:$AS$68,AD$4-$B149+1)</f>
        <v/>
      </c>
      <c r="AE149" s="153">
        <f>$C149*INDEX(Curves!$AS$8:$AS$68,AE$4-$B149+1)</f>
        <v/>
      </c>
      <c r="AF149" s="153">
        <f>$C149*INDEX(Curves!$AS$8:$AS$68,AF$4-$B149+1)</f>
        <v/>
      </c>
      <c r="AG149" s="153">
        <f>$C149*INDEX(Curves!$AS$8:$AS$68,AG$4-$B149+1)</f>
        <v/>
      </c>
      <c r="AH149" s="153">
        <f>$C149*INDEX(Curves!$AS$8:$AS$68,AH$4-$B149+1)</f>
        <v/>
      </c>
      <c r="AI149" s="153">
        <f>$C149*INDEX(Curves!$AS$8:$AS$68,AI$4-$B149+1)</f>
        <v/>
      </c>
      <c r="AJ149" s="153">
        <f>$C149*INDEX(Curves!$AS$8:$AS$68,AJ$4-$B149+1)</f>
        <v/>
      </c>
      <c r="AK149" s="153">
        <f>$C149*INDEX(Curves!$AS$8:$AS$68,AK$4-$B149+1)</f>
        <v/>
      </c>
      <c r="AL149" s="153">
        <f>$C149*INDEX(Curves!$AS$8:$AS$68,AL$4-$B149+1)</f>
        <v/>
      </c>
      <c r="AM149" s="153">
        <f>$C149*INDEX(Curves!$AS$8:$AS$68,AM$4-$B149+1)</f>
        <v/>
      </c>
      <c r="AN149" s="153">
        <f>$C149*INDEX(Curves!$AS$8:$AS$68,AN$4-$B149+1)</f>
        <v/>
      </c>
      <c r="AO149" s="153">
        <f>$C149*INDEX(Curves!$AS$8:$AS$68,AO$4-$B149+1)</f>
        <v/>
      </c>
      <c r="AP149" s="153">
        <f>$C149*INDEX(Curves!$AS$8:$AS$68,AP$4-$B149+1)</f>
        <v/>
      </c>
      <c r="AQ149" s="153">
        <f>$C149*INDEX(Curves!$AS$8:$AS$68,AQ$4-$B149+1)</f>
        <v/>
      </c>
      <c r="AR149" s="153">
        <f>$C149*INDEX(Curves!$AS$8:$AS$68,AR$4-$B149+1)</f>
        <v/>
      </c>
      <c r="AS149" s="153">
        <f>$C149*INDEX(Curves!$AS$8:$AS$68,AS$4-$B149+1)</f>
        <v/>
      </c>
      <c r="AT149" s="153">
        <f>$C149*INDEX(Curves!$AS$8:$AS$68,AT$4-$B149+1)</f>
        <v/>
      </c>
      <c r="AU149" s="153">
        <f>$C149*INDEX(Curves!$AS$8:$AS$68,AU$4-$B149+1)</f>
        <v/>
      </c>
      <c r="AV149" s="153">
        <f>$C149*INDEX(Curves!$AS$8:$AS$68,AV$4-$B149+1)</f>
        <v/>
      </c>
      <c r="AW149" s="153">
        <f>$C149*INDEX(Curves!$AS$8:$AS$68,AW$4-$B149+1)</f>
        <v/>
      </c>
      <c r="AX149" s="153">
        <f>$C149*INDEX(Curves!$AS$8:$AS$68,AX$4-$B149+1)</f>
        <v/>
      </c>
      <c r="AY149" s="153">
        <f>$C149*INDEX(Curves!$AS$8:$AS$68,AY$4-$B149+1)</f>
        <v/>
      </c>
      <c r="AZ149" s="153">
        <f>$C149*INDEX(Curves!$AS$8:$AS$68,AZ$4-$B149+1)</f>
        <v/>
      </c>
      <c r="BA149" s="153">
        <f>$C149*INDEX(Curves!$AS$8:$AS$68,BA$4-$B149+1)</f>
        <v/>
      </c>
      <c r="BB149" s="153">
        <f>$C149*INDEX(Curves!$AS$8:$AS$68,BB$4-$B149+1)</f>
        <v/>
      </c>
      <c r="BC149" s="153">
        <f>$C149*INDEX(Curves!$AS$8:$AS$68,BC$4-$B149+1)</f>
        <v/>
      </c>
      <c r="BD149" s="153">
        <f>$C149*INDEX(Curves!$AS$8:$AS$68,BD$4-$B149+1)</f>
        <v/>
      </c>
      <c r="BE149" s="153">
        <f>$C149*INDEX(Curves!$AS$8:$AS$68,BE$4-$B149+1)</f>
        <v/>
      </c>
      <c r="BF149" s="153">
        <f>$C149*INDEX(Curves!$AS$8:$AS$68,BF$4-$B149+1)</f>
        <v/>
      </c>
      <c r="BG149" s="153">
        <f>$C149*INDEX(Curves!$AS$8:$AS$68,BG$4-$B149+1)</f>
        <v/>
      </c>
      <c r="BH149" s="153">
        <f>$C149*INDEX(Curves!$AS$8:$AS$68,BH$4-$B149+1)</f>
        <v/>
      </c>
      <c r="BI149" s="153">
        <f>$C149*INDEX(Curves!$AS$8:$AS$68,BI$4-$B149+1)</f>
        <v/>
      </c>
      <c r="BJ149" s="153">
        <f>$C149*INDEX(Curves!$AS$8:$AS$68,BJ$4-$B149+1)</f>
        <v/>
      </c>
      <c r="BK149" s="153">
        <f>$C149*INDEX(Curves!$AS$8:$AS$68,BK$4-$B149+1)</f>
        <v/>
      </c>
      <c r="BL149" s="153">
        <f>$C149*INDEX(Curves!$AS$8:$AS$68,BL$4-$B149+1)</f>
        <v/>
      </c>
    </row>
    <row r="150">
      <c r="A150" s="147" t="inlineStr">
        <is>
          <t>Cohort month 15</t>
        </is>
      </c>
      <c r="B150" s="147" t="n">
        <v>15</v>
      </c>
      <c r="C150" s="41">
        <f>INDEX(Ops!$E$85:$BL$85,1,$B150)</f>
        <v/>
      </c>
      <c r="T150" s="153">
        <f>$C150*INDEX(Curves!$AS$8:$AS$68,T$4-$B150+1)</f>
        <v/>
      </c>
      <c r="U150" s="153">
        <f>$C150*INDEX(Curves!$AS$8:$AS$68,U$4-$B150+1)</f>
        <v/>
      </c>
      <c r="V150" s="153">
        <f>$C150*INDEX(Curves!$AS$8:$AS$68,V$4-$B150+1)</f>
        <v/>
      </c>
      <c r="W150" s="153">
        <f>$C150*INDEX(Curves!$AS$8:$AS$68,W$4-$B150+1)</f>
        <v/>
      </c>
      <c r="X150" s="153">
        <f>$C150*INDEX(Curves!$AS$8:$AS$68,X$4-$B150+1)</f>
        <v/>
      </c>
      <c r="Y150" s="153">
        <f>$C150*INDEX(Curves!$AS$8:$AS$68,Y$4-$B150+1)</f>
        <v/>
      </c>
      <c r="Z150" s="153">
        <f>$C150*INDEX(Curves!$AS$8:$AS$68,Z$4-$B150+1)</f>
        <v/>
      </c>
      <c r="AA150" s="153">
        <f>$C150*INDEX(Curves!$AS$8:$AS$68,AA$4-$B150+1)</f>
        <v/>
      </c>
      <c r="AB150" s="153">
        <f>$C150*INDEX(Curves!$AS$8:$AS$68,AB$4-$B150+1)</f>
        <v/>
      </c>
      <c r="AC150" s="153">
        <f>$C150*INDEX(Curves!$AS$8:$AS$68,AC$4-$B150+1)</f>
        <v/>
      </c>
      <c r="AD150" s="153">
        <f>$C150*INDEX(Curves!$AS$8:$AS$68,AD$4-$B150+1)</f>
        <v/>
      </c>
      <c r="AE150" s="153">
        <f>$C150*INDEX(Curves!$AS$8:$AS$68,AE$4-$B150+1)</f>
        <v/>
      </c>
      <c r="AF150" s="153">
        <f>$C150*INDEX(Curves!$AS$8:$AS$68,AF$4-$B150+1)</f>
        <v/>
      </c>
      <c r="AG150" s="153">
        <f>$C150*INDEX(Curves!$AS$8:$AS$68,AG$4-$B150+1)</f>
        <v/>
      </c>
      <c r="AH150" s="153">
        <f>$C150*INDEX(Curves!$AS$8:$AS$68,AH$4-$B150+1)</f>
        <v/>
      </c>
      <c r="AI150" s="153">
        <f>$C150*INDEX(Curves!$AS$8:$AS$68,AI$4-$B150+1)</f>
        <v/>
      </c>
      <c r="AJ150" s="153">
        <f>$C150*INDEX(Curves!$AS$8:$AS$68,AJ$4-$B150+1)</f>
        <v/>
      </c>
      <c r="AK150" s="153">
        <f>$C150*INDEX(Curves!$AS$8:$AS$68,AK$4-$B150+1)</f>
        <v/>
      </c>
      <c r="AL150" s="153">
        <f>$C150*INDEX(Curves!$AS$8:$AS$68,AL$4-$B150+1)</f>
        <v/>
      </c>
      <c r="AM150" s="153">
        <f>$C150*INDEX(Curves!$AS$8:$AS$68,AM$4-$B150+1)</f>
        <v/>
      </c>
      <c r="AN150" s="153">
        <f>$C150*INDEX(Curves!$AS$8:$AS$68,AN$4-$B150+1)</f>
        <v/>
      </c>
      <c r="AO150" s="153">
        <f>$C150*INDEX(Curves!$AS$8:$AS$68,AO$4-$B150+1)</f>
        <v/>
      </c>
      <c r="AP150" s="153">
        <f>$C150*INDEX(Curves!$AS$8:$AS$68,AP$4-$B150+1)</f>
        <v/>
      </c>
      <c r="AQ150" s="153">
        <f>$C150*INDEX(Curves!$AS$8:$AS$68,AQ$4-$B150+1)</f>
        <v/>
      </c>
      <c r="AR150" s="153">
        <f>$C150*INDEX(Curves!$AS$8:$AS$68,AR$4-$B150+1)</f>
        <v/>
      </c>
      <c r="AS150" s="153">
        <f>$C150*INDEX(Curves!$AS$8:$AS$68,AS$4-$B150+1)</f>
        <v/>
      </c>
      <c r="AT150" s="153">
        <f>$C150*INDEX(Curves!$AS$8:$AS$68,AT$4-$B150+1)</f>
        <v/>
      </c>
      <c r="AU150" s="153">
        <f>$C150*INDEX(Curves!$AS$8:$AS$68,AU$4-$B150+1)</f>
        <v/>
      </c>
      <c r="AV150" s="153">
        <f>$C150*INDEX(Curves!$AS$8:$AS$68,AV$4-$B150+1)</f>
        <v/>
      </c>
      <c r="AW150" s="153">
        <f>$C150*INDEX(Curves!$AS$8:$AS$68,AW$4-$B150+1)</f>
        <v/>
      </c>
      <c r="AX150" s="153">
        <f>$C150*INDEX(Curves!$AS$8:$AS$68,AX$4-$B150+1)</f>
        <v/>
      </c>
      <c r="AY150" s="153">
        <f>$C150*INDEX(Curves!$AS$8:$AS$68,AY$4-$B150+1)</f>
        <v/>
      </c>
      <c r="AZ150" s="153">
        <f>$C150*INDEX(Curves!$AS$8:$AS$68,AZ$4-$B150+1)</f>
        <v/>
      </c>
      <c r="BA150" s="153">
        <f>$C150*INDEX(Curves!$AS$8:$AS$68,BA$4-$B150+1)</f>
        <v/>
      </c>
      <c r="BB150" s="153">
        <f>$C150*INDEX(Curves!$AS$8:$AS$68,BB$4-$B150+1)</f>
        <v/>
      </c>
      <c r="BC150" s="153">
        <f>$C150*INDEX(Curves!$AS$8:$AS$68,BC$4-$B150+1)</f>
        <v/>
      </c>
      <c r="BD150" s="153">
        <f>$C150*INDEX(Curves!$AS$8:$AS$68,BD$4-$B150+1)</f>
        <v/>
      </c>
      <c r="BE150" s="153">
        <f>$C150*INDEX(Curves!$AS$8:$AS$68,BE$4-$B150+1)</f>
        <v/>
      </c>
      <c r="BF150" s="153">
        <f>$C150*INDEX(Curves!$AS$8:$AS$68,BF$4-$B150+1)</f>
        <v/>
      </c>
      <c r="BG150" s="153">
        <f>$C150*INDEX(Curves!$AS$8:$AS$68,BG$4-$B150+1)</f>
        <v/>
      </c>
      <c r="BH150" s="153">
        <f>$C150*INDEX(Curves!$AS$8:$AS$68,BH$4-$B150+1)</f>
        <v/>
      </c>
      <c r="BI150" s="153">
        <f>$C150*INDEX(Curves!$AS$8:$AS$68,BI$4-$B150+1)</f>
        <v/>
      </c>
      <c r="BJ150" s="153">
        <f>$C150*INDEX(Curves!$AS$8:$AS$68,BJ$4-$B150+1)</f>
        <v/>
      </c>
      <c r="BK150" s="153">
        <f>$C150*INDEX(Curves!$AS$8:$AS$68,BK$4-$B150+1)</f>
        <v/>
      </c>
      <c r="BL150" s="153">
        <f>$C150*INDEX(Curves!$AS$8:$AS$68,BL$4-$B150+1)</f>
        <v/>
      </c>
    </row>
    <row r="151">
      <c r="A151" s="147" t="inlineStr">
        <is>
          <t>Cohort month 16</t>
        </is>
      </c>
      <c r="B151" s="147" t="n">
        <v>16</v>
      </c>
      <c r="C151" s="41">
        <f>INDEX(Ops!$E$85:$BL$85,1,$B151)</f>
        <v/>
      </c>
      <c r="U151" s="153">
        <f>$C151*INDEX(Curves!$AS$8:$AS$68,U$4-$B151+1)</f>
        <v/>
      </c>
      <c r="V151" s="153">
        <f>$C151*INDEX(Curves!$AS$8:$AS$68,V$4-$B151+1)</f>
        <v/>
      </c>
      <c r="W151" s="153">
        <f>$C151*INDEX(Curves!$AS$8:$AS$68,W$4-$B151+1)</f>
        <v/>
      </c>
      <c r="X151" s="153">
        <f>$C151*INDEX(Curves!$AS$8:$AS$68,X$4-$B151+1)</f>
        <v/>
      </c>
      <c r="Y151" s="153">
        <f>$C151*INDEX(Curves!$AS$8:$AS$68,Y$4-$B151+1)</f>
        <v/>
      </c>
      <c r="Z151" s="153">
        <f>$C151*INDEX(Curves!$AS$8:$AS$68,Z$4-$B151+1)</f>
        <v/>
      </c>
      <c r="AA151" s="153">
        <f>$C151*INDEX(Curves!$AS$8:$AS$68,AA$4-$B151+1)</f>
        <v/>
      </c>
      <c r="AB151" s="153">
        <f>$C151*INDEX(Curves!$AS$8:$AS$68,AB$4-$B151+1)</f>
        <v/>
      </c>
      <c r="AC151" s="153">
        <f>$C151*INDEX(Curves!$AS$8:$AS$68,AC$4-$B151+1)</f>
        <v/>
      </c>
      <c r="AD151" s="153">
        <f>$C151*INDEX(Curves!$AS$8:$AS$68,AD$4-$B151+1)</f>
        <v/>
      </c>
      <c r="AE151" s="153">
        <f>$C151*INDEX(Curves!$AS$8:$AS$68,AE$4-$B151+1)</f>
        <v/>
      </c>
      <c r="AF151" s="153">
        <f>$C151*INDEX(Curves!$AS$8:$AS$68,AF$4-$B151+1)</f>
        <v/>
      </c>
      <c r="AG151" s="153">
        <f>$C151*INDEX(Curves!$AS$8:$AS$68,AG$4-$B151+1)</f>
        <v/>
      </c>
      <c r="AH151" s="153">
        <f>$C151*INDEX(Curves!$AS$8:$AS$68,AH$4-$B151+1)</f>
        <v/>
      </c>
      <c r="AI151" s="153">
        <f>$C151*INDEX(Curves!$AS$8:$AS$68,AI$4-$B151+1)</f>
        <v/>
      </c>
      <c r="AJ151" s="153">
        <f>$C151*INDEX(Curves!$AS$8:$AS$68,AJ$4-$B151+1)</f>
        <v/>
      </c>
      <c r="AK151" s="153">
        <f>$C151*INDEX(Curves!$AS$8:$AS$68,AK$4-$B151+1)</f>
        <v/>
      </c>
      <c r="AL151" s="153">
        <f>$C151*INDEX(Curves!$AS$8:$AS$68,AL$4-$B151+1)</f>
        <v/>
      </c>
      <c r="AM151" s="153">
        <f>$C151*INDEX(Curves!$AS$8:$AS$68,AM$4-$B151+1)</f>
        <v/>
      </c>
      <c r="AN151" s="153">
        <f>$C151*INDEX(Curves!$AS$8:$AS$68,AN$4-$B151+1)</f>
        <v/>
      </c>
      <c r="AO151" s="153">
        <f>$C151*INDEX(Curves!$AS$8:$AS$68,AO$4-$B151+1)</f>
        <v/>
      </c>
      <c r="AP151" s="153">
        <f>$C151*INDEX(Curves!$AS$8:$AS$68,AP$4-$B151+1)</f>
        <v/>
      </c>
      <c r="AQ151" s="153">
        <f>$C151*INDEX(Curves!$AS$8:$AS$68,AQ$4-$B151+1)</f>
        <v/>
      </c>
      <c r="AR151" s="153">
        <f>$C151*INDEX(Curves!$AS$8:$AS$68,AR$4-$B151+1)</f>
        <v/>
      </c>
      <c r="AS151" s="153">
        <f>$C151*INDEX(Curves!$AS$8:$AS$68,AS$4-$B151+1)</f>
        <v/>
      </c>
      <c r="AT151" s="153">
        <f>$C151*INDEX(Curves!$AS$8:$AS$68,AT$4-$B151+1)</f>
        <v/>
      </c>
      <c r="AU151" s="153">
        <f>$C151*INDEX(Curves!$AS$8:$AS$68,AU$4-$B151+1)</f>
        <v/>
      </c>
      <c r="AV151" s="153">
        <f>$C151*INDEX(Curves!$AS$8:$AS$68,AV$4-$B151+1)</f>
        <v/>
      </c>
      <c r="AW151" s="153">
        <f>$C151*INDEX(Curves!$AS$8:$AS$68,AW$4-$B151+1)</f>
        <v/>
      </c>
      <c r="AX151" s="153">
        <f>$C151*INDEX(Curves!$AS$8:$AS$68,AX$4-$B151+1)</f>
        <v/>
      </c>
      <c r="AY151" s="153">
        <f>$C151*INDEX(Curves!$AS$8:$AS$68,AY$4-$B151+1)</f>
        <v/>
      </c>
      <c r="AZ151" s="153">
        <f>$C151*INDEX(Curves!$AS$8:$AS$68,AZ$4-$B151+1)</f>
        <v/>
      </c>
      <c r="BA151" s="153">
        <f>$C151*INDEX(Curves!$AS$8:$AS$68,BA$4-$B151+1)</f>
        <v/>
      </c>
      <c r="BB151" s="153">
        <f>$C151*INDEX(Curves!$AS$8:$AS$68,BB$4-$B151+1)</f>
        <v/>
      </c>
      <c r="BC151" s="153">
        <f>$C151*INDEX(Curves!$AS$8:$AS$68,BC$4-$B151+1)</f>
        <v/>
      </c>
      <c r="BD151" s="153">
        <f>$C151*INDEX(Curves!$AS$8:$AS$68,BD$4-$B151+1)</f>
        <v/>
      </c>
      <c r="BE151" s="153">
        <f>$C151*INDEX(Curves!$AS$8:$AS$68,BE$4-$B151+1)</f>
        <v/>
      </c>
      <c r="BF151" s="153">
        <f>$C151*INDEX(Curves!$AS$8:$AS$68,BF$4-$B151+1)</f>
        <v/>
      </c>
      <c r="BG151" s="153">
        <f>$C151*INDEX(Curves!$AS$8:$AS$68,BG$4-$B151+1)</f>
        <v/>
      </c>
      <c r="BH151" s="153">
        <f>$C151*INDEX(Curves!$AS$8:$AS$68,BH$4-$B151+1)</f>
        <v/>
      </c>
      <c r="BI151" s="153">
        <f>$C151*INDEX(Curves!$AS$8:$AS$68,BI$4-$B151+1)</f>
        <v/>
      </c>
      <c r="BJ151" s="153">
        <f>$C151*INDEX(Curves!$AS$8:$AS$68,BJ$4-$B151+1)</f>
        <v/>
      </c>
      <c r="BK151" s="153">
        <f>$C151*INDEX(Curves!$AS$8:$AS$68,BK$4-$B151+1)</f>
        <v/>
      </c>
      <c r="BL151" s="153">
        <f>$C151*INDEX(Curves!$AS$8:$AS$68,BL$4-$B151+1)</f>
        <v/>
      </c>
    </row>
    <row r="152">
      <c r="A152" s="147" t="inlineStr">
        <is>
          <t>Cohort month 17</t>
        </is>
      </c>
      <c r="B152" s="147" t="n">
        <v>17</v>
      </c>
      <c r="C152" s="41">
        <f>INDEX(Ops!$E$85:$BL$85,1,$B152)</f>
        <v/>
      </c>
      <c r="V152" s="153">
        <f>$C152*INDEX(Curves!$AS$8:$AS$68,V$4-$B152+1)</f>
        <v/>
      </c>
      <c r="W152" s="153">
        <f>$C152*INDEX(Curves!$AS$8:$AS$68,W$4-$B152+1)</f>
        <v/>
      </c>
      <c r="X152" s="153">
        <f>$C152*INDEX(Curves!$AS$8:$AS$68,X$4-$B152+1)</f>
        <v/>
      </c>
      <c r="Y152" s="153">
        <f>$C152*INDEX(Curves!$AS$8:$AS$68,Y$4-$B152+1)</f>
        <v/>
      </c>
      <c r="Z152" s="153">
        <f>$C152*INDEX(Curves!$AS$8:$AS$68,Z$4-$B152+1)</f>
        <v/>
      </c>
      <c r="AA152" s="153">
        <f>$C152*INDEX(Curves!$AS$8:$AS$68,AA$4-$B152+1)</f>
        <v/>
      </c>
      <c r="AB152" s="153">
        <f>$C152*INDEX(Curves!$AS$8:$AS$68,AB$4-$B152+1)</f>
        <v/>
      </c>
      <c r="AC152" s="153">
        <f>$C152*INDEX(Curves!$AS$8:$AS$68,AC$4-$B152+1)</f>
        <v/>
      </c>
      <c r="AD152" s="153">
        <f>$C152*INDEX(Curves!$AS$8:$AS$68,AD$4-$B152+1)</f>
        <v/>
      </c>
      <c r="AE152" s="153">
        <f>$C152*INDEX(Curves!$AS$8:$AS$68,AE$4-$B152+1)</f>
        <v/>
      </c>
      <c r="AF152" s="153">
        <f>$C152*INDEX(Curves!$AS$8:$AS$68,AF$4-$B152+1)</f>
        <v/>
      </c>
      <c r="AG152" s="153">
        <f>$C152*INDEX(Curves!$AS$8:$AS$68,AG$4-$B152+1)</f>
        <v/>
      </c>
      <c r="AH152" s="153">
        <f>$C152*INDEX(Curves!$AS$8:$AS$68,AH$4-$B152+1)</f>
        <v/>
      </c>
      <c r="AI152" s="153">
        <f>$C152*INDEX(Curves!$AS$8:$AS$68,AI$4-$B152+1)</f>
        <v/>
      </c>
      <c r="AJ152" s="153">
        <f>$C152*INDEX(Curves!$AS$8:$AS$68,AJ$4-$B152+1)</f>
        <v/>
      </c>
      <c r="AK152" s="153">
        <f>$C152*INDEX(Curves!$AS$8:$AS$68,AK$4-$B152+1)</f>
        <v/>
      </c>
      <c r="AL152" s="153">
        <f>$C152*INDEX(Curves!$AS$8:$AS$68,AL$4-$B152+1)</f>
        <v/>
      </c>
      <c r="AM152" s="153">
        <f>$C152*INDEX(Curves!$AS$8:$AS$68,AM$4-$B152+1)</f>
        <v/>
      </c>
      <c r="AN152" s="153">
        <f>$C152*INDEX(Curves!$AS$8:$AS$68,AN$4-$B152+1)</f>
        <v/>
      </c>
      <c r="AO152" s="153">
        <f>$C152*INDEX(Curves!$AS$8:$AS$68,AO$4-$B152+1)</f>
        <v/>
      </c>
      <c r="AP152" s="153">
        <f>$C152*INDEX(Curves!$AS$8:$AS$68,AP$4-$B152+1)</f>
        <v/>
      </c>
      <c r="AQ152" s="153">
        <f>$C152*INDEX(Curves!$AS$8:$AS$68,AQ$4-$B152+1)</f>
        <v/>
      </c>
      <c r="AR152" s="153">
        <f>$C152*INDEX(Curves!$AS$8:$AS$68,AR$4-$B152+1)</f>
        <v/>
      </c>
      <c r="AS152" s="153">
        <f>$C152*INDEX(Curves!$AS$8:$AS$68,AS$4-$B152+1)</f>
        <v/>
      </c>
      <c r="AT152" s="153">
        <f>$C152*INDEX(Curves!$AS$8:$AS$68,AT$4-$B152+1)</f>
        <v/>
      </c>
      <c r="AU152" s="153">
        <f>$C152*INDEX(Curves!$AS$8:$AS$68,AU$4-$B152+1)</f>
        <v/>
      </c>
      <c r="AV152" s="153">
        <f>$C152*INDEX(Curves!$AS$8:$AS$68,AV$4-$B152+1)</f>
        <v/>
      </c>
      <c r="AW152" s="153">
        <f>$C152*INDEX(Curves!$AS$8:$AS$68,AW$4-$B152+1)</f>
        <v/>
      </c>
      <c r="AX152" s="153">
        <f>$C152*INDEX(Curves!$AS$8:$AS$68,AX$4-$B152+1)</f>
        <v/>
      </c>
      <c r="AY152" s="153">
        <f>$C152*INDEX(Curves!$AS$8:$AS$68,AY$4-$B152+1)</f>
        <v/>
      </c>
      <c r="AZ152" s="153">
        <f>$C152*INDEX(Curves!$AS$8:$AS$68,AZ$4-$B152+1)</f>
        <v/>
      </c>
      <c r="BA152" s="153">
        <f>$C152*INDEX(Curves!$AS$8:$AS$68,BA$4-$B152+1)</f>
        <v/>
      </c>
      <c r="BB152" s="153">
        <f>$C152*INDEX(Curves!$AS$8:$AS$68,BB$4-$B152+1)</f>
        <v/>
      </c>
      <c r="BC152" s="153">
        <f>$C152*INDEX(Curves!$AS$8:$AS$68,BC$4-$B152+1)</f>
        <v/>
      </c>
      <c r="BD152" s="153">
        <f>$C152*INDEX(Curves!$AS$8:$AS$68,BD$4-$B152+1)</f>
        <v/>
      </c>
      <c r="BE152" s="153">
        <f>$C152*INDEX(Curves!$AS$8:$AS$68,BE$4-$B152+1)</f>
        <v/>
      </c>
      <c r="BF152" s="153">
        <f>$C152*INDEX(Curves!$AS$8:$AS$68,BF$4-$B152+1)</f>
        <v/>
      </c>
      <c r="BG152" s="153">
        <f>$C152*INDEX(Curves!$AS$8:$AS$68,BG$4-$B152+1)</f>
        <v/>
      </c>
      <c r="BH152" s="153">
        <f>$C152*INDEX(Curves!$AS$8:$AS$68,BH$4-$B152+1)</f>
        <v/>
      </c>
      <c r="BI152" s="153">
        <f>$C152*INDEX(Curves!$AS$8:$AS$68,BI$4-$B152+1)</f>
        <v/>
      </c>
      <c r="BJ152" s="153">
        <f>$C152*INDEX(Curves!$AS$8:$AS$68,BJ$4-$B152+1)</f>
        <v/>
      </c>
      <c r="BK152" s="153">
        <f>$C152*INDEX(Curves!$AS$8:$AS$68,BK$4-$B152+1)</f>
        <v/>
      </c>
      <c r="BL152" s="153">
        <f>$C152*INDEX(Curves!$AS$8:$AS$68,BL$4-$B152+1)</f>
        <v/>
      </c>
    </row>
    <row r="153">
      <c r="A153" s="147" t="inlineStr">
        <is>
          <t>Cohort month 18</t>
        </is>
      </c>
      <c r="B153" s="147" t="n">
        <v>18</v>
      </c>
      <c r="C153" s="41">
        <f>INDEX(Ops!$E$85:$BL$85,1,$B153)</f>
        <v/>
      </c>
      <c r="W153" s="153">
        <f>$C153*INDEX(Curves!$AS$8:$AS$68,W$4-$B153+1)</f>
        <v/>
      </c>
      <c r="X153" s="153">
        <f>$C153*INDEX(Curves!$AS$8:$AS$68,X$4-$B153+1)</f>
        <v/>
      </c>
      <c r="Y153" s="153">
        <f>$C153*INDEX(Curves!$AS$8:$AS$68,Y$4-$B153+1)</f>
        <v/>
      </c>
      <c r="Z153" s="153">
        <f>$C153*INDEX(Curves!$AS$8:$AS$68,Z$4-$B153+1)</f>
        <v/>
      </c>
      <c r="AA153" s="153">
        <f>$C153*INDEX(Curves!$AS$8:$AS$68,AA$4-$B153+1)</f>
        <v/>
      </c>
      <c r="AB153" s="153">
        <f>$C153*INDEX(Curves!$AS$8:$AS$68,AB$4-$B153+1)</f>
        <v/>
      </c>
      <c r="AC153" s="153">
        <f>$C153*INDEX(Curves!$AS$8:$AS$68,AC$4-$B153+1)</f>
        <v/>
      </c>
      <c r="AD153" s="153">
        <f>$C153*INDEX(Curves!$AS$8:$AS$68,AD$4-$B153+1)</f>
        <v/>
      </c>
      <c r="AE153" s="153">
        <f>$C153*INDEX(Curves!$AS$8:$AS$68,AE$4-$B153+1)</f>
        <v/>
      </c>
      <c r="AF153" s="153">
        <f>$C153*INDEX(Curves!$AS$8:$AS$68,AF$4-$B153+1)</f>
        <v/>
      </c>
      <c r="AG153" s="153">
        <f>$C153*INDEX(Curves!$AS$8:$AS$68,AG$4-$B153+1)</f>
        <v/>
      </c>
      <c r="AH153" s="153">
        <f>$C153*INDEX(Curves!$AS$8:$AS$68,AH$4-$B153+1)</f>
        <v/>
      </c>
      <c r="AI153" s="153">
        <f>$C153*INDEX(Curves!$AS$8:$AS$68,AI$4-$B153+1)</f>
        <v/>
      </c>
      <c r="AJ153" s="153">
        <f>$C153*INDEX(Curves!$AS$8:$AS$68,AJ$4-$B153+1)</f>
        <v/>
      </c>
      <c r="AK153" s="153">
        <f>$C153*INDEX(Curves!$AS$8:$AS$68,AK$4-$B153+1)</f>
        <v/>
      </c>
      <c r="AL153" s="153">
        <f>$C153*INDEX(Curves!$AS$8:$AS$68,AL$4-$B153+1)</f>
        <v/>
      </c>
      <c r="AM153" s="153">
        <f>$C153*INDEX(Curves!$AS$8:$AS$68,AM$4-$B153+1)</f>
        <v/>
      </c>
      <c r="AN153" s="153">
        <f>$C153*INDEX(Curves!$AS$8:$AS$68,AN$4-$B153+1)</f>
        <v/>
      </c>
      <c r="AO153" s="153">
        <f>$C153*INDEX(Curves!$AS$8:$AS$68,AO$4-$B153+1)</f>
        <v/>
      </c>
      <c r="AP153" s="153">
        <f>$C153*INDEX(Curves!$AS$8:$AS$68,AP$4-$B153+1)</f>
        <v/>
      </c>
      <c r="AQ153" s="153">
        <f>$C153*INDEX(Curves!$AS$8:$AS$68,AQ$4-$B153+1)</f>
        <v/>
      </c>
      <c r="AR153" s="153">
        <f>$C153*INDEX(Curves!$AS$8:$AS$68,AR$4-$B153+1)</f>
        <v/>
      </c>
      <c r="AS153" s="153">
        <f>$C153*INDEX(Curves!$AS$8:$AS$68,AS$4-$B153+1)</f>
        <v/>
      </c>
      <c r="AT153" s="153">
        <f>$C153*INDEX(Curves!$AS$8:$AS$68,AT$4-$B153+1)</f>
        <v/>
      </c>
      <c r="AU153" s="153">
        <f>$C153*INDEX(Curves!$AS$8:$AS$68,AU$4-$B153+1)</f>
        <v/>
      </c>
      <c r="AV153" s="153">
        <f>$C153*INDEX(Curves!$AS$8:$AS$68,AV$4-$B153+1)</f>
        <v/>
      </c>
      <c r="AW153" s="153">
        <f>$C153*INDEX(Curves!$AS$8:$AS$68,AW$4-$B153+1)</f>
        <v/>
      </c>
      <c r="AX153" s="153">
        <f>$C153*INDEX(Curves!$AS$8:$AS$68,AX$4-$B153+1)</f>
        <v/>
      </c>
      <c r="AY153" s="153">
        <f>$C153*INDEX(Curves!$AS$8:$AS$68,AY$4-$B153+1)</f>
        <v/>
      </c>
      <c r="AZ153" s="153">
        <f>$C153*INDEX(Curves!$AS$8:$AS$68,AZ$4-$B153+1)</f>
        <v/>
      </c>
      <c r="BA153" s="153">
        <f>$C153*INDEX(Curves!$AS$8:$AS$68,BA$4-$B153+1)</f>
        <v/>
      </c>
      <c r="BB153" s="153">
        <f>$C153*INDEX(Curves!$AS$8:$AS$68,BB$4-$B153+1)</f>
        <v/>
      </c>
      <c r="BC153" s="153">
        <f>$C153*INDEX(Curves!$AS$8:$AS$68,BC$4-$B153+1)</f>
        <v/>
      </c>
      <c r="BD153" s="153">
        <f>$C153*INDEX(Curves!$AS$8:$AS$68,BD$4-$B153+1)</f>
        <v/>
      </c>
      <c r="BE153" s="153">
        <f>$C153*INDEX(Curves!$AS$8:$AS$68,BE$4-$B153+1)</f>
        <v/>
      </c>
      <c r="BF153" s="153">
        <f>$C153*INDEX(Curves!$AS$8:$AS$68,BF$4-$B153+1)</f>
        <v/>
      </c>
      <c r="BG153" s="153">
        <f>$C153*INDEX(Curves!$AS$8:$AS$68,BG$4-$B153+1)</f>
        <v/>
      </c>
      <c r="BH153" s="153">
        <f>$C153*INDEX(Curves!$AS$8:$AS$68,BH$4-$B153+1)</f>
        <v/>
      </c>
      <c r="BI153" s="153">
        <f>$C153*INDEX(Curves!$AS$8:$AS$68,BI$4-$B153+1)</f>
        <v/>
      </c>
      <c r="BJ153" s="153">
        <f>$C153*INDEX(Curves!$AS$8:$AS$68,BJ$4-$B153+1)</f>
        <v/>
      </c>
      <c r="BK153" s="153">
        <f>$C153*INDEX(Curves!$AS$8:$AS$68,BK$4-$B153+1)</f>
        <v/>
      </c>
      <c r="BL153" s="153">
        <f>$C153*INDEX(Curves!$AS$8:$AS$68,BL$4-$B153+1)</f>
        <v/>
      </c>
    </row>
    <row r="154">
      <c r="A154" s="147" t="inlineStr">
        <is>
          <t>Cohort month 19</t>
        </is>
      </c>
      <c r="B154" s="147" t="n">
        <v>19</v>
      </c>
      <c r="C154" s="41">
        <f>INDEX(Ops!$E$85:$BL$85,1,$B154)</f>
        <v/>
      </c>
      <c r="X154" s="153">
        <f>$C154*INDEX(Curves!$AS$8:$AS$68,X$4-$B154+1)</f>
        <v/>
      </c>
      <c r="Y154" s="153">
        <f>$C154*INDEX(Curves!$AS$8:$AS$68,Y$4-$B154+1)</f>
        <v/>
      </c>
      <c r="Z154" s="153">
        <f>$C154*INDEX(Curves!$AS$8:$AS$68,Z$4-$B154+1)</f>
        <v/>
      </c>
      <c r="AA154" s="153">
        <f>$C154*INDEX(Curves!$AS$8:$AS$68,AA$4-$B154+1)</f>
        <v/>
      </c>
      <c r="AB154" s="153">
        <f>$C154*INDEX(Curves!$AS$8:$AS$68,AB$4-$B154+1)</f>
        <v/>
      </c>
      <c r="AC154" s="153">
        <f>$C154*INDEX(Curves!$AS$8:$AS$68,AC$4-$B154+1)</f>
        <v/>
      </c>
      <c r="AD154" s="153">
        <f>$C154*INDEX(Curves!$AS$8:$AS$68,AD$4-$B154+1)</f>
        <v/>
      </c>
      <c r="AE154" s="153">
        <f>$C154*INDEX(Curves!$AS$8:$AS$68,AE$4-$B154+1)</f>
        <v/>
      </c>
      <c r="AF154" s="153">
        <f>$C154*INDEX(Curves!$AS$8:$AS$68,AF$4-$B154+1)</f>
        <v/>
      </c>
      <c r="AG154" s="153">
        <f>$C154*INDEX(Curves!$AS$8:$AS$68,AG$4-$B154+1)</f>
        <v/>
      </c>
      <c r="AH154" s="153">
        <f>$C154*INDEX(Curves!$AS$8:$AS$68,AH$4-$B154+1)</f>
        <v/>
      </c>
      <c r="AI154" s="153">
        <f>$C154*INDEX(Curves!$AS$8:$AS$68,AI$4-$B154+1)</f>
        <v/>
      </c>
      <c r="AJ154" s="153">
        <f>$C154*INDEX(Curves!$AS$8:$AS$68,AJ$4-$B154+1)</f>
        <v/>
      </c>
      <c r="AK154" s="153">
        <f>$C154*INDEX(Curves!$AS$8:$AS$68,AK$4-$B154+1)</f>
        <v/>
      </c>
      <c r="AL154" s="153">
        <f>$C154*INDEX(Curves!$AS$8:$AS$68,AL$4-$B154+1)</f>
        <v/>
      </c>
      <c r="AM154" s="153">
        <f>$C154*INDEX(Curves!$AS$8:$AS$68,AM$4-$B154+1)</f>
        <v/>
      </c>
      <c r="AN154" s="153">
        <f>$C154*INDEX(Curves!$AS$8:$AS$68,AN$4-$B154+1)</f>
        <v/>
      </c>
      <c r="AO154" s="153">
        <f>$C154*INDEX(Curves!$AS$8:$AS$68,AO$4-$B154+1)</f>
        <v/>
      </c>
      <c r="AP154" s="153">
        <f>$C154*INDEX(Curves!$AS$8:$AS$68,AP$4-$B154+1)</f>
        <v/>
      </c>
      <c r="AQ154" s="153">
        <f>$C154*INDEX(Curves!$AS$8:$AS$68,AQ$4-$B154+1)</f>
        <v/>
      </c>
      <c r="AR154" s="153">
        <f>$C154*INDEX(Curves!$AS$8:$AS$68,AR$4-$B154+1)</f>
        <v/>
      </c>
      <c r="AS154" s="153">
        <f>$C154*INDEX(Curves!$AS$8:$AS$68,AS$4-$B154+1)</f>
        <v/>
      </c>
      <c r="AT154" s="153">
        <f>$C154*INDEX(Curves!$AS$8:$AS$68,AT$4-$B154+1)</f>
        <v/>
      </c>
      <c r="AU154" s="153">
        <f>$C154*INDEX(Curves!$AS$8:$AS$68,AU$4-$B154+1)</f>
        <v/>
      </c>
      <c r="AV154" s="153">
        <f>$C154*INDEX(Curves!$AS$8:$AS$68,AV$4-$B154+1)</f>
        <v/>
      </c>
      <c r="AW154" s="153">
        <f>$C154*INDEX(Curves!$AS$8:$AS$68,AW$4-$B154+1)</f>
        <v/>
      </c>
      <c r="AX154" s="153">
        <f>$C154*INDEX(Curves!$AS$8:$AS$68,AX$4-$B154+1)</f>
        <v/>
      </c>
      <c r="AY154" s="153">
        <f>$C154*INDEX(Curves!$AS$8:$AS$68,AY$4-$B154+1)</f>
        <v/>
      </c>
      <c r="AZ154" s="153">
        <f>$C154*INDEX(Curves!$AS$8:$AS$68,AZ$4-$B154+1)</f>
        <v/>
      </c>
      <c r="BA154" s="153">
        <f>$C154*INDEX(Curves!$AS$8:$AS$68,BA$4-$B154+1)</f>
        <v/>
      </c>
      <c r="BB154" s="153">
        <f>$C154*INDEX(Curves!$AS$8:$AS$68,BB$4-$B154+1)</f>
        <v/>
      </c>
      <c r="BC154" s="153">
        <f>$C154*INDEX(Curves!$AS$8:$AS$68,BC$4-$B154+1)</f>
        <v/>
      </c>
      <c r="BD154" s="153">
        <f>$C154*INDEX(Curves!$AS$8:$AS$68,BD$4-$B154+1)</f>
        <v/>
      </c>
      <c r="BE154" s="153">
        <f>$C154*INDEX(Curves!$AS$8:$AS$68,BE$4-$B154+1)</f>
        <v/>
      </c>
      <c r="BF154" s="153">
        <f>$C154*INDEX(Curves!$AS$8:$AS$68,BF$4-$B154+1)</f>
        <v/>
      </c>
      <c r="BG154" s="153">
        <f>$C154*INDEX(Curves!$AS$8:$AS$68,BG$4-$B154+1)</f>
        <v/>
      </c>
      <c r="BH154" s="153">
        <f>$C154*INDEX(Curves!$AS$8:$AS$68,BH$4-$B154+1)</f>
        <v/>
      </c>
      <c r="BI154" s="153">
        <f>$C154*INDEX(Curves!$AS$8:$AS$68,BI$4-$B154+1)</f>
        <v/>
      </c>
      <c r="BJ154" s="153">
        <f>$C154*INDEX(Curves!$AS$8:$AS$68,BJ$4-$B154+1)</f>
        <v/>
      </c>
      <c r="BK154" s="153">
        <f>$C154*INDEX(Curves!$AS$8:$AS$68,BK$4-$B154+1)</f>
        <v/>
      </c>
      <c r="BL154" s="153">
        <f>$C154*INDEX(Curves!$AS$8:$AS$68,BL$4-$B154+1)</f>
        <v/>
      </c>
    </row>
    <row r="155">
      <c r="A155" s="147" t="inlineStr">
        <is>
          <t>Cohort month 20</t>
        </is>
      </c>
      <c r="B155" s="147" t="n">
        <v>20</v>
      </c>
      <c r="C155" s="41">
        <f>INDEX(Ops!$E$85:$BL$85,1,$B155)</f>
        <v/>
      </c>
      <c r="Y155" s="153">
        <f>$C155*INDEX(Curves!$AS$8:$AS$68,Y$4-$B155+1)</f>
        <v/>
      </c>
      <c r="Z155" s="153">
        <f>$C155*INDEX(Curves!$AS$8:$AS$68,Z$4-$B155+1)</f>
        <v/>
      </c>
      <c r="AA155" s="153">
        <f>$C155*INDEX(Curves!$AS$8:$AS$68,AA$4-$B155+1)</f>
        <v/>
      </c>
      <c r="AB155" s="153">
        <f>$C155*INDEX(Curves!$AS$8:$AS$68,AB$4-$B155+1)</f>
        <v/>
      </c>
      <c r="AC155" s="153">
        <f>$C155*INDEX(Curves!$AS$8:$AS$68,AC$4-$B155+1)</f>
        <v/>
      </c>
      <c r="AD155" s="153">
        <f>$C155*INDEX(Curves!$AS$8:$AS$68,AD$4-$B155+1)</f>
        <v/>
      </c>
      <c r="AE155" s="153">
        <f>$C155*INDEX(Curves!$AS$8:$AS$68,AE$4-$B155+1)</f>
        <v/>
      </c>
      <c r="AF155" s="153">
        <f>$C155*INDEX(Curves!$AS$8:$AS$68,AF$4-$B155+1)</f>
        <v/>
      </c>
      <c r="AG155" s="153">
        <f>$C155*INDEX(Curves!$AS$8:$AS$68,AG$4-$B155+1)</f>
        <v/>
      </c>
      <c r="AH155" s="153">
        <f>$C155*INDEX(Curves!$AS$8:$AS$68,AH$4-$B155+1)</f>
        <v/>
      </c>
      <c r="AI155" s="153">
        <f>$C155*INDEX(Curves!$AS$8:$AS$68,AI$4-$B155+1)</f>
        <v/>
      </c>
      <c r="AJ155" s="153">
        <f>$C155*INDEX(Curves!$AS$8:$AS$68,AJ$4-$B155+1)</f>
        <v/>
      </c>
      <c r="AK155" s="153">
        <f>$C155*INDEX(Curves!$AS$8:$AS$68,AK$4-$B155+1)</f>
        <v/>
      </c>
      <c r="AL155" s="153">
        <f>$C155*INDEX(Curves!$AS$8:$AS$68,AL$4-$B155+1)</f>
        <v/>
      </c>
      <c r="AM155" s="153">
        <f>$C155*INDEX(Curves!$AS$8:$AS$68,AM$4-$B155+1)</f>
        <v/>
      </c>
      <c r="AN155" s="153">
        <f>$C155*INDEX(Curves!$AS$8:$AS$68,AN$4-$B155+1)</f>
        <v/>
      </c>
      <c r="AO155" s="153">
        <f>$C155*INDEX(Curves!$AS$8:$AS$68,AO$4-$B155+1)</f>
        <v/>
      </c>
      <c r="AP155" s="153">
        <f>$C155*INDEX(Curves!$AS$8:$AS$68,AP$4-$B155+1)</f>
        <v/>
      </c>
      <c r="AQ155" s="153">
        <f>$C155*INDEX(Curves!$AS$8:$AS$68,AQ$4-$B155+1)</f>
        <v/>
      </c>
      <c r="AR155" s="153">
        <f>$C155*INDEX(Curves!$AS$8:$AS$68,AR$4-$B155+1)</f>
        <v/>
      </c>
      <c r="AS155" s="153">
        <f>$C155*INDEX(Curves!$AS$8:$AS$68,AS$4-$B155+1)</f>
        <v/>
      </c>
      <c r="AT155" s="153">
        <f>$C155*INDEX(Curves!$AS$8:$AS$68,AT$4-$B155+1)</f>
        <v/>
      </c>
      <c r="AU155" s="153">
        <f>$C155*INDEX(Curves!$AS$8:$AS$68,AU$4-$B155+1)</f>
        <v/>
      </c>
      <c r="AV155" s="153">
        <f>$C155*INDEX(Curves!$AS$8:$AS$68,AV$4-$B155+1)</f>
        <v/>
      </c>
      <c r="AW155" s="153">
        <f>$C155*INDEX(Curves!$AS$8:$AS$68,AW$4-$B155+1)</f>
        <v/>
      </c>
      <c r="AX155" s="153">
        <f>$C155*INDEX(Curves!$AS$8:$AS$68,AX$4-$B155+1)</f>
        <v/>
      </c>
      <c r="AY155" s="153">
        <f>$C155*INDEX(Curves!$AS$8:$AS$68,AY$4-$B155+1)</f>
        <v/>
      </c>
      <c r="AZ155" s="153">
        <f>$C155*INDEX(Curves!$AS$8:$AS$68,AZ$4-$B155+1)</f>
        <v/>
      </c>
      <c r="BA155" s="153">
        <f>$C155*INDEX(Curves!$AS$8:$AS$68,BA$4-$B155+1)</f>
        <v/>
      </c>
      <c r="BB155" s="153">
        <f>$C155*INDEX(Curves!$AS$8:$AS$68,BB$4-$B155+1)</f>
        <v/>
      </c>
      <c r="BC155" s="153">
        <f>$C155*INDEX(Curves!$AS$8:$AS$68,BC$4-$B155+1)</f>
        <v/>
      </c>
      <c r="BD155" s="153">
        <f>$C155*INDEX(Curves!$AS$8:$AS$68,BD$4-$B155+1)</f>
        <v/>
      </c>
      <c r="BE155" s="153">
        <f>$C155*INDEX(Curves!$AS$8:$AS$68,BE$4-$B155+1)</f>
        <v/>
      </c>
      <c r="BF155" s="153">
        <f>$C155*INDEX(Curves!$AS$8:$AS$68,BF$4-$B155+1)</f>
        <v/>
      </c>
      <c r="BG155" s="153">
        <f>$C155*INDEX(Curves!$AS$8:$AS$68,BG$4-$B155+1)</f>
        <v/>
      </c>
      <c r="BH155" s="153">
        <f>$C155*INDEX(Curves!$AS$8:$AS$68,BH$4-$B155+1)</f>
        <v/>
      </c>
      <c r="BI155" s="153">
        <f>$C155*INDEX(Curves!$AS$8:$AS$68,BI$4-$B155+1)</f>
        <v/>
      </c>
      <c r="BJ155" s="153">
        <f>$C155*INDEX(Curves!$AS$8:$AS$68,BJ$4-$B155+1)</f>
        <v/>
      </c>
      <c r="BK155" s="153">
        <f>$C155*INDEX(Curves!$AS$8:$AS$68,BK$4-$B155+1)</f>
        <v/>
      </c>
      <c r="BL155" s="153">
        <f>$C155*INDEX(Curves!$AS$8:$AS$68,BL$4-$B155+1)</f>
        <v/>
      </c>
    </row>
    <row r="156">
      <c r="A156" s="147" t="inlineStr">
        <is>
          <t>Cohort month 21</t>
        </is>
      </c>
      <c r="B156" s="147" t="n">
        <v>21</v>
      </c>
      <c r="C156" s="41">
        <f>INDEX(Ops!$E$85:$BL$85,1,$B156)</f>
        <v/>
      </c>
      <c r="Z156" s="153">
        <f>$C156*INDEX(Curves!$AS$8:$AS$68,Z$4-$B156+1)</f>
        <v/>
      </c>
      <c r="AA156" s="153">
        <f>$C156*INDEX(Curves!$AS$8:$AS$68,AA$4-$B156+1)</f>
        <v/>
      </c>
      <c r="AB156" s="153">
        <f>$C156*INDEX(Curves!$AS$8:$AS$68,AB$4-$B156+1)</f>
        <v/>
      </c>
      <c r="AC156" s="153">
        <f>$C156*INDEX(Curves!$AS$8:$AS$68,AC$4-$B156+1)</f>
        <v/>
      </c>
      <c r="AD156" s="153">
        <f>$C156*INDEX(Curves!$AS$8:$AS$68,AD$4-$B156+1)</f>
        <v/>
      </c>
      <c r="AE156" s="153">
        <f>$C156*INDEX(Curves!$AS$8:$AS$68,AE$4-$B156+1)</f>
        <v/>
      </c>
      <c r="AF156" s="153">
        <f>$C156*INDEX(Curves!$AS$8:$AS$68,AF$4-$B156+1)</f>
        <v/>
      </c>
      <c r="AG156" s="153">
        <f>$C156*INDEX(Curves!$AS$8:$AS$68,AG$4-$B156+1)</f>
        <v/>
      </c>
      <c r="AH156" s="153">
        <f>$C156*INDEX(Curves!$AS$8:$AS$68,AH$4-$B156+1)</f>
        <v/>
      </c>
      <c r="AI156" s="153">
        <f>$C156*INDEX(Curves!$AS$8:$AS$68,AI$4-$B156+1)</f>
        <v/>
      </c>
      <c r="AJ156" s="153">
        <f>$C156*INDEX(Curves!$AS$8:$AS$68,AJ$4-$B156+1)</f>
        <v/>
      </c>
      <c r="AK156" s="153">
        <f>$C156*INDEX(Curves!$AS$8:$AS$68,AK$4-$B156+1)</f>
        <v/>
      </c>
      <c r="AL156" s="153">
        <f>$C156*INDEX(Curves!$AS$8:$AS$68,AL$4-$B156+1)</f>
        <v/>
      </c>
      <c r="AM156" s="153">
        <f>$C156*INDEX(Curves!$AS$8:$AS$68,AM$4-$B156+1)</f>
        <v/>
      </c>
      <c r="AN156" s="153">
        <f>$C156*INDEX(Curves!$AS$8:$AS$68,AN$4-$B156+1)</f>
        <v/>
      </c>
      <c r="AO156" s="153">
        <f>$C156*INDEX(Curves!$AS$8:$AS$68,AO$4-$B156+1)</f>
        <v/>
      </c>
      <c r="AP156" s="153">
        <f>$C156*INDEX(Curves!$AS$8:$AS$68,AP$4-$B156+1)</f>
        <v/>
      </c>
      <c r="AQ156" s="153">
        <f>$C156*INDEX(Curves!$AS$8:$AS$68,AQ$4-$B156+1)</f>
        <v/>
      </c>
      <c r="AR156" s="153">
        <f>$C156*INDEX(Curves!$AS$8:$AS$68,AR$4-$B156+1)</f>
        <v/>
      </c>
      <c r="AS156" s="153">
        <f>$C156*INDEX(Curves!$AS$8:$AS$68,AS$4-$B156+1)</f>
        <v/>
      </c>
      <c r="AT156" s="153">
        <f>$C156*INDEX(Curves!$AS$8:$AS$68,AT$4-$B156+1)</f>
        <v/>
      </c>
      <c r="AU156" s="153">
        <f>$C156*INDEX(Curves!$AS$8:$AS$68,AU$4-$B156+1)</f>
        <v/>
      </c>
      <c r="AV156" s="153">
        <f>$C156*INDEX(Curves!$AS$8:$AS$68,AV$4-$B156+1)</f>
        <v/>
      </c>
      <c r="AW156" s="153">
        <f>$C156*INDEX(Curves!$AS$8:$AS$68,AW$4-$B156+1)</f>
        <v/>
      </c>
      <c r="AX156" s="153">
        <f>$C156*INDEX(Curves!$AS$8:$AS$68,AX$4-$B156+1)</f>
        <v/>
      </c>
      <c r="AY156" s="153">
        <f>$C156*INDEX(Curves!$AS$8:$AS$68,AY$4-$B156+1)</f>
        <v/>
      </c>
      <c r="AZ156" s="153">
        <f>$C156*INDEX(Curves!$AS$8:$AS$68,AZ$4-$B156+1)</f>
        <v/>
      </c>
      <c r="BA156" s="153">
        <f>$C156*INDEX(Curves!$AS$8:$AS$68,BA$4-$B156+1)</f>
        <v/>
      </c>
      <c r="BB156" s="153">
        <f>$C156*INDEX(Curves!$AS$8:$AS$68,BB$4-$B156+1)</f>
        <v/>
      </c>
      <c r="BC156" s="153">
        <f>$C156*INDEX(Curves!$AS$8:$AS$68,BC$4-$B156+1)</f>
        <v/>
      </c>
      <c r="BD156" s="153">
        <f>$C156*INDEX(Curves!$AS$8:$AS$68,BD$4-$B156+1)</f>
        <v/>
      </c>
      <c r="BE156" s="153">
        <f>$C156*INDEX(Curves!$AS$8:$AS$68,BE$4-$B156+1)</f>
        <v/>
      </c>
      <c r="BF156" s="153">
        <f>$C156*INDEX(Curves!$AS$8:$AS$68,BF$4-$B156+1)</f>
        <v/>
      </c>
      <c r="BG156" s="153">
        <f>$C156*INDEX(Curves!$AS$8:$AS$68,BG$4-$B156+1)</f>
        <v/>
      </c>
      <c r="BH156" s="153">
        <f>$C156*INDEX(Curves!$AS$8:$AS$68,BH$4-$B156+1)</f>
        <v/>
      </c>
      <c r="BI156" s="153">
        <f>$C156*INDEX(Curves!$AS$8:$AS$68,BI$4-$B156+1)</f>
        <v/>
      </c>
      <c r="BJ156" s="153">
        <f>$C156*INDEX(Curves!$AS$8:$AS$68,BJ$4-$B156+1)</f>
        <v/>
      </c>
      <c r="BK156" s="153">
        <f>$C156*INDEX(Curves!$AS$8:$AS$68,BK$4-$B156+1)</f>
        <v/>
      </c>
      <c r="BL156" s="153">
        <f>$C156*INDEX(Curves!$AS$8:$AS$68,BL$4-$B156+1)</f>
        <v/>
      </c>
    </row>
    <row r="157">
      <c r="A157" s="147" t="inlineStr">
        <is>
          <t>Cohort month 22</t>
        </is>
      </c>
      <c r="B157" s="147" t="n">
        <v>22</v>
      </c>
      <c r="C157" s="41">
        <f>INDEX(Ops!$E$85:$BL$85,1,$B157)</f>
        <v/>
      </c>
      <c r="AA157" s="153">
        <f>$C157*INDEX(Curves!$AS$8:$AS$68,AA$4-$B157+1)</f>
        <v/>
      </c>
      <c r="AB157" s="153">
        <f>$C157*INDEX(Curves!$AS$8:$AS$68,AB$4-$B157+1)</f>
        <v/>
      </c>
      <c r="AC157" s="153">
        <f>$C157*INDEX(Curves!$AS$8:$AS$68,AC$4-$B157+1)</f>
        <v/>
      </c>
      <c r="AD157" s="153">
        <f>$C157*INDEX(Curves!$AS$8:$AS$68,AD$4-$B157+1)</f>
        <v/>
      </c>
      <c r="AE157" s="153">
        <f>$C157*INDEX(Curves!$AS$8:$AS$68,AE$4-$B157+1)</f>
        <v/>
      </c>
      <c r="AF157" s="153">
        <f>$C157*INDEX(Curves!$AS$8:$AS$68,AF$4-$B157+1)</f>
        <v/>
      </c>
      <c r="AG157" s="153">
        <f>$C157*INDEX(Curves!$AS$8:$AS$68,AG$4-$B157+1)</f>
        <v/>
      </c>
      <c r="AH157" s="153">
        <f>$C157*INDEX(Curves!$AS$8:$AS$68,AH$4-$B157+1)</f>
        <v/>
      </c>
      <c r="AI157" s="153">
        <f>$C157*INDEX(Curves!$AS$8:$AS$68,AI$4-$B157+1)</f>
        <v/>
      </c>
      <c r="AJ157" s="153">
        <f>$C157*INDEX(Curves!$AS$8:$AS$68,AJ$4-$B157+1)</f>
        <v/>
      </c>
      <c r="AK157" s="153">
        <f>$C157*INDEX(Curves!$AS$8:$AS$68,AK$4-$B157+1)</f>
        <v/>
      </c>
      <c r="AL157" s="153">
        <f>$C157*INDEX(Curves!$AS$8:$AS$68,AL$4-$B157+1)</f>
        <v/>
      </c>
      <c r="AM157" s="153">
        <f>$C157*INDEX(Curves!$AS$8:$AS$68,AM$4-$B157+1)</f>
        <v/>
      </c>
      <c r="AN157" s="153">
        <f>$C157*INDEX(Curves!$AS$8:$AS$68,AN$4-$B157+1)</f>
        <v/>
      </c>
      <c r="AO157" s="153">
        <f>$C157*INDEX(Curves!$AS$8:$AS$68,AO$4-$B157+1)</f>
        <v/>
      </c>
      <c r="AP157" s="153">
        <f>$C157*INDEX(Curves!$AS$8:$AS$68,AP$4-$B157+1)</f>
        <v/>
      </c>
      <c r="AQ157" s="153">
        <f>$C157*INDEX(Curves!$AS$8:$AS$68,AQ$4-$B157+1)</f>
        <v/>
      </c>
      <c r="AR157" s="153">
        <f>$C157*INDEX(Curves!$AS$8:$AS$68,AR$4-$B157+1)</f>
        <v/>
      </c>
      <c r="AS157" s="153">
        <f>$C157*INDEX(Curves!$AS$8:$AS$68,AS$4-$B157+1)</f>
        <v/>
      </c>
      <c r="AT157" s="153">
        <f>$C157*INDEX(Curves!$AS$8:$AS$68,AT$4-$B157+1)</f>
        <v/>
      </c>
      <c r="AU157" s="153">
        <f>$C157*INDEX(Curves!$AS$8:$AS$68,AU$4-$B157+1)</f>
        <v/>
      </c>
      <c r="AV157" s="153">
        <f>$C157*INDEX(Curves!$AS$8:$AS$68,AV$4-$B157+1)</f>
        <v/>
      </c>
      <c r="AW157" s="153">
        <f>$C157*INDEX(Curves!$AS$8:$AS$68,AW$4-$B157+1)</f>
        <v/>
      </c>
      <c r="AX157" s="153">
        <f>$C157*INDEX(Curves!$AS$8:$AS$68,AX$4-$B157+1)</f>
        <v/>
      </c>
      <c r="AY157" s="153">
        <f>$C157*INDEX(Curves!$AS$8:$AS$68,AY$4-$B157+1)</f>
        <v/>
      </c>
      <c r="AZ157" s="153">
        <f>$C157*INDEX(Curves!$AS$8:$AS$68,AZ$4-$B157+1)</f>
        <v/>
      </c>
      <c r="BA157" s="153">
        <f>$C157*INDEX(Curves!$AS$8:$AS$68,BA$4-$B157+1)</f>
        <v/>
      </c>
      <c r="BB157" s="153">
        <f>$C157*INDEX(Curves!$AS$8:$AS$68,BB$4-$B157+1)</f>
        <v/>
      </c>
      <c r="BC157" s="153">
        <f>$C157*INDEX(Curves!$AS$8:$AS$68,BC$4-$B157+1)</f>
        <v/>
      </c>
      <c r="BD157" s="153">
        <f>$C157*INDEX(Curves!$AS$8:$AS$68,BD$4-$B157+1)</f>
        <v/>
      </c>
      <c r="BE157" s="153">
        <f>$C157*INDEX(Curves!$AS$8:$AS$68,BE$4-$B157+1)</f>
        <v/>
      </c>
      <c r="BF157" s="153">
        <f>$C157*INDEX(Curves!$AS$8:$AS$68,BF$4-$B157+1)</f>
        <v/>
      </c>
      <c r="BG157" s="153">
        <f>$C157*INDEX(Curves!$AS$8:$AS$68,BG$4-$B157+1)</f>
        <v/>
      </c>
      <c r="BH157" s="153">
        <f>$C157*INDEX(Curves!$AS$8:$AS$68,BH$4-$B157+1)</f>
        <v/>
      </c>
      <c r="BI157" s="153">
        <f>$C157*INDEX(Curves!$AS$8:$AS$68,BI$4-$B157+1)</f>
        <v/>
      </c>
      <c r="BJ157" s="153">
        <f>$C157*INDEX(Curves!$AS$8:$AS$68,BJ$4-$B157+1)</f>
        <v/>
      </c>
      <c r="BK157" s="153">
        <f>$C157*INDEX(Curves!$AS$8:$AS$68,BK$4-$B157+1)</f>
        <v/>
      </c>
      <c r="BL157" s="153">
        <f>$C157*INDEX(Curves!$AS$8:$AS$68,BL$4-$B157+1)</f>
        <v/>
      </c>
    </row>
    <row r="158">
      <c r="A158" s="147" t="inlineStr">
        <is>
          <t>Cohort month 23</t>
        </is>
      </c>
      <c r="B158" s="147" t="n">
        <v>23</v>
      </c>
      <c r="C158" s="41">
        <f>INDEX(Ops!$E$85:$BL$85,1,$B158)</f>
        <v/>
      </c>
      <c r="AB158" s="153">
        <f>$C158*INDEX(Curves!$AS$8:$AS$68,AB$4-$B158+1)</f>
        <v/>
      </c>
      <c r="AC158" s="153">
        <f>$C158*INDEX(Curves!$AS$8:$AS$68,AC$4-$B158+1)</f>
        <v/>
      </c>
      <c r="AD158" s="153">
        <f>$C158*INDEX(Curves!$AS$8:$AS$68,AD$4-$B158+1)</f>
        <v/>
      </c>
      <c r="AE158" s="153">
        <f>$C158*INDEX(Curves!$AS$8:$AS$68,AE$4-$B158+1)</f>
        <v/>
      </c>
      <c r="AF158" s="153">
        <f>$C158*INDEX(Curves!$AS$8:$AS$68,AF$4-$B158+1)</f>
        <v/>
      </c>
      <c r="AG158" s="153">
        <f>$C158*INDEX(Curves!$AS$8:$AS$68,AG$4-$B158+1)</f>
        <v/>
      </c>
      <c r="AH158" s="153">
        <f>$C158*INDEX(Curves!$AS$8:$AS$68,AH$4-$B158+1)</f>
        <v/>
      </c>
      <c r="AI158" s="153">
        <f>$C158*INDEX(Curves!$AS$8:$AS$68,AI$4-$B158+1)</f>
        <v/>
      </c>
      <c r="AJ158" s="153">
        <f>$C158*INDEX(Curves!$AS$8:$AS$68,AJ$4-$B158+1)</f>
        <v/>
      </c>
      <c r="AK158" s="153">
        <f>$C158*INDEX(Curves!$AS$8:$AS$68,AK$4-$B158+1)</f>
        <v/>
      </c>
      <c r="AL158" s="153">
        <f>$C158*INDEX(Curves!$AS$8:$AS$68,AL$4-$B158+1)</f>
        <v/>
      </c>
      <c r="AM158" s="153">
        <f>$C158*INDEX(Curves!$AS$8:$AS$68,AM$4-$B158+1)</f>
        <v/>
      </c>
      <c r="AN158" s="153">
        <f>$C158*INDEX(Curves!$AS$8:$AS$68,AN$4-$B158+1)</f>
        <v/>
      </c>
      <c r="AO158" s="153">
        <f>$C158*INDEX(Curves!$AS$8:$AS$68,AO$4-$B158+1)</f>
        <v/>
      </c>
      <c r="AP158" s="153">
        <f>$C158*INDEX(Curves!$AS$8:$AS$68,AP$4-$B158+1)</f>
        <v/>
      </c>
      <c r="AQ158" s="153">
        <f>$C158*INDEX(Curves!$AS$8:$AS$68,AQ$4-$B158+1)</f>
        <v/>
      </c>
      <c r="AR158" s="153">
        <f>$C158*INDEX(Curves!$AS$8:$AS$68,AR$4-$B158+1)</f>
        <v/>
      </c>
      <c r="AS158" s="153">
        <f>$C158*INDEX(Curves!$AS$8:$AS$68,AS$4-$B158+1)</f>
        <v/>
      </c>
      <c r="AT158" s="153">
        <f>$C158*INDEX(Curves!$AS$8:$AS$68,AT$4-$B158+1)</f>
        <v/>
      </c>
      <c r="AU158" s="153">
        <f>$C158*INDEX(Curves!$AS$8:$AS$68,AU$4-$B158+1)</f>
        <v/>
      </c>
      <c r="AV158" s="153">
        <f>$C158*INDEX(Curves!$AS$8:$AS$68,AV$4-$B158+1)</f>
        <v/>
      </c>
      <c r="AW158" s="153">
        <f>$C158*INDEX(Curves!$AS$8:$AS$68,AW$4-$B158+1)</f>
        <v/>
      </c>
      <c r="AX158" s="153">
        <f>$C158*INDEX(Curves!$AS$8:$AS$68,AX$4-$B158+1)</f>
        <v/>
      </c>
      <c r="AY158" s="153">
        <f>$C158*INDEX(Curves!$AS$8:$AS$68,AY$4-$B158+1)</f>
        <v/>
      </c>
      <c r="AZ158" s="153">
        <f>$C158*INDEX(Curves!$AS$8:$AS$68,AZ$4-$B158+1)</f>
        <v/>
      </c>
      <c r="BA158" s="153">
        <f>$C158*INDEX(Curves!$AS$8:$AS$68,BA$4-$B158+1)</f>
        <v/>
      </c>
      <c r="BB158" s="153">
        <f>$C158*INDEX(Curves!$AS$8:$AS$68,BB$4-$B158+1)</f>
        <v/>
      </c>
      <c r="BC158" s="153">
        <f>$C158*INDEX(Curves!$AS$8:$AS$68,BC$4-$B158+1)</f>
        <v/>
      </c>
      <c r="BD158" s="153">
        <f>$C158*INDEX(Curves!$AS$8:$AS$68,BD$4-$B158+1)</f>
        <v/>
      </c>
      <c r="BE158" s="153">
        <f>$C158*INDEX(Curves!$AS$8:$AS$68,BE$4-$B158+1)</f>
        <v/>
      </c>
      <c r="BF158" s="153">
        <f>$C158*INDEX(Curves!$AS$8:$AS$68,BF$4-$B158+1)</f>
        <v/>
      </c>
      <c r="BG158" s="153">
        <f>$C158*INDEX(Curves!$AS$8:$AS$68,BG$4-$B158+1)</f>
        <v/>
      </c>
      <c r="BH158" s="153">
        <f>$C158*INDEX(Curves!$AS$8:$AS$68,BH$4-$B158+1)</f>
        <v/>
      </c>
      <c r="BI158" s="153">
        <f>$C158*INDEX(Curves!$AS$8:$AS$68,BI$4-$B158+1)</f>
        <v/>
      </c>
      <c r="BJ158" s="153">
        <f>$C158*INDEX(Curves!$AS$8:$AS$68,BJ$4-$B158+1)</f>
        <v/>
      </c>
      <c r="BK158" s="153">
        <f>$C158*INDEX(Curves!$AS$8:$AS$68,BK$4-$B158+1)</f>
        <v/>
      </c>
      <c r="BL158" s="153">
        <f>$C158*INDEX(Curves!$AS$8:$AS$68,BL$4-$B158+1)</f>
        <v/>
      </c>
    </row>
    <row r="159">
      <c r="A159" s="147" t="inlineStr">
        <is>
          <t>Cohort month 24</t>
        </is>
      </c>
      <c r="B159" s="147" t="n">
        <v>24</v>
      </c>
      <c r="C159" s="41">
        <f>INDEX(Ops!$E$85:$BL$85,1,$B159)</f>
        <v/>
      </c>
      <c r="AC159" s="153">
        <f>$C159*INDEX(Curves!$AS$8:$AS$68,AC$4-$B159+1)</f>
        <v/>
      </c>
      <c r="AD159" s="153">
        <f>$C159*INDEX(Curves!$AS$8:$AS$68,AD$4-$B159+1)</f>
        <v/>
      </c>
      <c r="AE159" s="153">
        <f>$C159*INDEX(Curves!$AS$8:$AS$68,AE$4-$B159+1)</f>
        <v/>
      </c>
      <c r="AF159" s="153">
        <f>$C159*INDEX(Curves!$AS$8:$AS$68,AF$4-$B159+1)</f>
        <v/>
      </c>
      <c r="AG159" s="153">
        <f>$C159*INDEX(Curves!$AS$8:$AS$68,AG$4-$B159+1)</f>
        <v/>
      </c>
      <c r="AH159" s="153">
        <f>$C159*INDEX(Curves!$AS$8:$AS$68,AH$4-$B159+1)</f>
        <v/>
      </c>
      <c r="AI159" s="153">
        <f>$C159*INDEX(Curves!$AS$8:$AS$68,AI$4-$B159+1)</f>
        <v/>
      </c>
      <c r="AJ159" s="153">
        <f>$C159*INDEX(Curves!$AS$8:$AS$68,AJ$4-$B159+1)</f>
        <v/>
      </c>
      <c r="AK159" s="153">
        <f>$C159*INDEX(Curves!$AS$8:$AS$68,AK$4-$B159+1)</f>
        <v/>
      </c>
      <c r="AL159" s="153">
        <f>$C159*INDEX(Curves!$AS$8:$AS$68,AL$4-$B159+1)</f>
        <v/>
      </c>
      <c r="AM159" s="153">
        <f>$C159*INDEX(Curves!$AS$8:$AS$68,AM$4-$B159+1)</f>
        <v/>
      </c>
      <c r="AN159" s="153">
        <f>$C159*INDEX(Curves!$AS$8:$AS$68,AN$4-$B159+1)</f>
        <v/>
      </c>
      <c r="AO159" s="153">
        <f>$C159*INDEX(Curves!$AS$8:$AS$68,AO$4-$B159+1)</f>
        <v/>
      </c>
      <c r="AP159" s="153">
        <f>$C159*INDEX(Curves!$AS$8:$AS$68,AP$4-$B159+1)</f>
        <v/>
      </c>
      <c r="AQ159" s="153">
        <f>$C159*INDEX(Curves!$AS$8:$AS$68,AQ$4-$B159+1)</f>
        <v/>
      </c>
      <c r="AR159" s="153">
        <f>$C159*INDEX(Curves!$AS$8:$AS$68,AR$4-$B159+1)</f>
        <v/>
      </c>
      <c r="AS159" s="153">
        <f>$C159*INDEX(Curves!$AS$8:$AS$68,AS$4-$B159+1)</f>
        <v/>
      </c>
      <c r="AT159" s="153">
        <f>$C159*INDEX(Curves!$AS$8:$AS$68,AT$4-$B159+1)</f>
        <v/>
      </c>
      <c r="AU159" s="153">
        <f>$C159*INDEX(Curves!$AS$8:$AS$68,AU$4-$B159+1)</f>
        <v/>
      </c>
      <c r="AV159" s="153">
        <f>$C159*INDEX(Curves!$AS$8:$AS$68,AV$4-$B159+1)</f>
        <v/>
      </c>
      <c r="AW159" s="153">
        <f>$C159*INDEX(Curves!$AS$8:$AS$68,AW$4-$B159+1)</f>
        <v/>
      </c>
      <c r="AX159" s="153">
        <f>$C159*INDEX(Curves!$AS$8:$AS$68,AX$4-$B159+1)</f>
        <v/>
      </c>
      <c r="AY159" s="153">
        <f>$C159*INDEX(Curves!$AS$8:$AS$68,AY$4-$B159+1)</f>
        <v/>
      </c>
      <c r="AZ159" s="153">
        <f>$C159*INDEX(Curves!$AS$8:$AS$68,AZ$4-$B159+1)</f>
        <v/>
      </c>
      <c r="BA159" s="153">
        <f>$C159*INDEX(Curves!$AS$8:$AS$68,BA$4-$B159+1)</f>
        <v/>
      </c>
      <c r="BB159" s="153">
        <f>$C159*INDEX(Curves!$AS$8:$AS$68,BB$4-$B159+1)</f>
        <v/>
      </c>
      <c r="BC159" s="153">
        <f>$C159*INDEX(Curves!$AS$8:$AS$68,BC$4-$B159+1)</f>
        <v/>
      </c>
      <c r="BD159" s="153">
        <f>$C159*INDEX(Curves!$AS$8:$AS$68,BD$4-$B159+1)</f>
        <v/>
      </c>
      <c r="BE159" s="153">
        <f>$C159*INDEX(Curves!$AS$8:$AS$68,BE$4-$B159+1)</f>
        <v/>
      </c>
      <c r="BF159" s="153">
        <f>$C159*INDEX(Curves!$AS$8:$AS$68,BF$4-$B159+1)</f>
        <v/>
      </c>
      <c r="BG159" s="153">
        <f>$C159*INDEX(Curves!$AS$8:$AS$68,BG$4-$B159+1)</f>
        <v/>
      </c>
      <c r="BH159" s="153">
        <f>$C159*INDEX(Curves!$AS$8:$AS$68,BH$4-$B159+1)</f>
        <v/>
      </c>
      <c r="BI159" s="153">
        <f>$C159*INDEX(Curves!$AS$8:$AS$68,BI$4-$B159+1)</f>
        <v/>
      </c>
      <c r="BJ159" s="153">
        <f>$C159*INDEX(Curves!$AS$8:$AS$68,BJ$4-$B159+1)</f>
        <v/>
      </c>
      <c r="BK159" s="153">
        <f>$C159*INDEX(Curves!$AS$8:$AS$68,BK$4-$B159+1)</f>
        <v/>
      </c>
      <c r="BL159" s="153">
        <f>$C159*INDEX(Curves!$AS$8:$AS$68,BL$4-$B159+1)</f>
        <v/>
      </c>
    </row>
    <row r="160">
      <c r="A160" s="147" t="inlineStr">
        <is>
          <t>Cohort month 25</t>
        </is>
      </c>
      <c r="B160" s="147" t="n">
        <v>25</v>
      </c>
      <c r="C160" s="41">
        <f>INDEX(Ops!$E$85:$BL$85,1,$B160)</f>
        <v/>
      </c>
      <c r="AD160" s="153">
        <f>$C160*INDEX(Curves!$AS$8:$AS$68,AD$4-$B160+1)</f>
        <v/>
      </c>
      <c r="AE160" s="153">
        <f>$C160*INDEX(Curves!$AS$8:$AS$68,AE$4-$B160+1)</f>
        <v/>
      </c>
      <c r="AF160" s="153">
        <f>$C160*INDEX(Curves!$AS$8:$AS$68,AF$4-$B160+1)</f>
        <v/>
      </c>
      <c r="AG160" s="153">
        <f>$C160*INDEX(Curves!$AS$8:$AS$68,AG$4-$B160+1)</f>
        <v/>
      </c>
      <c r="AH160" s="153">
        <f>$C160*INDEX(Curves!$AS$8:$AS$68,AH$4-$B160+1)</f>
        <v/>
      </c>
      <c r="AI160" s="153">
        <f>$C160*INDEX(Curves!$AS$8:$AS$68,AI$4-$B160+1)</f>
        <v/>
      </c>
      <c r="AJ160" s="153">
        <f>$C160*INDEX(Curves!$AS$8:$AS$68,AJ$4-$B160+1)</f>
        <v/>
      </c>
      <c r="AK160" s="153">
        <f>$C160*INDEX(Curves!$AS$8:$AS$68,AK$4-$B160+1)</f>
        <v/>
      </c>
      <c r="AL160" s="153">
        <f>$C160*INDEX(Curves!$AS$8:$AS$68,AL$4-$B160+1)</f>
        <v/>
      </c>
      <c r="AM160" s="153">
        <f>$C160*INDEX(Curves!$AS$8:$AS$68,AM$4-$B160+1)</f>
        <v/>
      </c>
      <c r="AN160" s="153">
        <f>$C160*INDEX(Curves!$AS$8:$AS$68,AN$4-$B160+1)</f>
        <v/>
      </c>
      <c r="AO160" s="153">
        <f>$C160*INDEX(Curves!$AS$8:$AS$68,AO$4-$B160+1)</f>
        <v/>
      </c>
      <c r="AP160" s="153">
        <f>$C160*INDEX(Curves!$AS$8:$AS$68,AP$4-$B160+1)</f>
        <v/>
      </c>
      <c r="AQ160" s="153">
        <f>$C160*INDEX(Curves!$AS$8:$AS$68,AQ$4-$B160+1)</f>
        <v/>
      </c>
      <c r="AR160" s="153">
        <f>$C160*INDEX(Curves!$AS$8:$AS$68,AR$4-$B160+1)</f>
        <v/>
      </c>
      <c r="AS160" s="153">
        <f>$C160*INDEX(Curves!$AS$8:$AS$68,AS$4-$B160+1)</f>
        <v/>
      </c>
      <c r="AT160" s="153">
        <f>$C160*INDEX(Curves!$AS$8:$AS$68,AT$4-$B160+1)</f>
        <v/>
      </c>
      <c r="AU160" s="153">
        <f>$C160*INDEX(Curves!$AS$8:$AS$68,AU$4-$B160+1)</f>
        <v/>
      </c>
      <c r="AV160" s="153">
        <f>$C160*INDEX(Curves!$AS$8:$AS$68,AV$4-$B160+1)</f>
        <v/>
      </c>
      <c r="AW160" s="153">
        <f>$C160*INDEX(Curves!$AS$8:$AS$68,AW$4-$B160+1)</f>
        <v/>
      </c>
      <c r="AX160" s="153">
        <f>$C160*INDEX(Curves!$AS$8:$AS$68,AX$4-$B160+1)</f>
        <v/>
      </c>
      <c r="AY160" s="153">
        <f>$C160*INDEX(Curves!$AS$8:$AS$68,AY$4-$B160+1)</f>
        <v/>
      </c>
      <c r="AZ160" s="153">
        <f>$C160*INDEX(Curves!$AS$8:$AS$68,AZ$4-$B160+1)</f>
        <v/>
      </c>
      <c r="BA160" s="153">
        <f>$C160*INDEX(Curves!$AS$8:$AS$68,BA$4-$B160+1)</f>
        <v/>
      </c>
      <c r="BB160" s="153">
        <f>$C160*INDEX(Curves!$AS$8:$AS$68,BB$4-$B160+1)</f>
        <v/>
      </c>
      <c r="BC160" s="153">
        <f>$C160*INDEX(Curves!$AS$8:$AS$68,BC$4-$B160+1)</f>
        <v/>
      </c>
      <c r="BD160" s="153">
        <f>$C160*INDEX(Curves!$AS$8:$AS$68,BD$4-$B160+1)</f>
        <v/>
      </c>
      <c r="BE160" s="153">
        <f>$C160*INDEX(Curves!$AS$8:$AS$68,BE$4-$B160+1)</f>
        <v/>
      </c>
      <c r="BF160" s="153">
        <f>$C160*INDEX(Curves!$AS$8:$AS$68,BF$4-$B160+1)</f>
        <v/>
      </c>
      <c r="BG160" s="153">
        <f>$C160*INDEX(Curves!$AS$8:$AS$68,BG$4-$B160+1)</f>
        <v/>
      </c>
      <c r="BH160" s="153">
        <f>$C160*INDEX(Curves!$AS$8:$AS$68,BH$4-$B160+1)</f>
        <v/>
      </c>
      <c r="BI160" s="153">
        <f>$C160*INDEX(Curves!$AS$8:$AS$68,BI$4-$B160+1)</f>
        <v/>
      </c>
      <c r="BJ160" s="153">
        <f>$C160*INDEX(Curves!$AS$8:$AS$68,BJ$4-$B160+1)</f>
        <v/>
      </c>
      <c r="BK160" s="153">
        <f>$C160*INDEX(Curves!$AS$8:$AS$68,BK$4-$B160+1)</f>
        <v/>
      </c>
      <c r="BL160" s="153">
        <f>$C160*INDEX(Curves!$AS$8:$AS$68,BL$4-$B160+1)</f>
        <v/>
      </c>
    </row>
    <row r="161">
      <c r="A161" s="147" t="inlineStr">
        <is>
          <t>Cohort month 26</t>
        </is>
      </c>
      <c r="B161" s="147" t="n">
        <v>26</v>
      </c>
      <c r="C161" s="41">
        <f>INDEX(Ops!$E$85:$BL$85,1,$B161)</f>
        <v/>
      </c>
      <c r="AE161" s="153">
        <f>$C161*INDEX(Curves!$AS$8:$AS$68,AE$4-$B161+1)</f>
        <v/>
      </c>
      <c r="AF161" s="153">
        <f>$C161*INDEX(Curves!$AS$8:$AS$68,AF$4-$B161+1)</f>
        <v/>
      </c>
      <c r="AG161" s="153">
        <f>$C161*INDEX(Curves!$AS$8:$AS$68,AG$4-$B161+1)</f>
        <v/>
      </c>
      <c r="AH161" s="153">
        <f>$C161*INDEX(Curves!$AS$8:$AS$68,AH$4-$B161+1)</f>
        <v/>
      </c>
      <c r="AI161" s="153">
        <f>$C161*INDEX(Curves!$AS$8:$AS$68,AI$4-$B161+1)</f>
        <v/>
      </c>
      <c r="AJ161" s="153">
        <f>$C161*INDEX(Curves!$AS$8:$AS$68,AJ$4-$B161+1)</f>
        <v/>
      </c>
      <c r="AK161" s="153">
        <f>$C161*INDEX(Curves!$AS$8:$AS$68,AK$4-$B161+1)</f>
        <v/>
      </c>
      <c r="AL161" s="153">
        <f>$C161*INDEX(Curves!$AS$8:$AS$68,AL$4-$B161+1)</f>
        <v/>
      </c>
      <c r="AM161" s="153">
        <f>$C161*INDEX(Curves!$AS$8:$AS$68,AM$4-$B161+1)</f>
        <v/>
      </c>
      <c r="AN161" s="153">
        <f>$C161*INDEX(Curves!$AS$8:$AS$68,AN$4-$B161+1)</f>
        <v/>
      </c>
      <c r="AO161" s="153">
        <f>$C161*INDEX(Curves!$AS$8:$AS$68,AO$4-$B161+1)</f>
        <v/>
      </c>
      <c r="AP161" s="153">
        <f>$C161*INDEX(Curves!$AS$8:$AS$68,AP$4-$B161+1)</f>
        <v/>
      </c>
      <c r="AQ161" s="153">
        <f>$C161*INDEX(Curves!$AS$8:$AS$68,AQ$4-$B161+1)</f>
        <v/>
      </c>
      <c r="AR161" s="153">
        <f>$C161*INDEX(Curves!$AS$8:$AS$68,AR$4-$B161+1)</f>
        <v/>
      </c>
      <c r="AS161" s="153">
        <f>$C161*INDEX(Curves!$AS$8:$AS$68,AS$4-$B161+1)</f>
        <v/>
      </c>
      <c r="AT161" s="153">
        <f>$C161*INDEX(Curves!$AS$8:$AS$68,AT$4-$B161+1)</f>
        <v/>
      </c>
      <c r="AU161" s="153">
        <f>$C161*INDEX(Curves!$AS$8:$AS$68,AU$4-$B161+1)</f>
        <v/>
      </c>
      <c r="AV161" s="153">
        <f>$C161*INDEX(Curves!$AS$8:$AS$68,AV$4-$B161+1)</f>
        <v/>
      </c>
      <c r="AW161" s="153">
        <f>$C161*INDEX(Curves!$AS$8:$AS$68,AW$4-$B161+1)</f>
        <v/>
      </c>
      <c r="AX161" s="153">
        <f>$C161*INDEX(Curves!$AS$8:$AS$68,AX$4-$B161+1)</f>
        <v/>
      </c>
      <c r="AY161" s="153">
        <f>$C161*INDEX(Curves!$AS$8:$AS$68,AY$4-$B161+1)</f>
        <v/>
      </c>
      <c r="AZ161" s="153">
        <f>$C161*INDEX(Curves!$AS$8:$AS$68,AZ$4-$B161+1)</f>
        <v/>
      </c>
      <c r="BA161" s="153">
        <f>$C161*INDEX(Curves!$AS$8:$AS$68,BA$4-$B161+1)</f>
        <v/>
      </c>
      <c r="BB161" s="153">
        <f>$C161*INDEX(Curves!$AS$8:$AS$68,BB$4-$B161+1)</f>
        <v/>
      </c>
      <c r="BC161" s="153">
        <f>$C161*INDEX(Curves!$AS$8:$AS$68,BC$4-$B161+1)</f>
        <v/>
      </c>
      <c r="BD161" s="153">
        <f>$C161*INDEX(Curves!$AS$8:$AS$68,BD$4-$B161+1)</f>
        <v/>
      </c>
      <c r="BE161" s="153">
        <f>$C161*INDEX(Curves!$AS$8:$AS$68,BE$4-$B161+1)</f>
        <v/>
      </c>
      <c r="BF161" s="153">
        <f>$C161*INDEX(Curves!$AS$8:$AS$68,BF$4-$B161+1)</f>
        <v/>
      </c>
      <c r="BG161" s="153">
        <f>$C161*INDEX(Curves!$AS$8:$AS$68,BG$4-$B161+1)</f>
        <v/>
      </c>
      <c r="BH161" s="153">
        <f>$C161*INDEX(Curves!$AS$8:$AS$68,BH$4-$B161+1)</f>
        <v/>
      </c>
      <c r="BI161" s="153">
        <f>$C161*INDEX(Curves!$AS$8:$AS$68,BI$4-$B161+1)</f>
        <v/>
      </c>
      <c r="BJ161" s="153">
        <f>$C161*INDEX(Curves!$AS$8:$AS$68,BJ$4-$B161+1)</f>
        <v/>
      </c>
      <c r="BK161" s="153">
        <f>$C161*INDEX(Curves!$AS$8:$AS$68,BK$4-$B161+1)</f>
        <v/>
      </c>
      <c r="BL161" s="153">
        <f>$C161*INDEX(Curves!$AS$8:$AS$68,BL$4-$B161+1)</f>
        <v/>
      </c>
    </row>
    <row r="162">
      <c r="A162" s="147" t="inlineStr">
        <is>
          <t>Cohort month 27</t>
        </is>
      </c>
      <c r="B162" s="147" t="n">
        <v>27</v>
      </c>
      <c r="C162" s="41">
        <f>INDEX(Ops!$E$85:$BL$85,1,$B162)</f>
        <v/>
      </c>
      <c r="AF162" s="153">
        <f>$C162*INDEX(Curves!$AS$8:$AS$68,AF$4-$B162+1)</f>
        <v/>
      </c>
      <c r="AG162" s="153">
        <f>$C162*INDEX(Curves!$AS$8:$AS$68,AG$4-$B162+1)</f>
        <v/>
      </c>
      <c r="AH162" s="153">
        <f>$C162*INDEX(Curves!$AS$8:$AS$68,AH$4-$B162+1)</f>
        <v/>
      </c>
      <c r="AI162" s="153">
        <f>$C162*INDEX(Curves!$AS$8:$AS$68,AI$4-$B162+1)</f>
        <v/>
      </c>
      <c r="AJ162" s="153">
        <f>$C162*INDEX(Curves!$AS$8:$AS$68,AJ$4-$B162+1)</f>
        <v/>
      </c>
      <c r="AK162" s="153">
        <f>$C162*INDEX(Curves!$AS$8:$AS$68,AK$4-$B162+1)</f>
        <v/>
      </c>
      <c r="AL162" s="153">
        <f>$C162*INDEX(Curves!$AS$8:$AS$68,AL$4-$B162+1)</f>
        <v/>
      </c>
      <c r="AM162" s="153">
        <f>$C162*INDEX(Curves!$AS$8:$AS$68,AM$4-$B162+1)</f>
        <v/>
      </c>
      <c r="AN162" s="153">
        <f>$C162*INDEX(Curves!$AS$8:$AS$68,AN$4-$B162+1)</f>
        <v/>
      </c>
      <c r="AO162" s="153">
        <f>$C162*INDEX(Curves!$AS$8:$AS$68,AO$4-$B162+1)</f>
        <v/>
      </c>
      <c r="AP162" s="153">
        <f>$C162*INDEX(Curves!$AS$8:$AS$68,AP$4-$B162+1)</f>
        <v/>
      </c>
      <c r="AQ162" s="153">
        <f>$C162*INDEX(Curves!$AS$8:$AS$68,AQ$4-$B162+1)</f>
        <v/>
      </c>
      <c r="AR162" s="153">
        <f>$C162*INDEX(Curves!$AS$8:$AS$68,AR$4-$B162+1)</f>
        <v/>
      </c>
      <c r="AS162" s="153">
        <f>$C162*INDEX(Curves!$AS$8:$AS$68,AS$4-$B162+1)</f>
        <v/>
      </c>
      <c r="AT162" s="153">
        <f>$C162*INDEX(Curves!$AS$8:$AS$68,AT$4-$B162+1)</f>
        <v/>
      </c>
      <c r="AU162" s="153">
        <f>$C162*INDEX(Curves!$AS$8:$AS$68,AU$4-$B162+1)</f>
        <v/>
      </c>
      <c r="AV162" s="153">
        <f>$C162*INDEX(Curves!$AS$8:$AS$68,AV$4-$B162+1)</f>
        <v/>
      </c>
      <c r="AW162" s="153">
        <f>$C162*INDEX(Curves!$AS$8:$AS$68,AW$4-$B162+1)</f>
        <v/>
      </c>
      <c r="AX162" s="153">
        <f>$C162*INDEX(Curves!$AS$8:$AS$68,AX$4-$B162+1)</f>
        <v/>
      </c>
      <c r="AY162" s="153">
        <f>$C162*INDEX(Curves!$AS$8:$AS$68,AY$4-$B162+1)</f>
        <v/>
      </c>
      <c r="AZ162" s="153">
        <f>$C162*INDEX(Curves!$AS$8:$AS$68,AZ$4-$B162+1)</f>
        <v/>
      </c>
      <c r="BA162" s="153">
        <f>$C162*INDEX(Curves!$AS$8:$AS$68,BA$4-$B162+1)</f>
        <v/>
      </c>
      <c r="BB162" s="153">
        <f>$C162*INDEX(Curves!$AS$8:$AS$68,BB$4-$B162+1)</f>
        <v/>
      </c>
      <c r="BC162" s="153">
        <f>$C162*INDEX(Curves!$AS$8:$AS$68,BC$4-$B162+1)</f>
        <v/>
      </c>
      <c r="BD162" s="153">
        <f>$C162*INDEX(Curves!$AS$8:$AS$68,BD$4-$B162+1)</f>
        <v/>
      </c>
      <c r="BE162" s="153">
        <f>$C162*INDEX(Curves!$AS$8:$AS$68,BE$4-$B162+1)</f>
        <v/>
      </c>
      <c r="BF162" s="153">
        <f>$C162*INDEX(Curves!$AS$8:$AS$68,BF$4-$B162+1)</f>
        <v/>
      </c>
      <c r="BG162" s="153">
        <f>$C162*INDEX(Curves!$AS$8:$AS$68,BG$4-$B162+1)</f>
        <v/>
      </c>
      <c r="BH162" s="153">
        <f>$C162*INDEX(Curves!$AS$8:$AS$68,BH$4-$B162+1)</f>
        <v/>
      </c>
      <c r="BI162" s="153">
        <f>$C162*INDEX(Curves!$AS$8:$AS$68,BI$4-$B162+1)</f>
        <v/>
      </c>
      <c r="BJ162" s="153">
        <f>$C162*INDEX(Curves!$AS$8:$AS$68,BJ$4-$B162+1)</f>
        <v/>
      </c>
      <c r="BK162" s="153">
        <f>$C162*INDEX(Curves!$AS$8:$AS$68,BK$4-$B162+1)</f>
        <v/>
      </c>
      <c r="BL162" s="153">
        <f>$C162*INDEX(Curves!$AS$8:$AS$68,BL$4-$B162+1)</f>
        <v/>
      </c>
    </row>
    <row r="163">
      <c r="A163" s="147" t="inlineStr">
        <is>
          <t>Cohort month 28</t>
        </is>
      </c>
      <c r="B163" s="147" t="n">
        <v>28</v>
      </c>
      <c r="C163" s="41">
        <f>INDEX(Ops!$E$85:$BL$85,1,$B163)</f>
        <v/>
      </c>
      <c r="AG163" s="153">
        <f>$C163*INDEX(Curves!$AS$8:$AS$68,AG$4-$B163+1)</f>
        <v/>
      </c>
      <c r="AH163" s="153">
        <f>$C163*INDEX(Curves!$AS$8:$AS$68,AH$4-$B163+1)</f>
        <v/>
      </c>
      <c r="AI163" s="153">
        <f>$C163*INDEX(Curves!$AS$8:$AS$68,AI$4-$B163+1)</f>
        <v/>
      </c>
      <c r="AJ163" s="153">
        <f>$C163*INDEX(Curves!$AS$8:$AS$68,AJ$4-$B163+1)</f>
        <v/>
      </c>
      <c r="AK163" s="153">
        <f>$C163*INDEX(Curves!$AS$8:$AS$68,AK$4-$B163+1)</f>
        <v/>
      </c>
      <c r="AL163" s="153">
        <f>$C163*INDEX(Curves!$AS$8:$AS$68,AL$4-$B163+1)</f>
        <v/>
      </c>
      <c r="AM163" s="153">
        <f>$C163*INDEX(Curves!$AS$8:$AS$68,AM$4-$B163+1)</f>
        <v/>
      </c>
      <c r="AN163" s="153">
        <f>$C163*INDEX(Curves!$AS$8:$AS$68,AN$4-$B163+1)</f>
        <v/>
      </c>
      <c r="AO163" s="153">
        <f>$C163*INDEX(Curves!$AS$8:$AS$68,AO$4-$B163+1)</f>
        <v/>
      </c>
      <c r="AP163" s="153">
        <f>$C163*INDEX(Curves!$AS$8:$AS$68,AP$4-$B163+1)</f>
        <v/>
      </c>
      <c r="AQ163" s="153">
        <f>$C163*INDEX(Curves!$AS$8:$AS$68,AQ$4-$B163+1)</f>
        <v/>
      </c>
      <c r="AR163" s="153">
        <f>$C163*INDEX(Curves!$AS$8:$AS$68,AR$4-$B163+1)</f>
        <v/>
      </c>
      <c r="AS163" s="153">
        <f>$C163*INDEX(Curves!$AS$8:$AS$68,AS$4-$B163+1)</f>
        <v/>
      </c>
      <c r="AT163" s="153">
        <f>$C163*INDEX(Curves!$AS$8:$AS$68,AT$4-$B163+1)</f>
        <v/>
      </c>
      <c r="AU163" s="153">
        <f>$C163*INDEX(Curves!$AS$8:$AS$68,AU$4-$B163+1)</f>
        <v/>
      </c>
      <c r="AV163" s="153">
        <f>$C163*INDEX(Curves!$AS$8:$AS$68,AV$4-$B163+1)</f>
        <v/>
      </c>
      <c r="AW163" s="153">
        <f>$C163*INDEX(Curves!$AS$8:$AS$68,AW$4-$B163+1)</f>
        <v/>
      </c>
      <c r="AX163" s="153">
        <f>$C163*INDEX(Curves!$AS$8:$AS$68,AX$4-$B163+1)</f>
        <v/>
      </c>
      <c r="AY163" s="153">
        <f>$C163*INDEX(Curves!$AS$8:$AS$68,AY$4-$B163+1)</f>
        <v/>
      </c>
      <c r="AZ163" s="153">
        <f>$C163*INDEX(Curves!$AS$8:$AS$68,AZ$4-$B163+1)</f>
        <v/>
      </c>
      <c r="BA163" s="153">
        <f>$C163*INDEX(Curves!$AS$8:$AS$68,BA$4-$B163+1)</f>
        <v/>
      </c>
      <c r="BB163" s="153">
        <f>$C163*INDEX(Curves!$AS$8:$AS$68,BB$4-$B163+1)</f>
        <v/>
      </c>
      <c r="BC163" s="153">
        <f>$C163*INDEX(Curves!$AS$8:$AS$68,BC$4-$B163+1)</f>
        <v/>
      </c>
      <c r="BD163" s="153">
        <f>$C163*INDEX(Curves!$AS$8:$AS$68,BD$4-$B163+1)</f>
        <v/>
      </c>
      <c r="BE163" s="153">
        <f>$C163*INDEX(Curves!$AS$8:$AS$68,BE$4-$B163+1)</f>
        <v/>
      </c>
      <c r="BF163" s="153">
        <f>$C163*INDEX(Curves!$AS$8:$AS$68,BF$4-$B163+1)</f>
        <v/>
      </c>
      <c r="BG163" s="153">
        <f>$C163*INDEX(Curves!$AS$8:$AS$68,BG$4-$B163+1)</f>
        <v/>
      </c>
      <c r="BH163" s="153">
        <f>$C163*INDEX(Curves!$AS$8:$AS$68,BH$4-$B163+1)</f>
        <v/>
      </c>
      <c r="BI163" s="153">
        <f>$C163*INDEX(Curves!$AS$8:$AS$68,BI$4-$B163+1)</f>
        <v/>
      </c>
      <c r="BJ163" s="153">
        <f>$C163*INDEX(Curves!$AS$8:$AS$68,BJ$4-$B163+1)</f>
        <v/>
      </c>
      <c r="BK163" s="153">
        <f>$C163*INDEX(Curves!$AS$8:$AS$68,BK$4-$B163+1)</f>
        <v/>
      </c>
      <c r="BL163" s="153">
        <f>$C163*INDEX(Curves!$AS$8:$AS$68,BL$4-$B163+1)</f>
        <v/>
      </c>
    </row>
    <row r="164">
      <c r="A164" s="147" t="inlineStr">
        <is>
          <t>Cohort month 29</t>
        </is>
      </c>
      <c r="B164" s="147" t="n">
        <v>29</v>
      </c>
      <c r="C164" s="41">
        <f>INDEX(Ops!$E$85:$BL$85,1,$B164)</f>
        <v/>
      </c>
      <c r="AH164" s="153">
        <f>$C164*INDEX(Curves!$AS$8:$AS$68,AH$4-$B164+1)</f>
        <v/>
      </c>
      <c r="AI164" s="153">
        <f>$C164*INDEX(Curves!$AS$8:$AS$68,AI$4-$B164+1)</f>
        <v/>
      </c>
      <c r="AJ164" s="153">
        <f>$C164*INDEX(Curves!$AS$8:$AS$68,AJ$4-$B164+1)</f>
        <v/>
      </c>
      <c r="AK164" s="153">
        <f>$C164*INDEX(Curves!$AS$8:$AS$68,AK$4-$B164+1)</f>
        <v/>
      </c>
      <c r="AL164" s="153">
        <f>$C164*INDEX(Curves!$AS$8:$AS$68,AL$4-$B164+1)</f>
        <v/>
      </c>
      <c r="AM164" s="153">
        <f>$C164*INDEX(Curves!$AS$8:$AS$68,AM$4-$B164+1)</f>
        <v/>
      </c>
      <c r="AN164" s="153">
        <f>$C164*INDEX(Curves!$AS$8:$AS$68,AN$4-$B164+1)</f>
        <v/>
      </c>
      <c r="AO164" s="153">
        <f>$C164*INDEX(Curves!$AS$8:$AS$68,AO$4-$B164+1)</f>
        <v/>
      </c>
      <c r="AP164" s="153">
        <f>$C164*INDEX(Curves!$AS$8:$AS$68,AP$4-$B164+1)</f>
        <v/>
      </c>
      <c r="AQ164" s="153">
        <f>$C164*INDEX(Curves!$AS$8:$AS$68,AQ$4-$B164+1)</f>
        <v/>
      </c>
      <c r="AR164" s="153">
        <f>$C164*INDEX(Curves!$AS$8:$AS$68,AR$4-$B164+1)</f>
        <v/>
      </c>
      <c r="AS164" s="153">
        <f>$C164*INDEX(Curves!$AS$8:$AS$68,AS$4-$B164+1)</f>
        <v/>
      </c>
      <c r="AT164" s="153">
        <f>$C164*INDEX(Curves!$AS$8:$AS$68,AT$4-$B164+1)</f>
        <v/>
      </c>
      <c r="AU164" s="153">
        <f>$C164*INDEX(Curves!$AS$8:$AS$68,AU$4-$B164+1)</f>
        <v/>
      </c>
      <c r="AV164" s="153">
        <f>$C164*INDEX(Curves!$AS$8:$AS$68,AV$4-$B164+1)</f>
        <v/>
      </c>
      <c r="AW164" s="153">
        <f>$C164*INDEX(Curves!$AS$8:$AS$68,AW$4-$B164+1)</f>
        <v/>
      </c>
      <c r="AX164" s="153">
        <f>$C164*INDEX(Curves!$AS$8:$AS$68,AX$4-$B164+1)</f>
        <v/>
      </c>
      <c r="AY164" s="153">
        <f>$C164*INDEX(Curves!$AS$8:$AS$68,AY$4-$B164+1)</f>
        <v/>
      </c>
      <c r="AZ164" s="153">
        <f>$C164*INDEX(Curves!$AS$8:$AS$68,AZ$4-$B164+1)</f>
        <v/>
      </c>
      <c r="BA164" s="153">
        <f>$C164*INDEX(Curves!$AS$8:$AS$68,BA$4-$B164+1)</f>
        <v/>
      </c>
      <c r="BB164" s="153">
        <f>$C164*INDEX(Curves!$AS$8:$AS$68,BB$4-$B164+1)</f>
        <v/>
      </c>
      <c r="BC164" s="153">
        <f>$C164*INDEX(Curves!$AS$8:$AS$68,BC$4-$B164+1)</f>
        <v/>
      </c>
      <c r="BD164" s="153">
        <f>$C164*INDEX(Curves!$AS$8:$AS$68,BD$4-$B164+1)</f>
        <v/>
      </c>
      <c r="BE164" s="153">
        <f>$C164*INDEX(Curves!$AS$8:$AS$68,BE$4-$B164+1)</f>
        <v/>
      </c>
      <c r="BF164" s="153">
        <f>$C164*INDEX(Curves!$AS$8:$AS$68,BF$4-$B164+1)</f>
        <v/>
      </c>
      <c r="BG164" s="153">
        <f>$C164*INDEX(Curves!$AS$8:$AS$68,BG$4-$B164+1)</f>
        <v/>
      </c>
      <c r="BH164" s="153">
        <f>$C164*INDEX(Curves!$AS$8:$AS$68,BH$4-$B164+1)</f>
        <v/>
      </c>
      <c r="BI164" s="153">
        <f>$C164*INDEX(Curves!$AS$8:$AS$68,BI$4-$B164+1)</f>
        <v/>
      </c>
      <c r="BJ164" s="153">
        <f>$C164*INDEX(Curves!$AS$8:$AS$68,BJ$4-$B164+1)</f>
        <v/>
      </c>
      <c r="BK164" s="153">
        <f>$C164*INDEX(Curves!$AS$8:$AS$68,BK$4-$B164+1)</f>
        <v/>
      </c>
      <c r="BL164" s="153">
        <f>$C164*INDEX(Curves!$AS$8:$AS$68,BL$4-$B164+1)</f>
        <v/>
      </c>
    </row>
    <row r="165">
      <c r="A165" s="147" t="inlineStr">
        <is>
          <t>Cohort month 30</t>
        </is>
      </c>
      <c r="B165" s="147" t="n">
        <v>30</v>
      </c>
      <c r="C165" s="41">
        <f>INDEX(Ops!$E$85:$BL$85,1,$B165)</f>
        <v/>
      </c>
      <c r="AI165" s="153">
        <f>$C165*INDEX(Curves!$AS$8:$AS$68,AI$4-$B165+1)</f>
        <v/>
      </c>
      <c r="AJ165" s="153">
        <f>$C165*INDEX(Curves!$AS$8:$AS$68,AJ$4-$B165+1)</f>
        <v/>
      </c>
      <c r="AK165" s="153">
        <f>$C165*INDEX(Curves!$AS$8:$AS$68,AK$4-$B165+1)</f>
        <v/>
      </c>
      <c r="AL165" s="153">
        <f>$C165*INDEX(Curves!$AS$8:$AS$68,AL$4-$B165+1)</f>
        <v/>
      </c>
      <c r="AM165" s="153">
        <f>$C165*INDEX(Curves!$AS$8:$AS$68,AM$4-$B165+1)</f>
        <v/>
      </c>
      <c r="AN165" s="153">
        <f>$C165*INDEX(Curves!$AS$8:$AS$68,AN$4-$B165+1)</f>
        <v/>
      </c>
      <c r="AO165" s="153">
        <f>$C165*INDEX(Curves!$AS$8:$AS$68,AO$4-$B165+1)</f>
        <v/>
      </c>
      <c r="AP165" s="153">
        <f>$C165*INDEX(Curves!$AS$8:$AS$68,AP$4-$B165+1)</f>
        <v/>
      </c>
      <c r="AQ165" s="153">
        <f>$C165*INDEX(Curves!$AS$8:$AS$68,AQ$4-$B165+1)</f>
        <v/>
      </c>
      <c r="AR165" s="153">
        <f>$C165*INDEX(Curves!$AS$8:$AS$68,AR$4-$B165+1)</f>
        <v/>
      </c>
      <c r="AS165" s="153">
        <f>$C165*INDEX(Curves!$AS$8:$AS$68,AS$4-$B165+1)</f>
        <v/>
      </c>
      <c r="AT165" s="153">
        <f>$C165*INDEX(Curves!$AS$8:$AS$68,AT$4-$B165+1)</f>
        <v/>
      </c>
      <c r="AU165" s="153">
        <f>$C165*INDEX(Curves!$AS$8:$AS$68,AU$4-$B165+1)</f>
        <v/>
      </c>
      <c r="AV165" s="153">
        <f>$C165*INDEX(Curves!$AS$8:$AS$68,AV$4-$B165+1)</f>
        <v/>
      </c>
      <c r="AW165" s="153">
        <f>$C165*INDEX(Curves!$AS$8:$AS$68,AW$4-$B165+1)</f>
        <v/>
      </c>
      <c r="AX165" s="153">
        <f>$C165*INDEX(Curves!$AS$8:$AS$68,AX$4-$B165+1)</f>
        <v/>
      </c>
      <c r="AY165" s="153">
        <f>$C165*INDEX(Curves!$AS$8:$AS$68,AY$4-$B165+1)</f>
        <v/>
      </c>
      <c r="AZ165" s="153">
        <f>$C165*INDEX(Curves!$AS$8:$AS$68,AZ$4-$B165+1)</f>
        <v/>
      </c>
      <c r="BA165" s="153">
        <f>$C165*INDEX(Curves!$AS$8:$AS$68,BA$4-$B165+1)</f>
        <v/>
      </c>
      <c r="BB165" s="153">
        <f>$C165*INDEX(Curves!$AS$8:$AS$68,BB$4-$B165+1)</f>
        <v/>
      </c>
      <c r="BC165" s="153">
        <f>$C165*INDEX(Curves!$AS$8:$AS$68,BC$4-$B165+1)</f>
        <v/>
      </c>
      <c r="BD165" s="153">
        <f>$C165*INDEX(Curves!$AS$8:$AS$68,BD$4-$B165+1)</f>
        <v/>
      </c>
      <c r="BE165" s="153">
        <f>$C165*INDEX(Curves!$AS$8:$AS$68,BE$4-$B165+1)</f>
        <v/>
      </c>
      <c r="BF165" s="153">
        <f>$C165*INDEX(Curves!$AS$8:$AS$68,BF$4-$B165+1)</f>
        <v/>
      </c>
      <c r="BG165" s="153">
        <f>$C165*INDEX(Curves!$AS$8:$AS$68,BG$4-$B165+1)</f>
        <v/>
      </c>
      <c r="BH165" s="153">
        <f>$C165*INDEX(Curves!$AS$8:$AS$68,BH$4-$B165+1)</f>
        <v/>
      </c>
      <c r="BI165" s="153">
        <f>$C165*INDEX(Curves!$AS$8:$AS$68,BI$4-$B165+1)</f>
        <v/>
      </c>
      <c r="BJ165" s="153">
        <f>$C165*INDEX(Curves!$AS$8:$AS$68,BJ$4-$B165+1)</f>
        <v/>
      </c>
      <c r="BK165" s="153">
        <f>$C165*INDEX(Curves!$AS$8:$AS$68,BK$4-$B165+1)</f>
        <v/>
      </c>
      <c r="BL165" s="153">
        <f>$C165*INDEX(Curves!$AS$8:$AS$68,BL$4-$B165+1)</f>
        <v/>
      </c>
    </row>
    <row r="166">
      <c r="A166" s="147" t="inlineStr">
        <is>
          <t>Cohort month 31</t>
        </is>
      </c>
      <c r="B166" s="147" t="n">
        <v>31</v>
      </c>
      <c r="C166" s="41">
        <f>INDEX(Ops!$E$85:$BL$85,1,$B166)</f>
        <v/>
      </c>
      <c r="AJ166" s="153">
        <f>$C166*INDEX(Curves!$AS$8:$AS$68,AJ$4-$B166+1)</f>
        <v/>
      </c>
      <c r="AK166" s="153">
        <f>$C166*INDEX(Curves!$AS$8:$AS$68,AK$4-$B166+1)</f>
        <v/>
      </c>
      <c r="AL166" s="153">
        <f>$C166*INDEX(Curves!$AS$8:$AS$68,AL$4-$B166+1)</f>
        <v/>
      </c>
      <c r="AM166" s="153">
        <f>$C166*INDEX(Curves!$AS$8:$AS$68,AM$4-$B166+1)</f>
        <v/>
      </c>
      <c r="AN166" s="153">
        <f>$C166*INDEX(Curves!$AS$8:$AS$68,AN$4-$B166+1)</f>
        <v/>
      </c>
      <c r="AO166" s="153">
        <f>$C166*INDEX(Curves!$AS$8:$AS$68,AO$4-$B166+1)</f>
        <v/>
      </c>
      <c r="AP166" s="153">
        <f>$C166*INDEX(Curves!$AS$8:$AS$68,AP$4-$B166+1)</f>
        <v/>
      </c>
      <c r="AQ166" s="153">
        <f>$C166*INDEX(Curves!$AS$8:$AS$68,AQ$4-$B166+1)</f>
        <v/>
      </c>
      <c r="AR166" s="153">
        <f>$C166*INDEX(Curves!$AS$8:$AS$68,AR$4-$B166+1)</f>
        <v/>
      </c>
      <c r="AS166" s="153">
        <f>$C166*INDEX(Curves!$AS$8:$AS$68,AS$4-$B166+1)</f>
        <v/>
      </c>
      <c r="AT166" s="153">
        <f>$C166*INDEX(Curves!$AS$8:$AS$68,AT$4-$B166+1)</f>
        <v/>
      </c>
      <c r="AU166" s="153">
        <f>$C166*INDEX(Curves!$AS$8:$AS$68,AU$4-$B166+1)</f>
        <v/>
      </c>
      <c r="AV166" s="153">
        <f>$C166*INDEX(Curves!$AS$8:$AS$68,AV$4-$B166+1)</f>
        <v/>
      </c>
      <c r="AW166" s="153">
        <f>$C166*INDEX(Curves!$AS$8:$AS$68,AW$4-$B166+1)</f>
        <v/>
      </c>
      <c r="AX166" s="153">
        <f>$C166*INDEX(Curves!$AS$8:$AS$68,AX$4-$B166+1)</f>
        <v/>
      </c>
      <c r="AY166" s="153">
        <f>$C166*INDEX(Curves!$AS$8:$AS$68,AY$4-$B166+1)</f>
        <v/>
      </c>
      <c r="AZ166" s="153">
        <f>$C166*INDEX(Curves!$AS$8:$AS$68,AZ$4-$B166+1)</f>
        <v/>
      </c>
      <c r="BA166" s="153">
        <f>$C166*INDEX(Curves!$AS$8:$AS$68,BA$4-$B166+1)</f>
        <v/>
      </c>
      <c r="BB166" s="153">
        <f>$C166*INDEX(Curves!$AS$8:$AS$68,BB$4-$B166+1)</f>
        <v/>
      </c>
      <c r="BC166" s="153">
        <f>$C166*INDEX(Curves!$AS$8:$AS$68,BC$4-$B166+1)</f>
        <v/>
      </c>
      <c r="BD166" s="153">
        <f>$C166*INDEX(Curves!$AS$8:$AS$68,BD$4-$B166+1)</f>
        <v/>
      </c>
      <c r="BE166" s="153">
        <f>$C166*INDEX(Curves!$AS$8:$AS$68,BE$4-$B166+1)</f>
        <v/>
      </c>
      <c r="BF166" s="153">
        <f>$C166*INDEX(Curves!$AS$8:$AS$68,BF$4-$B166+1)</f>
        <v/>
      </c>
      <c r="BG166" s="153">
        <f>$C166*INDEX(Curves!$AS$8:$AS$68,BG$4-$B166+1)</f>
        <v/>
      </c>
      <c r="BH166" s="153">
        <f>$C166*INDEX(Curves!$AS$8:$AS$68,BH$4-$B166+1)</f>
        <v/>
      </c>
      <c r="BI166" s="153">
        <f>$C166*INDEX(Curves!$AS$8:$AS$68,BI$4-$B166+1)</f>
        <v/>
      </c>
      <c r="BJ166" s="153">
        <f>$C166*INDEX(Curves!$AS$8:$AS$68,BJ$4-$B166+1)</f>
        <v/>
      </c>
      <c r="BK166" s="153">
        <f>$C166*INDEX(Curves!$AS$8:$AS$68,BK$4-$B166+1)</f>
        <v/>
      </c>
      <c r="BL166" s="153">
        <f>$C166*INDEX(Curves!$AS$8:$AS$68,BL$4-$B166+1)</f>
        <v/>
      </c>
    </row>
    <row r="167">
      <c r="A167" s="147" t="inlineStr">
        <is>
          <t>Cohort month 32</t>
        </is>
      </c>
      <c r="B167" s="147" t="n">
        <v>32</v>
      </c>
      <c r="C167" s="41">
        <f>INDEX(Ops!$E$85:$BL$85,1,$B167)</f>
        <v/>
      </c>
      <c r="AK167" s="153">
        <f>$C167*INDEX(Curves!$AS$8:$AS$68,AK$4-$B167+1)</f>
        <v/>
      </c>
      <c r="AL167" s="153">
        <f>$C167*INDEX(Curves!$AS$8:$AS$68,AL$4-$B167+1)</f>
        <v/>
      </c>
      <c r="AM167" s="153">
        <f>$C167*INDEX(Curves!$AS$8:$AS$68,AM$4-$B167+1)</f>
        <v/>
      </c>
      <c r="AN167" s="153">
        <f>$C167*INDEX(Curves!$AS$8:$AS$68,AN$4-$B167+1)</f>
        <v/>
      </c>
      <c r="AO167" s="153">
        <f>$C167*INDEX(Curves!$AS$8:$AS$68,AO$4-$B167+1)</f>
        <v/>
      </c>
      <c r="AP167" s="153">
        <f>$C167*INDEX(Curves!$AS$8:$AS$68,AP$4-$B167+1)</f>
        <v/>
      </c>
      <c r="AQ167" s="153">
        <f>$C167*INDEX(Curves!$AS$8:$AS$68,AQ$4-$B167+1)</f>
        <v/>
      </c>
      <c r="AR167" s="153">
        <f>$C167*INDEX(Curves!$AS$8:$AS$68,AR$4-$B167+1)</f>
        <v/>
      </c>
      <c r="AS167" s="153">
        <f>$C167*INDEX(Curves!$AS$8:$AS$68,AS$4-$B167+1)</f>
        <v/>
      </c>
      <c r="AT167" s="153">
        <f>$C167*INDEX(Curves!$AS$8:$AS$68,AT$4-$B167+1)</f>
        <v/>
      </c>
      <c r="AU167" s="153">
        <f>$C167*INDEX(Curves!$AS$8:$AS$68,AU$4-$B167+1)</f>
        <v/>
      </c>
      <c r="AV167" s="153">
        <f>$C167*INDEX(Curves!$AS$8:$AS$68,AV$4-$B167+1)</f>
        <v/>
      </c>
      <c r="AW167" s="153">
        <f>$C167*INDEX(Curves!$AS$8:$AS$68,AW$4-$B167+1)</f>
        <v/>
      </c>
      <c r="AX167" s="153">
        <f>$C167*INDEX(Curves!$AS$8:$AS$68,AX$4-$B167+1)</f>
        <v/>
      </c>
      <c r="AY167" s="153">
        <f>$C167*INDEX(Curves!$AS$8:$AS$68,AY$4-$B167+1)</f>
        <v/>
      </c>
      <c r="AZ167" s="153">
        <f>$C167*INDEX(Curves!$AS$8:$AS$68,AZ$4-$B167+1)</f>
        <v/>
      </c>
      <c r="BA167" s="153">
        <f>$C167*INDEX(Curves!$AS$8:$AS$68,BA$4-$B167+1)</f>
        <v/>
      </c>
      <c r="BB167" s="153">
        <f>$C167*INDEX(Curves!$AS$8:$AS$68,BB$4-$B167+1)</f>
        <v/>
      </c>
      <c r="BC167" s="153">
        <f>$C167*INDEX(Curves!$AS$8:$AS$68,BC$4-$B167+1)</f>
        <v/>
      </c>
      <c r="BD167" s="153">
        <f>$C167*INDEX(Curves!$AS$8:$AS$68,BD$4-$B167+1)</f>
        <v/>
      </c>
      <c r="BE167" s="153">
        <f>$C167*INDEX(Curves!$AS$8:$AS$68,BE$4-$B167+1)</f>
        <v/>
      </c>
      <c r="BF167" s="153">
        <f>$C167*INDEX(Curves!$AS$8:$AS$68,BF$4-$B167+1)</f>
        <v/>
      </c>
      <c r="BG167" s="153">
        <f>$C167*INDEX(Curves!$AS$8:$AS$68,BG$4-$B167+1)</f>
        <v/>
      </c>
      <c r="BH167" s="153">
        <f>$C167*INDEX(Curves!$AS$8:$AS$68,BH$4-$B167+1)</f>
        <v/>
      </c>
      <c r="BI167" s="153">
        <f>$C167*INDEX(Curves!$AS$8:$AS$68,BI$4-$B167+1)</f>
        <v/>
      </c>
      <c r="BJ167" s="153">
        <f>$C167*INDEX(Curves!$AS$8:$AS$68,BJ$4-$B167+1)</f>
        <v/>
      </c>
      <c r="BK167" s="153">
        <f>$C167*INDEX(Curves!$AS$8:$AS$68,BK$4-$B167+1)</f>
        <v/>
      </c>
      <c r="BL167" s="153">
        <f>$C167*INDEX(Curves!$AS$8:$AS$68,BL$4-$B167+1)</f>
        <v/>
      </c>
    </row>
    <row r="168">
      <c r="A168" s="147" t="inlineStr">
        <is>
          <t>Cohort month 33</t>
        </is>
      </c>
      <c r="B168" s="147" t="n">
        <v>33</v>
      </c>
      <c r="C168" s="41">
        <f>INDEX(Ops!$E$85:$BL$85,1,$B168)</f>
        <v/>
      </c>
      <c r="AL168" s="153">
        <f>$C168*INDEX(Curves!$AS$8:$AS$68,AL$4-$B168+1)</f>
        <v/>
      </c>
      <c r="AM168" s="153">
        <f>$C168*INDEX(Curves!$AS$8:$AS$68,AM$4-$B168+1)</f>
        <v/>
      </c>
      <c r="AN168" s="153">
        <f>$C168*INDEX(Curves!$AS$8:$AS$68,AN$4-$B168+1)</f>
        <v/>
      </c>
      <c r="AO168" s="153">
        <f>$C168*INDEX(Curves!$AS$8:$AS$68,AO$4-$B168+1)</f>
        <v/>
      </c>
      <c r="AP168" s="153">
        <f>$C168*INDEX(Curves!$AS$8:$AS$68,AP$4-$B168+1)</f>
        <v/>
      </c>
      <c r="AQ168" s="153">
        <f>$C168*INDEX(Curves!$AS$8:$AS$68,AQ$4-$B168+1)</f>
        <v/>
      </c>
      <c r="AR168" s="153">
        <f>$C168*INDEX(Curves!$AS$8:$AS$68,AR$4-$B168+1)</f>
        <v/>
      </c>
      <c r="AS168" s="153">
        <f>$C168*INDEX(Curves!$AS$8:$AS$68,AS$4-$B168+1)</f>
        <v/>
      </c>
      <c r="AT168" s="153">
        <f>$C168*INDEX(Curves!$AS$8:$AS$68,AT$4-$B168+1)</f>
        <v/>
      </c>
      <c r="AU168" s="153">
        <f>$C168*INDEX(Curves!$AS$8:$AS$68,AU$4-$B168+1)</f>
        <v/>
      </c>
      <c r="AV168" s="153">
        <f>$C168*INDEX(Curves!$AS$8:$AS$68,AV$4-$B168+1)</f>
        <v/>
      </c>
      <c r="AW168" s="153">
        <f>$C168*INDEX(Curves!$AS$8:$AS$68,AW$4-$B168+1)</f>
        <v/>
      </c>
      <c r="AX168" s="153">
        <f>$C168*INDEX(Curves!$AS$8:$AS$68,AX$4-$B168+1)</f>
        <v/>
      </c>
      <c r="AY168" s="153">
        <f>$C168*INDEX(Curves!$AS$8:$AS$68,AY$4-$B168+1)</f>
        <v/>
      </c>
      <c r="AZ168" s="153">
        <f>$C168*INDEX(Curves!$AS$8:$AS$68,AZ$4-$B168+1)</f>
        <v/>
      </c>
      <c r="BA168" s="153">
        <f>$C168*INDEX(Curves!$AS$8:$AS$68,BA$4-$B168+1)</f>
        <v/>
      </c>
      <c r="BB168" s="153">
        <f>$C168*INDEX(Curves!$AS$8:$AS$68,BB$4-$B168+1)</f>
        <v/>
      </c>
      <c r="BC168" s="153">
        <f>$C168*INDEX(Curves!$AS$8:$AS$68,BC$4-$B168+1)</f>
        <v/>
      </c>
      <c r="BD168" s="153">
        <f>$C168*INDEX(Curves!$AS$8:$AS$68,BD$4-$B168+1)</f>
        <v/>
      </c>
      <c r="BE168" s="153">
        <f>$C168*INDEX(Curves!$AS$8:$AS$68,BE$4-$B168+1)</f>
        <v/>
      </c>
      <c r="BF168" s="153">
        <f>$C168*INDEX(Curves!$AS$8:$AS$68,BF$4-$B168+1)</f>
        <v/>
      </c>
      <c r="BG168" s="153">
        <f>$C168*INDEX(Curves!$AS$8:$AS$68,BG$4-$B168+1)</f>
        <v/>
      </c>
      <c r="BH168" s="153">
        <f>$C168*INDEX(Curves!$AS$8:$AS$68,BH$4-$B168+1)</f>
        <v/>
      </c>
      <c r="BI168" s="153">
        <f>$C168*INDEX(Curves!$AS$8:$AS$68,BI$4-$B168+1)</f>
        <v/>
      </c>
      <c r="BJ168" s="153">
        <f>$C168*INDEX(Curves!$AS$8:$AS$68,BJ$4-$B168+1)</f>
        <v/>
      </c>
      <c r="BK168" s="153">
        <f>$C168*INDEX(Curves!$AS$8:$AS$68,BK$4-$B168+1)</f>
        <v/>
      </c>
      <c r="BL168" s="153">
        <f>$C168*INDEX(Curves!$AS$8:$AS$68,BL$4-$B168+1)</f>
        <v/>
      </c>
    </row>
    <row r="169">
      <c r="A169" s="147" t="inlineStr">
        <is>
          <t>Cohort month 34</t>
        </is>
      </c>
      <c r="B169" s="147" t="n">
        <v>34</v>
      </c>
      <c r="C169" s="41">
        <f>INDEX(Ops!$E$85:$BL$85,1,$B169)</f>
        <v/>
      </c>
      <c r="AM169" s="153">
        <f>$C169*INDEX(Curves!$AS$8:$AS$68,AM$4-$B169+1)</f>
        <v/>
      </c>
      <c r="AN169" s="153">
        <f>$C169*INDEX(Curves!$AS$8:$AS$68,AN$4-$B169+1)</f>
        <v/>
      </c>
      <c r="AO169" s="153">
        <f>$C169*INDEX(Curves!$AS$8:$AS$68,AO$4-$B169+1)</f>
        <v/>
      </c>
      <c r="AP169" s="153">
        <f>$C169*INDEX(Curves!$AS$8:$AS$68,AP$4-$B169+1)</f>
        <v/>
      </c>
      <c r="AQ169" s="153">
        <f>$C169*INDEX(Curves!$AS$8:$AS$68,AQ$4-$B169+1)</f>
        <v/>
      </c>
      <c r="AR169" s="153">
        <f>$C169*INDEX(Curves!$AS$8:$AS$68,AR$4-$B169+1)</f>
        <v/>
      </c>
      <c r="AS169" s="153">
        <f>$C169*INDEX(Curves!$AS$8:$AS$68,AS$4-$B169+1)</f>
        <v/>
      </c>
      <c r="AT169" s="153">
        <f>$C169*INDEX(Curves!$AS$8:$AS$68,AT$4-$B169+1)</f>
        <v/>
      </c>
      <c r="AU169" s="153">
        <f>$C169*INDEX(Curves!$AS$8:$AS$68,AU$4-$B169+1)</f>
        <v/>
      </c>
      <c r="AV169" s="153">
        <f>$C169*INDEX(Curves!$AS$8:$AS$68,AV$4-$B169+1)</f>
        <v/>
      </c>
      <c r="AW169" s="153">
        <f>$C169*INDEX(Curves!$AS$8:$AS$68,AW$4-$B169+1)</f>
        <v/>
      </c>
      <c r="AX169" s="153">
        <f>$C169*INDEX(Curves!$AS$8:$AS$68,AX$4-$B169+1)</f>
        <v/>
      </c>
      <c r="AY169" s="153">
        <f>$C169*INDEX(Curves!$AS$8:$AS$68,AY$4-$B169+1)</f>
        <v/>
      </c>
      <c r="AZ169" s="153">
        <f>$C169*INDEX(Curves!$AS$8:$AS$68,AZ$4-$B169+1)</f>
        <v/>
      </c>
      <c r="BA169" s="153">
        <f>$C169*INDEX(Curves!$AS$8:$AS$68,BA$4-$B169+1)</f>
        <v/>
      </c>
      <c r="BB169" s="153">
        <f>$C169*INDEX(Curves!$AS$8:$AS$68,BB$4-$B169+1)</f>
        <v/>
      </c>
      <c r="BC169" s="153">
        <f>$C169*INDEX(Curves!$AS$8:$AS$68,BC$4-$B169+1)</f>
        <v/>
      </c>
      <c r="BD169" s="153">
        <f>$C169*INDEX(Curves!$AS$8:$AS$68,BD$4-$B169+1)</f>
        <v/>
      </c>
      <c r="BE169" s="153">
        <f>$C169*INDEX(Curves!$AS$8:$AS$68,BE$4-$B169+1)</f>
        <v/>
      </c>
      <c r="BF169" s="153">
        <f>$C169*INDEX(Curves!$AS$8:$AS$68,BF$4-$B169+1)</f>
        <v/>
      </c>
      <c r="BG169" s="153">
        <f>$C169*INDEX(Curves!$AS$8:$AS$68,BG$4-$B169+1)</f>
        <v/>
      </c>
      <c r="BH169" s="153">
        <f>$C169*INDEX(Curves!$AS$8:$AS$68,BH$4-$B169+1)</f>
        <v/>
      </c>
      <c r="BI169" s="153">
        <f>$C169*INDEX(Curves!$AS$8:$AS$68,BI$4-$B169+1)</f>
        <v/>
      </c>
      <c r="BJ169" s="153">
        <f>$C169*INDEX(Curves!$AS$8:$AS$68,BJ$4-$B169+1)</f>
        <v/>
      </c>
      <c r="BK169" s="153">
        <f>$C169*INDEX(Curves!$AS$8:$AS$68,BK$4-$B169+1)</f>
        <v/>
      </c>
      <c r="BL169" s="153">
        <f>$C169*INDEX(Curves!$AS$8:$AS$68,BL$4-$B169+1)</f>
        <v/>
      </c>
    </row>
    <row r="170">
      <c r="A170" s="147" t="inlineStr">
        <is>
          <t>Cohort month 35</t>
        </is>
      </c>
      <c r="B170" s="147" t="n">
        <v>35</v>
      </c>
      <c r="C170" s="41">
        <f>INDEX(Ops!$E$85:$BL$85,1,$B170)</f>
        <v/>
      </c>
      <c r="AN170" s="153">
        <f>$C170*INDEX(Curves!$AS$8:$AS$68,AN$4-$B170+1)</f>
        <v/>
      </c>
      <c r="AO170" s="153">
        <f>$C170*INDEX(Curves!$AS$8:$AS$68,AO$4-$B170+1)</f>
        <v/>
      </c>
      <c r="AP170" s="153">
        <f>$C170*INDEX(Curves!$AS$8:$AS$68,AP$4-$B170+1)</f>
        <v/>
      </c>
      <c r="AQ170" s="153">
        <f>$C170*INDEX(Curves!$AS$8:$AS$68,AQ$4-$B170+1)</f>
        <v/>
      </c>
      <c r="AR170" s="153">
        <f>$C170*INDEX(Curves!$AS$8:$AS$68,AR$4-$B170+1)</f>
        <v/>
      </c>
      <c r="AS170" s="153">
        <f>$C170*INDEX(Curves!$AS$8:$AS$68,AS$4-$B170+1)</f>
        <v/>
      </c>
      <c r="AT170" s="153">
        <f>$C170*INDEX(Curves!$AS$8:$AS$68,AT$4-$B170+1)</f>
        <v/>
      </c>
      <c r="AU170" s="153">
        <f>$C170*INDEX(Curves!$AS$8:$AS$68,AU$4-$B170+1)</f>
        <v/>
      </c>
      <c r="AV170" s="153">
        <f>$C170*INDEX(Curves!$AS$8:$AS$68,AV$4-$B170+1)</f>
        <v/>
      </c>
      <c r="AW170" s="153">
        <f>$C170*INDEX(Curves!$AS$8:$AS$68,AW$4-$B170+1)</f>
        <v/>
      </c>
      <c r="AX170" s="153">
        <f>$C170*INDEX(Curves!$AS$8:$AS$68,AX$4-$B170+1)</f>
        <v/>
      </c>
      <c r="AY170" s="153">
        <f>$C170*INDEX(Curves!$AS$8:$AS$68,AY$4-$B170+1)</f>
        <v/>
      </c>
      <c r="AZ170" s="153">
        <f>$C170*INDEX(Curves!$AS$8:$AS$68,AZ$4-$B170+1)</f>
        <v/>
      </c>
      <c r="BA170" s="153">
        <f>$C170*INDEX(Curves!$AS$8:$AS$68,BA$4-$B170+1)</f>
        <v/>
      </c>
      <c r="BB170" s="153">
        <f>$C170*INDEX(Curves!$AS$8:$AS$68,BB$4-$B170+1)</f>
        <v/>
      </c>
      <c r="BC170" s="153">
        <f>$C170*INDEX(Curves!$AS$8:$AS$68,BC$4-$B170+1)</f>
        <v/>
      </c>
      <c r="BD170" s="153">
        <f>$C170*INDEX(Curves!$AS$8:$AS$68,BD$4-$B170+1)</f>
        <v/>
      </c>
      <c r="BE170" s="153">
        <f>$C170*INDEX(Curves!$AS$8:$AS$68,BE$4-$B170+1)</f>
        <v/>
      </c>
      <c r="BF170" s="153">
        <f>$C170*INDEX(Curves!$AS$8:$AS$68,BF$4-$B170+1)</f>
        <v/>
      </c>
      <c r="BG170" s="153">
        <f>$C170*INDEX(Curves!$AS$8:$AS$68,BG$4-$B170+1)</f>
        <v/>
      </c>
      <c r="BH170" s="153">
        <f>$C170*INDEX(Curves!$AS$8:$AS$68,BH$4-$B170+1)</f>
        <v/>
      </c>
      <c r="BI170" s="153">
        <f>$C170*INDEX(Curves!$AS$8:$AS$68,BI$4-$B170+1)</f>
        <v/>
      </c>
      <c r="BJ170" s="153">
        <f>$C170*INDEX(Curves!$AS$8:$AS$68,BJ$4-$B170+1)</f>
        <v/>
      </c>
      <c r="BK170" s="153">
        <f>$C170*INDEX(Curves!$AS$8:$AS$68,BK$4-$B170+1)</f>
        <v/>
      </c>
      <c r="BL170" s="153">
        <f>$C170*INDEX(Curves!$AS$8:$AS$68,BL$4-$B170+1)</f>
        <v/>
      </c>
    </row>
    <row r="171">
      <c r="A171" s="147" t="inlineStr">
        <is>
          <t>Cohort month 36</t>
        </is>
      </c>
      <c r="B171" s="147" t="n">
        <v>36</v>
      </c>
      <c r="C171" s="41">
        <f>INDEX(Ops!$E$85:$BL$85,1,$B171)</f>
        <v/>
      </c>
      <c r="AO171" s="153">
        <f>$C171*INDEX(Curves!$AS$8:$AS$68,AO$4-$B171+1)</f>
        <v/>
      </c>
      <c r="AP171" s="153">
        <f>$C171*INDEX(Curves!$AS$8:$AS$68,AP$4-$B171+1)</f>
        <v/>
      </c>
      <c r="AQ171" s="153">
        <f>$C171*INDEX(Curves!$AS$8:$AS$68,AQ$4-$B171+1)</f>
        <v/>
      </c>
      <c r="AR171" s="153">
        <f>$C171*INDEX(Curves!$AS$8:$AS$68,AR$4-$B171+1)</f>
        <v/>
      </c>
      <c r="AS171" s="153">
        <f>$C171*INDEX(Curves!$AS$8:$AS$68,AS$4-$B171+1)</f>
        <v/>
      </c>
      <c r="AT171" s="153">
        <f>$C171*INDEX(Curves!$AS$8:$AS$68,AT$4-$B171+1)</f>
        <v/>
      </c>
      <c r="AU171" s="153">
        <f>$C171*INDEX(Curves!$AS$8:$AS$68,AU$4-$B171+1)</f>
        <v/>
      </c>
      <c r="AV171" s="153">
        <f>$C171*INDEX(Curves!$AS$8:$AS$68,AV$4-$B171+1)</f>
        <v/>
      </c>
      <c r="AW171" s="153">
        <f>$C171*INDEX(Curves!$AS$8:$AS$68,AW$4-$B171+1)</f>
        <v/>
      </c>
      <c r="AX171" s="153">
        <f>$C171*INDEX(Curves!$AS$8:$AS$68,AX$4-$B171+1)</f>
        <v/>
      </c>
      <c r="AY171" s="153">
        <f>$C171*INDEX(Curves!$AS$8:$AS$68,AY$4-$B171+1)</f>
        <v/>
      </c>
      <c r="AZ171" s="153">
        <f>$C171*INDEX(Curves!$AS$8:$AS$68,AZ$4-$B171+1)</f>
        <v/>
      </c>
      <c r="BA171" s="153">
        <f>$C171*INDEX(Curves!$AS$8:$AS$68,BA$4-$B171+1)</f>
        <v/>
      </c>
      <c r="BB171" s="153">
        <f>$C171*INDEX(Curves!$AS$8:$AS$68,BB$4-$B171+1)</f>
        <v/>
      </c>
      <c r="BC171" s="153">
        <f>$C171*INDEX(Curves!$AS$8:$AS$68,BC$4-$B171+1)</f>
        <v/>
      </c>
      <c r="BD171" s="153">
        <f>$C171*INDEX(Curves!$AS$8:$AS$68,BD$4-$B171+1)</f>
        <v/>
      </c>
      <c r="BE171" s="153">
        <f>$C171*INDEX(Curves!$AS$8:$AS$68,BE$4-$B171+1)</f>
        <v/>
      </c>
      <c r="BF171" s="153">
        <f>$C171*INDEX(Curves!$AS$8:$AS$68,BF$4-$B171+1)</f>
        <v/>
      </c>
      <c r="BG171" s="153">
        <f>$C171*INDEX(Curves!$AS$8:$AS$68,BG$4-$B171+1)</f>
        <v/>
      </c>
      <c r="BH171" s="153">
        <f>$C171*INDEX(Curves!$AS$8:$AS$68,BH$4-$B171+1)</f>
        <v/>
      </c>
      <c r="BI171" s="153">
        <f>$C171*INDEX(Curves!$AS$8:$AS$68,BI$4-$B171+1)</f>
        <v/>
      </c>
      <c r="BJ171" s="153">
        <f>$C171*INDEX(Curves!$AS$8:$AS$68,BJ$4-$B171+1)</f>
        <v/>
      </c>
      <c r="BK171" s="153">
        <f>$C171*INDEX(Curves!$AS$8:$AS$68,BK$4-$B171+1)</f>
        <v/>
      </c>
      <c r="BL171" s="153">
        <f>$C171*INDEX(Curves!$AS$8:$AS$68,BL$4-$B171+1)</f>
        <v/>
      </c>
    </row>
    <row r="172">
      <c r="A172" s="147" t="inlineStr">
        <is>
          <t>Cohort month 37</t>
        </is>
      </c>
      <c r="B172" s="147" t="n">
        <v>37</v>
      </c>
      <c r="C172" s="41">
        <f>INDEX(Ops!$E$85:$BL$85,1,$B172)</f>
        <v/>
      </c>
      <c r="AP172" s="153">
        <f>$C172*INDEX(Curves!$AS$8:$AS$68,AP$4-$B172+1)</f>
        <v/>
      </c>
      <c r="AQ172" s="153">
        <f>$C172*INDEX(Curves!$AS$8:$AS$68,AQ$4-$B172+1)</f>
        <v/>
      </c>
      <c r="AR172" s="153">
        <f>$C172*INDEX(Curves!$AS$8:$AS$68,AR$4-$B172+1)</f>
        <v/>
      </c>
      <c r="AS172" s="153">
        <f>$C172*INDEX(Curves!$AS$8:$AS$68,AS$4-$B172+1)</f>
        <v/>
      </c>
      <c r="AT172" s="153">
        <f>$C172*INDEX(Curves!$AS$8:$AS$68,AT$4-$B172+1)</f>
        <v/>
      </c>
      <c r="AU172" s="153">
        <f>$C172*INDEX(Curves!$AS$8:$AS$68,AU$4-$B172+1)</f>
        <v/>
      </c>
      <c r="AV172" s="153">
        <f>$C172*INDEX(Curves!$AS$8:$AS$68,AV$4-$B172+1)</f>
        <v/>
      </c>
      <c r="AW172" s="153">
        <f>$C172*INDEX(Curves!$AS$8:$AS$68,AW$4-$B172+1)</f>
        <v/>
      </c>
      <c r="AX172" s="153">
        <f>$C172*INDEX(Curves!$AS$8:$AS$68,AX$4-$B172+1)</f>
        <v/>
      </c>
      <c r="AY172" s="153">
        <f>$C172*INDEX(Curves!$AS$8:$AS$68,AY$4-$B172+1)</f>
        <v/>
      </c>
      <c r="AZ172" s="153">
        <f>$C172*INDEX(Curves!$AS$8:$AS$68,AZ$4-$B172+1)</f>
        <v/>
      </c>
      <c r="BA172" s="153">
        <f>$C172*INDEX(Curves!$AS$8:$AS$68,BA$4-$B172+1)</f>
        <v/>
      </c>
      <c r="BB172" s="153">
        <f>$C172*INDEX(Curves!$AS$8:$AS$68,BB$4-$B172+1)</f>
        <v/>
      </c>
      <c r="BC172" s="153">
        <f>$C172*INDEX(Curves!$AS$8:$AS$68,BC$4-$B172+1)</f>
        <v/>
      </c>
      <c r="BD172" s="153">
        <f>$C172*INDEX(Curves!$AS$8:$AS$68,BD$4-$B172+1)</f>
        <v/>
      </c>
      <c r="BE172" s="153">
        <f>$C172*INDEX(Curves!$AS$8:$AS$68,BE$4-$B172+1)</f>
        <v/>
      </c>
      <c r="BF172" s="153">
        <f>$C172*INDEX(Curves!$AS$8:$AS$68,BF$4-$B172+1)</f>
        <v/>
      </c>
      <c r="BG172" s="153">
        <f>$C172*INDEX(Curves!$AS$8:$AS$68,BG$4-$B172+1)</f>
        <v/>
      </c>
      <c r="BH172" s="153">
        <f>$C172*INDEX(Curves!$AS$8:$AS$68,BH$4-$B172+1)</f>
        <v/>
      </c>
      <c r="BI172" s="153">
        <f>$C172*INDEX(Curves!$AS$8:$AS$68,BI$4-$B172+1)</f>
        <v/>
      </c>
      <c r="BJ172" s="153">
        <f>$C172*INDEX(Curves!$AS$8:$AS$68,BJ$4-$B172+1)</f>
        <v/>
      </c>
      <c r="BK172" s="153">
        <f>$C172*INDEX(Curves!$AS$8:$AS$68,BK$4-$B172+1)</f>
        <v/>
      </c>
      <c r="BL172" s="153">
        <f>$C172*INDEX(Curves!$AS$8:$AS$68,BL$4-$B172+1)</f>
        <v/>
      </c>
    </row>
    <row r="173">
      <c r="A173" s="147" t="inlineStr">
        <is>
          <t>Cohort month 38</t>
        </is>
      </c>
      <c r="B173" s="147" t="n">
        <v>38</v>
      </c>
      <c r="C173" s="41">
        <f>INDEX(Ops!$E$85:$BL$85,1,$B173)</f>
        <v/>
      </c>
      <c r="AQ173" s="153">
        <f>$C173*INDEX(Curves!$AS$8:$AS$68,AQ$4-$B173+1)</f>
        <v/>
      </c>
      <c r="AR173" s="153">
        <f>$C173*INDEX(Curves!$AS$8:$AS$68,AR$4-$B173+1)</f>
        <v/>
      </c>
      <c r="AS173" s="153">
        <f>$C173*INDEX(Curves!$AS$8:$AS$68,AS$4-$B173+1)</f>
        <v/>
      </c>
      <c r="AT173" s="153">
        <f>$C173*INDEX(Curves!$AS$8:$AS$68,AT$4-$B173+1)</f>
        <v/>
      </c>
      <c r="AU173" s="153">
        <f>$C173*INDEX(Curves!$AS$8:$AS$68,AU$4-$B173+1)</f>
        <v/>
      </c>
      <c r="AV173" s="153">
        <f>$C173*INDEX(Curves!$AS$8:$AS$68,AV$4-$B173+1)</f>
        <v/>
      </c>
      <c r="AW173" s="153">
        <f>$C173*INDEX(Curves!$AS$8:$AS$68,AW$4-$B173+1)</f>
        <v/>
      </c>
      <c r="AX173" s="153">
        <f>$C173*INDEX(Curves!$AS$8:$AS$68,AX$4-$B173+1)</f>
        <v/>
      </c>
      <c r="AY173" s="153">
        <f>$C173*INDEX(Curves!$AS$8:$AS$68,AY$4-$B173+1)</f>
        <v/>
      </c>
      <c r="AZ173" s="153">
        <f>$C173*INDEX(Curves!$AS$8:$AS$68,AZ$4-$B173+1)</f>
        <v/>
      </c>
      <c r="BA173" s="153">
        <f>$C173*INDEX(Curves!$AS$8:$AS$68,BA$4-$B173+1)</f>
        <v/>
      </c>
      <c r="BB173" s="153">
        <f>$C173*INDEX(Curves!$AS$8:$AS$68,BB$4-$B173+1)</f>
        <v/>
      </c>
      <c r="BC173" s="153">
        <f>$C173*INDEX(Curves!$AS$8:$AS$68,BC$4-$B173+1)</f>
        <v/>
      </c>
      <c r="BD173" s="153">
        <f>$C173*INDEX(Curves!$AS$8:$AS$68,BD$4-$B173+1)</f>
        <v/>
      </c>
      <c r="BE173" s="153">
        <f>$C173*INDEX(Curves!$AS$8:$AS$68,BE$4-$B173+1)</f>
        <v/>
      </c>
      <c r="BF173" s="153">
        <f>$C173*INDEX(Curves!$AS$8:$AS$68,BF$4-$B173+1)</f>
        <v/>
      </c>
      <c r="BG173" s="153">
        <f>$C173*INDEX(Curves!$AS$8:$AS$68,BG$4-$B173+1)</f>
        <v/>
      </c>
      <c r="BH173" s="153">
        <f>$C173*INDEX(Curves!$AS$8:$AS$68,BH$4-$B173+1)</f>
        <v/>
      </c>
      <c r="BI173" s="153">
        <f>$C173*INDEX(Curves!$AS$8:$AS$68,BI$4-$B173+1)</f>
        <v/>
      </c>
      <c r="BJ173" s="153">
        <f>$C173*INDEX(Curves!$AS$8:$AS$68,BJ$4-$B173+1)</f>
        <v/>
      </c>
      <c r="BK173" s="153">
        <f>$C173*INDEX(Curves!$AS$8:$AS$68,BK$4-$B173+1)</f>
        <v/>
      </c>
      <c r="BL173" s="153">
        <f>$C173*INDEX(Curves!$AS$8:$AS$68,BL$4-$B173+1)</f>
        <v/>
      </c>
    </row>
    <row r="174">
      <c r="A174" s="147" t="inlineStr">
        <is>
          <t>Cohort month 39</t>
        </is>
      </c>
      <c r="B174" s="147" t="n">
        <v>39</v>
      </c>
      <c r="C174" s="41">
        <f>INDEX(Ops!$E$85:$BL$85,1,$B174)</f>
        <v/>
      </c>
      <c r="AR174" s="153">
        <f>$C174*INDEX(Curves!$AS$8:$AS$68,AR$4-$B174+1)</f>
        <v/>
      </c>
      <c r="AS174" s="153">
        <f>$C174*INDEX(Curves!$AS$8:$AS$68,AS$4-$B174+1)</f>
        <v/>
      </c>
      <c r="AT174" s="153">
        <f>$C174*INDEX(Curves!$AS$8:$AS$68,AT$4-$B174+1)</f>
        <v/>
      </c>
      <c r="AU174" s="153">
        <f>$C174*INDEX(Curves!$AS$8:$AS$68,AU$4-$B174+1)</f>
        <v/>
      </c>
      <c r="AV174" s="153">
        <f>$C174*INDEX(Curves!$AS$8:$AS$68,AV$4-$B174+1)</f>
        <v/>
      </c>
      <c r="AW174" s="153">
        <f>$C174*INDEX(Curves!$AS$8:$AS$68,AW$4-$B174+1)</f>
        <v/>
      </c>
      <c r="AX174" s="153">
        <f>$C174*INDEX(Curves!$AS$8:$AS$68,AX$4-$B174+1)</f>
        <v/>
      </c>
      <c r="AY174" s="153">
        <f>$C174*INDEX(Curves!$AS$8:$AS$68,AY$4-$B174+1)</f>
        <v/>
      </c>
      <c r="AZ174" s="153">
        <f>$C174*INDEX(Curves!$AS$8:$AS$68,AZ$4-$B174+1)</f>
        <v/>
      </c>
      <c r="BA174" s="153">
        <f>$C174*INDEX(Curves!$AS$8:$AS$68,BA$4-$B174+1)</f>
        <v/>
      </c>
      <c r="BB174" s="153">
        <f>$C174*INDEX(Curves!$AS$8:$AS$68,BB$4-$B174+1)</f>
        <v/>
      </c>
      <c r="BC174" s="153">
        <f>$C174*INDEX(Curves!$AS$8:$AS$68,BC$4-$B174+1)</f>
        <v/>
      </c>
      <c r="BD174" s="153">
        <f>$C174*INDEX(Curves!$AS$8:$AS$68,BD$4-$B174+1)</f>
        <v/>
      </c>
      <c r="BE174" s="153">
        <f>$C174*INDEX(Curves!$AS$8:$AS$68,BE$4-$B174+1)</f>
        <v/>
      </c>
      <c r="BF174" s="153">
        <f>$C174*INDEX(Curves!$AS$8:$AS$68,BF$4-$B174+1)</f>
        <v/>
      </c>
      <c r="BG174" s="153">
        <f>$C174*INDEX(Curves!$AS$8:$AS$68,BG$4-$B174+1)</f>
        <v/>
      </c>
      <c r="BH174" s="153">
        <f>$C174*INDEX(Curves!$AS$8:$AS$68,BH$4-$B174+1)</f>
        <v/>
      </c>
      <c r="BI174" s="153">
        <f>$C174*INDEX(Curves!$AS$8:$AS$68,BI$4-$B174+1)</f>
        <v/>
      </c>
      <c r="BJ174" s="153">
        <f>$C174*INDEX(Curves!$AS$8:$AS$68,BJ$4-$B174+1)</f>
        <v/>
      </c>
      <c r="BK174" s="153">
        <f>$C174*INDEX(Curves!$AS$8:$AS$68,BK$4-$B174+1)</f>
        <v/>
      </c>
      <c r="BL174" s="153">
        <f>$C174*INDEX(Curves!$AS$8:$AS$68,BL$4-$B174+1)</f>
        <v/>
      </c>
    </row>
    <row r="175">
      <c r="A175" s="147" t="inlineStr">
        <is>
          <t>Cohort month 40</t>
        </is>
      </c>
      <c r="B175" s="147" t="n">
        <v>40</v>
      </c>
      <c r="C175" s="41">
        <f>INDEX(Ops!$E$85:$BL$85,1,$B175)</f>
        <v/>
      </c>
      <c r="AS175" s="153">
        <f>$C175*INDEX(Curves!$AS$8:$AS$68,AS$4-$B175+1)</f>
        <v/>
      </c>
      <c r="AT175" s="153">
        <f>$C175*INDEX(Curves!$AS$8:$AS$68,AT$4-$B175+1)</f>
        <v/>
      </c>
      <c r="AU175" s="153">
        <f>$C175*INDEX(Curves!$AS$8:$AS$68,AU$4-$B175+1)</f>
        <v/>
      </c>
      <c r="AV175" s="153">
        <f>$C175*INDEX(Curves!$AS$8:$AS$68,AV$4-$B175+1)</f>
        <v/>
      </c>
      <c r="AW175" s="153">
        <f>$C175*INDEX(Curves!$AS$8:$AS$68,AW$4-$B175+1)</f>
        <v/>
      </c>
      <c r="AX175" s="153">
        <f>$C175*INDEX(Curves!$AS$8:$AS$68,AX$4-$B175+1)</f>
        <v/>
      </c>
      <c r="AY175" s="153">
        <f>$C175*INDEX(Curves!$AS$8:$AS$68,AY$4-$B175+1)</f>
        <v/>
      </c>
      <c r="AZ175" s="153">
        <f>$C175*INDEX(Curves!$AS$8:$AS$68,AZ$4-$B175+1)</f>
        <v/>
      </c>
      <c r="BA175" s="153">
        <f>$C175*INDEX(Curves!$AS$8:$AS$68,BA$4-$B175+1)</f>
        <v/>
      </c>
      <c r="BB175" s="153">
        <f>$C175*INDEX(Curves!$AS$8:$AS$68,BB$4-$B175+1)</f>
        <v/>
      </c>
      <c r="BC175" s="153">
        <f>$C175*INDEX(Curves!$AS$8:$AS$68,BC$4-$B175+1)</f>
        <v/>
      </c>
      <c r="BD175" s="153">
        <f>$C175*INDEX(Curves!$AS$8:$AS$68,BD$4-$B175+1)</f>
        <v/>
      </c>
      <c r="BE175" s="153">
        <f>$C175*INDEX(Curves!$AS$8:$AS$68,BE$4-$B175+1)</f>
        <v/>
      </c>
      <c r="BF175" s="153">
        <f>$C175*INDEX(Curves!$AS$8:$AS$68,BF$4-$B175+1)</f>
        <v/>
      </c>
      <c r="BG175" s="153">
        <f>$C175*INDEX(Curves!$AS$8:$AS$68,BG$4-$B175+1)</f>
        <v/>
      </c>
      <c r="BH175" s="153">
        <f>$C175*INDEX(Curves!$AS$8:$AS$68,BH$4-$B175+1)</f>
        <v/>
      </c>
      <c r="BI175" s="153">
        <f>$C175*INDEX(Curves!$AS$8:$AS$68,BI$4-$B175+1)</f>
        <v/>
      </c>
      <c r="BJ175" s="153">
        <f>$C175*INDEX(Curves!$AS$8:$AS$68,BJ$4-$B175+1)</f>
        <v/>
      </c>
      <c r="BK175" s="153">
        <f>$C175*INDEX(Curves!$AS$8:$AS$68,BK$4-$B175+1)</f>
        <v/>
      </c>
      <c r="BL175" s="153">
        <f>$C175*INDEX(Curves!$AS$8:$AS$68,BL$4-$B175+1)</f>
        <v/>
      </c>
    </row>
    <row r="176">
      <c r="A176" s="147" t="inlineStr">
        <is>
          <t>Cohort month 41</t>
        </is>
      </c>
      <c r="B176" s="147" t="n">
        <v>41</v>
      </c>
      <c r="C176" s="41">
        <f>INDEX(Ops!$E$85:$BL$85,1,$B176)</f>
        <v/>
      </c>
      <c r="AT176" s="153">
        <f>$C176*INDEX(Curves!$AS$8:$AS$68,AT$4-$B176+1)</f>
        <v/>
      </c>
      <c r="AU176" s="153">
        <f>$C176*INDEX(Curves!$AS$8:$AS$68,AU$4-$B176+1)</f>
        <v/>
      </c>
      <c r="AV176" s="153">
        <f>$C176*INDEX(Curves!$AS$8:$AS$68,AV$4-$B176+1)</f>
        <v/>
      </c>
      <c r="AW176" s="153">
        <f>$C176*INDEX(Curves!$AS$8:$AS$68,AW$4-$B176+1)</f>
        <v/>
      </c>
      <c r="AX176" s="153">
        <f>$C176*INDEX(Curves!$AS$8:$AS$68,AX$4-$B176+1)</f>
        <v/>
      </c>
      <c r="AY176" s="153">
        <f>$C176*INDEX(Curves!$AS$8:$AS$68,AY$4-$B176+1)</f>
        <v/>
      </c>
      <c r="AZ176" s="153">
        <f>$C176*INDEX(Curves!$AS$8:$AS$68,AZ$4-$B176+1)</f>
        <v/>
      </c>
      <c r="BA176" s="153">
        <f>$C176*INDEX(Curves!$AS$8:$AS$68,BA$4-$B176+1)</f>
        <v/>
      </c>
      <c r="BB176" s="153">
        <f>$C176*INDEX(Curves!$AS$8:$AS$68,BB$4-$B176+1)</f>
        <v/>
      </c>
      <c r="BC176" s="153">
        <f>$C176*INDEX(Curves!$AS$8:$AS$68,BC$4-$B176+1)</f>
        <v/>
      </c>
      <c r="BD176" s="153">
        <f>$C176*INDEX(Curves!$AS$8:$AS$68,BD$4-$B176+1)</f>
        <v/>
      </c>
      <c r="BE176" s="153">
        <f>$C176*INDEX(Curves!$AS$8:$AS$68,BE$4-$B176+1)</f>
        <v/>
      </c>
      <c r="BF176" s="153">
        <f>$C176*INDEX(Curves!$AS$8:$AS$68,BF$4-$B176+1)</f>
        <v/>
      </c>
      <c r="BG176" s="153">
        <f>$C176*INDEX(Curves!$AS$8:$AS$68,BG$4-$B176+1)</f>
        <v/>
      </c>
      <c r="BH176" s="153">
        <f>$C176*INDEX(Curves!$AS$8:$AS$68,BH$4-$B176+1)</f>
        <v/>
      </c>
      <c r="BI176" s="153">
        <f>$C176*INDEX(Curves!$AS$8:$AS$68,BI$4-$B176+1)</f>
        <v/>
      </c>
      <c r="BJ176" s="153">
        <f>$C176*INDEX(Curves!$AS$8:$AS$68,BJ$4-$B176+1)</f>
        <v/>
      </c>
      <c r="BK176" s="153">
        <f>$C176*INDEX(Curves!$AS$8:$AS$68,BK$4-$B176+1)</f>
        <v/>
      </c>
      <c r="BL176" s="153">
        <f>$C176*INDEX(Curves!$AS$8:$AS$68,BL$4-$B176+1)</f>
        <v/>
      </c>
    </row>
    <row r="177">
      <c r="A177" s="147" t="inlineStr">
        <is>
          <t>Cohort month 42</t>
        </is>
      </c>
      <c r="B177" s="147" t="n">
        <v>42</v>
      </c>
      <c r="C177" s="41">
        <f>INDEX(Ops!$E$85:$BL$85,1,$B177)</f>
        <v/>
      </c>
      <c r="AU177" s="153">
        <f>$C177*INDEX(Curves!$AS$8:$AS$68,AU$4-$B177+1)</f>
        <v/>
      </c>
      <c r="AV177" s="153">
        <f>$C177*INDEX(Curves!$AS$8:$AS$68,AV$4-$B177+1)</f>
        <v/>
      </c>
      <c r="AW177" s="153">
        <f>$C177*INDEX(Curves!$AS$8:$AS$68,AW$4-$B177+1)</f>
        <v/>
      </c>
      <c r="AX177" s="153">
        <f>$C177*INDEX(Curves!$AS$8:$AS$68,AX$4-$B177+1)</f>
        <v/>
      </c>
      <c r="AY177" s="153">
        <f>$C177*INDEX(Curves!$AS$8:$AS$68,AY$4-$B177+1)</f>
        <v/>
      </c>
      <c r="AZ177" s="153">
        <f>$C177*INDEX(Curves!$AS$8:$AS$68,AZ$4-$B177+1)</f>
        <v/>
      </c>
      <c r="BA177" s="153">
        <f>$C177*INDEX(Curves!$AS$8:$AS$68,BA$4-$B177+1)</f>
        <v/>
      </c>
      <c r="BB177" s="153">
        <f>$C177*INDEX(Curves!$AS$8:$AS$68,BB$4-$B177+1)</f>
        <v/>
      </c>
      <c r="BC177" s="153">
        <f>$C177*INDEX(Curves!$AS$8:$AS$68,BC$4-$B177+1)</f>
        <v/>
      </c>
      <c r="BD177" s="153">
        <f>$C177*INDEX(Curves!$AS$8:$AS$68,BD$4-$B177+1)</f>
        <v/>
      </c>
      <c r="BE177" s="153">
        <f>$C177*INDEX(Curves!$AS$8:$AS$68,BE$4-$B177+1)</f>
        <v/>
      </c>
      <c r="BF177" s="153">
        <f>$C177*INDEX(Curves!$AS$8:$AS$68,BF$4-$B177+1)</f>
        <v/>
      </c>
      <c r="BG177" s="153">
        <f>$C177*INDEX(Curves!$AS$8:$AS$68,BG$4-$B177+1)</f>
        <v/>
      </c>
      <c r="BH177" s="153">
        <f>$C177*INDEX(Curves!$AS$8:$AS$68,BH$4-$B177+1)</f>
        <v/>
      </c>
      <c r="BI177" s="153">
        <f>$C177*INDEX(Curves!$AS$8:$AS$68,BI$4-$B177+1)</f>
        <v/>
      </c>
      <c r="BJ177" s="153">
        <f>$C177*INDEX(Curves!$AS$8:$AS$68,BJ$4-$B177+1)</f>
        <v/>
      </c>
      <c r="BK177" s="153">
        <f>$C177*INDEX(Curves!$AS$8:$AS$68,BK$4-$B177+1)</f>
        <v/>
      </c>
      <c r="BL177" s="153">
        <f>$C177*INDEX(Curves!$AS$8:$AS$68,BL$4-$B177+1)</f>
        <v/>
      </c>
    </row>
    <row r="178">
      <c r="A178" s="147" t="inlineStr">
        <is>
          <t>Cohort month 43</t>
        </is>
      </c>
      <c r="B178" s="147" t="n">
        <v>43</v>
      </c>
      <c r="C178" s="41">
        <f>INDEX(Ops!$E$85:$BL$85,1,$B178)</f>
        <v/>
      </c>
      <c r="AV178" s="153">
        <f>$C178*INDEX(Curves!$AS$8:$AS$68,AV$4-$B178+1)</f>
        <v/>
      </c>
      <c r="AW178" s="153">
        <f>$C178*INDEX(Curves!$AS$8:$AS$68,AW$4-$B178+1)</f>
        <v/>
      </c>
      <c r="AX178" s="153">
        <f>$C178*INDEX(Curves!$AS$8:$AS$68,AX$4-$B178+1)</f>
        <v/>
      </c>
      <c r="AY178" s="153">
        <f>$C178*INDEX(Curves!$AS$8:$AS$68,AY$4-$B178+1)</f>
        <v/>
      </c>
      <c r="AZ178" s="153">
        <f>$C178*INDEX(Curves!$AS$8:$AS$68,AZ$4-$B178+1)</f>
        <v/>
      </c>
      <c r="BA178" s="153">
        <f>$C178*INDEX(Curves!$AS$8:$AS$68,BA$4-$B178+1)</f>
        <v/>
      </c>
      <c r="BB178" s="153">
        <f>$C178*INDEX(Curves!$AS$8:$AS$68,BB$4-$B178+1)</f>
        <v/>
      </c>
      <c r="BC178" s="153">
        <f>$C178*INDEX(Curves!$AS$8:$AS$68,BC$4-$B178+1)</f>
        <v/>
      </c>
      <c r="BD178" s="153">
        <f>$C178*INDEX(Curves!$AS$8:$AS$68,BD$4-$B178+1)</f>
        <v/>
      </c>
      <c r="BE178" s="153">
        <f>$C178*INDEX(Curves!$AS$8:$AS$68,BE$4-$B178+1)</f>
        <v/>
      </c>
      <c r="BF178" s="153">
        <f>$C178*INDEX(Curves!$AS$8:$AS$68,BF$4-$B178+1)</f>
        <v/>
      </c>
      <c r="BG178" s="153">
        <f>$C178*INDEX(Curves!$AS$8:$AS$68,BG$4-$B178+1)</f>
        <v/>
      </c>
      <c r="BH178" s="153">
        <f>$C178*INDEX(Curves!$AS$8:$AS$68,BH$4-$B178+1)</f>
        <v/>
      </c>
      <c r="BI178" s="153">
        <f>$C178*INDEX(Curves!$AS$8:$AS$68,BI$4-$B178+1)</f>
        <v/>
      </c>
      <c r="BJ178" s="153">
        <f>$C178*INDEX(Curves!$AS$8:$AS$68,BJ$4-$B178+1)</f>
        <v/>
      </c>
      <c r="BK178" s="153">
        <f>$C178*INDEX(Curves!$AS$8:$AS$68,BK$4-$B178+1)</f>
        <v/>
      </c>
      <c r="BL178" s="153">
        <f>$C178*INDEX(Curves!$AS$8:$AS$68,BL$4-$B178+1)</f>
        <v/>
      </c>
    </row>
    <row r="179">
      <c r="A179" s="147" t="inlineStr">
        <is>
          <t>Cohort month 44</t>
        </is>
      </c>
      <c r="B179" s="147" t="n">
        <v>44</v>
      </c>
      <c r="C179" s="41">
        <f>INDEX(Ops!$E$85:$BL$85,1,$B179)</f>
        <v/>
      </c>
      <c r="AW179" s="153">
        <f>$C179*INDEX(Curves!$AS$8:$AS$68,AW$4-$B179+1)</f>
        <v/>
      </c>
      <c r="AX179" s="153">
        <f>$C179*INDEX(Curves!$AS$8:$AS$68,AX$4-$B179+1)</f>
        <v/>
      </c>
      <c r="AY179" s="153">
        <f>$C179*INDEX(Curves!$AS$8:$AS$68,AY$4-$B179+1)</f>
        <v/>
      </c>
      <c r="AZ179" s="153">
        <f>$C179*INDEX(Curves!$AS$8:$AS$68,AZ$4-$B179+1)</f>
        <v/>
      </c>
      <c r="BA179" s="153">
        <f>$C179*INDEX(Curves!$AS$8:$AS$68,BA$4-$B179+1)</f>
        <v/>
      </c>
      <c r="BB179" s="153">
        <f>$C179*INDEX(Curves!$AS$8:$AS$68,BB$4-$B179+1)</f>
        <v/>
      </c>
      <c r="BC179" s="153">
        <f>$C179*INDEX(Curves!$AS$8:$AS$68,BC$4-$B179+1)</f>
        <v/>
      </c>
      <c r="BD179" s="153">
        <f>$C179*INDEX(Curves!$AS$8:$AS$68,BD$4-$B179+1)</f>
        <v/>
      </c>
      <c r="BE179" s="153">
        <f>$C179*INDEX(Curves!$AS$8:$AS$68,BE$4-$B179+1)</f>
        <v/>
      </c>
      <c r="BF179" s="153">
        <f>$C179*INDEX(Curves!$AS$8:$AS$68,BF$4-$B179+1)</f>
        <v/>
      </c>
      <c r="BG179" s="153">
        <f>$C179*INDEX(Curves!$AS$8:$AS$68,BG$4-$B179+1)</f>
        <v/>
      </c>
      <c r="BH179" s="153">
        <f>$C179*INDEX(Curves!$AS$8:$AS$68,BH$4-$B179+1)</f>
        <v/>
      </c>
      <c r="BI179" s="153">
        <f>$C179*INDEX(Curves!$AS$8:$AS$68,BI$4-$B179+1)</f>
        <v/>
      </c>
      <c r="BJ179" s="153">
        <f>$C179*INDEX(Curves!$AS$8:$AS$68,BJ$4-$B179+1)</f>
        <v/>
      </c>
      <c r="BK179" s="153">
        <f>$C179*INDEX(Curves!$AS$8:$AS$68,BK$4-$B179+1)</f>
        <v/>
      </c>
      <c r="BL179" s="153">
        <f>$C179*INDEX(Curves!$AS$8:$AS$68,BL$4-$B179+1)</f>
        <v/>
      </c>
    </row>
    <row r="180">
      <c r="A180" s="147" t="inlineStr">
        <is>
          <t>Cohort month 45</t>
        </is>
      </c>
      <c r="B180" s="147" t="n">
        <v>45</v>
      </c>
      <c r="C180" s="41">
        <f>INDEX(Ops!$E$85:$BL$85,1,$B180)</f>
        <v/>
      </c>
      <c r="AX180" s="153">
        <f>$C180*INDEX(Curves!$AS$8:$AS$68,AX$4-$B180+1)</f>
        <v/>
      </c>
      <c r="AY180" s="153">
        <f>$C180*INDEX(Curves!$AS$8:$AS$68,AY$4-$B180+1)</f>
        <v/>
      </c>
      <c r="AZ180" s="153">
        <f>$C180*INDEX(Curves!$AS$8:$AS$68,AZ$4-$B180+1)</f>
        <v/>
      </c>
      <c r="BA180" s="153">
        <f>$C180*INDEX(Curves!$AS$8:$AS$68,BA$4-$B180+1)</f>
        <v/>
      </c>
      <c r="BB180" s="153">
        <f>$C180*INDEX(Curves!$AS$8:$AS$68,BB$4-$B180+1)</f>
        <v/>
      </c>
      <c r="BC180" s="153">
        <f>$C180*INDEX(Curves!$AS$8:$AS$68,BC$4-$B180+1)</f>
        <v/>
      </c>
      <c r="BD180" s="153">
        <f>$C180*INDEX(Curves!$AS$8:$AS$68,BD$4-$B180+1)</f>
        <v/>
      </c>
      <c r="BE180" s="153">
        <f>$C180*INDEX(Curves!$AS$8:$AS$68,BE$4-$B180+1)</f>
        <v/>
      </c>
      <c r="BF180" s="153">
        <f>$C180*INDEX(Curves!$AS$8:$AS$68,BF$4-$B180+1)</f>
        <v/>
      </c>
      <c r="BG180" s="153">
        <f>$C180*INDEX(Curves!$AS$8:$AS$68,BG$4-$B180+1)</f>
        <v/>
      </c>
      <c r="BH180" s="153">
        <f>$C180*INDEX(Curves!$AS$8:$AS$68,BH$4-$B180+1)</f>
        <v/>
      </c>
      <c r="BI180" s="153">
        <f>$C180*INDEX(Curves!$AS$8:$AS$68,BI$4-$B180+1)</f>
        <v/>
      </c>
      <c r="BJ180" s="153">
        <f>$C180*INDEX(Curves!$AS$8:$AS$68,BJ$4-$B180+1)</f>
        <v/>
      </c>
      <c r="BK180" s="153">
        <f>$C180*INDEX(Curves!$AS$8:$AS$68,BK$4-$B180+1)</f>
        <v/>
      </c>
      <c r="BL180" s="153">
        <f>$C180*INDEX(Curves!$AS$8:$AS$68,BL$4-$B180+1)</f>
        <v/>
      </c>
    </row>
    <row r="181">
      <c r="A181" s="147" t="inlineStr">
        <is>
          <t>Cohort month 46</t>
        </is>
      </c>
      <c r="B181" s="147" t="n">
        <v>46</v>
      </c>
      <c r="C181" s="41">
        <f>INDEX(Ops!$E$85:$BL$85,1,$B181)</f>
        <v/>
      </c>
      <c r="AY181" s="153">
        <f>$C181*INDEX(Curves!$AS$8:$AS$68,AY$4-$B181+1)</f>
        <v/>
      </c>
      <c r="AZ181" s="153">
        <f>$C181*INDEX(Curves!$AS$8:$AS$68,AZ$4-$B181+1)</f>
        <v/>
      </c>
      <c r="BA181" s="153">
        <f>$C181*INDEX(Curves!$AS$8:$AS$68,BA$4-$B181+1)</f>
        <v/>
      </c>
      <c r="BB181" s="153">
        <f>$C181*INDEX(Curves!$AS$8:$AS$68,BB$4-$B181+1)</f>
        <v/>
      </c>
      <c r="BC181" s="153">
        <f>$C181*INDEX(Curves!$AS$8:$AS$68,BC$4-$B181+1)</f>
        <v/>
      </c>
      <c r="BD181" s="153">
        <f>$C181*INDEX(Curves!$AS$8:$AS$68,BD$4-$B181+1)</f>
        <v/>
      </c>
      <c r="BE181" s="153">
        <f>$C181*INDEX(Curves!$AS$8:$AS$68,BE$4-$B181+1)</f>
        <v/>
      </c>
      <c r="BF181" s="153">
        <f>$C181*INDEX(Curves!$AS$8:$AS$68,BF$4-$B181+1)</f>
        <v/>
      </c>
      <c r="BG181" s="153">
        <f>$C181*INDEX(Curves!$AS$8:$AS$68,BG$4-$B181+1)</f>
        <v/>
      </c>
      <c r="BH181" s="153">
        <f>$C181*INDEX(Curves!$AS$8:$AS$68,BH$4-$B181+1)</f>
        <v/>
      </c>
      <c r="BI181" s="153">
        <f>$C181*INDEX(Curves!$AS$8:$AS$68,BI$4-$B181+1)</f>
        <v/>
      </c>
      <c r="BJ181" s="153">
        <f>$C181*INDEX(Curves!$AS$8:$AS$68,BJ$4-$B181+1)</f>
        <v/>
      </c>
      <c r="BK181" s="153">
        <f>$C181*INDEX(Curves!$AS$8:$AS$68,BK$4-$B181+1)</f>
        <v/>
      </c>
      <c r="BL181" s="153">
        <f>$C181*INDEX(Curves!$AS$8:$AS$68,BL$4-$B181+1)</f>
        <v/>
      </c>
    </row>
    <row r="182">
      <c r="A182" s="147" t="inlineStr">
        <is>
          <t>Cohort month 47</t>
        </is>
      </c>
      <c r="B182" s="147" t="n">
        <v>47</v>
      </c>
      <c r="C182" s="41">
        <f>INDEX(Ops!$E$85:$BL$85,1,$B182)</f>
        <v/>
      </c>
      <c r="AZ182" s="153">
        <f>$C182*INDEX(Curves!$AS$8:$AS$68,AZ$4-$B182+1)</f>
        <v/>
      </c>
      <c r="BA182" s="153">
        <f>$C182*INDEX(Curves!$AS$8:$AS$68,BA$4-$B182+1)</f>
        <v/>
      </c>
      <c r="BB182" s="153">
        <f>$C182*INDEX(Curves!$AS$8:$AS$68,BB$4-$B182+1)</f>
        <v/>
      </c>
      <c r="BC182" s="153">
        <f>$C182*INDEX(Curves!$AS$8:$AS$68,BC$4-$B182+1)</f>
        <v/>
      </c>
      <c r="BD182" s="153">
        <f>$C182*INDEX(Curves!$AS$8:$AS$68,BD$4-$B182+1)</f>
        <v/>
      </c>
      <c r="BE182" s="153">
        <f>$C182*INDEX(Curves!$AS$8:$AS$68,BE$4-$B182+1)</f>
        <v/>
      </c>
      <c r="BF182" s="153">
        <f>$C182*INDEX(Curves!$AS$8:$AS$68,BF$4-$B182+1)</f>
        <v/>
      </c>
      <c r="BG182" s="153">
        <f>$C182*INDEX(Curves!$AS$8:$AS$68,BG$4-$B182+1)</f>
        <v/>
      </c>
      <c r="BH182" s="153">
        <f>$C182*INDEX(Curves!$AS$8:$AS$68,BH$4-$B182+1)</f>
        <v/>
      </c>
      <c r="BI182" s="153">
        <f>$C182*INDEX(Curves!$AS$8:$AS$68,BI$4-$B182+1)</f>
        <v/>
      </c>
      <c r="BJ182" s="153">
        <f>$C182*INDEX(Curves!$AS$8:$AS$68,BJ$4-$B182+1)</f>
        <v/>
      </c>
      <c r="BK182" s="153">
        <f>$C182*INDEX(Curves!$AS$8:$AS$68,BK$4-$B182+1)</f>
        <v/>
      </c>
      <c r="BL182" s="153">
        <f>$C182*INDEX(Curves!$AS$8:$AS$68,BL$4-$B182+1)</f>
        <v/>
      </c>
    </row>
    <row r="183">
      <c r="A183" s="147" t="inlineStr">
        <is>
          <t>Cohort month 48</t>
        </is>
      </c>
      <c r="B183" s="147" t="n">
        <v>48</v>
      </c>
      <c r="C183" s="41">
        <f>INDEX(Ops!$E$85:$BL$85,1,$B183)</f>
        <v/>
      </c>
      <c r="BA183" s="153">
        <f>$C183*INDEX(Curves!$AS$8:$AS$68,BA$4-$B183+1)</f>
        <v/>
      </c>
      <c r="BB183" s="153">
        <f>$C183*INDEX(Curves!$AS$8:$AS$68,BB$4-$B183+1)</f>
        <v/>
      </c>
      <c r="BC183" s="153">
        <f>$C183*INDEX(Curves!$AS$8:$AS$68,BC$4-$B183+1)</f>
        <v/>
      </c>
      <c r="BD183" s="153">
        <f>$C183*INDEX(Curves!$AS$8:$AS$68,BD$4-$B183+1)</f>
        <v/>
      </c>
      <c r="BE183" s="153">
        <f>$C183*INDEX(Curves!$AS$8:$AS$68,BE$4-$B183+1)</f>
        <v/>
      </c>
      <c r="BF183" s="153">
        <f>$C183*INDEX(Curves!$AS$8:$AS$68,BF$4-$B183+1)</f>
        <v/>
      </c>
      <c r="BG183" s="153">
        <f>$C183*INDEX(Curves!$AS$8:$AS$68,BG$4-$B183+1)</f>
        <v/>
      </c>
      <c r="BH183" s="153">
        <f>$C183*INDEX(Curves!$AS$8:$AS$68,BH$4-$B183+1)</f>
        <v/>
      </c>
      <c r="BI183" s="153">
        <f>$C183*INDEX(Curves!$AS$8:$AS$68,BI$4-$B183+1)</f>
        <v/>
      </c>
      <c r="BJ183" s="153">
        <f>$C183*INDEX(Curves!$AS$8:$AS$68,BJ$4-$B183+1)</f>
        <v/>
      </c>
      <c r="BK183" s="153">
        <f>$C183*INDEX(Curves!$AS$8:$AS$68,BK$4-$B183+1)</f>
        <v/>
      </c>
      <c r="BL183" s="153">
        <f>$C183*INDEX(Curves!$AS$8:$AS$68,BL$4-$B183+1)</f>
        <v/>
      </c>
    </row>
    <row r="184">
      <c r="A184" s="147" t="inlineStr">
        <is>
          <t>Cohort month 49</t>
        </is>
      </c>
      <c r="B184" s="147" t="n">
        <v>49</v>
      </c>
      <c r="C184" s="41">
        <f>INDEX(Ops!$E$85:$BL$85,1,$B184)</f>
        <v/>
      </c>
      <c r="BB184" s="153">
        <f>$C184*INDEX(Curves!$AS$8:$AS$68,BB$4-$B184+1)</f>
        <v/>
      </c>
      <c r="BC184" s="153">
        <f>$C184*INDEX(Curves!$AS$8:$AS$68,BC$4-$B184+1)</f>
        <v/>
      </c>
      <c r="BD184" s="153">
        <f>$C184*INDEX(Curves!$AS$8:$AS$68,BD$4-$B184+1)</f>
        <v/>
      </c>
      <c r="BE184" s="153">
        <f>$C184*INDEX(Curves!$AS$8:$AS$68,BE$4-$B184+1)</f>
        <v/>
      </c>
      <c r="BF184" s="153">
        <f>$C184*INDEX(Curves!$AS$8:$AS$68,BF$4-$B184+1)</f>
        <v/>
      </c>
      <c r="BG184" s="153">
        <f>$C184*INDEX(Curves!$AS$8:$AS$68,BG$4-$B184+1)</f>
        <v/>
      </c>
      <c r="BH184" s="153">
        <f>$C184*INDEX(Curves!$AS$8:$AS$68,BH$4-$B184+1)</f>
        <v/>
      </c>
      <c r="BI184" s="153">
        <f>$C184*INDEX(Curves!$AS$8:$AS$68,BI$4-$B184+1)</f>
        <v/>
      </c>
      <c r="BJ184" s="153">
        <f>$C184*INDEX(Curves!$AS$8:$AS$68,BJ$4-$B184+1)</f>
        <v/>
      </c>
      <c r="BK184" s="153">
        <f>$C184*INDEX(Curves!$AS$8:$AS$68,BK$4-$B184+1)</f>
        <v/>
      </c>
      <c r="BL184" s="153">
        <f>$C184*INDEX(Curves!$AS$8:$AS$68,BL$4-$B184+1)</f>
        <v/>
      </c>
    </row>
    <row r="185">
      <c r="A185" s="147" t="inlineStr">
        <is>
          <t>Cohort month 50</t>
        </is>
      </c>
      <c r="B185" s="147" t="n">
        <v>50</v>
      </c>
      <c r="C185" s="41">
        <f>INDEX(Ops!$E$85:$BL$85,1,$B185)</f>
        <v/>
      </c>
      <c r="BC185" s="153">
        <f>$C185*INDEX(Curves!$AS$8:$AS$68,BC$4-$B185+1)</f>
        <v/>
      </c>
      <c r="BD185" s="153">
        <f>$C185*INDEX(Curves!$AS$8:$AS$68,BD$4-$B185+1)</f>
        <v/>
      </c>
      <c r="BE185" s="153">
        <f>$C185*INDEX(Curves!$AS$8:$AS$68,BE$4-$B185+1)</f>
        <v/>
      </c>
      <c r="BF185" s="153">
        <f>$C185*INDEX(Curves!$AS$8:$AS$68,BF$4-$B185+1)</f>
        <v/>
      </c>
      <c r="BG185" s="153">
        <f>$C185*INDEX(Curves!$AS$8:$AS$68,BG$4-$B185+1)</f>
        <v/>
      </c>
      <c r="BH185" s="153">
        <f>$C185*INDEX(Curves!$AS$8:$AS$68,BH$4-$B185+1)</f>
        <v/>
      </c>
      <c r="BI185" s="153">
        <f>$C185*INDEX(Curves!$AS$8:$AS$68,BI$4-$B185+1)</f>
        <v/>
      </c>
      <c r="BJ185" s="153">
        <f>$C185*INDEX(Curves!$AS$8:$AS$68,BJ$4-$B185+1)</f>
        <v/>
      </c>
      <c r="BK185" s="153">
        <f>$C185*INDEX(Curves!$AS$8:$AS$68,BK$4-$B185+1)</f>
        <v/>
      </c>
      <c r="BL185" s="153">
        <f>$C185*INDEX(Curves!$AS$8:$AS$68,BL$4-$B185+1)</f>
        <v/>
      </c>
    </row>
    <row r="186">
      <c r="A186" s="147" t="inlineStr">
        <is>
          <t>Cohort month 51</t>
        </is>
      </c>
      <c r="B186" s="147" t="n">
        <v>51</v>
      </c>
      <c r="C186" s="41">
        <f>INDEX(Ops!$E$85:$BL$85,1,$B186)</f>
        <v/>
      </c>
      <c r="BD186" s="153">
        <f>$C186*INDEX(Curves!$AS$8:$AS$68,BD$4-$B186+1)</f>
        <v/>
      </c>
      <c r="BE186" s="153">
        <f>$C186*INDEX(Curves!$AS$8:$AS$68,BE$4-$B186+1)</f>
        <v/>
      </c>
      <c r="BF186" s="153">
        <f>$C186*INDEX(Curves!$AS$8:$AS$68,BF$4-$B186+1)</f>
        <v/>
      </c>
      <c r="BG186" s="153">
        <f>$C186*INDEX(Curves!$AS$8:$AS$68,BG$4-$B186+1)</f>
        <v/>
      </c>
      <c r="BH186" s="153">
        <f>$C186*INDEX(Curves!$AS$8:$AS$68,BH$4-$B186+1)</f>
        <v/>
      </c>
      <c r="BI186" s="153">
        <f>$C186*INDEX(Curves!$AS$8:$AS$68,BI$4-$B186+1)</f>
        <v/>
      </c>
      <c r="BJ186" s="153">
        <f>$C186*INDEX(Curves!$AS$8:$AS$68,BJ$4-$B186+1)</f>
        <v/>
      </c>
      <c r="BK186" s="153">
        <f>$C186*INDEX(Curves!$AS$8:$AS$68,BK$4-$B186+1)</f>
        <v/>
      </c>
      <c r="BL186" s="153">
        <f>$C186*INDEX(Curves!$AS$8:$AS$68,BL$4-$B186+1)</f>
        <v/>
      </c>
    </row>
    <row r="187">
      <c r="A187" s="147" t="inlineStr">
        <is>
          <t>Cohort month 52</t>
        </is>
      </c>
      <c r="B187" s="147" t="n">
        <v>52</v>
      </c>
      <c r="C187" s="41">
        <f>INDEX(Ops!$E$85:$BL$85,1,$B187)</f>
        <v/>
      </c>
      <c r="BE187" s="153">
        <f>$C187*INDEX(Curves!$AS$8:$AS$68,BE$4-$B187+1)</f>
        <v/>
      </c>
      <c r="BF187" s="153">
        <f>$C187*INDEX(Curves!$AS$8:$AS$68,BF$4-$B187+1)</f>
        <v/>
      </c>
      <c r="BG187" s="153">
        <f>$C187*INDEX(Curves!$AS$8:$AS$68,BG$4-$B187+1)</f>
        <v/>
      </c>
      <c r="BH187" s="153">
        <f>$C187*INDEX(Curves!$AS$8:$AS$68,BH$4-$B187+1)</f>
        <v/>
      </c>
      <c r="BI187" s="153">
        <f>$C187*INDEX(Curves!$AS$8:$AS$68,BI$4-$B187+1)</f>
        <v/>
      </c>
      <c r="BJ187" s="153">
        <f>$C187*INDEX(Curves!$AS$8:$AS$68,BJ$4-$B187+1)</f>
        <v/>
      </c>
      <c r="BK187" s="153">
        <f>$C187*INDEX(Curves!$AS$8:$AS$68,BK$4-$B187+1)</f>
        <v/>
      </c>
      <c r="BL187" s="153">
        <f>$C187*INDEX(Curves!$AS$8:$AS$68,BL$4-$B187+1)</f>
        <v/>
      </c>
    </row>
    <row r="188">
      <c r="A188" s="147" t="inlineStr">
        <is>
          <t>Cohort month 53</t>
        </is>
      </c>
      <c r="B188" s="147" t="n">
        <v>53</v>
      </c>
      <c r="C188" s="41">
        <f>INDEX(Ops!$E$85:$BL$85,1,$B188)</f>
        <v/>
      </c>
      <c r="BF188" s="153">
        <f>$C188*INDEX(Curves!$AS$8:$AS$68,BF$4-$B188+1)</f>
        <v/>
      </c>
      <c r="BG188" s="153">
        <f>$C188*INDEX(Curves!$AS$8:$AS$68,BG$4-$B188+1)</f>
        <v/>
      </c>
      <c r="BH188" s="153">
        <f>$C188*INDEX(Curves!$AS$8:$AS$68,BH$4-$B188+1)</f>
        <v/>
      </c>
      <c r="BI188" s="153">
        <f>$C188*INDEX(Curves!$AS$8:$AS$68,BI$4-$B188+1)</f>
        <v/>
      </c>
      <c r="BJ188" s="153">
        <f>$C188*INDEX(Curves!$AS$8:$AS$68,BJ$4-$B188+1)</f>
        <v/>
      </c>
      <c r="BK188" s="153">
        <f>$C188*INDEX(Curves!$AS$8:$AS$68,BK$4-$B188+1)</f>
        <v/>
      </c>
      <c r="BL188" s="153">
        <f>$C188*INDEX(Curves!$AS$8:$AS$68,BL$4-$B188+1)</f>
        <v/>
      </c>
    </row>
    <row r="189">
      <c r="A189" s="147" t="inlineStr">
        <is>
          <t>Cohort month 54</t>
        </is>
      </c>
      <c r="B189" s="147" t="n">
        <v>54</v>
      </c>
      <c r="C189" s="41">
        <f>INDEX(Ops!$E$85:$BL$85,1,$B189)</f>
        <v/>
      </c>
      <c r="BG189" s="153">
        <f>$C189*INDEX(Curves!$AS$8:$AS$68,BG$4-$B189+1)</f>
        <v/>
      </c>
      <c r="BH189" s="153">
        <f>$C189*INDEX(Curves!$AS$8:$AS$68,BH$4-$B189+1)</f>
        <v/>
      </c>
      <c r="BI189" s="153">
        <f>$C189*INDEX(Curves!$AS$8:$AS$68,BI$4-$B189+1)</f>
        <v/>
      </c>
      <c r="BJ189" s="153">
        <f>$C189*INDEX(Curves!$AS$8:$AS$68,BJ$4-$B189+1)</f>
        <v/>
      </c>
      <c r="BK189" s="153">
        <f>$C189*INDEX(Curves!$AS$8:$AS$68,BK$4-$B189+1)</f>
        <v/>
      </c>
      <c r="BL189" s="153">
        <f>$C189*INDEX(Curves!$AS$8:$AS$68,BL$4-$B189+1)</f>
        <v/>
      </c>
    </row>
    <row r="190">
      <c r="A190" s="147" t="inlineStr">
        <is>
          <t>Cohort month 55</t>
        </is>
      </c>
      <c r="B190" s="147" t="n">
        <v>55</v>
      </c>
      <c r="C190" s="41">
        <f>INDEX(Ops!$E$85:$BL$85,1,$B190)</f>
        <v/>
      </c>
      <c r="BH190" s="153">
        <f>$C190*INDEX(Curves!$AS$8:$AS$68,BH$4-$B190+1)</f>
        <v/>
      </c>
      <c r="BI190" s="153">
        <f>$C190*INDEX(Curves!$AS$8:$AS$68,BI$4-$B190+1)</f>
        <v/>
      </c>
      <c r="BJ190" s="153">
        <f>$C190*INDEX(Curves!$AS$8:$AS$68,BJ$4-$B190+1)</f>
        <v/>
      </c>
      <c r="BK190" s="153">
        <f>$C190*INDEX(Curves!$AS$8:$AS$68,BK$4-$B190+1)</f>
        <v/>
      </c>
      <c r="BL190" s="153">
        <f>$C190*INDEX(Curves!$AS$8:$AS$68,BL$4-$B190+1)</f>
        <v/>
      </c>
    </row>
    <row r="191">
      <c r="A191" s="147" t="inlineStr">
        <is>
          <t>Cohort month 56</t>
        </is>
      </c>
      <c r="B191" s="147" t="n">
        <v>56</v>
      </c>
      <c r="C191" s="41">
        <f>INDEX(Ops!$E$85:$BL$85,1,$B191)</f>
        <v/>
      </c>
      <c r="BI191" s="153">
        <f>$C191*INDEX(Curves!$AS$8:$AS$68,BI$4-$B191+1)</f>
        <v/>
      </c>
      <c r="BJ191" s="153">
        <f>$C191*INDEX(Curves!$AS$8:$AS$68,BJ$4-$B191+1)</f>
        <v/>
      </c>
      <c r="BK191" s="153">
        <f>$C191*INDEX(Curves!$AS$8:$AS$68,BK$4-$B191+1)</f>
        <v/>
      </c>
      <c r="BL191" s="153">
        <f>$C191*INDEX(Curves!$AS$8:$AS$68,BL$4-$B191+1)</f>
        <v/>
      </c>
    </row>
    <row r="192">
      <c r="A192" s="147" t="inlineStr">
        <is>
          <t>Cohort month 57</t>
        </is>
      </c>
      <c r="B192" s="147" t="n">
        <v>57</v>
      </c>
      <c r="C192" s="41">
        <f>INDEX(Ops!$E$85:$BL$85,1,$B192)</f>
        <v/>
      </c>
      <c r="BJ192" s="153">
        <f>$C192*INDEX(Curves!$AS$8:$AS$68,BJ$4-$B192+1)</f>
        <v/>
      </c>
      <c r="BK192" s="153">
        <f>$C192*INDEX(Curves!$AS$8:$AS$68,BK$4-$B192+1)</f>
        <v/>
      </c>
      <c r="BL192" s="153">
        <f>$C192*INDEX(Curves!$AS$8:$AS$68,BL$4-$B192+1)</f>
        <v/>
      </c>
    </row>
    <row r="193">
      <c r="A193" s="147" t="inlineStr">
        <is>
          <t>Cohort month 58</t>
        </is>
      </c>
      <c r="B193" s="147" t="n">
        <v>58</v>
      </c>
      <c r="C193" s="41">
        <f>INDEX(Ops!$E$85:$BL$85,1,$B193)</f>
        <v/>
      </c>
      <c r="BK193" s="153">
        <f>$C193*INDEX(Curves!$AS$8:$AS$68,BK$4-$B193+1)</f>
        <v/>
      </c>
      <c r="BL193" s="153">
        <f>$C193*INDEX(Curves!$AS$8:$AS$68,BL$4-$B193+1)</f>
        <v/>
      </c>
    </row>
    <row r="194">
      <c r="A194" s="147" t="inlineStr">
        <is>
          <t>Cohort month 59</t>
        </is>
      </c>
      <c r="B194" s="147" t="n">
        <v>59</v>
      </c>
      <c r="C194" s="41">
        <f>INDEX(Ops!$E$85:$BL$85,1,$B194)</f>
        <v/>
      </c>
      <c r="BL194" s="153">
        <f>$C194*INDEX(Curves!$AS$8:$AS$68,BL$4-$B194+1)</f>
        <v/>
      </c>
    </row>
    <row r="195">
      <c r="A195" s="147" t="inlineStr">
        <is>
          <t>Cohort month 60</t>
        </is>
      </c>
      <c r="B195" s="147" t="n">
        <v>60</v>
      </c>
      <c r="C195" s="41">
        <f>INDEX(Ops!$E$85:$BL$85,1,$B195)</f>
        <v/>
      </c>
    </row>
    <row r="196"/>
    <row r="197">
      <c r="A197" s="21" t="inlineStr">
        <is>
          <t>Recoveries by cohort (LCY)</t>
        </is>
      </c>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c r="AA197" s="22" t="n"/>
      <c r="AB197" s="22" t="n"/>
      <c r="AC197" s="22" t="n"/>
      <c r="AD197" s="22" t="n"/>
      <c r="AE197" s="22" t="n"/>
      <c r="AF197" s="22" t="n"/>
      <c r="AG197" s="22" t="n"/>
      <c r="AH197" s="22" t="n"/>
      <c r="AI197" s="22" t="n"/>
      <c r="AJ197" s="22" t="n"/>
      <c r="AK197" s="22" t="n"/>
      <c r="AL197" s="22" t="n"/>
      <c r="AM197" s="22" t="n"/>
      <c r="AN197" s="22" t="n"/>
      <c r="AO197" s="22" t="n"/>
      <c r="AP197" s="22" t="n"/>
      <c r="AQ197" s="22" t="n"/>
      <c r="AR197" s="22" t="n"/>
      <c r="AS197" s="22" t="n"/>
      <c r="AT197" s="22" t="n"/>
      <c r="AU197" s="22" t="n"/>
      <c r="AV197" s="22" t="n"/>
      <c r="AW197" s="22" t="n"/>
      <c r="AX197" s="22" t="n"/>
      <c r="AY197" s="22" t="n"/>
      <c r="AZ197" s="22" t="n"/>
      <c r="BA197" s="22" t="n"/>
      <c r="BB197" s="22" t="n"/>
      <c r="BC197" s="22" t="n"/>
      <c r="BD197" s="22" t="n"/>
      <c r="BE197" s="22" t="n"/>
      <c r="BF197" s="22" t="n"/>
      <c r="BG197" s="22" t="n"/>
      <c r="BH197" s="22" t="n"/>
      <c r="BI197" s="22" t="n"/>
      <c r="BJ197" s="22" t="n"/>
      <c r="BK197" s="22" t="n"/>
      <c r="BL197" s="22" t="n"/>
    </row>
    <row r="198">
      <c r="A198" s="100" t="inlineStr">
        <is>
          <t>Total</t>
        </is>
      </c>
      <c r="B198" s="101" t="inlineStr"/>
      <c r="C198" s="103" t="n"/>
      <c r="D198" s="103" t="n"/>
      <c r="E198" s="104">
        <f>SUM(E199:E258)</f>
        <v/>
      </c>
      <c r="F198" s="104">
        <f>SUM(F199:F258)</f>
        <v/>
      </c>
      <c r="G198" s="104">
        <f>SUM(G199:G258)</f>
        <v/>
      </c>
      <c r="H198" s="104">
        <f>SUM(H199:H258)</f>
        <v/>
      </c>
      <c r="I198" s="104">
        <f>SUM(I199:I258)</f>
        <v/>
      </c>
      <c r="J198" s="104">
        <f>SUM(J199:J258)</f>
        <v/>
      </c>
      <c r="K198" s="104">
        <f>SUM(K199:K258)</f>
        <v/>
      </c>
      <c r="L198" s="104">
        <f>SUM(L199:L258)</f>
        <v/>
      </c>
      <c r="M198" s="104">
        <f>SUM(M199:M258)</f>
        <v/>
      </c>
      <c r="N198" s="104">
        <f>SUM(N199:N258)</f>
        <v/>
      </c>
      <c r="O198" s="104">
        <f>SUM(O199:O258)</f>
        <v/>
      </c>
      <c r="P198" s="104">
        <f>SUM(P199:P258)</f>
        <v/>
      </c>
      <c r="Q198" s="104">
        <f>SUM(Q199:Q258)</f>
        <v/>
      </c>
      <c r="R198" s="104">
        <f>SUM(R199:R258)</f>
        <v/>
      </c>
      <c r="S198" s="104">
        <f>SUM(S199:S258)</f>
        <v/>
      </c>
      <c r="T198" s="104">
        <f>SUM(T199:T258)</f>
        <v/>
      </c>
      <c r="U198" s="104">
        <f>SUM(U199:U258)</f>
        <v/>
      </c>
      <c r="V198" s="104">
        <f>SUM(V199:V258)</f>
        <v/>
      </c>
      <c r="W198" s="104">
        <f>SUM(W199:W258)</f>
        <v/>
      </c>
      <c r="X198" s="104">
        <f>SUM(X199:X258)</f>
        <v/>
      </c>
      <c r="Y198" s="104">
        <f>SUM(Y199:Y258)</f>
        <v/>
      </c>
      <c r="Z198" s="104">
        <f>SUM(Z199:Z258)</f>
        <v/>
      </c>
      <c r="AA198" s="104">
        <f>SUM(AA199:AA258)</f>
        <v/>
      </c>
      <c r="AB198" s="104">
        <f>SUM(AB199:AB258)</f>
        <v/>
      </c>
      <c r="AC198" s="104">
        <f>SUM(AC199:AC258)</f>
        <v/>
      </c>
      <c r="AD198" s="104">
        <f>SUM(AD199:AD258)</f>
        <v/>
      </c>
      <c r="AE198" s="104">
        <f>SUM(AE199:AE258)</f>
        <v/>
      </c>
      <c r="AF198" s="104">
        <f>SUM(AF199:AF258)</f>
        <v/>
      </c>
      <c r="AG198" s="104">
        <f>SUM(AG199:AG258)</f>
        <v/>
      </c>
      <c r="AH198" s="104">
        <f>SUM(AH199:AH258)</f>
        <v/>
      </c>
      <c r="AI198" s="104">
        <f>SUM(AI199:AI258)</f>
        <v/>
      </c>
      <c r="AJ198" s="104">
        <f>SUM(AJ199:AJ258)</f>
        <v/>
      </c>
      <c r="AK198" s="104">
        <f>SUM(AK199:AK258)</f>
        <v/>
      </c>
      <c r="AL198" s="104">
        <f>SUM(AL199:AL258)</f>
        <v/>
      </c>
      <c r="AM198" s="104">
        <f>SUM(AM199:AM258)</f>
        <v/>
      </c>
      <c r="AN198" s="104">
        <f>SUM(AN199:AN258)</f>
        <v/>
      </c>
      <c r="AO198" s="104">
        <f>SUM(AO199:AO258)</f>
        <v/>
      </c>
      <c r="AP198" s="104">
        <f>SUM(AP199:AP258)</f>
        <v/>
      </c>
      <c r="AQ198" s="104">
        <f>SUM(AQ199:AQ258)</f>
        <v/>
      </c>
      <c r="AR198" s="104">
        <f>SUM(AR199:AR258)</f>
        <v/>
      </c>
      <c r="AS198" s="104">
        <f>SUM(AS199:AS258)</f>
        <v/>
      </c>
      <c r="AT198" s="104">
        <f>SUM(AT199:AT258)</f>
        <v/>
      </c>
      <c r="AU198" s="104">
        <f>SUM(AU199:AU258)</f>
        <v/>
      </c>
      <c r="AV198" s="104">
        <f>SUM(AV199:AV258)</f>
        <v/>
      </c>
      <c r="AW198" s="104">
        <f>SUM(AW199:AW258)</f>
        <v/>
      </c>
      <c r="AX198" s="104">
        <f>SUM(AX199:AX258)</f>
        <v/>
      </c>
      <c r="AY198" s="104">
        <f>SUM(AY199:AY258)</f>
        <v/>
      </c>
      <c r="AZ198" s="104">
        <f>SUM(AZ199:AZ258)</f>
        <v/>
      </c>
      <c r="BA198" s="104">
        <f>SUM(BA199:BA258)</f>
        <v/>
      </c>
      <c r="BB198" s="104">
        <f>SUM(BB199:BB258)</f>
        <v/>
      </c>
      <c r="BC198" s="104">
        <f>SUM(BC199:BC258)</f>
        <v/>
      </c>
      <c r="BD198" s="104">
        <f>SUM(BD199:BD258)</f>
        <v/>
      </c>
      <c r="BE198" s="104">
        <f>SUM(BE199:BE258)</f>
        <v/>
      </c>
      <c r="BF198" s="104">
        <f>SUM(BF199:BF258)</f>
        <v/>
      </c>
      <c r="BG198" s="104">
        <f>SUM(BG199:BG258)</f>
        <v/>
      </c>
      <c r="BH198" s="104">
        <f>SUM(BH199:BH258)</f>
        <v/>
      </c>
      <c r="BI198" s="104">
        <f>SUM(BI199:BI258)</f>
        <v/>
      </c>
      <c r="BJ198" s="104">
        <f>SUM(BJ199:BJ258)</f>
        <v/>
      </c>
      <c r="BK198" s="104">
        <f>SUM(BK199:BK258)</f>
        <v/>
      </c>
      <c r="BL198" s="104">
        <f>SUM(BL199:BL258)</f>
        <v/>
      </c>
    </row>
    <row r="199">
      <c r="A199" s="147" t="inlineStr">
        <is>
          <t>Cohort month 1</t>
        </is>
      </c>
      <c r="B199" s="147" t="n">
        <v>1</v>
      </c>
      <c r="C199" s="41">
        <f>INDEX(Ops!$E$85:$BL$85,1,$B199)</f>
        <v/>
      </c>
      <c r="F199" s="153">
        <f>$C199*INDEX(Curves!$AV$8:$AV$68,F$4-$B199+1)</f>
        <v/>
      </c>
      <c r="G199" s="153">
        <f>$C199*INDEX(Curves!$AV$8:$AV$68,G$4-$B199+1)</f>
        <v/>
      </c>
      <c r="H199" s="153">
        <f>$C199*INDEX(Curves!$AV$8:$AV$68,H$4-$B199+1)</f>
        <v/>
      </c>
      <c r="I199" s="153">
        <f>$C199*INDEX(Curves!$AV$8:$AV$68,I$4-$B199+1)</f>
        <v/>
      </c>
      <c r="J199" s="153">
        <f>$C199*INDEX(Curves!$AV$8:$AV$68,J$4-$B199+1)</f>
        <v/>
      </c>
      <c r="K199" s="153">
        <f>$C199*INDEX(Curves!$AV$8:$AV$68,K$4-$B199+1)</f>
        <v/>
      </c>
      <c r="L199" s="153">
        <f>$C199*INDEX(Curves!$AV$8:$AV$68,L$4-$B199+1)</f>
        <v/>
      </c>
      <c r="M199" s="153">
        <f>$C199*INDEX(Curves!$AV$8:$AV$68,M$4-$B199+1)</f>
        <v/>
      </c>
      <c r="N199" s="153">
        <f>$C199*INDEX(Curves!$AV$8:$AV$68,N$4-$B199+1)</f>
        <v/>
      </c>
      <c r="O199" s="153">
        <f>$C199*INDEX(Curves!$AV$8:$AV$68,O$4-$B199+1)</f>
        <v/>
      </c>
      <c r="P199" s="153">
        <f>$C199*INDEX(Curves!$AV$8:$AV$68,P$4-$B199+1)</f>
        <v/>
      </c>
      <c r="Q199" s="153">
        <f>$C199*INDEX(Curves!$AV$8:$AV$68,Q$4-$B199+1)</f>
        <v/>
      </c>
      <c r="R199" s="153">
        <f>$C199*INDEX(Curves!$AV$8:$AV$68,R$4-$B199+1)</f>
        <v/>
      </c>
      <c r="S199" s="153">
        <f>$C199*INDEX(Curves!$AV$8:$AV$68,S$4-$B199+1)</f>
        <v/>
      </c>
      <c r="T199" s="153">
        <f>$C199*INDEX(Curves!$AV$8:$AV$68,T$4-$B199+1)</f>
        <v/>
      </c>
      <c r="U199" s="153">
        <f>$C199*INDEX(Curves!$AV$8:$AV$68,U$4-$B199+1)</f>
        <v/>
      </c>
      <c r="V199" s="153">
        <f>$C199*INDEX(Curves!$AV$8:$AV$68,V$4-$B199+1)</f>
        <v/>
      </c>
      <c r="W199" s="153">
        <f>$C199*INDEX(Curves!$AV$8:$AV$68,W$4-$B199+1)</f>
        <v/>
      </c>
      <c r="X199" s="153">
        <f>$C199*INDEX(Curves!$AV$8:$AV$68,X$4-$B199+1)</f>
        <v/>
      </c>
      <c r="Y199" s="153">
        <f>$C199*INDEX(Curves!$AV$8:$AV$68,Y$4-$B199+1)</f>
        <v/>
      </c>
      <c r="Z199" s="153">
        <f>$C199*INDEX(Curves!$AV$8:$AV$68,Z$4-$B199+1)</f>
        <v/>
      </c>
      <c r="AA199" s="153">
        <f>$C199*INDEX(Curves!$AV$8:$AV$68,AA$4-$B199+1)</f>
        <v/>
      </c>
      <c r="AB199" s="153">
        <f>$C199*INDEX(Curves!$AV$8:$AV$68,AB$4-$B199+1)</f>
        <v/>
      </c>
      <c r="AC199" s="153">
        <f>$C199*INDEX(Curves!$AV$8:$AV$68,AC$4-$B199+1)</f>
        <v/>
      </c>
      <c r="AD199" s="153">
        <f>$C199*INDEX(Curves!$AV$8:$AV$68,AD$4-$B199+1)</f>
        <v/>
      </c>
      <c r="AE199" s="153">
        <f>$C199*INDEX(Curves!$AV$8:$AV$68,AE$4-$B199+1)</f>
        <v/>
      </c>
      <c r="AF199" s="153">
        <f>$C199*INDEX(Curves!$AV$8:$AV$68,AF$4-$B199+1)</f>
        <v/>
      </c>
      <c r="AG199" s="153">
        <f>$C199*INDEX(Curves!$AV$8:$AV$68,AG$4-$B199+1)</f>
        <v/>
      </c>
      <c r="AH199" s="153">
        <f>$C199*INDEX(Curves!$AV$8:$AV$68,AH$4-$B199+1)</f>
        <v/>
      </c>
      <c r="AI199" s="153">
        <f>$C199*INDEX(Curves!$AV$8:$AV$68,AI$4-$B199+1)</f>
        <v/>
      </c>
      <c r="AJ199" s="153">
        <f>$C199*INDEX(Curves!$AV$8:$AV$68,AJ$4-$B199+1)</f>
        <v/>
      </c>
      <c r="AK199" s="153">
        <f>$C199*INDEX(Curves!$AV$8:$AV$68,AK$4-$B199+1)</f>
        <v/>
      </c>
      <c r="AL199" s="153">
        <f>$C199*INDEX(Curves!$AV$8:$AV$68,AL$4-$B199+1)</f>
        <v/>
      </c>
      <c r="AM199" s="153">
        <f>$C199*INDEX(Curves!$AV$8:$AV$68,AM$4-$B199+1)</f>
        <v/>
      </c>
      <c r="AN199" s="153">
        <f>$C199*INDEX(Curves!$AV$8:$AV$68,AN$4-$B199+1)</f>
        <v/>
      </c>
      <c r="AO199" s="153">
        <f>$C199*INDEX(Curves!$AV$8:$AV$68,AO$4-$B199+1)</f>
        <v/>
      </c>
      <c r="AP199" s="153">
        <f>$C199*INDEX(Curves!$AV$8:$AV$68,AP$4-$B199+1)</f>
        <v/>
      </c>
      <c r="AQ199" s="153">
        <f>$C199*INDEX(Curves!$AV$8:$AV$68,AQ$4-$B199+1)</f>
        <v/>
      </c>
      <c r="AR199" s="153">
        <f>$C199*INDEX(Curves!$AV$8:$AV$68,AR$4-$B199+1)</f>
        <v/>
      </c>
      <c r="AS199" s="153">
        <f>$C199*INDEX(Curves!$AV$8:$AV$68,AS$4-$B199+1)</f>
        <v/>
      </c>
      <c r="AT199" s="153">
        <f>$C199*INDEX(Curves!$AV$8:$AV$68,AT$4-$B199+1)</f>
        <v/>
      </c>
      <c r="AU199" s="153">
        <f>$C199*INDEX(Curves!$AV$8:$AV$68,AU$4-$B199+1)</f>
        <v/>
      </c>
      <c r="AV199" s="153">
        <f>$C199*INDEX(Curves!$AV$8:$AV$68,AV$4-$B199+1)</f>
        <v/>
      </c>
      <c r="AW199" s="153">
        <f>$C199*INDEX(Curves!$AV$8:$AV$68,AW$4-$B199+1)</f>
        <v/>
      </c>
      <c r="AX199" s="153">
        <f>$C199*INDEX(Curves!$AV$8:$AV$68,AX$4-$B199+1)</f>
        <v/>
      </c>
      <c r="AY199" s="153">
        <f>$C199*INDEX(Curves!$AV$8:$AV$68,AY$4-$B199+1)</f>
        <v/>
      </c>
      <c r="AZ199" s="153">
        <f>$C199*INDEX(Curves!$AV$8:$AV$68,AZ$4-$B199+1)</f>
        <v/>
      </c>
      <c r="BA199" s="153">
        <f>$C199*INDEX(Curves!$AV$8:$AV$68,BA$4-$B199+1)</f>
        <v/>
      </c>
      <c r="BB199" s="153">
        <f>$C199*INDEX(Curves!$AV$8:$AV$68,BB$4-$B199+1)</f>
        <v/>
      </c>
      <c r="BC199" s="153">
        <f>$C199*INDEX(Curves!$AV$8:$AV$68,BC$4-$B199+1)</f>
        <v/>
      </c>
      <c r="BD199" s="153">
        <f>$C199*INDEX(Curves!$AV$8:$AV$68,BD$4-$B199+1)</f>
        <v/>
      </c>
      <c r="BE199" s="153">
        <f>$C199*INDEX(Curves!$AV$8:$AV$68,BE$4-$B199+1)</f>
        <v/>
      </c>
      <c r="BF199" s="153">
        <f>$C199*INDEX(Curves!$AV$8:$AV$68,BF$4-$B199+1)</f>
        <v/>
      </c>
      <c r="BG199" s="153">
        <f>$C199*INDEX(Curves!$AV$8:$AV$68,BG$4-$B199+1)</f>
        <v/>
      </c>
      <c r="BH199" s="153">
        <f>$C199*INDEX(Curves!$AV$8:$AV$68,BH$4-$B199+1)</f>
        <v/>
      </c>
      <c r="BI199" s="153">
        <f>$C199*INDEX(Curves!$AV$8:$AV$68,BI$4-$B199+1)</f>
        <v/>
      </c>
      <c r="BJ199" s="153">
        <f>$C199*INDEX(Curves!$AV$8:$AV$68,BJ$4-$B199+1)</f>
        <v/>
      </c>
      <c r="BK199" s="153">
        <f>$C199*INDEX(Curves!$AV$8:$AV$68,BK$4-$B199+1)</f>
        <v/>
      </c>
      <c r="BL199" s="153">
        <f>$C199*INDEX(Curves!$AV$8:$AV$68,BL$4-$B199+1)</f>
        <v/>
      </c>
    </row>
    <row r="200">
      <c r="A200" s="147" t="inlineStr">
        <is>
          <t>Cohort month 2</t>
        </is>
      </c>
      <c r="B200" s="147" t="n">
        <v>2</v>
      </c>
      <c r="C200" s="41">
        <f>INDEX(Ops!$E$85:$BL$85,1,$B200)</f>
        <v/>
      </c>
      <c r="G200" s="153">
        <f>$C200*INDEX(Curves!$AV$8:$AV$68,G$4-$B200+1)</f>
        <v/>
      </c>
      <c r="H200" s="153">
        <f>$C200*INDEX(Curves!$AV$8:$AV$68,H$4-$B200+1)</f>
        <v/>
      </c>
      <c r="I200" s="153">
        <f>$C200*INDEX(Curves!$AV$8:$AV$68,I$4-$B200+1)</f>
        <v/>
      </c>
      <c r="J200" s="153">
        <f>$C200*INDEX(Curves!$AV$8:$AV$68,J$4-$B200+1)</f>
        <v/>
      </c>
      <c r="K200" s="153">
        <f>$C200*INDEX(Curves!$AV$8:$AV$68,K$4-$B200+1)</f>
        <v/>
      </c>
      <c r="L200" s="153">
        <f>$C200*INDEX(Curves!$AV$8:$AV$68,L$4-$B200+1)</f>
        <v/>
      </c>
      <c r="M200" s="153">
        <f>$C200*INDEX(Curves!$AV$8:$AV$68,M$4-$B200+1)</f>
        <v/>
      </c>
      <c r="N200" s="153">
        <f>$C200*INDEX(Curves!$AV$8:$AV$68,N$4-$B200+1)</f>
        <v/>
      </c>
      <c r="O200" s="153">
        <f>$C200*INDEX(Curves!$AV$8:$AV$68,O$4-$B200+1)</f>
        <v/>
      </c>
      <c r="P200" s="153">
        <f>$C200*INDEX(Curves!$AV$8:$AV$68,P$4-$B200+1)</f>
        <v/>
      </c>
      <c r="Q200" s="153">
        <f>$C200*INDEX(Curves!$AV$8:$AV$68,Q$4-$B200+1)</f>
        <v/>
      </c>
      <c r="R200" s="153">
        <f>$C200*INDEX(Curves!$AV$8:$AV$68,R$4-$B200+1)</f>
        <v/>
      </c>
      <c r="S200" s="153">
        <f>$C200*INDEX(Curves!$AV$8:$AV$68,S$4-$B200+1)</f>
        <v/>
      </c>
      <c r="T200" s="153">
        <f>$C200*INDEX(Curves!$AV$8:$AV$68,T$4-$B200+1)</f>
        <v/>
      </c>
      <c r="U200" s="153">
        <f>$C200*INDEX(Curves!$AV$8:$AV$68,U$4-$B200+1)</f>
        <v/>
      </c>
      <c r="V200" s="153">
        <f>$C200*INDEX(Curves!$AV$8:$AV$68,V$4-$B200+1)</f>
        <v/>
      </c>
      <c r="W200" s="153">
        <f>$C200*INDEX(Curves!$AV$8:$AV$68,W$4-$B200+1)</f>
        <v/>
      </c>
      <c r="X200" s="153">
        <f>$C200*INDEX(Curves!$AV$8:$AV$68,X$4-$B200+1)</f>
        <v/>
      </c>
      <c r="Y200" s="153">
        <f>$C200*INDEX(Curves!$AV$8:$AV$68,Y$4-$B200+1)</f>
        <v/>
      </c>
      <c r="Z200" s="153">
        <f>$C200*INDEX(Curves!$AV$8:$AV$68,Z$4-$B200+1)</f>
        <v/>
      </c>
      <c r="AA200" s="153">
        <f>$C200*INDEX(Curves!$AV$8:$AV$68,AA$4-$B200+1)</f>
        <v/>
      </c>
      <c r="AB200" s="153">
        <f>$C200*INDEX(Curves!$AV$8:$AV$68,AB$4-$B200+1)</f>
        <v/>
      </c>
      <c r="AC200" s="153">
        <f>$C200*INDEX(Curves!$AV$8:$AV$68,AC$4-$B200+1)</f>
        <v/>
      </c>
      <c r="AD200" s="153">
        <f>$C200*INDEX(Curves!$AV$8:$AV$68,AD$4-$B200+1)</f>
        <v/>
      </c>
      <c r="AE200" s="153">
        <f>$C200*INDEX(Curves!$AV$8:$AV$68,AE$4-$B200+1)</f>
        <v/>
      </c>
      <c r="AF200" s="153">
        <f>$C200*INDEX(Curves!$AV$8:$AV$68,AF$4-$B200+1)</f>
        <v/>
      </c>
      <c r="AG200" s="153">
        <f>$C200*INDEX(Curves!$AV$8:$AV$68,AG$4-$B200+1)</f>
        <v/>
      </c>
      <c r="AH200" s="153">
        <f>$C200*INDEX(Curves!$AV$8:$AV$68,AH$4-$B200+1)</f>
        <v/>
      </c>
      <c r="AI200" s="153">
        <f>$C200*INDEX(Curves!$AV$8:$AV$68,AI$4-$B200+1)</f>
        <v/>
      </c>
      <c r="AJ200" s="153">
        <f>$C200*INDEX(Curves!$AV$8:$AV$68,AJ$4-$B200+1)</f>
        <v/>
      </c>
      <c r="AK200" s="153">
        <f>$C200*INDEX(Curves!$AV$8:$AV$68,AK$4-$B200+1)</f>
        <v/>
      </c>
      <c r="AL200" s="153">
        <f>$C200*INDEX(Curves!$AV$8:$AV$68,AL$4-$B200+1)</f>
        <v/>
      </c>
      <c r="AM200" s="153">
        <f>$C200*INDEX(Curves!$AV$8:$AV$68,AM$4-$B200+1)</f>
        <v/>
      </c>
      <c r="AN200" s="153">
        <f>$C200*INDEX(Curves!$AV$8:$AV$68,AN$4-$B200+1)</f>
        <v/>
      </c>
      <c r="AO200" s="153">
        <f>$C200*INDEX(Curves!$AV$8:$AV$68,AO$4-$B200+1)</f>
        <v/>
      </c>
      <c r="AP200" s="153">
        <f>$C200*INDEX(Curves!$AV$8:$AV$68,AP$4-$B200+1)</f>
        <v/>
      </c>
      <c r="AQ200" s="153">
        <f>$C200*INDEX(Curves!$AV$8:$AV$68,AQ$4-$B200+1)</f>
        <v/>
      </c>
      <c r="AR200" s="153">
        <f>$C200*INDEX(Curves!$AV$8:$AV$68,AR$4-$B200+1)</f>
        <v/>
      </c>
      <c r="AS200" s="153">
        <f>$C200*INDEX(Curves!$AV$8:$AV$68,AS$4-$B200+1)</f>
        <v/>
      </c>
      <c r="AT200" s="153">
        <f>$C200*INDEX(Curves!$AV$8:$AV$68,AT$4-$B200+1)</f>
        <v/>
      </c>
      <c r="AU200" s="153">
        <f>$C200*INDEX(Curves!$AV$8:$AV$68,AU$4-$B200+1)</f>
        <v/>
      </c>
      <c r="AV200" s="153">
        <f>$C200*INDEX(Curves!$AV$8:$AV$68,AV$4-$B200+1)</f>
        <v/>
      </c>
      <c r="AW200" s="153">
        <f>$C200*INDEX(Curves!$AV$8:$AV$68,AW$4-$B200+1)</f>
        <v/>
      </c>
      <c r="AX200" s="153">
        <f>$C200*INDEX(Curves!$AV$8:$AV$68,AX$4-$B200+1)</f>
        <v/>
      </c>
      <c r="AY200" s="153">
        <f>$C200*INDEX(Curves!$AV$8:$AV$68,AY$4-$B200+1)</f>
        <v/>
      </c>
      <c r="AZ200" s="153">
        <f>$C200*INDEX(Curves!$AV$8:$AV$68,AZ$4-$B200+1)</f>
        <v/>
      </c>
      <c r="BA200" s="153">
        <f>$C200*INDEX(Curves!$AV$8:$AV$68,BA$4-$B200+1)</f>
        <v/>
      </c>
      <c r="BB200" s="153">
        <f>$C200*INDEX(Curves!$AV$8:$AV$68,BB$4-$B200+1)</f>
        <v/>
      </c>
      <c r="BC200" s="153">
        <f>$C200*INDEX(Curves!$AV$8:$AV$68,BC$4-$B200+1)</f>
        <v/>
      </c>
      <c r="BD200" s="153">
        <f>$C200*INDEX(Curves!$AV$8:$AV$68,BD$4-$B200+1)</f>
        <v/>
      </c>
      <c r="BE200" s="153">
        <f>$C200*INDEX(Curves!$AV$8:$AV$68,BE$4-$B200+1)</f>
        <v/>
      </c>
      <c r="BF200" s="153">
        <f>$C200*INDEX(Curves!$AV$8:$AV$68,BF$4-$B200+1)</f>
        <v/>
      </c>
      <c r="BG200" s="153">
        <f>$C200*INDEX(Curves!$AV$8:$AV$68,BG$4-$B200+1)</f>
        <v/>
      </c>
      <c r="BH200" s="153">
        <f>$C200*INDEX(Curves!$AV$8:$AV$68,BH$4-$B200+1)</f>
        <v/>
      </c>
      <c r="BI200" s="153">
        <f>$C200*INDEX(Curves!$AV$8:$AV$68,BI$4-$B200+1)</f>
        <v/>
      </c>
      <c r="BJ200" s="153">
        <f>$C200*INDEX(Curves!$AV$8:$AV$68,BJ$4-$B200+1)</f>
        <v/>
      </c>
      <c r="BK200" s="153">
        <f>$C200*INDEX(Curves!$AV$8:$AV$68,BK$4-$B200+1)</f>
        <v/>
      </c>
      <c r="BL200" s="153">
        <f>$C200*INDEX(Curves!$AV$8:$AV$68,BL$4-$B200+1)</f>
        <v/>
      </c>
    </row>
    <row r="201">
      <c r="A201" s="147" t="inlineStr">
        <is>
          <t>Cohort month 3</t>
        </is>
      </c>
      <c r="B201" s="147" t="n">
        <v>3</v>
      </c>
      <c r="C201" s="41">
        <f>INDEX(Ops!$E$85:$BL$85,1,$B201)</f>
        <v/>
      </c>
      <c r="H201" s="153">
        <f>$C201*INDEX(Curves!$AV$8:$AV$68,H$4-$B201+1)</f>
        <v/>
      </c>
      <c r="I201" s="153">
        <f>$C201*INDEX(Curves!$AV$8:$AV$68,I$4-$B201+1)</f>
        <v/>
      </c>
      <c r="J201" s="153">
        <f>$C201*INDEX(Curves!$AV$8:$AV$68,J$4-$B201+1)</f>
        <v/>
      </c>
      <c r="K201" s="153">
        <f>$C201*INDEX(Curves!$AV$8:$AV$68,K$4-$B201+1)</f>
        <v/>
      </c>
      <c r="L201" s="153">
        <f>$C201*INDEX(Curves!$AV$8:$AV$68,L$4-$B201+1)</f>
        <v/>
      </c>
      <c r="M201" s="153">
        <f>$C201*INDEX(Curves!$AV$8:$AV$68,M$4-$B201+1)</f>
        <v/>
      </c>
      <c r="N201" s="153">
        <f>$C201*INDEX(Curves!$AV$8:$AV$68,N$4-$B201+1)</f>
        <v/>
      </c>
      <c r="O201" s="153">
        <f>$C201*INDEX(Curves!$AV$8:$AV$68,O$4-$B201+1)</f>
        <v/>
      </c>
      <c r="P201" s="153">
        <f>$C201*INDEX(Curves!$AV$8:$AV$68,P$4-$B201+1)</f>
        <v/>
      </c>
      <c r="Q201" s="153">
        <f>$C201*INDEX(Curves!$AV$8:$AV$68,Q$4-$B201+1)</f>
        <v/>
      </c>
      <c r="R201" s="153">
        <f>$C201*INDEX(Curves!$AV$8:$AV$68,R$4-$B201+1)</f>
        <v/>
      </c>
      <c r="S201" s="153">
        <f>$C201*INDEX(Curves!$AV$8:$AV$68,S$4-$B201+1)</f>
        <v/>
      </c>
      <c r="T201" s="153">
        <f>$C201*INDEX(Curves!$AV$8:$AV$68,T$4-$B201+1)</f>
        <v/>
      </c>
      <c r="U201" s="153">
        <f>$C201*INDEX(Curves!$AV$8:$AV$68,U$4-$B201+1)</f>
        <v/>
      </c>
      <c r="V201" s="153">
        <f>$C201*INDEX(Curves!$AV$8:$AV$68,V$4-$B201+1)</f>
        <v/>
      </c>
      <c r="W201" s="153">
        <f>$C201*INDEX(Curves!$AV$8:$AV$68,W$4-$B201+1)</f>
        <v/>
      </c>
      <c r="X201" s="153">
        <f>$C201*INDEX(Curves!$AV$8:$AV$68,X$4-$B201+1)</f>
        <v/>
      </c>
      <c r="Y201" s="153">
        <f>$C201*INDEX(Curves!$AV$8:$AV$68,Y$4-$B201+1)</f>
        <v/>
      </c>
      <c r="Z201" s="153">
        <f>$C201*INDEX(Curves!$AV$8:$AV$68,Z$4-$B201+1)</f>
        <v/>
      </c>
      <c r="AA201" s="153">
        <f>$C201*INDEX(Curves!$AV$8:$AV$68,AA$4-$B201+1)</f>
        <v/>
      </c>
      <c r="AB201" s="153">
        <f>$C201*INDEX(Curves!$AV$8:$AV$68,AB$4-$B201+1)</f>
        <v/>
      </c>
      <c r="AC201" s="153">
        <f>$C201*INDEX(Curves!$AV$8:$AV$68,AC$4-$B201+1)</f>
        <v/>
      </c>
      <c r="AD201" s="153">
        <f>$C201*INDEX(Curves!$AV$8:$AV$68,AD$4-$B201+1)</f>
        <v/>
      </c>
      <c r="AE201" s="153">
        <f>$C201*INDEX(Curves!$AV$8:$AV$68,AE$4-$B201+1)</f>
        <v/>
      </c>
      <c r="AF201" s="153">
        <f>$C201*INDEX(Curves!$AV$8:$AV$68,AF$4-$B201+1)</f>
        <v/>
      </c>
      <c r="AG201" s="153">
        <f>$C201*INDEX(Curves!$AV$8:$AV$68,AG$4-$B201+1)</f>
        <v/>
      </c>
      <c r="AH201" s="153">
        <f>$C201*INDEX(Curves!$AV$8:$AV$68,AH$4-$B201+1)</f>
        <v/>
      </c>
      <c r="AI201" s="153">
        <f>$C201*INDEX(Curves!$AV$8:$AV$68,AI$4-$B201+1)</f>
        <v/>
      </c>
      <c r="AJ201" s="153">
        <f>$C201*INDEX(Curves!$AV$8:$AV$68,AJ$4-$B201+1)</f>
        <v/>
      </c>
      <c r="AK201" s="153">
        <f>$C201*INDEX(Curves!$AV$8:$AV$68,AK$4-$B201+1)</f>
        <v/>
      </c>
      <c r="AL201" s="153">
        <f>$C201*INDEX(Curves!$AV$8:$AV$68,AL$4-$B201+1)</f>
        <v/>
      </c>
      <c r="AM201" s="153">
        <f>$C201*INDEX(Curves!$AV$8:$AV$68,AM$4-$B201+1)</f>
        <v/>
      </c>
      <c r="AN201" s="153">
        <f>$C201*INDEX(Curves!$AV$8:$AV$68,AN$4-$B201+1)</f>
        <v/>
      </c>
      <c r="AO201" s="153">
        <f>$C201*INDEX(Curves!$AV$8:$AV$68,AO$4-$B201+1)</f>
        <v/>
      </c>
      <c r="AP201" s="153">
        <f>$C201*INDEX(Curves!$AV$8:$AV$68,AP$4-$B201+1)</f>
        <v/>
      </c>
      <c r="AQ201" s="153">
        <f>$C201*INDEX(Curves!$AV$8:$AV$68,AQ$4-$B201+1)</f>
        <v/>
      </c>
      <c r="AR201" s="153">
        <f>$C201*INDEX(Curves!$AV$8:$AV$68,AR$4-$B201+1)</f>
        <v/>
      </c>
      <c r="AS201" s="153">
        <f>$C201*INDEX(Curves!$AV$8:$AV$68,AS$4-$B201+1)</f>
        <v/>
      </c>
      <c r="AT201" s="153">
        <f>$C201*INDEX(Curves!$AV$8:$AV$68,AT$4-$B201+1)</f>
        <v/>
      </c>
      <c r="AU201" s="153">
        <f>$C201*INDEX(Curves!$AV$8:$AV$68,AU$4-$B201+1)</f>
        <v/>
      </c>
      <c r="AV201" s="153">
        <f>$C201*INDEX(Curves!$AV$8:$AV$68,AV$4-$B201+1)</f>
        <v/>
      </c>
      <c r="AW201" s="153">
        <f>$C201*INDEX(Curves!$AV$8:$AV$68,AW$4-$B201+1)</f>
        <v/>
      </c>
      <c r="AX201" s="153">
        <f>$C201*INDEX(Curves!$AV$8:$AV$68,AX$4-$B201+1)</f>
        <v/>
      </c>
      <c r="AY201" s="153">
        <f>$C201*INDEX(Curves!$AV$8:$AV$68,AY$4-$B201+1)</f>
        <v/>
      </c>
      <c r="AZ201" s="153">
        <f>$C201*INDEX(Curves!$AV$8:$AV$68,AZ$4-$B201+1)</f>
        <v/>
      </c>
      <c r="BA201" s="153">
        <f>$C201*INDEX(Curves!$AV$8:$AV$68,BA$4-$B201+1)</f>
        <v/>
      </c>
      <c r="BB201" s="153">
        <f>$C201*INDEX(Curves!$AV$8:$AV$68,BB$4-$B201+1)</f>
        <v/>
      </c>
      <c r="BC201" s="153">
        <f>$C201*INDEX(Curves!$AV$8:$AV$68,BC$4-$B201+1)</f>
        <v/>
      </c>
      <c r="BD201" s="153">
        <f>$C201*INDEX(Curves!$AV$8:$AV$68,BD$4-$B201+1)</f>
        <v/>
      </c>
      <c r="BE201" s="153">
        <f>$C201*INDEX(Curves!$AV$8:$AV$68,BE$4-$B201+1)</f>
        <v/>
      </c>
      <c r="BF201" s="153">
        <f>$C201*INDEX(Curves!$AV$8:$AV$68,BF$4-$B201+1)</f>
        <v/>
      </c>
      <c r="BG201" s="153">
        <f>$C201*INDEX(Curves!$AV$8:$AV$68,BG$4-$B201+1)</f>
        <v/>
      </c>
      <c r="BH201" s="153">
        <f>$C201*INDEX(Curves!$AV$8:$AV$68,BH$4-$B201+1)</f>
        <v/>
      </c>
      <c r="BI201" s="153">
        <f>$C201*INDEX(Curves!$AV$8:$AV$68,BI$4-$B201+1)</f>
        <v/>
      </c>
      <c r="BJ201" s="153">
        <f>$C201*INDEX(Curves!$AV$8:$AV$68,BJ$4-$B201+1)</f>
        <v/>
      </c>
      <c r="BK201" s="153">
        <f>$C201*INDEX(Curves!$AV$8:$AV$68,BK$4-$B201+1)</f>
        <v/>
      </c>
      <c r="BL201" s="153">
        <f>$C201*INDEX(Curves!$AV$8:$AV$68,BL$4-$B201+1)</f>
        <v/>
      </c>
    </row>
    <row r="202">
      <c r="A202" s="147" t="inlineStr">
        <is>
          <t>Cohort month 4</t>
        </is>
      </c>
      <c r="B202" s="147" t="n">
        <v>4</v>
      </c>
      <c r="C202" s="41">
        <f>INDEX(Ops!$E$85:$BL$85,1,$B202)</f>
        <v/>
      </c>
      <c r="I202" s="153">
        <f>$C202*INDEX(Curves!$AV$8:$AV$68,I$4-$B202+1)</f>
        <v/>
      </c>
      <c r="J202" s="153">
        <f>$C202*INDEX(Curves!$AV$8:$AV$68,J$4-$B202+1)</f>
        <v/>
      </c>
      <c r="K202" s="153">
        <f>$C202*INDEX(Curves!$AV$8:$AV$68,K$4-$B202+1)</f>
        <v/>
      </c>
      <c r="L202" s="153">
        <f>$C202*INDEX(Curves!$AV$8:$AV$68,L$4-$B202+1)</f>
        <v/>
      </c>
      <c r="M202" s="153">
        <f>$C202*INDEX(Curves!$AV$8:$AV$68,M$4-$B202+1)</f>
        <v/>
      </c>
      <c r="N202" s="153">
        <f>$C202*INDEX(Curves!$AV$8:$AV$68,N$4-$B202+1)</f>
        <v/>
      </c>
      <c r="O202" s="153">
        <f>$C202*INDEX(Curves!$AV$8:$AV$68,O$4-$B202+1)</f>
        <v/>
      </c>
      <c r="P202" s="153">
        <f>$C202*INDEX(Curves!$AV$8:$AV$68,P$4-$B202+1)</f>
        <v/>
      </c>
      <c r="Q202" s="153">
        <f>$C202*INDEX(Curves!$AV$8:$AV$68,Q$4-$B202+1)</f>
        <v/>
      </c>
      <c r="R202" s="153">
        <f>$C202*INDEX(Curves!$AV$8:$AV$68,R$4-$B202+1)</f>
        <v/>
      </c>
      <c r="S202" s="153">
        <f>$C202*INDEX(Curves!$AV$8:$AV$68,S$4-$B202+1)</f>
        <v/>
      </c>
      <c r="T202" s="153">
        <f>$C202*INDEX(Curves!$AV$8:$AV$68,T$4-$B202+1)</f>
        <v/>
      </c>
      <c r="U202" s="153">
        <f>$C202*INDEX(Curves!$AV$8:$AV$68,U$4-$B202+1)</f>
        <v/>
      </c>
      <c r="V202" s="153">
        <f>$C202*INDEX(Curves!$AV$8:$AV$68,V$4-$B202+1)</f>
        <v/>
      </c>
      <c r="W202" s="153">
        <f>$C202*INDEX(Curves!$AV$8:$AV$68,W$4-$B202+1)</f>
        <v/>
      </c>
      <c r="X202" s="153">
        <f>$C202*INDEX(Curves!$AV$8:$AV$68,X$4-$B202+1)</f>
        <v/>
      </c>
      <c r="Y202" s="153">
        <f>$C202*INDEX(Curves!$AV$8:$AV$68,Y$4-$B202+1)</f>
        <v/>
      </c>
      <c r="Z202" s="153">
        <f>$C202*INDEX(Curves!$AV$8:$AV$68,Z$4-$B202+1)</f>
        <v/>
      </c>
      <c r="AA202" s="153">
        <f>$C202*INDEX(Curves!$AV$8:$AV$68,AA$4-$B202+1)</f>
        <v/>
      </c>
      <c r="AB202" s="153">
        <f>$C202*INDEX(Curves!$AV$8:$AV$68,AB$4-$B202+1)</f>
        <v/>
      </c>
      <c r="AC202" s="153">
        <f>$C202*INDEX(Curves!$AV$8:$AV$68,AC$4-$B202+1)</f>
        <v/>
      </c>
      <c r="AD202" s="153">
        <f>$C202*INDEX(Curves!$AV$8:$AV$68,AD$4-$B202+1)</f>
        <v/>
      </c>
      <c r="AE202" s="153">
        <f>$C202*INDEX(Curves!$AV$8:$AV$68,AE$4-$B202+1)</f>
        <v/>
      </c>
      <c r="AF202" s="153">
        <f>$C202*INDEX(Curves!$AV$8:$AV$68,AF$4-$B202+1)</f>
        <v/>
      </c>
      <c r="AG202" s="153">
        <f>$C202*INDEX(Curves!$AV$8:$AV$68,AG$4-$B202+1)</f>
        <v/>
      </c>
      <c r="AH202" s="153">
        <f>$C202*INDEX(Curves!$AV$8:$AV$68,AH$4-$B202+1)</f>
        <v/>
      </c>
      <c r="AI202" s="153">
        <f>$C202*INDEX(Curves!$AV$8:$AV$68,AI$4-$B202+1)</f>
        <v/>
      </c>
      <c r="AJ202" s="153">
        <f>$C202*INDEX(Curves!$AV$8:$AV$68,AJ$4-$B202+1)</f>
        <v/>
      </c>
      <c r="AK202" s="153">
        <f>$C202*INDEX(Curves!$AV$8:$AV$68,AK$4-$B202+1)</f>
        <v/>
      </c>
      <c r="AL202" s="153">
        <f>$C202*INDEX(Curves!$AV$8:$AV$68,AL$4-$B202+1)</f>
        <v/>
      </c>
      <c r="AM202" s="153">
        <f>$C202*INDEX(Curves!$AV$8:$AV$68,AM$4-$B202+1)</f>
        <v/>
      </c>
      <c r="AN202" s="153">
        <f>$C202*INDEX(Curves!$AV$8:$AV$68,AN$4-$B202+1)</f>
        <v/>
      </c>
      <c r="AO202" s="153">
        <f>$C202*INDEX(Curves!$AV$8:$AV$68,AO$4-$B202+1)</f>
        <v/>
      </c>
      <c r="AP202" s="153">
        <f>$C202*INDEX(Curves!$AV$8:$AV$68,AP$4-$B202+1)</f>
        <v/>
      </c>
      <c r="AQ202" s="153">
        <f>$C202*INDEX(Curves!$AV$8:$AV$68,AQ$4-$B202+1)</f>
        <v/>
      </c>
      <c r="AR202" s="153">
        <f>$C202*INDEX(Curves!$AV$8:$AV$68,AR$4-$B202+1)</f>
        <v/>
      </c>
      <c r="AS202" s="153">
        <f>$C202*INDEX(Curves!$AV$8:$AV$68,AS$4-$B202+1)</f>
        <v/>
      </c>
      <c r="AT202" s="153">
        <f>$C202*INDEX(Curves!$AV$8:$AV$68,AT$4-$B202+1)</f>
        <v/>
      </c>
      <c r="AU202" s="153">
        <f>$C202*INDEX(Curves!$AV$8:$AV$68,AU$4-$B202+1)</f>
        <v/>
      </c>
      <c r="AV202" s="153">
        <f>$C202*INDEX(Curves!$AV$8:$AV$68,AV$4-$B202+1)</f>
        <v/>
      </c>
      <c r="AW202" s="153">
        <f>$C202*INDEX(Curves!$AV$8:$AV$68,AW$4-$B202+1)</f>
        <v/>
      </c>
      <c r="AX202" s="153">
        <f>$C202*INDEX(Curves!$AV$8:$AV$68,AX$4-$B202+1)</f>
        <v/>
      </c>
      <c r="AY202" s="153">
        <f>$C202*INDEX(Curves!$AV$8:$AV$68,AY$4-$B202+1)</f>
        <v/>
      </c>
      <c r="AZ202" s="153">
        <f>$C202*INDEX(Curves!$AV$8:$AV$68,AZ$4-$B202+1)</f>
        <v/>
      </c>
      <c r="BA202" s="153">
        <f>$C202*INDEX(Curves!$AV$8:$AV$68,BA$4-$B202+1)</f>
        <v/>
      </c>
      <c r="BB202" s="153">
        <f>$C202*INDEX(Curves!$AV$8:$AV$68,BB$4-$B202+1)</f>
        <v/>
      </c>
      <c r="BC202" s="153">
        <f>$C202*INDEX(Curves!$AV$8:$AV$68,BC$4-$B202+1)</f>
        <v/>
      </c>
      <c r="BD202" s="153">
        <f>$C202*INDEX(Curves!$AV$8:$AV$68,BD$4-$B202+1)</f>
        <v/>
      </c>
      <c r="BE202" s="153">
        <f>$C202*INDEX(Curves!$AV$8:$AV$68,BE$4-$B202+1)</f>
        <v/>
      </c>
      <c r="BF202" s="153">
        <f>$C202*INDEX(Curves!$AV$8:$AV$68,BF$4-$B202+1)</f>
        <v/>
      </c>
      <c r="BG202" s="153">
        <f>$C202*INDEX(Curves!$AV$8:$AV$68,BG$4-$B202+1)</f>
        <v/>
      </c>
      <c r="BH202" s="153">
        <f>$C202*INDEX(Curves!$AV$8:$AV$68,BH$4-$B202+1)</f>
        <v/>
      </c>
      <c r="BI202" s="153">
        <f>$C202*INDEX(Curves!$AV$8:$AV$68,BI$4-$B202+1)</f>
        <v/>
      </c>
      <c r="BJ202" s="153">
        <f>$C202*INDEX(Curves!$AV$8:$AV$68,BJ$4-$B202+1)</f>
        <v/>
      </c>
      <c r="BK202" s="153">
        <f>$C202*INDEX(Curves!$AV$8:$AV$68,BK$4-$B202+1)</f>
        <v/>
      </c>
      <c r="BL202" s="153">
        <f>$C202*INDEX(Curves!$AV$8:$AV$68,BL$4-$B202+1)</f>
        <v/>
      </c>
    </row>
    <row r="203">
      <c r="A203" s="147" t="inlineStr">
        <is>
          <t>Cohort month 5</t>
        </is>
      </c>
      <c r="B203" s="147" t="n">
        <v>5</v>
      </c>
      <c r="C203" s="41">
        <f>INDEX(Ops!$E$85:$BL$85,1,$B203)</f>
        <v/>
      </c>
      <c r="J203" s="153">
        <f>$C203*INDEX(Curves!$AV$8:$AV$68,J$4-$B203+1)</f>
        <v/>
      </c>
      <c r="K203" s="153">
        <f>$C203*INDEX(Curves!$AV$8:$AV$68,K$4-$B203+1)</f>
        <v/>
      </c>
      <c r="L203" s="153">
        <f>$C203*INDEX(Curves!$AV$8:$AV$68,L$4-$B203+1)</f>
        <v/>
      </c>
      <c r="M203" s="153">
        <f>$C203*INDEX(Curves!$AV$8:$AV$68,M$4-$B203+1)</f>
        <v/>
      </c>
      <c r="N203" s="153">
        <f>$C203*INDEX(Curves!$AV$8:$AV$68,N$4-$B203+1)</f>
        <v/>
      </c>
      <c r="O203" s="153">
        <f>$C203*INDEX(Curves!$AV$8:$AV$68,O$4-$B203+1)</f>
        <v/>
      </c>
      <c r="P203" s="153">
        <f>$C203*INDEX(Curves!$AV$8:$AV$68,P$4-$B203+1)</f>
        <v/>
      </c>
      <c r="Q203" s="153">
        <f>$C203*INDEX(Curves!$AV$8:$AV$68,Q$4-$B203+1)</f>
        <v/>
      </c>
      <c r="R203" s="153">
        <f>$C203*INDEX(Curves!$AV$8:$AV$68,R$4-$B203+1)</f>
        <v/>
      </c>
      <c r="S203" s="153">
        <f>$C203*INDEX(Curves!$AV$8:$AV$68,S$4-$B203+1)</f>
        <v/>
      </c>
      <c r="T203" s="153">
        <f>$C203*INDEX(Curves!$AV$8:$AV$68,T$4-$B203+1)</f>
        <v/>
      </c>
      <c r="U203" s="153">
        <f>$C203*INDEX(Curves!$AV$8:$AV$68,U$4-$B203+1)</f>
        <v/>
      </c>
      <c r="V203" s="153">
        <f>$C203*INDEX(Curves!$AV$8:$AV$68,V$4-$B203+1)</f>
        <v/>
      </c>
      <c r="W203" s="153">
        <f>$C203*INDEX(Curves!$AV$8:$AV$68,W$4-$B203+1)</f>
        <v/>
      </c>
      <c r="X203" s="153">
        <f>$C203*INDEX(Curves!$AV$8:$AV$68,X$4-$B203+1)</f>
        <v/>
      </c>
      <c r="Y203" s="153">
        <f>$C203*INDEX(Curves!$AV$8:$AV$68,Y$4-$B203+1)</f>
        <v/>
      </c>
      <c r="Z203" s="153">
        <f>$C203*INDEX(Curves!$AV$8:$AV$68,Z$4-$B203+1)</f>
        <v/>
      </c>
      <c r="AA203" s="153">
        <f>$C203*INDEX(Curves!$AV$8:$AV$68,AA$4-$B203+1)</f>
        <v/>
      </c>
      <c r="AB203" s="153">
        <f>$C203*INDEX(Curves!$AV$8:$AV$68,AB$4-$B203+1)</f>
        <v/>
      </c>
      <c r="AC203" s="153">
        <f>$C203*INDEX(Curves!$AV$8:$AV$68,AC$4-$B203+1)</f>
        <v/>
      </c>
      <c r="AD203" s="153">
        <f>$C203*INDEX(Curves!$AV$8:$AV$68,AD$4-$B203+1)</f>
        <v/>
      </c>
      <c r="AE203" s="153">
        <f>$C203*INDEX(Curves!$AV$8:$AV$68,AE$4-$B203+1)</f>
        <v/>
      </c>
      <c r="AF203" s="153">
        <f>$C203*INDEX(Curves!$AV$8:$AV$68,AF$4-$B203+1)</f>
        <v/>
      </c>
      <c r="AG203" s="153">
        <f>$C203*INDEX(Curves!$AV$8:$AV$68,AG$4-$B203+1)</f>
        <v/>
      </c>
      <c r="AH203" s="153">
        <f>$C203*INDEX(Curves!$AV$8:$AV$68,AH$4-$B203+1)</f>
        <v/>
      </c>
      <c r="AI203" s="153">
        <f>$C203*INDEX(Curves!$AV$8:$AV$68,AI$4-$B203+1)</f>
        <v/>
      </c>
      <c r="AJ203" s="153">
        <f>$C203*INDEX(Curves!$AV$8:$AV$68,AJ$4-$B203+1)</f>
        <v/>
      </c>
      <c r="AK203" s="153">
        <f>$C203*INDEX(Curves!$AV$8:$AV$68,AK$4-$B203+1)</f>
        <v/>
      </c>
      <c r="AL203" s="153">
        <f>$C203*INDEX(Curves!$AV$8:$AV$68,AL$4-$B203+1)</f>
        <v/>
      </c>
      <c r="AM203" s="153">
        <f>$C203*INDEX(Curves!$AV$8:$AV$68,AM$4-$B203+1)</f>
        <v/>
      </c>
      <c r="AN203" s="153">
        <f>$C203*INDEX(Curves!$AV$8:$AV$68,AN$4-$B203+1)</f>
        <v/>
      </c>
      <c r="AO203" s="153">
        <f>$C203*INDEX(Curves!$AV$8:$AV$68,AO$4-$B203+1)</f>
        <v/>
      </c>
      <c r="AP203" s="153">
        <f>$C203*INDEX(Curves!$AV$8:$AV$68,AP$4-$B203+1)</f>
        <v/>
      </c>
      <c r="AQ203" s="153">
        <f>$C203*INDEX(Curves!$AV$8:$AV$68,AQ$4-$B203+1)</f>
        <v/>
      </c>
      <c r="AR203" s="153">
        <f>$C203*INDEX(Curves!$AV$8:$AV$68,AR$4-$B203+1)</f>
        <v/>
      </c>
      <c r="AS203" s="153">
        <f>$C203*INDEX(Curves!$AV$8:$AV$68,AS$4-$B203+1)</f>
        <v/>
      </c>
      <c r="AT203" s="153">
        <f>$C203*INDEX(Curves!$AV$8:$AV$68,AT$4-$B203+1)</f>
        <v/>
      </c>
      <c r="AU203" s="153">
        <f>$C203*INDEX(Curves!$AV$8:$AV$68,AU$4-$B203+1)</f>
        <v/>
      </c>
      <c r="AV203" s="153">
        <f>$C203*INDEX(Curves!$AV$8:$AV$68,AV$4-$B203+1)</f>
        <v/>
      </c>
      <c r="AW203" s="153">
        <f>$C203*INDEX(Curves!$AV$8:$AV$68,AW$4-$B203+1)</f>
        <v/>
      </c>
      <c r="AX203" s="153">
        <f>$C203*INDEX(Curves!$AV$8:$AV$68,AX$4-$B203+1)</f>
        <v/>
      </c>
      <c r="AY203" s="153">
        <f>$C203*INDEX(Curves!$AV$8:$AV$68,AY$4-$B203+1)</f>
        <v/>
      </c>
      <c r="AZ203" s="153">
        <f>$C203*INDEX(Curves!$AV$8:$AV$68,AZ$4-$B203+1)</f>
        <v/>
      </c>
      <c r="BA203" s="153">
        <f>$C203*INDEX(Curves!$AV$8:$AV$68,BA$4-$B203+1)</f>
        <v/>
      </c>
      <c r="BB203" s="153">
        <f>$C203*INDEX(Curves!$AV$8:$AV$68,BB$4-$B203+1)</f>
        <v/>
      </c>
      <c r="BC203" s="153">
        <f>$C203*INDEX(Curves!$AV$8:$AV$68,BC$4-$B203+1)</f>
        <v/>
      </c>
      <c r="BD203" s="153">
        <f>$C203*INDEX(Curves!$AV$8:$AV$68,BD$4-$B203+1)</f>
        <v/>
      </c>
      <c r="BE203" s="153">
        <f>$C203*INDEX(Curves!$AV$8:$AV$68,BE$4-$B203+1)</f>
        <v/>
      </c>
      <c r="BF203" s="153">
        <f>$C203*INDEX(Curves!$AV$8:$AV$68,BF$4-$B203+1)</f>
        <v/>
      </c>
      <c r="BG203" s="153">
        <f>$C203*INDEX(Curves!$AV$8:$AV$68,BG$4-$B203+1)</f>
        <v/>
      </c>
      <c r="BH203" s="153">
        <f>$C203*INDEX(Curves!$AV$8:$AV$68,BH$4-$B203+1)</f>
        <v/>
      </c>
      <c r="BI203" s="153">
        <f>$C203*INDEX(Curves!$AV$8:$AV$68,BI$4-$B203+1)</f>
        <v/>
      </c>
      <c r="BJ203" s="153">
        <f>$C203*INDEX(Curves!$AV$8:$AV$68,BJ$4-$B203+1)</f>
        <v/>
      </c>
      <c r="BK203" s="153">
        <f>$C203*INDEX(Curves!$AV$8:$AV$68,BK$4-$B203+1)</f>
        <v/>
      </c>
      <c r="BL203" s="153">
        <f>$C203*INDEX(Curves!$AV$8:$AV$68,BL$4-$B203+1)</f>
        <v/>
      </c>
    </row>
    <row r="204">
      <c r="A204" s="147" t="inlineStr">
        <is>
          <t>Cohort month 6</t>
        </is>
      </c>
      <c r="B204" s="147" t="n">
        <v>6</v>
      </c>
      <c r="C204" s="41">
        <f>INDEX(Ops!$E$85:$BL$85,1,$B204)</f>
        <v/>
      </c>
      <c r="K204" s="153">
        <f>$C204*INDEX(Curves!$AV$8:$AV$68,K$4-$B204+1)</f>
        <v/>
      </c>
      <c r="L204" s="153">
        <f>$C204*INDEX(Curves!$AV$8:$AV$68,L$4-$B204+1)</f>
        <v/>
      </c>
      <c r="M204" s="153">
        <f>$C204*INDEX(Curves!$AV$8:$AV$68,M$4-$B204+1)</f>
        <v/>
      </c>
      <c r="N204" s="153">
        <f>$C204*INDEX(Curves!$AV$8:$AV$68,N$4-$B204+1)</f>
        <v/>
      </c>
      <c r="O204" s="153">
        <f>$C204*INDEX(Curves!$AV$8:$AV$68,O$4-$B204+1)</f>
        <v/>
      </c>
      <c r="P204" s="153">
        <f>$C204*INDEX(Curves!$AV$8:$AV$68,P$4-$B204+1)</f>
        <v/>
      </c>
      <c r="Q204" s="153">
        <f>$C204*INDEX(Curves!$AV$8:$AV$68,Q$4-$B204+1)</f>
        <v/>
      </c>
      <c r="R204" s="153">
        <f>$C204*INDEX(Curves!$AV$8:$AV$68,R$4-$B204+1)</f>
        <v/>
      </c>
      <c r="S204" s="153">
        <f>$C204*INDEX(Curves!$AV$8:$AV$68,S$4-$B204+1)</f>
        <v/>
      </c>
      <c r="T204" s="153">
        <f>$C204*INDEX(Curves!$AV$8:$AV$68,T$4-$B204+1)</f>
        <v/>
      </c>
      <c r="U204" s="153">
        <f>$C204*INDEX(Curves!$AV$8:$AV$68,U$4-$B204+1)</f>
        <v/>
      </c>
      <c r="V204" s="153">
        <f>$C204*INDEX(Curves!$AV$8:$AV$68,V$4-$B204+1)</f>
        <v/>
      </c>
      <c r="W204" s="153">
        <f>$C204*INDEX(Curves!$AV$8:$AV$68,W$4-$B204+1)</f>
        <v/>
      </c>
      <c r="X204" s="153">
        <f>$C204*INDEX(Curves!$AV$8:$AV$68,X$4-$B204+1)</f>
        <v/>
      </c>
      <c r="Y204" s="153">
        <f>$C204*INDEX(Curves!$AV$8:$AV$68,Y$4-$B204+1)</f>
        <v/>
      </c>
      <c r="Z204" s="153">
        <f>$C204*INDEX(Curves!$AV$8:$AV$68,Z$4-$B204+1)</f>
        <v/>
      </c>
      <c r="AA204" s="153">
        <f>$C204*INDEX(Curves!$AV$8:$AV$68,AA$4-$B204+1)</f>
        <v/>
      </c>
      <c r="AB204" s="153">
        <f>$C204*INDEX(Curves!$AV$8:$AV$68,AB$4-$B204+1)</f>
        <v/>
      </c>
      <c r="AC204" s="153">
        <f>$C204*INDEX(Curves!$AV$8:$AV$68,AC$4-$B204+1)</f>
        <v/>
      </c>
      <c r="AD204" s="153">
        <f>$C204*INDEX(Curves!$AV$8:$AV$68,AD$4-$B204+1)</f>
        <v/>
      </c>
      <c r="AE204" s="153">
        <f>$C204*INDEX(Curves!$AV$8:$AV$68,AE$4-$B204+1)</f>
        <v/>
      </c>
      <c r="AF204" s="153">
        <f>$C204*INDEX(Curves!$AV$8:$AV$68,AF$4-$B204+1)</f>
        <v/>
      </c>
      <c r="AG204" s="153">
        <f>$C204*INDEX(Curves!$AV$8:$AV$68,AG$4-$B204+1)</f>
        <v/>
      </c>
      <c r="AH204" s="153">
        <f>$C204*INDEX(Curves!$AV$8:$AV$68,AH$4-$B204+1)</f>
        <v/>
      </c>
      <c r="AI204" s="153">
        <f>$C204*INDEX(Curves!$AV$8:$AV$68,AI$4-$B204+1)</f>
        <v/>
      </c>
      <c r="AJ204" s="153">
        <f>$C204*INDEX(Curves!$AV$8:$AV$68,AJ$4-$B204+1)</f>
        <v/>
      </c>
      <c r="AK204" s="153">
        <f>$C204*INDEX(Curves!$AV$8:$AV$68,AK$4-$B204+1)</f>
        <v/>
      </c>
      <c r="AL204" s="153">
        <f>$C204*INDEX(Curves!$AV$8:$AV$68,AL$4-$B204+1)</f>
        <v/>
      </c>
      <c r="AM204" s="153">
        <f>$C204*INDEX(Curves!$AV$8:$AV$68,AM$4-$B204+1)</f>
        <v/>
      </c>
      <c r="AN204" s="153">
        <f>$C204*INDEX(Curves!$AV$8:$AV$68,AN$4-$B204+1)</f>
        <v/>
      </c>
      <c r="AO204" s="153">
        <f>$C204*INDEX(Curves!$AV$8:$AV$68,AO$4-$B204+1)</f>
        <v/>
      </c>
      <c r="AP204" s="153">
        <f>$C204*INDEX(Curves!$AV$8:$AV$68,AP$4-$B204+1)</f>
        <v/>
      </c>
      <c r="AQ204" s="153">
        <f>$C204*INDEX(Curves!$AV$8:$AV$68,AQ$4-$B204+1)</f>
        <v/>
      </c>
      <c r="AR204" s="153">
        <f>$C204*INDEX(Curves!$AV$8:$AV$68,AR$4-$B204+1)</f>
        <v/>
      </c>
      <c r="AS204" s="153">
        <f>$C204*INDEX(Curves!$AV$8:$AV$68,AS$4-$B204+1)</f>
        <v/>
      </c>
      <c r="AT204" s="153">
        <f>$C204*INDEX(Curves!$AV$8:$AV$68,AT$4-$B204+1)</f>
        <v/>
      </c>
      <c r="AU204" s="153">
        <f>$C204*INDEX(Curves!$AV$8:$AV$68,AU$4-$B204+1)</f>
        <v/>
      </c>
      <c r="AV204" s="153">
        <f>$C204*INDEX(Curves!$AV$8:$AV$68,AV$4-$B204+1)</f>
        <v/>
      </c>
      <c r="AW204" s="153">
        <f>$C204*INDEX(Curves!$AV$8:$AV$68,AW$4-$B204+1)</f>
        <v/>
      </c>
      <c r="AX204" s="153">
        <f>$C204*INDEX(Curves!$AV$8:$AV$68,AX$4-$B204+1)</f>
        <v/>
      </c>
      <c r="AY204" s="153">
        <f>$C204*INDEX(Curves!$AV$8:$AV$68,AY$4-$B204+1)</f>
        <v/>
      </c>
      <c r="AZ204" s="153">
        <f>$C204*INDEX(Curves!$AV$8:$AV$68,AZ$4-$B204+1)</f>
        <v/>
      </c>
      <c r="BA204" s="153">
        <f>$C204*INDEX(Curves!$AV$8:$AV$68,BA$4-$B204+1)</f>
        <v/>
      </c>
      <c r="BB204" s="153">
        <f>$C204*INDEX(Curves!$AV$8:$AV$68,BB$4-$B204+1)</f>
        <v/>
      </c>
      <c r="BC204" s="153">
        <f>$C204*INDEX(Curves!$AV$8:$AV$68,BC$4-$B204+1)</f>
        <v/>
      </c>
      <c r="BD204" s="153">
        <f>$C204*INDEX(Curves!$AV$8:$AV$68,BD$4-$B204+1)</f>
        <v/>
      </c>
      <c r="BE204" s="153">
        <f>$C204*INDEX(Curves!$AV$8:$AV$68,BE$4-$B204+1)</f>
        <v/>
      </c>
      <c r="BF204" s="153">
        <f>$C204*INDEX(Curves!$AV$8:$AV$68,BF$4-$B204+1)</f>
        <v/>
      </c>
      <c r="BG204" s="153">
        <f>$C204*INDEX(Curves!$AV$8:$AV$68,BG$4-$B204+1)</f>
        <v/>
      </c>
      <c r="BH204" s="153">
        <f>$C204*INDEX(Curves!$AV$8:$AV$68,BH$4-$B204+1)</f>
        <v/>
      </c>
      <c r="BI204" s="153">
        <f>$C204*INDEX(Curves!$AV$8:$AV$68,BI$4-$B204+1)</f>
        <v/>
      </c>
      <c r="BJ204" s="153">
        <f>$C204*INDEX(Curves!$AV$8:$AV$68,BJ$4-$B204+1)</f>
        <v/>
      </c>
      <c r="BK204" s="153">
        <f>$C204*INDEX(Curves!$AV$8:$AV$68,BK$4-$B204+1)</f>
        <v/>
      </c>
      <c r="BL204" s="153">
        <f>$C204*INDEX(Curves!$AV$8:$AV$68,BL$4-$B204+1)</f>
        <v/>
      </c>
    </row>
    <row r="205">
      <c r="A205" s="147" t="inlineStr">
        <is>
          <t>Cohort month 7</t>
        </is>
      </c>
      <c r="B205" s="147" t="n">
        <v>7</v>
      </c>
      <c r="C205" s="41">
        <f>INDEX(Ops!$E$85:$BL$85,1,$B205)</f>
        <v/>
      </c>
      <c r="L205" s="153">
        <f>$C205*INDEX(Curves!$AV$8:$AV$68,L$4-$B205+1)</f>
        <v/>
      </c>
      <c r="M205" s="153">
        <f>$C205*INDEX(Curves!$AV$8:$AV$68,M$4-$B205+1)</f>
        <v/>
      </c>
      <c r="N205" s="153">
        <f>$C205*INDEX(Curves!$AV$8:$AV$68,N$4-$B205+1)</f>
        <v/>
      </c>
      <c r="O205" s="153">
        <f>$C205*INDEX(Curves!$AV$8:$AV$68,O$4-$B205+1)</f>
        <v/>
      </c>
      <c r="P205" s="153">
        <f>$C205*INDEX(Curves!$AV$8:$AV$68,P$4-$B205+1)</f>
        <v/>
      </c>
      <c r="Q205" s="153">
        <f>$C205*INDEX(Curves!$AV$8:$AV$68,Q$4-$B205+1)</f>
        <v/>
      </c>
      <c r="R205" s="153">
        <f>$C205*INDEX(Curves!$AV$8:$AV$68,R$4-$B205+1)</f>
        <v/>
      </c>
      <c r="S205" s="153">
        <f>$C205*INDEX(Curves!$AV$8:$AV$68,S$4-$B205+1)</f>
        <v/>
      </c>
      <c r="T205" s="153">
        <f>$C205*INDEX(Curves!$AV$8:$AV$68,T$4-$B205+1)</f>
        <v/>
      </c>
      <c r="U205" s="153">
        <f>$C205*INDEX(Curves!$AV$8:$AV$68,U$4-$B205+1)</f>
        <v/>
      </c>
      <c r="V205" s="153">
        <f>$C205*INDEX(Curves!$AV$8:$AV$68,V$4-$B205+1)</f>
        <v/>
      </c>
      <c r="W205" s="153">
        <f>$C205*INDEX(Curves!$AV$8:$AV$68,W$4-$B205+1)</f>
        <v/>
      </c>
      <c r="X205" s="153">
        <f>$C205*INDEX(Curves!$AV$8:$AV$68,X$4-$B205+1)</f>
        <v/>
      </c>
      <c r="Y205" s="153">
        <f>$C205*INDEX(Curves!$AV$8:$AV$68,Y$4-$B205+1)</f>
        <v/>
      </c>
      <c r="Z205" s="153">
        <f>$C205*INDEX(Curves!$AV$8:$AV$68,Z$4-$B205+1)</f>
        <v/>
      </c>
      <c r="AA205" s="153">
        <f>$C205*INDEX(Curves!$AV$8:$AV$68,AA$4-$B205+1)</f>
        <v/>
      </c>
      <c r="AB205" s="153">
        <f>$C205*INDEX(Curves!$AV$8:$AV$68,AB$4-$B205+1)</f>
        <v/>
      </c>
      <c r="AC205" s="153">
        <f>$C205*INDEX(Curves!$AV$8:$AV$68,AC$4-$B205+1)</f>
        <v/>
      </c>
      <c r="AD205" s="153">
        <f>$C205*INDEX(Curves!$AV$8:$AV$68,AD$4-$B205+1)</f>
        <v/>
      </c>
      <c r="AE205" s="153">
        <f>$C205*INDEX(Curves!$AV$8:$AV$68,AE$4-$B205+1)</f>
        <v/>
      </c>
      <c r="AF205" s="153">
        <f>$C205*INDEX(Curves!$AV$8:$AV$68,AF$4-$B205+1)</f>
        <v/>
      </c>
      <c r="AG205" s="153">
        <f>$C205*INDEX(Curves!$AV$8:$AV$68,AG$4-$B205+1)</f>
        <v/>
      </c>
      <c r="AH205" s="153">
        <f>$C205*INDEX(Curves!$AV$8:$AV$68,AH$4-$B205+1)</f>
        <v/>
      </c>
      <c r="AI205" s="153">
        <f>$C205*INDEX(Curves!$AV$8:$AV$68,AI$4-$B205+1)</f>
        <v/>
      </c>
      <c r="AJ205" s="153">
        <f>$C205*INDEX(Curves!$AV$8:$AV$68,AJ$4-$B205+1)</f>
        <v/>
      </c>
      <c r="AK205" s="153">
        <f>$C205*INDEX(Curves!$AV$8:$AV$68,AK$4-$B205+1)</f>
        <v/>
      </c>
      <c r="AL205" s="153">
        <f>$C205*INDEX(Curves!$AV$8:$AV$68,AL$4-$B205+1)</f>
        <v/>
      </c>
      <c r="AM205" s="153">
        <f>$C205*INDEX(Curves!$AV$8:$AV$68,AM$4-$B205+1)</f>
        <v/>
      </c>
      <c r="AN205" s="153">
        <f>$C205*INDEX(Curves!$AV$8:$AV$68,AN$4-$B205+1)</f>
        <v/>
      </c>
      <c r="AO205" s="153">
        <f>$C205*INDEX(Curves!$AV$8:$AV$68,AO$4-$B205+1)</f>
        <v/>
      </c>
      <c r="AP205" s="153">
        <f>$C205*INDEX(Curves!$AV$8:$AV$68,AP$4-$B205+1)</f>
        <v/>
      </c>
      <c r="AQ205" s="153">
        <f>$C205*INDEX(Curves!$AV$8:$AV$68,AQ$4-$B205+1)</f>
        <v/>
      </c>
      <c r="AR205" s="153">
        <f>$C205*INDEX(Curves!$AV$8:$AV$68,AR$4-$B205+1)</f>
        <v/>
      </c>
      <c r="AS205" s="153">
        <f>$C205*INDEX(Curves!$AV$8:$AV$68,AS$4-$B205+1)</f>
        <v/>
      </c>
      <c r="AT205" s="153">
        <f>$C205*INDEX(Curves!$AV$8:$AV$68,AT$4-$B205+1)</f>
        <v/>
      </c>
      <c r="AU205" s="153">
        <f>$C205*INDEX(Curves!$AV$8:$AV$68,AU$4-$B205+1)</f>
        <v/>
      </c>
      <c r="AV205" s="153">
        <f>$C205*INDEX(Curves!$AV$8:$AV$68,AV$4-$B205+1)</f>
        <v/>
      </c>
      <c r="AW205" s="153">
        <f>$C205*INDEX(Curves!$AV$8:$AV$68,AW$4-$B205+1)</f>
        <v/>
      </c>
      <c r="AX205" s="153">
        <f>$C205*INDEX(Curves!$AV$8:$AV$68,AX$4-$B205+1)</f>
        <v/>
      </c>
      <c r="AY205" s="153">
        <f>$C205*INDEX(Curves!$AV$8:$AV$68,AY$4-$B205+1)</f>
        <v/>
      </c>
      <c r="AZ205" s="153">
        <f>$C205*INDEX(Curves!$AV$8:$AV$68,AZ$4-$B205+1)</f>
        <v/>
      </c>
      <c r="BA205" s="153">
        <f>$C205*INDEX(Curves!$AV$8:$AV$68,BA$4-$B205+1)</f>
        <v/>
      </c>
      <c r="BB205" s="153">
        <f>$C205*INDEX(Curves!$AV$8:$AV$68,BB$4-$B205+1)</f>
        <v/>
      </c>
      <c r="BC205" s="153">
        <f>$C205*INDEX(Curves!$AV$8:$AV$68,BC$4-$B205+1)</f>
        <v/>
      </c>
      <c r="BD205" s="153">
        <f>$C205*INDEX(Curves!$AV$8:$AV$68,BD$4-$B205+1)</f>
        <v/>
      </c>
      <c r="BE205" s="153">
        <f>$C205*INDEX(Curves!$AV$8:$AV$68,BE$4-$B205+1)</f>
        <v/>
      </c>
      <c r="BF205" s="153">
        <f>$C205*INDEX(Curves!$AV$8:$AV$68,BF$4-$B205+1)</f>
        <v/>
      </c>
      <c r="BG205" s="153">
        <f>$C205*INDEX(Curves!$AV$8:$AV$68,BG$4-$B205+1)</f>
        <v/>
      </c>
      <c r="BH205" s="153">
        <f>$C205*INDEX(Curves!$AV$8:$AV$68,BH$4-$B205+1)</f>
        <v/>
      </c>
      <c r="BI205" s="153">
        <f>$C205*INDEX(Curves!$AV$8:$AV$68,BI$4-$B205+1)</f>
        <v/>
      </c>
      <c r="BJ205" s="153">
        <f>$C205*INDEX(Curves!$AV$8:$AV$68,BJ$4-$B205+1)</f>
        <v/>
      </c>
      <c r="BK205" s="153">
        <f>$C205*INDEX(Curves!$AV$8:$AV$68,BK$4-$B205+1)</f>
        <v/>
      </c>
      <c r="BL205" s="153">
        <f>$C205*INDEX(Curves!$AV$8:$AV$68,BL$4-$B205+1)</f>
        <v/>
      </c>
    </row>
    <row r="206">
      <c r="A206" s="147" t="inlineStr">
        <is>
          <t>Cohort month 8</t>
        </is>
      </c>
      <c r="B206" s="147" t="n">
        <v>8</v>
      </c>
      <c r="C206" s="41">
        <f>INDEX(Ops!$E$85:$BL$85,1,$B206)</f>
        <v/>
      </c>
      <c r="M206" s="153">
        <f>$C206*INDEX(Curves!$AV$8:$AV$68,M$4-$B206+1)</f>
        <v/>
      </c>
      <c r="N206" s="153">
        <f>$C206*INDEX(Curves!$AV$8:$AV$68,N$4-$B206+1)</f>
        <v/>
      </c>
      <c r="O206" s="153">
        <f>$C206*INDEX(Curves!$AV$8:$AV$68,O$4-$B206+1)</f>
        <v/>
      </c>
      <c r="P206" s="153">
        <f>$C206*INDEX(Curves!$AV$8:$AV$68,P$4-$B206+1)</f>
        <v/>
      </c>
      <c r="Q206" s="153">
        <f>$C206*INDEX(Curves!$AV$8:$AV$68,Q$4-$B206+1)</f>
        <v/>
      </c>
      <c r="R206" s="153">
        <f>$C206*INDEX(Curves!$AV$8:$AV$68,R$4-$B206+1)</f>
        <v/>
      </c>
      <c r="S206" s="153">
        <f>$C206*INDEX(Curves!$AV$8:$AV$68,S$4-$B206+1)</f>
        <v/>
      </c>
      <c r="T206" s="153">
        <f>$C206*INDEX(Curves!$AV$8:$AV$68,T$4-$B206+1)</f>
        <v/>
      </c>
      <c r="U206" s="153">
        <f>$C206*INDEX(Curves!$AV$8:$AV$68,U$4-$B206+1)</f>
        <v/>
      </c>
      <c r="V206" s="153">
        <f>$C206*INDEX(Curves!$AV$8:$AV$68,V$4-$B206+1)</f>
        <v/>
      </c>
      <c r="W206" s="153">
        <f>$C206*INDEX(Curves!$AV$8:$AV$68,W$4-$B206+1)</f>
        <v/>
      </c>
      <c r="X206" s="153">
        <f>$C206*INDEX(Curves!$AV$8:$AV$68,X$4-$B206+1)</f>
        <v/>
      </c>
      <c r="Y206" s="153">
        <f>$C206*INDEX(Curves!$AV$8:$AV$68,Y$4-$B206+1)</f>
        <v/>
      </c>
      <c r="Z206" s="153">
        <f>$C206*INDEX(Curves!$AV$8:$AV$68,Z$4-$B206+1)</f>
        <v/>
      </c>
      <c r="AA206" s="153">
        <f>$C206*INDEX(Curves!$AV$8:$AV$68,AA$4-$B206+1)</f>
        <v/>
      </c>
      <c r="AB206" s="153">
        <f>$C206*INDEX(Curves!$AV$8:$AV$68,AB$4-$B206+1)</f>
        <v/>
      </c>
      <c r="AC206" s="153">
        <f>$C206*INDEX(Curves!$AV$8:$AV$68,AC$4-$B206+1)</f>
        <v/>
      </c>
      <c r="AD206" s="153">
        <f>$C206*INDEX(Curves!$AV$8:$AV$68,AD$4-$B206+1)</f>
        <v/>
      </c>
      <c r="AE206" s="153">
        <f>$C206*INDEX(Curves!$AV$8:$AV$68,AE$4-$B206+1)</f>
        <v/>
      </c>
      <c r="AF206" s="153">
        <f>$C206*INDEX(Curves!$AV$8:$AV$68,AF$4-$B206+1)</f>
        <v/>
      </c>
      <c r="AG206" s="153">
        <f>$C206*INDEX(Curves!$AV$8:$AV$68,AG$4-$B206+1)</f>
        <v/>
      </c>
      <c r="AH206" s="153">
        <f>$C206*INDEX(Curves!$AV$8:$AV$68,AH$4-$B206+1)</f>
        <v/>
      </c>
      <c r="AI206" s="153">
        <f>$C206*INDEX(Curves!$AV$8:$AV$68,AI$4-$B206+1)</f>
        <v/>
      </c>
      <c r="AJ206" s="153">
        <f>$C206*INDEX(Curves!$AV$8:$AV$68,AJ$4-$B206+1)</f>
        <v/>
      </c>
      <c r="AK206" s="153">
        <f>$C206*INDEX(Curves!$AV$8:$AV$68,AK$4-$B206+1)</f>
        <v/>
      </c>
      <c r="AL206" s="153">
        <f>$C206*INDEX(Curves!$AV$8:$AV$68,AL$4-$B206+1)</f>
        <v/>
      </c>
      <c r="AM206" s="153">
        <f>$C206*INDEX(Curves!$AV$8:$AV$68,AM$4-$B206+1)</f>
        <v/>
      </c>
      <c r="AN206" s="153">
        <f>$C206*INDEX(Curves!$AV$8:$AV$68,AN$4-$B206+1)</f>
        <v/>
      </c>
      <c r="AO206" s="153">
        <f>$C206*INDEX(Curves!$AV$8:$AV$68,AO$4-$B206+1)</f>
        <v/>
      </c>
      <c r="AP206" s="153">
        <f>$C206*INDEX(Curves!$AV$8:$AV$68,AP$4-$B206+1)</f>
        <v/>
      </c>
      <c r="AQ206" s="153">
        <f>$C206*INDEX(Curves!$AV$8:$AV$68,AQ$4-$B206+1)</f>
        <v/>
      </c>
      <c r="AR206" s="153">
        <f>$C206*INDEX(Curves!$AV$8:$AV$68,AR$4-$B206+1)</f>
        <v/>
      </c>
      <c r="AS206" s="153">
        <f>$C206*INDEX(Curves!$AV$8:$AV$68,AS$4-$B206+1)</f>
        <v/>
      </c>
      <c r="AT206" s="153">
        <f>$C206*INDEX(Curves!$AV$8:$AV$68,AT$4-$B206+1)</f>
        <v/>
      </c>
      <c r="AU206" s="153">
        <f>$C206*INDEX(Curves!$AV$8:$AV$68,AU$4-$B206+1)</f>
        <v/>
      </c>
      <c r="AV206" s="153">
        <f>$C206*INDEX(Curves!$AV$8:$AV$68,AV$4-$B206+1)</f>
        <v/>
      </c>
      <c r="AW206" s="153">
        <f>$C206*INDEX(Curves!$AV$8:$AV$68,AW$4-$B206+1)</f>
        <v/>
      </c>
      <c r="AX206" s="153">
        <f>$C206*INDEX(Curves!$AV$8:$AV$68,AX$4-$B206+1)</f>
        <v/>
      </c>
      <c r="AY206" s="153">
        <f>$C206*INDEX(Curves!$AV$8:$AV$68,AY$4-$B206+1)</f>
        <v/>
      </c>
      <c r="AZ206" s="153">
        <f>$C206*INDEX(Curves!$AV$8:$AV$68,AZ$4-$B206+1)</f>
        <v/>
      </c>
      <c r="BA206" s="153">
        <f>$C206*INDEX(Curves!$AV$8:$AV$68,BA$4-$B206+1)</f>
        <v/>
      </c>
      <c r="BB206" s="153">
        <f>$C206*INDEX(Curves!$AV$8:$AV$68,BB$4-$B206+1)</f>
        <v/>
      </c>
      <c r="BC206" s="153">
        <f>$C206*INDEX(Curves!$AV$8:$AV$68,BC$4-$B206+1)</f>
        <v/>
      </c>
      <c r="BD206" s="153">
        <f>$C206*INDEX(Curves!$AV$8:$AV$68,BD$4-$B206+1)</f>
        <v/>
      </c>
      <c r="BE206" s="153">
        <f>$C206*INDEX(Curves!$AV$8:$AV$68,BE$4-$B206+1)</f>
        <v/>
      </c>
      <c r="BF206" s="153">
        <f>$C206*INDEX(Curves!$AV$8:$AV$68,BF$4-$B206+1)</f>
        <v/>
      </c>
      <c r="BG206" s="153">
        <f>$C206*INDEX(Curves!$AV$8:$AV$68,BG$4-$B206+1)</f>
        <v/>
      </c>
      <c r="BH206" s="153">
        <f>$C206*INDEX(Curves!$AV$8:$AV$68,BH$4-$B206+1)</f>
        <v/>
      </c>
      <c r="BI206" s="153">
        <f>$C206*INDEX(Curves!$AV$8:$AV$68,BI$4-$B206+1)</f>
        <v/>
      </c>
      <c r="BJ206" s="153">
        <f>$C206*INDEX(Curves!$AV$8:$AV$68,BJ$4-$B206+1)</f>
        <v/>
      </c>
      <c r="BK206" s="153">
        <f>$C206*INDEX(Curves!$AV$8:$AV$68,BK$4-$B206+1)</f>
        <v/>
      </c>
      <c r="BL206" s="153">
        <f>$C206*INDEX(Curves!$AV$8:$AV$68,BL$4-$B206+1)</f>
        <v/>
      </c>
    </row>
    <row r="207">
      <c r="A207" s="147" t="inlineStr">
        <is>
          <t>Cohort month 9</t>
        </is>
      </c>
      <c r="B207" s="147" t="n">
        <v>9</v>
      </c>
      <c r="C207" s="41">
        <f>INDEX(Ops!$E$85:$BL$85,1,$B207)</f>
        <v/>
      </c>
      <c r="N207" s="153">
        <f>$C207*INDEX(Curves!$AV$8:$AV$68,N$4-$B207+1)</f>
        <v/>
      </c>
      <c r="O207" s="153">
        <f>$C207*INDEX(Curves!$AV$8:$AV$68,O$4-$B207+1)</f>
        <v/>
      </c>
      <c r="P207" s="153">
        <f>$C207*INDEX(Curves!$AV$8:$AV$68,P$4-$B207+1)</f>
        <v/>
      </c>
      <c r="Q207" s="153">
        <f>$C207*INDEX(Curves!$AV$8:$AV$68,Q$4-$B207+1)</f>
        <v/>
      </c>
      <c r="R207" s="153">
        <f>$C207*INDEX(Curves!$AV$8:$AV$68,R$4-$B207+1)</f>
        <v/>
      </c>
      <c r="S207" s="153">
        <f>$C207*INDEX(Curves!$AV$8:$AV$68,S$4-$B207+1)</f>
        <v/>
      </c>
      <c r="T207" s="153">
        <f>$C207*INDEX(Curves!$AV$8:$AV$68,T$4-$B207+1)</f>
        <v/>
      </c>
      <c r="U207" s="153">
        <f>$C207*INDEX(Curves!$AV$8:$AV$68,U$4-$B207+1)</f>
        <v/>
      </c>
      <c r="V207" s="153">
        <f>$C207*INDEX(Curves!$AV$8:$AV$68,V$4-$B207+1)</f>
        <v/>
      </c>
      <c r="W207" s="153">
        <f>$C207*INDEX(Curves!$AV$8:$AV$68,W$4-$B207+1)</f>
        <v/>
      </c>
      <c r="X207" s="153">
        <f>$C207*INDEX(Curves!$AV$8:$AV$68,X$4-$B207+1)</f>
        <v/>
      </c>
      <c r="Y207" s="153">
        <f>$C207*INDEX(Curves!$AV$8:$AV$68,Y$4-$B207+1)</f>
        <v/>
      </c>
      <c r="Z207" s="153">
        <f>$C207*INDEX(Curves!$AV$8:$AV$68,Z$4-$B207+1)</f>
        <v/>
      </c>
      <c r="AA207" s="153">
        <f>$C207*INDEX(Curves!$AV$8:$AV$68,AA$4-$B207+1)</f>
        <v/>
      </c>
      <c r="AB207" s="153">
        <f>$C207*INDEX(Curves!$AV$8:$AV$68,AB$4-$B207+1)</f>
        <v/>
      </c>
      <c r="AC207" s="153">
        <f>$C207*INDEX(Curves!$AV$8:$AV$68,AC$4-$B207+1)</f>
        <v/>
      </c>
      <c r="AD207" s="153">
        <f>$C207*INDEX(Curves!$AV$8:$AV$68,AD$4-$B207+1)</f>
        <v/>
      </c>
      <c r="AE207" s="153">
        <f>$C207*INDEX(Curves!$AV$8:$AV$68,AE$4-$B207+1)</f>
        <v/>
      </c>
      <c r="AF207" s="153">
        <f>$C207*INDEX(Curves!$AV$8:$AV$68,AF$4-$B207+1)</f>
        <v/>
      </c>
      <c r="AG207" s="153">
        <f>$C207*INDEX(Curves!$AV$8:$AV$68,AG$4-$B207+1)</f>
        <v/>
      </c>
      <c r="AH207" s="153">
        <f>$C207*INDEX(Curves!$AV$8:$AV$68,AH$4-$B207+1)</f>
        <v/>
      </c>
      <c r="AI207" s="153">
        <f>$C207*INDEX(Curves!$AV$8:$AV$68,AI$4-$B207+1)</f>
        <v/>
      </c>
      <c r="AJ207" s="153">
        <f>$C207*INDEX(Curves!$AV$8:$AV$68,AJ$4-$B207+1)</f>
        <v/>
      </c>
      <c r="AK207" s="153">
        <f>$C207*INDEX(Curves!$AV$8:$AV$68,AK$4-$B207+1)</f>
        <v/>
      </c>
      <c r="AL207" s="153">
        <f>$C207*INDEX(Curves!$AV$8:$AV$68,AL$4-$B207+1)</f>
        <v/>
      </c>
      <c r="AM207" s="153">
        <f>$C207*INDEX(Curves!$AV$8:$AV$68,AM$4-$B207+1)</f>
        <v/>
      </c>
      <c r="AN207" s="153">
        <f>$C207*INDEX(Curves!$AV$8:$AV$68,AN$4-$B207+1)</f>
        <v/>
      </c>
      <c r="AO207" s="153">
        <f>$C207*INDEX(Curves!$AV$8:$AV$68,AO$4-$B207+1)</f>
        <v/>
      </c>
      <c r="AP207" s="153">
        <f>$C207*INDEX(Curves!$AV$8:$AV$68,AP$4-$B207+1)</f>
        <v/>
      </c>
      <c r="AQ207" s="153">
        <f>$C207*INDEX(Curves!$AV$8:$AV$68,AQ$4-$B207+1)</f>
        <v/>
      </c>
      <c r="AR207" s="153">
        <f>$C207*INDEX(Curves!$AV$8:$AV$68,AR$4-$B207+1)</f>
        <v/>
      </c>
      <c r="AS207" s="153">
        <f>$C207*INDEX(Curves!$AV$8:$AV$68,AS$4-$B207+1)</f>
        <v/>
      </c>
      <c r="AT207" s="153">
        <f>$C207*INDEX(Curves!$AV$8:$AV$68,AT$4-$B207+1)</f>
        <v/>
      </c>
      <c r="AU207" s="153">
        <f>$C207*INDEX(Curves!$AV$8:$AV$68,AU$4-$B207+1)</f>
        <v/>
      </c>
      <c r="AV207" s="153">
        <f>$C207*INDEX(Curves!$AV$8:$AV$68,AV$4-$B207+1)</f>
        <v/>
      </c>
      <c r="AW207" s="153">
        <f>$C207*INDEX(Curves!$AV$8:$AV$68,AW$4-$B207+1)</f>
        <v/>
      </c>
      <c r="AX207" s="153">
        <f>$C207*INDEX(Curves!$AV$8:$AV$68,AX$4-$B207+1)</f>
        <v/>
      </c>
      <c r="AY207" s="153">
        <f>$C207*INDEX(Curves!$AV$8:$AV$68,AY$4-$B207+1)</f>
        <v/>
      </c>
      <c r="AZ207" s="153">
        <f>$C207*INDEX(Curves!$AV$8:$AV$68,AZ$4-$B207+1)</f>
        <v/>
      </c>
      <c r="BA207" s="153">
        <f>$C207*INDEX(Curves!$AV$8:$AV$68,BA$4-$B207+1)</f>
        <v/>
      </c>
      <c r="BB207" s="153">
        <f>$C207*INDEX(Curves!$AV$8:$AV$68,BB$4-$B207+1)</f>
        <v/>
      </c>
      <c r="BC207" s="153">
        <f>$C207*INDEX(Curves!$AV$8:$AV$68,BC$4-$B207+1)</f>
        <v/>
      </c>
      <c r="BD207" s="153">
        <f>$C207*INDEX(Curves!$AV$8:$AV$68,BD$4-$B207+1)</f>
        <v/>
      </c>
      <c r="BE207" s="153">
        <f>$C207*INDEX(Curves!$AV$8:$AV$68,BE$4-$B207+1)</f>
        <v/>
      </c>
      <c r="BF207" s="153">
        <f>$C207*INDEX(Curves!$AV$8:$AV$68,BF$4-$B207+1)</f>
        <v/>
      </c>
      <c r="BG207" s="153">
        <f>$C207*INDEX(Curves!$AV$8:$AV$68,BG$4-$B207+1)</f>
        <v/>
      </c>
      <c r="BH207" s="153">
        <f>$C207*INDEX(Curves!$AV$8:$AV$68,BH$4-$B207+1)</f>
        <v/>
      </c>
      <c r="BI207" s="153">
        <f>$C207*INDEX(Curves!$AV$8:$AV$68,BI$4-$B207+1)</f>
        <v/>
      </c>
      <c r="BJ207" s="153">
        <f>$C207*INDEX(Curves!$AV$8:$AV$68,BJ$4-$B207+1)</f>
        <v/>
      </c>
      <c r="BK207" s="153">
        <f>$C207*INDEX(Curves!$AV$8:$AV$68,BK$4-$B207+1)</f>
        <v/>
      </c>
      <c r="BL207" s="153">
        <f>$C207*INDEX(Curves!$AV$8:$AV$68,BL$4-$B207+1)</f>
        <v/>
      </c>
    </row>
    <row r="208">
      <c r="A208" s="147" t="inlineStr">
        <is>
          <t>Cohort month 10</t>
        </is>
      </c>
      <c r="B208" s="147" t="n">
        <v>10</v>
      </c>
      <c r="C208" s="41">
        <f>INDEX(Ops!$E$85:$BL$85,1,$B208)</f>
        <v/>
      </c>
      <c r="O208" s="153">
        <f>$C208*INDEX(Curves!$AV$8:$AV$68,O$4-$B208+1)</f>
        <v/>
      </c>
      <c r="P208" s="153">
        <f>$C208*INDEX(Curves!$AV$8:$AV$68,P$4-$B208+1)</f>
        <v/>
      </c>
      <c r="Q208" s="153">
        <f>$C208*INDEX(Curves!$AV$8:$AV$68,Q$4-$B208+1)</f>
        <v/>
      </c>
      <c r="R208" s="153">
        <f>$C208*INDEX(Curves!$AV$8:$AV$68,R$4-$B208+1)</f>
        <v/>
      </c>
      <c r="S208" s="153">
        <f>$C208*INDEX(Curves!$AV$8:$AV$68,S$4-$B208+1)</f>
        <v/>
      </c>
      <c r="T208" s="153">
        <f>$C208*INDEX(Curves!$AV$8:$AV$68,T$4-$B208+1)</f>
        <v/>
      </c>
      <c r="U208" s="153">
        <f>$C208*INDEX(Curves!$AV$8:$AV$68,U$4-$B208+1)</f>
        <v/>
      </c>
      <c r="V208" s="153">
        <f>$C208*INDEX(Curves!$AV$8:$AV$68,V$4-$B208+1)</f>
        <v/>
      </c>
      <c r="W208" s="153">
        <f>$C208*INDEX(Curves!$AV$8:$AV$68,W$4-$B208+1)</f>
        <v/>
      </c>
      <c r="X208" s="153">
        <f>$C208*INDEX(Curves!$AV$8:$AV$68,X$4-$B208+1)</f>
        <v/>
      </c>
      <c r="Y208" s="153">
        <f>$C208*INDEX(Curves!$AV$8:$AV$68,Y$4-$B208+1)</f>
        <v/>
      </c>
      <c r="Z208" s="153">
        <f>$C208*INDEX(Curves!$AV$8:$AV$68,Z$4-$B208+1)</f>
        <v/>
      </c>
      <c r="AA208" s="153">
        <f>$C208*INDEX(Curves!$AV$8:$AV$68,AA$4-$B208+1)</f>
        <v/>
      </c>
      <c r="AB208" s="153">
        <f>$C208*INDEX(Curves!$AV$8:$AV$68,AB$4-$B208+1)</f>
        <v/>
      </c>
      <c r="AC208" s="153">
        <f>$C208*INDEX(Curves!$AV$8:$AV$68,AC$4-$B208+1)</f>
        <v/>
      </c>
      <c r="AD208" s="153">
        <f>$C208*INDEX(Curves!$AV$8:$AV$68,AD$4-$B208+1)</f>
        <v/>
      </c>
      <c r="AE208" s="153">
        <f>$C208*INDEX(Curves!$AV$8:$AV$68,AE$4-$B208+1)</f>
        <v/>
      </c>
      <c r="AF208" s="153">
        <f>$C208*INDEX(Curves!$AV$8:$AV$68,AF$4-$B208+1)</f>
        <v/>
      </c>
      <c r="AG208" s="153">
        <f>$C208*INDEX(Curves!$AV$8:$AV$68,AG$4-$B208+1)</f>
        <v/>
      </c>
      <c r="AH208" s="153">
        <f>$C208*INDEX(Curves!$AV$8:$AV$68,AH$4-$B208+1)</f>
        <v/>
      </c>
      <c r="AI208" s="153">
        <f>$C208*INDEX(Curves!$AV$8:$AV$68,AI$4-$B208+1)</f>
        <v/>
      </c>
      <c r="AJ208" s="153">
        <f>$C208*INDEX(Curves!$AV$8:$AV$68,AJ$4-$B208+1)</f>
        <v/>
      </c>
      <c r="AK208" s="153">
        <f>$C208*INDEX(Curves!$AV$8:$AV$68,AK$4-$B208+1)</f>
        <v/>
      </c>
      <c r="AL208" s="153">
        <f>$C208*INDEX(Curves!$AV$8:$AV$68,AL$4-$B208+1)</f>
        <v/>
      </c>
      <c r="AM208" s="153">
        <f>$C208*INDEX(Curves!$AV$8:$AV$68,AM$4-$B208+1)</f>
        <v/>
      </c>
      <c r="AN208" s="153">
        <f>$C208*INDEX(Curves!$AV$8:$AV$68,AN$4-$B208+1)</f>
        <v/>
      </c>
      <c r="AO208" s="153">
        <f>$C208*INDEX(Curves!$AV$8:$AV$68,AO$4-$B208+1)</f>
        <v/>
      </c>
      <c r="AP208" s="153">
        <f>$C208*INDEX(Curves!$AV$8:$AV$68,AP$4-$B208+1)</f>
        <v/>
      </c>
      <c r="AQ208" s="153">
        <f>$C208*INDEX(Curves!$AV$8:$AV$68,AQ$4-$B208+1)</f>
        <v/>
      </c>
      <c r="AR208" s="153">
        <f>$C208*INDEX(Curves!$AV$8:$AV$68,AR$4-$B208+1)</f>
        <v/>
      </c>
      <c r="AS208" s="153">
        <f>$C208*INDEX(Curves!$AV$8:$AV$68,AS$4-$B208+1)</f>
        <v/>
      </c>
      <c r="AT208" s="153">
        <f>$C208*INDEX(Curves!$AV$8:$AV$68,AT$4-$B208+1)</f>
        <v/>
      </c>
      <c r="AU208" s="153">
        <f>$C208*INDEX(Curves!$AV$8:$AV$68,AU$4-$B208+1)</f>
        <v/>
      </c>
      <c r="AV208" s="153">
        <f>$C208*INDEX(Curves!$AV$8:$AV$68,AV$4-$B208+1)</f>
        <v/>
      </c>
      <c r="AW208" s="153">
        <f>$C208*INDEX(Curves!$AV$8:$AV$68,AW$4-$B208+1)</f>
        <v/>
      </c>
      <c r="AX208" s="153">
        <f>$C208*INDEX(Curves!$AV$8:$AV$68,AX$4-$B208+1)</f>
        <v/>
      </c>
      <c r="AY208" s="153">
        <f>$C208*INDEX(Curves!$AV$8:$AV$68,AY$4-$B208+1)</f>
        <v/>
      </c>
      <c r="AZ208" s="153">
        <f>$C208*INDEX(Curves!$AV$8:$AV$68,AZ$4-$B208+1)</f>
        <v/>
      </c>
      <c r="BA208" s="153">
        <f>$C208*INDEX(Curves!$AV$8:$AV$68,BA$4-$B208+1)</f>
        <v/>
      </c>
      <c r="BB208" s="153">
        <f>$C208*INDEX(Curves!$AV$8:$AV$68,BB$4-$B208+1)</f>
        <v/>
      </c>
      <c r="BC208" s="153">
        <f>$C208*INDEX(Curves!$AV$8:$AV$68,BC$4-$B208+1)</f>
        <v/>
      </c>
      <c r="BD208" s="153">
        <f>$C208*INDEX(Curves!$AV$8:$AV$68,BD$4-$B208+1)</f>
        <v/>
      </c>
      <c r="BE208" s="153">
        <f>$C208*INDEX(Curves!$AV$8:$AV$68,BE$4-$B208+1)</f>
        <v/>
      </c>
      <c r="BF208" s="153">
        <f>$C208*INDEX(Curves!$AV$8:$AV$68,BF$4-$B208+1)</f>
        <v/>
      </c>
      <c r="BG208" s="153">
        <f>$C208*INDEX(Curves!$AV$8:$AV$68,BG$4-$B208+1)</f>
        <v/>
      </c>
      <c r="BH208" s="153">
        <f>$C208*INDEX(Curves!$AV$8:$AV$68,BH$4-$B208+1)</f>
        <v/>
      </c>
      <c r="BI208" s="153">
        <f>$C208*INDEX(Curves!$AV$8:$AV$68,BI$4-$B208+1)</f>
        <v/>
      </c>
      <c r="BJ208" s="153">
        <f>$C208*INDEX(Curves!$AV$8:$AV$68,BJ$4-$B208+1)</f>
        <v/>
      </c>
      <c r="BK208" s="153">
        <f>$C208*INDEX(Curves!$AV$8:$AV$68,BK$4-$B208+1)</f>
        <v/>
      </c>
      <c r="BL208" s="153">
        <f>$C208*INDEX(Curves!$AV$8:$AV$68,BL$4-$B208+1)</f>
        <v/>
      </c>
    </row>
    <row r="209">
      <c r="A209" s="147" t="inlineStr">
        <is>
          <t>Cohort month 11</t>
        </is>
      </c>
      <c r="B209" s="147" t="n">
        <v>11</v>
      </c>
      <c r="C209" s="41">
        <f>INDEX(Ops!$E$85:$BL$85,1,$B209)</f>
        <v/>
      </c>
      <c r="P209" s="153">
        <f>$C209*INDEX(Curves!$AV$8:$AV$68,P$4-$B209+1)</f>
        <v/>
      </c>
      <c r="Q209" s="153">
        <f>$C209*INDEX(Curves!$AV$8:$AV$68,Q$4-$B209+1)</f>
        <v/>
      </c>
      <c r="R209" s="153">
        <f>$C209*INDEX(Curves!$AV$8:$AV$68,R$4-$B209+1)</f>
        <v/>
      </c>
      <c r="S209" s="153">
        <f>$C209*INDEX(Curves!$AV$8:$AV$68,S$4-$B209+1)</f>
        <v/>
      </c>
      <c r="T209" s="153">
        <f>$C209*INDEX(Curves!$AV$8:$AV$68,T$4-$B209+1)</f>
        <v/>
      </c>
      <c r="U209" s="153">
        <f>$C209*INDEX(Curves!$AV$8:$AV$68,U$4-$B209+1)</f>
        <v/>
      </c>
      <c r="V209" s="153">
        <f>$C209*INDEX(Curves!$AV$8:$AV$68,V$4-$B209+1)</f>
        <v/>
      </c>
      <c r="W209" s="153">
        <f>$C209*INDEX(Curves!$AV$8:$AV$68,W$4-$B209+1)</f>
        <v/>
      </c>
      <c r="X209" s="153">
        <f>$C209*INDEX(Curves!$AV$8:$AV$68,X$4-$B209+1)</f>
        <v/>
      </c>
      <c r="Y209" s="153">
        <f>$C209*INDEX(Curves!$AV$8:$AV$68,Y$4-$B209+1)</f>
        <v/>
      </c>
      <c r="Z209" s="153">
        <f>$C209*INDEX(Curves!$AV$8:$AV$68,Z$4-$B209+1)</f>
        <v/>
      </c>
      <c r="AA209" s="153">
        <f>$C209*INDEX(Curves!$AV$8:$AV$68,AA$4-$B209+1)</f>
        <v/>
      </c>
      <c r="AB209" s="153">
        <f>$C209*INDEX(Curves!$AV$8:$AV$68,AB$4-$B209+1)</f>
        <v/>
      </c>
      <c r="AC209" s="153">
        <f>$C209*INDEX(Curves!$AV$8:$AV$68,AC$4-$B209+1)</f>
        <v/>
      </c>
      <c r="AD209" s="153">
        <f>$C209*INDEX(Curves!$AV$8:$AV$68,AD$4-$B209+1)</f>
        <v/>
      </c>
      <c r="AE209" s="153">
        <f>$C209*INDEX(Curves!$AV$8:$AV$68,AE$4-$B209+1)</f>
        <v/>
      </c>
      <c r="AF209" s="153">
        <f>$C209*INDEX(Curves!$AV$8:$AV$68,AF$4-$B209+1)</f>
        <v/>
      </c>
      <c r="AG209" s="153">
        <f>$C209*INDEX(Curves!$AV$8:$AV$68,AG$4-$B209+1)</f>
        <v/>
      </c>
      <c r="AH209" s="153">
        <f>$C209*INDEX(Curves!$AV$8:$AV$68,AH$4-$B209+1)</f>
        <v/>
      </c>
      <c r="AI209" s="153">
        <f>$C209*INDEX(Curves!$AV$8:$AV$68,AI$4-$B209+1)</f>
        <v/>
      </c>
      <c r="AJ209" s="153">
        <f>$C209*INDEX(Curves!$AV$8:$AV$68,AJ$4-$B209+1)</f>
        <v/>
      </c>
      <c r="AK209" s="153">
        <f>$C209*INDEX(Curves!$AV$8:$AV$68,AK$4-$B209+1)</f>
        <v/>
      </c>
      <c r="AL209" s="153">
        <f>$C209*INDEX(Curves!$AV$8:$AV$68,AL$4-$B209+1)</f>
        <v/>
      </c>
      <c r="AM209" s="153">
        <f>$C209*INDEX(Curves!$AV$8:$AV$68,AM$4-$B209+1)</f>
        <v/>
      </c>
      <c r="AN209" s="153">
        <f>$C209*INDEX(Curves!$AV$8:$AV$68,AN$4-$B209+1)</f>
        <v/>
      </c>
      <c r="AO209" s="153">
        <f>$C209*INDEX(Curves!$AV$8:$AV$68,AO$4-$B209+1)</f>
        <v/>
      </c>
      <c r="AP209" s="153">
        <f>$C209*INDEX(Curves!$AV$8:$AV$68,AP$4-$B209+1)</f>
        <v/>
      </c>
      <c r="AQ209" s="153">
        <f>$C209*INDEX(Curves!$AV$8:$AV$68,AQ$4-$B209+1)</f>
        <v/>
      </c>
      <c r="AR209" s="153">
        <f>$C209*INDEX(Curves!$AV$8:$AV$68,AR$4-$B209+1)</f>
        <v/>
      </c>
      <c r="AS209" s="153">
        <f>$C209*INDEX(Curves!$AV$8:$AV$68,AS$4-$B209+1)</f>
        <v/>
      </c>
      <c r="AT209" s="153">
        <f>$C209*INDEX(Curves!$AV$8:$AV$68,AT$4-$B209+1)</f>
        <v/>
      </c>
      <c r="AU209" s="153">
        <f>$C209*INDEX(Curves!$AV$8:$AV$68,AU$4-$B209+1)</f>
        <v/>
      </c>
      <c r="AV209" s="153">
        <f>$C209*INDEX(Curves!$AV$8:$AV$68,AV$4-$B209+1)</f>
        <v/>
      </c>
      <c r="AW209" s="153">
        <f>$C209*INDEX(Curves!$AV$8:$AV$68,AW$4-$B209+1)</f>
        <v/>
      </c>
      <c r="AX209" s="153">
        <f>$C209*INDEX(Curves!$AV$8:$AV$68,AX$4-$B209+1)</f>
        <v/>
      </c>
      <c r="AY209" s="153">
        <f>$C209*INDEX(Curves!$AV$8:$AV$68,AY$4-$B209+1)</f>
        <v/>
      </c>
      <c r="AZ209" s="153">
        <f>$C209*INDEX(Curves!$AV$8:$AV$68,AZ$4-$B209+1)</f>
        <v/>
      </c>
      <c r="BA209" s="153">
        <f>$C209*INDEX(Curves!$AV$8:$AV$68,BA$4-$B209+1)</f>
        <v/>
      </c>
      <c r="BB209" s="153">
        <f>$C209*INDEX(Curves!$AV$8:$AV$68,BB$4-$B209+1)</f>
        <v/>
      </c>
      <c r="BC209" s="153">
        <f>$C209*INDEX(Curves!$AV$8:$AV$68,BC$4-$B209+1)</f>
        <v/>
      </c>
      <c r="BD209" s="153">
        <f>$C209*INDEX(Curves!$AV$8:$AV$68,BD$4-$B209+1)</f>
        <v/>
      </c>
      <c r="BE209" s="153">
        <f>$C209*INDEX(Curves!$AV$8:$AV$68,BE$4-$B209+1)</f>
        <v/>
      </c>
      <c r="BF209" s="153">
        <f>$C209*INDEX(Curves!$AV$8:$AV$68,BF$4-$B209+1)</f>
        <v/>
      </c>
      <c r="BG209" s="153">
        <f>$C209*INDEX(Curves!$AV$8:$AV$68,BG$4-$B209+1)</f>
        <v/>
      </c>
      <c r="BH209" s="153">
        <f>$C209*INDEX(Curves!$AV$8:$AV$68,BH$4-$B209+1)</f>
        <v/>
      </c>
      <c r="BI209" s="153">
        <f>$C209*INDEX(Curves!$AV$8:$AV$68,BI$4-$B209+1)</f>
        <v/>
      </c>
      <c r="BJ209" s="153">
        <f>$C209*INDEX(Curves!$AV$8:$AV$68,BJ$4-$B209+1)</f>
        <v/>
      </c>
      <c r="BK209" s="153">
        <f>$C209*INDEX(Curves!$AV$8:$AV$68,BK$4-$B209+1)</f>
        <v/>
      </c>
      <c r="BL209" s="153">
        <f>$C209*INDEX(Curves!$AV$8:$AV$68,BL$4-$B209+1)</f>
        <v/>
      </c>
    </row>
    <row r="210">
      <c r="A210" s="147" t="inlineStr">
        <is>
          <t>Cohort month 12</t>
        </is>
      </c>
      <c r="B210" s="147" t="n">
        <v>12</v>
      </c>
      <c r="C210" s="41">
        <f>INDEX(Ops!$E$85:$BL$85,1,$B210)</f>
        <v/>
      </c>
      <c r="Q210" s="153">
        <f>$C210*INDEX(Curves!$AV$8:$AV$68,Q$4-$B210+1)</f>
        <v/>
      </c>
      <c r="R210" s="153">
        <f>$C210*INDEX(Curves!$AV$8:$AV$68,R$4-$B210+1)</f>
        <v/>
      </c>
      <c r="S210" s="153">
        <f>$C210*INDEX(Curves!$AV$8:$AV$68,S$4-$B210+1)</f>
        <v/>
      </c>
      <c r="T210" s="153">
        <f>$C210*INDEX(Curves!$AV$8:$AV$68,T$4-$B210+1)</f>
        <v/>
      </c>
      <c r="U210" s="153">
        <f>$C210*INDEX(Curves!$AV$8:$AV$68,U$4-$B210+1)</f>
        <v/>
      </c>
      <c r="V210" s="153">
        <f>$C210*INDEX(Curves!$AV$8:$AV$68,V$4-$B210+1)</f>
        <v/>
      </c>
      <c r="W210" s="153">
        <f>$C210*INDEX(Curves!$AV$8:$AV$68,W$4-$B210+1)</f>
        <v/>
      </c>
      <c r="X210" s="153">
        <f>$C210*INDEX(Curves!$AV$8:$AV$68,X$4-$B210+1)</f>
        <v/>
      </c>
      <c r="Y210" s="153">
        <f>$C210*INDEX(Curves!$AV$8:$AV$68,Y$4-$B210+1)</f>
        <v/>
      </c>
      <c r="Z210" s="153">
        <f>$C210*INDEX(Curves!$AV$8:$AV$68,Z$4-$B210+1)</f>
        <v/>
      </c>
      <c r="AA210" s="153">
        <f>$C210*INDEX(Curves!$AV$8:$AV$68,AA$4-$B210+1)</f>
        <v/>
      </c>
      <c r="AB210" s="153">
        <f>$C210*INDEX(Curves!$AV$8:$AV$68,AB$4-$B210+1)</f>
        <v/>
      </c>
      <c r="AC210" s="153">
        <f>$C210*INDEX(Curves!$AV$8:$AV$68,AC$4-$B210+1)</f>
        <v/>
      </c>
      <c r="AD210" s="153">
        <f>$C210*INDEX(Curves!$AV$8:$AV$68,AD$4-$B210+1)</f>
        <v/>
      </c>
      <c r="AE210" s="153">
        <f>$C210*INDEX(Curves!$AV$8:$AV$68,AE$4-$B210+1)</f>
        <v/>
      </c>
      <c r="AF210" s="153">
        <f>$C210*INDEX(Curves!$AV$8:$AV$68,AF$4-$B210+1)</f>
        <v/>
      </c>
      <c r="AG210" s="153">
        <f>$C210*INDEX(Curves!$AV$8:$AV$68,AG$4-$B210+1)</f>
        <v/>
      </c>
      <c r="AH210" s="153">
        <f>$C210*INDEX(Curves!$AV$8:$AV$68,AH$4-$B210+1)</f>
        <v/>
      </c>
      <c r="AI210" s="153">
        <f>$C210*INDEX(Curves!$AV$8:$AV$68,AI$4-$B210+1)</f>
        <v/>
      </c>
      <c r="AJ210" s="153">
        <f>$C210*INDEX(Curves!$AV$8:$AV$68,AJ$4-$B210+1)</f>
        <v/>
      </c>
      <c r="AK210" s="153">
        <f>$C210*INDEX(Curves!$AV$8:$AV$68,AK$4-$B210+1)</f>
        <v/>
      </c>
      <c r="AL210" s="153">
        <f>$C210*INDEX(Curves!$AV$8:$AV$68,AL$4-$B210+1)</f>
        <v/>
      </c>
      <c r="AM210" s="153">
        <f>$C210*INDEX(Curves!$AV$8:$AV$68,AM$4-$B210+1)</f>
        <v/>
      </c>
      <c r="AN210" s="153">
        <f>$C210*INDEX(Curves!$AV$8:$AV$68,AN$4-$B210+1)</f>
        <v/>
      </c>
      <c r="AO210" s="153">
        <f>$C210*INDEX(Curves!$AV$8:$AV$68,AO$4-$B210+1)</f>
        <v/>
      </c>
      <c r="AP210" s="153">
        <f>$C210*INDEX(Curves!$AV$8:$AV$68,AP$4-$B210+1)</f>
        <v/>
      </c>
      <c r="AQ210" s="153">
        <f>$C210*INDEX(Curves!$AV$8:$AV$68,AQ$4-$B210+1)</f>
        <v/>
      </c>
      <c r="AR210" s="153">
        <f>$C210*INDEX(Curves!$AV$8:$AV$68,AR$4-$B210+1)</f>
        <v/>
      </c>
      <c r="AS210" s="153">
        <f>$C210*INDEX(Curves!$AV$8:$AV$68,AS$4-$B210+1)</f>
        <v/>
      </c>
      <c r="AT210" s="153">
        <f>$C210*INDEX(Curves!$AV$8:$AV$68,AT$4-$B210+1)</f>
        <v/>
      </c>
      <c r="AU210" s="153">
        <f>$C210*INDEX(Curves!$AV$8:$AV$68,AU$4-$B210+1)</f>
        <v/>
      </c>
      <c r="AV210" s="153">
        <f>$C210*INDEX(Curves!$AV$8:$AV$68,AV$4-$B210+1)</f>
        <v/>
      </c>
      <c r="AW210" s="153">
        <f>$C210*INDEX(Curves!$AV$8:$AV$68,AW$4-$B210+1)</f>
        <v/>
      </c>
      <c r="AX210" s="153">
        <f>$C210*INDEX(Curves!$AV$8:$AV$68,AX$4-$B210+1)</f>
        <v/>
      </c>
      <c r="AY210" s="153">
        <f>$C210*INDEX(Curves!$AV$8:$AV$68,AY$4-$B210+1)</f>
        <v/>
      </c>
      <c r="AZ210" s="153">
        <f>$C210*INDEX(Curves!$AV$8:$AV$68,AZ$4-$B210+1)</f>
        <v/>
      </c>
      <c r="BA210" s="153">
        <f>$C210*INDEX(Curves!$AV$8:$AV$68,BA$4-$B210+1)</f>
        <v/>
      </c>
      <c r="BB210" s="153">
        <f>$C210*INDEX(Curves!$AV$8:$AV$68,BB$4-$B210+1)</f>
        <v/>
      </c>
      <c r="BC210" s="153">
        <f>$C210*INDEX(Curves!$AV$8:$AV$68,BC$4-$B210+1)</f>
        <v/>
      </c>
      <c r="BD210" s="153">
        <f>$C210*INDEX(Curves!$AV$8:$AV$68,BD$4-$B210+1)</f>
        <v/>
      </c>
      <c r="BE210" s="153">
        <f>$C210*INDEX(Curves!$AV$8:$AV$68,BE$4-$B210+1)</f>
        <v/>
      </c>
      <c r="BF210" s="153">
        <f>$C210*INDEX(Curves!$AV$8:$AV$68,BF$4-$B210+1)</f>
        <v/>
      </c>
      <c r="BG210" s="153">
        <f>$C210*INDEX(Curves!$AV$8:$AV$68,BG$4-$B210+1)</f>
        <v/>
      </c>
      <c r="BH210" s="153">
        <f>$C210*INDEX(Curves!$AV$8:$AV$68,BH$4-$B210+1)</f>
        <v/>
      </c>
      <c r="BI210" s="153">
        <f>$C210*INDEX(Curves!$AV$8:$AV$68,BI$4-$B210+1)</f>
        <v/>
      </c>
      <c r="BJ210" s="153">
        <f>$C210*INDEX(Curves!$AV$8:$AV$68,BJ$4-$B210+1)</f>
        <v/>
      </c>
      <c r="BK210" s="153">
        <f>$C210*INDEX(Curves!$AV$8:$AV$68,BK$4-$B210+1)</f>
        <v/>
      </c>
      <c r="BL210" s="153">
        <f>$C210*INDEX(Curves!$AV$8:$AV$68,BL$4-$B210+1)</f>
        <v/>
      </c>
    </row>
    <row r="211">
      <c r="A211" s="147" t="inlineStr">
        <is>
          <t>Cohort month 13</t>
        </is>
      </c>
      <c r="B211" s="147" t="n">
        <v>13</v>
      </c>
      <c r="C211" s="41">
        <f>INDEX(Ops!$E$85:$BL$85,1,$B211)</f>
        <v/>
      </c>
      <c r="R211" s="153">
        <f>$C211*INDEX(Curves!$AV$8:$AV$68,R$4-$B211+1)</f>
        <v/>
      </c>
      <c r="S211" s="153">
        <f>$C211*INDEX(Curves!$AV$8:$AV$68,S$4-$B211+1)</f>
        <v/>
      </c>
      <c r="T211" s="153">
        <f>$C211*INDEX(Curves!$AV$8:$AV$68,T$4-$B211+1)</f>
        <v/>
      </c>
      <c r="U211" s="153">
        <f>$C211*INDEX(Curves!$AV$8:$AV$68,U$4-$B211+1)</f>
        <v/>
      </c>
      <c r="V211" s="153">
        <f>$C211*INDEX(Curves!$AV$8:$AV$68,V$4-$B211+1)</f>
        <v/>
      </c>
      <c r="W211" s="153">
        <f>$C211*INDEX(Curves!$AV$8:$AV$68,W$4-$B211+1)</f>
        <v/>
      </c>
      <c r="X211" s="153">
        <f>$C211*INDEX(Curves!$AV$8:$AV$68,X$4-$B211+1)</f>
        <v/>
      </c>
      <c r="Y211" s="153">
        <f>$C211*INDEX(Curves!$AV$8:$AV$68,Y$4-$B211+1)</f>
        <v/>
      </c>
      <c r="Z211" s="153">
        <f>$C211*INDEX(Curves!$AV$8:$AV$68,Z$4-$B211+1)</f>
        <v/>
      </c>
      <c r="AA211" s="153">
        <f>$C211*INDEX(Curves!$AV$8:$AV$68,AA$4-$B211+1)</f>
        <v/>
      </c>
      <c r="AB211" s="153">
        <f>$C211*INDEX(Curves!$AV$8:$AV$68,AB$4-$B211+1)</f>
        <v/>
      </c>
      <c r="AC211" s="153">
        <f>$C211*INDEX(Curves!$AV$8:$AV$68,AC$4-$B211+1)</f>
        <v/>
      </c>
      <c r="AD211" s="153">
        <f>$C211*INDEX(Curves!$AV$8:$AV$68,AD$4-$B211+1)</f>
        <v/>
      </c>
      <c r="AE211" s="153">
        <f>$C211*INDEX(Curves!$AV$8:$AV$68,AE$4-$B211+1)</f>
        <v/>
      </c>
      <c r="AF211" s="153">
        <f>$C211*INDEX(Curves!$AV$8:$AV$68,AF$4-$B211+1)</f>
        <v/>
      </c>
      <c r="AG211" s="153">
        <f>$C211*INDEX(Curves!$AV$8:$AV$68,AG$4-$B211+1)</f>
        <v/>
      </c>
      <c r="AH211" s="153">
        <f>$C211*INDEX(Curves!$AV$8:$AV$68,AH$4-$B211+1)</f>
        <v/>
      </c>
      <c r="AI211" s="153">
        <f>$C211*INDEX(Curves!$AV$8:$AV$68,AI$4-$B211+1)</f>
        <v/>
      </c>
      <c r="AJ211" s="153">
        <f>$C211*INDEX(Curves!$AV$8:$AV$68,AJ$4-$B211+1)</f>
        <v/>
      </c>
      <c r="AK211" s="153">
        <f>$C211*INDEX(Curves!$AV$8:$AV$68,AK$4-$B211+1)</f>
        <v/>
      </c>
      <c r="AL211" s="153">
        <f>$C211*INDEX(Curves!$AV$8:$AV$68,AL$4-$B211+1)</f>
        <v/>
      </c>
      <c r="AM211" s="153">
        <f>$C211*INDEX(Curves!$AV$8:$AV$68,AM$4-$B211+1)</f>
        <v/>
      </c>
      <c r="AN211" s="153">
        <f>$C211*INDEX(Curves!$AV$8:$AV$68,AN$4-$B211+1)</f>
        <v/>
      </c>
      <c r="AO211" s="153">
        <f>$C211*INDEX(Curves!$AV$8:$AV$68,AO$4-$B211+1)</f>
        <v/>
      </c>
      <c r="AP211" s="153">
        <f>$C211*INDEX(Curves!$AV$8:$AV$68,AP$4-$B211+1)</f>
        <v/>
      </c>
      <c r="AQ211" s="153">
        <f>$C211*INDEX(Curves!$AV$8:$AV$68,AQ$4-$B211+1)</f>
        <v/>
      </c>
      <c r="AR211" s="153">
        <f>$C211*INDEX(Curves!$AV$8:$AV$68,AR$4-$B211+1)</f>
        <v/>
      </c>
      <c r="AS211" s="153">
        <f>$C211*INDEX(Curves!$AV$8:$AV$68,AS$4-$B211+1)</f>
        <v/>
      </c>
      <c r="AT211" s="153">
        <f>$C211*INDEX(Curves!$AV$8:$AV$68,AT$4-$B211+1)</f>
        <v/>
      </c>
      <c r="AU211" s="153">
        <f>$C211*INDEX(Curves!$AV$8:$AV$68,AU$4-$B211+1)</f>
        <v/>
      </c>
      <c r="AV211" s="153">
        <f>$C211*INDEX(Curves!$AV$8:$AV$68,AV$4-$B211+1)</f>
        <v/>
      </c>
      <c r="AW211" s="153">
        <f>$C211*INDEX(Curves!$AV$8:$AV$68,AW$4-$B211+1)</f>
        <v/>
      </c>
      <c r="AX211" s="153">
        <f>$C211*INDEX(Curves!$AV$8:$AV$68,AX$4-$B211+1)</f>
        <v/>
      </c>
      <c r="AY211" s="153">
        <f>$C211*INDEX(Curves!$AV$8:$AV$68,AY$4-$B211+1)</f>
        <v/>
      </c>
      <c r="AZ211" s="153">
        <f>$C211*INDEX(Curves!$AV$8:$AV$68,AZ$4-$B211+1)</f>
        <v/>
      </c>
      <c r="BA211" s="153">
        <f>$C211*INDEX(Curves!$AV$8:$AV$68,BA$4-$B211+1)</f>
        <v/>
      </c>
      <c r="BB211" s="153">
        <f>$C211*INDEX(Curves!$AV$8:$AV$68,BB$4-$B211+1)</f>
        <v/>
      </c>
      <c r="BC211" s="153">
        <f>$C211*INDEX(Curves!$AV$8:$AV$68,BC$4-$B211+1)</f>
        <v/>
      </c>
      <c r="BD211" s="153">
        <f>$C211*INDEX(Curves!$AV$8:$AV$68,BD$4-$B211+1)</f>
        <v/>
      </c>
      <c r="BE211" s="153">
        <f>$C211*INDEX(Curves!$AV$8:$AV$68,BE$4-$B211+1)</f>
        <v/>
      </c>
      <c r="BF211" s="153">
        <f>$C211*INDEX(Curves!$AV$8:$AV$68,BF$4-$B211+1)</f>
        <v/>
      </c>
      <c r="BG211" s="153">
        <f>$C211*INDEX(Curves!$AV$8:$AV$68,BG$4-$B211+1)</f>
        <v/>
      </c>
      <c r="BH211" s="153">
        <f>$C211*INDEX(Curves!$AV$8:$AV$68,BH$4-$B211+1)</f>
        <v/>
      </c>
      <c r="BI211" s="153">
        <f>$C211*INDEX(Curves!$AV$8:$AV$68,BI$4-$B211+1)</f>
        <v/>
      </c>
      <c r="BJ211" s="153">
        <f>$C211*INDEX(Curves!$AV$8:$AV$68,BJ$4-$B211+1)</f>
        <v/>
      </c>
      <c r="BK211" s="153">
        <f>$C211*INDEX(Curves!$AV$8:$AV$68,BK$4-$B211+1)</f>
        <v/>
      </c>
      <c r="BL211" s="153">
        <f>$C211*INDEX(Curves!$AV$8:$AV$68,BL$4-$B211+1)</f>
        <v/>
      </c>
    </row>
    <row r="212">
      <c r="A212" s="147" t="inlineStr">
        <is>
          <t>Cohort month 14</t>
        </is>
      </c>
      <c r="B212" s="147" t="n">
        <v>14</v>
      </c>
      <c r="C212" s="41">
        <f>INDEX(Ops!$E$85:$BL$85,1,$B212)</f>
        <v/>
      </c>
      <c r="S212" s="153">
        <f>$C212*INDEX(Curves!$AV$8:$AV$68,S$4-$B212+1)</f>
        <v/>
      </c>
      <c r="T212" s="153">
        <f>$C212*INDEX(Curves!$AV$8:$AV$68,T$4-$B212+1)</f>
        <v/>
      </c>
      <c r="U212" s="153">
        <f>$C212*INDEX(Curves!$AV$8:$AV$68,U$4-$B212+1)</f>
        <v/>
      </c>
      <c r="V212" s="153">
        <f>$C212*INDEX(Curves!$AV$8:$AV$68,V$4-$B212+1)</f>
        <v/>
      </c>
      <c r="W212" s="153">
        <f>$C212*INDEX(Curves!$AV$8:$AV$68,W$4-$B212+1)</f>
        <v/>
      </c>
      <c r="X212" s="153">
        <f>$C212*INDEX(Curves!$AV$8:$AV$68,X$4-$B212+1)</f>
        <v/>
      </c>
      <c r="Y212" s="153">
        <f>$C212*INDEX(Curves!$AV$8:$AV$68,Y$4-$B212+1)</f>
        <v/>
      </c>
      <c r="Z212" s="153">
        <f>$C212*INDEX(Curves!$AV$8:$AV$68,Z$4-$B212+1)</f>
        <v/>
      </c>
      <c r="AA212" s="153">
        <f>$C212*INDEX(Curves!$AV$8:$AV$68,AA$4-$B212+1)</f>
        <v/>
      </c>
      <c r="AB212" s="153">
        <f>$C212*INDEX(Curves!$AV$8:$AV$68,AB$4-$B212+1)</f>
        <v/>
      </c>
      <c r="AC212" s="153">
        <f>$C212*INDEX(Curves!$AV$8:$AV$68,AC$4-$B212+1)</f>
        <v/>
      </c>
      <c r="AD212" s="153">
        <f>$C212*INDEX(Curves!$AV$8:$AV$68,AD$4-$B212+1)</f>
        <v/>
      </c>
      <c r="AE212" s="153">
        <f>$C212*INDEX(Curves!$AV$8:$AV$68,AE$4-$B212+1)</f>
        <v/>
      </c>
      <c r="AF212" s="153">
        <f>$C212*INDEX(Curves!$AV$8:$AV$68,AF$4-$B212+1)</f>
        <v/>
      </c>
      <c r="AG212" s="153">
        <f>$C212*INDEX(Curves!$AV$8:$AV$68,AG$4-$B212+1)</f>
        <v/>
      </c>
      <c r="AH212" s="153">
        <f>$C212*INDEX(Curves!$AV$8:$AV$68,AH$4-$B212+1)</f>
        <v/>
      </c>
      <c r="AI212" s="153">
        <f>$C212*INDEX(Curves!$AV$8:$AV$68,AI$4-$B212+1)</f>
        <v/>
      </c>
      <c r="AJ212" s="153">
        <f>$C212*INDEX(Curves!$AV$8:$AV$68,AJ$4-$B212+1)</f>
        <v/>
      </c>
      <c r="AK212" s="153">
        <f>$C212*INDEX(Curves!$AV$8:$AV$68,AK$4-$B212+1)</f>
        <v/>
      </c>
      <c r="AL212" s="153">
        <f>$C212*INDEX(Curves!$AV$8:$AV$68,AL$4-$B212+1)</f>
        <v/>
      </c>
      <c r="AM212" s="153">
        <f>$C212*INDEX(Curves!$AV$8:$AV$68,AM$4-$B212+1)</f>
        <v/>
      </c>
      <c r="AN212" s="153">
        <f>$C212*INDEX(Curves!$AV$8:$AV$68,AN$4-$B212+1)</f>
        <v/>
      </c>
      <c r="AO212" s="153">
        <f>$C212*INDEX(Curves!$AV$8:$AV$68,AO$4-$B212+1)</f>
        <v/>
      </c>
      <c r="AP212" s="153">
        <f>$C212*INDEX(Curves!$AV$8:$AV$68,AP$4-$B212+1)</f>
        <v/>
      </c>
      <c r="AQ212" s="153">
        <f>$C212*INDEX(Curves!$AV$8:$AV$68,AQ$4-$B212+1)</f>
        <v/>
      </c>
      <c r="AR212" s="153">
        <f>$C212*INDEX(Curves!$AV$8:$AV$68,AR$4-$B212+1)</f>
        <v/>
      </c>
      <c r="AS212" s="153">
        <f>$C212*INDEX(Curves!$AV$8:$AV$68,AS$4-$B212+1)</f>
        <v/>
      </c>
      <c r="AT212" s="153">
        <f>$C212*INDEX(Curves!$AV$8:$AV$68,AT$4-$B212+1)</f>
        <v/>
      </c>
      <c r="AU212" s="153">
        <f>$C212*INDEX(Curves!$AV$8:$AV$68,AU$4-$B212+1)</f>
        <v/>
      </c>
      <c r="AV212" s="153">
        <f>$C212*INDEX(Curves!$AV$8:$AV$68,AV$4-$B212+1)</f>
        <v/>
      </c>
      <c r="AW212" s="153">
        <f>$C212*INDEX(Curves!$AV$8:$AV$68,AW$4-$B212+1)</f>
        <v/>
      </c>
      <c r="AX212" s="153">
        <f>$C212*INDEX(Curves!$AV$8:$AV$68,AX$4-$B212+1)</f>
        <v/>
      </c>
      <c r="AY212" s="153">
        <f>$C212*INDEX(Curves!$AV$8:$AV$68,AY$4-$B212+1)</f>
        <v/>
      </c>
      <c r="AZ212" s="153">
        <f>$C212*INDEX(Curves!$AV$8:$AV$68,AZ$4-$B212+1)</f>
        <v/>
      </c>
      <c r="BA212" s="153">
        <f>$C212*INDEX(Curves!$AV$8:$AV$68,BA$4-$B212+1)</f>
        <v/>
      </c>
      <c r="BB212" s="153">
        <f>$C212*INDEX(Curves!$AV$8:$AV$68,BB$4-$B212+1)</f>
        <v/>
      </c>
      <c r="BC212" s="153">
        <f>$C212*INDEX(Curves!$AV$8:$AV$68,BC$4-$B212+1)</f>
        <v/>
      </c>
      <c r="BD212" s="153">
        <f>$C212*INDEX(Curves!$AV$8:$AV$68,BD$4-$B212+1)</f>
        <v/>
      </c>
      <c r="BE212" s="153">
        <f>$C212*INDEX(Curves!$AV$8:$AV$68,BE$4-$B212+1)</f>
        <v/>
      </c>
      <c r="BF212" s="153">
        <f>$C212*INDEX(Curves!$AV$8:$AV$68,BF$4-$B212+1)</f>
        <v/>
      </c>
      <c r="BG212" s="153">
        <f>$C212*INDEX(Curves!$AV$8:$AV$68,BG$4-$B212+1)</f>
        <v/>
      </c>
      <c r="BH212" s="153">
        <f>$C212*INDEX(Curves!$AV$8:$AV$68,BH$4-$B212+1)</f>
        <v/>
      </c>
      <c r="BI212" s="153">
        <f>$C212*INDEX(Curves!$AV$8:$AV$68,BI$4-$B212+1)</f>
        <v/>
      </c>
      <c r="BJ212" s="153">
        <f>$C212*INDEX(Curves!$AV$8:$AV$68,BJ$4-$B212+1)</f>
        <v/>
      </c>
      <c r="BK212" s="153">
        <f>$C212*INDEX(Curves!$AV$8:$AV$68,BK$4-$B212+1)</f>
        <v/>
      </c>
      <c r="BL212" s="153">
        <f>$C212*INDEX(Curves!$AV$8:$AV$68,BL$4-$B212+1)</f>
        <v/>
      </c>
    </row>
    <row r="213">
      <c r="A213" s="147" t="inlineStr">
        <is>
          <t>Cohort month 15</t>
        </is>
      </c>
      <c r="B213" s="147" t="n">
        <v>15</v>
      </c>
      <c r="C213" s="41">
        <f>INDEX(Ops!$E$85:$BL$85,1,$B213)</f>
        <v/>
      </c>
      <c r="T213" s="153">
        <f>$C213*INDEX(Curves!$AV$8:$AV$68,T$4-$B213+1)</f>
        <v/>
      </c>
      <c r="U213" s="153">
        <f>$C213*INDEX(Curves!$AV$8:$AV$68,U$4-$B213+1)</f>
        <v/>
      </c>
      <c r="V213" s="153">
        <f>$C213*INDEX(Curves!$AV$8:$AV$68,V$4-$B213+1)</f>
        <v/>
      </c>
      <c r="W213" s="153">
        <f>$C213*INDEX(Curves!$AV$8:$AV$68,W$4-$B213+1)</f>
        <v/>
      </c>
      <c r="X213" s="153">
        <f>$C213*INDEX(Curves!$AV$8:$AV$68,X$4-$B213+1)</f>
        <v/>
      </c>
      <c r="Y213" s="153">
        <f>$C213*INDEX(Curves!$AV$8:$AV$68,Y$4-$B213+1)</f>
        <v/>
      </c>
      <c r="Z213" s="153">
        <f>$C213*INDEX(Curves!$AV$8:$AV$68,Z$4-$B213+1)</f>
        <v/>
      </c>
      <c r="AA213" s="153">
        <f>$C213*INDEX(Curves!$AV$8:$AV$68,AA$4-$B213+1)</f>
        <v/>
      </c>
      <c r="AB213" s="153">
        <f>$C213*INDEX(Curves!$AV$8:$AV$68,AB$4-$B213+1)</f>
        <v/>
      </c>
      <c r="AC213" s="153">
        <f>$C213*INDEX(Curves!$AV$8:$AV$68,AC$4-$B213+1)</f>
        <v/>
      </c>
      <c r="AD213" s="153">
        <f>$C213*INDEX(Curves!$AV$8:$AV$68,AD$4-$B213+1)</f>
        <v/>
      </c>
      <c r="AE213" s="153">
        <f>$C213*INDEX(Curves!$AV$8:$AV$68,AE$4-$B213+1)</f>
        <v/>
      </c>
      <c r="AF213" s="153">
        <f>$C213*INDEX(Curves!$AV$8:$AV$68,AF$4-$B213+1)</f>
        <v/>
      </c>
      <c r="AG213" s="153">
        <f>$C213*INDEX(Curves!$AV$8:$AV$68,AG$4-$B213+1)</f>
        <v/>
      </c>
      <c r="AH213" s="153">
        <f>$C213*INDEX(Curves!$AV$8:$AV$68,AH$4-$B213+1)</f>
        <v/>
      </c>
      <c r="AI213" s="153">
        <f>$C213*INDEX(Curves!$AV$8:$AV$68,AI$4-$B213+1)</f>
        <v/>
      </c>
      <c r="AJ213" s="153">
        <f>$C213*INDEX(Curves!$AV$8:$AV$68,AJ$4-$B213+1)</f>
        <v/>
      </c>
      <c r="AK213" s="153">
        <f>$C213*INDEX(Curves!$AV$8:$AV$68,AK$4-$B213+1)</f>
        <v/>
      </c>
      <c r="AL213" s="153">
        <f>$C213*INDEX(Curves!$AV$8:$AV$68,AL$4-$B213+1)</f>
        <v/>
      </c>
      <c r="AM213" s="153">
        <f>$C213*INDEX(Curves!$AV$8:$AV$68,AM$4-$B213+1)</f>
        <v/>
      </c>
      <c r="AN213" s="153">
        <f>$C213*INDEX(Curves!$AV$8:$AV$68,AN$4-$B213+1)</f>
        <v/>
      </c>
      <c r="AO213" s="153">
        <f>$C213*INDEX(Curves!$AV$8:$AV$68,AO$4-$B213+1)</f>
        <v/>
      </c>
      <c r="AP213" s="153">
        <f>$C213*INDEX(Curves!$AV$8:$AV$68,AP$4-$B213+1)</f>
        <v/>
      </c>
      <c r="AQ213" s="153">
        <f>$C213*INDEX(Curves!$AV$8:$AV$68,AQ$4-$B213+1)</f>
        <v/>
      </c>
      <c r="AR213" s="153">
        <f>$C213*INDEX(Curves!$AV$8:$AV$68,AR$4-$B213+1)</f>
        <v/>
      </c>
      <c r="AS213" s="153">
        <f>$C213*INDEX(Curves!$AV$8:$AV$68,AS$4-$B213+1)</f>
        <v/>
      </c>
      <c r="AT213" s="153">
        <f>$C213*INDEX(Curves!$AV$8:$AV$68,AT$4-$B213+1)</f>
        <v/>
      </c>
      <c r="AU213" s="153">
        <f>$C213*INDEX(Curves!$AV$8:$AV$68,AU$4-$B213+1)</f>
        <v/>
      </c>
      <c r="AV213" s="153">
        <f>$C213*INDEX(Curves!$AV$8:$AV$68,AV$4-$B213+1)</f>
        <v/>
      </c>
      <c r="AW213" s="153">
        <f>$C213*INDEX(Curves!$AV$8:$AV$68,AW$4-$B213+1)</f>
        <v/>
      </c>
      <c r="AX213" s="153">
        <f>$C213*INDEX(Curves!$AV$8:$AV$68,AX$4-$B213+1)</f>
        <v/>
      </c>
      <c r="AY213" s="153">
        <f>$C213*INDEX(Curves!$AV$8:$AV$68,AY$4-$B213+1)</f>
        <v/>
      </c>
      <c r="AZ213" s="153">
        <f>$C213*INDEX(Curves!$AV$8:$AV$68,AZ$4-$B213+1)</f>
        <v/>
      </c>
      <c r="BA213" s="153">
        <f>$C213*INDEX(Curves!$AV$8:$AV$68,BA$4-$B213+1)</f>
        <v/>
      </c>
      <c r="BB213" s="153">
        <f>$C213*INDEX(Curves!$AV$8:$AV$68,BB$4-$B213+1)</f>
        <v/>
      </c>
      <c r="BC213" s="153">
        <f>$C213*INDEX(Curves!$AV$8:$AV$68,BC$4-$B213+1)</f>
        <v/>
      </c>
      <c r="BD213" s="153">
        <f>$C213*INDEX(Curves!$AV$8:$AV$68,BD$4-$B213+1)</f>
        <v/>
      </c>
      <c r="BE213" s="153">
        <f>$C213*INDEX(Curves!$AV$8:$AV$68,BE$4-$B213+1)</f>
        <v/>
      </c>
      <c r="BF213" s="153">
        <f>$C213*INDEX(Curves!$AV$8:$AV$68,BF$4-$B213+1)</f>
        <v/>
      </c>
      <c r="BG213" s="153">
        <f>$C213*INDEX(Curves!$AV$8:$AV$68,BG$4-$B213+1)</f>
        <v/>
      </c>
      <c r="BH213" s="153">
        <f>$C213*INDEX(Curves!$AV$8:$AV$68,BH$4-$B213+1)</f>
        <v/>
      </c>
      <c r="BI213" s="153">
        <f>$C213*INDEX(Curves!$AV$8:$AV$68,BI$4-$B213+1)</f>
        <v/>
      </c>
      <c r="BJ213" s="153">
        <f>$C213*INDEX(Curves!$AV$8:$AV$68,BJ$4-$B213+1)</f>
        <v/>
      </c>
      <c r="BK213" s="153">
        <f>$C213*INDEX(Curves!$AV$8:$AV$68,BK$4-$B213+1)</f>
        <v/>
      </c>
      <c r="BL213" s="153">
        <f>$C213*INDEX(Curves!$AV$8:$AV$68,BL$4-$B213+1)</f>
        <v/>
      </c>
    </row>
    <row r="214">
      <c r="A214" s="147" t="inlineStr">
        <is>
          <t>Cohort month 16</t>
        </is>
      </c>
      <c r="B214" s="147" t="n">
        <v>16</v>
      </c>
      <c r="C214" s="41">
        <f>INDEX(Ops!$E$85:$BL$85,1,$B214)</f>
        <v/>
      </c>
      <c r="U214" s="153">
        <f>$C214*INDEX(Curves!$AV$8:$AV$68,U$4-$B214+1)</f>
        <v/>
      </c>
      <c r="V214" s="153">
        <f>$C214*INDEX(Curves!$AV$8:$AV$68,V$4-$B214+1)</f>
        <v/>
      </c>
      <c r="W214" s="153">
        <f>$C214*INDEX(Curves!$AV$8:$AV$68,W$4-$B214+1)</f>
        <v/>
      </c>
      <c r="X214" s="153">
        <f>$C214*INDEX(Curves!$AV$8:$AV$68,X$4-$B214+1)</f>
        <v/>
      </c>
      <c r="Y214" s="153">
        <f>$C214*INDEX(Curves!$AV$8:$AV$68,Y$4-$B214+1)</f>
        <v/>
      </c>
      <c r="Z214" s="153">
        <f>$C214*INDEX(Curves!$AV$8:$AV$68,Z$4-$B214+1)</f>
        <v/>
      </c>
      <c r="AA214" s="153">
        <f>$C214*INDEX(Curves!$AV$8:$AV$68,AA$4-$B214+1)</f>
        <v/>
      </c>
      <c r="AB214" s="153">
        <f>$C214*INDEX(Curves!$AV$8:$AV$68,AB$4-$B214+1)</f>
        <v/>
      </c>
      <c r="AC214" s="153">
        <f>$C214*INDEX(Curves!$AV$8:$AV$68,AC$4-$B214+1)</f>
        <v/>
      </c>
      <c r="AD214" s="153">
        <f>$C214*INDEX(Curves!$AV$8:$AV$68,AD$4-$B214+1)</f>
        <v/>
      </c>
      <c r="AE214" s="153">
        <f>$C214*INDEX(Curves!$AV$8:$AV$68,AE$4-$B214+1)</f>
        <v/>
      </c>
      <c r="AF214" s="153">
        <f>$C214*INDEX(Curves!$AV$8:$AV$68,AF$4-$B214+1)</f>
        <v/>
      </c>
      <c r="AG214" s="153">
        <f>$C214*INDEX(Curves!$AV$8:$AV$68,AG$4-$B214+1)</f>
        <v/>
      </c>
      <c r="AH214" s="153">
        <f>$C214*INDEX(Curves!$AV$8:$AV$68,AH$4-$B214+1)</f>
        <v/>
      </c>
      <c r="AI214" s="153">
        <f>$C214*INDEX(Curves!$AV$8:$AV$68,AI$4-$B214+1)</f>
        <v/>
      </c>
      <c r="AJ214" s="153">
        <f>$C214*INDEX(Curves!$AV$8:$AV$68,AJ$4-$B214+1)</f>
        <v/>
      </c>
      <c r="AK214" s="153">
        <f>$C214*INDEX(Curves!$AV$8:$AV$68,AK$4-$B214+1)</f>
        <v/>
      </c>
      <c r="AL214" s="153">
        <f>$C214*INDEX(Curves!$AV$8:$AV$68,AL$4-$B214+1)</f>
        <v/>
      </c>
      <c r="AM214" s="153">
        <f>$C214*INDEX(Curves!$AV$8:$AV$68,AM$4-$B214+1)</f>
        <v/>
      </c>
      <c r="AN214" s="153">
        <f>$C214*INDEX(Curves!$AV$8:$AV$68,AN$4-$B214+1)</f>
        <v/>
      </c>
      <c r="AO214" s="153">
        <f>$C214*INDEX(Curves!$AV$8:$AV$68,AO$4-$B214+1)</f>
        <v/>
      </c>
      <c r="AP214" s="153">
        <f>$C214*INDEX(Curves!$AV$8:$AV$68,AP$4-$B214+1)</f>
        <v/>
      </c>
      <c r="AQ214" s="153">
        <f>$C214*INDEX(Curves!$AV$8:$AV$68,AQ$4-$B214+1)</f>
        <v/>
      </c>
      <c r="AR214" s="153">
        <f>$C214*INDEX(Curves!$AV$8:$AV$68,AR$4-$B214+1)</f>
        <v/>
      </c>
      <c r="AS214" s="153">
        <f>$C214*INDEX(Curves!$AV$8:$AV$68,AS$4-$B214+1)</f>
        <v/>
      </c>
      <c r="AT214" s="153">
        <f>$C214*INDEX(Curves!$AV$8:$AV$68,AT$4-$B214+1)</f>
        <v/>
      </c>
      <c r="AU214" s="153">
        <f>$C214*INDEX(Curves!$AV$8:$AV$68,AU$4-$B214+1)</f>
        <v/>
      </c>
      <c r="AV214" s="153">
        <f>$C214*INDEX(Curves!$AV$8:$AV$68,AV$4-$B214+1)</f>
        <v/>
      </c>
      <c r="AW214" s="153">
        <f>$C214*INDEX(Curves!$AV$8:$AV$68,AW$4-$B214+1)</f>
        <v/>
      </c>
      <c r="AX214" s="153">
        <f>$C214*INDEX(Curves!$AV$8:$AV$68,AX$4-$B214+1)</f>
        <v/>
      </c>
      <c r="AY214" s="153">
        <f>$C214*INDEX(Curves!$AV$8:$AV$68,AY$4-$B214+1)</f>
        <v/>
      </c>
      <c r="AZ214" s="153">
        <f>$C214*INDEX(Curves!$AV$8:$AV$68,AZ$4-$B214+1)</f>
        <v/>
      </c>
      <c r="BA214" s="153">
        <f>$C214*INDEX(Curves!$AV$8:$AV$68,BA$4-$B214+1)</f>
        <v/>
      </c>
      <c r="BB214" s="153">
        <f>$C214*INDEX(Curves!$AV$8:$AV$68,BB$4-$B214+1)</f>
        <v/>
      </c>
      <c r="BC214" s="153">
        <f>$C214*INDEX(Curves!$AV$8:$AV$68,BC$4-$B214+1)</f>
        <v/>
      </c>
      <c r="BD214" s="153">
        <f>$C214*INDEX(Curves!$AV$8:$AV$68,BD$4-$B214+1)</f>
        <v/>
      </c>
      <c r="BE214" s="153">
        <f>$C214*INDEX(Curves!$AV$8:$AV$68,BE$4-$B214+1)</f>
        <v/>
      </c>
      <c r="BF214" s="153">
        <f>$C214*INDEX(Curves!$AV$8:$AV$68,BF$4-$B214+1)</f>
        <v/>
      </c>
      <c r="BG214" s="153">
        <f>$C214*INDEX(Curves!$AV$8:$AV$68,BG$4-$B214+1)</f>
        <v/>
      </c>
      <c r="BH214" s="153">
        <f>$C214*INDEX(Curves!$AV$8:$AV$68,BH$4-$B214+1)</f>
        <v/>
      </c>
      <c r="BI214" s="153">
        <f>$C214*INDEX(Curves!$AV$8:$AV$68,BI$4-$B214+1)</f>
        <v/>
      </c>
      <c r="BJ214" s="153">
        <f>$C214*INDEX(Curves!$AV$8:$AV$68,BJ$4-$B214+1)</f>
        <v/>
      </c>
      <c r="BK214" s="153">
        <f>$C214*INDEX(Curves!$AV$8:$AV$68,BK$4-$B214+1)</f>
        <v/>
      </c>
      <c r="BL214" s="153">
        <f>$C214*INDEX(Curves!$AV$8:$AV$68,BL$4-$B214+1)</f>
        <v/>
      </c>
    </row>
    <row r="215">
      <c r="A215" s="147" t="inlineStr">
        <is>
          <t>Cohort month 17</t>
        </is>
      </c>
      <c r="B215" s="147" t="n">
        <v>17</v>
      </c>
      <c r="C215" s="41">
        <f>INDEX(Ops!$E$85:$BL$85,1,$B215)</f>
        <v/>
      </c>
      <c r="V215" s="153">
        <f>$C215*INDEX(Curves!$AV$8:$AV$68,V$4-$B215+1)</f>
        <v/>
      </c>
      <c r="W215" s="153">
        <f>$C215*INDEX(Curves!$AV$8:$AV$68,W$4-$B215+1)</f>
        <v/>
      </c>
      <c r="X215" s="153">
        <f>$C215*INDEX(Curves!$AV$8:$AV$68,X$4-$B215+1)</f>
        <v/>
      </c>
      <c r="Y215" s="153">
        <f>$C215*INDEX(Curves!$AV$8:$AV$68,Y$4-$B215+1)</f>
        <v/>
      </c>
      <c r="Z215" s="153">
        <f>$C215*INDEX(Curves!$AV$8:$AV$68,Z$4-$B215+1)</f>
        <v/>
      </c>
      <c r="AA215" s="153">
        <f>$C215*INDEX(Curves!$AV$8:$AV$68,AA$4-$B215+1)</f>
        <v/>
      </c>
      <c r="AB215" s="153">
        <f>$C215*INDEX(Curves!$AV$8:$AV$68,AB$4-$B215+1)</f>
        <v/>
      </c>
      <c r="AC215" s="153">
        <f>$C215*INDEX(Curves!$AV$8:$AV$68,AC$4-$B215+1)</f>
        <v/>
      </c>
      <c r="AD215" s="153">
        <f>$C215*INDEX(Curves!$AV$8:$AV$68,AD$4-$B215+1)</f>
        <v/>
      </c>
      <c r="AE215" s="153">
        <f>$C215*INDEX(Curves!$AV$8:$AV$68,AE$4-$B215+1)</f>
        <v/>
      </c>
      <c r="AF215" s="153">
        <f>$C215*INDEX(Curves!$AV$8:$AV$68,AF$4-$B215+1)</f>
        <v/>
      </c>
      <c r="AG215" s="153">
        <f>$C215*INDEX(Curves!$AV$8:$AV$68,AG$4-$B215+1)</f>
        <v/>
      </c>
      <c r="AH215" s="153">
        <f>$C215*INDEX(Curves!$AV$8:$AV$68,AH$4-$B215+1)</f>
        <v/>
      </c>
      <c r="AI215" s="153">
        <f>$C215*INDEX(Curves!$AV$8:$AV$68,AI$4-$B215+1)</f>
        <v/>
      </c>
      <c r="AJ215" s="153">
        <f>$C215*INDEX(Curves!$AV$8:$AV$68,AJ$4-$B215+1)</f>
        <v/>
      </c>
      <c r="AK215" s="153">
        <f>$C215*INDEX(Curves!$AV$8:$AV$68,AK$4-$B215+1)</f>
        <v/>
      </c>
      <c r="AL215" s="153">
        <f>$C215*INDEX(Curves!$AV$8:$AV$68,AL$4-$B215+1)</f>
        <v/>
      </c>
      <c r="AM215" s="153">
        <f>$C215*INDEX(Curves!$AV$8:$AV$68,AM$4-$B215+1)</f>
        <v/>
      </c>
      <c r="AN215" s="153">
        <f>$C215*INDEX(Curves!$AV$8:$AV$68,AN$4-$B215+1)</f>
        <v/>
      </c>
      <c r="AO215" s="153">
        <f>$C215*INDEX(Curves!$AV$8:$AV$68,AO$4-$B215+1)</f>
        <v/>
      </c>
      <c r="AP215" s="153">
        <f>$C215*INDEX(Curves!$AV$8:$AV$68,AP$4-$B215+1)</f>
        <v/>
      </c>
      <c r="AQ215" s="153">
        <f>$C215*INDEX(Curves!$AV$8:$AV$68,AQ$4-$B215+1)</f>
        <v/>
      </c>
      <c r="AR215" s="153">
        <f>$C215*INDEX(Curves!$AV$8:$AV$68,AR$4-$B215+1)</f>
        <v/>
      </c>
      <c r="AS215" s="153">
        <f>$C215*INDEX(Curves!$AV$8:$AV$68,AS$4-$B215+1)</f>
        <v/>
      </c>
      <c r="AT215" s="153">
        <f>$C215*INDEX(Curves!$AV$8:$AV$68,AT$4-$B215+1)</f>
        <v/>
      </c>
      <c r="AU215" s="153">
        <f>$C215*INDEX(Curves!$AV$8:$AV$68,AU$4-$B215+1)</f>
        <v/>
      </c>
      <c r="AV215" s="153">
        <f>$C215*INDEX(Curves!$AV$8:$AV$68,AV$4-$B215+1)</f>
        <v/>
      </c>
      <c r="AW215" s="153">
        <f>$C215*INDEX(Curves!$AV$8:$AV$68,AW$4-$B215+1)</f>
        <v/>
      </c>
      <c r="AX215" s="153">
        <f>$C215*INDEX(Curves!$AV$8:$AV$68,AX$4-$B215+1)</f>
        <v/>
      </c>
      <c r="AY215" s="153">
        <f>$C215*INDEX(Curves!$AV$8:$AV$68,AY$4-$B215+1)</f>
        <v/>
      </c>
      <c r="AZ215" s="153">
        <f>$C215*INDEX(Curves!$AV$8:$AV$68,AZ$4-$B215+1)</f>
        <v/>
      </c>
      <c r="BA215" s="153">
        <f>$C215*INDEX(Curves!$AV$8:$AV$68,BA$4-$B215+1)</f>
        <v/>
      </c>
      <c r="BB215" s="153">
        <f>$C215*INDEX(Curves!$AV$8:$AV$68,BB$4-$B215+1)</f>
        <v/>
      </c>
      <c r="BC215" s="153">
        <f>$C215*INDEX(Curves!$AV$8:$AV$68,BC$4-$B215+1)</f>
        <v/>
      </c>
      <c r="BD215" s="153">
        <f>$C215*INDEX(Curves!$AV$8:$AV$68,BD$4-$B215+1)</f>
        <v/>
      </c>
      <c r="BE215" s="153">
        <f>$C215*INDEX(Curves!$AV$8:$AV$68,BE$4-$B215+1)</f>
        <v/>
      </c>
      <c r="BF215" s="153">
        <f>$C215*INDEX(Curves!$AV$8:$AV$68,BF$4-$B215+1)</f>
        <v/>
      </c>
      <c r="BG215" s="153">
        <f>$C215*INDEX(Curves!$AV$8:$AV$68,BG$4-$B215+1)</f>
        <v/>
      </c>
      <c r="BH215" s="153">
        <f>$C215*INDEX(Curves!$AV$8:$AV$68,BH$4-$B215+1)</f>
        <v/>
      </c>
      <c r="BI215" s="153">
        <f>$C215*INDEX(Curves!$AV$8:$AV$68,BI$4-$B215+1)</f>
        <v/>
      </c>
      <c r="BJ215" s="153">
        <f>$C215*INDEX(Curves!$AV$8:$AV$68,BJ$4-$B215+1)</f>
        <v/>
      </c>
      <c r="BK215" s="153">
        <f>$C215*INDEX(Curves!$AV$8:$AV$68,BK$4-$B215+1)</f>
        <v/>
      </c>
      <c r="BL215" s="153">
        <f>$C215*INDEX(Curves!$AV$8:$AV$68,BL$4-$B215+1)</f>
        <v/>
      </c>
    </row>
    <row r="216">
      <c r="A216" s="147" t="inlineStr">
        <is>
          <t>Cohort month 18</t>
        </is>
      </c>
      <c r="B216" s="147" t="n">
        <v>18</v>
      </c>
      <c r="C216" s="41">
        <f>INDEX(Ops!$E$85:$BL$85,1,$B216)</f>
        <v/>
      </c>
      <c r="W216" s="153">
        <f>$C216*INDEX(Curves!$AV$8:$AV$68,W$4-$B216+1)</f>
        <v/>
      </c>
      <c r="X216" s="153">
        <f>$C216*INDEX(Curves!$AV$8:$AV$68,X$4-$B216+1)</f>
        <v/>
      </c>
      <c r="Y216" s="153">
        <f>$C216*INDEX(Curves!$AV$8:$AV$68,Y$4-$B216+1)</f>
        <v/>
      </c>
      <c r="Z216" s="153">
        <f>$C216*INDEX(Curves!$AV$8:$AV$68,Z$4-$B216+1)</f>
        <v/>
      </c>
      <c r="AA216" s="153">
        <f>$C216*INDEX(Curves!$AV$8:$AV$68,AA$4-$B216+1)</f>
        <v/>
      </c>
      <c r="AB216" s="153">
        <f>$C216*INDEX(Curves!$AV$8:$AV$68,AB$4-$B216+1)</f>
        <v/>
      </c>
      <c r="AC216" s="153">
        <f>$C216*INDEX(Curves!$AV$8:$AV$68,AC$4-$B216+1)</f>
        <v/>
      </c>
      <c r="AD216" s="153">
        <f>$C216*INDEX(Curves!$AV$8:$AV$68,AD$4-$B216+1)</f>
        <v/>
      </c>
      <c r="AE216" s="153">
        <f>$C216*INDEX(Curves!$AV$8:$AV$68,AE$4-$B216+1)</f>
        <v/>
      </c>
      <c r="AF216" s="153">
        <f>$C216*INDEX(Curves!$AV$8:$AV$68,AF$4-$B216+1)</f>
        <v/>
      </c>
      <c r="AG216" s="153">
        <f>$C216*INDEX(Curves!$AV$8:$AV$68,AG$4-$B216+1)</f>
        <v/>
      </c>
      <c r="AH216" s="153">
        <f>$C216*INDEX(Curves!$AV$8:$AV$68,AH$4-$B216+1)</f>
        <v/>
      </c>
      <c r="AI216" s="153">
        <f>$C216*INDEX(Curves!$AV$8:$AV$68,AI$4-$B216+1)</f>
        <v/>
      </c>
      <c r="AJ216" s="153">
        <f>$C216*INDEX(Curves!$AV$8:$AV$68,AJ$4-$B216+1)</f>
        <v/>
      </c>
      <c r="AK216" s="153">
        <f>$C216*INDEX(Curves!$AV$8:$AV$68,AK$4-$B216+1)</f>
        <v/>
      </c>
      <c r="AL216" s="153">
        <f>$C216*INDEX(Curves!$AV$8:$AV$68,AL$4-$B216+1)</f>
        <v/>
      </c>
      <c r="AM216" s="153">
        <f>$C216*INDEX(Curves!$AV$8:$AV$68,AM$4-$B216+1)</f>
        <v/>
      </c>
      <c r="AN216" s="153">
        <f>$C216*INDEX(Curves!$AV$8:$AV$68,AN$4-$B216+1)</f>
        <v/>
      </c>
      <c r="AO216" s="153">
        <f>$C216*INDEX(Curves!$AV$8:$AV$68,AO$4-$B216+1)</f>
        <v/>
      </c>
      <c r="AP216" s="153">
        <f>$C216*INDEX(Curves!$AV$8:$AV$68,AP$4-$B216+1)</f>
        <v/>
      </c>
      <c r="AQ216" s="153">
        <f>$C216*INDEX(Curves!$AV$8:$AV$68,AQ$4-$B216+1)</f>
        <v/>
      </c>
      <c r="AR216" s="153">
        <f>$C216*INDEX(Curves!$AV$8:$AV$68,AR$4-$B216+1)</f>
        <v/>
      </c>
      <c r="AS216" s="153">
        <f>$C216*INDEX(Curves!$AV$8:$AV$68,AS$4-$B216+1)</f>
        <v/>
      </c>
      <c r="AT216" s="153">
        <f>$C216*INDEX(Curves!$AV$8:$AV$68,AT$4-$B216+1)</f>
        <v/>
      </c>
      <c r="AU216" s="153">
        <f>$C216*INDEX(Curves!$AV$8:$AV$68,AU$4-$B216+1)</f>
        <v/>
      </c>
      <c r="AV216" s="153">
        <f>$C216*INDEX(Curves!$AV$8:$AV$68,AV$4-$B216+1)</f>
        <v/>
      </c>
      <c r="AW216" s="153">
        <f>$C216*INDEX(Curves!$AV$8:$AV$68,AW$4-$B216+1)</f>
        <v/>
      </c>
      <c r="AX216" s="153">
        <f>$C216*INDEX(Curves!$AV$8:$AV$68,AX$4-$B216+1)</f>
        <v/>
      </c>
      <c r="AY216" s="153">
        <f>$C216*INDEX(Curves!$AV$8:$AV$68,AY$4-$B216+1)</f>
        <v/>
      </c>
      <c r="AZ216" s="153">
        <f>$C216*INDEX(Curves!$AV$8:$AV$68,AZ$4-$B216+1)</f>
        <v/>
      </c>
      <c r="BA216" s="153">
        <f>$C216*INDEX(Curves!$AV$8:$AV$68,BA$4-$B216+1)</f>
        <v/>
      </c>
      <c r="BB216" s="153">
        <f>$C216*INDEX(Curves!$AV$8:$AV$68,BB$4-$B216+1)</f>
        <v/>
      </c>
      <c r="BC216" s="153">
        <f>$C216*INDEX(Curves!$AV$8:$AV$68,BC$4-$B216+1)</f>
        <v/>
      </c>
      <c r="BD216" s="153">
        <f>$C216*INDEX(Curves!$AV$8:$AV$68,BD$4-$B216+1)</f>
        <v/>
      </c>
      <c r="BE216" s="153">
        <f>$C216*INDEX(Curves!$AV$8:$AV$68,BE$4-$B216+1)</f>
        <v/>
      </c>
      <c r="BF216" s="153">
        <f>$C216*INDEX(Curves!$AV$8:$AV$68,BF$4-$B216+1)</f>
        <v/>
      </c>
      <c r="BG216" s="153">
        <f>$C216*INDEX(Curves!$AV$8:$AV$68,BG$4-$B216+1)</f>
        <v/>
      </c>
      <c r="BH216" s="153">
        <f>$C216*INDEX(Curves!$AV$8:$AV$68,BH$4-$B216+1)</f>
        <v/>
      </c>
      <c r="BI216" s="153">
        <f>$C216*INDEX(Curves!$AV$8:$AV$68,BI$4-$B216+1)</f>
        <v/>
      </c>
      <c r="BJ216" s="153">
        <f>$C216*INDEX(Curves!$AV$8:$AV$68,BJ$4-$B216+1)</f>
        <v/>
      </c>
      <c r="BK216" s="153">
        <f>$C216*INDEX(Curves!$AV$8:$AV$68,BK$4-$B216+1)</f>
        <v/>
      </c>
      <c r="BL216" s="153">
        <f>$C216*INDEX(Curves!$AV$8:$AV$68,BL$4-$B216+1)</f>
        <v/>
      </c>
    </row>
    <row r="217">
      <c r="A217" s="147" t="inlineStr">
        <is>
          <t>Cohort month 19</t>
        </is>
      </c>
      <c r="B217" s="147" t="n">
        <v>19</v>
      </c>
      <c r="C217" s="41">
        <f>INDEX(Ops!$E$85:$BL$85,1,$B217)</f>
        <v/>
      </c>
      <c r="X217" s="153">
        <f>$C217*INDEX(Curves!$AV$8:$AV$68,X$4-$B217+1)</f>
        <v/>
      </c>
      <c r="Y217" s="153">
        <f>$C217*INDEX(Curves!$AV$8:$AV$68,Y$4-$B217+1)</f>
        <v/>
      </c>
      <c r="Z217" s="153">
        <f>$C217*INDEX(Curves!$AV$8:$AV$68,Z$4-$B217+1)</f>
        <v/>
      </c>
      <c r="AA217" s="153">
        <f>$C217*INDEX(Curves!$AV$8:$AV$68,AA$4-$B217+1)</f>
        <v/>
      </c>
      <c r="AB217" s="153">
        <f>$C217*INDEX(Curves!$AV$8:$AV$68,AB$4-$B217+1)</f>
        <v/>
      </c>
      <c r="AC217" s="153">
        <f>$C217*INDEX(Curves!$AV$8:$AV$68,AC$4-$B217+1)</f>
        <v/>
      </c>
      <c r="AD217" s="153">
        <f>$C217*INDEX(Curves!$AV$8:$AV$68,AD$4-$B217+1)</f>
        <v/>
      </c>
      <c r="AE217" s="153">
        <f>$C217*INDEX(Curves!$AV$8:$AV$68,AE$4-$B217+1)</f>
        <v/>
      </c>
      <c r="AF217" s="153">
        <f>$C217*INDEX(Curves!$AV$8:$AV$68,AF$4-$B217+1)</f>
        <v/>
      </c>
      <c r="AG217" s="153">
        <f>$C217*INDEX(Curves!$AV$8:$AV$68,AG$4-$B217+1)</f>
        <v/>
      </c>
      <c r="AH217" s="153">
        <f>$C217*INDEX(Curves!$AV$8:$AV$68,AH$4-$B217+1)</f>
        <v/>
      </c>
      <c r="AI217" s="153">
        <f>$C217*INDEX(Curves!$AV$8:$AV$68,AI$4-$B217+1)</f>
        <v/>
      </c>
      <c r="AJ217" s="153">
        <f>$C217*INDEX(Curves!$AV$8:$AV$68,AJ$4-$B217+1)</f>
        <v/>
      </c>
      <c r="AK217" s="153">
        <f>$C217*INDEX(Curves!$AV$8:$AV$68,AK$4-$B217+1)</f>
        <v/>
      </c>
      <c r="AL217" s="153">
        <f>$C217*INDEX(Curves!$AV$8:$AV$68,AL$4-$B217+1)</f>
        <v/>
      </c>
      <c r="AM217" s="153">
        <f>$C217*INDEX(Curves!$AV$8:$AV$68,AM$4-$B217+1)</f>
        <v/>
      </c>
      <c r="AN217" s="153">
        <f>$C217*INDEX(Curves!$AV$8:$AV$68,AN$4-$B217+1)</f>
        <v/>
      </c>
      <c r="AO217" s="153">
        <f>$C217*INDEX(Curves!$AV$8:$AV$68,AO$4-$B217+1)</f>
        <v/>
      </c>
      <c r="AP217" s="153">
        <f>$C217*INDEX(Curves!$AV$8:$AV$68,AP$4-$B217+1)</f>
        <v/>
      </c>
      <c r="AQ217" s="153">
        <f>$C217*INDEX(Curves!$AV$8:$AV$68,AQ$4-$B217+1)</f>
        <v/>
      </c>
      <c r="AR217" s="153">
        <f>$C217*INDEX(Curves!$AV$8:$AV$68,AR$4-$B217+1)</f>
        <v/>
      </c>
      <c r="AS217" s="153">
        <f>$C217*INDEX(Curves!$AV$8:$AV$68,AS$4-$B217+1)</f>
        <v/>
      </c>
      <c r="AT217" s="153">
        <f>$C217*INDEX(Curves!$AV$8:$AV$68,AT$4-$B217+1)</f>
        <v/>
      </c>
      <c r="AU217" s="153">
        <f>$C217*INDEX(Curves!$AV$8:$AV$68,AU$4-$B217+1)</f>
        <v/>
      </c>
      <c r="AV217" s="153">
        <f>$C217*INDEX(Curves!$AV$8:$AV$68,AV$4-$B217+1)</f>
        <v/>
      </c>
      <c r="AW217" s="153">
        <f>$C217*INDEX(Curves!$AV$8:$AV$68,AW$4-$B217+1)</f>
        <v/>
      </c>
      <c r="AX217" s="153">
        <f>$C217*INDEX(Curves!$AV$8:$AV$68,AX$4-$B217+1)</f>
        <v/>
      </c>
      <c r="AY217" s="153">
        <f>$C217*INDEX(Curves!$AV$8:$AV$68,AY$4-$B217+1)</f>
        <v/>
      </c>
      <c r="AZ217" s="153">
        <f>$C217*INDEX(Curves!$AV$8:$AV$68,AZ$4-$B217+1)</f>
        <v/>
      </c>
      <c r="BA217" s="153">
        <f>$C217*INDEX(Curves!$AV$8:$AV$68,BA$4-$B217+1)</f>
        <v/>
      </c>
      <c r="BB217" s="153">
        <f>$C217*INDEX(Curves!$AV$8:$AV$68,BB$4-$B217+1)</f>
        <v/>
      </c>
      <c r="BC217" s="153">
        <f>$C217*INDEX(Curves!$AV$8:$AV$68,BC$4-$B217+1)</f>
        <v/>
      </c>
      <c r="BD217" s="153">
        <f>$C217*INDEX(Curves!$AV$8:$AV$68,BD$4-$B217+1)</f>
        <v/>
      </c>
      <c r="BE217" s="153">
        <f>$C217*INDEX(Curves!$AV$8:$AV$68,BE$4-$B217+1)</f>
        <v/>
      </c>
      <c r="BF217" s="153">
        <f>$C217*INDEX(Curves!$AV$8:$AV$68,BF$4-$B217+1)</f>
        <v/>
      </c>
      <c r="BG217" s="153">
        <f>$C217*INDEX(Curves!$AV$8:$AV$68,BG$4-$B217+1)</f>
        <v/>
      </c>
      <c r="BH217" s="153">
        <f>$C217*INDEX(Curves!$AV$8:$AV$68,BH$4-$B217+1)</f>
        <v/>
      </c>
      <c r="BI217" s="153">
        <f>$C217*INDEX(Curves!$AV$8:$AV$68,BI$4-$B217+1)</f>
        <v/>
      </c>
      <c r="BJ217" s="153">
        <f>$C217*INDEX(Curves!$AV$8:$AV$68,BJ$4-$B217+1)</f>
        <v/>
      </c>
      <c r="BK217" s="153">
        <f>$C217*INDEX(Curves!$AV$8:$AV$68,BK$4-$B217+1)</f>
        <v/>
      </c>
      <c r="BL217" s="153">
        <f>$C217*INDEX(Curves!$AV$8:$AV$68,BL$4-$B217+1)</f>
        <v/>
      </c>
    </row>
    <row r="218">
      <c r="A218" s="147" t="inlineStr">
        <is>
          <t>Cohort month 20</t>
        </is>
      </c>
      <c r="B218" s="147" t="n">
        <v>20</v>
      </c>
      <c r="C218" s="41">
        <f>INDEX(Ops!$E$85:$BL$85,1,$B218)</f>
        <v/>
      </c>
      <c r="Y218" s="153">
        <f>$C218*INDEX(Curves!$AV$8:$AV$68,Y$4-$B218+1)</f>
        <v/>
      </c>
      <c r="Z218" s="153">
        <f>$C218*INDEX(Curves!$AV$8:$AV$68,Z$4-$B218+1)</f>
        <v/>
      </c>
      <c r="AA218" s="153">
        <f>$C218*INDEX(Curves!$AV$8:$AV$68,AA$4-$B218+1)</f>
        <v/>
      </c>
      <c r="AB218" s="153">
        <f>$C218*INDEX(Curves!$AV$8:$AV$68,AB$4-$B218+1)</f>
        <v/>
      </c>
      <c r="AC218" s="153">
        <f>$C218*INDEX(Curves!$AV$8:$AV$68,AC$4-$B218+1)</f>
        <v/>
      </c>
      <c r="AD218" s="153">
        <f>$C218*INDEX(Curves!$AV$8:$AV$68,AD$4-$B218+1)</f>
        <v/>
      </c>
      <c r="AE218" s="153">
        <f>$C218*INDEX(Curves!$AV$8:$AV$68,AE$4-$B218+1)</f>
        <v/>
      </c>
      <c r="AF218" s="153">
        <f>$C218*INDEX(Curves!$AV$8:$AV$68,AF$4-$B218+1)</f>
        <v/>
      </c>
      <c r="AG218" s="153">
        <f>$C218*INDEX(Curves!$AV$8:$AV$68,AG$4-$B218+1)</f>
        <v/>
      </c>
      <c r="AH218" s="153">
        <f>$C218*INDEX(Curves!$AV$8:$AV$68,AH$4-$B218+1)</f>
        <v/>
      </c>
      <c r="AI218" s="153">
        <f>$C218*INDEX(Curves!$AV$8:$AV$68,AI$4-$B218+1)</f>
        <v/>
      </c>
      <c r="AJ218" s="153">
        <f>$C218*INDEX(Curves!$AV$8:$AV$68,AJ$4-$B218+1)</f>
        <v/>
      </c>
      <c r="AK218" s="153">
        <f>$C218*INDEX(Curves!$AV$8:$AV$68,AK$4-$B218+1)</f>
        <v/>
      </c>
      <c r="AL218" s="153">
        <f>$C218*INDEX(Curves!$AV$8:$AV$68,AL$4-$B218+1)</f>
        <v/>
      </c>
      <c r="AM218" s="153">
        <f>$C218*INDEX(Curves!$AV$8:$AV$68,AM$4-$B218+1)</f>
        <v/>
      </c>
      <c r="AN218" s="153">
        <f>$C218*INDEX(Curves!$AV$8:$AV$68,AN$4-$B218+1)</f>
        <v/>
      </c>
      <c r="AO218" s="153">
        <f>$C218*INDEX(Curves!$AV$8:$AV$68,AO$4-$B218+1)</f>
        <v/>
      </c>
      <c r="AP218" s="153">
        <f>$C218*INDEX(Curves!$AV$8:$AV$68,AP$4-$B218+1)</f>
        <v/>
      </c>
      <c r="AQ218" s="153">
        <f>$C218*INDEX(Curves!$AV$8:$AV$68,AQ$4-$B218+1)</f>
        <v/>
      </c>
      <c r="AR218" s="153">
        <f>$C218*INDEX(Curves!$AV$8:$AV$68,AR$4-$B218+1)</f>
        <v/>
      </c>
      <c r="AS218" s="153">
        <f>$C218*INDEX(Curves!$AV$8:$AV$68,AS$4-$B218+1)</f>
        <v/>
      </c>
      <c r="AT218" s="153">
        <f>$C218*INDEX(Curves!$AV$8:$AV$68,AT$4-$B218+1)</f>
        <v/>
      </c>
      <c r="AU218" s="153">
        <f>$C218*INDEX(Curves!$AV$8:$AV$68,AU$4-$B218+1)</f>
        <v/>
      </c>
      <c r="AV218" s="153">
        <f>$C218*INDEX(Curves!$AV$8:$AV$68,AV$4-$B218+1)</f>
        <v/>
      </c>
      <c r="AW218" s="153">
        <f>$C218*INDEX(Curves!$AV$8:$AV$68,AW$4-$B218+1)</f>
        <v/>
      </c>
      <c r="AX218" s="153">
        <f>$C218*INDEX(Curves!$AV$8:$AV$68,AX$4-$B218+1)</f>
        <v/>
      </c>
      <c r="AY218" s="153">
        <f>$C218*INDEX(Curves!$AV$8:$AV$68,AY$4-$B218+1)</f>
        <v/>
      </c>
      <c r="AZ218" s="153">
        <f>$C218*INDEX(Curves!$AV$8:$AV$68,AZ$4-$B218+1)</f>
        <v/>
      </c>
      <c r="BA218" s="153">
        <f>$C218*INDEX(Curves!$AV$8:$AV$68,BA$4-$B218+1)</f>
        <v/>
      </c>
      <c r="BB218" s="153">
        <f>$C218*INDEX(Curves!$AV$8:$AV$68,BB$4-$B218+1)</f>
        <v/>
      </c>
      <c r="BC218" s="153">
        <f>$C218*INDEX(Curves!$AV$8:$AV$68,BC$4-$B218+1)</f>
        <v/>
      </c>
      <c r="BD218" s="153">
        <f>$C218*INDEX(Curves!$AV$8:$AV$68,BD$4-$B218+1)</f>
        <v/>
      </c>
      <c r="BE218" s="153">
        <f>$C218*INDEX(Curves!$AV$8:$AV$68,BE$4-$B218+1)</f>
        <v/>
      </c>
      <c r="BF218" s="153">
        <f>$C218*INDEX(Curves!$AV$8:$AV$68,BF$4-$B218+1)</f>
        <v/>
      </c>
      <c r="BG218" s="153">
        <f>$C218*INDEX(Curves!$AV$8:$AV$68,BG$4-$B218+1)</f>
        <v/>
      </c>
      <c r="BH218" s="153">
        <f>$C218*INDEX(Curves!$AV$8:$AV$68,BH$4-$B218+1)</f>
        <v/>
      </c>
      <c r="BI218" s="153">
        <f>$C218*INDEX(Curves!$AV$8:$AV$68,BI$4-$B218+1)</f>
        <v/>
      </c>
      <c r="BJ218" s="153">
        <f>$C218*INDEX(Curves!$AV$8:$AV$68,BJ$4-$B218+1)</f>
        <v/>
      </c>
      <c r="BK218" s="153">
        <f>$C218*INDEX(Curves!$AV$8:$AV$68,BK$4-$B218+1)</f>
        <v/>
      </c>
      <c r="BL218" s="153">
        <f>$C218*INDEX(Curves!$AV$8:$AV$68,BL$4-$B218+1)</f>
        <v/>
      </c>
    </row>
    <row r="219">
      <c r="A219" s="147" t="inlineStr">
        <is>
          <t>Cohort month 21</t>
        </is>
      </c>
      <c r="B219" s="147" t="n">
        <v>21</v>
      </c>
      <c r="C219" s="41">
        <f>INDEX(Ops!$E$85:$BL$85,1,$B219)</f>
        <v/>
      </c>
      <c r="Z219" s="153">
        <f>$C219*INDEX(Curves!$AV$8:$AV$68,Z$4-$B219+1)</f>
        <v/>
      </c>
      <c r="AA219" s="153">
        <f>$C219*INDEX(Curves!$AV$8:$AV$68,AA$4-$B219+1)</f>
        <v/>
      </c>
      <c r="AB219" s="153">
        <f>$C219*INDEX(Curves!$AV$8:$AV$68,AB$4-$B219+1)</f>
        <v/>
      </c>
      <c r="AC219" s="153">
        <f>$C219*INDEX(Curves!$AV$8:$AV$68,AC$4-$B219+1)</f>
        <v/>
      </c>
      <c r="AD219" s="153">
        <f>$C219*INDEX(Curves!$AV$8:$AV$68,AD$4-$B219+1)</f>
        <v/>
      </c>
      <c r="AE219" s="153">
        <f>$C219*INDEX(Curves!$AV$8:$AV$68,AE$4-$B219+1)</f>
        <v/>
      </c>
      <c r="AF219" s="153">
        <f>$C219*INDEX(Curves!$AV$8:$AV$68,AF$4-$B219+1)</f>
        <v/>
      </c>
      <c r="AG219" s="153">
        <f>$C219*INDEX(Curves!$AV$8:$AV$68,AG$4-$B219+1)</f>
        <v/>
      </c>
      <c r="AH219" s="153">
        <f>$C219*INDEX(Curves!$AV$8:$AV$68,AH$4-$B219+1)</f>
        <v/>
      </c>
      <c r="AI219" s="153">
        <f>$C219*INDEX(Curves!$AV$8:$AV$68,AI$4-$B219+1)</f>
        <v/>
      </c>
      <c r="AJ219" s="153">
        <f>$C219*INDEX(Curves!$AV$8:$AV$68,AJ$4-$B219+1)</f>
        <v/>
      </c>
      <c r="AK219" s="153">
        <f>$C219*INDEX(Curves!$AV$8:$AV$68,AK$4-$B219+1)</f>
        <v/>
      </c>
      <c r="AL219" s="153">
        <f>$C219*INDEX(Curves!$AV$8:$AV$68,AL$4-$B219+1)</f>
        <v/>
      </c>
      <c r="AM219" s="153">
        <f>$C219*INDEX(Curves!$AV$8:$AV$68,AM$4-$B219+1)</f>
        <v/>
      </c>
      <c r="AN219" s="153">
        <f>$C219*INDEX(Curves!$AV$8:$AV$68,AN$4-$B219+1)</f>
        <v/>
      </c>
      <c r="AO219" s="153">
        <f>$C219*INDEX(Curves!$AV$8:$AV$68,AO$4-$B219+1)</f>
        <v/>
      </c>
      <c r="AP219" s="153">
        <f>$C219*INDEX(Curves!$AV$8:$AV$68,AP$4-$B219+1)</f>
        <v/>
      </c>
      <c r="AQ219" s="153">
        <f>$C219*INDEX(Curves!$AV$8:$AV$68,AQ$4-$B219+1)</f>
        <v/>
      </c>
      <c r="AR219" s="153">
        <f>$C219*INDEX(Curves!$AV$8:$AV$68,AR$4-$B219+1)</f>
        <v/>
      </c>
      <c r="AS219" s="153">
        <f>$C219*INDEX(Curves!$AV$8:$AV$68,AS$4-$B219+1)</f>
        <v/>
      </c>
      <c r="AT219" s="153">
        <f>$C219*INDEX(Curves!$AV$8:$AV$68,AT$4-$B219+1)</f>
        <v/>
      </c>
      <c r="AU219" s="153">
        <f>$C219*INDEX(Curves!$AV$8:$AV$68,AU$4-$B219+1)</f>
        <v/>
      </c>
      <c r="AV219" s="153">
        <f>$C219*INDEX(Curves!$AV$8:$AV$68,AV$4-$B219+1)</f>
        <v/>
      </c>
      <c r="AW219" s="153">
        <f>$C219*INDEX(Curves!$AV$8:$AV$68,AW$4-$B219+1)</f>
        <v/>
      </c>
      <c r="AX219" s="153">
        <f>$C219*INDEX(Curves!$AV$8:$AV$68,AX$4-$B219+1)</f>
        <v/>
      </c>
      <c r="AY219" s="153">
        <f>$C219*INDEX(Curves!$AV$8:$AV$68,AY$4-$B219+1)</f>
        <v/>
      </c>
      <c r="AZ219" s="153">
        <f>$C219*INDEX(Curves!$AV$8:$AV$68,AZ$4-$B219+1)</f>
        <v/>
      </c>
      <c r="BA219" s="153">
        <f>$C219*INDEX(Curves!$AV$8:$AV$68,BA$4-$B219+1)</f>
        <v/>
      </c>
      <c r="BB219" s="153">
        <f>$C219*INDEX(Curves!$AV$8:$AV$68,BB$4-$B219+1)</f>
        <v/>
      </c>
      <c r="BC219" s="153">
        <f>$C219*INDEX(Curves!$AV$8:$AV$68,BC$4-$B219+1)</f>
        <v/>
      </c>
      <c r="BD219" s="153">
        <f>$C219*INDEX(Curves!$AV$8:$AV$68,BD$4-$B219+1)</f>
        <v/>
      </c>
      <c r="BE219" s="153">
        <f>$C219*INDEX(Curves!$AV$8:$AV$68,BE$4-$B219+1)</f>
        <v/>
      </c>
      <c r="BF219" s="153">
        <f>$C219*INDEX(Curves!$AV$8:$AV$68,BF$4-$B219+1)</f>
        <v/>
      </c>
      <c r="BG219" s="153">
        <f>$C219*INDEX(Curves!$AV$8:$AV$68,BG$4-$B219+1)</f>
        <v/>
      </c>
      <c r="BH219" s="153">
        <f>$C219*INDEX(Curves!$AV$8:$AV$68,BH$4-$B219+1)</f>
        <v/>
      </c>
      <c r="BI219" s="153">
        <f>$C219*INDEX(Curves!$AV$8:$AV$68,BI$4-$B219+1)</f>
        <v/>
      </c>
      <c r="BJ219" s="153">
        <f>$C219*INDEX(Curves!$AV$8:$AV$68,BJ$4-$B219+1)</f>
        <v/>
      </c>
      <c r="BK219" s="153">
        <f>$C219*INDEX(Curves!$AV$8:$AV$68,BK$4-$B219+1)</f>
        <v/>
      </c>
      <c r="BL219" s="153">
        <f>$C219*INDEX(Curves!$AV$8:$AV$68,BL$4-$B219+1)</f>
        <v/>
      </c>
    </row>
    <row r="220">
      <c r="A220" s="147" t="inlineStr">
        <is>
          <t>Cohort month 22</t>
        </is>
      </c>
      <c r="B220" s="147" t="n">
        <v>22</v>
      </c>
      <c r="C220" s="41">
        <f>INDEX(Ops!$E$85:$BL$85,1,$B220)</f>
        <v/>
      </c>
      <c r="AA220" s="153">
        <f>$C220*INDEX(Curves!$AV$8:$AV$68,AA$4-$B220+1)</f>
        <v/>
      </c>
      <c r="AB220" s="153">
        <f>$C220*INDEX(Curves!$AV$8:$AV$68,AB$4-$B220+1)</f>
        <v/>
      </c>
      <c r="AC220" s="153">
        <f>$C220*INDEX(Curves!$AV$8:$AV$68,AC$4-$B220+1)</f>
        <v/>
      </c>
      <c r="AD220" s="153">
        <f>$C220*INDEX(Curves!$AV$8:$AV$68,AD$4-$B220+1)</f>
        <v/>
      </c>
      <c r="AE220" s="153">
        <f>$C220*INDEX(Curves!$AV$8:$AV$68,AE$4-$B220+1)</f>
        <v/>
      </c>
      <c r="AF220" s="153">
        <f>$C220*INDEX(Curves!$AV$8:$AV$68,AF$4-$B220+1)</f>
        <v/>
      </c>
      <c r="AG220" s="153">
        <f>$C220*INDEX(Curves!$AV$8:$AV$68,AG$4-$B220+1)</f>
        <v/>
      </c>
      <c r="AH220" s="153">
        <f>$C220*INDEX(Curves!$AV$8:$AV$68,AH$4-$B220+1)</f>
        <v/>
      </c>
      <c r="AI220" s="153">
        <f>$C220*INDEX(Curves!$AV$8:$AV$68,AI$4-$B220+1)</f>
        <v/>
      </c>
      <c r="AJ220" s="153">
        <f>$C220*INDEX(Curves!$AV$8:$AV$68,AJ$4-$B220+1)</f>
        <v/>
      </c>
      <c r="AK220" s="153">
        <f>$C220*INDEX(Curves!$AV$8:$AV$68,AK$4-$B220+1)</f>
        <v/>
      </c>
      <c r="AL220" s="153">
        <f>$C220*INDEX(Curves!$AV$8:$AV$68,AL$4-$B220+1)</f>
        <v/>
      </c>
      <c r="AM220" s="153">
        <f>$C220*INDEX(Curves!$AV$8:$AV$68,AM$4-$B220+1)</f>
        <v/>
      </c>
      <c r="AN220" s="153">
        <f>$C220*INDEX(Curves!$AV$8:$AV$68,AN$4-$B220+1)</f>
        <v/>
      </c>
      <c r="AO220" s="153">
        <f>$C220*INDEX(Curves!$AV$8:$AV$68,AO$4-$B220+1)</f>
        <v/>
      </c>
      <c r="AP220" s="153">
        <f>$C220*INDEX(Curves!$AV$8:$AV$68,AP$4-$B220+1)</f>
        <v/>
      </c>
      <c r="AQ220" s="153">
        <f>$C220*INDEX(Curves!$AV$8:$AV$68,AQ$4-$B220+1)</f>
        <v/>
      </c>
      <c r="AR220" s="153">
        <f>$C220*INDEX(Curves!$AV$8:$AV$68,AR$4-$B220+1)</f>
        <v/>
      </c>
      <c r="AS220" s="153">
        <f>$C220*INDEX(Curves!$AV$8:$AV$68,AS$4-$B220+1)</f>
        <v/>
      </c>
      <c r="AT220" s="153">
        <f>$C220*INDEX(Curves!$AV$8:$AV$68,AT$4-$B220+1)</f>
        <v/>
      </c>
      <c r="AU220" s="153">
        <f>$C220*INDEX(Curves!$AV$8:$AV$68,AU$4-$B220+1)</f>
        <v/>
      </c>
      <c r="AV220" s="153">
        <f>$C220*INDEX(Curves!$AV$8:$AV$68,AV$4-$B220+1)</f>
        <v/>
      </c>
      <c r="AW220" s="153">
        <f>$C220*INDEX(Curves!$AV$8:$AV$68,AW$4-$B220+1)</f>
        <v/>
      </c>
      <c r="AX220" s="153">
        <f>$C220*INDEX(Curves!$AV$8:$AV$68,AX$4-$B220+1)</f>
        <v/>
      </c>
      <c r="AY220" s="153">
        <f>$C220*INDEX(Curves!$AV$8:$AV$68,AY$4-$B220+1)</f>
        <v/>
      </c>
      <c r="AZ220" s="153">
        <f>$C220*INDEX(Curves!$AV$8:$AV$68,AZ$4-$B220+1)</f>
        <v/>
      </c>
      <c r="BA220" s="153">
        <f>$C220*INDEX(Curves!$AV$8:$AV$68,BA$4-$B220+1)</f>
        <v/>
      </c>
      <c r="BB220" s="153">
        <f>$C220*INDEX(Curves!$AV$8:$AV$68,BB$4-$B220+1)</f>
        <v/>
      </c>
      <c r="BC220" s="153">
        <f>$C220*INDEX(Curves!$AV$8:$AV$68,BC$4-$B220+1)</f>
        <v/>
      </c>
      <c r="BD220" s="153">
        <f>$C220*INDEX(Curves!$AV$8:$AV$68,BD$4-$B220+1)</f>
        <v/>
      </c>
      <c r="BE220" s="153">
        <f>$C220*INDEX(Curves!$AV$8:$AV$68,BE$4-$B220+1)</f>
        <v/>
      </c>
      <c r="BF220" s="153">
        <f>$C220*INDEX(Curves!$AV$8:$AV$68,BF$4-$B220+1)</f>
        <v/>
      </c>
      <c r="BG220" s="153">
        <f>$C220*INDEX(Curves!$AV$8:$AV$68,BG$4-$B220+1)</f>
        <v/>
      </c>
      <c r="BH220" s="153">
        <f>$C220*INDEX(Curves!$AV$8:$AV$68,BH$4-$B220+1)</f>
        <v/>
      </c>
      <c r="BI220" s="153">
        <f>$C220*INDEX(Curves!$AV$8:$AV$68,BI$4-$B220+1)</f>
        <v/>
      </c>
      <c r="BJ220" s="153">
        <f>$C220*INDEX(Curves!$AV$8:$AV$68,BJ$4-$B220+1)</f>
        <v/>
      </c>
      <c r="BK220" s="153">
        <f>$C220*INDEX(Curves!$AV$8:$AV$68,BK$4-$B220+1)</f>
        <v/>
      </c>
      <c r="BL220" s="153">
        <f>$C220*INDEX(Curves!$AV$8:$AV$68,BL$4-$B220+1)</f>
        <v/>
      </c>
    </row>
    <row r="221">
      <c r="A221" s="147" t="inlineStr">
        <is>
          <t>Cohort month 23</t>
        </is>
      </c>
      <c r="B221" s="147" t="n">
        <v>23</v>
      </c>
      <c r="C221" s="41">
        <f>INDEX(Ops!$E$85:$BL$85,1,$B221)</f>
        <v/>
      </c>
      <c r="AB221" s="153">
        <f>$C221*INDEX(Curves!$AV$8:$AV$68,AB$4-$B221+1)</f>
        <v/>
      </c>
      <c r="AC221" s="153">
        <f>$C221*INDEX(Curves!$AV$8:$AV$68,AC$4-$B221+1)</f>
        <v/>
      </c>
      <c r="AD221" s="153">
        <f>$C221*INDEX(Curves!$AV$8:$AV$68,AD$4-$B221+1)</f>
        <v/>
      </c>
      <c r="AE221" s="153">
        <f>$C221*INDEX(Curves!$AV$8:$AV$68,AE$4-$B221+1)</f>
        <v/>
      </c>
      <c r="AF221" s="153">
        <f>$C221*INDEX(Curves!$AV$8:$AV$68,AF$4-$B221+1)</f>
        <v/>
      </c>
      <c r="AG221" s="153">
        <f>$C221*INDEX(Curves!$AV$8:$AV$68,AG$4-$B221+1)</f>
        <v/>
      </c>
      <c r="AH221" s="153">
        <f>$C221*INDEX(Curves!$AV$8:$AV$68,AH$4-$B221+1)</f>
        <v/>
      </c>
      <c r="AI221" s="153">
        <f>$C221*INDEX(Curves!$AV$8:$AV$68,AI$4-$B221+1)</f>
        <v/>
      </c>
      <c r="AJ221" s="153">
        <f>$C221*INDEX(Curves!$AV$8:$AV$68,AJ$4-$B221+1)</f>
        <v/>
      </c>
      <c r="AK221" s="153">
        <f>$C221*INDEX(Curves!$AV$8:$AV$68,AK$4-$B221+1)</f>
        <v/>
      </c>
      <c r="AL221" s="153">
        <f>$C221*INDEX(Curves!$AV$8:$AV$68,AL$4-$B221+1)</f>
        <v/>
      </c>
      <c r="AM221" s="153">
        <f>$C221*INDEX(Curves!$AV$8:$AV$68,AM$4-$B221+1)</f>
        <v/>
      </c>
      <c r="AN221" s="153">
        <f>$C221*INDEX(Curves!$AV$8:$AV$68,AN$4-$B221+1)</f>
        <v/>
      </c>
      <c r="AO221" s="153">
        <f>$C221*INDEX(Curves!$AV$8:$AV$68,AO$4-$B221+1)</f>
        <v/>
      </c>
      <c r="AP221" s="153">
        <f>$C221*INDEX(Curves!$AV$8:$AV$68,AP$4-$B221+1)</f>
        <v/>
      </c>
      <c r="AQ221" s="153">
        <f>$C221*INDEX(Curves!$AV$8:$AV$68,AQ$4-$B221+1)</f>
        <v/>
      </c>
      <c r="AR221" s="153">
        <f>$C221*INDEX(Curves!$AV$8:$AV$68,AR$4-$B221+1)</f>
        <v/>
      </c>
      <c r="AS221" s="153">
        <f>$C221*INDEX(Curves!$AV$8:$AV$68,AS$4-$B221+1)</f>
        <v/>
      </c>
      <c r="AT221" s="153">
        <f>$C221*INDEX(Curves!$AV$8:$AV$68,AT$4-$B221+1)</f>
        <v/>
      </c>
      <c r="AU221" s="153">
        <f>$C221*INDEX(Curves!$AV$8:$AV$68,AU$4-$B221+1)</f>
        <v/>
      </c>
      <c r="AV221" s="153">
        <f>$C221*INDEX(Curves!$AV$8:$AV$68,AV$4-$B221+1)</f>
        <v/>
      </c>
      <c r="AW221" s="153">
        <f>$C221*INDEX(Curves!$AV$8:$AV$68,AW$4-$B221+1)</f>
        <v/>
      </c>
      <c r="AX221" s="153">
        <f>$C221*INDEX(Curves!$AV$8:$AV$68,AX$4-$B221+1)</f>
        <v/>
      </c>
      <c r="AY221" s="153">
        <f>$C221*INDEX(Curves!$AV$8:$AV$68,AY$4-$B221+1)</f>
        <v/>
      </c>
      <c r="AZ221" s="153">
        <f>$C221*INDEX(Curves!$AV$8:$AV$68,AZ$4-$B221+1)</f>
        <v/>
      </c>
      <c r="BA221" s="153">
        <f>$C221*INDEX(Curves!$AV$8:$AV$68,BA$4-$B221+1)</f>
        <v/>
      </c>
      <c r="BB221" s="153">
        <f>$C221*INDEX(Curves!$AV$8:$AV$68,BB$4-$B221+1)</f>
        <v/>
      </c>
      <c r="BC221" s="153">
        <f>$C221*INDEX(Curves!$AV$8:$AV$68,BC$4-$B221+1)</f>
        <v/>
      </c>
      <c r="BD221" s="153">
        <f>$C221*INDEX(Curves!$AV$8:$AV$68,BD$4-$B221+1)</f>
        <v/>
      </c>
      <c r="BE221" s="153">
        <f>$C221*INDEX(Curves!$AV$8:$AV$68,BE$4-$B221+1)</f>
        <v/>
      </c>
      <c r="BF221" s="153">
        <f>$C221*INDEX(Curves!$AV$8:$AV$68,BF$4-$B221+1)</f>
        <v/>
      </c>
      <c r="BG221" s="153">
        <f>$C221*INDEX(Curves!$AV$8:$AV$68,BG$4-$B221+1)</f>
        <v/>
      </c>
      <c r="BH221" s="153">
        <f>$C221*INDEX(Curves!$AV$8:$AV$68,BH$4-$B221+1)</f>
        <v/>
      </c>
      <c r="BI221" s="153">
        <f>$C221*INDEX(Curves!$AV$8:$AV$68,BI$4-$B221+1)</f>
        <v/>
      </c>
      <c r="BJ221" s="153">
        <f>$C221*INDEX(Curves!$AV$8:$AV$68,BJ$4-$B221+1)</f>
        <v/>
      </c>
      <c r="BK221" s="153">
        <f>$C221*INDEX(Curves!$AV$8:$AV$68,BK$4-$B221+1)</f>
        <v/>
      </c>
      <c r="BL221" s="153">
        <f>$C221*INDEX(Curves!$AV$8:$AV$68,BL$4-$B221+1)</f>
        <v/>
      </c>
    </row>
    <row r="222">
      <c r="A222" s="147" t="inlineStr">
        <is>
          <t>Cohort month 24</t>
        </is>
      </c>
      <c r="B222" s="147" t="n">
        <v>24</v>
      </c>
      <c r="C222" s="41">
        <f>INDEX(Ops!$E$85:$BL$85,1,$B222)</f>
        <v/>
      </c>
      <c r="AC222" s="153">
        <f>$C222*INDEX(Curves!$AV$8:$AV$68,AC$4-$B222+1)</f>
        <v/>
      </c>
      <c r="AD222" s="153">
        <f>$C222*INDEX(Curves!$AV$8:$AV$68,AD$4-$B222+1)</f>
        <v/>
      </c>
      <c r="AE222" s="153">
        <f>$C222*INDEX(Curves!$AV$8:$AV$68,AE$4-$B222+1)</f>
        <v/>
      </c>
      <c r="AF222" s="153">
        <f>$C222*INDEX(Curves!$AV$8:$AV$68,AF$4-$B222+1)</f>
        <v/>
      </c>
      <c r="AG222" s="153">
        <f>$C222*INDEX(Curves!$AV$8:$AV$68,AG$4-$B222+1)</f>
        <v/>
      </c>
      <c r="AH222" s="153">
        <f>$C222*INDEX(Curves!$AV$8:$AV$68,AH$4-$B222+1)</f>
        <v/>
      </c>
      <c r="AI222" s="153">
        <f>$C222*INDEX(Curves!$AV$8:$AV$68,AI$4-$B222+1)</f>
        <v/>
      </c>
      <c r="AJ222" s="153">
        <f>$C222*INDEX(Curves!$AV$8:$AV$68,AJ$4-$B222+1)</f>
        <v/>
      </c>
      <c r="AK222" s="153">
        <f>$C222*INDEX(Curves!$AV$8:$AV$68,AK$4-$B222+1)</f>
        <v/>
      </c>
      <c r="AL222" s="153">
        <f>$C222*INDEX(Curves!$AV$8:$AV$68,AL$4-$B222+1)</f>
        <v/>
      </c>
      <c r="AM222" s="153">
        <f>$C222*INDEX(Curves!$AV$8:$AV$68,AM$4-$B222+1)</f>
        <v/>
      </c>
      <c r="AN222" s="153">
        <f>$C222*INDEX(Curves!$AV$8:$AV$68,AN$4-$B222+1)</f>
        <v/>
      </c>
      <c r="AO222" s="153">
        <f>$C222*INDEX(Curves!$AV$8:$AV$68,AO$4-$B222+1)</f>
        <v/>
      </c>
      <c r="AP222" s="153">
        <f>$C222*INDEX(Curves!$AV$8:$AV$68,AP$4-$B222+1)</f>
        <v/>
      </c>
      <c r="AQ222" s="153">
        <f>$C222*INDEX(Curves!$AV$8:$AV$68,AQ$4-$B222+1)</f>
        <v/>
      </c>
      <c r="AR222" s="153">
        <f>$C222*INDEX(Curves!$AV$8:$AV$68,AR$4-$B222+1)</f>
        <v/>
      </c>
      <c r="AS222" s="153">
        <f>$C222*INDEX(Curves!$AV$8:$AV$68,AS$4-$B222+1)</f>
        <v/>
      </c>
      <c r="AT222" s="153">
        <f>$C222*INDEX(Curves!$AV$8:$AV$68,AT$4-$B222+1)</f>
        <v/>
      </c>
      <c r="AU222" s="153">
        <f>$C222*INDEX(Curves!$AV$8:$AV$68,AU$4-$B222+1)</f>
        <v/>
      </c>
      <c r="AV222" s="153">
        <f>$C222*INDEX(Curves!$AV$8:$AV$68,AV$4-$B222+1)</f>
        <v/>
      </c>
      <c r="AW222" s="153">
        <f>$C222*INDEX(Curves!$AV$8:$AV$68,AW$4-$B222+1)</f>
        <v/>
      </c>
      <c r="AX222" s="153">
        <f>$C222*INDEX(Curves!$AV$8:$AV$68,AX$4-$B222+1)</f>
        <v/>
      </c>
      <c r="AY222" s="153">
        <f>$C222*INDEX(Curves!$AV$8:$AV$68,AY$4-$B222+1)</f>
        <v/>
      </c>
      <c r="AZ222" s="153">
        <f>$C222*INDEX(Curves!$AV$8:$AV$68,AZ$4-$B222+1)</f>
        <v/>
      </c>
      <c r="BA222" s="153">
        <f>$C222*INDEX(Curves!$AV$8:$AV$68,BA$4-$B222+1)</f>
        <v/>
      </c>
      <c r="BB222" s="153">
        <f>$C222*INDEX(Curves!$AV$8:$AV$68,BB$4-$B222+1)</f>
        <v/>
      </c>
      <c r="BC222" s="153">
        <f>$C222*INDEX(Curves!$AV$8:$AV$68,BC$4-$B222+1)</f>
        <v/>
      </c>
      <c r="BD222" s="153">
        <f>$C222*INDEX(Curves!$AV$8:$AV$68,BD$4-$B222+1)</f>
        <v/>
      </c>
      <c r="BE222" s="153">
        <f>$C222*INDEX(Curves!$AV$8:$AV$68,BE$4-$B222+1)</f>
        <v/>
      </c>
      <c r="BF222" s="153">
        <f>$C222*INDEX(Curves!$AV$8:$AV$68,BF$4-$B222+1)</f>
        <v/>
      </c>
      <c r="BG222" s="153">
        <f>$C222*INDEX(Curves!$AV$8:$AV$68,BG$4-$B222+1)</f>
        <v/>
      </c>
      <c r="BH222" s="153">
        <f>$C222*INDEX(Curves!$AV$8:$AV$68,BH$4-$B222+1)</f>
        <v/>
      </c>
      <c r="BI222" s="153">
        <f>$C222*INDEX(Curves!$AV$8:$AV$68,BI$4-$B222+1)</f>
        <v/>
      </c>
      <c r="BJ222" s="153">
        <f>$C222*INDEX(Curves!$AV$8:$AV$68,BJ$4-$B222+1)</f>
        <v/>
      </c>
      <c r="BK222" s="153">
        <f>$C222*INDEX(Curves!$AV$8:$AV$68,BK$4-$B222+1)</f>
        <v/>
      </c>
      <c r="BL222" s="153">
        <f>$C222*INDEX(Curves!$AV$8:$AV$68,BL$4-$B222+1)</f>
        <v/>
      </c>
    </row>
    <row r="223">
      <c r="A223" s="147" t="inlineStr">
        <is>
          <t>Cohort month 25</t>
        </is>
      </c>
      <c r="B223" s="147" t="n">
        <v>25</v>
      </c>
      <c r="C223" s="41">
        <f>INDEX(Ops!$E$85:$BL$85,1,$B223)</f>
        <v/>
      </c>
      <c r="AD223" s="153">
        <f>$C223*INDEX(Curves!$AV$8:$AV$68,AD$4-$B223+1)</f>
        <v/>
      </c>
      <c r="AE223" s="153">
        <f>$C223*INDEX(Curves!$AV$8:$AV$68,AE$4-$B223+1)</f>
        <v/>
      </c>
      <c r="AF223" s="153">
        <f>$C223*INDEX(Curves!$AV$8:$AV$68,AF$4-$B223+1)</f>
        <v/>
      </c>
      <c r="AG223" s="153">
        <f>$C223*INDEX(Curves!$AV$8:$AV$68,AG$4-$B223+1)</f>
        <v/>
      </c>
      <c r="AH223" s="153">
        <f>$C223*INDEX(Curves!$AV$8:$AV$68,AH$4-$B223+1)</f>
        <v/>
      </c>
      <c r="AI223" s="153">
        <f>$C223*INDEX(Curves!$AV$8:$AV$68,AI$4-$B223+1)</f>
        <v/>
      </c>
      <c r="AJ223" s="153">
        <f>$C223*INDEX(Curves!$AV$8:$AV$68,AJ$4-$B223+1)</f>
        <v/>
      </c>
      <c r="AK223" s="153">
        <f>$C223*INDEX(Curves!$AV$8:$AV$68,AK$4-$B223+1)</f>
        <v/>
      </c>
      <c r="AL223" s="153">
        <f>$C223*INDEX(Curves!$AV$8:$AV$68,AL$4-$B223+1)</f>
        <v/>
      </c>
      <c r="AM223" s="153">
        <f>$C223*INDEX(Curves!$AV$8:$AV$68,AM$4-$B223+1)</f>
        <v/>
      </c>
      <c r="AN223" s="153">
        <f>$C223*INDEX(Curves!$AV$8:$AV$68,AN$4-$B223+1)</f>
        <v/>
      </c>
      <c r="AO223" s="153">
        <f>$C223*INDEX(Curves!$AV$8:$AV$68,AO$4-$B223+1)</f>
        <v/>
      </c>
      <c r="AP223" s="153">
        <f>$C223*INDEX(Curves!$AV$8:$AV$68,AP$4-$B223+1)</f>
        <v/>
      </c>
      <c r="AQ223" s="153">
        <f>$C223*INDEX(Curves!$AV$8:$AV$68,AQ$4-$B223+1)</f>
        <v/>
      </c>
      <c r="AR223" s="153">
        <f>$C223*INDEX(Curves!$AV$8:$AV$68,AR$4-$B223+1)</f>
        <v/>
      </c>
      <c r="AS223" s="153">
        <f>$C223*INDEX(Curves!$AV$8:$AV$68,AS$4-$B223+1)</f>
        <v/>
      </c>
      <c r="AT223" s="153">
        <f>$C223*INDEX(Curves!$AV$8:$AV$68,AT$4-$B223+1)</f>
        <v/>
      </c>
      <c r="AU223" s="153">
        <f>$C223*INDEX(Curves!$AV$8:$AV$68,AU$4-$B223+1)</f>
        <v/>
      </c>
      <c r="AV223" s="153">
        <f>$C223*INDEX(Curves!$AV$8:$AV$68,AV$4-$B223+1)</f>
        <v/>
      </c>
      <c r="AW223" s="153">
        <f>$C223*INDEX(Curves!$AV$8:$AV$68,AW$4-$B223+1)</f>
        <v/>
      </c>
      <c r="AX223" s="153">
        <f>$C223*INDEX(Curves!$AV$8:$AV$68,AX$4-$B223+1)</f>
        <v/>
      </c>
      <c r="AY223" s="153">
        <f>$C223*INDEX(Curves!$AV$8:$AV$68,AY$4-$B223+1)</f>
        <v/>
      </c>
      <c r="AZ223" s="153">
        <f>$C223*INDEX(Curves!$AV$8:$AV$68,AZ$4-$B223+1)</f>
        <v/>
      </c>
      <c r="BA223" s="153">
        <f>$C223*INDEX(Curves!$AV$8:$AV$68,BA$4-$B223+1)</f>
        <v/>
      </c>
      <c r="BB223" s="153">
        <f>$C223*INDEX(Curves!$AV$8:$AV$68,BB$4-$B223+1)</f>
        <v/>
      </c>
      <c r="BC223" s="153">
        <f>$C223*INDEX(Curves!$AV$8:$AV$68,BC$4-$B223+1)</f>
        <v/>
      </c>
      <c r="BD223" s="153">
        <f>$C223*INDEX(Curves!$AV$8:$AV$68,BD$4-$B223+1)</f>
        <v/>
      </c>
      <c r="BE223" s="153">
        <f>$C223*INDEX(Curves!$AV$8:$AV$68,BE$4-$B223+1)</f>
        <v/>
      </c>
      <c r="BF223" s="153">
        <f>$C223*INDEX(Curves!$AV$8:$AV$68,BF$4-$B223+1)</f>
        <v/>
      </c>
      <c r="BG223" s="153">
        <f>$C223*INDEX(Curves!$AV$8:$AV$68,BG$4-$B223+1)</f>
        <v/>
      </c>
      <c r="BH223" s="153">
        <f>$C223*INDEX(Curves!$AV$8:$AV$68,BH$4-$B223+1)</f>
        <v/>
      </c>
      <c r="BI223" s="153">
        <f>$C223*INDEX(Curves!$AV$8:$AV$68,BI$4-$B223+1)</f>
        <v/>
      </c>
      <c r="BJ223" s="153">
        <f>$C223*INDEX(Curves!$AV$8:$AV$68,BJ$4-$B223+1)</f>
        <v/>
      </c>
      <c r="BK223" s="153">
        <f>$C223*INDEX(Curves!$AV$8:$AV$68,BK$4-$B223+1)</f>
        <v/>
      </c>
      <c r="BL223" s="153">
        <f>$C223*INDEX(Curves!$AV$8:$AV$68,BL$4-$B223+1)</f>
        <v/>
      </c>
    </row>
    <row r="224">
      <c r="A224" s="147" t="inlineStr">
        <is>
          <t>Cohort month 26</t>
        </is>
      </c>
      <c r="B224" s="147" t="n">
        <v>26</v>
      </c>
      <c r="C224" s="41">
        <f>INDEX(Ops!$E$85:$BL$85,1,$B224)</f>
        <v/>
      </c>
      <c r="AE224" s="153">
        <f>$C224*INDEX(Curves!$AV$8:$AV$68,AE$4-$B224+1)</f>
        <v/>
      </c>
      <c r="AF224" s="153">
        <f>$C224*INDEX(Curves!$AV$8:$AV$68,AF$4-$B224+1)</f>
        <v/>
      </c>
      <c r="AG224" s="153">
        <f>$C224*INDEX(Curves!$AV$8:$AV$68,AG$4-$B224+1)</f>
        <v/>
      </c>
      <c r="AH224" s="153">
        <f>$C224*INDEX(Curves!$AV$8:$AV$68,AH$4-$B224+1)</f>
        <v/>
      </c>
      <c r="AI224" s="153">
        <f>$C224*INDEX(Curves!$AV$8:$AV$68,AI$4-$B224+1)</f>
        <v/>
      </c>
      <c r="AJ224" s="153">
        <f>$C224*INDEX(Curves!$AV$8:$AV$68,AJ$4-$B224+1)</f>
        <v/>
      </c>
      <c r="AK224" s="153">
        <f>$C224*INDEX(Curves!$AV$8:$AV$68,AK$4-$B224+1)</f>
        <v/>
      </c>
      <c r="AL224" s="153">
        <f>$C224*INDEX(Curves!$AV$8:$AV$68,AL$4-$B224+1)</f>
        <v/>
      </c>
      <c r="AM224" s="153">
        <f>$C224*INDEX(Curves!$AV$8:$AV$68,AM$4-$B224+1)</f>
        <v/>
      </c>
      <c r="AN224" s="153">
        <f>$C224*INDEX(Curves!$AV$8:$AV$68,AN$4-$B224+1)</f>
        <v/>
      </c>
      <c r="AO224" s="153">
        <f>$C224*INDEX(Curves!$AV$8:$AV$68,AO$4-$B224+1)</f>
        <v/>
      </c>
      <c r="AP224" s="153">
        <f>$C224*INDEX(Curves!$AV$8:$AV$68,AP$4-$B224+1)</f>
        <v/>
      </c>
      <c r="AQ224" s="153">
        <f>$C224*INDEX(Curves!$AV$8:$AV$68,AQ$4-$B224+1)</f>
        <v/>
      </c>
      <c r="AR224" s="153">
        <f>$C224*INDEX(Curves!$AV$8:$AV$68,AR$4-$B224+1)</f>
        <v/>
      </c>
      <c r="AS224" s="153">
        <f>$C224*INDEX(Curves!$AV$8:$AV$68,AS$4-$B224+1)</f>
        <v/>
      </c>
      <c r="AT224" s="153">
        <f>$C224*INDEX(Curves!$AV$8:$AV$68,AT$4-$B224+1)</f>
        <v/>
      </c>
      <c r="AU224" s="153">
        <f>$C224*INDEX(Curves!$AV$8:$AV$68,AU$4-$B224+1)</f>
        <v/>
      </c>
      <c r="AV224" s="153">
        <f>$C224*INDEX(Curves!$AV$8:$AV$68,AV$4-$B224+1)</f>
        <v/>
      </c>
      <c r="AW224" s="153">
        <f>$C224*INDEX(Curves!$AV$8:$AV$68,AW$4-$B224+1)</f>
        <v/>
      </c>
      <c r="AX224" s="153">
        <f>$C224*INDEX(Curves!$AV$8:$AV$68,AX$4-$B224+1)</f>
        <v/>
      </c>
      <c r="AY224" s="153">
        <f>$C224*INDEX(Curves!$AV$8:$AV$68,AY$4-$B224+1)</f>
        <v/>
      </c>
      <c r="AZ224" s="153">
        <f>$C224*INDEX(Curves!$AV$8:$AV$68,AZ$4-$B224+1)</f>
        <v/>
      </c>
      <c r="BA224" s="153">
        <f>$C224*INDEX(Curves!$AV$8:$AV$68,BA$4-$B224+1)</f>
        <v/>
      </c>
      <c r="BB224" s="153">
        <f>$C224*INDEX(Curves!$AV$8:$AV$68,BB$4-$B224+1)</f>
        <v/>
      </c>
      <c r="BC224" s="153">
        <f>$C224*INDEX(Curves!$AV$8:$AV$68,BC$4-$B224+1)</f>
        <v/>
      </c>
      <c r="BD224" s="153">
        <f>$C224*INDEX(Curves!$AV$8:$AV$68,BD$4-$B224+1)</f>
        <v/>
      </c>
      <c r="BE224" s="153">
        <f>$C224*INDEX(Curves!$AV$8:$AV$68,BE$4-$B224+1)</f>
        <v/>
      </c>
      <c r="BF224" s="153">
        <f>$C224*INDEX(Curves!$AV$8:$AV$68,BF$4-$B224+1)</f>
        <v/>
      </c>
      <c r="BG224" s="153">
        <f>$C224*INDEX(Curves!$AV$8:$AV$68,BG$4-$B224+1)</f>
        <v/>
      </c>
      <c r="BH224" s="153">
        <f>$C224*INDEX(Curves!$AV$8:$AV$68,BH$4-$B224+1)</f>
        <v/>
      </c>
      <c r="BI224" s="153">
        <f>$C224*INDEX(Curves!$AV$8:$AV$68,BI$4-$B224+1)</f>
        <v/>
      </c>
      <c r="BJ224" s="153">
        <f>$C224*INDEX(Curves!$AV$8:$AV$68,BJ$4-$B224+1)</f>
        <v/>
      </c>
      <c r="BK224" s="153">
        <f>$C224*INDEX(Curves!$AV$8:$AV$68,BK$4-$B224+1)</f>
        <v/>
      </c>
      <c r="BL224" s="153">
        <f>$C224*INDEX(Curves!$AV$8:$AV$68,BL$4-$B224+1)</f>
        <v/>
      </c>
    </row>
    <row r="225">
      <c r="A225" s="147" t="inlineStr">
        <is>
          <t>Cohort month 27</t>
        </is>
      </c>
      <c r="B225" s="147" t="n">
        <v>27</v>
      </c>
      <c r="C225" s="41">
        <f>INDEX(Ops!$E$85:$BL$85,1,$B225)</f>
        <v/>
      </c>
      <c r="AF225" s="153">
        <f>$C225*INDEX(Curves!$AV$8:$AV$68,AF$4-$B225+1)</f>
        <v/>
      </c>
      <c r="AG225" s="153">
        <f>$C225*INDEX(Curves!$AV$8:$AV$68,AG$4-$B225+1)</f>
        <v/>
      </c>
      <c r="AH225" s="153">
        <f>$C225*INDEX(Curves!$AV$8:$AV$68,AH$4-$B225+1)</f>
        <v/>
      </c>
      <c r="AI225" s="153">
        <f>$C225*INDEX(Curves!$AV$8:$AV$68,AI$4-$B225+1)</f>
        <v/>
      </c>
      <c r="AJ225" s="153">
        <f>$C225*INDEX(Curves!$AV$8:$AV$68,AJ$4-$B225+1)</f>
        <v/>
      </c>
      <c r="AK225" s="153">
        <f>$C225*INDEX(Curves!$AV$8:$AV$68,AK$4-$B225+1)</f>
        <v/>
      </c>
      <c r="AL225" s="153">
        <f>$C225*INDEX(Curves!$AV$8:$AV$68,AL$4-$B225+1)</f>
        <v/>
      </c>
      <c r="AM225" s="153">
        <f>$C225*INDEX(Curves!$AV$8:$AV$68,AM$4-$B225+1)</f>
        <v/>
      </c>
      <c r="AN225" s="153">
        <f>$C225*INDEX(Curves!$AV$8:$AV$68,AN$4-$B225+1)</f>
        <v/>
      </c>
      <c r="AO225" s="153">
        <f>$C225*INDEX(Curves!$AV$8:$AV$68,AO$4-$B225+1)</f>
        <v/>
      </c>
      <c r="AP225" s="153">
        <f>$C225*INDEX(Curves!$AV$8:$AV$68,AP$4-$B225+1)</f>
        <v/>
      </c>
      <c r="AQ225" s="153">
        <f>$C225*INDEX(Curves!$AV$8:$AV$68,AQ$4-$B225+1)</f>
        <v/>
      </c>
      <c r="AR225" s="153">
        <f>$C225*INDEX(Curves!$AV$8:$AV$68,AR$4-$B225+1)</f>
        <v/>
      </c>
      <c r="AS225" s="153">
        <f>$C225*INDEX(Curves!$AV$8:$AV$68,AS$4-$B225+1)</f>
        <v/>
      </c>
      <c r="AT225" s="153">
        <f>$C225*INDEX(Curves!$AV$8:$AV$68,AT$4-$B225+1)</f>
        <v/>
      </c>
      <c r="AU225" s="153">
        <f>$C225*INDEX(Curves!$AV$8:$AV$68,AU$4-$B225+1)</f>
        <v/>
      </c>
      <c r="AV225" s="153">
        <f>$C225*INDEX(Curves!$AV$8:$AV$68,AV$4-$B225+1)</f>
        <v/>
      </c>
      <c r="AW225" s="153">
        <f>$C225*INDEX(Curves!$AV$8:$AV$68,AW$4-$B225+1)</f>
        <v/>
      </c>
      <c r="AX225" s="153">
        <f>$C225*INDEX(Curves!$AV$8:$AV$68,AX$4-$B225+1)</f>
        <v/>
      </c>
      <c r="AY225" s="153">
        <f>$C225*INDEX(Curves!$AV$8:$AV$68,AY$4-$B225+1)</f>
        <v/>
      </c>
      <c r="AZ225" s="153">
        <f>$C225*INDEX(Curves!$AV$8:$AV$68,AZ$4-$B225+1)</f>
        <v/>
      </c>
      <c r="BA225" s="153">
        <f>$C225*INDEX(Curves!$AV$8:$AV$68,BA$4-$B225+1)</f>
        <v/>
      </c>
      <c r="BB225" s="153">
        <f>$C225*INDEX(Curves!$AV$8:$AV$68,BB$4-$B225+1)</f>
        <v/>
      </c>
      <c r="BC225" s="153">
        <f>$C225*INDEX(Curves!$AV$8:$AV$68,BC$4-$B225+1)</f>
        <v/>
      </c>
      <c r="BD225" s="153">
        <f>$C225*INDEX(Curves!$AV$8:$AV$68,BD$4-$B225+1)</f>
        <v/>
      </c>
      <c r="BE225" s="153">
        <f>$C225*INDEX(Curves!$AV$8:$AV$68,BE$4-$B225+1)</f>
        <v/>
      </c>
      <c r="BF225" s="153">
        <f>$C225*INDEX(Curves!$AV$8:$AV$68,BF$4-$B225+1)</f>
        <v/>
      </c>
      <c r="BG225" s="153">
        <f>$C225*INDEX(Curves!$AV$8:$AV$68,BG$4-$B225+1)</f>
        <v/>
      </c>
      <c r="BH225" s="153">
        <f>$C225*INDEX(Curves!$AV$8:$AV$68,BH$4-$B225+1)</f>
        <v/>
      </c>
      <c r="BI225" s="153">
        <f>$C225*INDEX(Curves!$AV$8:$AV$68,BI$4-$B225+1)</f>
        <v/>
      </c>
      <c r="BJ225" s="153">
        <f>$C225*INDEX(Curves!$AV$8:$AV$68,BJ$4-$B225+1)</f>
        <v/>
      </c>
      <c r="BK225" s="153">
        <f>$C225*INDEX(Curves!$AV$8:$AV$68,BK$4-$B225+1)</f>
        <v/>
      </c>
      <c r="BL225" s="153">
        <f>$C225*INDEX(Curves!$AV$8:$AV$68,BL$4-$B225+1)</f>
        <v/>
      </c>
    </row>
    <row r="226">
      <c r="A226" s="147" t="inlineStr">
        <is>
          <t>Cohort month 28</t>
        </is>
      </c>
      <c r="B226" s="147" t="n">
        <v>28</v>
      </c>
      <c r="C226" s="41">
        <f>INDEX(Ops!$E$85:$BL$85,1,$B226)</f>
        <v/>
      </c>
      <c r="AG226" s="153">
        <f>$C226*INDEX(Curves!$AV$8:$AV$68,AG$4-$B226+1)</f>
        <v/>
      </c>
      <c r="AH226" s="153">
        <f>$C226*INDEX(Curves!$AV$8:$AV$68,AH$4-$B226+1)</f>
        <v/>
      </c>
      <c r="AI226" s="153">
        <f>$C226*INDEX(Curves!$AV$8:$AV$68,AI$4-$B226+1)</f>
        <v/>
      </c>
      <c r="AJ226" s="153">
        <f>$C226*INDEX(Curves!$AV$8:$AV$68,AJ$4-$B226+1)</f>
        <v/>
      </c>
      <c r="AK226" s="153">
        <f>$C226*INDEX(Curves!$AV$8:$AV$68,AK$4-$B226+1)</f>
        <v/>
      </c>
      <c r="AL226" s="153">
        <f>$C226*INDEX(Curves!$AV$8:$AV$68,AL$4-$B226+1)</f>
        <v/>
      </c>
      <c r="AM226" s="153">
        <f>$C226*INDEX(Curves!$AV$8:$AV$68,AM$4-$B226+1)</f>
        <v/>
      </c>
      <c r="AN226" s="153">
        <f>$C226*INDEX(Curves!$AV$8:$AV$68,AN$4-$B226+1)</f>
        <v/>
      </c>
      <c r="AO226" s="153">
        <f>$C226*INDEX(Curves!$AV$8:$AV$68,AO$4-$B226+1)</f>
        <v/>
      </c>
      <c r="AP226" s="153">
        <f>$C226*INDEX(Curves!$AV$8:$AV$68,AP$4-$B226+1)</f>
        <v/>
      </c>
      <c r="AQ226" s="153">
        <f>$C226*INDEX(Curves!$AV$8:$AV$68,AQ$4-$B226+1)</f>
        <v/>
      </c>
      <c r="AR226" s="153">
        <f>$C226*INDEX(Curves!$AV$8:$AV$68,AR$4-$B226+1)</f>
        <v/>
      </c>
      <c r="AS226" s="153">
        <f>$C226*INDEX(Curves!$AV$8:$AV$68,AS$4-$B226+1)</f>
        <v/>
      </c>
      <c r="AT226" s="153">
        <f>$C226*INDEX(Curves!$AV$8:$AV$68,AT$4-$B226+1)</f>
        <v/>
      </c>
      <c r="AU226" s="153">
        <f>$C226*INDEX(Curves!$AV$8:$AV$68,AU$4-$B226+1)</f>
        <v/>
      </c>
      <c r="AV226" s="153">
        <f>$C226*INDEX(Curves!$AV$8:$AV$68,AV$4-$B226+1)</f>
        <v/>
      </c>
      <c r="AW226" s="153">
        <f>$C226*INDEX(Curves!$AV$8:$AV$68,AW$4-$B226+1)</f>
        <v/>
      </c>
      <c r="AX226" s="153">
        <f>$C226*INDEX(Curves!$AV$8:$AV$68,AX$4-$B226+1)</f>
        <v/>
      </c>
      <c r="AY226" s="153">
        <f>$C226*INDEX(Curves!$AV$8:$AV$68,AY$4-$B226+1)</f>
        <v/>
      </c>
      <c r="AZ226" s="153">
        <f>$C226*INDEX(Curves!$AV$8:$AV$68,AZ$4-$B226+1)</f>
        <v/>
      </c>
      <c r="BA226" s="153">
        <f>$C226*INDEX(Curves!$AV$8:$AV$68,BA$4-$B226+1)</f>
        <v/>
      </c>
      <c r="BB226" s="153">
        <f>$C226*INDEX(Curves!$AV$8:$AV$68,BB$4-$B226+1)</f>
        <v/>
      </c>
      <c r="BC226" s="153">
        <f>$C226*INDEX(Curves!$AV$8:$AV$68,BC$4-$B226+1)</f>
        <v/>
      </c>
      <c r="BD226" s="153">
        <f>$C226*INDEX(Curves!$AV$8:$AV$68,BD$4-$B226+1)</f>
        <v/>
      </c>
      <c r="BE226" s="153">
        <f>$C226*INDEX(Curves!$AV$8:$AV$68,BE$4-$B226+1)</f>
        <v/>
      </c>
      <c r="BF226" s="153">
        <f>$C226*INDEX(Curves!$AV$8:$AV$68,BF$4-$B226+1)</f>
        <v/>
      </c>
      <c r="BG226" s="153">
        <f>$C226*INDEX(Curves!$AV$8:$AV$68,BG$4-$B226+1)</f>
        <v/>
      </c>
      <c r="BH226" s="153">
        <f>$C226*INDEX(Curves!$AV$8:$AV$68,BH$4-$B226+1)</f>
        <v/>
      </c>
      <c r="BI226" s="153">
        <f>$C226*INDEX(Curves!$AV$8:$AV$68,BI$4-$B226+1)</f>
        <v/>
      </c>
      <c r="BJ226" s="153">
        <f>$C226*INDEX(Curves!$AV$8:$AV$68,BJ$4-$B226+1)</f>
        <v/>
      </c>
      <c r="BK226" s="153">
        <f>$C226*INDEX(Curves!$AV$8:$AV$68,BK$4-$B226+1)</f>
        <v/>
      </c>
      <c r="BL226" s="153">
        <f>$C226*INDEX(Curves!$AV$8:$AV$68,BL$4-$B226+1)</f>
        <v/>
      </c>
    </row>
    <row r="227">
      <c r="A227" s="147" t="inlineStr">
        <is>
          <t>Cohort month 29</t>
        </is>
      </c>
      <c r="B227" s="147" t="n">
        <v>29</v>
      </c>
      <c r="C227" s="41">
        <f>INDEX(Ops!$E$85:$BL$85,1,$B227)</f>
        <v/>
      </c>
      <c r="AH227" s="153">
        <f>$C227*INDEX(Curves!$AV$8:$AV$68,AH$4-$B227+1)</f>
        <v/>
      </c>
      <c r="AI227" s="153">
        <f>$C227*INDEX(Curves!$AV$8:$AV$68,AI$4-$B227+1)</f>
        <v/>
      </c>
      <c r="AJ227" s="153">
        <f>$C227*INDEX(Curves!$AV$8:$AV$68,AJ$4-$B227+1)</f>
        <v/>
      </c>
      <c r="AK227" s="153">
        <f>$C227*INDEX(Curves!$AV$8:$AV$68,AK$4-$B227+1)</f>
        <v/>
      </c>
      <c r="AL227" s="153">
        <f>$C227*INDEX(Curves!$AV$8:$AV$68,AL$4-$B227+1)</f>
        <v/>
      </c>
      <c r="AM227" s="153">
        <f>$C227*INDEX(Curves!$AV$8:$AV$68,AM$4-$B227+1)</f>
        <v/>
      </c>
      <c r="AN227" s="153">
        <f>$C227*INDEX(Curves!$AV$8:$AV$68,AN$4-$B227+1)</f>
        <v/>
      </c>
      <c r="AO227" s="153">
        <f>$C227*INDEX(Curves!$AV$8:$AV$68,AO$4-$B227+1)</f>
        <v/>
      </c>
      <c r="AP227" s="153">
        <f>$C227*INDEX(Curves!$AV$8:$AV$68,AP$4-$B227+1)</f>
        <v/>
      </c>
      <c r="AQ227" s="153">
        <f>$C227*INDEX(Curves!$AV$8:$AV$68,AQ$4-$B227+1)</f>
        <v/>
      </c>
      <c r="AR227" s="153">
        <f>$C227*INDEX(Curves!$AV$8:$AV$68,AR$4-$B227+1)</f>
        <v/>
      </c>
      <c r="AS227" s="153">
        <f>$C227*INDEX(Curves!$AV$8:$AV$68,AS$4-$B227+1)</f>
        <v/>
      </c>
      <c r="AT227" s="153">
        <f>$C227*INDEX(Curves!$AV$8:$AV$68,AT$4-$B227+1)</f>
        <v/>
      </c>
      <c r="AU227" s="153">
        <f>$C227*INDEX(Curves!$AV$8:$AV$68,AU$4-$B227+1)</f>
        <v/>
      </c>
      <c r="AV227" s="153">
        <f>$C227*INDEX(Curves!$AV$8:$AV$68,AV$4-$B227+1)</f>
        <v/>
      </c>
      <c r="AW227" s="153">
        <f>$C227*INDEX(Curves!$AV$8:$AV$68,AW$4-$B227+1)</f>
        <v/>
      </c>
      <c r="AX227" s="153">
        <f>$C227*INDEX(Curves!$AV$8:$AV$68,AX$4-$B227+1)</f>
        <v/>
      </c>
      <c r="AY227" s="153">
        <f>$C227*INDEX(Curves!$AV$8:$AV$68,AY$4-$B227+1)</f>
        <v/>
      </c>
      <c r="AZ227" s="153">
        <f>$C227*INDEX(Curves!$AV$8:$AV$68,AZ$4-$B227+1)</f>
        <v/>
      </c>
      <c r="BA227" s="153">
        <f>$C227*INDEX(Curves!$AV$8:$AV$68,BA$4-$B227+1)</f>
        <v/>
      </c>
      <c r="BB227" s="153">
        <f>$C227*INDEX(Curves!$AV$8:$AV$68,BB$4-$B227+1)</f>
        <v/>
      </c>
      <c r="BC227" s="153">
        <f>$C227*INDEX(Curves!$AV$8:$AV$68,BC$4-$B227+1)</f>
        <v/>
      </c>
      <c r="BD227" s="153">
        <f>$C227*INDEX(Curves!$AV$8:$AV$68,BD$4-$B227+1)</f>
        <v/>
      </c>
      <c r="BE227" s="153">
        <f>$C227*INDEX(Curves!$AV$8:$AV$68,BE$4-$B227+1)</f>
        <v/>
      </c>
      <c r="BF227" s="153">
        <f>$C227*INDEX(Curves!$AV$8:$AV$68,BF$4-$B227+1)</f>
        <v/>
      </c>
      <c r="BG227" s="153">
        <f>$C227*INDEX(Curves!$AV$8:$AV$68,BG$4-$B227+1)</f>
        <v/>
      </c>
      <c r="BH227" s="153">
        <f>$C227*INDEX(Curves!$AV$8:$AV$68,BH$4-$B227+1)</f>
        <v/>
      </c>
      <c r="BI227" s="153">
        <f>$C227*INDEX(Curves!$AV$8:$AV$68,BI$4-$B227+1)</f>
        <v/>
      </c>
      <c r="BJ227" s="153">
        <f>$C227*INDEX(Curves!$AV$8:$AV$68,BJ$4-$B227+1)</f>
        <v/>
      </c>
      <c r="BK227" s="153">
        <f>$C227*INDEX(Curves!$AV$8:$AV$68,BK$4-$B227+1)</f>
        <v/>
      </c>
      <c r="BL227" s="153">
        <f>$C227*INDEX(Curves!$AV$8:$AV$68,BL$4-$B227+1)</f>
        <v/>
      </c>
    </row>
    <row r="228">
      <c r="A228" s="147" t="inlineStr">
        <is>
          <t>Cohort month 30</t>
        </is>
      </c>
      <c r="B228" s="147" t="n">
        <v>30</v>
      </c>
      <c r="C228" s="41">
        <f>INDEX(Ops!$E$85:$BL$85,1,$B228)</f>
        <v/>
      </c>
      <c r="AI228" s="153">
        <f>$C228*INDEX(Curves!$AV$8:$AV$68,AI$4-$B228+1)</f>
        <v/>
      </c>
      <c r="AJ228" s="153">
        <f>$C228*INDEX(Curves!$AV$8:$AV$68,AJ$4-$B228+1)</f>
        <v/>
      </c>
      <c r="AK228" s="153">
        <f>$C228*INDEX(Curves!$AV$8:$AV$68,AK$4-$B228+1)</f>
        <v/>
      </c>
      <c r="AL228" s="153">
        <f>$C228*INDEX(Curves!$AV$8:$AV$68,AL$4-$B228+1)</f>
        <v/>
      </c>
      <c r="AM228" s="153">
        <f>$C228*INDEX(Curves!$AV$8:$AV$68,AM$4-$B228+1)</f>
        <v/>
      </c>
      <c r="AN228" s="153">
        <f>$C228*INDEX(Curves!$AV$8:$AV$68,AN$4-$B228+1)</f>
        <v/>
      </c>
      <c r="AO228" s="153">
        <f>$C228*INDEX(Curves!$AV$8:$AV$68,AO$4-$B228+1)</f>
        <v/>
      </c>
      <c r="AP228" s="153">
        <f>$C228*INDEX(Curves!$AV$8:$AV$68,AP$4-$B228+1)</f>
        <v/>
      </c>
      <c r="AQ228" s="153">
        <f>$C228*INDEX(Curves!$AV$8:$AV$68,AQ$4-$B228+1)</f>
        <v/>
      </c>
      <c r="AR228" s="153">
        <f>$C228*INDEX(Curves!$AV$8:$AV$68,AR$4-$B228+1)</f>
        <v/>
      </c>
      <c r="AS228" s="153">
        <f>$C228*INDEX(Curves!$AV$8:$AV$68,AS$4-$B228+1)</f>
        <v/>
      </c>
      <c r="AT228" s="153">
        <f>$C228*INDEX(Curves!$AV$8:$AV$68,AT$4-$B228+1)</f>
        <v/>
      </c>
      <c r="AU228" s="153">
        <f>$C228*INDEX(Curves!$AV$8:$AV$68,AU$4-$B228+1)</f>
        <v/>
      </c>
      <c r="AV228" s="153">
        <f>$C228*INDEX(Curves!$AV$8:$AV$68,AV$4-$B228+1)</f>
        <v/>
      </c>
      <c r="AW228" s="153">
        <f>$C228*INDEX(Curves!$AV$8:$AV$68,AW$4-$B228+1)</f>
        <v/>
      </c>
      <c r="AX228" s="153">
        <f>$C228*INDEX(Curves!$AV$8:$AV$68,AX$4-$B228+1)</f>
        <v/>
      </c>
      <c r="AY228" s="153">
        <f>$C228*INDEX(Curves!$AV$8:$AV$68,AY$4-$B228+1)</f>
        <v/>
      </c>
      <c r="AZ228" s="153">
        <f>$C228*INDEX(Curves!$AV$8:$AV$68,AZ$4-$B228+1)</f>
        <v/>
      </c>
      <c r="BA228" s="153">
        <f>$C228*INDEX(Curves!$AV$8:$AV$68,BA$4-$B228+1)</f>
        <v/>
      </c>
      <c r="BB228" s="153">
        <f>$C228*INDEX(Curves!$AV$8:$AV$68,BB$4-$B228+1)</f>
        <v/>
      </c>
      <c r="BC228" s="153">
        <f>$C228*INDEX(Curves!$AV$8:$AV$68,BC$4-$B228+1)</f>
        <v/>
      </c>
      <c r="BD228" s="153">
        <f>$C228*INDEX(Curves!$AV$8:$AV$68,BD$4-$B228+1)</f>
        <v/>
      </c>
      <c r="BE228" s="153">
        <f>$C228*INDEX(Curves!$AV$8:$AV$68,BE$4-$B228+1)</f>
        <v/>
      </c>
      <c r="BF228" s="153">
        <f>$C228*INDEX(Curves!$AV$8:$AV$68,BF$4-$B228+1)</f>
        <v/>
      </c>
      <c r="BG228" s="153">
        <f>$C228*INDEX(Curves!$AV$8:$AV$68,BG$4-$B228+1)</f>
        <v/>
      </c>
      <c r="BH228" s="153">
        <f>$C228*INDEX(Curves!$AV$8:$AV$68,BH$4-$B228+1)</f>
        <v/>
      </c>
      <c r="BI228" s="153">
        <f>$C228*INDEX(Curves!$AV$8:$AV$68,BI$4-$B228+1)</f>
        <v/>
      </c>
      <c r="BJ228" s="153">
        <f>$C228*INDEX(Curves!$AV$8:$AV$68,BJ$4-$B228+1)</f>
        <v/>
      </c>
      <c r="BK228" s="153">
        <f>$C228*INDEX(Curves!$AV$8:$AV$68,BK$4-$B228+1)</f>
        <v/>
      </c>
      <c r="BL228" s="153">
        <f>$C228*INDEX(Curves!$AV$8:$AV$68,BL$4-$B228+1)</f>
        <v/>
      </c>
    </row>
    <row r="229">
      <c r="A229" s="147" t="inlineStr">
        <is>
          <t>Cohort month 31</t>
        </is>
      </c>
      <c r="B229" s="147" t="n">
        <v>31</v>
      </c>
      <c r="C229" s="41">
        <f>INDEX(Ops!$E$85:$BL$85,1,$B229)</f>
        <v/>
      </c>
      <c r="AJ229" s="153">
        <f>$C229*INDEX(Curves!$AV$8:$AV$68,AJ$4-$B229+1)</f>
        <v/>
      </c>
      <c r="AK229" s="153">
        <f>$C229*INDEX(Curves!$AV$8:$AV$68,AK$4-$B229+1)</f>
        <v/>
      </c>
      <c r="AL229" s="153">
        <f>$C229*INDEX(Curves!$AV$8:$AV$68,AL$4-$B229+1)</f>
        <v/>
      </c>
      <c r="AM229" s="153">
        <f>$C229*INDEX(Curves!$AV$8:$AV$68,AM$4-$B229+1)</f>
        <v/>
      </c>
      <c r="AN229" s="153">
        <f>$C229*INDEX(Curves!$AV$8:$AV$68,AN$4-$B229+1)</f>
        <v/>
      </c>
      <c r="AO229" s="153">
        <f>$C229*INDEX(Curves!$AV$8:$AV$68,AO$4-$B229+1)</f>
        <v/>
      </c>
      <c r="AP229" s="153">
        <f>$C229*INDEX(Curves!$AV$8:$AV$68,AP$4-$B229+1)</f>
        <v/>
      </c>
      <c r="AQ229" s="153">
        <f>$C229*INDEX(Curves!$AV$8:$AV$68,AQ$4-$B229+1)</f>
        <v/>
      </c>
      <c r="AR229" s="153">
        <f>$C229*INDEX(Curves!$AV$8:$AV$68,AR$4-$B229+1)</f>
        <v/>
      </c>
      <c r="AS229" s="153">
        <f>$C229*INDEX(Curves!$AV$8:$AV$68,AS$4-$B229+1)</f>
        <v/>
      </c>
      <c r="AT229" s="153">
        <f>$C229*INDEX(Curves!$AV$8:$AV$68,AT$4-$B229+1)</f>
        <v/>
      </c>
      <c r="AU229" s="153">
        <f>$C229*INDEX(Curves!$AV$8:$AV$68,AU$4-$B229+1)</f>
        <v/>
      </c>
      <c r="AV229" s="153">
        <f>$C229*INDEX(Curves!$AV$8:$AV$68,AV$4-$B229+1)</f>
        <v/>
      </c>
      <c r="AW229" s="153">
        <f>$C229*INDEX(Curves!$AV$8:$AV$68,AW$4-$B229+1)</f>
        <v/>
      </c>
      <c r="AX229" s="153">
        <f>$C229*INDEX(Curves!$AV$8:$AV$68,AX$4-$B229+1)</f>
        <v/>
      </c>
      <c r="AY229" s="153">
        <f>$C229*INDEX(Curves!$AV$8:$AV$68,AY$4-$B229+1)</f>
        <v/>
      </c>
      <c r="AZ229" s="153">
        <f>$C229*INDEX(Curves!$AV$8:$AV$68,AZ$4-$B229+1)</f>
        <v/>
      </c>
      <c r="BA229" s="153">
        <f>$C229*INDEX(Curves!$AV$8:$AV$68,BA$4-$B229+1)</f>
        <v/>
      </c>
      <c r="BB229" s="153">
        <f>$C229*INDEX(Curves!$AV$8:$AV$68,BB$4-$B229+1)</f>
        <v/>
      </c>
      <c r="BC229" s="153">
        <f>$C229*INDEX(Curves!$AV$8:$AV$68,BC$4-$B229+1)</f>
        <v/>
      </c>
      <c r="BD229" s="153">
        <f>$C229*INDEX(Curves!$AV$8:$AV$68,BD$4-$B229+1)</f>
        <v/>
      </c>
      <c r="BE229" s="153">
        <f>$C229*INDEX(Curves!$AV$8:$AV$68,BE$4-$B229+1)</f>
        <v/>
      </c>
      <c r="BF229" s="153">
        <f>$C229*INDEX(Curves!$AV$8:$AV$68,BF$4-$B229+1)</f>
        <v/>
      </c>
      <c r="BG229" s="153">
        <f>$C229*INDEX(Curves!$AV$8:$AV$68,BG$4-$B229+1)</f>
        <v/>
      </c>
      <c r="BH229" s="153">
        <f>$C229*INDEX(Curves!$AV$8:$AV$68,BH$4-$B229+1)</f>
        <v/>
      </c>
      <c r="BI229" s="153">
        <f>$C229*INDEX(Curves!$AV$8:$AV$68,BI$4-$B229+1)</f>
        <v/>
      </c>
      <c r="BJ229" s="153">
        <f>$C229*INDEX(Curves!$AV$8:$AV$68,BJ$4-$B229+1)</f>
        <v/>
      </c>
      <c r="BK229" s="153">
        <f>$C229*INDEX(Curves!$AV$8:$AV$68,BK$4-$B229+1)</f>
        <v/>
      </c>
      <c r="BL229" s="153">
        <f>$C229*INDEX(Curves!$AV$8:$AV$68,BL$4-$B229+1)</f>
        <v/>
      </c>
    </row>
    <row r="230">
      <c r="A230" s="147" t="inlineStr">
        <is>
          <t>Cohort month 32</t>
        </is>
      </c>
      <c r="B230" s="147" t="n">
        <v>32</v>
      </c>
      <c r="C230" s="41">
        <f>INDEX(Ops!$E$85:$BL$85,1,$B230)</f>
        <v/>
      </c>
      <c r="AK230" s="153">
        <f>$C230*INDEX(Curves!$AV$8:$AV$68,AK$4-$B230+1)</f>
        <v/>
      </c>
      <c r="AL230" s="153">
        <f>$C230*INDEX(Curves!$AV$8:$AV$68,AL$4-$B230+1)</f>
        <v/>
      </c>
      <c r="AM230" s="153">
        <f>$C230*INDEX(Curves!$AV$8:$AV$68,AM$4-$B230+1)</f>
        <v/>
      </c>
      <c r="AN230" s="153">
        <f>$C230*INDEX(Curves!$AV$8:$AV$68,AN$4-$B230+1)</f>
        <v/>
      </c>
      <c r="AO230" s="153">
        <f>$C230*INDEX(Curves!$AV$8:$AV$68,AO$4-$B230+1)</f>
        <v/>
      </c>
      <c r="AP230" s="153">
        <f>$C230*INDEX(Curves!$AV$8:$AV$68,AP$4-$B230+1)</f>
        <v/>
      </c>
      <c r="AQ230" s="153">
        <f>$C230*INDEX(Curves!$AV$8:$AV$68,AQ$4-$B230+1)</f>
        <v/>
      </c>
      <c r="AR230" s="153">
        <f>$C230*INDEX(Curves!$AV$8:$AV$68,AR$4-$B230+1)</f>
        <v/>
      </c>
      <c r="AS230" s="153">
        <f>$C230*INDEX(Curves!$AV$8:$AV$68,AS$4-$B230+1)</f>
        <v/>
      </c>
      <c r="AT230" s="153">
        <f>$C230*INDEX(Curves!$AV$8:$AV$68,AT$4-$B230+1)</f>
        <v/>
      </c>
      <c r="AU230" s="153">
        <f>$C230*INDEX(Curves!$AV$8:$AV$68,AU$4-$B230+1)</f>
        <v/>
      </c>
      <c r="AV230" s="153">
        <f>$C230*INDEX(Curves!$AV$8:$AV$68,AV$4-$B230+1)</f>
        <v/>
      </c>
      <c r="AW230" s="153">
        <f>$C230*INDEX(Curves!$AV$8:$AV$68,AW$4-$B230+1)</f>
        <v/>
      </c>
      <c r="AX230" s="153">
        <f>$C230*INDEX(Curves!$AV$8:$AV$68,AX$4-$B230+1)</f>
        <v/>
      </c>
      <c r="AY230" s="153">
        <f>$C230*INDEX(Curves!$AV$8:$AV$68,AY$4-$B230+1)</f>
        <v/>
      </c>
      <c r="AZ230" s="153">
        <f>$C230*INDEX(Curves!$AV$8:$AV$68,AZ$4-$B230+1)</f>
        <v/>
      </c>
      <c r="BA230" s="153">
        <f>$C230*INDEX(Curves!$AV$8:$AV$68,BA$4-$B230+1)</f>
        <v/>
      </c>
      <c r="BB230" s="153">
        <f>$C230*INDEX(Curves!$AV$8:$AV$68,BB$4-$B230+1)</f>
        <v/>
      </c>
      <c r="BC230" s="153">
        <f>$C230*INDEX(Curves!$AV$8:$AV$68,BC$4-$B230+1)</f>
        <v/>
      </c>
      <c r="BD230" s="153">
        <f>$C230*INDEX(Curves!$AV$8:$AV$68,BD$4-$B230+1)</f>
        <v/>
      </c>
      <c r="BE230" s="153">
        <f>$C230*INDEX(Curves!$AV$8:$AV$68,BE$4-$B230+1)</f>
        <v/>
      </c>
      <c r="BF230" s="153">
        <f>$C230*INDEX(Curves!$AV$8:$AV$68,BF$4-$B230+1)</f>
        <v/>
      </c>
      <c r="BG230" s="153">
        <f>$C230*INDEX(Curves!$AV$8:$AV$68,BG$4-$B230+1)</f>
        <v/>
      </c>
      <c r="BH230" s="153">
        <f>$C230*INDEX(Curves!$AV$8:$AV$68,BH$4-$B230+1)</f>
        <v/>
      </c>
      <c r="BI230" s="153">
        <f>$C230*INDEX(Curves!$AV$8:$AV$68,BI$4-$B230+1)</f>
        <v/>
      </c>
      <c r="BJ230" s="153">
        <f>$C230*INDEX(Curves!$AV$8:$AV$68,BJ$4-$B230+1)</f>
        <v/>
      </c>
      <c r="BK230" s="153">
        <f>$C230*INDEX(Curves!$AV$8:$AV$68,BK$4-$B230+1)</f>
        <v/>
      </c>
      <c r="BL230" s="153">
        <f>$C230*INDEX(Curves!$AV$8:$AV$68,BL$4-$B230+1)</f>
        <v/>
      </c>
    </row>
    <row r="231">
      <c r="A231" s="147" t="inlineStr">
        <is>
          <t>Cohort month 33</t>
        </is>
      </c>
      <c r="B231" s="147" t="n">
        <v>33</v>
      </c>
      <c r="C231" s="41">
        <f>INDEX(Ops!$E$85:$BL$85,1,$B231)</f>
        <v/>
      </c>
      <c r="AL231" s="153">
        <f>$C231*INDEX(Curves!$AV$8:$AV$68,AL$4-$B231+1)</f>
        <v/>
      </c>
      <c r="AM231" s="153">
        <f>$C231*INDEX(Curves!$AV$8:$AV$68,AM$4-$B231+1)</f>
        <v/>
      </c>
      <c r="AN231" s="153">
        <f>$C231*INDEX(Curves!$AV$8:$AV$68,AN$4-$B231+1)</f>
        <v/>
      </c>
      <c r="AO231" s="153">
        <f>$C231*INDEX(Curves!$AV$8:$AV$68,AO$4-$B231+1)</f>
        <v/>
      </c>
      <c r="AP231" s="153">
        <f>$C231*INDEX(Curves!$AV$8:$AV$68,AP$4-$B231+1)</f>
        <v/>
      </c>
      <c r="AQ231" s="153">
        <f>$C231*INDEX(Curves!$AV$8:$AV$68,AQ$4-$B231+1)</f>
        <v/>
      </c>
      <c r="AR231" s="153">
        <f>$C231*INDEX(Curves!$AV$8:$AV$68,AR$4-$B231+1)</f>
        <v/>
      </c>
      <c r="AS231" s="153">
        <f>$C231*INDEX(Curves!$AV$8:$AV$68,AS$4-$B231+1)</f>
        <v/>
      </c>
      <c r="AT231" s="153">
        <f>$C231*INDEX(Curves!$AV$8:$AV$68,AT$4-$B231+1)</f>
        <v/>
      </c>
      <c r="AU231" s="153">
        <f>$C231*INDEX(Curves!$AV$8:$AV$68,AU$4-$B231+1)</f>
        <v/>
      </c>
      <c r="AV231" s="153">
        <f>$C231*INDEX(Curves!$AV$8:$AV$68,AV$4-$B231+1)</f>
        <v/>
      </c>
      <c r="AW231" s="153">
        <f>$C231*INDEX(Curves!$AV$8:$AV$68,AW$4-$B231+1)</f>
        <v/>
      </c>
      <c r="AX231" s="153">
        <f>$C231*INDEX(Curves!$AV$8:$AV$68,AX$4-$B231+1)</f>
        <v/>
      </c>
      <c r="AY231" s="153">
        <f>$C231*INDEX(Curves!$AV$8:$AV$68,AY$4-$B231+1)</f>
        <v/>
      </c>
      <c r="AZ231" s="153">
        <f>$C231*INDEX(Curves!$AV$8:$AV$68,AZ$4-$B231+1)</f>
        <v/>
      </c>
      <c r="BA231" s="153">
        <f>$C231*INDEX(Curves!$AV$8:$AV$68,BA$4-$B231+1)</f>
        <v/>
      </c>
      <c r="BB231" s="153">
        <f>$C231*INDEX(Curves!$AV$8:$AV$68,BB$4-$B231+1)</f>
        <v/>
      </c>
      <c r="BC231" s="153">
        <f>$C231*INDEX(Curves!$AV$8:$AV$68,BC$4-$B231+1)</f>
        <v/>
      </c>
      <c r="BD231" s="153">
        <f>$C231*INDEX(Curves!$AV$8:$AV$68,BD$4-$B231+1)</f>
        <v/>
      </c>
      <c r="BE231" s="153">
        <f>$C231*INDEX(Curves!$AV$8:$AV$68,BE$4-$B231+1)</f>
        <v/>
      </c>
      <c r="BF231" s="153">
        <f>$C231*INDEX(Curves!$AV$8:$AV$68,BF$4-$B231+1)</f>
        <v/>
      </c>
      <c r="BG231" s="153">
        <f>$C231*INDEX(Curves!$AV$8:$AV$68,BG$4-$B231+1)</f>
        <v/>
      </c>
      <c r="BH231" s="153">
        <f>$C231*INDEX(Curves!$AV$8:$AV$68,BH$4-$B231+1)</f>
        <v/>
      </c>
      <c r="BI231" s="153">
        <f>$C231*INDEX(Curves!$AV$8:$AV$68,BI$4-$B231+1)</f>
        <v/>
      </c>
      <c r="BJ231" s="153">
        <f>$C231*INDEX(Curves!$AV$8:$AV$68,BJ$4-$B231+1)</f>
        <v/>
      </c>
      <c r="BK231" s="153">
        <f>$C231*INDEX(Curves!$AV$8:$AV$68,BK$4-$B231+1)</f>
        <v/>
      </c>
      <c r="BL231" s="153">
        <f>$C231*INDEX(Curves!$AV$8:$AV$68,BL$4-$B231+1)</f>
        <v/>
      </c>
    </row>
    <row r="232">
      <c r="A232" s="147" t="inlineStr">
        <is>
          <t>Cohort month 34</t>
        </is>
      </c>
      <c r="B232" s="147" t="n">
        <v>34</v>
      </c>
      <c r="C232" s="41">
        <f>INDEX(Ops!$E$85:$BL$85,1,$B232)</f>
        <v/>
      </c>
      <c r="AM232" s="153">
        <f>$C232*INDEX(Curves!$AV$8:$AV$68,AM$4-$B232+1)</f>
        <v/>
      </c>
      <c r="AN232" s="153">
        <f>$C232*INDEX(Curves!$AV$8:$AV$68,AN$4-$B232+1)</f>
        <v/>
      </c>
      <c r="AO232" s="153">
        <f>$C232*INDEX(Curves!$AV$8:$AV$68,AO$4-$B232+1)</f>
        <v/>
      </c>
      <c r="AP232" s="153">
        <f>$C232*INDEX(Curves!$AV$8:$AV$68,AP$4-$B232+1)</f>
        <v/>
      </c>
      <c r="AQ232" s="153">
        <f>$C232*INDEX(Curves!$AV$8:$AV$68,AQ$4-$B232+1)</f>
        <v/>
      </c>
      <c r="AR232" s="153">
        <f>$C232*INDEX(Curves!$AV$8:$AV$68,AR$4-$B232+1)</f>
        <v/>
      </c>
      <c r="AS232" s="153">
        <f>$C232*INDEX(Curves!$AV$8:$AV$68,AS$4-$B232+1)</f>
        <v/>
      </c>
      <c r="AT232" s="153">
        <f>$C232*INDEX(Curves!$AV$8:$AV$68,AT$4-$B232+1)</f>
        <v/>
      </c>
      <c r="AU232" s="153">
        <f>$C232*INDEX(Curves!$AV$8:$AV$68,AU$4-$B232+1)</f>
        <v/>
      </c>
      <c r="AV232" s="153">
        <f>$C232*INDEX(Curves!$AV$8:$AV$68,AV$4-$B232+1)</f>
        <v/>
      </c>
      <c r="AW232" s="153">
        <f>$C232*INDEX(Curves!$AV$8:$AV$68,AW$4-$B232+1)</f>
        <v/>
      </c>
      <c r="AX232" s="153">
        <f>$C232*INDEX(Curves!$AV$8:$AV$68,AX$4-$B232+1)</f>
        <v/>
      </c>
      <c r="AY232" s="153">
        <f>$C232*INDEX(Curves!$AV$8:$AV$68,AY$4-$B232+1)</f>
        <v/>
      </c>
      <c r="AZ232" s="153">
        <f>$C232*INDEX(Curves!$AV$8:$AV$68,AZ$4-$B232+1)</f>
        <v/>
      </c>
      <c r="BA232" s="153">
        <f>$C232*INDEX(Curves!$AV$8:$AV$68,BA$4-$B232+1)</f>
        <v/>
      </c>
      <c r="BB232" s="153">
        <f>$C232*INDEX(Curves!$AV$8:$AV$68,BB$4-$B232+1)</f>
        <v/>
      </c>
      <c r="BC232" s="153">
        <f>$C232*INDEX(Curves!$AV$8:$AV$68,BC$4-$B232+1)</f>
        <v/>
      </c>
      <c r="BD232" s="153">
        <f>$C232*INDEX(Curves!$AV$8:$AV$68,BD$4-$B232+1)</f>
        <v/>
      </c>
      <c r="BE232" s="153">
        <f>$C232*INDEX(Curves!$AV$8:$AV$68,BE$4-$B232+1)</f>
        <v/>
      </c>
      <c r="BF232" s="153">
        <f>$C232*INDEX(Curves!$AV$8:$AV$68,BF$4-$B232+1)</f>
        <v/>
      </c>
      <c r="BG232" s="153">
        <f>$C232*INDEX(Curves!$AV$8:$AV$68,BG$4-$B232+1)</f>
        <v/>
      </c>
      <c r="BH232" s="153">
        <f>$C232*INDEX(Curves!$AV$8:$AV$68,BH$4-$B232+1)</f>
        <v/>
      </c>
      <c r="BI232" s="153">
        <f>$C232*INDEX(Curves!$AV$8:$AV$68,BI$4-$B232+1)</f>
        <v/>
      </c>
      <c r="BJ232" s="153">
        <f>$C232*INDEX(Curves!$AV$8:$AV$68,BJ$4-$B232+1)</f>
        <v/>
      </c>
      <c r="BK232" s="153">
        <f>$C232*INDEX(Curves!$AV$8:$AV$68,BK$4-$B232+1)</f>
        <v/>
      </c>
      <c r="BL232" s="153">
        <f>$C232*INDEX(Curves!$AV$8:$AV$68,BL$4-$B232+1)</f>
        <v/>
      </c>
    </row>
    <row r="233">
      <c r="A233" s="147" t="inlineStr">
        <is>
          <t>Cohort month 35</t>
        </is>
      </c>
      <c r="B233" s="147" t="n">
        <v>35</v>
      </c>
      <c r="C233" s="41">
        <f>INDEX(Ops!$E$85:$BL$85,1,$B233)</f>
        <v/>
      </c>
      <c r="AN233" s="153">
        <f>$C233*INDEX(Curves!$AV$8:$AV$68,AN$4-$B233+1)</f>
        <v/>
      </c>
      <c r="AO233" s="153">
        <f>$C233*INDEX(Curves!$AV$8:$AV$68,AO$4-$B233+1)</f>
        <v/>
      </c>
      <c r="AP233" s="153">
        <f>$C233*INDEX(Curves!$AV$8:$AV$68,AP$4-$B233+1)</f>
        <v/>
      </c>
      <c r="AQ233" s="153">
        <f>$C233*INDEX(Curves!$AV$8:$AV$68,AQ$4-$B233+1)</f>
        <v/>
      </c>
      <c r="AR233" s="153">
        <f>$C233*INDEX(Curves!$AV$8:$AV$68,AR$4-$B233+1)</f>
        <v/>
      </c>
      <c r="AS233" s="153">
        <f>$C233*INDEX(Curves!$AV$8:$AV$68,AS$4-$B233+1)</f>
        <v/>
      </c>
      <c r="AT233" s="153">
        <f>$C233*INDEX(Curves!$AV$8:$AV$68,AT$4-$B233+1)</f>
        <v/>
      </c>
      <c r="AU233" s="153">
        <f>$C233*INDEX(Curves!$AV$8:$AV$68,AU$4-$B233+1)</f>
        <v/>
      </c>
      <c r="AV233" s="153">
        <f>$C233*INDEX(Curves!$AV$8:$AV$68,AV$4-$B233+1)</f>
        <v/>
      </c>
      <c r="AW233" s="153">
        <f>$C233*INDEX(Curves!$AV$8:$AV$68,AW$4-$B233+1)</f>
        <v/>
      </c>
      <c r="AX233" s="153">
        <f>$C233*INDEX(Curves!$AV$8:$AV$68,AX$4-$B233+1)</f>
        <v/>
      </c>
      <c r="AY233" s="153">
        <f>$C233*INDEX(Curves!$AV$8:$AV$68,AY$4-$B233+1)</f>
        <v/>
      </c>
      <c r="AZ233" s="153">
        <f>$C233*INDEX(Curves!$AV$8:$AV$68,AZ$4-$B233+1)</f>
        <v/>
      </c>
      <c r="BA233" s="153">
        <f>$C233*INDEX(Curves!$AV$8:$AV$68,BA$4-$B233+1)</f>
        <v/>
      </c>
      <c r="BB233" s="153">
        <f>$C233*INDEX(Curves!$AV$8:$AV$68,BB$4-$B233+1)</f>
        <v/>
      </c>
      <c r="BC233" s="153">
        <f>$C233*INDEX(Curves!$AV$8:$AV$68,BC$4-$B233+1)</f>
        <v/>
      </c>
      <c r="BD233" s="153">
        <f>$C233*INDEX(Curves!$AV$8:$AV$68,BD$4-$B233+1)</f>
        <v/>
      </c>
      <c r="BE233" s="153">
        <f>$C233*INDEX(Curves!$AV$8:$AV$68,BE$4-$B233+1)</f>
        <v/>
      </c>
      <c r="BF233" s="153">
        <f>$C233*INDEX(Curves!$AV$8:$AV$68,BF$4-$B233+1)</f>
        <v/>
      </c>
      <c r="BG233" s="153">
        <f>$C233*INDEX(Curves!$AV$8:$AV$68,BG$4-$B233+1)</f>
        <v/>
      </c>
      <c r="BH233" s="153">
        <f>$C233*INDEX(Curves!$AV$8:$AV$68,BH$4-$B233+1)</f>
        <v/>
      </c>
      <c r="BI233" s="153">
        <f>$C233*INDEX(Curves!$AV$8:$AV$68,BI$4-$B233+1)</f>
        <v/>
      </c>
      <c r="BJ233" s="153">
        <f>$C233*INDEX(Curves!$AV$8:$AV$68,BJ$4-$B233+1)</f>
        <v/>
      </c>
      <c r="BK233" s="153">
        <f>$C233*INDEX(Curves!$AV$8:$AV$68,BK$4-$B233+1)</f>
        <v/>
      </c>
      <c r="BL233" s="153">
        <f>$C233*INDEX(Curves!$AV$8:$AV$68,BL$4-$B233+1)</f>
        <v/>
      </c>
    </row>
    <row r="234">
      <c r="A234" s="147" t="inlineStr">
        <is>
          <t>Cohort month 36</t>
        </is>
      </c>
      <c r="B234" s="147" t="n">
        <v>36</v>
      </c>
      <c r="C234" s="41">
        <f>INDEX(Ops!$E$85:$BL$85,1,$B234)</f>
        <v/>
      </c>
      <c r="AO234" s="153">
        <f>$C234*INDEX(Curves!$AV$8:$AV$68,AO$4-$B234+1)</f>
        <v/>
      </c>
      <c r="AP234" s="153">
        <f>$C234*INDEX(Curves!$AV$8:$AV$68,AP$4-$B234+1)</f>
        <v/>
      </c>
      <c r="AQ234" s="153">
        <f>$C234*INDEX(Curves!$AV$8:$AV$68,AQ$4-$B234+1)</f>
        <v/>
      </c>
      <c r="AR234" s="153">
        <f>$C234*INDEX(Curves!$AV$8:$AV$68,AR$4-$B234+1)</f>
        <v/>
      </c>
      <c r="AS234" s="153">
        <f>$C234*INDEX(Curves!$AV$8:$AV$68,AS$4-$B234+1)</f>
        <v/>
      </c>
      <c r="AT234" s="153">
        <f>$C234*INDEX(Curves!$AV$8:$AV$68,AT$4-$B234+1)</f>
        <v/>
      </c>
      <c r="AU234" s="153">
        <f>$C234*INDEX(Curves!$AV$8:$AV$68,AU$4-$B234+1)</f>
        <v/>
      </c>
      <c r="AV234" s="153">
        <f>$C234*INDEX(Curves!$AV$8:$AV$68,AV$4-$B234+1)</f>
        <v/>
      </c>
      <c r="AW234" s="153">
        <f>$C234*INDEX(Curves!$AV$8:$AV$68,AW$4-$B234+1)</f>
        <v/>
      </c>
      <c r="AX234" s="153">
        <f>$C234*INDEX(Curves!$AV$8:$AV$68,AX$4-$B234+1)</f>
        <v/>
      </c>
      <c r="AY234" s="153">
        <f>$C234*INDEX(Curves!$AV$8:$AV$68,AY$4-$B234+1)</f>
        <v/>
      </c>
      <c r="AZ234" s="153">
        <f>$C234*INDEX(Curves!$AV$8:$AV$68,AZ$4-$B234+1)</f>
        <v/>
      </c>
      <c r="BA234" s="153">
        <f>$C234*INDEX(Curves!$AV$8:$AV$68,BA$4-$B234+1)</f>
        <v/>
      </c>
      <c r="BB234" s="153">
        <f>$C234*INDEX(Curves!$AV$8:$AV$68,BB$4-$B234+1)</f>
        <v/>
      </c>
      <c r="BC234" s="153">
        <f>$C234*INDEX(Curves!$AV$8:$AV$68,BC$4-$B234+1)</f>
        <v/>
      </c>
      <c r="BD234" s="153">
        <f>$C234*INDEX(Curves!$AV$8:$AV$68,BD$4-$B234+1)</f>
        <v/>
      </c>
      <c r="BE234" s="153">
        <f>$C234*INDEX(Curves!$AV$8:$AV$68,BE$4-$B234+1)</f>
        <v/>
      </c>
      <c r="BF234" s="153">
        <f>$C234*INDEX(Curves!$AV$8:$AV$68,BF$4-$B234+1)</f>
        <v/>
      </c>
      <c r="BG234" s="153">
        <f>$C234*INDEX(Curves!$AV$8:$AV$68,BG$4-$B234+1)</f>
        <v/>
      </c>
      <c r="BH234" s="153">
        <f>$C234*INDEX(Curves!$AV$8:$AV$68,BH$4-$B234+1)</f>
        <v/>
      </c>
      <c r="BI234" s="153">
        <f>$C234*INDEX(Curves!$AV$8:$AV$68,BI$4-$B234+1)</f>
        <v/>
      </c>
      <c r="BJ234" s="153">
        <f>$C234*INDEX(Curves!$AV$8:$AV$68,BJ$4-$B234+1)</f>
        <v/>
      </c>
      <c r="BK234" s="153">
        <f>$C234*INDEX(Curves!$AV$8:$AV$68,BK$4-$B234+1)</f>
        <v/>
      </c>
      <c r="BL234" s="153">
        <f>$C234*INDEX(Curves!$AV$8:$AV$68,BL$4-$B234+1)</f>
        <v/>
      </c>
    </row>
    <row r="235">
      <c r="A235" s="147" t="inlineStr">
        <is>
          <t>Cohort month 37</t>
        </is>
      </c>
      <c r="B235" s="147" t="n">
        <v>37</v>
      </c>
      <c r="C235" s="41">
        <f>INDEX(Ops!$E$85:$BL$85,1,$B235)</f>
        <v/>
      </c>
      <c r="AP235" s="153">
        <f>$C235*INDEX(Curves!$AV$8:$AV$68,AP$4-$B235+1)</f>
        <v/>
      </c>
      <c r="AQ235" s="153">
        <f>$C235*INDEX(Curves!$AV$8:$AV$68,AQ$4-$B235+1)</f>
        <v/>
      </c>
      <c r="AR235" s="153">
        <f>$C235*INDEX(Curves!$AV$8:$AV$68,AR$4-$B235+1)</f>
        <v/>
      </c>
      <c r="AS235" s="153">
        <f>$C235*INDEX(Curves!$AV$8:$AV$68,AS$4-$B235+1)</f>
        <v/>
      </c>
      <c r="AT235" s="153">
        <f>$C235*INDEX(Curves!$AV$8:$AV$68,AT$4-$B235+1)</f>
        <v/>
      </c>
      <c r="AU235" s="153">
        <f>$C235*INDEX(Curves!$AV$8:$AV$68,AU$4-$B235+1)</f>
        <v/>
      </c>
      <c r="AV235" s="153">
        <f>$C235*INDEX(Curves!$AV$8:$AV$68,AV$4-$B235+1)</f>
        <v/>
      </c>
      <c r="AW235" s="153">
        <f>$C235*INDEX(Curves!$AV$8:$AV$68,AW$4-$B235+1)</f>
        <v/>
      </c>
      <c r="AX235" s="153">
        <f>$C235*INDEX(Curves!$AV$8:$AV$68,AX$4-$B235+1)</f>
        <v/>
      </c>
      <c r="AY235" s="153">
        <f>$C235*INDEX(Curves!$AV$8:$AV$68,AY$4-$B235+1)</f>
        <v/>
      </c>
      <c r="AZ235" s="153">
        <f>$C235*INDEX(Curves!$AV$8:$AV$68,AZ$4-$B235+1)</f>
        <v/>
      </c>
      <c r="BA235" s="153">
        <f>$C235*INDEX(Curves!$AV$8:$AV$68,BA$4-$B235+1)</f>
        <v/>
      </c>
      <c r="BB235" s="153">
        <f>$C235*INDEX(Curves!$AV$8:$AV$68,BB$4-$B235+1)</f>
        <v/>
      </c>
      <c r="BC235" s="153">
        <f>$C235*INDEX(Curves!$AV$8:$AV$68,BC$4-$B235+1)</f>
        <v/>
      </c>
      <c r="BD235" s="153">
        <f>$C235*INDEX(Curves!$AV$8:$AV$68,BD$4-$B235+1)</f>
        <v/>
      </c>
      <c r="BE235" s="153">
        <f>$C235*INDEX(Curves!$AV$8:$AV$68,BE$4-$B235+1)</f>
        <v/>
      </c>
      <c r="BF235" s="153">
        <f>$C235*INDEX(Curves!$AV$8:$AV$68,BF$4-$B235+1)</f>
        <v/>
      </c>
      <c r="BG235" s="153">
        <f>$C235*INDEX(Curves!$AV$8:$AV$68,BG$4-$B235+1)</f>
        <v/>
      </c>
      <c r="BH235" s="153">
        <f>$C235*INDEX(Curves!$AV$8:$AV$68,BH$4-$B235+1)</f>
        <v/>
      </c>
      <c r="BI235" s="153">
        <f>$C235*INDEX(Curves!$AV$8:$AV$68,BI$4-$B235+1)</f>
        <v/>
      </c>
      <c r="BJ235" s="153">
        <f>$C235*INDEX(Curves!$AV$8:$AV$68,BJ$4-$B235+1)</f>
        <v/>
      </c>
      <c r="BK235" s="153">
        <f>$C235*INDEX(Curves!$AV$8:$AV$68,BK$4-$B235+1)</f>
        <v/>
      </c>
      <c r="BL235" s="153">
        <f>$C235*INDEX(Curves!$AV$8:$AV$68,BL$4-$B235+1)</f>
        <v/>
      </c>
    </row>
    <row r="236">
      <c r="A236" s="147" t="inlineStr">
        <is>
          <t>Cohort month 38</t>
        </is>
      </c>
      <c r="B236" s="147" t="n">
        <v>38</v>
      </c>
      <c r="C236" s="41">
        <f>INDEX(Ops!$E$85:$BL$85,1,$B236)</f>
        <v/>
      </c>
      <c r="AQ236" s="153">
        <f>$C236*INDEX(Curves!$AV$8:$AV$68,AQ$4-$B236+1)</f>
        <v/>
      </c>
      <c r="AR236" s="153">
        <f>$C236*INDEX(Curves!$AV$8:$AV$68,AR$4-$B236+1)</f>
        <v/>
      </c>
      <c r="AS236" s="153">
        <f>$C236*INDEX(Curves!$AV$8:$AV$68,AS$4-$B236+1)</f>
        <v/>
      </c>
      <c r="AT236" s="153">
        <f>$C236*INDEX(Curves!$AV$8:$AV$68,AT$4-$B236+1)</f>
        <v/>
      </c>
      <c r="AU236" s="153">
        <f>$C236*INDEX(Curves!$AV$8:$AV$68,AU$4-$B236+1)</f>
        <v/>
      </c>
      <c r="AV236" s="153">
        <f>$C236*INDEX(Curves!$AV$8:$AV$68,AV$4-$B236+1)</f>
        <v/>
      </c>
      <c r="AW236" s="153">
        <f>$C236*INDEX(Curves!$AV$8:$AV$68,AW$4-$B236+1)</f>
        <v/>
      </c>
      <c r="AX236" s="153">
        <f>$C236*INDEX(Curves!$AV$8:$AV$68,AX$4-$B236+1)</f>
        <v/>
      </c>
      <c r="AY236" s="153">
        <f>$C236*INDEX(Curves!$AV$8:$AV$68,AY$4-$B236+1)</f>
        <v/>
      </c>
      <c r="AZ236" s="153">
        <f>$C236*INDEX(Curves!$AV$8:$AV$68,AZ$4-$B236+1)</f>
        <v/>
      </c>
      <c r="BA236" s="153">
        <f>$C236*INDEX(Curves!$AV$8:$AV$68,BA$4-$B236+1)</f>
        <v/>
      </c>
      <c r="BB236" s="153">
        <f>$C236*INDEX(Curves!$AV$8:$AV$68,BB$4-$B236+1)</f>
        <v/>
      </c>
      <c r="BC236" s="153">
        <f>$C236*INDEX(Curves!$AV$8:$AV$68,BC$4-$B236+1)</f>
        <v/>
      </c>
      <c r="BD236" s="153">
        <f>$C236*INDEX(Curves!$AV$8:$AV$68,BD$4-$B236+1)</f>
        <v/>
      </c>
      <c r="BE236" s="153">
        <f>$C236*INDEX(Curves!$AV$8:$AV$68,BE$4-$B236+1)</f>
        <v/>
      </c>
      <c r="BF236" s="153">
        <f>$C236*INDEX(Curves!$AV$8:$AV$68,BF$4-$B236+1)</f>
        <v/>
      </c>
      <c r="BG236" s="153">
        <f>$C236*INDEX(Curves!$AV$8:$AV$68,BG$4-$B236+1)</f>
        <v/>
      </c>
      <c r="BH236" s="153">
        <f>$C236*INDEX(Curves!$AV$8:$AV$68,BH$4-$B236+1)</f>
        <v/>
      </c>
      <c r="BI236" s="153">
        <f>$C236*INDEX(Curves!$AV$8:$AV$68,BI$4-$B236+1)</f>
        <v/>
      </c>
      <c r="BJ236" s="153">
        <f>$C236*INDEX(Curves!$AV$8:$AV$68,BJ$4-$B236+1)</f>
        <v/>
      </c>
      <c r="BK236" s="153">
        <f>$C236*INDEX(Curves!$AV$8:$AV$68,BK$4-$B236+1)</f>
        <v/>
      </c>
      <c r="BL236" s="153">
        <f>$C236*INDEX(Curves!$AV$8:$AV$68,BL$4-$B236+1)</f>
        <v/>
      </c>
    </row>
    <row r="237">
      <c r="A237" s="147" t="inlineStr">
        <is>
          <t>Cohort month 39</t>
        </is>
      </c>
      <c r="B237" s="147" t="n">
        <v>39</v>
      </c>
      <c r="C237" s="41">
        <f>INDEX(Ops!$E$85:$BL$85,1,$B237)</f>
        <v/>
      </c>
      <c r="AR237" s="153">
        <f>$C237*INDEX(Curves!$AV$8:$AV$68,AR$4-$B237+1)</f>
        <v/>
      </c>
      <c r="AS237" s="153">
        <f>$C237*INDEX(Curves!$AV$8:$AV$68,AS$4-$B237+1)</f>
        <v/>
      </c>
      <c r="AT237" s="153">
        <f>$C237*INDEX(Curves!$AV$8:$AV$68,AT$4-$B237+1)</f>
        <v/>
      </c>
      <c r="AU237" s="153">
        <f>$C237*INDEX(Curves!$AV$8:$AV$68,AU$4-$B237+1)</f>
        <v/>
      </c>
      <c r="AV237" s="153">
        <f>$C237*INDEX(Curves!$AV$8:$AV$68,AV$4-$B237+1)</f>
        <v/>
      </c>
      <c r="AW237" s="153">
        <f>$C237*INDEX(Curves!$AV$8:$AV$68,AW$4-$B237+1)</f>
        <v/>
      </c>
      <c r="AX237" s="153">
        <f>$C237*INDEX(Curves!$AV$8:$AV$68,AX$4-$B237+1)</f>
        <v/>
      </c>
      <c r="AY237" s="153">
        <f>$C237*INDEX(Curves!$AV$8:$AV$68,AY$4-$B237+1)</f>
        <v/>
      </c>
      <c r="AZ237" s="153">
        <f>$C237*INDEX(Curves!$AV$8:$AV$68,AZ$4-$B237+1)</f>
        <v/>
      </c>
      <c r="BA237" s="153">
        <f>$C237*INDEX(Curves!$AV$8:$AV$68,BA$4-$B237+1)</f>
        <v/>
      </c>
      <c r="BB237" s="153">
        <f>$C237*INDEX(Curves!$AV$8:$AV$68,BB$4-$B237+1)</f>
        <v/>
      </c>
      <c r="BC237" s="153">
        <f>$C237*INDEX(Curves!$AV$8:$AV$68,BC$4-$B237+1)</f>
        <v/>
      </c>
      <c r="BD237" s="153">
        <f>$C237*INDEX(Curves!$AV$8:$AV$68,BD$4-$B237+1)</f>
        <v/>
      </c>
      <c r="BE237" s="153">
        <f>$C237*INDEX(Curves!$AV$8:$AV$68,BE$4-$B237+1)</f>
        <v/>
      </c>
      <c r="BF237" s="153">
        <f>$C237*INDEX(Curves!$AV$8:$AV$68,BF$4-$B237+1)</f>
        <v/>
      </c>
      <c r="BG237" s="153">
        <f>$C237*INDEX(Curves!$AV$8:$AV$68,BG$4-$B237+1)</f>
        <v/>
      </c>
      <c r="BH237" s="153">
        <f>$C237*INDEX(Curves!$AV$8:$AV$68,BH$4-$B237+1)</f>
        <v/>
      </c>
      <c r="BI237" s="153">
        <f>$C237*INDEX(Curves!$AV$8:$AV$68,BI$4-$B237+1)</f>
        <v/>
      </c>
      <c r="BJ237" s="153">
        <f>$C237*INDEX(Curves!$AV$8:$AV$68,BJ$4-$B237+1)</f>
        <v/>
      </c>
      <c r="BK237" s="153">
        <f>$C237*INDEX(Curves!$AV$8:$AV$68,BK$4-$B237+1)</f>
        <v/>
      </c>
      <c r="BL237" s="153">
        <f>$C237*INDEX(Curves!$AV$8:$AV$68,BL$4-$B237+1)</f>
        <v/>
      </c>
    </row>
    <row r="238">
      <c r="A238" s="147" t="inlineStr">
        <is>
          <t>Cohort month 40</t>
        </is>
      </c>
      <c r="B238" s="147" t="n">
        <v>40</v>
      </c>
      <c r="C238" s="41">
        <f>INDEX(Ops!$E$85:$BL$85,1,$B238)</f>
        <v/>
      </c>
      <c r="AS238" s="153">
        <f>$C238*INDEX(Curves!$AV$8:$AV$68,AS$4-$B238+1)</f>
        <v/>
      </c>
      <c r="AT238" s="153">
        <f>$C238*INDEX(Curves!$AV$8:$AV$68,AT$4-$B238+1)</f>
        <v/>
      </c>
      <c r="AU238" s="153">
        <f>$C238*INDEX(Curves!$AV$8:$AV$68,AU$4-$B238+1)</f>
        <v/>
      </c>
      <c r="AV238" s="153">
        <f>$C238*INDEX(Curves!$AV$8:$AV$68,AV$4-$B238+1)</f>
        <v/>
      </c>
      <c r="AW238" s="153">
        <f>$C238*INDEX(Curves!$AV$8:$AV$68,AW$4-$B238+1)</f>
        <v/>
      </c>
      <c r="AX238" s="153">
        <f>$C238*INDEX(Curves!$AV$8:$AV$68,AX$4-$B238+1)</f>
        <v/>
      </c>
      <c r="AY238" s="153">
        <f>$C238*INDEX(Curves!$AV$8:$AV$68,AY$4-$B238+1)</f>
        <v/>
      </c>
      <c r="AZ238" s="153">
        <f>$C238*INDEX(Curves!$AV$8:$AV$68,AZ$4-$B238+1)</f>
        <v/>
      </c>
      <c r="BA238" s="153">
        <f>$C238*INDEX(Curves!$AV$8:$AV$68,BA$4-$B238+1)</f>
        <v/>
      </c>
      <c r="BB238" s="153">
        <f>$C238*INDEX(Curves!$AV$8:$AV$68,BB$4-$B238+1)</f>
        <v/>
      </c>
      <c r="BC238" s="153">
        <f>$C238*INDEX(Curves!$AV$8:$AV$68,BC$4-$B238+1)</f>
        <v/>
      </c>
      <c r="BD238" s="153">
        <f>$C238*INDEX(Curves!$AV$8:$AV$68,BD$4-$B238+1)</f>
        <v/>
      </c>
      <c r="BE238" s="153">
        <f>$C238*INDEX(Curves!$AV$8:$AV$68,BE$4-$B238+1)</f>
        <v/>
      </c>
      <c r="BF238" s="153">
        <f>$C238*INDEX(Curves!$AV$8:$AV$68,BF$4-$B238+1)</f>
        <v/>
      </c>
      <c r="BG238" s="153">
        <f>$C238*INDEX(Curves!$AV$8:$AV$68,BG$4-$B238+1)</f>
        <v/>
      </c>
      <c r="BH238" s="153">
        <f>$C238*INDEX(Curves!$AV$8:$AV$68,BH$4-$B238+1)</f>
        <v/>
      </c>
      <c r="BI238" s="153">
        <f>$C238*INDEX(Curves!$AV$8:$AV$68,BI$4-$B238+1)</f>
        <v/>
      </c>
      <c r="BJ238" s="153">
        <f>$C238*INDEX(Curves!$AV$8:$AV$68,BJ$4-$B238+1)</f>
        <v/>
      </c>
      <c r="BK238" s="153">
        <f>$C238*INDEX(Curves!$AV$8:$AV$68,BK$4-$B238+1)</f>
        <v/>
      </c>
      <c r="BL238" s="153">
        <f>$C238*INDEX(Curves!$AV$8:$AV$68,BL$4-$B238+1)</f>
        <v/>
      </c>
    </row>
    <row r="239">
      <c r="A239" s="147" t="inlineStr">
        <is>
          <t>Cohort month 41</t>
        </is>
      </c>
      <c r="B239" s="147" t="n">
        <v>41</v>
      </c>
      <c r="C239" s="41">
        <f>INDEX(Ops!$E$85:$BL$85,1,$B239)</f>
        <v/>
      </c>
      <c r="AT239" s="153">
        <f>$C239*INDEX(Curves!$AV$8:$AV$68,AT$4-$B239+1)</f>
        <v/>
      </c>
      <c r="AU239" s="153">
        <f>$C239*INDEX(Curves!$AV$8:$AV$68,AU$4-$B239+1)</f>
        <v/>
      </c>
      <c r="AV239" s="153">
        <f>$C239*INDEX(Curves!$AV$8:$AV$68,AV$4-$B239+1)</f>
        <v/>
      </c>
      <c r="AW239" s="153">
        <f>$C239*INDEX(Curves!$AV$8:$AV$68,AW$4-$B239+1)</f>
        <v/>
      </c>
      <c r="AX239" s="153">
        <f>$C239*INDEX(Curves!$AV$8:$AV$68,AX$4-$B239+1)</f>
        <v/>
      </c>
      <c r="AY239" s="153">
        <f>$C239*INDEX(Curves!$AV$8:$AV$68,AY$4-$B239+1)</f>
        <v/>
      </c>
      <c r="AZ239" s="153">
        <f>$C239*INDEX(Curves!$AV$8:$AV$68,AZ$4-$B239+1)</f>
        <v/>
      </c>
      <c r="BA239" s="153">
        <f>$C239*INDEX(Curves!$AV$8:$AV$68,BA$4-$B239+1)</f>
        <v/>
      </c>
      <c r="BB239" s="153">
        <f>$C239*INDEX(Curves!$AV$8:$AV$68,BB$4-$B239+1)</f>
        <v/>
      </c>
      <c r="BC239" s="153">
        <f>$C239*INDEX(Curves!$AV$8:$AV$68,BC$4-$B239+1)</f>
        <v/>
      </c>
      <c r="BD239" s="153">
        <f>$C239*INDEX(Curves!$AV$8:$AV$68,BD$4-$B239+1)</f>
        <v/>
      </c>
      <c r="BE239" s="153">
        <f>$C239*INDEX(Curves!$AV$8:$AV$68,BE$4-$B239+1)</f>
        <v/>
      </c>
      <c r="BF239" s="153">
        <f>$C239*INDEX(Curves!$AV$8:$AV$68,BF$4-$B239+1)</f>
        <v/>
      </c>
      <c r="BG239" s="153">
        <f>$C239*INDEX(Curves!$AV$8:$AV$68,BG$4-$B239+1)</f>
        <v/>
      </c>
      <c r="BH239" s="153">
        <f>$C239*INDEX(Curves!$AV$8:$AV$68,BH$4-$B239+1)</f>
        <v/>
      </c>
      <c r="BI239" s="153">
        <f>$C239*INDEX(Curves!$AV$8:$AV$68,BI$4-$B239+1)</f>
        <v/>
      </c>
      <c r="BJ239" s="153">
        <f>$C239*INDEX(Curves!$AV$8:$AV$68,BJ$4-$B239+1)</f>
        <v/>
      </c>
      <c r="BK239" s="153">
        <f>$C239*INDEX(Curves!$AV$8:$AV$68,BK$4-$B239+1)</f>
        <v/>
      </c>
      <c r="BL239" s="153">
        <f>$C239*INDEX(Curves!$AV$8:$AV$68,BL$4-$B239+1)</f>
        <v/>
      </c>
    </row>
    <row r="240">
      <c r="A240" s="147" t="inlineStr">
        <is>
          <t>Cohort month 42</t>
        </is>
      </c>
      <c r="B240" s="147" t="n">
        <v>42</v>
      </c>
      <c r="C240" s="41">
        <f>INDEX(Ops!$E$85:$BL$85,1,$B240)</f>
        <v/>
      </c>
      <c r="AU240" s="153">
        <f>$C240*INDEX(Curves!$AV$8:$AV$68,AU$4-$B240+1)</f>
        <v/>
      </c>
      <c r="AV240" s="153">
        <f>$C240*INDEX(Curves!$AV$8:$AV$68,AV$4-$B240+1)</f>
        <v/>
      </c>
      <c r="AW240" s="153">
        <f>$C240*INDEX(Curves!$AV$8:$AV$68,AW$4-$B240+1)</f>
        <v/>
      </c>
      <c r="AX240" s="153">
        <f>$C240*INDEX(Curves!$AV$8:$AV$68,AX$4-$B240+1)</f>
        <v/>
      </c>
      <c r="AY240" s="153">
        <f>$C240*INDEX(Curves!$AV$8:$AV$68,AY$4-$B240+1)</f>
        <v/>
      </c>
      <c r="AZ240" s="153">
        <f>$C240*INDEX(Curves!$AV$8:$AV$68,AZ$4-$B240+1)</f>
        <v/>
      </c>
      <c r="BA240" s="153">
        <f>$C240*INDEX(Curves!$AV$8:$AV$68,BA$4-$B240+1)</f>
        <v/>
      </c>
      <c r="BB240" s="153">
        <f>$C240*INDEX(Curves!$AV$8:$AV$68,BB$4-$B240+1)</f>
        <v/>
      </c>
      <c r="BC240" s="153">
        <f>$C240*INDEX(Curves!$AV$8:$AV$68,BC$4-$B240+1)</f>
        <v/>
      </c>
      <c r="BD240" s="153">
        <f>$C240*INDEX(Curves!$AV$8:$AV$68,BD$4-$B240+1)</f>
        <v/>
      </c>
      <c r="BE240" s="153">
        <f>$C240*INDEX(Curves!$AV$8:$AV$68,BE$4-$B240+1)</f>
        <v/>
      </c>
      <c r="BF240" s="153">
        <f>$C240*INDEX(Curves!$AV$8:$AV$68,BF$4-$B240+1)</f>
        <v/>
      </c>
      <c r="BG240" s="153">
        <f>$C240*INDEX(Curves!$AV$8:$AV$68,BG$4-$B240+1)</f>
        <v/>
      </c>
      <c r="BH240" s="153">
        <f>$C240*INDEX(Curves!$AV$8:$AV$68,BH$4-$B240+1)</f>
        <v/>
      </c>
      <c r="BI240" s="153">
        <f>$C240*INDEX(Curves!$AV$8:$AV$68,BI$4-$B240+1)</f>
        <v/>
      </c>
      <c r="BJ240" s="153">
        <f>$C240*INDEX(Curves!$AV$8:$AV$68,BJ$4-$B240+1)</f>
        <v/>
      </c>
      <c r="BK240" s="153">
        <f>$C240*INDEX(Curves!$AV$8:$AV$68,BK$4-$B240+1)</f>
        <v/>
      </c>
      <c r="BL240" s="153">
        <f>$C240*INDEX(Curves!$AV$8:$AV$68,BL$4-$B240+1)</f>
        <v/>
      </c>
    </row>
    <row r="241">
      <c r="A241" s="147" t="inlineStr">
        <is>
          <t>Cohort month 43</t>
        </is>
      </c>
      <c r="B241" s="147" t="n">
        <v>43</v>
      </c>
      <c r="C241" s="41">
        <f>INDEX(Ops!$E$85:$BL$85,1,$B241)</f>
        <v/>
      </c>
      <c r="AV241" s="153">
        <f>$C241*INDEX(Curves!$AV$8:$AV$68,AV$4-$B241+1)</f>
        <v/>
      </c>
      <c r="AW241" s="153">
        <f>$C241*INDEX(Curves!$AV$8:$AV$68,AW$4-$B241+1)</f>
        <v/>
      </c>
      <c r="AX241" s="153">
        <f>$C241*INDEX(Curves!$AV$8:$AV$68,AX$4-$B241+1)</f>
        <v/>
      </c>
      <c r="AY241" s="153">
        <f>$C241*INDEX(Curves!$AV$8:$AV$68,AY$4-$B241+1)</f>
        <v/>
      </c>
      <c r="AZ241" s="153">
        <f>$C241*INDEX(Curves!$AV$8:$AV$68,AZ$4-$B241+1)</f>
        <v/>
      </c>
      <c r="BA241" s="153">
        <f>$C241*INDEX(Curves!$AV$8:$AV$68,BA$4-$B241+1)</f>
        <v/>
      </c>
      <c r="BB241" s="153">
        <f>$C241*INDEX(Curves!$AV$8:$AV$68,BB$4-$B241+1)</f>
        <v/>
      </c>
      <c r="BC241" s="153">
        <f>$C241*INDEX(Curves!$AV$8:$AV$68,BC$4-$B241+1)</f>
        <v/>
      </c>
      <c r="BD241" s="153">
        <f>$C241*INDEX(Curves!$AV$8:$AV$68,BD$4-$B241+1)</f>
        <v/>
      </c>
      <c r="BE241" s="153">
        <f>$C241*INDEX(Curves!$AV$8:$AV$68,BE$4-$B241+1)</f>
        <v/>
      </c>
      <c r="BF241" s="153">
        <f>$C241*INDEX(Curves!$AV$8:$AV$68,BF$4-$B241+1)</f>
        <v/>
      </c>
      <c r="BG241" s="153">
        <f>$C241*INDEX(Curves!$AV$8:$AV$68,BG$4-$B241+1)</f>
        <v/>
      </c>
      <c r="BH241" s="153">
        <f>$C241*INDEX(Curves!$AV$8:$AV$68,BH$4-$B241+1)</f>
        <v/>
      </c>
      <c r="BI241" s="153">
        <f>$C241*INDEX(Curves!$AV$8:$AV$68,BI$4-$B241+1)</f>
        <v/>
      </c>
      <c r="BJ241" s="153">
        <f>$C241*INDEX(Curves!$AV$8:$AV$68,BJ$4-$B241+1)</f>
        <v/>
      </c>
      <c r="BK241" s="153">
        <f>$C241*INDEX(Curves!$AV$8:$AV$68,BK$4-$B241+1)</f>
        <v/>
      </c>
      <c r="BL241" s="153">
        <f>$C241*INDEX(Curves!$AV$8:$AV$68,BL$4-$B241+1)</f>
        <v/>
      </c>
    </row>
    <row r="242">
      <c r="A242" s="147" t="inlineStr">
        <is>
          <t>Cohort month 44</t>
        </is>
      </c>
      <c r="B242" s="147" t="n">
        <v>44</v>
      </c>
      <c r="C242" s="41">
        <f>INDEX(Ops!$E$85:$BL$85,1,$B242)</f>
        <v/>
      </c>
      <c r="AW242" s="153">
        <f>$C242*INDEX(Curves!$AV$8:$AV$68,AW$4-$B242+1)</f>
        <v/>
      </c>
      <c r="AX242" s="153">
        <f>$C242*INDEX(Curves!$AV$8:$AV$68,AX$4-$B242+1)</f>
        <v/>
      </c>
      <c r="AY242" s="153">
        <f>$C242*INDEX(Curves!$AV$8:$AV$68,AY$4-$B242+1)</f>
        <v/>
      </c>
      <c r="AZ242" s="153">
        <f>$C242*INDEX(Curves!$AV$8:$AV$68,AZ$4-$B242+1)</f>
        <v/>
      </c>
      <c r="BA242" s="153">
        <f>$C242*INDEX(Curves!$AV$8:$AV$68,BA$4-$B242+1)</f>
        <v/>
      </c>
      <c r="BB242" s="153">
        <f>$C242*INDEX(Curves!$AV$8:$AV$68,BB$4-$B242+1)</f>
        <v/>
      </c>
      <c r="BC242" s="153">
        <f>$C242*INDEX(Curves!$AV$8:$AV$68,BC$4-$B242+1)</f>
        <v/>
      </c>
      <c r="BD242" s="153">
        <f>$C242*INDEX(Curves!$AV$8:$AV$68,BD$4-$B242+1)</f>
        <v/>
      </c>
      <c r="BE242" s="153">
        <f>$C242*INDEX(Curves!$AV$8:$AV$68,BE$4-$B242+1)</f>
        <v/>
      </c>
      <c r="BF242" s="153">
        <f>$C242*INDEX(Curves!$AV$8:$AV$68,BF$4-$B242+1)</f>
        <v/>
      </c>
      <c r="BG242" s="153">
        <f>$C242*INDEX(Curves!$AV$8:$AV$68,BG$4-$B242+1)</f>
        <v/>
      </c>
      <c r="BH242" s="153">
        <f>$C242*INDEX(Curves!$AV$8:$AV$68,BH$4-$B242+1)</f>
        <v/>
      </c>
      <c r="BI242" s="153">
        <f>$C242*INDEX(Curves!$AV$8:$AV$68,BI$4-$B242+1)</f>
        <v/>
      </c>
      <c r="BJ242" s="153">
        <f>$C242*INDEX(Curves!$AV$8:$AV$68,BJ$4-$B242+1)</f>
        <v/>
      </c>
      <c r="BK242" s="153">
        <f>$C242*INDEX(Curves!$AV$8:$AV$68,BK$4-$B242+1)</f>
        <v/>
      </c>
      <c r="BL242" s="153">
        <f>$C242*INDEX(Curves!$AV$8:$AV$68,BL$4-$B242+1)</f>
        <v/>
      </c>
    </row>
    <row r="243">
      <c r="A243" s="147" t="inlineStr">
        <is>
          <t>Cohort month 45</t>
        </is>
      </c>
      <c r="B243" s="147" t="n">
        <v>45</v>
      </c>
      <c r="C243" s="41">
        <f>INDEX(Ops!$E$85:$BL$85,1,$B243)</f>
        <v/>
      </c>
      <c r="AX243" s="153">
        <f>$C243*INDEX(Curves!$AV$8:$AV$68,AX$4-$B243+1)</f>
        <v/>
      </c>
      <c r="AY243" s="153">
        <f>$C243*INDEX(Curves!$AV$8:$AV$68,AY$4-$B243+1)</f>
        <v/>
      </c>
      <c r="AZ243" s="153">
        <f>$C243*INDEX(Curves!$AV$8:$AV$68,AZ$4-$B243+1)</f>
        <v/>
      </c>
      <c r="BA243" s="153">
        <f>$C243*INDEX(Curves!$AV$8:$AV$68,BA$4-$B243+1)</f>
        <v/>
      </c>
      <c r="BB243" s="153">
        <f>$C243*INDEX(Curves!$AV$8:$AV$68,BB$4-$B243+1)</f>
        <v/>
      </c>
      <c r="BC243" s="153">
        <f>$C243*INDEX(Curves!$AV$8:$AV$68,BC$4-$B243+1)</f>
        <v/>
      </c>
      <c r="BD243" s="153">
        <f>$C243*INDEX(Curves!$AV$8:$AV$68,BD$4-$B243+1)</f>
        <v/>
      </c>
      <c r="BE243" s="153">
        <f>$C243*INDEX(Curves!$AV$8:$AV$68,BE$4-$B243+1)</f>
        <v/>
      </c>
      <c r="BF243" s="153">
        <f>$C243*INDEX(Curves!$AV$8:$AV$68,BF$4-$B243+1)</f>
        <v/>
      </c>
      <c r="BG243" s="153">
        <f>$C243*INDEX(Curves!$AV$8:$AV$68,BG$4-$B243+1)</f>
        <v/>
      </c>
      <c r="BH243" s="153">
        <f>$C243*INDEX(Curves!$AV$8:$AV$68,BH$4-$B243+1)</f>
        <v/>
      </c>
      <c r="BI243" s="153">
        <f>$C243*INDEX(Curves!$AV$8:$AV$68,BI$4-$B243+1)</f>
        <v/>
      </c>
      <c r="BJ243" s="153">
        <f>$C243*INDEX(Curves!$AV$8:$AV$68,BJ$4-$B243+1)</f>
        <v/>
      </c>
      <c r="BK243" s="153">
        <f>$C243*INDEX(Curves!$AV$8:$AV$68,BK$4-$B243+1)</f>
        <v/>
      </c>
      <c r="BL243" s="153">
        <f>$C243*INDEX(Curves!$AV$8:$AV$68,BL$4-$B243+1)</f>
        <v/>
      </c>
    </row>
    <row r="244">
      <c r="A244" s="147" t="inlineStr">
        <is>
          <t>Cohort month 46</t>
        </is>
      </c>
      <c r="B244" s="147" t="n">
        <v>46</v>
      </c>
      <c r="C244" s="41">
        <f>INDEX(Ops!$E$85:$BL$85,1,$B244)</f>
        <v/>
      </c>
      <c r="AY244" s="153">
        <f>$C244*INDEX(Curves!$AV$8:$AV$68,AY$4-$B244+1)</f>
        <v/>
      </c>
      <c r="AZ244" s="153">
        <f>$C244*INDEX(Curves!$AV$8:$AV$68,AZ$4-$B244+1)</f>
        <v/>
      </c>
      <c r="BA244" s="153">
        <f>$C244*INDEX(Curves!$AV$8:$AV$68,BA$4-$B244+1)</f>
        <v/>
      </c>
      <c r="BB244" s="153">
        <f>$C244*INDEX(Curves!$AV$8:$AV$68,BB$4-$B244+1)</f>
        <v/>
      </c>
      <c r="BC244" s="153">
        <f>$C244*INDEX(Curves!$AV$8:$AV$68,BC$4-$B244+1)</f>
        <v/>
      </c>
      <c r="BD244" s="153">
        <f>$C244*INDEX(Curves!$AV$8:$AV$68,BD$4-$B244+1)</f>
        <v/>
      </c>
      <c r="BE244" s="153">
        <f>$C244*INDEX(Curves!$AV$8:$AV$68,BE$4-$B244+1)</f>
        <v/>
      </c>
      <c r="BF244" s="153">
        <f>$C244*INDEX(Curves!$AV$8:$AV$68,BF$4-$B244+1)</f>
        <v/>
      </c>
      <c r="BG244" s="153">
        <f>$C244*INDEX(Curves!$AV$8:$AV$68,BG$4-$B244+1)</f>
        <v/>
      </c>
      <c r="BH244" s="153">
        <f>$C244*INDEX(Curves!$AV$8:$AV$68,BH$4-$B244+1)</f>
        <v/>
      </c>
      <c r="BI244" s="153">
        <f>$C244*INDEX(Curves!$AV$8:$AV$68,BI$4-$B244+1)</f>
        <v/>
      </c>
      <c r="BJ244" s="153">
        <f>$C244*INDEX(Curves!$AV$8:$AV$68,BJ$4-$B244+1)</f>
        <v/>
      </c>
      <c r="BK244" s="153">
        <f>$C244*INDEX(Curves!$AV$8:$AV$68,BK$4-$B244+1)</f>
        <v/>
      </c>
      <c r="BL244" s="153">
        <f>$C244*INDEX(Curves!$AV$8:$AV$68,BL$4-$B244+1)</f>
        <v/>
      </c>
    </row>
    <row r="245">
      <c r="A245" s="147" t="inlineStr">
        <is>
          <t>Cohort month 47</t>
        </is>
      </c>
      <c r="B245" s="147" t="n">
        <v>47</v>
      </c>
      <c r="C245" s="41">
        <f>INDEX(Ops!$E$85:$BL$85,1,$B245)</f>
        <v/>
      </c>
      <c r="AZ245" s="153">
        <f>$C245*INDEX(Curves!$AV$8:$AV$68,AZ$4-$B245+1)</f>
        <v/>
      </c>
      <c r="BA245" s="153">
        <f>$C245*INDEX(Curves!$AV$8:$AV$68,BA$4-$B245+1)</f>
        <v/>
      </c>
      <c r="BB245" s="153">
        <f>$C245*INDEX(Curves!$AV$8:$AV$68,BB$4-$B245+1)</f>
        <v/>
      </c>
      <c r="BC245" s="153">
        <f>$C245*INDEX(Curves!$AV$8:$AV$68,BC$4-$B245+1)</f>
        <v/>
      </c>
      <c r="BD245" s="153">
        <f>$C245*INDEX(Curves!$AV$8:$AV$68,BD$4-$B245+1)</f>
        <v/>
      </c>
      <c r="BE245" s="153">
        <f>$C245*INDEX(Curves!$AV$8:$AV$68,BE$4-$B245+1)</f>
        <v/>
      </c>
      <c r="BF245" s="153">
        <f>$C245*INDEX(Curves!$AV$8:$AV$68,BF$4-$B245+1)</f>
        <v/>
      </c>
      <c r="BG245" s="153">
        <f>$C245*INDEX(Curves!$AV$8:$AV$68,BG$4-$B245+1)</f>
        <v/>
      </c>
      <c r="BH245" s="153">
        <f>$C245*INDEX(Curves!$AV$8:$AV$68,BH$4-$B245+1)</f>
        <v/>
      </c>
      <c r="BI245" s="153">
        <f>$C245*INDEX(Curves!$AV$8:$AV$68,BI$4-$B245+1)</f>
        <v/>
      </c>
      <c r="BJ245" s="153">
        <f>$C245*INDEX(Curves!$AV$8:$AV$68,BJ$4-$B245+1)</f>
        <v/>
      </c>
      <c r="BK245" s="153">
        <f>$C245*INDEX(Curves!$AV$8:$AV$68,BK$4-$B245+1)</f>
        <v/>
      </c>
      <c r="BL245" s="153">
        <f>$C245*INDEX(Curves!$AV$8:$AV$68,BL$4-$B245+1)</f>
        <v/>
      </c>
    </row>
    <row r="246">
      <c r="A246" s="147" t="inlineStr">
        <is>
          <t>Cohort month 48</t>
        </is>
      </c>
      <c r="B246" s="147" t="n">
        <v>48</v>
      </c>
      <c r="C246" s="41">
        <f>INDEX(Ops!$E$85:$BL$85,1,$B246)</f>
        <v/>
      </c>
      <c r="BA246" s="153">
        <f>$C246*INDEX(Curves!$AV$8:$AV$68,BA$4-$B246+1)</f>
        <v/>
      </c>
      <c r="BB246" s="153">
        <f>$C246*INDEX(Curves!$AV$8:$AV$68,BB$4-$B246+1)</f>
        <v/>
      </c>
      <c r="BC246" s="153">
        <f>$C246*INDEX(Curves!$AV$8:$AV$68,BC$4-$B246+1)</f>
        <v/>
      </c>
      <c r="BD246" s="153">
        <f>$C246*INDEX(Curves!$AV$8:$AV$68,BD$4-$B246+1)</f>
        <v/>
      </c>
      <c r="BE246" s="153">
        <f>$C246*INDEX(Curves!$AV$8:$AV$68,BE$4-$B246+1)</f>
        <v/>
      </c>
      <c r="BF246" s="153">
        <f>$C246*INDEX(Curves!$AV$8:$AV$68,BF$4-$B246+1)</f>
        <v/>
      </c>
      <c r="BG246" s="153">
        <f>$C246*INDEX(Curves!$AV$8:$AV$68,BG$4-$B246+1)</f>
        <v/>
      </c>
      <c r="BH246" s="153">
        <f>$C246*INDEX(Curves!$AV$8:$AV$68,BH$4-$B246+1)</f>
        <v/>
      </c>
      <c r="BI246" s="153">
        <f>$C246*INDEX(Curves!$AV$8:$AV$68,BI$4-$B246+1)</f>
        <v/>
      </c>
      <c r="BJ246" s="153">
        <f>$C246*INDEX(Curves!$AV$8:$AV$68,BJ$4-$B246+1)</f>
        <v/>
      </c>
      <c r="BK246" s="153">
        <f>$C246*INDEX(Curves!$AV$8:$AV$68,BK$4-$B246+1)</f>
        <v/>
      </c>
      <c r="BL246" s="153">
        <f>$C246*INDEX(Curves!$AV$8:$AV$68,BL$4-$B246+1)</f>
        <v/>
      </c>
    </row>
    <row r="247">
      <c r="A247" s="147" t="inlineStr">
        <is>
          <t>Cohort month 49</t>
        </is>
      </c>
      <c r="B247" s="147" t="n">
        <v>49</v>
      </c>
      <c r="C247" s="41">
        <f>INDEX(Ops!$E$85:$BL$85,1,$B247)</f>
        <v/>
      </c>
      <c r="BB247" s="153">
        <f>$C247*INDEX(Curves!$AV$8:$AV$68,BB$4-$B247+1)</f>
        <v/>
      </c>
      <c r="BC247" s="153">
        <f>$C247*INDEX(Curves!$AV$8:$AV$68,BC$4-$B247+1)</f>
        <v/>
      </c>
      <c r="BD247" s="153">
        <f>$C247*INDEX(Curves!$AV$8:$AV$68,BD$4-$B247+1)</f>
        <v/>
      </c>
      <c r="BE247" s="153">
        <f>$C247*INDEX(Curves!$AV$8:$AV$68,BE$4-$B247+1)</f>
        <v/>
      </c>
      <c r="BF247" s="153">
        <f>$C247*INDEX(Curves!$AV$8:$AV$68,BF$4-$B247+1)</f>
        <v/>
      </c>
      <c r="BG247" s="153">
        <f>$C247*INDEX(Curves!$AV$8:$AV$68,BG$4-$B247+1)</f>
        <v/>
      </c>
      <c r="BH247" s="153">
        <f>$C247*INDEX(Curves!$AV$8:$AV$68,BH$4-$B247+1)</f>
        <v/>
      </c>
      <c r="BI247" s="153">
        <f>$C247*INDEX(Curves!$AV$8:$AV$68,BI$4-$B247+1)</f>
        <v/>
      </c>
      <c r="BJ247" s="153">
        <f>$C247*INDEX(Curves!$AV$8:$AV$68,BJ$4-$B247+1)</f>
        <v/>
      </c>
      <c r="BK247" s="153">
        <f>$C247*INDEX(Curves!$AV$8:$AV$68,BK$4-$B247+1)</f>
        <v/>
      </c>
      <c r="BL247" s="153">
        <f>$C247*INDEX(Curves!$AV$8:$AV$68,BL$4-$B247+1)</f>
        <v/>
      </c>
    </row>
    <row r="248">
      <c r="A248" s="147" t="inlineStr">
        <is>
          <t>Cohort month 50</t>
        </is>
      </c>
      <c r="B248" s="147" t="n">
        <v>50</v>
      </c>
      <c r="C248" s="41">
        <f>INDEX(Ops!$E$85:$BL$85,1,$B248)</f>
        <v/>
      </c>
      <c r="BC248" s="153">
        <f>$C248*INDEX(Curves!$AV$8:$AV$68,BC$4-$B248+1)</f>
        <v/>
      </c>
      <c r="BD248" s="153">
        <f>$C248*INDEX(Curves!$AV$8:$AV$68,BD$4-$B248+1)</f>
        <v/>
      </c>
      <c r="BE248" s="153">
        <f>$C248*INDEX(Curves!$AV$8:$AV$68,BE$4-$B248+1)</f>
        <v/>
      </c>
      <c r="BF248" s="153">
        <f>$C248*INDEX(Curves!$AV$8:$AV$68,BF$4-$B248+1)</f>
        <v/>
      </c>
      <c r="BG248" s="153">
        <f>$C248*INDEX(Curves!$AV$8:$AV$68,BG$4-$B248+1)</f>
        <v/>
      </c>
      <c r="BH248" s="153">
        <f>$C248*INDEX(Curves!$AV$8:$AV$68,BH$4-$B248+1)</f>
        <v/>
      </c>
      <c r="BI248" s="153">
        <f>$C248*INDEX(Curves!$AV$8:$AV$68,BI$4-$B248+1)</f>
        <v/>
      </c>
      <c r="BJ248" s="153">
        <f>$C248*INDEX(Curves!$AV$8:$AV$68,BJ$4-$B248+1)</f>
        <v/>
      </c>
      <c r="BK248" s="153">
        <f>$C248*INDEX(Curves!$AV$8:$AV$68,BK$4-$B248+1)</f>
        <v/>
      </c>
      <c r="BL248" s="153">
        <f>$C248*INDEX(Curves!$AV$8:$AV$68,BL$4-$B248+1)</f>
        <v/>
      </c>
    </row>
    <row r="249">
      <c r="A249" s="147" t="inlineStr">
        <is>
          <t>Cohort month 51</t>
        </is>
      </c>
      <c r="B249" s="147" t="n">
        <v>51</v>
      </c>
      <c r="C249" s="41">
        <f>INDEX(Ops!$E$85:$BL$85,1,$B249)</f>
        <v/>
      </c>
      <c r="BD249" s="153">
        <f>$C249*INDEX(Curves!$AV$8:$AV$68,BD$4-$B249+1)</f>
        <v/>
      </c>
      <c r="BE249" s="153">
        <f>$C249*INDEX(Curves!$AV$8:$AV$68,BE$4-$B249+1)</f>
        <v/>
      </c>
      <c r="BF249" s="153">
        <f>$C249*INDEX(Curves!$AV$8:$AV$68,BF$4-$B249+1)</f>
        <v/>
      </c>
      <c r="BG249" s="153">
        <f>$C249*INDEX(Curves!$AV$8:$AV$68,BG$4-$B249+1)</f>
        <v/>
      </c>
      <c r="BH249" s="153">
        <f>$C249*INDEX(Curves!$AV$8:$AV$68,BH$4-$B249+1)</f>
        <v/>
      </c>
      <c r="BI249" s="153">
        <f>$C249*INDEX(Curves!$AV$8:$AV$68,BI$4-$B249+1)</f>
        <v/>
      </c>
      <c r="BJ249" s="153">
        <f>$C249*INDEX(Curves!$AV$8:$AV$68,BJ$4-$B249+1)</f>
        <v/>
      </c>
      <c r="BK249" s="153">
        <f>$C249*INDEX(Curves!$AV$8:$AV$68,BK$4-$B249+1)</f>
        <v/>
      </c>
      <c r="BL249" s="153">
        <f>$C249*INDEX(Curves!$AV$8:$AV$68,BL$4-$B249+1)</f>
        <v/>
      </c>
    </row>
    <row r="250">
      <c r="A250" s="147" t="inlineStr">
        <is>
          <t>Cohort month 52</t>
        </is>
      </c>
      <c r="B250" s="147" t="n">
        <v>52</v>
      </c>
      <c r="C250" s="41">
        <f>INDEX(Ops!$E$85:$BL$85,1,$B250)</f>
        <v/>
      </c>
      <c r="BE250" s="153">
        <f>$C250*INDEX(Curves!$AV$8:$AV$68,BE$4-$B250+1)</f>
        <v/>
      </c>
      <c r="BF250" s="153">
        <f>$C250*INDEX(Curves!$AV$8:$AV$68,BF$4-$B250+1)</f>
        <v/>
      </c>
      <c r="BG250" s="153">
        <f>$C250*INDEX(Curves!$AV$8:$AV$68,BG$4-$B250+1)</f>
        <v/>
      </c>
      <c r="BH250" s="153">
        <f>$C250*INDEX(Curves!$AV$8:$AV$68,BH$4-$B250+1)</f>
        <v/>
      </c>
      <c r="BI250" s="153">
        <f>$C250*INDEX(Curves!$AV$8:$AV$68,BI$4-$B250+1)</f>
        <v/>
      </c>
      <c r="BJ250" s="153">
        <f>$C250*INDEX(Curves!$AV$8:$AV$68,BJ$4-$B250+1)</f>
        <v/>
      </c>
      <c r="BK250" s="153">
        <f>$C250*INDEX(Curves!$AV$8:$AV$68,BK$4-$B250+1)</f>
        <v/>
      </c>
      <c r="BL250" s="153">
        <f>$C250*INDEX(Curves!$AV$8:$AV$68,BL$4-$B250+1)</f>
        <v/>
      </c>
    </row>
    <row r="251">
      <c r="A251" s="147" t="inlineStr">
        <is>
          <t>Cohort month 53</t>
        </is>
      </c>
      <c r="B251" s="147" t="n">
        <v>53</v>
      </c>
      <c r="C251" s="41">
        <f>INDEX(Ops!$E$85:$BL$85,1,$B251)</f>
        <v/>
      </c>
      <c r="BF251" s="153">
        <f>$C251*INDEX(Curves!$AV$8:$AV$68,BF$4-$B251+1)</f>
        <v/>
      </c>
      <c r="BG251" s="153">
        <f>$C251*INDEX(Curves!$AV$8:$AV$68,BG$4-$B251+1)</f>
        <v/>
      </c>
      <c r="BH251" s="153">
        <f>$C251*INDEX(Curves!$AV$8:$AV$68,BH$4-$B251+1)</f>
        <v/>
      </c>
      <c r="BI251" s="153">
        <f>$C251*INDEX(Curves!$AV$8:$AV$68,BI$4-$B251+1)</f>
        <v/>
      </c>
      <c r="BJ251" s="153">
        <f>$C251*INDEX(Curves!$AV$8:$AV$68,BJ$4-$B251+1)</f>
        <v/>
      </c>
      <c r="BK251" s="153">
        <f>$C251*INDEX(Curves!$AV$8:$AV$68,BK$4-$B251+1)</f>
        <v/>
      </c>
      <c r="BL251" s="153">
        <f>$C251*INDEX(Curves!$AV$8:$AV$68,BL$4-$B251+1)</f>
        <v/>
      </c>
    </row>
    <row r="252">
      <c r="A252" s="147" t="inlineStr">
        <is>
          <t>Cohort month 54</t>
        </is>
      </c>
      <c r="B252" s="147" t="n">
        <v>54</v>
      </c>
      <c r="C252" s="41">
        <f>INDEX(Ops!$E$85:$BL$85,1,$B252)</f>
        <v/>
      </c>
      <c r="BG252" s="153">
        <f>$C252*INDEX(Curves!$AV$8:$AV$68,BG$4-$B252+1)</f>
        <v/>
      </c>
      <c r="BH252" s="153">
        <f>$C252*INDEX(Curves!$AV$8:$AV$68,BH$4-$B252+1)</f>
        <v/>
      </c>
      <c r="BI252" s="153">
        <f>$C252*INDEX(Curves!$AV$8:$AV$68,BI$4-$B252+1)</f>
        <v/>
      </c>
      <c r="BJ252" s="153">
        <f>$C252*INDEX(Curves!$AV$8:$AV$68,BJ$4-$B252+1)</f>
        <v/>
      </c>
      <c r="BK252" s="153">
        <f>$C252*INDEX(Curves!$AV$8:$AV$68,BK$4-$B252+1)</f>
        <v/>
      </c>
      <c r="BL252" s="153">
        <f>$C252*INDEX(Curves!$AV$8:$AV$68,BL$4-$B252+1)</f>
        <v/>
      </c>
    </row>
    <row r="253">
      <c r="A253" s="147" t="inlineStr">
        <is>
          <t>Cohort month 55</t>
        </is>
      </c>
      <c r="B253" s="147" t="n">
        <v>55</v>
      </c>
      <c r="C253" s="41">
        <f>INDEX(Ops!$E$85:$BL$85,1,$B253)</f>
        <v/>
      </c>
      <c r="BH253" s="153">
        <f>$C253*INDEX(Curves!$AV$8:$AV$68,BH$4-$B253+1)</f>
        <v/>
      </c>
      <c r="BI253" s="153">
        <f>$C253*INDEX(Curves!$AV$8:$AV$68,BI$4-$B253+1)</f>
        <v/>
      </c>
      <c r="BJ253" s="153">
        <f>$C253*INDEX(Curves!$AV$8:$AV$68,BJ$4-$B253+1)</f>
        <v/>
      </c>
      <c r="BK253" s="153">
        <f>$C253*INDEX(Curves!$AV$8:$AV$68,BK$4-$B253+1)</f>
        <v/>
      </c>
      <c r="BL253" s="153">
        <f>$C253*INDEX(Curves!$AV$8:$AV$68,BL$4-$B253+1)</f>
        <v/>
      </c>
    </row>
    <row r="254">
      <c r="A254" s="147" t="inlineStr">
        <is>
          <t>Cohort month 56</t>
        </is>
      </c>
      <c r="B254" s="147" t="n">
        <v>56</v>
      </c>
      <c r="C254" s="41">
        <f>INDEX(Ops!$E$85:$BL$85,1,$B254)</f>
        <v/>
      </c>
      <c r="BI254" s="153">
        <f>$C254*INDEX(Curves!$AV$8:$AV$68,BI$4-$B254+1)</f>
        <v/>
      </c>
      <c r="BJ254" s="153">
        <f>$C254*INDEX(Curves!$AV$8:$AV$68,BJ$4-$B254+1)</f>
        <v/>
      </c>
      <c r="BK254" s="153">
        <f>$C254*INDEX(Curves!$AV$8:$AV$68,BK$4-$B254+1)</f>
        <v/>
      </c>
      <c r="BL254" s="153">
        <f>$C254*INDEX(Curves!$AV$8:$AV$68,BL$4-$B254+1)</f>
        <v/>
      </c>
    </row>
    <row r="255">
      <c r="A255" s="147" t="inlineStr">
        <is>
          <t>Cohort month 57</t>
        </is>
      </c>
      <c r="B255" s="147" t="n">
        <v>57</v>
      </c>
      <c r="C255" s="41">
        <f>INDEX(Ops!$E$85:$BL$85,1,$B255)</f>
        <v/>
      </c>
      <c r="BJ255" s="153">
        <f>$C255*INDEX(Curves!$AV$8:$AV$68,BJ$4-$B255+1)</f>
        <v/>
      </c>
      <c r="BK255" s="153">
        <f>$C255*INDEX(Curves!$AV$8:$AV$68,BK$4-$B255+1)</f>
        <v/>
      </c>
      <c r="BL255" s="153">
        <f>$C255*INDEX(Curves!$AV$8:$AV$68,BL$4-$B255+1)</f>
        <v/>
      </c>
    </row>
    <row r="256">
      <c r="A256" s="147" t="inlineStr">
        <is>
          <t>Cohort month 58</t>
        </is>
      </c>
      <c r="B256" s="147" t="n">
        <v>58</v>
      </c>
      <c r="C256" s="41">
        <f>INDEX(Ops!$E$85:$BL$85,1,$B256)</f>
        <v/>
      </c>
      <c r="BK256" s="153">
        <f>$C256*INDEX(Curves!$AV$8:$AV$68,BK$4-$B256+1)</f>
        <v/>
      </c>
      <c r="BL256" s="153">
        <f>$C256*INDEX(Curves!$AV$8:$AV$68,BL$4-$B256+1)</f>
        <v/>
      </c>
    </row>
    <row r="257">
      <c r="A257" s="147" t="inlineStr">
        <is>
          <t>Cohort month 59</t>
        </is>
      </c>
      <c r="B257" s="147" t="n">
        <v>59</v>
      </c>
      <c r="C257" s="41">
        <f>INDEX(Ops!$E$85:$BL$85,1,$B257)</f>
        <v/>
      </c>
      <c r="BL257" s="153">
        <f>$C257*INDEX(Curves!$AV$8:$AV$68,BL$4-$B257+1)</f>
        <v/>
      </c>
    </row>
    <row r="258">
      <c r="A258" s="147" t="inlineStr">
        <is>
          <t>Cohort month 60</t>
        </is>
      </c>
      <c r="B258" s="147" t="n">
        <v>60</v>
      </c>
      <c r="C258" s="41">
        <f>INDEX(Ops!$E$85:$BL$85,1,$B258)</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42.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Cohort (vintage) analysis: Tier 5: Solar inverter + lithium (~3 kWp / 10 kWh)</t>
        </is>
      </c>
    </row>
    <row r="2">
      <c r="A2" s="18" t="inlineStr">
        <is>
          <t>[FORECAST]  Rows = sales cohort (month of sale); columns = calendar month. Cohort size in column C.</t>
        </is>
      </c>
    </row>
    <row r="3"/>
    <row r="4">
      <c r="A4" s="94" t="inlineStr">
        <is>
          <t>Month #</t>
        </is>
      </c>
      <c r="B4" s="95" t="n"/>
      <c r="C4" s="95" t="n"/>
      <c r="D4" s="94" t="inlineStr">
        <is>
          <t>Opening</t>
        </is>
      </c>
      <c r="E4" s="96">
        <f>Timeline!E4</f>
        <v/>
      </c>
      <c r="F4" s="96">
        <f>Timeline!F4</f>
        <v/>
      </c>
      <c r="G4" s="96">
        <f>Timeline!G4</f>
        <v/>
      </c>
      <c r="H4" s="96">
        <f>Timeline!H4</f>
        <v/>
      </c>
      <c r="I4" s="96">
        <f>Timeline!I4</f>
        <v/>
      </c>
      <c r="J4" s="96">
        <f>Timeline!J4</f>
        <v/>
      </c>
      <c r="K4" s="96">
        <f>Timeline!K4</f>
        <v/>
      </c>
      <c r="L4" s="96">
        <f>Timeline!L4</f>
        <v/>
      </c>
      <c r="M4" s="96">
        <f>Timeline!M4</f>
        <v/>
      </c>
      <c r="N4" s="96">
        <f>Timeline!N4</f>
        <v/>
      </c>
      <c r="O4" s="96">
        <f>Timeline!O4</f>
        <v/>
      </c>
      <c r="P4" s="96">
        <f>Timeline!P4</f>
        <v/>
      </c>
      <c r="Q4" s="96">
        <f>Timeline!Q4</f>
        <v/>
      </c>
      <c r="R4" s="96">
        <f>Timeline!R4</f>
        <v/>
      </c>
      <c r="S4" s="96">
        <f>Timeline!S4</f>
        <v/>
      </c>
      <c r="T4" s="96">
        <f>Timeline!T4</f>
        <v/>
      </c>
      <c r="U4" s="96">
        <f>Timeline!U4</f>
        <v/>
      </c>
      <c r="V4" s="96">
        <f>Timeline!V4</f>
        <v/>
      </c>
      <c r="W4" s="96">
        <f>Timeline!W4</f>
        <v/>
      </c>
      <c r="X4" s="96">
        <f>Timeline!X4</f>
        <v/>
      </c>
      <c r="Y4" s="96">
        <f>Timeline!Y4</f>
        <v/>
      </c>
      <c r="Z4" s="96">
        <f>Timeline!Z4</f>
        <v/>
      </c>
      <c r="AA4" s="96">
        <f>Timeline!AA4</f>
        <v/>
      </c>
      <c r="AB4" s="96">
        <f>Timeline!AB4</f>
        <v/>
      </c>
      <c r="AC4" s="96">
        <f>Timeline!AC4</f>
        <v/>
      </c>
      <c r="AD4" s="96">
        <f>Timeline!AD4</f>
        <v/>
      </c>
      <c r="AE4" s="96">
        <f>Timeline!AE4</f>
        <v/>
      </c>
      <c r="AF4" s="96">
        <f>Timeline!AF4</f>
        <v/>
      </c>
      <c r="AG4" s="96">
        <f>Timeline!AG4</f>
        <v/>
      </c>
      <c r="AH4" s="96">
        <f>Timeline!AH4</f>
        <v/>
      </c>
      <c r="AI4" s="96">
        <f>Timeline!AI4</f>
        <v/>
      </c>
      <c r="AJ4" s="96">
        <f>Timeline!AJ4</f>
        <v/>
      </c>
      <c r="AK4" s="96">
        <f>Timeline!AK4</f>
        <v/>
      </c>
      <c r="AL4" s="96">
        <f>Timeline!AL4</f>
        <v/>
      </c>
      <c r="AM4" s="96">
        <f>Timeline!AM4</f>
        <v/>
      </c>
      <c r="AN4" s="96">
        <f>Timeline!AN4</f>
        <v/>
      </c>
      <c r="AO4" s="96">
        <f>Timeline!AO4</f>
        <v/>
      </c>
      <c r="AP4" s="96">
        <f>Timeline!AP4</f>
        <v/>
      </c>
      <c r="AQ4" s="96">
        <f>Timeline!AQ4</f>
        <v/>
      </c>
      <c r="AR4" s="96">
        <f>Timeline!AR4</f>
        <v/>
      </c>
      <c r="AS4" s="96">
        <f>Timeline!AS4</f>
        <v/>
      </c>
      <c r="AT4" s="96">
        <f>Timeline!AT4</f>
        <v/>
      </c>
      <c r="AU4" s="96">
        <f>Timeline!AU4</f>
        <v/>
      </c>
      <c r="AV4" s="96">
        <f>Timeline!AV4</f>
        <v/>
      </c>
      <c r="AW4" s="96">
        <f>Timeline!AW4</f>
        <v/>
      </c>
      <c r="AX4" s="96">
        <f>Timeline!AX4</f>
        <v/>
      </c>
      <c r="AY4" s="96">
        <f>Timeline!AY4</f>
        <v/>
      </c>
      <c r="AZ4" s="96">
        <f>Timeline!AZ4</f>
        <v/>
      </c>
      <c r="BA4" s="96">
        <f>Timeline!BA4</f>
        <v/>
      </c>
      <c r="BB4" s="96">
        <f>Timeline!BB4</f>
        <v/>
      </c>
      <c r="BC4" s="96">
        <f>Timeline!BC4</f>
        <v/>
      </c>
      <c r="BD4" s="96">
        <f>Timeline!BD4</f>
        <v/>
      </c>
      <c r="BE4" s="96">
        <f>Timeline!BE4</f>
        <v/>
      </c>
      <c r="BF4" s="96">
        <f>Timeline!BF4</f>
        <v/>
      </c>
      <c r="BG4" s="96">
        <f>Timeline!BG4</f>
        <v/>
      </c>
      <c r="BH4" s="96">
        <f>Timeline!BH4</f>
        <v/>
      </c>
      <c r="BI4" s="96">
        <f>Timeline!BI4</f>
        <v/>
      </c>
      <c r="BJ4" s="96">
        <f>Timeline!BJ4</f>
        <v/>
      </c>
      <c r="BK4" s="96">
        <f>Timeline!BK4</f>
        <v/>
      </c>
      <c r="BL4" s="96">
        <f>Timeline!BL4</f>
        <v/>
      </c>
    </row>
    <row r="5">
      <c r="A5" s="94" t="inlineStr">
        <is>
          <t>Period end</t>
        </is>
      </c>
      <c r="B5" s="95" t="n"/>
      <c r="C5" s="95" t="n"/>
      <c r="D5" s="94" t="n"/>
      <c r="E5" s="97">
        <f>Timeline!E5</f>
        <v/>
      </c>
      <c r="F5" s="97">
        <f>Timeline!F5</f>
        <v/>
      </c>
      <c r="G5" s="97">
        <f>Timeline!G5</f>
        <v/>
      </c>
      <c r="H5" s="97">
        <f>Timeline!H5</f>
        <v/>
      </c>
      <c r="I5" s="97">
        <f>Timeline!I5</f>
        <v/>
      </c>
      <c r="J5" s="97">
        <f>Timeline!J5</f>
        <v/>
      </c>
      <c r="K5" s="97">
        <f>Timeline!K5</f>
        <v/>
      </c>
      <c r="L5" s="97">
        <f>Timeline!L5</f>
        <v/>
      </c>
      <c r="M5" s="97">
        <f>Timeline!M5</f>
        <v/>
      </c>
      <c r="N5" s="97">
        <f>Timeline!N5</f>
        <v/>
      </c>
      <c r="O5" s="97">
        <f>Timeline!O5</f>
        <v/>
      </c>
      <c r="P5" s="97">
        <f>Timeline!P5</f>
        <v/>
      </c>
      <c r="Q5" s="97">
        <f>Timeline!Q5</f>
        <v/>
      </c>
      <c r="R5" s="97">
        <f>Timeline!R5</f>
        <v/>
      </c>
      <c r="S5" s="97">
        <f>Timeline!S5</f>
        <v/>
      </c>
      <c r="T5" s="97">
        <f>Timeline!T5</f>
        <v/>
      </c>
      <c r="U5" s="97">
        <f>Timeline!U5</f>
        <v/>
      </c>
      <c r="V5" s="97">
        <f>Timeline!V5</f>
        <v/>
      </c>
      <c r="W5" s="97">
        <f>Timeline!W5</f>
        <v/>
      </c>
      <c r="X5" s="97">
        <f>Timeline!X5</f>
        <v/>
      </c>
      <c r="Y5" s="97">
        <f>Timeline!Y5</f>
        <v/>
      </c>
      <c r="Z5" s="97">
        <f>Timeline!Z5</f>
        <v/>
      </c>
      <c r="AA5" s="97">
        <f>Timeline!AA5</f>
        <v/>
      </c>
      <c r="AB5" s="97">
        <f>Timeline!AB5</f>
        <v/>
      </c>
      <c r="AC5" s="97">
        <f>Timeline!AC5</f>
        <v/>
      </c>
      <c r="AD5" s="97">
        <f>Timeline!AD5</f>
        <v/>
      </c>
      <c r="AE5" s="97">
        <f>Timeline!AE5</f>
        <v/>
      </c>
      <c r="AF5" s="97">
        <f>Timeline!AF5</f>
        <v/>
      </c>
      <c r="AG5" s="97">
        <f>Timeline!AG5</f>
        <v/>
      </c>
      <c r="AH5" s="97">
        <f>Timeline!AH5</f>
        <v/>
      </c>
      <c r="AI5" s="97">
        <f>Timeline!AI5</f>
        <v/>
      </c>
      <c r="AJ5" s="97">
        <f>Timeline!AJ5</f>
        <v/>
      </c>
      <c r="AK5" s="97">
        <f>Timeline!AK5</f>
        <v/>
      </c>
      <c r="AL5" s="97">
        <f>Timeline!AL5</f>
        <v/>
      </c>
      <c r="AM5" s="97">
        <f>Timeline!AM5</f>
        <v/>
      </c>
      <c r="AN5" s="97">
        <f>Timeline!AN5</f>
        <v/>
      </c>
      <c r="AO5" s="97">
        <f>Timeline!AO5</f>
        <v/>
      </c>
      <c r="AP5" s="97">
        <f>Timeline!AP5</f>
        <v/>
      </c>
      <c r="AQ5" s="97">
        <f>Timeline!AQ5</f>
        <v/>
      </c>
      <c r="AR5" s="97">
        <f>Timeline!AR5</f>
        <v/>
      </c>
      <c r="AS5" s="97">
        <f>Timeline!AS5</f>
        <v/>
      </c>
      <c r="AT5" s="97">
        <f>Timeline!AT5</f>
        <v/>
      </c>
      <c r="AU5" s="97">
        <f>Timeline!AU5</f>
        <v/>
      </c>
      <c r="AV5" s="97">
        <f>Timeline!AV5</f>
        <v/>
      </c>
      <c r="AW5" s="97">
        <f>Timeline!AW5</f>
        <v/>
      </c>
      <c r="AX5" s="97">
        <f>Timeline!AX5</f>
        <v/>
      </c>
      <c r="AY5" s="97">
        <f>Timeline!AY5</f>
        <v/>
      </c>
      <c r="AZ5" s="97">
        <f>Timeline!AZ5</f>
        <v/>
      </c>
      <c r="BA5" s="97">
        <f>Timeline!BA5</f>
        <v/>
      </c>
      <c r="BB5" s="97">
        <f>Timeline!BB5</f>
        <v/>
      </c>
      <c r="BC5" s="97">
        <f>Timeline!BC5</f>
        <v/>
      </c>
      <c r="BD5" s="97">
        <f>Timeline!BD5</f>
        <v/>
      </c>
      <c r="BE5" s="97">
        <f>Timeline!BE5</f>
        <v/>
      </c>
      <c r="BF5" s="97">
        <f>Timeline!BF5</f>
        <v/>
      </c>
      <c r="BG5" s="97">
        <f>Timeline!BG5</f>
        <v/>
      </c>
      <c r="BH5" s="97">
        <f>Timeline!BH5</f>
        <v/>
      </c>
      <c r="BI5" s="97">
        <f>Timeline!BI5</f>
        <v/>
      </c>
      <c r="BJ5" s="97">
        <f>Timeline!BJ5</f>
        <v/>
      </c>
      <c r="BK5" s="97">
        <f>Timeline!BK5</f>
        <v/>
      </c>
      <c r="BL5" s="97">
        <f>Timeline!BL5</f>
        <v/>
      </c>
    </row>
    <row r="6">
      <c r="A6" s="94" t="inlineStr">
        <is>
          <t>Year #</t>
        </is>
      </c>
      <c r="B6" s="95" t="n"/>
      <c r="C6" s="95" t="n"/>
      <c r="D6" s="94" t="n"/>
      <c r="E6" s="96">
        <f>Timeline!E6</f>
        <v/>
      </c>
      <c r="F6" s="96">
        <f>Timeline!F6</f>
        <v/>
      </c>
      <c r="G6" s="96">
        <f>Timeline!G6</f>
        <v/>
      </c>
      <c r="H6" s="96">
        <f>Timeline!H6</f>
        <v/>
      </c>
      <c r="I6" s="96">
        <f>Timeline!I6</f>
        <v/>
      </c>
      <c r="J6" s="96">
        <f>Timeline!J6</f>
        <v/>
      </c>
      <c r="K6" s="96">
        <f>Timeline!K6</f>
        <v/>
      </c>
      <c r="L6" s="96">
        <f>Timeline!L6</f>
        <v/>
      </c>
      <c r="M6" s="96">
        <f>Timeline!M6</f>
        <v/>
      </c>
      <c r="N6" s="96">
        <f>Timeline!N6</f>
        <v/>
      </c>
      <c r="O6" s="96">
        <f>Timeline!O6</f>
        <v/>
      </c>
      <c r="P6" s="96">
        <f>Timeline!P6</f>
        <v/>
      </c>
      <c r="Q6" s="96">
        <f>Timeline!Q6</f>
        <v/>
      </c>
      <c r="R6" s="96">
        <f>Timeline!R6</f>
        <v/>
      </c>
      <c r="S6" s="96">
        <f>Timeline!S6</f>
        <v/>
      </c>
      <c r="T6" s="96">
        <f>Timeline!T6</f>
        <v/>
      </c>
      <c r="U6" s="96">
        <f>Timeline!U6</f>
        <v/>
      </c>
      <c r="V6" s="96">
        <f>Timeline!V6</f>
        <v/>
      </c>
      <c r="W6" s="96">
        <f>Timeline!W6</f>
        <v/>
      </c>
      <c r="X6" s="96">
        <f>Timeline!X6</f>
        <v/>
      </c>
      <c r="Y6" s="96">
        <f>Timeline!Y6</f>
        <v/>
      </c>
      <c r="Z6" s="96">
        <f>Timeline!Z6</f>
        <v/>
      </c>
      <c r="AA6" s="96">
        <f>Timeline!AA6</f>
        <v/>
      </c>
      <c r="AB6" s="96">
        <f>Timeline!AB6</f>
        <v/>
      </c>
      <c r="AC6" s="96">
        <f>Timeline!AC6</f>
        <v/>
      </c>
      <c r="AD6" s="96">
        <f>Timeline!AD6</f>
        <v/>
      </c>
      <c r="AE6" s="96">
        <f>Timeline!AE6</f>
        <v/>
      </c>
      <c r="AF6" s="96">
        <f>Timeline!AF6</f>
        <v/>
      </c>
      <c r="AG6" s="96">
        <f>Timeline!AG6</f>
        <v/>
      </c>
      <c r="AH6" s="96">
        <f>Timeline!AH6</f>
        <v/>
      </c>
      <c r="AI6" s="96">
        <f>Timeline!AI6</f>
        <v/>
      </c>
      <c r="AJ6" s="96">
        <f>Timeline!AJ6</f>
        <v/>
      </c>
      <c r="AK6" s="96">
        <f>Timeline!AK6</f>
        <v/>
      </c>
      <c r="AL6" s="96">
        <f>Timeline!AL6</f>
        <v/>
      </c>
      <c r="AM6" s="96">
        <f>Timeline!AM6</f>
        <v/>
      </c>
      <c r="AN6" s="96">
        <f>Timeline!AN6</f>
        <v/>
      </c>
      <c r="AO6" s="96">
        <f>Timeline!AO6</f>
        <v/>
      </c>
      <c r="AP6" s="96">
        <f>Timeline!AP6</f>
        <v/>
      </c>
      <c r="AQ6" s="96">
        <f>Timeline!AQ6</f>
        <v/>
      </c>
      <c r="AR6" s="96">
        <f>Timeline!AR6</f>
        <v/>
      </c>
      <c r="AS6" s="96">
        <f>Timeline!AS6</f>
        <v/>
      </c>
      <c r="AT6" s="96">
        <f>Timeline!AT6</f>
        <v/>
      </c>
      <c r="AU6" s="96">
        <f>Timeline!AU6</f>
        <v/>
      </c>
      <c r="AV6" s="96">
        <f>Timeline!AV6</f>
        <v/>
      </c>
      <c r="AW6" s="96">
        <f>Timeline!AW6</f>
        <v/>
      </c>
      <c r="AX6" s="96">
        <f>Timeline!AX6</f>
        <v/>
      </c>
      <c r="AY6" s="96">
        <f>Timeline!AY6</f>
        <v/>
      </c>
      <c r="AZ6" s="96">
        <f>Timeline!AZ6</f>
        <v/>
      </c>
      <c r="BA6" s="96">
        <f>Timeline!BA6</f>
        <v/>
      </c>
      <c r="BB6" s="96">
        <f>Timeline!BB6</f>
        <v/>
      </c>
      <c r="BC6" s="96">
        <f>Timeline!BC6</f>
        <v/>
      </c>
      <c r="BD6" s="96">
        <f>Timeline!BD6</f>
        <v/>
      </c>
      <c r="BE6" s="96">
        <f>Timeline!BE6</f>
        <v/>
      </c>
      <c r="BF6" s="96">
        <f>Timeline!BF6</f>
        <v/>
      </c>
      <c r="BG6" s="96">
        <f>Timeline!BG6</f>
        <v/>
      </c>
      <c r="BH6" s="96">
        <f>Timeline!BH6</f>
        <v/>
      </c>
      <c r="BI6" s="96">
        <f>Timeline!BI6</f>
        <v/>
      </c>
      <c r="BJ6" s="96">
        <f>Timeline!BJ6</f>
        <v/>
      </c>
      <c r="BK6" s="96">
        <f>Timeline!BK6</f>
        <v/>
      </c>
      <c r="BL6" s="96">
        <f>Timeline!BL6</f>
        <v/>
      </c>
    </row>
    <row r="7"/>
    <row r="8">
      <c r="A8" s="21" t="inlineStr">
        <is>
          <t>Instalments collected by cohort (LCY)</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c r="Z8" s="22" t="n"/>
      <c r="AA8" s="22" t="n"/>
      <c r="AB8" s="22" t="n"/>
      <c r="AC8" s="22" t="n"/>
      <c r="AD8" s="22" t="n"/>
      <c r="AE8" s="22" t="n"/>
      <c r="AF8" s="22" t="n"/>
      <c r="AG8" s="22" t="n"/>
      <c r="AH8" s="22" t="n"/>
      <c r="AI8" s="22" t="n"/>
      <c r="AJ8" s="22" t="n"/>
      <c r="AK8" s="22" t="n"/>
      <c r="AL8" s="22" t="n"/>
      <c r="AM8" s="22" t="n"/>
      <c r="AN8" s="22" t="n"/>
      <c r="AO8" s="22" t="n"/>
      <c r="AP8" s="22" t="n"/>
      <c r="AQ8" s="22" t="n"/>
      <c r="AR8" s="22" t="n"/>
      <c r="AS8" s="22" t="n"/>
      <c r="AT8" s="22" t="n"/>
      <c r="AU8" s="22" t="n"/>
      <c r="AV8" s="22" t="n"/>
      <c r="AW8" s="22" t="n"/>
      <c r="AX8" s="22" t="n"/>
      <c r="AY8" s="22" t="n"/>
      <c r="AZ8" s="22" t="n"/>
      <c r="BA8" s="22" t="n"/>
      <c r="BB8" s="22" t="n"/>
      <c r="BC8" s="22" t="n"/>
      <c r="BD8" s="22" t="n"/>
      <c r="BE8" s="22" t="n"/>
      <c r="BF8" s="22" t="n"/>
      <c r="BG8" s="22" t="n"/>
      <c r="BH8" s="22" t="n"/>
      <c r="BI8" s="22" t="n"/>
      <c r="BJ8" s="22" t="n"/>
      <c r="BK8" s="22" t="n"/>
      <c r="BL8" s="22" t="n"/>
    </row>
    <row r="9">
      <c r="A9" s="100" t="inlineStr">
        <is>
          <t>Total</t>
        </is>
      </c>
      <c r="B9" s="101" t="inlineStr"/>
      <c r="C9" s="103" t="n"/>
      <c r="D9" s="103" t="n"/>
      <c r="E9" s="104">
        <f>SUM(E10:E69)</f>
        <v/>
      </c>
      <c r="F9" s="104">
        <f>SUM(F10:F69)</f>
        <v/>
      </c>
      <c r="G9" s="104">
        <f>SUM(G10:G69)</f>
        <v/>
      </c>
      <c r="H9" s="104">
        <f>SUM(H10:H69)</f>
        <v/>
      </c>
      <c r="I9" s="104">
        <f>SUM(I10:I69)</f>
        <v/>
      </c>
      <c r="J9" s="104">
        <f>SUM(J10:J69)</f>
        <v/>
      </c>
      <c r="K9" s="104">
        <f>SUM(K10:K69)</f>
        <v/>
      </c>
      <c r="L9" s="104">
        <f>SUM(L10:L69)</f>
        <v/>
      </c>
      <c r="M9" s="104">
        <f>SUM(M10:M69)</f>
        <v/>
      </c>
      <c r="N9" s="104">
        <f>SUM(N10:N69)</f>
        <v/>
      </c>
      <c r="O9" s="104">
        <f>SUM(O10:O69)</f>
        <v/>
      </c>
      <c r="P9" s="104">
        <f>SUM(P10:P69)</f>
        <v/>
      </c>
      <c r="Q9" s="104">
        <f>SUM(Q10:Q69)</f>
        <v/>
      </c>
      <c r="R9" s="104">
        <f>SUM(R10:R69)</f>
        <v/>
      </c>
      <c r="S9" s="104">
        <f>SUM(S10:S69)</f>
        <v/>
      </c>
      <c r="T9" s="104">
        <f>SUM(T10:T69)</f>
        <v/>
      </c>
      <c r="U9" s="104">
        <f>SUM(U10:U69)</f>
        <v/>
      </c>
      <c r="V9" s="104">
        <f>SUM(V10:V69)</f>
        <v/>
      </c>
      <c r="W9" s="104">
        <f>SUM(W10:W69)</f>
        <v/>
      </c>
      <c r="X9" s="104">
        <f>SUM(X10:X69)</f>
        <v/>
      </c>
      <c r="Y9" s="104">
        <f>SUM(Y10:Y69)</f>
        <v/>
      </c>
      <c r="Z9" s="104">
        <f>SUM(Z10:Z69)</f>
        <v/>
      </c>
      <c r="AA9" s="104">
        <f>SUM(AA10:AA69)</f>
        <v/>
      </c>
      <c r="AB9" s="104">
        <f>SUM(AB10:AB69)</f>
        <v/>
      </c>
      <c r="AC9" s="104">
        <f>SUM(AC10:AC69)</f>
        <v/>
      </c>
      <c r="AD9" s="104">
        <f>SUM(AD10:AD69)</f>
        <v/>
      </c>
      <c r="AE9" s="104">
        <f>SUM(AE10:AE69)</f>
        <v/>
      </c>
      <c r="AF9" s="104">
        <f>SUM(AF10:AF69)</f>
        <v/>
      </c>
      <c r="AG9" s="104">
        <f>SUM(AG10:AG69)</f>
        <v/>
      </c>
      <c r="AH9" s="104">
        <f>SUM(AH10:AH69)</f>
        <v/>
      </c>
      <c r="AI9" s="104">
        <f>SUM(AI10:AI69)</f>
        <v/>
      </c>
      <c r="AJ9" s="104">
        <f>SUM(AJ10:AJ69)</f>
        <v/>
      </c>
      <c r="AK9" s="104">
        <f>SUM(AK10:AK69)</f>
        <v/>
      </c>
      <c r="AL9" s="104">
        <f>SUM(AL10:AL69)</f>
        <v/>
      </c>
      <c r="AM9" s="104">
        <f>SUM(AM10:AM69)</f>
        <v/>
      </c>
      <c r="AN9" s="104">
        <f>SUM(AN10:AN69)</f>
        <v/>
      </c>
      <c r="AO9" s="104">
        <f>SUM(AO10:AO69)</f>
        <v/>
      </c>
      <c r="AP9" s="104">
        <f>SUM(AP10:AP69)</f>
        <v/>
      </c>
      <c r="AQ9" s="104">
        <f>SUM(AQ10:AQ69)</f>
        <v/>
      </c>
      <c r="AR9" s="104">
        <f>SUM(AR10:AR69)</f>
        <v/>
      </c>
      <c r="AS9" s="104">
        <f>SUM(AS10:AS69)</f>
        <v/>
      </c>
      <c r="AT9" s="104">
        <f>SUM(AT10:AT69)</f>
        <v/>
      </c>
      <c r="AU9" s="104">
        <f>SUM(AU10:AU69)</f>
        <v/>
      </c>
      <c r="AV9" s="104">
        <f>SUM(AV10:AV69)</f>
        <v/>
      </c>
      <c r="AW9" s="104">
        <f>SUM(AW10:AW69)</f>
        <v/>
      </c>
      <c r="AX9" s="104">
        <f>SUM(AX10:AX69)</f>
        <v/>
      </c>
      <c r="AY9" s="104">
        <f>SUM(AY10:AY69)</f>
        <v/>
      </c>
      <c r="AZ9" s="104">
        <f>SUM(AZ10:AZ69)</f>
        <v/>
      </c>
      <c r="BA9" s="104">
        <f>SUM(BA10:BA69)</f>
        <v/>
      </c>
      <c r="BB9" s="104">
        <f>SUM(BB10:BB69)</f>
        <v/>
      </c>
      <c r="BC9" s="104">
        <f>SUM(BC10:BC69)</f>
        <v/>
      </c>
      <c r="BD9" s="104">
        <f>SUM(BD10:BD69)</f>
        <v/>
      </c>
      <c r="BE9" s="104">
        <f>SUM(BE10:BE69)</f>
        <v/>
      </c>
      <c r="BF9" s="104">
        <f>SUM(BF10:BF69)</f>
        <v/>
      </c>
      <c r="BG9" s="104">
        <f>SUM(BG10:BG69)</f>
        <v/>
      </c>
      <c r="BH9" s="104">
        <f>SUM(BH10:BH69)</f>
        <v/>
      </c>
      <c r="BI9" s="104">
        <f>SUM(BI10:BI69)</f>
        <v/>
      </c>
      <c r="BJ9" s="104">
        <f>SUM(BJ10:BJ69)</f>
        <v/>
      </c>
      <c r="BK9" s="104">
        <f>SUM(BK10:BK69)</f>
        <v/>
      </c>
      <c r="BL9" s="104">
        <f>SUM(BL10:BL69)</f>
        <v/>
      </c>
    </row>
    <row r="10">
      <c r="A10" s="147" t="inlineStr">
        <is>
          <t>Cohort month 1</t>
        </is>
      </c>
      <c r="B10" s="147" t="n">
        <v>1</v>
      </c>
      <c r="C10" s="41">
        <f>INDEX(Ops!$E$110:$BL$110,1,$B10)</f>
        <v/>
      </c>
      <c r="F10" s="153">
        <f>$C10*INDEX(Curves!$BD$8:$BD$68,F$4-$B10+1)</f>
        <v/>
      </c>
      <c r="G10" s="153">
        <f>$C10*INDEX(Curves!$BD$8:$BD$68,G$4-$B10+1)</f>
        <v/>
      </c>
      <c r="H10" s="153">
        <f>$C10*INDEX(Curves!$BD$8:$BD$68,H$4-$B10+1)</f>
        <v/>
      </c>
      <c r="I10" s="153">
        <f>$C10*INDEX(Curves!$BD$8:$BD$68,I$4-$B10+1)</f>
        <v/>
      </c>
      <c r="J10" s="153">
        <f>$C10*INDEX(Curves!$BD$8:$BD$68,J$4-$B10+1)</f>
        <v/>
      </c>
      <c r="K10" s="153">
        <f>$C10*INDEX(Curves!$BD$8:$BD$68,K$4-$B10+1)</f>
        <v/>
      </c>
      <c r="L10" s="153">
        <f>$C10*INDEX(Curves!$BD$8:$BD$68,L$4-$B10+1)</f>
        <v/>
      </c>
      <c r="M10" s="153">
        <f>$C10*INDEX(Curves!$BD$8:$BD$68,M$4-$B10+1)</f>
        <v/>
      </c>
      <c r="N10" s="153">
        <f>$C10*INDEX(Curves!$BD$8:$BD$68,N$4-$B10+1)</f>
        <v/>
      </c>
      <c r="O10" s="153">
        <f>$C10*INDEX(Curves!$BD$8:$BD$68,O$4-$B10+1)</f>
        <v/>
      </c>
      <c r="P10" s="153">
        <f>$C10*INDEX(Curves!$BD$8:$BD$68,P$4-$B10+1)</f>
        <v/>
      </c>
      <c r="Q10" s="153">
        <f>$C10*INDEX(Curves!$BD$8:$BD$68,Q$4-$B10+1)</f>
        <v/>
      </c>
      <c r="R10" s="153">
        <f>$C10*INDEX(Curves!$BD$8:$BD$68,R$4-$B10+1)</f>
        <v/>
      </c>
      <c r="S10" s="153">
        <f>$C10*INDEX(Curves!$BD$8:$BD$68,S$4-$B10+1)</f>
        <v/>
      </c>
      <c r="T10" s="153">
        <f>$C10*INDEX(Curves!$BD$8:$BD$68,T$4-$B10+1)</f>
        <v/>
      </c>
      <c r="U10" s="153">
        <f>$C10*INDEX(Curves!$BD$8:$BD$68,U$4-$B10+1)</f>
        <v/>
      </c>
      <c r="V10" s="153">
        <f>$C10*INDEX(Curves!$BD$8:$BD$68,V$4-$B10+1)</f>
        <v/>
      </c>
      <c r="W10" s="153">
        <f>$C10*INDEX(Curves!$BD$8:$BD$68,W$4-$B10+1)</f>
        <v/>
      </c>
      <c r="X10" s="153">
        <f>$C10*INDEX(Curves!$BD$8:$BD$68,X$4-$B10+1)</f>
        <v/>
      </c>
      <c r="Y10" s="153">
        <f>$C10*INDEX(Curves!$BD$8:$BD$68,Y$4-$B10+1)</f>
        <v/>
      </c>
      <c r="Z10" s="153">
        <f>$C10*INDEX(Curves!$BD$8:$BD$68,Z$4-$B10+1)</f>
        <v/>
      </c>
      <c r="AA10" s="153">
        <f>$C10*INDEX(Curves!$BD$8:$BD$68,AA$4-$B10+1)</f>
        <v/>
      </c>
      <c r="AB10" s="153">
        <f>$C10*INDEX(Curves!$BD$8:$BD$68,AB$4-$B10+1)</f>
        <v/>
      </c>
      <c r="AC10" s="153">
        <f>$C10*INDEX(Curves!$BD$8:$BD$68,AC$4-$B10+1)</f>
        <v/>
      </c>
      <c r="AD10" s="153">
        <f>$C10*INDEX(Curves!$BD$8:$BD$68,AD$4-$B10+1)</f>
        <v/>
      </c>
      <c r="AE10" s="153">
        <f>$C10*INDEX(Curves!$BD$8:$BD$68,AE$4-$B10+1)</f>
        <v/>
      </c>
      <c r="AF10" s="153">
        <f>$C10*INDEX(Curves!$BD$8:$BD$68,AF$4-$B10+1)</f>
        <v/>
      </c>
      <c r="AG10" s="153">
        <f>$C10*INDEX(Curves!$BD$8:$BD$68,AG$4-$B10+1)</f>
        <v/>
      </c>
      <c r="AH10" s="153">
        <f>$C10*INDEX(Curves!$BD$8:$BD$68,AH$4-$B10+1)</f>
        <v/>
      </c>
      <c r="AI10" s="153">
        <f>$C10*INDEX(Curves!$BD$8:$BD$68,AI$4-$B10+1)</f>
        <v/>
      </c>
      <c r="AJ10" s="153">
        <f>$C10*INDEX(Curves!$BD$8:$BD$68,AJ$4-$B10+1)</f>
        <v/>
      </c>
      <c r="AK10" s="153">
        <f>$C10*INDEX(Curves!$BD$8:$BD$68,AK$4-$B10+1)</f>
        <v/>
      </c>
      <c r="AL10" s="153">
        <f>$C10*INDEX(Curves!$BD$8:$BD$68,AL$4-$B10+1)</f>
        <v/>
      </c>
      <c r="AM10" s="153">
        <f>$C10*INDEX(Curves!$BD$8:$BD$68,AM$4-$B10+1)</f>
        <v/>
      </c>
      <c r="AN10" s="153">
        <f>$C10*INDEX(Curves!$BD$8:$BD$68,AN$4-$B10+1)</f>
        <v/>
      </c>
      <c r="AO10" s="153">
        <f>$C10*INDEX(Curves!$BD$8:$BD$68,AO$4-$B10+1)</f>
        <v/>
      </c>
      <c r="AP10" s="153">
        <f>$C10*INDEX(Curves!$BD$8:$BD$68,AP$4-$B10+1)</f>
        <v/>
      </c>
      <c r="AQ10" s="153">
        <f>$C10*INDEX(Curves!$BD$8:$BD$68,AQ$4-$B10+1)</f>
        <v/>
      </c>
      <c r="AR10" s="153">
        <f>$C10*INDEX(Curves!$BD$8:$BD$68,AR$4-$B10+1)</f>
        <v/>
      </c>
      <c r="AS10" s="153">
        <f>$C10*INDEX(Curves!$BD$8:$BD$68,AS$4-$B10+1)</f>
        <v/>
      </c>
      <c r="AT10" s="153">
        <f>$C10*INDEX(Curves!$BD$8:$BD$68,AT$4-$B10+1)</f>
        <v/>
      </c>
      <c r="AU10" s="153">
        <f>$C10*INDEX(Curves!$BD$8:$BD$68,AU$4-$B10+1)</f>
        <v/>
      </c>
      <c r="AV10" s="153">
        <f>$C10*INDEX(Curves!$BD$8:$BD$68,AV$4-$B10+1)</f>
        <v/>
      </c>
      <c r="AW10" s="153">
        <f>$C10*INDEX(Curves!$BD$8:$BD$68,AW$4-$B10+1)</f>
        <v/>
      </c>
      <c r="AX10" s="153">
        <f>$C10*INDEX(Curves!$BD$8:$BD$68,AX$4-$B10+1)</f>
        <v/>
      </c>
      <c r="AY10" s="153">
        <f>$C10*INDEX(Curves!$BD$8:$BD$68,AY$4-$B10+1)</f>
        <v/>
      </c>
      <c r="AZ10" s="153">
        <f>$C10*INDEX(Curves!$BD$8:$BD$68,AZ$4-$B10+1)</f>
        <v/>
      </c>
      <c r="BA10" s="153">
        <f>$C10*INDEX(Curves!$BD$8:$BD$68,BA$4-$B10+1)</f>
        <v/>
      </c>
      <c r="BB10" s="153">
        <f>$C10*INDEX(Curves!$BD$8:$BD$68,BB$4-$B10+1)</f>
        <v/>
      </c>
      <c r="BC10" s="153">
        <f>$C10*INDEX(Curves!$BD$8:$BD$68,BC$4-$B10+1)</f>
        <v/>
      </c>
      <c r="BD10" s="153">
        <f>$C10*INDEX(Curves!$BD$8:$BD$68,BD$4-$B10+1)</f>
        <v/>
      </c>
      <c r="BE10" s="153">
        <f>$C10*INDEX(Curves!$BD$8:$BD$68,BE$4-$B10+1)</f>
        <v/>
      </c>
      <c r="BF10" s="153">
        <f>$C10*INDEX(Curves!$BD$8:$BD$68,BF$4-$B10+1)</f>
        <v/>
      </c>
      <c r="BG10" s="153">
        <f>$C10*INDEX(Curves!$BD$8:$BD$68,BG$4-$B10+1)</f>
        <v/>
      </c>
      <c r="BH10" s="153">
        <f>$C10*INDEX(Curves!$BD$8:$BD$68,BH$4-$B10+1)</f>
        <v/>
      </c>
      <c r="BI10" s="153">
        <f>$C10*INDEX(Curves!$BD$8:$BD$68,BI$4-$B10+1)</f>
        <v/>
      </c>
      <c r="BJ10" s="153">
        <f>$C10*INDEX(Curves!$BD$8:$BD$68,BJ$4-$B10+1)</f>
        <v/>
      </c>
      <c r="BK10" s="153">
        <f>$C10*INDEX(Curves!$BD$8:$BD$68,BK$4-$B10+1)</f>
        <v/>
      </c>
      <c r="BL10" s="153">
        <f>$C10*INDEX(Curves!$BD$8:$BD$68,BL$4-$B10+1)</f>
        <v/>
      </c>
    </row>
    <row r="11">
      <c r="A11" s="147" t="inlineStr">
        <is>
          <t>Cohort month 2</t>
        </is>
      </c>
      <c r="B11" s="147" t="n">
        <v>2</v>
      </c>
      <c r="C11" s="41">
        <f>INDEX(Ops!$E$110:$BL$110,1,$B11)</f>
        <v/>
      </c>
      <c r="G11" s="153">
        <f>$C11*INDEX(Curves!$BD$8:$BD$68,G$4-$B11+1)</f>
        <v/>
      </c>
      <c r="H11" s="153">
        <f>$C11*INDEX(Curves!$BD$8:$BD$68,H$4-$B11+1)</f>
        <v/>
      </c>
      <c r="I11" s="153">
        <f>$C11*INDEX(Curves!$BD$8:$BD$68,I$4-$B11+1)</f>
        <v/>
      </c>
      <c r="J11" s="153">
        <f>$C11*INDEX(Curves!$BD$8:$BD$68,J$4-$B11+1)</f>
        <v/>
      </c>
      <c r="K11" s="153">
        <f>$C11*INDEX(Curves!$BD$8:$BD$68,K$4-$B11+1)</f>
        <v/>
      </c>
      <c r="L11" s="153">
        <f>$C11*INDEX(Curves!$BD$8:$BD$68,L$4-$B11+1)</f>
        <v/>
      </c>
      <c r="M11" s="153">
        <f>$C11*INDEX(Curves!$BD$8:$BD$68,M$4-$B11+1)</f>
        <v/>
      </c>
      <c r="N11" s="153">
        <f>$C11*INDEX(Curves!$BD$8:$BD$68,N$4-$B11+1)</f>
        <v/>
      </c>
      <c r="O11" s="153">
        <f>$C11*INDEX(Curves!$BD$8:$BD$68,O$4-$B11+1)</f>
        <v/>
      </c>
      <c r="P11" s="153">
        <f>$C11*INDEX(Curves!$BD$8:$BD$68,P$4-$B11+1)</f>
        <v/>
      </c>
      <c r="Q11" s="153">
        <f>$C11*INDEX(Curves!$BD$8:$BD$68,Q$4-$B11+1)</f>
        <v/>
      </c>
      <c r="R11" s="153">
        <f>$C11*INDEX(Curves!$BD$8:$BD$68,R$4-$B11+1)</f>
        <v/>
      </c>
      <c r="S11" s="153">
        <f>$C11*INDEX(Curves!$BD$8:$BD$68,S$4-$B11+1)</f>
        <v/>
      </c>
      <c r="T11" s="153">
        <f>$C11*INDEX(Curves!$BD$8:$BD$68,T$4-$B11+1)</f>
        <v/>
      </c>
      <c r="U11" s="153">
        <f>$C11*INDEX(Curves!$BD$8:$BD$68,U$4-$B11+1)</f>
        <v/>
      </c>
      <c r="V11" s="153">
        <f>$C11*INDEX(Curves!$BD$8:$BD$68,V$4-$B11+1)</f>
        <v/>
      </c>
      <c r="W11" s="153">
        <f>$C11*INDEX(Curves!$BD$8:$BD$68,W$4-$B11+1)</f>
        <v/>
      </c>
      <c r="X11" s="153">
        <f>$C11*INDEX(Curves!$BD$8:$BD$68,X$4-$B11+1)</f>
        <v/>
      </c>
      <c r="Y11" s="153">
        <f>$C11*INDEX(Curves!$BD$8:$BD$68,Y$4-$B11+1)</f>
        <v/>
      </c>
      <c r="Z11" s="153">
        <f>$C11*INDEX(Curves!$BD$8:$BD$68,Z$4-$B11+1)</f>
        <v/>
      </c>
      <c r="AA11" s="153">
        <f>$C11*INDEX(Curves!$BD$8:$BD$68,AA$4-$B11+1)</f>
        <v/>
      </c>
      <c r="AB11" s="153">
        <f>$C11*INDEX(Curves!$BD$8:$BD$68,AB$4-$B11+1)</f>
        <v/>
      </c>
      <c r="AC11" s="153">
        <f>$C11*INDEX(Curves!$BD$8:$BD$68,AC$4-$B11+1)</f>
        <v/>
      </c>
      <c r="AD11" s="153">
        <f>$C11*INDEX(Curves!$BD$8:$BD$68,AD$4-$B11+1)</f>
        <v/>
      </c>
      <c r="AE11" s="153">
        <f>$C11*INDEX(Curves!$BD$8:$BD$68,AE$4-$B11+1)</f>
        <v/>
      </c>
      <c r="AF11" s="153">
        <f>$C11*INDEX(Curves!$BD$8:$BD$68,AF$4-$B11+1)</f>
        <v/>
      </c>
      <c r="AG11" s="153">
        <f>$C11*INDEX(Curves!$BD$8:$BD$68,AG$4-$B11+1)</f>
        <v/>
      </c>
      <c r="AH11" s="153">
        <f>$C11*INDEX(Curves!$BD$8:$BD$68,AH$4-$B11+1)</f>
        <v/>
      </c>
      <c r="AI11" s="153">
        <f>$C11*INDEX(Curves!$BD$8:$BD$68,AI$4-$B11+1)</f>
        <v/>
      </c>
      <c r="AJ11" s="153">
        <f>$C11*INDEX(Curves!$BD$8:$BD$68,AJ$4-$B11+1)</f>
        <v/>
      </c>
      <c r="AK11" s="153">
        <f>$C11*INDEX(Curves!$BD$8:$BD$68,AK$4-$B11+1)</f>
        <v/>
      </c>
      <c r="AL11" s="153">
        <f>$C11*INDEX(Curves!$BD$8:$BD$68,AL$4-$B11+1)</f>
        <v/>
      </c>
      <c r="AM11" s="153">
        <f>$C11*INDEX(Curves!$BD$8:$BD$68,AM$4-$B11+1)</f>
        <v/>
      </c>
      <c r="AN11" s="153">
        <f>$C11*INDEX(Curves!$BD$8:$BD$68,AN$4-$B11+1)</f>
        <v/>
      </c>
      <c r="AO11" s="153">
        <f>$C11*INDEX(Curves!$BD$8:$BD$68,AO$4-$B11+1)</f>
        <v/>
      </c>
      <c r="AP11" s="153">
        <f>$C11*INDEX(Curves!$BD$8:$BD$68,AP$4-$B11+1)</f>
        <v/>
      </c>
      <c r="AQ11" s="153">
        <f>$C11*INDEX(Curves!$BD$8:$BD$68,AQ$4-$B11+1)</f>
        <v/>
      </c>
      <c r="AR11" s="153">
        <f>$C11*INDEX(Curves!$BD$8:$BD$68,AR$4-$B11+1)</f>
        <v/>
      </c>
      <c r="AS11" s="153">
        <f>$C11*INDEX(Curves!$BD$8:$BD$68,AS$4-$B11+1)</f>
        <v/>
      </c>
      <c r="AT11" s="153">
        <f>$C11*INDEX(Curves!$BD$8:$BD$68,AT$4-$B11+1)</f>
        <v/>
      </c>
      <c r="AU11" s="153">
        <f>$C11*INDEX(Curves!$BD$8:$BD$68,AU$4-$B11+1)</f>
        <v/>
      </c>
      <c r="AV11" s="153">
        <f>$C11*INDEX(Curves!$BD$8:$BD$68,AV$4-$B11+1)</f>
        <v/>
      </c>
      <c r="AW11" s="153">
        <f>$C11*INDEX(Curves!$BD$8:$BD$68,AW$4-$B11+1)</f>
        <v/>
      </c>
      <c r="AX11" s="153">
        <f>$C11*INDEX(Curves!$BD$8:$BD$68,AX$4-$B11+1)</f>
        <v/>
      </c>
      <c r="AY11" s="153">
        <f>$C11*INDEX(Curves!$BD$8:$BD$68,AY$4-$B11+1)</f>
        <v/>
      </c>
      <c r="AZ11" s="153">
        <f>$C11*INDEX(Curves!$BD$8:$BD$68,AZ$4-$B11+1)</f>
        <v/>
      </c>
      <c r="BA11" s="153">
        <f>$C11*INDEX(Curves!$BD$8:$BD$68,BA$4-$B11+1)</f>
        <v/>
      </c>
      <c r="BB11" s="153">
        <f>$C11*INDEX(Curves!$BD$8:$BD$68,BB$4-$B11+1)</f>
        <v/>
      </c>
      <c r="BC11" s="153">
        <f>$C11*INDEX(Curves!$BD$8:$BD$68,BC$4-$B11+1)</f>
        <v/>
      </c>
      <c r="BD11" s="153">
        <f>$C11*INDEX(Curves!$BD$8:$BD$68,BD$4-$B11+1)</f>
        <v/>
      </c>
      <c r="BE11" s="153">
        <f>$C11*INDEX(Curves!$BD$8:$BD$68,BE$4-$B11+1)</f>
        <v/>
      </c>
      <c r="BF11" s="153">
        <f>$C11*INDEX(Curves!$BD$8:$BD$68,BF$4-$B11+1)</f>
        <v/>
      </c>
      <c r="BG11" s="153">
        <f>$C11*INDEX(Curves!$BD$8:$BD$68,BG$4-$B11+1)</f>
        <v/>
      </c>
      <c r="BH11" s="153">
        <f>$C11*INDEX(Curves!$BD$8:$BD$68,BH$4-$B11+1)</f>
        <v/>
      </c>
      <c r="BI11" s="153">
        <f>$C11*INDEX(Curves!$BD$8:$BD$68,BI$4-$B11+1)</f>
        <v/>
      </c>
      <c r="BJ11" s="153">
        <f>$C11*INDEX(Curves!$BD$8:$BD$68,BJ$4-$B11+1)</f>
        <v/>
      </c>
      <c r="BK11" s="153">
        <f>$C11*INDEX(Curves!$BD$8:$BD$68,BK$4-$B11+1)</f>
        <v/>
      </c>
      <c r="BL11" s="153">
        <f>$C11*INDEX(Curves!$BD$8:$BD$68,BL$4-$B11+1)</f>
        <v/>
      </c>
    </row>
    <row r="12">
      <c r="A12" s="147" t="inlineStr">
        <is>
          <t>Cohort month 3</t>
        </is>
      </c>
      <c r="B12" s="147" t="n">
        <v>3</v>
      </c>
      <c r="C12" s="41">
        <f>INDEX(Ops!$E$110:$BL$110,1,$B12)</f>
        <v/>
      </c>
      <c r="H12" s="153">
        <f>$C12*INDEX(Curves!$BD$8:$BD$68,H$4-$B12+1)</f>
        <v/>
      </c>
      <c r="I12" s="153">
        <f>$C12*INDEX(Curves!$BD$8:$BD$68,I$4-$B12+1)</f>
        <v/>
      </c>
      <c r="J12" s="153">
        <f>$C12*INDEX(Curves!$BD$8:$BD$68,J$4-$B12+1)</f>
        <v/>
      </c>
      <c r="K12" s="153">
        <f>$C12*INDEX(Curves!$BD$8:$BD$68,K$4-$B12+1)</f>
        <v/>
      </c>
      <c r="L12" s="153">
        <f>$C12*INDEX(Curves!$BD$8:$BD$68,L$4-$B12+1)</f>
        <v/>
      </c>
      <c r="M12" s="153">
        <f>$C12*INDEX(Curves!$BD$8:$BD$68,M$4-$B12+1)</f>
        <v/>
      </c>
      <c r="N12" s="153">
        <f>$C12*INDEX(Curves!$BD$8:$BD$68,N$4-$B12+1)</f>
        <v/>
      </c>
      <c r="O12" s="153">
        <f>$C12*INDEX(Curves!$BD$8:$BD$68,O$4-$B12+1)</f>
        <v/>
      </c>
      <c r="P12" s="153">
        <f>$C12*INDEX(Curves!$BD$8:$BD$68,P$4-$B12+1)</f>
        <v/>
      </c>
      <c r="Q12" s="153">
        <f>$C12*INDEX(Curves!$BD$8:$BD$68,Q$4-$B12+1)</f>
        <v/>
      </c>
      <c r="R12" s="153">
        <f>$C12*INDEX(Curves!$BD$8:$BD$68,R$4-$B12+1)</f>
        <v/>
      </c>
      <c r="S12" s="153">
        <f>$C12*INDEX(Curves!$BD$8:$BD$68,S$4-$B12+1)</f>
        <v/>
      </c>
      <c r="T12" s="153">
        <f>$C12*INDEX(Curves!$BD$8:$BD$68,T$4-$B12+1)</f>
        <v/>
      </c>
      <c r="U12" s="153">
        <f>$C12*INDEX(Curves!$BD$8:$BD$68,U$4-$B12+1)</f>
        <v/>
      </c>
      <c r="V12" s="153">
        <f>$C12*INDEX(Curves!$BD$8:$BD$68,V$4-$B12+1)</f>
        <v/>
      </c>
      <c r="W12" s="153">
        <f>$C12*INDEX(Curves!$BD$8:$BD$68,W$4-$B12+1)</f>
        <v/>
      </c>
      <c r="X12" s="153">
        <f>$C12*INDEX(Curves!$BD$8:$BD$68,X$4-$B12+1)</f>
        <v/>
      </c>
      <c r="Y12" s="153">
        <f>$C12*INDEX(Curves!$BD$8:$BD$68,Y$4-$B12+1)</f>
        <v/>
      </c>
      <c r="Z12" s="153">
        <f>$C12*INDEX(Curves!$BD$8:$BD$68,Z$4-$B12+1)</f>
        <v/>
      </c>
      <c r="AA12" s="153">
        <f>$C12*INDEX(Curves!$BD$8:$BD$68,AA$4-$B12+1)</f>
        <v/>
      </c>
      <c r="AB12" s="153">
        <f>$C12*INDEX(Curves!$BD$8:$BD$68,AB$4-$B12+1)</f>
        <v/>
      </c>
      <c r="AC12" s="153">
        <f>$C12*INDEX(Curves!$BD$8:$BD$68,AC$4-$B12+1)</f>
        <v/>
      </c>
      <c r="AD12" s="153">
        <f>$C12*INDEX(Curves!$BD$8:$BD$68,AD$4-$B12+1)</f>
        <v/>
      </c>
      <c r="AE12" s="153">
        <f>$C12*INDEX(Curves!$BD$8:$BD$68,AE$4-$B12+1)</f>
        <v/>
      </c>
      <c r="AF12" s="153">
        <f>$C12*INDEX(Curves!$BD$8:$BD$68,AF$4-$B12+1)</f>
        <v/>
      </c>
      <c r="AG12" s="153">
        <f>$C12*INDEX(Curves!$BD$8:$BD$68,AG$4-$B12+1)</f>
        <v/>
      </c>
      <c r="AH12" s="153">
        <f>$C12*INDEX(Curves!$BD$8:$BD$68,AH$4-$B12+1)</f>
        <v/>
      </c>
      <c r="AI12" s="153">
        <f>$C12*INDEX(Curves!$BD$8:$BD$68,AI$4-$B12+1)</f>
        <v/>
      </c>
      <c r="AJ12" s="153">
        <f>$C12*INDEX(Curves!$BD$8:$BD$68,AJ$4-$B12+1)</f>
        <v/>
      </c>
      <c r="AK12" s="153">
        <f>$C12*INDEX(Curves!$BD$8:$BD$68,AK$4-$B12+1)</f>
        <v/>
      </c>
      <c r="AL12" s="153">
        <f>$C12*INDEX(Curves!$BD$8:$BD$68,AL$4-$B12+1)</f>
        <v/>
      </c>
      <c r="AM12" s="153">
        <f>$C12*INDEX(Curves!$BD$8:$BD$68,AM$4-$B12+1)</f>
        <v/>
      </c>
      <c r="AN12" s="153">
        <f>$C12*INDEX(Curves!$BD$8:$BD$68,AN$4-$B12+1)</f>
        <v/>
      </c>
      <c r="AO12" s="153">
        <f>$C12*INDEX(Curves!$BD$8:$BD$68,AO$4-$B12+1)</f>
        <v/>
      </c>
      <c r="AP12" s="153">
        <f>$C12*INDEX(Curves!$BD$8:$BD$68,AP$4-$B12+1)</f>
        <v/>
      </c>
      <c r="AQ12" s="153">
        <f>$C12*INDEX(Curves!$BD$8:$BD$68,AQ$4-$B12+1)</f>
        <v/>
      </c>
      <c r="AR12" s="153">
        <f>$C12*INDEX(Curves!$BD$8:$BD$68,AR$4-$B12+1)</f>
        <v/>
      </c>
      <c r="AS12" s="153">
        <f>$C12*INDEX(Curves!$BD$8:$BD$68,AS$4-$B12+1)</f>
        <v/>
      </c>
      <c r="AT12" s="153">
        <f>$C12*INDEX(Curves!$BD$8:$BD$68,AT$4-$B12+1)</f>
        <v/>
      </c>
      <c r="AU12" s="153">
        <f>$C12*INDEX(Curves!$BD$8:$BD$68,AU$4-$B12+1)</f>
        <v/>
      </c>
      <c r="AV12" s="153">
        <f>$C12*INDEX(Curves!$BD$8:$BD$68,AV$4-$B12+1)</f>
        <v/>
      </c>
      <c r="AW12" s="153">
        <f>$C12*INDEX(Curves!$BD$8:$BD$68,AW$4-$B12+1)</f>
        <v/>
      </c>
      <c r="AX12" s="153">
        <f>$C12*INDEX(Curves!$BD$8:$BD$68,AX$4-$B12+1)</f>
        <v/>
      </c>
      <c r="AY12" s="153">
        <f>$C12*INDEX(Curves!$BD$8:$BD$68,AY$4-$B12+1)</f>
        <v/>
      </c>
      <c r="AZ12" s="153">
        <f>$C12*INDEX(Curves!$BD$8:$BD$68,AZ$4-$B12+1)</f>
        <v/>
      </c>
      <c r="BA12" s="153">
        <f>$C12*INDEX(Curves!$BD$8:$BD$68,BA$4-$B12+1)</f>
        <v/>
      </c>
      <c r="BB12" s="153">
        <f>$C12*INDEX(Curves!$BD$8:$BD$68,BB$4-$B12+1)</f>
        <v/>
      </c>
      <c r="BC12" s="153">
        <f>$C12*INDEX(Curves!$BD$8:$BD$68,BC$4-$B12+1)</f>
        <v/>
      </c>
      <c r="BD12" s="153">
        <f>$C12*INDEX(Curves!$BD$8:$BD$68,BD$4-$B12+1)</f>
        <v/>
      </c>
      <c r="BE12" s="153">
        <f>$C12*INDEX(Curves!$BD$8:$BD$68,BE$4-$B12+1)</f>
        <v/>
      </c>
      <c r="BF12" s="153">
        <f>$C12*INDEX(Curves!$BD$8:$BD$68,BF$4-$B12+1)</f>
        <v/>
      </c>
      <c r="BG12" s="153">
        <f>$C12*INDEX(Curves!$BD$8:$BD$68,BG$4-$B12+1)</f>
        <v/>
      </c>
      <c r="BH12" s="153">
        <f>$C12*INDEX(Curves!$BD$8:$BD$68,BH$4-$B12+1)</f>
        <v/>
      </c>
      <c r="BI12" s="153">
        <f>$C12*INDEX(Curves!$BD$8:$BD$68,BI$4-$B12+1)</f>
        <v/>
      </c>
      <c r="BJ12" s="153">
        <f>$C12*INDEX(Curves!$BD$8:$BD$68,BJ$4-$B12+1)</f>
        <v/>
      </c>
      <c r="BK12" s="153">
        <f>$C12*INDEX(Curves!$BD$8:$BD$68,BK$4-$B12+1)</f>
        <v/>
      </c>
      <c r="BL12" s="153">
        <f>$C12*INDEX(Curves!$BD$8:$BD$68,BL$4-$B12+1)</f>
        <v/>
      </c>
    </row>
    <row r="13">
      <c r="A13" s="147" t="inlineStr">
        <is>
          <t>Cohort month 4</t>
        </is>
      </c>
      <c r="B13" s="147" t="n">
        <v>4</v>
      </c>
      <c r="C13" s="41">
        <f>INDEX(Ops!$E$110:$BL$110,1,$B13)</f>
        <v/>
      </c>
      <c r="I13" s="153">
        <f>$C13*INDEX(Curves!$BD$8:$BD$68,I$4-$B13+1)</f>
        <v/>
      </c>
      <c r="J13" s="153">
        <f>$C13*INDEX(Curves!$BD$8:$BD$68,J$4-$B13+1)</f>
        <v/>
      </c>
      <c r="K13" s="153">
        <f>$C13*INDEX(Curves!$BD$8:$BD$68,K$4-$B13+1)</f>
        <v/>
      </c>
      <c r="L13" s="153">
        <f>$C13*INDEX(Curves!$BD$8:$BD$68,L$4-$B13+1)</f>
        <v/>
      </c>
      <c r="M13" s="153">
        <f>$C13*INDEX(Curves!$BD$8:$BD$68,M$4-$B13+1)</f>
        <v/>
      </c>
      <c r="N13" s="153">
        <f>$C13*INDEX(Curves!$BD$8:$BD$68,N$4-$B13+1)</f>
        <v/>
      </c>
      <c r="O13" s="153">
        <f>$C13*INDEX(Curves!$BD$8:$BD$68,O$4-$B13+1)</f>
        <v/>
      </c>
      <c r="P13" s="153">
        <f>$C13*INDEX(Curves!$BD$8:$BD$68,P$4-$B13+1)</f>
        <v/>
      </c>
      <c r="Q13" s="153">
        <f>$C13*INDEX(Curves!$BD$8:$BD$68,Q$4-$B13+1)</f>
        <v/>
      </c>
      <c r="R13" s="153">
        <f>$C13*INDEX(Curves!$BD$8:$BD$68,R$4-$B13+1)</f>
        <v/>
      </c>
      <c r="S13" s="153">
        <f>$C13*INDEX(Curves!$BD$8:$BD$68,S$4-$B13+1)</f>
        <v/>
      </c>
      <c r="T13" s="153">
        <f>$C13*INDEX(Curves!$BD$8:$BD$68,T$4-$B13+1)</f>
        <v/>
      </c>
      <c r="U13" s="153">
        <f>$C13*INDEX(Curves!$BD$8:$BD$68,U$4-$B13+1)</f>
        <v/>
      </c>
      <c r="V13" s="153">
        <f>$C13*INDEX(Curves!$BD$8:$BD$68,V$4-$B13+1)</f>
        <v/>
      </c>
      <c r="W13" s="153">
        <f>$C13*INDEX(Curves!$BD$8:$BD$68,W$4-$B13+1)</f>
        <v/>
      </c>
      <c r="X13" s="153">
        <f>$C13*INDEX(Curves!$BD$8:$BD$68,X$4-$B13+1)</f>
        <v/>
      </c>
      <c r="Y13" s="153">
        <f>$C13*INDEX(Curves!$BD$8:$BD$68,Y$4-$B13+1)</f>
        <v/>
      </c>
      <c r="Z13" s="153">
        <f>$C13*INDEX(Curves!$BD$8:$BD$68,Z$4-$B13+1)</f>
        <v/>
      </c>
      <c r="AA13" s="153">
        <f>$C13*INDEX(Curves!$BD$8:$BD$68,AA$4-$B13+1)</f>
        <v/>
      </c>
      <c r="AB13" s="153">
        <f>$C13*INDEX(Curves!$BD$8:$BD$68,AB$4-$B13+1)</f>
        <v/>
      </c>
      <c r="AC13" s="153">
        <f>$C13*INDEX(Curves!$BD$8:$BD$68,AC$4-$B13+1)</f>
        <v/>
      </c>
      <c r="AD13" s="153">
        <f>$C13*INDEX(Curves!$BD$8:$BD$68,AD$4-$B13+1)</f>
        <v/>
      </c>
      <c r="AE13" s="153">
        <f>$C13*INDEX(Curves!$BD$8:$BD$68,AE$4-$B13+1)</f>
        <v/>
      </c>
      <c r="AF13" s="153">
        <f>$C13*INDEX(Curves!$BD$8:$BD$68,AF$4-$B13+1)</f>
        <v/>
      </c>
      <c r="AG13" s="153">
        <f>$C13*INDEX(Curves!$BD$8:$BD$68,AG$4-$B13+1)</f>
        <v/>
      </c>
      <c r="AH13" s="153">
        <f>$C13*INDEX(Curves!$BD$8:$BD$68,AH$4-$B13+1)</f>
        <v/>
      </c>
      <c r="AI13" s="153">
        <f>$C13*INDEX(Curves!$BD$8:$BD$68,AI$4-$B13+1)</f>
        <v/>
      </c>
      <c r="AJ13" s="153">
        <f>$C13*INDEX(Curves!$BD$8:$BD$68,AJ$4-$B13+1)</f>
        <v/>
      </c>
      <c r="AK13" s="153">
        <f>$C13*INDEX(Curves!$BD$8:$BD$68,AK$4-$B13+1)</f>
        <v/>
      </c>
      <c r="AL13" s="153">
        <f>$C13*INDEX(Curves!$BD$8:$BD$68,AL$4-$B13+1)</f>
        <v/>
      </c>
      <c r="AM13" s="153">
        <f>$C13*INDEX(Curves!$BD$8:$BD$68,AM$4-$B13+1)</f>
        <v/>
      </c>
      <c r="AN13" s="153">
        <f>$C13*INDEX(Curves!$BD$8:$BD$68,AN$4-$B13+1)</f>
        <v/>
      </c>
      <c r="AO13" s="153">
        <f>$C13*INDEX(Curves!$BD$8:$BD$68,AO$4-$B13+1)</f>
        <v/>
      </c>
      <c r="AP13" s="153">
        <f>$C13*INDEX(Curves!$BD$8:$BD$68,AP$4-$B13+1)</f>
        <v/>
      </c>
      <c r="AQ13" s="153">
        <f>$C13*INDEX(Curves!$BD$8:$BD$68,AQ$4-$B13+1)</f>
        <v/>
      </c>
      <c r="AR13" s="153">
        <f>$C13*INDEX(Curves!$BD$8:$BD$68,AR$4-$B13+1)</f>
        <v/>
      </c>
      <c r="AS13" s="153">
        <f>$C13*INDEX(Curves!$BD$8:$BD$68,AS$4-$B13+1)</f>
        <v/>
      </c>
      <c r="AT13" s="153">
        <f>$C13*INDEX(Curves!$BD$8:$BD$68,AT$4-$B13+1)</f>
        <v/>
      </c>
      <c r="AU13" s="153">
        <f>$C13*INDEX(Curves!$BD$8:$BD$68,AU$4-$B13+1)</f>
        <v/>
      </c>
      <c r="AV13" s="153">
        <f>$C13*INDEX(Curves!$BD$8:$BD$68,AV$4-$B13+1)</f>
        <v/>
      </c>
      <c r="AW13" s="153">
        <f>$C13*INDEX(Curves!$BD$8:$BD$68,AW$4-$B13+1)</f>
        <v/>
      </c>
      <c r="AX13" s="153">
        <f>$C13*INDEX(Curves!$BD$8:$BD$68,AX$4-$B13+1)</f>
        <v/>
      </c>
      <c r="AY13" s="153">
        <f>$C13*INDEX(Curves!$BD$8:$BD$68,AY$4-$B13+1)</f>
        <v/>
      </c>
      <c r="AZ13" s="153">
        <f>$C13*INDEX(Curves!$BD$8:$BD$68,AZ$4-$B13+1)</f>
        <v/>
      </c>
      <c r="BA13" s="153">
        <f>$C13*INDEX(Curves!$BD$8:$BD$68,BA$4-$B13+1)</f>
        <v/>
      </c>
      <c r="BB13" s="153">
        <f>$C13*INDEX(Curves!$BD$8:$BD$68,BB$4-$B13+1)</f>
        <v/>
      </c>
      <c r="BC13" s="153">
        <f>$C13*INDEX(Curves!$BD$8:$BD$68,BC$4-$B13+1)</f>
        <v/>
      </c>
      <c r="BD13" s="153">
        <f>$C13*INDEX(Curves!$BD$8:$BD$68,BD$4-$B13+1)</f>
        <v/>
      </c>
      <c r="BE13" s="153">
        <f>$C13*INDEX(Curves!$BD$8:$BD$68,BE$4-$B13+1)</f>
        <v/>
      </c>
      <c r="BF13" s="153">
        <f>$C13*INDEX(Curves!$BD$8:$BD$68,BF$4-$B13+1)</f>
        <v/>
      </c>
      <c r="BG13" s="153">
        <f>$C13*INDEX(Curves!$BD$8:$BD$68,BG$4-$B13+1)</f>
        <v/>
      </c>
      <c r="BH13" s="153">
        <f>$C13*INDEX(Curves!$BD$8:$BD$68,BH$4-$B13+1)</f>
        <v/>
      </c>
      <c r="BI13" s="153">
        <f>$C13*INDEX(Curves!$BD$8:$BD$68,BI$4-$B13+1)</f>
        <v/>
      </c>
      <c r="BJ13" s="153">
        <f>$C13*INDEX(Curves!$BD$8:$BD$68,BJ$4-$B13+1)</f>
        <v/>
      </c>
      <c r="BK13" s="153">
        <f>$C13*INDEX(Curves!$BD$8:$BD$68,BK$4-$B13+1)</f>
        <v/>
      </c>
      <c r="BL13" s="153">
        <f>$C13*INDEX(Curves!$BD$8:$BD$68,BL$4-$B13+1)</f>
        <v/>
      </c>
    </row>
    <row r="14">
      <c r="A14" s="147" t="inlineStr">
        <is>
          <t>Cohort month 5</t>
        </is>
      </c>
      <c r="B14" s="147" t="n">
        <v>5</v>
      </c>
      <c r="C14" s="41">
        <f>INDEX(Ops!$E$110:$BL$110,1,$B14)</f>
        <v/>
      </c>
      <c r="J14" s="153">
        <f>$C14*INDEX(Curves!$BD$8:$BD$68,J$4-$B14+1)</f>
        <v/>
      </c>
      <c r="K14" s="153">
        <f>$C14*INDEX(Curves!$BD$8:$BD$68,K$4-$B14+1)</f>
        <v/>
      </c>
      <c r="L14" s="153">
        <f>$C14*INDEX(Curves!$BD$8:$BD$68,L$4-$B14+1)</f>
        <v/>
      </c>
      <c r="M14" s="153">
        <f>$C14*INDEX(Curves!$BD$8:$BD$68,M$4-$B14+1)</f>
        <v/>
      </c>
      <c r="N14" s="153">
        <f>$C14*INDEX(Curves!$BD$8:$BD$68,N$4-$B14+1)</f>
        <v/>
      </c>
      <c r="O14" s="153">
        <f>$C14*INDEX(Curves!$BD$8:$BD$68,O$4-$B14+1)</f>
        <v/>
      </c>
      <c r="P14" s="153">
        <f>$C14*INDEX(Curves!$BD$8:$BD$68,P$4-$B14+1)</f>
        <v/>
      </c>
      <c r="Q14" s="153">
        <f>$C14*INDEX(Curves!$BD$8:$BD$68,Q$4-$B14+1)</f>
        <v/>
      </c>
      <c r="R14" s="153">
        <f>$C14*INDEX(Curves!$BD$8:$BD$68,R$4-$B14+1)</f>
        <v/>
      </c>
      <c r="S14" s="153">
        <f>$C14*INDEX(Curves!$BD$8:$BD$68,S$4-$B14+1)</f>
        <v/>
      </c>
      <c r="T14" s="153">
        <f>$C14*INDEX(Curves!$BD$8:$BD$68,T$4-$B14+1)</f>
        <v/>
      </c>
      <c r="U14" s="153">
        <f>$C14*INDEX(Curves!$BD$8:$BD$68,U$4-$B14+1)</f>
        <v/>
      </c>
      <c r="V14" s="153">
        <f>$C14*INDEX(Curves!$BD$8:$BD$68,V$4-$B14+1)</f>
        <v/>
      </c>
      <c r="W14" s="153">
        <f>$C14*INDEX(Curves!$BD$8:$BD$68,W$4-$B14+1)</f>
        <v/>
      </c>
      <c r="X14" s="153">
        <f>$C14*INDEX(Curves!$BD$8:$BD$68,X$4-$B14+1)</f>
        <v/>
      </c>
      <c r="Y14" s="153">
        <f>$C14*INDEX(Curves!$BD$8:$BD$68,Y$4-$B14+1)</f>
        <v/>
      </c>
      <c r="Z14" s="153">
        <f>$C14*INDEX(Curves!$BD$8:$BD$68,Z$4-$B14+1)</f>
        <v/>
      </c>
      <c r="AA14" s="153">
        <f>$C14*INDEX(Curves!$BD$8:$BD$68,AA$4-$B14+1)</f>
        <v/>
      </c>
      <c r="AB14" s="153">
        <f>$C14*INDEX(Curves!$BD$8:$BD$68,AB$4-$B14+1)</f>
        <v/>
      </c>
      <c r="AC14" s="153">
        <f>$C14*INDEX(Curves!$BD$8:$BD$68,AC$4-$B14+1)</f>
        <v/>
      </c>
      <c r="AD14" s="153">
        <f>$C14*INDEX(Curves!$BD$8:$BD$68,AD$4-$B14+1)</f>
        <v/>
      </c>
      <c r="AE14" s="153">
        <f>$C14*INDEX(Curves!$BD$8:$BD$68,AE$4-$B14+1)</f>
        <v/>
      </c>
      <c r="AF14" s="153">
        <f>$C14*INDEX(Curves!$BD$8:$BD$68,AF$4-$B14+1)</f>
        <v/>
      </c>
      <c r="AG14" s="153">
        <f>$C14*INDEX(Curves!$BD$8:$BD$68,AG$4-$B14+1)</f>
        <v/>
      </c>
      <c r="AH14" s="153">
        <f>$C14*INDEX(Curves!$BD$8:$BD$68,AH$4-$B14+1)</f>
        <v/>
      </c>
      <c r="AI14" s="153">
        <f>$C14*INDEX(Curves!$BD$8:$BD$68,AI$4-$B14+1)</f>
        <v/>
      </c>
      <c r="AJ14" s="153">
        <f>$C14*INDEX(Curves!$BD$8:$BD$68,AJ$4-$B14+1)</f>
        <v/>
      </c>
      <c r="AK14" s="153">
        <f>$C14*INDEX(Curves!$BD$8:$BD$68,AK$4-$B14+1)</f>
        <v/>
      </c>
      <c r="AL14" s="153">
        <f>$C14*INDEX(Curves!$BD$8:$BD$68,AL$4-$B14+1)</f>
        <v/>
      </c>
      <c r="AM14" s="153">
        <f>$C14*INDEX(Curves!$BD$8:$BD$68,AM$4-$B14+1)</f>
        <v/>
      </c>
      <c r="AN14" s="153">
        <f>$C14*INDEX(Curves!$BD$8:$BD$68,AN$4-$B14+1)</f>
        <v/>
      </c>
      <c r="AO14" s="153">
        <f>$C14*INDEX(Curves!$BD$8:$BD$68,AO$4-$B14+1)</f>
        <v/>
      </c>
      <c r="AP14" s="153">
        <f>$C14*INDEX(Curves!$BD$8:$BD$68,AP$4-$B14+1)</f>
        <v/>
      </c>
      <c r="AQ14" s="153">
        <f>$C14*INDEX(Curves!$BD$8:$BD$68,AQ$4-$B14+1)</f>
        <v/>
      </c>
      <c r="AR14" s="153">
        <f>$C14*INDEX(Curves!$BD$8:$BD$68,AR$4-$B14+1)</f>
        <v/>
      </c>
      <c r="AS14" s="153">
        <f>$C14*INDEX(Curves!$BD$8:$BD$68,AS$4-$B14+1)</f>
        <v/>
      </c>
      <c r="AT14" s="153">
        <f>$C14*INDEX(Curves!$BD$8:$BD$68,AT$4-$B14+1)</f>
        <v/>
      </c>
      <c r="AU14" s="153">
        <f>$C14*INDEX(Curves!$BD$8:$BD$68,AU$4-$B14+1)</f>
        <v/>
      </c>
      <c r="AV14" s="153">
        <f>$C14*INDEX(Curves!$BD$8:$BD$68,AV$4-$B14+1)</f>
        <v/>
      </c>
      <c r="AW14" s="153">
        <f>$C14*INDEX(Curves!$BD$8:$BD$68,AW$4-$B14+1)</f>
        <v/>
      </c>
      <c r="AX14" s="153">
        <f>$C14*INDEX(Curves!$BD$8:$BD$68,AX$4-$B14+1)</f>
        <v/>
      </c>
      <c r="AY14" s="153">
        <f>$C14*INDEX(Curves!$BD$8:$BD$68,AY$4-$B14+1)</f>
        <v/>
      </c>
      <c r="AZ14" s="153">
        <f>$C14*INDEX(Curves!$BD$8:$BD$68,AZ$4-$B14+1)</f>
        <v/>
      </c>
      <c r="BA14" s="153">
        <f>$C14*INDEX(Curves!$BD$8:$BD$68,BA$4-$B14+1)</f>
        <v/>
      </c>
      <c r="BB14" s="153">
        <f>$C14*INDEX(Curves!$BD$8:$BD$68,BB$4-$B14+1)</f>
        <v/>
      </c>
      <c r="BC14" s="153">
        <f>$C14*INDEX(Curves!$BD$8:$BD$68,BC$4-$B14+1)</f>
        <v/>
      </c>
      <c r="BD14" s="153">
        <f>$C14*INDEX(Curves!$BD$8:$BD$68,BD$4-$B14+1)</f>
        <v/>
      </c>
      <c r="BE14" s="153">
        <f>$C14*INDEX(Curves!$BD$8:$BD$68,BE$4-$B14+1)</f>
        <v/>
      </c>
      <c r="BF14" s="153">
        <f>$C14*INDEX(Curves!$BD$8:$BD$68,BF$4-$B14+1)</f>
        <v/>
      </c>
      <c r="BG14" s="153">
        <f>$C14*INDEX(Curves!$BD$8:$BD$68,BG$4-$B14+1)</f>
        <v/>
      </c>
      <c r="BH14" s="153">
        <f>$C14*INDEX(Curves!$BD$8:$BD$68,BH$4-$B14+1)</f>
        <v/>
      </c>
      <c r="BI14" s="153">
        <f>$C14*INDEX(Curves!$BD$8:$BD$68,BI$4-$B14+1)</f>
        <v/>
      </c>
      <c r="BJ14" s="153">
        <f>$C14*INDEX(Curves!$BD$8:$BD$68,BJ$4-$B14+1)</f>
        <v/>
      </c>
      <c r="BK14" s="153">
        <f>$C14*INDEX(Curves!$BD$8:$BD$68,BK$4-$B14+1)</f>
        <v/>
      </c>
      <c r="BL14" s="153">
        <f>$C14*INDEX(Curves!$BD$8:$BD$68,BL$4-$B14+1)</f>
        <v/>
      </c>
    </row>
    <row r="15">
      <c r="A15" s="147" t="inlineStr">
        <is>
          <t>Cohort month 6</t>
        </is>
      </c>
      <c r="B15" s="147" t="n">
        <v>6</v>
      </c>
      <c r="C15" s="41">
        <f>INDEX(Ops!$E$110:$BL$110,1,$B15)</f>
        <v/>
      </c>
      <c r="K15" s="153">
        <f>$C15*INDEX(Curves!$BD$8:$BD$68,K$4-$B15+1)</f>
        <v/>
      </c>
      <c r="L15" s="153">
        <f>$C15*INDEX(Curves!$BD$8:$BD$68,L$4-$B15+1)</f>
        <v/>
      </c>
      <c r="M15" s="153">
        <f>$C15*INDEX(Curves!$BD$8:$BD$68,M$4-$B15+1)</f>
        <v/>
      </c>
      <c r="N15" s="153">
        <f>$C15*INDEX(Curves!$BD$8:$BD$68,N$4-$B15+1)</f>
        <v/>
      </c>
      <c r="O15" s="153">
        <f>$C15*INDEX(Curves!$BD$8:$BD$68,O$4-$B15+1)</f>
        <v/>
      </c>
      <c r="P15" s="153">
        <f>$C15*INDEX(Curves!$BD$8:$BD$68,P$4-$B15+1)</f>
        <v/>
      </c>
      <c r="Q15" s="153">
        <f>$C15*INDEX(Curves!$BD$8:$BD$68,Q$4-$B15+1)</f>
        <v/>
      </c>
      <c r="R15" s="153">
        <f>$C15*INDEX(Curves!$BD$8:$BD$68,R$4-$B15+1)</f>
        <v/>
      </c>
      <c r="S15" s="153">
        <f>$C15*INDEX(Curves!$BD$8:$BD$68,S$4-$B15+1)</f>
        <v/>
      </c>
      <c r="T15" s="153">
        <f>$C15*INDEX(Curves!$BD$8:$BD$68,T$4-$B15+1)</f>
        <v/>
      </c>
      <c r="U15" s="153">
        <f>$C15*INDEX(Curves!$BD$8:$BD$68,U$4-$B15+1)</f>
        <v/>
      </c>
      <c r="V15" s="153">
        <f>$C15*INDEX(Curves!$BD$8:$BD$68,V$4-$B15+1)</f>
        <v/>
      </c>
      <c r="W15" s="153">
        <f>$C15*INDEX(Curves!$BD$8:$BD$68,W$4-$B15+1)</f>
        <v/>
      </c>
      <c r="X15" s="153">
        <f>$C15*INDEX(Curves!$BD$8:$BD$68,X$4-$B15+1)</f>
        <v/>
      </c>
      <c r="Y15" s="153">
        <f>$C15*INDEX(Curves!$BD$8:$BD$68,Y$4-$B15+1)</f>
        <v/>
      </c>
      <c r="Z15" s="153">
        <f>$C15*INDEX(Curves!$BD$8:$BD$68,Z$4-$B15+1)</f>
        <v/>
      </c>
      <c r="AA15" s="153">
        <f>$C15*INDEX(Curves!$BD$8:$BD$68,AA$4-$B15+1)</f>
        <v/>
      </c>
      <c r="AB15" s="153">
        <f>$C15*INDEX(Curves!$BD$8:$BD$68,AB$4-$B15+1)</f>
        <v/>
      </c>
      <c r="AC15" s="153">
        <f>$C15*INDEX(Curves!$BD$8:$BD$68,AC$4-$B15+1)</f>
        <v/>
      </c>
      <c r="AD15" s="153">
        <f>$C15*INDEX(Curves!$BD$8:$BD$68,AD$4-$B15+1)</f>
        <v/>
      </c>
      <c r="AE15" s="153">
        <f>$C15*INDEX(Curves!$BD$8:$BD$68,AE$4-$B15+1)</f>
        <v/>
      </c>
      <c r="AF15" s="153">
        <f>$C15*INDEX(Curves!$BD$8:$BD$68,AF$4-$B15+1)</f>
        <v/>
      </c>
      <c r="AG15" s="153">
        <f>$C15*INDEX(Curves!$BD$8:$BD$68,AG$4-$B15+1)</f>
        <v/>
      </c>
      <c r="AH15" s="153">
        <f>$C15*INDEX(Curves!$BD$8:$BD$68,AH$4-$B15+1)</f>
        <v/>
      </c>
      <c r="AI15" s="153">
        <f>$C15*INDEX(Curves!$BD$8:$BD$68,AI$4-$B15+1)</f>
        <v/>
      </c>
      <c r="AJ15" s="153">
        <f>$C15*INDEX(Curves!$BD$8:$BD$68,AJ$4-$B15+1)</f>
        <v/>
      </c>
      <c r="AK15" s="153">
        <f>$C15*INDEX(Curves!$BD$8:$BD$68,AK$4-$B15+1)</f>
        <v/>
      </c>
      <c r="AL15" s="153">
        <f>$C15*INDEX(Curves!$BD$8:$BD$68,AL$4-$B15+1)</f>
        <v/>
      </c>
      <c r="AM15" s="153">
        <f>$C15*INDEX(Curves!$BD$8:$BD$68,AM$4-$B15+1)</f>
        <v/>
      </c>
      <c r="AN15" s="153">
        <f>$C15*INDEX(Curves!$BD$8:$BD$68,AN$4-$B15+1)</f>
        <v/>
      </c>
      <c r="AO15" s="153">
        <f>$C15*INDEX(Curves!$BD$8:$BD$68,AO$4-$B15+1)</f>
        <v/>
      </c>
      <c r="AP15" s="153">
        <f>$C15*INDEX(Curves!$BD$8:$BD$68,AP$4-$B15+1)</f>
        <v/>
      </c>
      <c r="AQ15" s="153">
        <f>$C15*INDEX(Curves!$BD$8:$BD$68,AQ$4-$B15+1)</f>
        <v/>
      </c>
      <c r="AR15" s="153">
        <f>$C15*INDEX(Curves!$BD$8:$BD$68,AR$4-$B15+1)</f>
        <v/>
      </c>
      <c r="AS15" s="153">
        <f>$C15*INDEX(Curves!$BD$8:$BD$68,AS$4-$B15+1)</f>
        <v/>
      </c>
      <c r="AT15" s="153">
        <f>$C15*INDEX(Curves!$BD$8:$BD$68,AT$4-$B15+1)</f>
        <v/>
      </c>
      <c r="AU15" s="153">
        <f>$C15*INDEX(Curves!$BD$8:$BD$68,AU$4-$B15+1)</f>
        <v/>
      </c>
      <c r="AV15" s="153">
        <f>$C15*INDEX(Curves!$BD$8:$BD$68,AV$4-$B15+1)</f>
        <v/>
      </c>
      <c r="AW15" s="153">
        <f>$C15*INDEX(Curves!$BD$8:$BD$68,AW$4-$B15+1)</f>
        <v/>
      </c>
      <c r="AX15" s="153">
        <f>$C15*INDEX(Curves!$BD$8:$BD$68,AX$4-$B15+1)</f>
        <v/>
      </c>
      <c r="AY15" s="153">
        <f>$C15*INDEX(Curves!$BD$8:$BD$68,AY$4-$B15+1)</f>
        <v/>
      </c>
      <c r="AZ15" s="153">
        <f>$C15*INDEX(Curves!$BD$8:$BD$68,AZ$4-$B15+1)</f>
        <v/>
      </c>
      <c r="BA15" s="153">
        <f>$C15*INDEX(Curves!$BD$8:$BD$68,BA$4-$B15+1)</f>
        <v/>
      </c>
      <c r="BB15" s="153">
        <f>$C15*INDEX(Curves!$BD$8:$BD$68,BB$4-$B15+1)</f>
        <v/>
      </c>
      <c r="BC15" s="153">
        <f>$C15*INDEX(Curves!$BD$8:$BD$68,BC$4-$B15+1)</f>
        <v/>
      </c>
      <c r="BD15" s="153">
        <f>$C15*INDEX(Curves!$BD$8:$BD$68,BD$4-$B15+1)</f>
        <v/>
      </c>
      <c r="BE15" s="153">
        <f>$C15*INDEX(Curves!$BD$8:$BD$68,BE$4-$B15+1)</f>
        <v/>
      </c>
      <c r="BF15" s="153">
        <f>$C15*INDEX(Curves!$BD$8:$BD$68,BF$4-$B15+1)</f>
        <v/>
      </c>
      <c r="BG15" s="153">
        <f>$C15*INDEX(Curves!$BD$8:$BD$68,BG$4-$B15+1)</f>
        <v/>
      </c>
      <c r="BH15" s="153">
        <f>$C15*INDEX(Curves!$BD$8:$BD$68,BH$4-$B15+1)</f>
        <v/>
      </c>
      <c r="BI15" s="153">
        <f>$C15*INDEX(Curves!$BD$8:$BD$68,BI$4-$B15+1)</f>
        <v/>
      </c>
      <c r="BJ15" s="153">
        <f>$C15*INDEX(Curves!$BD$8:$BD$68,BJ$4-$B15+1)</f>
        <v/>
      </c>
      <c r="BK15" s="153">
        <f>$C15*INDEX(Curves!$BD$8:$BD$68,BK$4-$B15+1)</f>
        <v/>
      </c>
      <c r="BL15" s="153">
        <f>$C15*INDEX(Curves!$BD$8:$BD$68,BL$4-$B15+1)</f>
        <v/>
      </c>
    </row>
    <row r="16">
      <c r="A16" s="147" t="inlineStr">
        <is>
          <t>Cohort month 7</t>
        </is>
      </c>
      <c r="B16" s="147" t="n">
        <v>7</v>
      </c>
      <c r="C16" s="41">
        <f>INDEX(Ops!$E$110:$BL$110,1,$B16)</f>
        <v/>
      </c>
      <c r="L16" s="153">
        <f>$C16*INDEX(Curves!$BD$8:$BD$68,L$4-$B16+1)</f>
        <v/>
      </c>
      <c r="M16" s="153">
        <f>$C16*INDEX(Curves!$BD$8:$BD$68,M$4-$B16+1)</f>
        <v/>
      </c>
      <c r="N16" s="153">
        <f>$C16*INDEX(Curves!$BD$8:$BD$68,N$4-$B16+1)</f>
        <v/>
      </c>
      <c r="O16" s="153">
        <f>$C16*INDEX(Curves!$BD$8:$BD$68,O$4-$B16+1)</f>
        <v/>
      </c>
      <c r="P16" s="153">
        <f>$C16*INDEX(Curves!$BD$8:$BD$68,P$4-$B16+1)</f>
        <v/>
      </c>
      <c r="Q16" s="153">
        <f>$C16*INDEX(Curves!$BD$8:$BD$68,Q$4-$B16+1)</f>
        <v/>
      </c>
      <c r="R16" s="153">
        <f>$C16*INDEX(Curves!$BD$8:$BD$68,R$4-$B16+1)</f>
        <v/>
      </c>
      <c r="S16" s="153">
        <f>$C16*INDEX(Curves!$BD$8:$BD$68,S$4-$B16+1)</f>
        <v/>
      </c>
      <c r="T16" s="153">
        <f>$C16*INDEX(Curves!$BD$8:$BD$68,T$4-$B16+1)</f>
        <v/>
      </c>
      <c r="U16" s="153">
        <f>$C16*INDEX(Curves!$BD$8:$BD$68,U$4-$B16+1)</f>
        <v/>
      </c>
      <c r="V16" s="153">
        <f>$C16*INDEX(Curves!$BD$8:$BD$68,V$4-$B16+1)</f>
        <v/>
      </c>
      <c r="W16" s="153">
        <f>$C16*INDEX(Curves!$BD$8:$BD$68,W$4-$B16+1)</f>
        <v/>
      </c>
      <c r="X16" s="153">
        <f>$C16*INDEX(Curves!$BD$8:$BD$68,X$4-$B16+1)</f>
        <v/>
      </c>
      <c r="Y16" s="153">
        <f>$C16*INDEX(Curves!$BD$8:$BD$68,Y$4-$B16+1)</f>
        <v/>
      </c>
      <c r="Z16" s="153">
        <f>$C16*INDEX(Curves!$BD$8:$BD$68,Z$4-$B16+1)</f>
        <v/>
      </c>
      <c r="AA16" s="153">
        <f>$C16*INDEX(Curves!$BD$8:$BD$68,AA$4-$B16+1)</f>
        <v/>
      </c>
      <c r="AB16" s="153">
        <f>$C16*INDEX(Curves!$BD$8:$BD$68,AB$4-$B16+1)</f>
        <v/>
      </c>
      <c r="AC16" s="153">
        <f>$C16*INDEX(Curves!$BD$8:$BD$68,AC$4-$B16+1)</f>
        <v/>
      </c>
      <c r="AD16" s="153">
        <f>$C16*INDEX(Curves!$BD$8:$BD$68,AD$4-$B16+1)</f>
        <v/>
      </c>
      <c r="AE16" s="153">
        <f>$C16*INDEX(Curves!$BD$8:$BD$68,AE$4-$B16+1)</f>
        <v/>
      </c>
      <c r="AF16" s="153">
        <f>$C16*INDEX(Curves!$BD$8:$BD$68,AF$4-$B16+1)</f>
        <v/>
      </c>
      <c r="AG16" s="153">
        <f>$C16*INDEX(Curves!$BD$8:$BD$68,AG$4-$B16+1)</f>
        <v/>
      </c>
      <c r="AH16" s="153">
        <f>$C16*INDEX(Curves!$BD$8:$BD$68,AH$4-$B16+1)</f>
        <v/>
      </c>
      <c r="AI16" s="153">
        <f>$C16*INDEX(Curves!$BD$8:$BD$68,AI$4-$B16+1)</f>
        <v/>
      </c>
      <c r="AJ16" s="153">
        <f>$C16*INDEX(Curves!$BD$8:$BD$68,AJ$4-$B16+1)</f>
        <v/>
      </c>
      <c r="AK16" s="153">
        <f>$C16*INDEX(Curves!$BD$8:$BD$68,AK$4-$B16+1)</f>
        <v/>
      </c>
      <c r="AL16" s="153">
        <f>$C16*INDEX(Curves!$BD$8:$BD$68,AL$4-$B16+1)</f>
        <v/>
      </c>
      <c r="AM16" s="153">
        <f>$C16*INDEX(Curves!$BD$8:$BD$68,AM$4-$B16+1)</f>
        <v/>
      </c>
      <c r="AN16" s="153">
        <f>$C16*INDEX(Curves!$BD$8:$BD$68,AN$4-$B16+1)</f>
        <v/>
      </c>
      <c r="AO16" s="153">
        <f>$C16*INDEX(Curves!$BD$8:$BD$68,AO$4-$B16+1)</f>
        <v/>
      </c>
      <c r="AP16" s="153">
        <f>$C16*INDEX(Curves!$BD$8:$BD$68,AP$4-$B16+1)</f>
        <v/>
      </c>
      <c r="AQ16" s="153">
        <f>$C16*INDEX(Curves!$BD$8:$BD$68,AQ$4-$B16+1)</f>
        <v/>
      </c>
      <c r="AR16" s="153">
        <f>$C16*INDEX(Curves!$BD$8:$BD$68,AR$4-$B16+1)</f>
        <v/>
      </c>
      <c r="AS16" s="153">
        <f>$C16*INDEX(Curves!$BD$8:$BD$68,AS$4-$B16+1)</f>
        <v/>
      </c>
      <c r="AT16" s="153">
        <f>$C16*INDEX(Curves!$BD$8:$BD$68,AT$4-$B16+1)</f>
        <v/>
      </c>
      <c r="AU16" s="153">
        <f>$C16*INDEX(Curves!$BD$8:$BD$68,AU$4-$B16+1)</f>
        <v/>
      </c>
      <c r="AV16" s="153">
        <f>$C16*INDEX(Curves!$BD$8:$BD$68,AV$4-$B16+1)</f>
        <v/>
      </c>
      <c r="AW16" s="153">
        <f>$C16*INDEX(Curves!$BD$8:$BD$68,AW$4-$B16+1)</f>
        <v/>
      </c>
      <c r="AX16" s="153">
        <f>$C16*INDEX(Curves!$BD$8:$BD$68,AX$4-$B16+1)</f>
        <v/>
      </c>
      <c r="AY16" s="153">
        <f>$C16*INDEX(Curves!$BD$8:$BD$68,AY$4-$B16+1)</f>
        <v/>
      </c>
      <c r="AZ16" s="153">
        <f>$C16*INDEX(Curves!$BD$8:$BD$68,AZ$4-$B16+1)</f>
        <v/>
      </c>
      <c r="BA16" s="153">
        <f>$C16*INDEX(Curves!$BD$8:$BD$68,BA$4-$B16+1)</f>
        <v/>
      </c>
      <c r="BB16" s="153">
        <f>$C16*INDEX(Curves!$BD$8:$BD$68,BB$4-$B16+1)</f>
        <v/>
      </c>
      <c r="BC16" s="153">
        <f>$C16*INDEX(Curves!$BD$8:$BD$68,BC$4-$B16+1)</f>
        <v/>
      </c>
      <c r="BD16" s="153">
        <f>$C16*INDEX(Curves!$BD$8:$BD$68,BD$4-$B16+1)</f>
        <v/>
      </c>
      <c r="BE16" s="153">
        <f>$C16*INDEX(Curves!$BD$8:$BD$68,BE$4-$B16+1)</f>
        <v/>
      </c>
      <c r="BF16" s="153">
        <f>$C16*INDEX(Curves!$BD$8:$BD$68,BF$4-$B16+1)</f>
        <v/>
      </c>
      <c r="BG16" s="153">
        <f>$C16*INDEX(Curves!$BD$8:$BD$68,BG$4-$B16+1)</f>
        <v/>
      </c>
      <c r="BH16" s="153">
        <f>$C16*INDEX(Curves!$BD$8:$BD$68,BH$4-$B16+1)</f>
        <v/>
      </c>
      <c r="BI16" s="153">
        <f>$C16*INDEX(Curves!$BD$8:$BD$68,BI$4-$B16+1)</f>
        <v/>
      </c>
      <c r="BJ16" s="153">
        <f>$C16*INDEX(Curves!$BD$8:$BD$68,BJ$4-$B16+1)</f>
        <v/>
      </c>
      <c r="BK16" s="153">
        <f>$C16*INDEX(Curves!$BD$8:$BD$68,BK$4-$B16+1)</f>
        <v/>
      </c>
      <c r="BL16" s="153">
        <f>$C16*INDEX(Curves!$BD$8:$BD$68,BL$4-$B16+1)</f>
        <v/>
      </c>
    </row>
    <row r="17">
      <c r="A17" s="147" t="inlineStr">
        <is>
          <t>Cohort month 8</t>
        </is>
      </c>
      <c r="B17" s="147" t="n">
        <v>8</v>
      </c>
      <c r="C17" s="41">
        <f>INDEX(Ops!$E$110:$BL$110,1,$B17)</f>
        <v/>
      </c>
      <c r="M17" s="153">
        <f>$C17*INDEX(Curves!$BD$8:$BD$68,M$4-$B17+1)</f>
        <v/>
      </c>
      <c r="N17" s="153">
        <f>$C17*INDEX(Curves!$BD$8:$BD$68,N$4-$B17+1)</f>
        <v/>
      </c>
      <c r="O17" s="153">
        <f>$C17*INDEX(Curves!$BD$8:$BD$68,O$4-$B17+1)</f>
        <v/>
      </c>
      <c r="P17" s="153">
        <f>$C17*INDEX(Curves!$BD$8:$BD$68,P$4-$B17+1)</f>
        <v/>
      </c>
      <c r="Q17" s="153">
        <f>$C17*INDEX(Curves!$BD$8:$BD$68,Q$4-$B17+1)</f>
        <v/>
      </c>
      <c r="R17" s="153">
        <f>$C17*INDEX(Curves!$BD$8:$BD$68,R$4-$B17+1)</f>
        <v/>
      </c>
      <c r="S17" s="153">
        <f>$C17*INDEX(Curves!$BD$8:$BD$68,S$4-$B17+1)</f>
        <v/>
      </c>
      <c r="T17" s="153">
        <f>$C17*INDEX(Curves!$BD$8:$BD$68,T$4-$B17+1)</f>
        <v/>
      </c>
      <c r="U17" s="153">
        <f>$C17*INDEX(Curves!$BD$8:$BD$68,U$4-$B17+1)</f>
        <v/>
      </c>
      <c r="V17" s="153">
        <f>$C17*INDEX(Curves!$BD$8:$BD$68,V$4-$B17+1)</f>
        <v/>
      </c>
      <c r="W17" s="153">
        <f>$C17*INDEX(Curves!$BD$8:$BD$68,W$4-$B17+1)</f>
        <v/>
      </c>
      <c r="X17" s="153">
        <f>$C17*INDEX(Curves!$BD$8:$BD$68,X$4-$B17+1)</f>
        <v/>
      </c>
      <c r="Y17" s="153">
        <f>$C17*INDEX(Curves!$BD$8:$BD$68,Y$4-$B17+1)</f>
        <v/>
      </c>
      <c r="Z17" s="153">
        <f>$C17*INDEX(Curves!$BD$8:$BD$68,Z$4-$B17+1)</f>
        <v/>
      </c>
      <c r="AA17" s="153">
        <f>$C17*INDEX(Curves!$BD$8:$BD$68,AA$4-$B17+1)</f>
        <v/>
      </c>
      <c r="AB17" s="153">
        <f>$C17*INDEX(Curves!$BD$8:$BD$68,AB$4-$B17+1)</f>
        <v/>
      </c>
      <c r="AC17" s="153">
        <f>$C17*INDEX(Curves!$BD$8:$BD$68,AC$4-$B17+1)</f>
        <v/>
      </c>
      <c r="AD17" s="153">
        <f>$C17*INDEX(Curves!$BD$8:$BD$68,AD$4-$B17+1)</f>
        <v/>
      </c>
      <c r="AE17" s="153">
        <f>$C17*INDEX(Curves!$BD$8:$BD$68,AE$4-$B17+1)</f>
        <v/>
      </c>
      <c r="AF17" s="153">
        <f>$C17*INDEX(Curves!$BD$8:$BD$68,AF$4-$B17+1)</f>
        <v/>
      </c>
      <c r="AG17" s="153">
        <f>$C17*INDEX(Curves!$BD$8:$BD$68,AG$4-$B17+1)</f>
        <v/>
      </c>
      <c r="AH17" s="153">
        <f>$C17*INDEX(Curves!$BD$8:$BD$68,AH$4-$B17+1)</f>
        <v/>
      </c>
      <c r="AI17" s="153">
        <f>$C17*INDEX(Curves!$BD$8:$BD$68,AI$4-$B17+1)</f>
        <v/>
      </c>
      <c r="AJ17" s="153">
        <f>$C17*INDEX(Curves!$BD$8:$BD$68,AJ$4-$B17+1)</f>
        <v/>
      </c>
      <c r="AK17" s="153">
        <f>$C17*INDEX(Curves!$BD$8:$BD$68,AK$4-$B17+1)</f>
        <v/>
      </c>
      <c r="AL17" s="153">
        <f>$C17*INDEX(Curves!$BD$8:$BD$68,AL$4-$B17+1)</f>
        <v/>
      </c>
      <c r="AM17" s="153">
        <f>$C17*INDEX(Curves!$BD$8:$BD$68,AM$4-$B17+1)</f>
        <v/>
      </c>
      <c r="AN17" s="153">
        <f>$C17*INDEX(Curves!$BD$8:$BD$68,AN$4-$B17+1)</f>
        <v/>
      </c>
      <c r="AO17" s="153">
        <f>$C17*INDEX(Curves!$BD$8:$BD$68,AO$4-$B17+1)</f>
        <v/>
      </c>
      <c r="AP17" s="153">
        <f>$C17*INDEX(Curves!$BD$8:$BD$68,AP$4-$B17+1)</f>
        <v/>
      </c>
      <c r="AQ17" s="153">
        <f>$C17*INDEX(Curves!$BD$8:$BD$68,AQ$4-$B17+1)</f>
        <v/>
      </c>
      <c r="AR17" s="153">
        <f>$C17*INDEX(Curves!$BD$8:$BD$68,AR$4-$B17+1)</f>
        <v/>
      </c>
      <c r="AS17" s="153">
        <f>$C17*INDEX(Curves!$BD$8:$BD$68,AS$4-$B17+1)</f>
        <v/>
      </c>
      <c r="AT17" s="153">
        <f>$C17*INDEX(Curves!$BD$8:$BD$68,AT$4-$B17+1)</f>
        <v/>
      </c>
      <c r="AU17" s="153">
        <f>$C17*INDEX(Curves!$BD$8:$BD$68,AU$4-$B17+1)</f>
        <v/>
      </c>
      <c r="AV17" s="153">
        <f>$C17*INDEX(Curves!$BD$8:$BD$68,AV$4-$B17+1)</f>
        <v/>
      </c>
      <c r="AW17" s="153">
        <f>$C17*INDEX(Curves!$BD$8:$BD$68,AW$4-$B17+1)</f>
        <v/>
      </c>
      <c r="AX17" s="153">
        <f>$C17*INDEX(Curves!$BD$8:$BD$68,AX$4-$B17+1)</f>
        <v/>
      </c>
      <c r="AY17" s="153">
        <f>$C17*INDEX(Curves!$BD$8:$BD$68,AY$4-$B17+1)</f>
        <v/>
      </c>
      <c r="AZ17" s="153">
        <f>$C17*INDEX(Curves!$BD$8:$BD$68,AZ$4-$B17+1)</f>
        <v/>
      </c>
      <c r="BA17" s="153">
        <f>$C17*INDEX(Curves!$BD$8:$BD$68,BA$4-$B17+1)</f>
        <v/>
      </c>
      <c r="BB17" s="153">
        <f>$C17*INDEX(Curves!$BD$8:$BD$68,BB$4-$B17+1)</f>
        <v/>
      </c>
      <c r="BC17" s="153">
        <f>$C17*INDEX(Curves!$BD$8:$BD$68,BC$4-$B17+1)</f>
        <v/>
      </c>
      <c r="BD17" s="153">
        <f>$C17*INDEX(Curves!$BD$8:$BD$68,BD$4-$B17+1)</f>
        <v/>
      </c>
      <c r="BE17" s="153">
        <f>$C17*INDEX(Curves!$BD$8:$BD$68,BE$4-$B17+1)</f>
        <v/>
      </c>
      <c r="BF17" s="153">
        <f>$C17*INDEX(Curves!$BD$8:$BD$68,BF$4-$B17+1)</f>
        <v/>
      </c>
      <c r="BG17" s="153">
        <f>$C17*INDEX(Curves!$BD$8:$BD$68,BG$4-$B17+1)</f>
        <v/>
      </c>
      <c r="BH17" s="153">
        <f>$C17*INDEX(Curves!$BD$8:$BD$68,BH$4-$B17+1)</f>
        <v/>
      </c>
      <c r="BI17" s="153">
        <f>$C17*INDEX(Curves!$BD$8:$BD$68,BI$4-$B17+1)</f>
        <v/>
      </c>
      <c r="BJ17" s="153">
        <f>$C17*INDEX(Curves!$BD$8:$BD$68,BJ$4-$B17+1)</f>
        <v/>
      </c>
      <c r="BK17" s="153">
        <f>$C17*INDEX(Curves!$BD$8:$BD$68,BK$4-$B17+1)</f>
        <v/>
      </c>
      <c r="BL17" s="153">
        <f>$C17*INDEX(Curves!$BD$8:$BD$68,BL$4-$B17+1)</f>
        <v/>
      </c>
    </row>
    <row r="18">
      <c r="A18" s="147" t="inlineStr">
        <is>
          <t>Cohort month 9</t>
        </is>
      </c>
      <c r="B18" s="147" t="n">
        <v>9</v>
      </c>
      <c r="C18" s="41">
        <f>INDEX(Ops!$E$110:$BL$110,1,$B18)</f>
        <v/>
      </c>
      <c r="N18" s="153">
        <f>$C18*INDEX(Curves!$BD$8:$BD$68,N$4-$B18+1)</f>
        <v/>
      </c>
      <c r="O18" s="153">
        <f>$C18*INDEX(Curves!$BD$8:$BD$68,O$4-$B18+1)</f>
        <v/>
      </c>
      <c r="P18" s="153">
        <f>$C18*INDEX(Curves!$BD$8:$BD$68,P$4-$B18+1)</f>
        <v/>
      </c>
      <c r="Q18" s="153">
        <f>$C18*INDEX(Curves!$BD$8:$BD$68,Q$4-$B18+1)</f>
        <v/>
      </c>
      <c r="R18" s="153">
        <f>$C18*INDEX(Curves!$BD$8:$BD$68,R$4-$B18+1)</f>
        <v/>
      </c>
      <c r="S18" s="153">
        <f>$C18*INDEX(Curves!$BD$8:$BD$68,S$4-$B18+1)</f>
        <v/>
      </c>
      <c r="T18" s="153">
        <f>$C18*INDEX(Curves!$BD$8:$BD$68,T$4-$B18+1)</f>
        <v/>
      </c>
      <c r="U18" s="153">
        <f>$C18*INDEX(Curves!$BD$8:$BD$68,U$4-$B18+1)</f>
        <v/>
      </c>
      <c r="V18" s="153">
        <f>$C18*INDEX(Curves!$BD$8:$BD$68,V$4-$B18+1)</f>
        <v/>
      </c>
      <c r="W18" s="153">
        <f>$C18*INDEX(Curves!$BD$8:$BD$68,W$4-$B18+1)</f>
        <v/>
      </c>
      <c r="X18" s="153">
        <f>$C18*INDEX(Curves!$BD$8:$BD$68,X$4-$B18+1)</f>
        <v/>
      </c>
      <c r="Y18" s="153">
        <f>$C18*INDEX(Curves!$BD$8:$BD$68,Y$4-$B18+1)</f>
        <v/>
      </c>
      <c r="Z18" s="153">
        <f>$C18*INDEX(Curves!$BD$8:$BD$68,Z$4-$B18+1)</f>
        <v/>
      </c>
      <c r="AA18" s="153">
        <f>$C18*INDEX(Curves!$BD$8:$BD$68,AA$4-$B18+1)</f>
        <v/>
      </c>
      <c r="AB18" s="153">
        <f>$C18*INDEX(Curves!$BD$8:$BD$68,AB$4-$B18+1)</f>
        <v/>
      </c>
      <c r="AC18" s="153">
        <f>$C18*INDEX(Curves!$BD$8:$BD$68,AC$4-$B18+1)</f>
        <v/>
      </c>
      <c r="AD18" s="153">
        <f>$C18*INDEX(Curves!$BD$8:$BD$68,AD$4-$B18+1)</f>
        <v/>
      </c>
      <c r="AE18" s="153">
        <f>$C18*INDEX(Curves!$BD$8:$BD$68,AE$4-$B18+1)</f>
        <v/>
      </c>
      <c r="AF18" s="153">
        <f>$C18*INDEX(Curves!$BD$8:$BD$68,AF$4-$B18+1)</f>
        <v/>
      </c>
      <c r="AG18" s="153">
        <f>$C18*INDEX(Curves!$BD$8:$BD$68,AG$4-$B18+1)</f>
        <v/>
      </c>
      <c r="AH18" s="153">
        <f>$C18*INDEX(Curves!$BD$8:$BD$68,AH$4-$B18+1)</f>
        <v/>
      </c>
      <c r="AI18" s="153">
        <f>$C18*INDEX(Curves!$BD$8:$BD$68,AI$4-$B18+1)</f>
        <v/>
      </c>
      <c r="AJ18" s="153">
        <f>$C18*INDEX(Curves!$BD$8:$BD$68,AJ$4-$B18+1)</f>
        <v/>
      </c>
      <c r="AK18" s="153">
        <f>$C18*INDEX(Curves!$BD$8:$BD$68,AK$4-$B18+1)</f>
        <v/>
      </c>
      <c r="AL18" s="153">
        <f>$C18*INDEX(Curves!$BD$8:$BD$68,AL$4-$B18+1)</f>
        <v/>
      </c>
      <c r="AM18" s="153">
        <f>$C18*INDEX(Curves!$BD$8:$BD$68,AM$4-$B18+1)</f>
        <v/>
      </c>
      <c r="AN18" s="153">
        <f>$C18*INDEX(Curves!$BD$8:$BD$68,AN$4-$B18+1)</f>
        <v/>
      </c>
      <c r="AO18" s="153">
        <f>$C18*INDEX(Curves!$BD$8:$BD$68,AO$4-$B18+1)</f>
        <v/>
      </c>
      <c r="AP18" s="153">
        <f>$C18*INDEX(Curves!$BD$8:$BD$68,AP$4-$B18+1)</f>
        <v/>
      </c>
      <c r="AQ18" s="153">
        <f>$C18*INDEX(Curves!$BD$8:$BD$68,AQ$4-$B18+1)</f>
        <v/>
      </c>
      <c r="AR18" s="153">
        <f>$C18*INDEX(Curves!$BD$8:$BD$68,AR$4-$B18+1)</f>
        <v/>
      </c>
      <c r="AS18" s="153">
        <f>$C18*INDEX(Curves!$BD$8:$BD$68,AS$4-$B18+1)</f>
        <v/>
      </c>
      <c r="AT18" s="153">
        <f>$C18*INDEX(Curves!$BD$8:$BD$68,AT$4-$B18+1)</f>
        <v/>
      </c>
      <c r="AU18" s="153">
        <f>$C18*INDEX(Curves!$BD$8:$BD$68,AU$4-$B18+1)</f>
        <v/>
      </c>
      <c r="AV18" s="153">
        <f>$C18*INDEX(Curves!$BD$8:$BD$68,AV$4-$B18+1)</f>
        <v/>
      </c>
      <c r="AW18" s="153">
        <f>$C18*INDEX(Curves!$BD$8:$BD$68,AW$4-$B18+1)</f>
        <v/>
      </c>
      <c r="AX18" s="153">
        <f>$C18*INDEX(Curves!$BD$8:$BD$68,AX$4-$B18+1)</f>
        <v/>
      </c>
      <c r="AY18" s="153">
        <f>$C18*INDEX(Curves!$BD$8:$BD$68,AY$4-$B18+1)</f>
        <v/>
      </c>
      <c r="AZ18" s="153">
        <f>$C18*INDEX(Curves!$BD$8:$BD$68,AZ$4-$B18+1)</f>
        <v/>
      </c>
      <c r="BA18" s="153">
        <f>$C18*INDEX(Curves!$BD$8:$BD$68,BA$4-$B18+1)</f>
        <v/>
      </c>
      <c r="BB18" s="153">
        <f>$C18*INDEX(Curves!$BD$8:$BD$68,BB$4-$B18+1)</f>
        <v/>
      </c>
      <c r="BC18" s="153">
        <f>$C18*INDEX(Curves!$BD$8:$BD$68,BC$4-$B18+1)</f>
        <v/>
      </c>
      <c r="BD18" s="153">
        <f>$C18*INDEX(Curves!$BD$8:$BD$68,BD$4-$B18+1)</f>
        <v/>
      </c>
      <c r="BE18" s="153">
        <f>$C18*INDEX(Curves!$BD$8:$BD$68,BE$4-$B18+1)</f>
        <v/>
      </c>
      <c r="BF18" s="153">
        <f>$C18*INDEX(Curves!$BD$8:$BD$68,BF$4-$B18+1)</f>
        <v/>
      </c>
      <c r="BG18" s="153">
        <f>$C18*INDEX(Curves!$BD$8:$BD$68,BG$4-$B18+1)</f>
        <v/>
      </c>
      <c r="BH18" s="153">
        <f>$C18*INDEX(Curves!$BD$8:$BD$68,BH$4-$B18+1)</f>
        <v/>
      </c>
      <c r="BI18" s="153">
        <f>$C18*INDEX(Curves!$BD$8:$BD$68,BI$4-$B18+1)</f>
        <v/>
      </c>
      <c r="BJ18" s="153">
        <f>$C18*INDEX(Curves!$BD$8:$BD$68,BJ$4-$B18+1)</f>
        <v/>
      </c>
      <c r="BK18" s="153">
        <f>$C18*INDEX(Curves!$BD$8:$BD$68,BK$4-$B18+1)</f>
        <v/>
      </c>
      <c r="BL18" s="153">
        <f>$C18*INDEX(Curves!$BD$8:$BD$68,BL$4-$B18+1)</f>
        <v/>
      </c>
    </row>
    <row r="19">
      <c r="A19" s="147" t="inlineStr">
        <is>
          <t>Cohort month 10</t>
        </is>
      </c>
      <c r="B19" s="147" t="n">
        <v>10</v>
      </c>
      <c r="C19" s="41">
        <f>INDEX(Ops!$E$110:$BL$110,1,$B19)</f>
        <v/>
      </c>
      <c r="O19" s="153">
        <f>$C19*INDEX(Curves!$BD$8:$BD$68,O$4-$B19+1)</f>
        <v/>
      </c>
      <c r="P19" s="153">
        <f>$C19*INDEX(Curves!$BD$8:$BD$68,P$4-$B19+1)</f>
        <v/>
      </c>
      <c r="Q19" s="153">
        <f>$C19*INDEX(Curves!$BD$8:$BD$68,Q$4-$B19+1)</f>
        <v/>
      </c>
      <c r="R19" s="153">
        <f>$C19*INDEX(Curves!$BD$8:$BD$68,R$4-$B19+1)</f>
        <v/>
      </c>
      <c r="S19" s="153">
        <f>$C19*INDEX(Curves!$BD$8:$BD$68,S$4-$B19+1)</f>
        <v/>
      </c>
      <c r="T19" s="153">
        <f>$C19*INDEX(Curves!$BD$8:$BD$68,T$4-$B19+1)</f>
        <v/>
      </c>
      <c r="U19" s="153">
        <f>$C19*INDEX(Curves!$BD$8:$BD$68,U$4-$B19+1)</f>
        <v/>
      </c>
      <c r="V19" s="153">
        <f>$C19*INDEX(Curves!$BD$8:$BD$68,V$4-$B19+1)</f>
        <v/>
      </c>
      <c r="W19" s="153">
        <f>$C19*INDEX(Curves!$BD$8:$BD$68,W$4-$B19+1)</f>
        <v/>
      </c>
      <c r="X19" s="153">
        <f>$C19*INDEX(Curves!$BD$8:$BD$68,X$4-$B19+1)</f>
        <v/>
      </c>
      <c r="Y19" s="153">
        <f>$C19*INDEX(Curves!$BD$8:$BD$68,Y$4-$B19+1)</f>
        <v/>
      </c>
      <c r="Z19" s="153">
        <f>$C19*INDEX(Curves!$BD$8:$BD$68,Z$4-$B19+1)</f>
        <v/>
      </c>
      <c r="AA19" s="153">
        <f>$C19*INDEX(Curves!$BD$8:$BD$68,AA$4-$B19+1)</f>
        <v/>
      </c>
      <c r="AB19" s="153">
        <f>$C19*INDEX(Curves!$BD$8:$BD$68,AB$4-$B19+1)</f>
        <v/>
      </c>
      <c r="AC19" s="153">
        <f>$C19*INDEX(Curves!$BD$8:$BD$68,AC$4-$B19+1)</f>
        <v/>
      </c>
      <c r="AD19" s="153">
        <f>$C19*INDEX(Curves!$BD$8:$BD$68,AD$4-$B19+1)</f>
        <v/>
      </c>
      <c r="AE19" s="153">
        <f>$C19*INDEX(Curves!$BD$8:$BD$68,AE$4-$B19+1)</f>
        <v/>
      </c>
      <c r="AF19" s="153">
        <f>$C19*INDEX(Curves!$BD$8:$BD$68,AF$4-$B19+1)</f>
        <v/>
      </c>
      <c r="AG19" s="153">
        <f>$C19*INDEX(Curves!$BD$8:$BD$68,AG$4-$B19+1)</f>
        <v/>
      </c>
      <c r="AH19" s="153">
        <f>$C19*INDEX(Curves!$BD$8:$BD$68,AH$4-$B19+1)</f>
        <v/>
      </c>
      <c r="AI19" s="153">
        <f>$C19*INDEX(Curves!$BD$8:$BD$68,AI$4-$B19+1)</f>
        <v/>
      </c>
      <c r="AJ19" s="153">
        <f>$C19*INDEX(Curves!$BD$8:$BD$68,AJ$4-$B19+1)</f>
        <v/>
      </c>
      <c r="AK19" s="153">
        <f>$C19*INDEX(Curves!$BD$8:$BD$68,AK$4-$B19+1)</f>
        <v/>
      </c>
      <c r="AL19" s="153">
        <f>$C19*INDEX(Curves!$BD$8:$BD$68,AL$4-$B19+1)</f>
        <v/>
      </c>
      <c r="AM19" s="153">
        <f>$C19*INDEX(Curves!$BD$8:$BD$68,AM$4-$B19+1)</f>
        <v/>
      </c>
      <c r="AN19" s="153">
        <f>$C19*INDEX(Curves!$BD$8:$BD$68,AN$4-$B19+1)</f>
        <v/>
      </c>
      <c r="AO19" s="153">
        <f>$C19*INDEX(Curves!$BD$8:$BD$68,AO$4-$B19+1)</f>
        <v/>
      </c>
      <c r="AP19" s="153">
        <f>$C19*INDEX(Curves!$BD$8:$BD$68,AP$4-$B19+1)</f>
        <v/>
      </c>
      <c r="AQ19" s="153">
        <f>$C19*INDEX(Curves!$BD$8:$BD$68,AQ$4-$B19+1)</f>
        <v/>
      </c>
      <c r="AR19" s="153">
        <f>$C19*INDEX(Curves!$BD$8:$BD$68,AR$4-$B19+1)</f>
        <v/>
      </c>
      <c r="AS19" s="153">
        <f>$C19*INDEX(Curves!$BD$8:$BD$68,AS$4-$B19+1)</f>
        <v/>
      </c>
      <c r="AT19" s="153">
        <f>$C19*INDEX(Curves!$BD$8:$BD$68,AT$4-$B19+1)</f>
        <v/>
      </c>
      <c r="AU19" s="153">
        <f>$C19*INDEX(Curves!$BD$8:$BD$68,AU$4-$B19+1)</f>
        <v/>
      </c>
      <c r="AV19" s="153">
        <f>$C19*INDEX(Curves!$BD$8:$BD$68,AV$4-$B19+1)</f>
        <v/>
      </c>
      <c r="AW19" s="153">
        <f>$C19*INDEX(Curves!$BD$8:$BD$68,AW$4-$B19+1)</f>
        <v/>
      </c>
      <c r="AX19" s="153">
        <f>$C19*INDEX(Curves!$BD$8:$BD$68,AX$4-$B19+1)</f>
        <v/>
      </c>
      <c r="AY19" s="153">
        <f>$C19*INDEX(Curves!$BD$8:$BD$68,AY$4-$B19+1)</f>
        <v/>
      </c>
      <c r="AZ19" s="153">
        <f>$C19*INDEX(Curves!$BD$8:$BD$68,AZ$4-$B19+1)</f>
        <v/>
      </c>
      <c r="BA19" s="153">
        <f>$C19*INDEX(Curves!$BD$8:$BD$68,BA$4-$B19+1)</f>
        <v/>
      </c>
      <c r="BB19" s="153">
        <f>$C19*INDEX(Curves!$BD$8:$BD$68,BB$4-$B19+1)</f>
        <v/>
      </c>
      <c r="BC19" s="153">
        <f>$C19*INDEX(Curves!$BD$8:$BD$68,BC$4-$B19+1)</f>
        <v/>
      </c>
      <c r="BD19" s="153">
        <f>$C19*INDEX(Curves!$BD$8:$BD$68,BD$4-$B19+1)</f>
        <v/>
      </c>
      <c r="BE19" s="153">
        <f>$C19*INDEX(Curves!$BD$8:$BD$68,BE$4-$B19+1)</f>
        <v/>
      </c>
      <c r="BF19" s="153">
        <f>$C19*INDEX(Curves!$BD$8:$BD$68,BF$4-$B19+1)</f>
        <v/>
      </c>
      <c r="BG19" s="153">
        <f>$C19*INDEX(Curves!$BD$8:$BD$68,BG$4-$B19+1)</f>
        <v/>
      </c>
      <c r="BH19" s="153">
        <f>$C19*INDEX(Curves!$BD$8:$BD$68,BH$4-$B19+1)</f>
        <v/>
      </c>
      <c r="BI19" s="153">
        <f>$C19*INDEX(Curves!$BD$8:$BD$68,BI$4-$B19+1)</f>
        <v/>
      </c>
      <c r="BJ19" s="153">
        <f>$C19*INDEX(Curves!$BD$8:$BD$68,BJ$4-$B19+1)</f>
        <v/>
      </c>
      <c r="BK19" s="153">
        <f>$C19*INDEX(Curves!$BD$8:$BD$68,BK$4-$B19+1)</f>
        <v/>
      </c>
      <c r="BL19" s="153">
        <f>$C19*INDEX(Curves!$BD$8:$BD$68,BL$4-$B19+1)</f>
        <v/>
      </c>
    </row>
    <row r="20">
      <c r="A20" s="147" t="inlineStr">
        <is>
          <t>Cohort month 11</t>
        </is>
      </c>
      <c r="B20" s="147" t="n">
        <v>11</v>
      </c>
      <c r="C20" s="41">
        <f>INDEX(Ops!$E$110:$BL$110,1,$B20)</f>
        <v/>
      </c>
      <c r="P20" s="153">
        <f>$C20*INDEX(Curves!$BD$8:$BD$68,P$4-$B20+1)</f>
        <v/>
      </c>
      <c r="Q20" s="153">
        <f>$C20*INDEX(Curves!$BD$8:$BD$68,Q$4-$B20+1)</f>
        <v/>
      </c>
      <c r="R20" s="153">
        <f>$C20*INDEX(Curves!$BD$8:$BD$68,R$4-$B20+1)</f>
        <v/>
      </c>
      <c r="S20" s="153">
        <f>$C20*INDEX(Curves!$BD$8:$BD$68,S$4-$B20+1)</f>
        <v/>
      </c>
      <c r="T20" s="153">
        <f>$C20*INDEX(Curves!$BD$8:$BD$68,T$4-$B20+1)</f>
        <v/>
      </c>
      <c r="U20" s="153">
        <f>$C20*INDEX(Curves!$BD$8:$BD$68,U$4-$B20+1)</f>
        <v/>
      </c>
      <c r="V20" s="153">
        <f>$C20*INDEX(Curves!$BD$8:$BD$68,V$4-$B20+1)</f>
        <v/>
      </c>
      <c r="W20" s="153">
        <f>$C20*INDEX(Curves!$BD$8:$BD$68,W$4-$B20+1)</f>
        <v/>
      </c>
      <c r="X20" s="153">
        <f>$C20*INDEX(Curves!$BD$8:$BD$68,X$4-$B20+1)</f>
        <v/>
      </c>
      <c r="Y20" s="153">
        <f>$C20*INDEX(Curves!$BD$8:$BD$68,Y$4-$B20+1)</f>
        <v/>
      </c>
      <c r="Z20" s="153">
        <f>$C20*INDEX(Curves!$BD$8:$BD$68,Z$4-$B20+1)</f>
        <v/>
      </c>
      <c r="AA20" s="153">
        <f>$C20*INDEX(Curves!$BD$8:$BD$68,AA$4-$B20+1)</f>
        <v/>
      </c>
      <c r="AB20" s="153">
        <f>$C20*INDEX(Curves!$BD$8:$BD$68,AB$4-$B20+1)</f>
        <v/>
      </c>
      <c r="AC20" s="153">
        <f>$C20*INDEX(Curves!$BD$8:$BD$68,AC$4-$B20+1)</f>
        <v/>
      </c>
      <c r="AD20" s="153">
        <f>$C20*INDEX(Curves!$BD$8:$BD$68,AD$4-$B20+1)</f>
        <v/>
      </c>
      <c r="AE20" s="153">
        <f>$C20*INDEX(Curves!$BD$8:$BD$68,AE$4-$B20+1)</f>
        <v/>
      </c>
      <c r="AF20" s="153">
        <f>$C20*INDEX(Curves!$BD$8:$BD$68,AF$4-$B20+1)</f>
        <v/>
      </c>
      <c r="AG20" s="153">
        <f>$C20*INDEX(Curves!$BD$8:$BD$68,AG$4-$B20+1)</f>
        <v/>
      </c>
      <c r="AH20" s="153">
        <f>$C20*INDEX(Curves!$BD$8:$BD$68,AH$4-$B20+1)</f>
        <v/>
      </c>
      <c r="AI20" s="153">
        <f>$C20*INDEX(Curves!$BD$8:$BD$68,AI$4-$B20+1)</f>
        <v/>
      </c>
      <c r="AJ20" s="153">
        <f>$C20*INDEX(Curves!$BD$8:$BD$68,AJ$4-$B20+1)</f>
        <v/>
      </c>
      <c r="AK20" s="153">
        <f>$C20*INDEX(Curves!$BD$8:$BD$68,AK$4-$B20+1)</f>
        <v/>
      </c>
      <c r="AL20" s="153">
        <f>$C20*INDEX(Curves!$BD$8:$BD$68,AL$4-$B20+1)</f>
        <v/>
      </c>
      <c r="AM20" s="153">
        <f>$C20*INDEX(Curves!$BD$8:$BD$68,AM$4-$B20+1)</f>
        <v/>
      </c>
      <c r="AN20" s="153">
        <f>$C20*INDEX(Curves!$BD$8:$BD$68,AN$4-$B20+1)</f>
        <v/>
      </c>
      <c r="AO20" s="153">
        <f>$C20*INDEX(Curves!$BD$8:$BD$68,AO$4-$B20+1)</f>
        <v/>
      </c>
      <c r="AP20" s="153">
        <f>$C20*INDEX(Curves!$BD$8:$BD$68,AP$4-$B20+1)</f>
        <v/>
      </c>
      <c r="AQ20" s="153">
        <f>$C20*INDEX(Curves!$BD$8:$BD$68,AQ$4-$B20+1)</f>
        <v/>
      </c>
      <c r="AR20" s="153">
        <f>$C20*INDEX(Curves!$BD$8:$BD$68,AR$4-$B20+1)</f>
        <v/>
      </c>
      <c r="AS20" s="153">
        <f>$C20*INDEX(Curves!$BD$8:$BD$68,AS$4-$B20+1)</f>
        <v/>
      </c>
      <c r="AT20" s="153">
        <f>$C20*INDEX(Curves!$BD$8:$BD$68,AT$4-$B20+1)</f>
        <v/>
      </c>
      <c r="AU20" s="153">
        <f>$C20*INDEX(Curves!$BD$8:$BD$68,AU$4-$B20+1)</f>
        <v/>
      </c>
      <c r="AV20" s="153">
        <f>$C20*INDEX(Curves!$BD$8:$BD$68,AV$4-$B20+1)</f>
        <v/>
      </c>
      <c r="AW20" s="153">
        <f>$C20*INDEX(Curves!$BD$8:$BD$68,AW$4-$B20+1)</f>
        <v/>
      </c>
      <c r="AX20" s="153">
        <f>$C20*INDEX(Curves!$BD$8:$BD$68,AX$4-$B20+1)</f>
        <v/>
      </c>
      <c r="AY20" s="153">
        <f>$C20*INDEX(Curves!$BD$8:$BD$68,AY$4-$B20+1)</f>
        <v/>
      </c>
      <c r="AZ20" s="153">
        <f>$C20*INDEX(Curves!$BD$8:$BD$68,AZ$4-$B20+1)</f>
        <v/>
      </c>
      <c r="BA20" s="153">
        <f>$C20*INDEX(Curves!$BD$8:$BD$68,BA$4-$B20+1)</f>
        <v/>
      </c>
      <c r="BB20" s="153">
        <f>$C20*INDEX(Curves!$BD$8:$BD$68,BB$4-$B20+1)</f>
        <v/>
      </c>
      <c r="BC20" s="153">
        <f>$C20*INDEX(Curves!$BD$8:$BD$68,BC$4-$B20+1)</f>
        <v/>
      </c>
      <c r="BD20" s="153">
        <f>$C20*INDEX(Curves!$BD$8:$BD$68,BD$4-$B20+1)</f>
        <v/>
      </c>
      <c r="BE20" s="153">
        <f>$C20*INDEX(Curves!$BD$8:$BD$68,BE$4-$B20+1)</f>
        <v/>
      </c>
      <c r="BF20" s="153">
        <f>$C20*INDEX(Curves!$BD$8:$BD$68,BF$4-$B20+1)</f>
        <v/>
      </c>
      <c r="BG20" s="153">
        <f>$C20*INDEX(Curves!$BD$8:$BD$68,BG$4-$B20+1)</f>
        <v/>
      </c>
      <c r="BH20" s="153">
        <f>$C20*INDEX(Curves!$BD$8:$BD$68,BH$4-$B20+1)</f>
        <v/>
      </c>
      <c r="BI20" s="153">
        <f>$C20*INDEX(Curves!$BD$8:$BD$68,BI$4-$B20+1)</f>
        <v/>
      </c>
      <c r="BJ20" s="153">
        <f>$C20*INDEX(Curves!$BD$8:$BD$68,BJ$4-$B20+1)</f>
        <v/>
      </c>
      <c r="BK20" s="153">
        <f>$C20*INDEX(Curves!$BD$8:$BD$68,BK$4-$B20+1)</f>
        <v/>
      </c>
      <c r="BL20" s="153">
        <f>$C20*INDEX(Curves!$BD$8:$BD$68,BL$4-$B20+1)</f>
        <v/>
      </c>
    </row>
    <row r="21">
      <c r="A21" s="147" t="inlineStr">
        <is>
          <t>Cohort month 12</t>
        </is>
      </c>
      <c r="B21" s="147" t="n">
        <v>12</v>
      </c>
      <c r="C21" s="41">
        <f>INDEX(Ops!$E$110:$BL$110,1,$B21)</f>
        <v/>
      </c>
      <c r="Q21" s="153">
        <f>$C21*INDEX(Curves!$BD$8:$BD$68,Q$4-$B21+1)</f>
        <v/>
      </c>
      <c r="R21" s="153">
        <f>$C21*INDEX(Curves!$BD$8:$BD$68,R$4-$B21+1)</f>
        <v/>
      </c>
      <c r="S21" s="153">
        <f>$C21*INDEX(Curves!$BD$8:$BD$68,S$4-$B21+1)</f>
        <v/>
      </c>
      <c r="T21" s="153">
        <f>$C21*INDEX(Curves!$BD$8:$BD$68,T$4-$B21+1)</f>
        <v/>
      </c>
      <c r="U21" s="153">
        <f>$C21*INDEX(Curves!$BD$8:$BD$68,U$4-$B21+1)</f>
        <v/>
      </c>
      <c r="V21" s="153">
        <f>$C21*INDEX(Curves!$BD$8:$BD$68,V$4-$B21+1)</f>
        <v/>
      </c>
      <c r="W21" s="153">
        <f>$C21*INDEX(Curves!$BD$8:$BD$68,W$4-$B21+1)</f>
        <v/>
      </c>
      <c r="X21" s="153">
        <f>$C21*INDEX(Curves!$BD$8:$BD$68,X$4-$B21+1)</f>
        <v/>
      </c>
      <c r="Y21" s="153">
        <f>$C21*INDEX(Curves!$BD$8:$BD$68,Y$4-$B21+1)</f>
        <v/>
      </c>
      <c r="Z21" s="153">
        <f>$C21*INDEX(Curves!$BD$8:$BD$68,Z$4-$B21+1)</f>
        <v/>
      </c>
      <c r="AA21" s="153">
        <f>$C21*INDEX(Curves!$BD$8:$BD$68,AA$4-$B21+1)</f>
        <v/>
      </c>
      <c r="AB21" s="153">
        <f>$C21*INDEX(Curves!$BD$8:$BD$68,AB$4-$B21+1)</f>
        <v/>
      </c>
      <c r="AC21" s="153">
        <f>$C21*INDEX(Curves!$BD$8:$BD$68,AC$4-$B21+1)</f>
        <v/>
      </c>
      <c r="AD21" s="153">
        <f>$C21*INDEX(Curves!$BD$8:$BD$68,AD$4-$B21+1)</f>
        <v/>
      </c>
      <c r="AE21" s="153">
        <f>$C21*INDEX(Curves!$BD$8:$BD$68,AE$4-$B21+1)</f>
        <v/>
      </c>
      <c r="AF21" s="153">
        <f>$C21*INDEX(Curves!$BD$8:$BD$68,AF$4-$B21+1)</f>
        <v/>
      </c>
      <c r="AG21" s="153">
        <f>$C21*INDEX(Curves!$BD$8:$BD$68,AG$4-$B21+1)</f>
        <v/>
      </c>
      <c r="AH21" s="153">
        <f>$C21*INDEX(Curves!$BD$8:$BD$68,AH$4-$B21+1)</f>
        <v/>
      </c>
      <c r="AI21" s="153">
        <f>$C21*INDEX(Curves!$BD$8:$BD$68,AI$4-$B21+1)</f>
        <v/>
      </c>
      <c r="AJ21" s="153">
        <f>$C21*INDEX(Curves!$BD$8:$BD$68,AJ$4-$B21+1)</f>
        <v/>
      </c>
      <c r="AK21" s="153">
        <f>$C21*INDEX(Curves!$BD$8:$BD$68,AK$4-$B21+1)</f>
        <v/>
      </c>
      <c r="AL21" s="153">
        <f>$C21*INDEX(Curves!$BD$8:$BD$68,AL$4-$B21+1)</f>
        <v/>
      </c>
      <c r="AM21" s="153">
        <f>$C21*INDEX(Curves!$BD$8:$BD$68,AM$4-$B21+1)</f>
        <v/>
      </c>
      <c r="AN21" s="153">
        <f>$C21*INDEX(Curves!$BD$8:$BD$68,AN$4-$B21+1)</f>
        <v/>
      </c>
      <c r="AO21" s="153">
        <f>$C21*INDEX(Curves!$BD$8:$BD$68,AO$4-$B21+1)</f>
        <v/>
      </c>
      <c r="AP21" s="153">
        <f>$C21*INDEX(Curves!$BD$8:$BD$68,AP$4-$B21+1)</f>
        <v/>
      </c>
      <c r="AQ21" s="153">
        <f>$C21*INDEX(Curves!$BD$8:$BD$68,AQ$4-$B21+1)</f>
        <v/>
      </c>
      <c r="AR21" s="153">
        <f>$C21*INDEX(Curves!$BD$8:$BD$68,AR$4-$B21+1)</f>
        <v/>
      </c>
      <c r="AS21" s="153">
        <f>$C21*INDEX(Curves!$BD$8:$BD$68,AS$4-$B21+1)</f>
        <v/>
      </c>
      <c r="AT21" s="153">
        <f>$C21*INDEX(Curves!$BD$8:$BD$68,AT$4-$B21+1)</f>
        <v/>
      </c>
      <c r="AU21" s="153">
        <f>$C21*INDEX(Curves!$BD$8:$BD$68,AU$4-$B21+1)</f>
        <v/>
      </c>
      <c r="AV21" s="153">
        <f>$C21*INDEX(Curves!$BD$8:$BD$68,AV$4-$B21+1)</f>
        <v/>
      </c>
      <c r="AW21" s="153">
        <f>$C21*INDEX(Curves!$BD$8:$BD$68,AW$4-$B21+1)</f>
        <v/>
      </c>
      <c r="AX21" s="153">
        <f>$C21*INDEX(Curves!$BD$8:$BD$68,AX$4-$B21+1)</f>
        <v/>
      </c>
      <c r="AY21" s="153">
        <f>$C21*INDEX(Curves!$BD$8:$BD$68,AY$4-$B21+1)</f>
        <v/>
      </c>
      <c r="AZ21" s="153">
        <f>$C21*INDEX(Curves!$BD$8:$BD$68,AZ$4-$B21+1)</f>
        <v/>
      </c>
      <c r="BA21" s="153">
        <f>$C21*INDEX(Curves!$BD$8:$BD$68,BA$4-$B21+1)</f>
        <v/>
      </c>
      <c r="BB21" s="153">
        <f>$C21*INDEX(Curves!$BD$8:$BD$68,BB$4-$B21+1)</f>
        <v/>
      </c>
      <c r="BC21" s="153">
        <f>$C21*INDEX(Curves!$BD$8:$BD$68,BC$4-$B21+1)</f>
        <v/>
      </c>
      <c r="BD21" s="153">
        <f>$C21*INDEX(Curves!$BD$8:$BD$68,BD$4-$B21+1)</f>
        <v/>
      </c>
      <c r="BE21" s="153">
        <f>$C21*INDEX(Curves!$BD$8:$BD$68,BE$4-$B21+1)</f>
        <v/>
      </c>
      <c r="BF21" s="153">
        <f>$C21*INDEX(Curves!$BD$8:$BD$68,BF$4-$B21+1)</f>
        <v/>
      </c>
      <c r="BG21" s="153">
        <f>$C21*INDEX(Curves!$BD$8:$BD$68,BG$4-$B21+1)</f>
        <v/>
      </c>
      <c r="BH21" s="153">
        <f>$C21*INDEX(Curves!$BD$8:$BD$68,BH$4-$B21+1)</f>
        <v/>
      </c>
      <c r="BI21" s="153">
        <f>$C21*INDEX(Curves!$BD$8:$BD$68,BI$4-$B21+1)</f>
        <v/>
      </c>
      <c r="BJ21" s="153">
        <f>$C21*INDEX(Curves!$BD$8:$BD$68,BJ$4-$B21+1)</f>
        <v/>
      </c>
      <c r="BK21" s="153">
        <f>$C21*INDEX(Curves!$BD$8:$BD$68,BK$4-$B21+1)</f>
        <v/>
      </c>
      <c r="BL21" s="153">
        <f>$C21*INDEX(Curves!$BD$8:$BD$68,BL$4-$B21+1)</f>
        <v/>
      </c>
    </row>
    <row r="22">
      <c r="A22" s="147" t="inlineStr">
        <is>
          <t>Cohort month 13</t>
        </is>
      </c>
      <c r="B22" s="147" t="n">
        <v>13</v>
      </c>
      <c r="C22" s="41">
        <f>INDEX(Ops!$E$110:$BL$110,1,$B22)</f>
        <v/>
      </c>
      <c r="R22" s="153">
        <f>$C22*INDEX(Curves!$BD$8:$BD$68,R$4-$B22+1)</f>
        <v/>
      </c>
      <c r="S22" s="153">
        <f>$C22*INDEX(Curves!$BD$8:$BD$68,S$4-$B22+1)</f>
        <v/>
      </c>
      <c r="T22" s="153">
        <f>$C22*INDEX(Curves!$BD$8:$BD$68,T$4-$B22+1)</f>
        <v/>
      </c>
      <c r="U22" s="153">
        <f>$C22*INDEX(Curves!$BD$8:$BD$68,U$4-$B22+1)</f>
        <v/>
      </c>
      <c r="V22" s="153">
        <f>$C22*INDEX(Curves!$BD$8:$BD$68,V$4-$B22+1)</f>
        <v/>
      </c>
      <c r="W22" s="153">
        <f>$C22*INDEX(Curves!$BD$8:$BD$68,W$4-$B22+1)</f>
        <v/>
      </c>
      <c r="X22" s="153">
        <f>$C22*INDEX(Curves!$BD$8:$BD$68,X$4-$B22+1)</f>
        <v/>
      </c>
      <c r="Y22" s="153">
        <f>$C22*INDEX(Curves!$BD$8:$BD$68,Y$4-$B22+1)</f>
        <v/>
      </c>
      <c r="Z22" s="153">
        <f>$C22*INDEX(Curves!$BD$8:$BD$68,Z$4-$B22+1)</f>
        <v/>
      </c>
      <c r="AA22" s="153">
        <f>$C22*INDEX(Curves!$BD$8:$BD$68,AA$4-$B22+1)</f>
        <v/>
      </c>
      <c r="AB22" s="153">
        <f>$C22*INDEX(Curves!$BD$8:$BD$68,AB$4-$B22+1)</f>
        <v/>
      </c>
      <c r="AC22" s="153">
        <f>$C22*INDEX(Curves!$BD$8:$BD$68,AC$4-$B22+1)</f>
        <v/>
      </c>
      <c r="AD22" s="153">
        <f>$C22*INDEX(Curves!$BD$8:$BD$68,AD$4-$B22+1)</f>
        <v/>
      </c>
      <c r="AE22" s="153">
        <f>$C22*INDEX(Curves!$BD$8:$BD$68,AE$4-$B22+1)</f>
        <v/>
      </c>
      <c r="AF22" s="153">
        <f>$C22*INDEX(Curves!$BD$8:$BD$68,AF$4-$B22+1)</f>
        <v/>
      </c>
      <c r="AG22" s="153">
        <f>$C22*INDEX(Curves!$BD$8:$BD$68,AG$4-$B22+1)</f>
        <v/>
      </c>
      <c r="AH22" s="153">
        <f>$C22*INDEX(Curves!$BD$8:$BD$68,AH$4-$B22+1)</f>
        <v/>
      </c>
      <c r="AI22" s="153">
        <f>$C22*INDEX(Curves!$BD$8:$BD$68,AI$4-$B22+1)</f>
        <v/>
      </c>
      <c r="AJ22" s="153">
        <f>$C22*INDEX(Curves!$BD$8:$BD$68,AJ$4-$B22+1)</f>
        <v/>
      </c>
      <c r="AK22" s="153">
        <f>$C22*INDEX(Curves!$BD$8:$BD$68,AK$4-$B22+1)</f>
        <v/>
      </c>
      <c r="AL22" s="153">
        <f>$C22*INDEX(Curves!$BD$8:$BD$68,AL$4-$B22+1)</f>
        <v/>
      </c>
      <c r="AM22" s="153">
        <f>$C22*INDEX(Curves!$BD$8:$BD$68,AM$4-$B22+1)</f>
        <v/>
      </c>
      <c r="AN22" s="153">
        <f>$C22*INDEX(Curves!$BD$8:$BD$68,AN$4-$B22+1)</f>
        <v/>
      </c>
      <c r="AO22" s="153">
        <f>$C22*INDEX(Curves!$BD$8:$BD$68,AO$4-$B22+1)</f>
        <v/>
      </c>
      <c r="AP22" s="153">
        <f>$C22*INDEX(Curves!$BD$8:$BD$68,AP$4-$B22+1)</f>
        <v/>
      </c>
      <c r="AQ22" s="153">
        <f>$C22*INDEX(Curves!$BD$8:$BD$68,AQ$4-$B22+1)</f>
        <v/>
      </c>
      <c r="AR22" s="153">
        <f>$C22*INDEX(Curves!$BD$8:$BD$68,AR$4-$B22+1)</f>
        <v/>
      </c>
      <c r="AS22" s="153">
        <f>$C22*INDEX(Curves!$BD$8:$BD$68,AS$4-$B22+1)</f>
        <v/>
      </c>
      <c r="AT22" s="153">
        <f>$C22*INDEX(Curves!$BD$8:$BD$68,AT$4-$B22+1)</f>
        <v/>
      </c>
      <c r="AU22" s="153">
        <f>$C22*INDEX(Curves!$BD$8:$BD$68,AU$4-$B22+1)</f>
        <v/>
      </c>
      <c r="AV22" s="153">
        <f>$C22*INDEX(Curves!$BD$8:$BD$68,AV$4-$B22+1)</f>
        <v/>
      </c>
      <c r="AW22" s="153">
        <f>$C22*INDEX(Curves!$BD$8:$BD$68,AW$4-$B22+1)</f>
        <v/>
      </c>
      <c r="AX22" s="153">
        <f>$C22*INDEX(Curves!$BD$8:$BD$68,AX$4-$B22+1)</f>
        <v/>
      </c>
      <c r="AY22" s="153">
        <f>$C22*INDEX(Curves!$BD$8:$BD$68,AY$4-$B22+1)</f>
        <v/>
      </c>
      <c r="AZ22" s="153">
        <f>$C22*INDEX(Curves!$BD$8:$BD$68,AZ$4-$B22+1)</f>
        <v/>
      </c>
      <c r="BA22" s="153">
        <f>$C22*INDEX(Curves!$BD$8:$BD$68,BA$4-$B22+1)</f>
        <v/>
      </c>
      <c r="BB22" s="153">
        <f>$C22*INDEX(Curves!$BD$8:$BD$68,BB$4-$B22+1)</f>
        <v/>
      </c>
      <c r="BC22" s="153">
        <f>$C22*INDEX(Curves!$BD$8:$BD$68,BC$4-$B22+1)</f>
        <v/>
      </c>
      <c r="BD22" s="153">
        <f>$C22*INDEX(Curves!$BD$8:$BD$68,BD$4-$B22+1)</f>
        <v/>
      </c>
      <c r="BE22" s="153">
        <f>$C22*INDEX(Curves!$BD$8:$BD$68,BE$4-$B22+1)</f>
        <v/>
      </c>
      <c r="BF22" s="153">
        <f>$C22*INDEX(Curves!$BD$8:$BD$68,BF$4-$B22+1)</f>
        <v/>
      </c>
      <c r="BG22" s="153">
        <f>$C22*INDEX(Curves!$BD$8:$BD$68,BG$4-$B22+1)</f>
        <v/>
      </c>
      <c r="BH22" s="153">
        <f>$C22*INDEX(Curves!$BD$8:$BD$68,BH$4-$B22+1)</f>
        <v/>
      </c>
      <c r="BI22" s="153">
        <f>$C22*INDEX(Curves!$BD$8:$BD$68,BI$4-$B22+1)</f>
        <v/>
      </c>
      <c r="BJ22" s="153">
        <f>$C22*INDEX(Curves!$BD$8:$BD$68,BJ$4-$B22+1)</f>
        <v/>
      </c>
      <c r="BK22" s="153">
        <f>$C22*INDEX(Curves!$BD$8:$BD$68,BK$4-$B22+1)</f>
        <v/>
      </c>
      <c r="BL22" s="153">
        <f>$C22*INDEX(Curves!$BD$8:$BD$68,BL$4-$B22+1)</f>
        <v/>
      </c>
    </row>
    <row r="23">
      <c r="A23" s="147" t="inlineStr">
        <is>
          <t>Cohort month 14</t>
        </is>
      </c>
      <c r="B23" s="147" t="n">
        <v>14</v>
      </c>
      <c r="C23" s="41">
        <f>INDEX(Ops!$E$110:$BL$110,1,$B23)</f>
        <v/>
      </c>
      <c r="S23" s="153">
        <f>$C23*INDEX(Curves!$BD$8:$BD$68,S$4-$B23+1)</f>
        <v/>
      </c>
      <c r="T23" s="153">
        <f>$C23*INDEX(Curves!$BD$8:$BD$68,T$4-$B23+1)</f>
        <v/>
      </c>
      <c r="U23" s="153">
        <f>$C23*INDEX(Curves!$BD$8:$BD$68,U$4-$B23+1)</f>
        <v/>
      </c>
      <c r="V23" s="153">
        <f>$C23*INDEX(Curves!$BD$8:$BD$68,V$4-$B23+1)</f>
        <v/>
      </c>
      <c r="W23" s="153">
        <f>$C23*INDEX(Curves!$BD$8:$BD$68,W$4-$B23+1)</f>
        <v/>
      </c>
      <c r="X23" s="153">
        <f>$C23*INDEX(Curves!$BD$8:$BD$68,X$4-$B23+1)</f>
        <v/>
      </c>
      <c r="Y23" s="153">
        <f>$C23*INDEX(Curves!$BD$8:$BD$68,Y$4-$B23+1)</f>
        <v/>
      </c>
      <c r="Z23" s="153">
        <f>$C23*INDEX(Curves!$BD$8:$BD$68,Z$4-$B23+1)</f>
        <v/>
      </c>
      <c r="AA23" s="153">
        <f>$C23*INDEX(Curves!$BD$8:$BD$68,AA$4-$B23+1)</f>
        <v/>
      </c>
      <c r="AB23" s="153">
        <f>$C23*INDEX(Curves!$BD$8:$BD$68,AB$4-$B23+1)</f>
        <v/>
      </c>
      <c r="AC23" s="153">
        <f>$C23*INDEX(Curves!$BD$8:$BD$68,AC$4-$B23+1)</f>
        <v/>
      </c>
      <c r="AD23" s="153">
        <f>$C23*INDEX(Curves!$BD$8:$BD$68,AD$4-$B23+1)</f>
        <v/>
      </c>
      <c r="AE23" s="153">
        <f>$C23*INDEX(Curves!$BD$8:$BD$68,AE$4-$B23+1)</f>
        <v/>
      </c>
      <c r="AF23" s="153">
        <f>$C23*INDEX(Curves!$BD$8:$BD$68,AF$4-$B23+1)</f>
        <v/>
      </c>
      <c r="AG23" s="153">
        <f>$C23*INDEX(Curves!$BD$8:$BD$68,AG$4-$B23+1)</f>
        <v/>
      </c>
      <c r="AH23" s="153">
        <f>$C23*INDEX(Curves!$BD$8:$BD$68,AH$4-$B23+1)</f>
        <v/>
      </c>
      <c r="AI23" s="153">
        <f>$C23*INDEX(Curves!$BD$8:$BD$68,AI$4-$B23+1)</f>
        <v/>
      </c>
      <c r="AJ23" s="153">
        <f>$C23*INDEX(Curves!$BD$8:$BD$68,AJ$4-$B23+1)</f>
        <v/>
      </c>
      <c r="AK23" s="153">
        <f>$C23*INDEX(Curves!$BD$8:$BD$68,AK$4-$B23+1)</f>
        <v/>
      </c>
      <c r="AL23" s="153">
        <f>$C23*INDEX(Curves!$BD$8:$BD$68,AL$4-$B23+1)</f>
        <v/>
      </c>
      <c r="AM23" s="153">
        <f>$C23*INDEX(Curves!$BD$8:$BD$68,AM$4-$B23+1)</f>
        <v/>
      </c>
      <c r="AN23" s="153">
        <f>$C23*INDEX(Curves!$BD$8:$BD$68,AN$4-$B23+1)</f>
        <v/>
      </c>
      <c r="AO23" s="153">
        <f>$C23*INDEX(Curves!$BD$8:$BD$68,AO$4-$B23+1)</f>
        <v/>
      </c>
      <c r="AP23" s="153">
        <f>$C23*INDEX(Curves!$BD$8:$BD$68,AP$4-$B23+1)</f>
        <v/>
      </c>
      <c r="AQ23" s="153">
        <f>$C23*INDEX(Curves!$BD$8:$BD$68,AQ$4-$B23+1)</f>
        <v/>
      </c>
      <c r="AR23" s="153">
        <f>$C23*INDEX(Curves!$BD$8:$BD$68,AR$4-$B23+1)</f>
        <v/>
      </c>
      <c r="AS23" s="153">
        <f>$C23*INDEX(Curves!$BD$8:$BD$68,AS$4-$B23+1)</f>
        <v/>
      </c>
      <c r="AT23" s="153">
        <f>$C23*INDEX(Curves!$BD$8:$BD$68,AT$4-$B23+1)</f>
        <v/>
      </c>
      <c r="AU23" s="153">
        <f>$C23*INDEX(Curves!$BD$8:$BD$68,AU$4-$B23+1)</f>
        <v/>
      </c>
      <c r="AV23" s="153">
        <f>$C23*INDEX(Curves!$BD$8:$BD$68,AV$4-$B23+1)</f>
        <v/>
      </c>
      <c r="AW23" s="153">
        <f>$C23*INDEX(Curves!$BD$8:$BD$68,AW$4-$B23+1)</f>
        <v/>
      </c>
      <c r="AX23" s="153">
        <f>$C23*INDEX(Curves!$BD$8:$BD$68,AX$4-$B23+1)</f>
        <v/>
      </c>
      <c r="AY23" s="153">
        <f>$C23*INDEX(Curves!$BD$8:$BD$68,AY$4-$B23+1)</f>
        <v/>
      </c>
      <c r="AZ23" s="153">
        <f>$C23*INDEX(Curves!$BD$8:$BD$68,AZ$4-$B23+1)</f>
        <v/>
      </c>
      <c r="BA23" s="153">
        <f>$C23*INDEX(Curves!$BD$8:$BD$68,BA$4-$B23+1)</f>
        <v/>
      </c>
      <c r="BB23" s="153">
        <f>$C23*INDEX(Curves!$BD$8:$BD$68,BB$4-$B23+1)</f>
        <v/>
      </c>
      <c r="BC23" s="153">
        <f>$C23*INDEX(Curves!$BD$8:$BD$68,BC$4-$B23+1)</f>
        <v/>
      </c>
      <c r="BD23" s="153">
        <f>$C23*INDEX(Curves!$BD$8:$BD$68,BD$4-$B23+1)</f>
        <v/>
      </c>
      <c r="BE23" s="153">
        <f>$C23*INDEX(Curves!$BD$8:$BD$68,BE$4-$B23+1)</f>
        <v/>
      </c>
      <c r="BF23" s="153">
        <f>$C23*INDEX(Curves!$BD$8:$BD$68,BF$4-$B23+1)</f>
        <v/>
      </c>
      <c r="BG23" s="153">
        <f>$C23*INDEX(Curves!$BD$8:$BD$68,BG$4-$B23+1)</f>
        <v/>
      </c>
      <c r="BH23" s="153">
        <f>$C23*INDEX(Curves!$BD$8:$BD$68,BH$4-$B23+1)</f>
        <v/>
      </c>
      <c r="BI23" s="153">
        <f>$C23*INDEX(Curves!$BD$8:$BD$68,BI$4-$B23+1)</f>
        <v/>
      </c>
      <c r="BJ23" s="153">
        <f>$C23*INDEX(Curves!$BD$8:$BD$68,BJ$4-$B23+1)</f>
        <v/>
      </c>
      <c r="BK23" s="153">
        <f>$C23*INDEX(Curves!$BD$8:$BD$68,BK$4-$B23+1)</f>
        <v/>
      </c>
      <c r="BL23" s="153">
        <f>$C23*INDEX(Curves!$BD$8:$BD$68,BL$4-$B23+1)</f>
        <v/>
      </c>
    </row>
    <row r="24">
      <c r="A24" s="147" t="inlineStr">
        <is>
          <t>Cohort month 15</t>
        </is>
      </c>
      <c r="B24" s="147" t="n">
        <v>15</v>
      </c>
      <c r="C24" s="41">
        <f>INDEX(Ops!$E$110:$BL$110,1,$B24)</f>
        <v/>
      </c>
      <c r="T24" s="153">
        <f>$C24*INDEX(Curves!$BD$8:$BD$68,T$4-$B24+1)</f>
        <v/>
      </c>
      <c r="U24" s="153">
        <f>$C24*INDEX(Curves!$BD$8:$BD$68,U$4-$B24+1)</f>
        <v/>
      </c>
      <c r="V24" s="153">
        <f>$C24*INDEX(Curves!$BD$8:$BD$68,V$4-$B24+1)</f>
        <v/>
      </c>
      <c r="W24" s="153">
        <f>$C24*INDEX(Curves!$BD$8:$BD$68,W$4-$B24+1)</f>
        <v/>
      </c>
      <c r="X24" s="153">
        <f>$C24*INDEX(Curves!$BD$8:$BD$68,X$4-$B24+1)</f>
        <v/>
      </c>
      <c r="Y24" s="153">
        <f>$C24*INDEX(Curves!$BD$8:$BD$68,Y$4-$B24+1)</f>
        <v/>
      </c>
      <c r="Z24" s="153">
        <f>$C24*INDEX(Curves!$BD$8:$BD$68,Z$4-$B24+1)</f>
        <v/>
      </c>
      <c r="AA24" s="153">
        <f>$C24*INDEX(Curves!$BD$8:$BD$68,AA$4-$B24+1)</f>
        <v/>
      </c>
      <c r="AB24" s="153">
        <f>$C24*INDEX(Curves!$BD$8:$BD$68,AB$4-$B24+1)</f>
        <v/>
      </c>
      <c r="AC24" s="153">
        <f>$C24*INDEX(Curves!$BD$8:$BD$68,AC$4-$B24+1)</f>
        <v/>
      </c>
      <c r="AD24" s="153">
        <f>$C24*INDEX(Curves!$BD$8:$BD$68,AD$4-$B24+1)</f>
        <v/>
      </c>
      <c r="AE24" s="153">
        <f>$C24*INDEX(Curves!$BD$8:$BD$68,AE$4-$B24+1)</f>
        <v/>
      </c>
      <c r="AF24" s="153">
        <f>$C24*INDEX(Curves!$BD$8:$BD$68,AF$4-$B24+1)</f>
        <v/>
      </c>
      <c r="AG24" s="153">
        <f>$C24*INDEX(Curves!$BD$8:$BD$68,AG$4-$B24+1)</f>
        <v/>
      </c>
      <c r="AH24" s="153">
        <f>$C24*INDEX(Curves!$BD$8:$BD$68,AH$4-$B24+1)</f>
        <v/>
      </c>
      <c r="AI24" s="153">
        <f>$C24*INDEX(Curves!$BD$8:$BD$68,AI$4-$B24+1)</f>
        <v/>
      </c>
      <c r="AJ24" s="153">
        <f>$C24*INDEX(Curves!$BD$8:$BD$68,AJ$4-$B24+1)</f>
        <v/>
      </c>
      <c r="AK24" s="153">
        <f>$C24*INDEX(Curves!$BD$8:$BD$68,AK$4-$B24+1)</f>
        <v/>
      </c>
      <c r="AL24" s="153">
        <f>$C24*INDEX(Curves!$BD$8:$BD$68,AL$4-$B24+1)</f>
        <v/>
      </c>
      <c r="AM24" s="153">
        <f>$C24*INDEX(Curves!$BD$8:$BD$68,AM$4-$B24+1)</f>
        <v/>
      </c>
      <c r="AN24" s="153">
        <f>$C24*INDEX(Curves!$BD$8:$BD$68,AN$4-$B24+1)</f>
        <v/>
      </c>
      <c r="AO24" s="153">
        <f>$C24*INDEX(Curves!$BD$8:$BD$68,AO$4-$B24+1)</f>
        <v/>
      </c>
      <c r="AP24" s="153">
        <f>$C24*INDEX(Curves!$BD$8:$BD$68,AP$4-$B24+1)</f>
        <v/>
      </c>
      <c r="AQ24" s="153">
        <f>$C24*INDEX(Curves!$BD$8:$BD$68,AQ$4-$B24+1)</f>
        <v/>
      </c>
      <c r="AR24" s="153">
        <f>$C24*INDEX(Curves!$BD$8:$BD$68,AR$4-$B24+1)</f>
        <v/>
      </c>
      <c r="AS24" s="153">
        <f>$C24*INDEX(Curves!$BD$8:$BD$68,AS$4-$B24+1)</f>
        <v/>
      </c>
      <c r="AT24" s="153">
        <f>$C24*INDEX(Curves!$BD$8:$BD$68,AT$4-$B24+1)</f>
        <v/>
      </c>
      <c r="AU24" s="153">
        <f>$C24*INDEX(Curves!$BD$8:$BD$68,AU$4-$B24+1)</f>
        <v/>
      </c>
      <c r="AV24" s="153">
        <f>$C24*INDEX(Curves!$BD$8:$BD$68,AV$4-$B24+1)</f>
        <v/>
      </c>
      <c r="AW24" s="153">
        <f>$C24*INDEX(Curves!$BD$8:$BD$68,AW$4-$B24+1)</f>
        <v/>
      </c>
      <c r="AX24" s="153">
        <f>$C24*INDEX(Curves!$BD$8:$BD$68,AX$4-$B24+1)</f>
        <v/>
      </c>
      <c r="AY24" s="153">
        <f>$C24*INDEX(Curves!$BD$8:$BD$68,AY$4-$B24+1)</f>
        <v/>
      </c>
      <c r="AZ24" s="153">
        <f>$C24*INDEX(Curves!$BD$8:$BD$68,AZ$4-$B24+1)</f>
        <v/>
      </c>
      <c r="BA24" s="153">
        <f>$C24*INDEX(Curves!$BD$8:$BD$68,BA$4-$B24+1)</f>
        <v/>
      </c>
      <c r="BB24" s="153">
        <f>$C24*INDEX(Curves!$BD$8:$BD$68,BB$4-$B24+1)</f>
        <v/>
      </c>
      <c r="BC24" s="153">
        <f>$C24*INDEX(Curves!$BD$8:$BD$68,BC$4-$B24+1)</f>
        <v/>
      </c>
      <c r="BD24" s="153">
        <f>$C24*INDEX(Curves!$BD$8:$BD$68,BD$4-$B24+1)</f>
        <v/>
      </c>
      <c r="BE24" s="153">
        <f>$C24*INDEX(Curves!$BD$8:$BD$68,BE$4-$B24+1)</f>
        <v/>
      </c>
      <c r="BF24" s="153">
        <f>$C24*INDEX(Curves!$BD$8:$BD$68,BF$4-$B24+1)</f>
        <v/>
      </c>
      <c r="BG24" s="153">
        <f>$C24*INDEX(Curves!$BD$8:$BD$68,BG$4-$B24+1)</f>
        <v/>
      </c>
      <c r="BH24" s="153">
        <f>$C24*INDEX(Curves!$BD$8:$BD$68,BH$4-$B24+1)</f>
        <v/>
      </c>
      <c r="BI24" s="153">
        <f>$C24*INDEX(Curves!$BD$8:$BD$68,BI$4-$B24+1)</f>
        <v/>
      </c>
      <c r="BJ24" s="153">
        <f>$C24*INDEX(Curves!$BD$8:$BD$68,BJ$4-$B24+1)</f>
        <v/>
      </c>
      <c r="BK24" s="153">
        <f>$C24*INDEX(Curves!$BD$8:$BD$68,BK$4-$B24+1)</f>
        <v/>
      </c>
      <c r="BL24" s="153">
        <f>$C24*INDEX(Curves!$BD$8:$BD$68,BL$4-$B24+1)</f>
        <v/>
      </c>
    </row>
    <row r="25">
      <c r="A25" s="147" t="inlineStr">
        <is>
          <t>Cohort month 16</t>
        </is>
      </c>
      <c r="B25" s="147" t="n">
        <v>16</v>
      </c>
      <c r="C25" s="41">
        <f>INDEX(Ops!$E$110:$BL$110,1,$B25)</f>
        <v/>
      </c>
      <c r="U25" s="153">
        <f>$C25*INDEX(Curves!$BD$8:$BD$68,U$4-$B25+1)</f>
        <v/>
      </c>
      <c r="V25" s="153">
        <f>$C25*INDEX(Curves!$BD$8:$BD$68,V$4-$B25+1)</f>
        <v/>
      </c>
      <c r="W25" s="153">
        <f>$C25*INDEX(Curves!$BD$8:$BD$68,W$4-$B25+1)</f>
        <v/>
      </c>
      <c r="X25" s="153">
        <f>$C25*INDEX(Curves!$BD$8:$BD$68,X$4-$B25+1)</f>
        <v/>
      </c>
      <c r="Y25" s="153">
        <f>$C25*INDEX(Curves!$BD$8:$BD$68,Y$4-$B25+1)</f>
        <v/>
      </c>
      <c r="Z25" s="153">
        <f>$C25*INDEX(Curves!$BD$8:$BD$68,Z$4-$B25+1)</f>
        <v/>
      </c>
      <c r="AA25" s="153">
        <f>$C25*INDEX(Curves!$BD$8:$BD$68,AA$4-$B25+1)</f>
        <v/>
      </c>
      <c r="AB25" s="153">
        <f>$C25*INDEX(Curves!$BD$8:$BD$68,AB$4-$B25+1)</f>
        <v/>
      </c>
      <c r="AC25" s="153">
        <f>$C25*INDEX(Curves!$BD$8:$BD$68,AC$4-$B25+1)</f>
        <v/>
      </c>
      <c r="AD25" s="153">
        <f>$C25*INDEX(Curves!$BD$8:$BD$68,AD$4-$B25+1)</f>
        <v/>
      </c>
      <c r="AE25" s="153">
        <f>$C25*INDEX(Curves!$BD$8:$BD$68,AE$4-$B25+1)</f>
        <v/>
      </c>
      <c r="AF25" s="153">
        <f>$C25*INDEX(Curves!$BD$8:$BD$68,AF$4-$B25+1)</f>
        <v/>
      </c>
      <c r="AG25" s="153">
        <f>$C25*INDEX(Curves!$BD$8:$BD$68,AG$4-$B25+1)</f>
        <v/>
      </c>
      <c r="AH25" s="153">
        <f>$C25*INDEX(Curves!$BD$8:$BD$68,AH$4-$B25+1)</f>
        <v/>
      </c>
      <c r="AI25" s="153">
        <f>$C25*INDEX(Curves!$BD$8:$BD$68,AI$4-$B25+1)</f>
        <v/>
      </c>
      <c r="AJ25" s="153">
        <f>$C25*INDEX(Curves!$BD$8:$BD$68,AJ$4-$B25+1)</f>
        <v/>
      </c>
      <c r="AK25" s="153">
        <f>$C25*INDEX(Curves!$BD$8:$BD$68,AK$4-$B25+1)</f>
        <v/>
      </c>
      <c r="AL25" s="153">
        <f>$C25*INDEX(Curves!$BD$8:$BD$68,AL$4-$B25+1)</f>
        <v/>
      </c>
      <c r="AM25" s="153">
        <f>$C25*INDEX(Curves!$BD$8:$BD$68,AM$4-$B25+1)</f>
        <v/>
      </c>
      <c r="AN25" s="153">
        <f>$C25*INDEX(Curves!$BD$8:$BD$68,AN$4-$B25+1)</f>
        <v/>
      </c>
      <c r="AO25" s="153">
        <f>$C25*INDEX(Curves!$BD$8:$BD$68,AO$4-$B25+1)</f>
        <v/>
      </c>
      <c r="AP25" s="153">
        <f>$C25*INDEX(Curves!$BD$8:$BD$68,AP$4-$B25+1)</f>
        <v/>
      </c>
      <c r="AQ25" s="153">
        <f>$C25*INDEX(Curves!$BD$8:$BD$68,AQ$4-$B25+1)</f>
        <v/>
      </c>
      <c r="AR25" s="153">
        <f>$C25*INDEX(Curves!$BD$8:$BD$68,AR$4-$B25+1)</f>
        <v/>
      </c>
      <c r="AS25" s="153">
        <f>$C25*INDEX(Curves!$BD$8:$BD$68,AS$4-$B25+1)</f>
        <v/>
      </c>
      <c r="AT25" s="153">
        <f>$C25*INDEX(Curves!$BD$8:$BD$68,AT$4-$B25+1)</f>
        <v/>
      </c>
      <c r="AU25" s="153">
        <f>$C25*INDEX(Curves!$BD$8:$BD$68,AU$4-$B25+1)</f>
        <v/>
      </c>
      <c r="AV25" s="153">
        <f>$C25*INDEX(Curves!$BD$8:$BD$68,AV$4-$B25+1)</f>
        <v/>
      </c>
      <c r="AW25" s="153">
        <f>$C25*INDEX(Curves!$BD$8:$BD$68,AW$4-$B25+1)</f>
        <v/>
      </c>
      <c r="AX25" s="153">
        <f>$C25*INDEX(Curves!$BD$8:$BD$68,AX$4-$B25+1)</f>
        <v/>
      </c>
      <c r="AY25" s="153">
        <f>$C25*INDEX(Curves!$BD$8:$BD$68,AY$4-$B25+1)</f>
        <v/>
      </c>
      <c r="AZ25" s="153">
        <f>$C25*INDEX(Curves!$BD$8:$BD$68,AZ$4-$B25+1)</f>
        <v/>
      </c>
      <c r="BA25" s="153">
        <f>$C25*INDEX(Curves!$BD$8:$BD$68,BA$4-$B25+1)</f>
        <v/>
      </c>
      <c r="BB25" s="153">
        <f>$C25*INDEX(Curves!$BD$8:$BD$68,BB$4-$B25+1)</f>
        <v/>
      </c>
      <c r="BC25" s="153">
        <f>$C25*INDEX(Curves!$BD$8:$BD$68,BC$4-$B25+1)</f>
        <v/>
      </c>
      <c r="BD25" s="153">
        <f>$C25*INDEX(Curves!$BD$8:$BD$68,BD$4-$B25+1)</f>
        <v/>
      </c>
      <c r="BE25" s="153">
        <f>$C25*INDEX(Curves!$BD$8:$BD$68,BE$4-$B25+1)</f>
        <v/>
      </c>
      <c r="BF25" s="153">
        <f>$C25*INDEX(Curves!$BD$8:$BD$68,BF$4-$B25+1)</f>
        <v/>
      </c>
      <c r="BG25" s="153">
        <f>$C25*INDEX(Curves!$BD$8:$BD$68,BG$4-$B25+1)</f>
        <v/>
      </c>
      <c r="BH25" s="153">
        <f>$C25*INDEX(Curves!$BD$8:$BD$68,BH$4-$B25+1)</f>
        <v/>
      </c>
      <c r="BI25" s="153">
        <f>$C25*INDEX(Curves!$BD$8:$BD$68,BI$4-$B25+1)</f>
        <v/>
      </c>
      <c r="BJ25" s="153">
        <f>$C25*INDEX(Curves!$BD$8:$BD$68,BJ$4-$B25+1)</f>
        <v/>
      </c>
      <c r="BK25" s="153">
        <f>$C25*INDEX(Curves!$BD$8:$BD$68,BK$4-$B25+1)</f>
        <v/>
      </c>
      <c r="BL25" s="153">
        <f>$C25*INDEX(Curves!$BD$8:$BD$68,BL$4-$B25+1)</f>
        <v/>
      </c>
    </row>
    <row r="26">
      <c r="A26" s="147" t="inlineStr">
        <is>
          <t>Cohort month 17</t>
        </is>
      </c>
      <c r="B26" s="147" t="n">
        <v>17</v>
      </c>
      <c r="C26" s="41">
        <f>INDEX(Ops!$E$110:$BL$110,1,$B26)</f>
        <v/>
      </c>
      <c r="V26" s="153">
        <f>$C26*INDEX(Curves!$BD$8:$BD$68,V$4-$B26+1)</f>
        <v/>
      </c>
      <c r="W26" s="153">
        <f>$C26*INDEX(Curves!$BD$8:$BD$68,W$4-$B26+1)</f>
        <v/>
      </c>
      <c r="X26" s="153">
        <f>$C26*INDEX(Curves!$BD$8:$BD$68,X$4-$B26+1)</f>
        <v/>
      </c>
      <c r="Y26" s="153">
        <f>$C26*INDEX(Curves!$BD$8:$BD$68,Y$4-$B26+1)</f>
        <v/>
      </c>
      <c r="Z26" s="153">
        <f>$C26*INDEX(Curves!$BD$8:$BD$68,Z$4-$B26+1)</f>
        <v/>
      </c>
      <c r="AA26" s="153">
        <f>$C26*INDEX(Curves!$BD$8:$BD$68,AA$4-$B26+1)</f>
        <v/>
      </c>
      <c r="AB26" s="153">
        <f>$C26*INDEX(Curves!$BD$8:$BD$68,AB$4-$B26+1)</f>
        <v/>
      </c>
      <c r="AC26" s="153">
        <f>$C26*INDEX(Curves!$BD$8:$BD$68,AC$4-$B26+1)</f>
        <v/>
      </c>
      <c r="AD26" s="153">
        <f>$C26*INDEX(Curves!$BD$8:$BD$68,AD$4-$B26+1)</f>
        <v/>
      </c>
      <c r="AE26" s="153">
        <f>$C26*INDEX(Curves!$BD$8:$BD$68,AE$4-$B26+1)</f>
        <v/>
      </c>
      <c r="AF26" s="153">
        <f>$C26*INDEX(Curves!$BD$8:$BD$68,AF$4-$B26+1)</f>
        <v/>
      </c>
      <c r="AG26" s="153">
        <f>$C26*INDEX(Curves!$BD$8:$BD$68,AG$4-$B26+1)</f>
        <v/>
      </c>
      <c r="AH26" s="153">
        <f>$C26*INDEX(Curves!$BD$8:$BD$68,AH$4-$B26+1)</f>
        <v/>
      </c>
      <c r="AI26" s="153">
        <f>$C26*INDEX(Curves!$BD$8:$BD$68,AI$4-$B26+1)</f>
        <v/>
      </c>
      <c r="AJ26" s="153">
        <f>$C26*INDEX(Curves!$BD$8:$BD$68,AJ$4-$B26+1)</f>
        <v/>
      </c>
      <c r="AK26" s="153">
        <f>$C26*INDEX(Curves!$BD$8:$BD$68,AK$4-$B26+1)</f>
        <v/>
      </c>
      <c r="AL26" s="153">
        <f>$C26*INDEX(Curves!$BD$8:$BD$68,AL$4-$B26+1)</f>
        <v/>
      </c>
      <c r="AM26" s="153">
        <f>$C26*INDEX(Curves!$BD$8:$BD$68,AM$4-$B26+1)</f>
        <v/>
      </c>
      <c r="AN26" s="153">
        <f>$C26*INDEX(Curves!$BD$8:$BD$68,AN$4-$B26+1)</f>
        <v/>
      </c>
      <c r="AO26" s="153">
        <f>$C26*INDEX(Curves!$BD$8:$BD$68,AO$4-$B26+1)</f>
        <v/>
      </c>
      <c r="AP26" s="153">
        <f>$C26*INDEX(Curves!$BD$8:$BD$68,AP$4-$B26+1)</f>
        <v/>
      </c>
      <c r="AQ26" s="153">
        <f>$C26*INDEX(Curves!$BD$8:$BD$68,AQ$4-$B26+1)</f>
        <v/>
      </c>
      <c r="AR26" s="153">
        <f>$C26*INDEX(Curves!$BD$8:$BD$68,AR$4-$B26+1)</f>
        <v/>
      </c>
      <c r="AS26" s="153">
        <f>$C26*INDEX(Curves!$BD$8:$BD$68,AS$4-$B26+1)</f>
        <v/>
      </c>
      <c r="AT26" s="153">
        <f>$C26*INDEX(Curves!$BD$8:$BD$68,AT$4-$B26+1)</f>
        <v/>
      </c>
      <c r="AU26" s="153">
        <f>$C26*INDEX(Curves!$BD$8:$BD$68,AU$4-$B26+1)</f>
        <v/>
      </c>
      <c r="AV26" s="153">
        <f>$C26*INDEX(Curves!$BD$8:$BD$68,AV$4-$B26+1)</f>
        <v/>
      </c>
      <c r="AW26" s="153">
        <f>$C26*INDEX(Curves!$BD$8:$BD$68,AW$4-$B26+1)</f>
        <v/>
      </c>
      <c r="AX26" s="153">
        <f>$C26*INDEX(Curves!$BD$8:$BD$68,AX$4-$B26+1)</f>
        <v/>
      </c>
      <c r="AY26" s="153">
        <f>$C26*INDEX(Curves!$BD$8:$BD$68,AY$4-$B26+1)</f>
        <v/>
      </c>
      <c r="AZ26" s="153">
        <f>$C26*INDEX(Curves!$BD$8:$BD$68,AZ$4-$B26+1)</f>
        <v/>
      </c>
      <c r="BA26" s="153">
        <f>$C26*INDEX(Curves!$BD$8:$BD$68,BA$4-$B26+1)</f>
        <v/>
      </c>
      <c r="BB26" s="153">
        <f>$C26*INDEX(Curves!$BD$8:$BD$68,BB$4-$B26+1)</f>
        <v/>
      </c>
      <c r="BC26" s="153">
        <f>$C26*INDEX(Curves!$BD$8:$BD$68,BC$4-$B26+1)</f>
        <v/>
      </c>
      <c r="BD26" s="153">
        <f>$C26*INDEX(Curves!$BD$8:$BD$68,BD$4-$B26+1)</f>
        <v/>
      </c>
      <c r="BE26" s="153">
        <f>$C26*INDEX(Curves!$BD$8:$BD$68,BE$4-$B26+1)</f>
        <v/>
      </c>
      <c r="BF26" s="153">
        <f>$C26*INDEX(Curves!$BD$8:$BD$68,BF$4-$B26+1)</f>
        <v/>
      </c>
      <c r="BG26" s="153">
        <f>$C26*INDEX(Curves!$BD$8:$BD$68,BG$4-$B26+1)</f>
        <v/>
      </c>
      <c r="BH26" s="153">
        <f>$C26*INDEX(Curves!$BD$8:$BD$68,BH$4-$B26+1)</f>
        <v/>
      </c>
      <c r="BI26" s="153">
        <f>$C26*INDEX(Curves!$BD$8:$BD$68,BI$4-$B26+1)</f>
        <v/>
      </c>
      <c r="BJ26" s="153">
        <f>$C26*INDEX(Curves!$BD$8:$BD$68,BJ$4-$B26+1)</f>
        <v/>
      </c>
      <c r="BK26" s="153">
        <f>$C26*INDEX(Curves!$BD$8:$BD$68,BK$4-$B26+1)</f>
        <v/>
      </c>
      <c r="BL26" s="153">
        <f>$C26*INDEX(Curves!$BD$8:$BD$68,BL$4-$B26+1)</f>
        <v/>
      </c>
    </row>
    <row r="27">
      <c r="A27" s="147" t="inlineStr">
        <is>
          <t>Cohort month 18</t>
        </is>
      </c>
      <c r="B27" s="147" t="n">
        <v>18</v>
      </c>
      <c r="C27" s="41">
        <f>INDEX(Ops!$E$110:$BL$110,1,$B27)</f>
        <v/>
      </c>
      <c r="W27" s="153">
        <f>$C27*INDEX(Curves!$BD$8:$BD$68,W$4-$B27+1)</f>
        <v/>
      </c>
      <c r="X27" s="153">
        <f>$C27*INDEX(Curves!$BD$8:$BD$68,X$4-$B27+1)</f>
        <v/>
      </c>
      <c r="Y27" s="153">
        <f>$C27*INDEX(Curves!$BD$8:$BD$68,Y$4-$B27+1)</f>
        <v/>
      </c>
      <c r="Z27" s="153">
        <f>$C27*INDEX(Curves!$BD$8:$BD$68,Z$4-$B27+1)</f>
        <v/>
      </c>
      <c r="AA27" s="153">
        <f>$C27*INDEX(Curves!$BD$8:$BD$68,AA$4-$B27+1)</f>
        <v/>
      </c>
      <c r="AB27" s="153">
        <f>$C27*INDEX(Curves!$BD$8:$BD$68,AB$4-$B27+1)</f>
        <v/>
      </c>
      <c r="AC27" s="153">
        <f>$C27*INDEX(Curves!$BD$8:$BD$68,AC$4-$B27+1)</f>
        <v/>
      </c>
      <c r="AD27" s="153">
        <f>$C27*INDEX(Curves!$BD$8:$BD$68,AD$4-$B27+1)</f>
        <v/>
      </c>
      <c r="AE27" s="153">
        <f>$C27*INDEX(Curves!$BD$8:$BD$68,AE$4-$B27+1)</f>
        <v/>
      </c>
      <c r="AF27" s="153">
        <f>$C27*INDEX(Curves!$BD$8:$BD$68,AF$4-$B27+1)</f>
        <v/>
      </c>
      <c r="AG27" s="153">
        <f>$C27*INDEX(Curves!$BD$8:$BD$68,AG$4-$B27+1)</f>
        <v/>
      </c>
      <c r="AH27" s="153">
        <f>$C27*INDEX(Curves!$BD$8:$BD$68,AH$4-$B27+1)</f>
        <v/>
      </c>
      <c r="AI27" s="153">
        <f>$C27*INDEX(Curves!$BD$8:$BD$68,AI$4-$B27+1)</f>
        <v/>
      </c>
      <c r="AJ27" s="153">
        <f>$C27*INDEX(Curves!$BD$8:$BD$68,AJ$4-$B27+1)</f>
        <v/>
      </c>
      <c r="AK27" s="153">
        <f>$C27*INDEX(Curves!$BD$8:$BD$68,AK$4-$B27+1)</f>
        <v/>
      </c>
      <c r="AL27" s="153">
        <f>$C27*INDEX(Curves!$BD$8:$BD$68,AL$4-$B27+1)</f>
        <v/>
      </c>
      <c r="AM27" s="153">
        <f>$C27*INDEX(Curves!$BD$8:$BD$68,AM$4-$B27+1)</f>
        <v/>
      </c>
      <c r="AN27" s="153">
        <f>$C27*INDEX(Curves!$BD$8:$BD$68,AN$4-$B27+1)</f>
        <v/>
      </c>
      <c r="AO27" s="153">
        <f>$C27*INDEX(Curves!$BD$8:$BD$68,AO$4-$B27+1)</f>
        <v/>
      </c>
      <c r="AP27" s="153">
        <f>$C27*INDEX(Curves!$BD$8:$BD$68,AP$4-$B27+1)</f>
        <v/>
      </c>
      <c r="AQ27" s="153">
        <f>$C27*INDEX(Curves!$BD$8:$BD$68,AQ$4-$B27+1)</f>
        <v/>
      </c>
      <c r="AR27" s="153">
        <f>$C27*INDEX(Curves!$BD$8:$BD$68,AR$4-$B27+1)</f>
        <v/>
      </c>
      <c r="AS27" s="153">
        <f>$C27*INDEX(Curves!$BD$8:$BD$68,AS$4-$B27+1)</f>
        <v/>
      </c>
      <c r="AT27" s="153">
        <f>$C27*INDEX(Curves!$BD$8:$BD$68,AT$4-$B27+1)</f>
        <v/>
      </c>
      <c r="AU27" s="153">
        <f>$C27*INDEX(Curves!$BD$8:$BD$68,AU$4-$B27+1)</f>
        <v/>
      </c>
      <c r="AV27" s="153">
        <f>$C27*INDEX(Curves!$BD$8:$BD$68,AV$4-$B27+1)</f>
        <v/>
      </c>
      <c r="AW27" s="153">
        <f>$C27*INDEX(Curves!$BD$8:$BD$68,AW$4-$B27+1)</f>
        <v/>
      </c>
      <c r="AX27" s="153">
        <f>$C27*INDEX(Curves!$BD$8:$BD$68,AX$4-$B27+1)</f>
        <v/>
      </c>
      <c r="AY27" s="153">
        <f>$C27*INDEX(Curves!$BD$8:$BD$68,AY$4-$B27+1)</f>
        <v/>
      </c>
      <c r="AZ27" s="153">
        <f>$C27*INDEX(Curves!$BD$8:$BD$68,AZ$4-$B27+1)</f>
        <v/>
      </c>
      <c r="BA27" s="153">
        <f>$C27*INDEX(Curves!$BD$8:$BD$68,BA$4-$B27+1)</f>
        <v/>
      </c>
      <c r="BB27" s="153">
        <f>$C27*INDEX(Curves!$BD$8:$BD$68,BB$4-$B27+1)</f>
        <v/>
      </c>
      <c r="BC27" s="153">
        <f>$C27*INDEX(Curves!$BD$8:$BD$68,BC$4-$B27+1)</f>
        <v/>
      </c>
      <c r="BD27" s="153">
        <f>$C27*INDEX(Curves!$BD$8:$BD$68,BD$4-$B27+1)</f>
        <v/>
      </c>
      <c r="BE27" s="153">
        <f>$C27*INDEX(Curves!$BD$8:$BD$68,BE$4-$B27+1)</f>
        <v/>
      </c>
      <c r="BF27" s="153">
        <f>$C27*INDEX(Curves!$BD$8:$BD$68,BF$4-$B27+1)</f>
        <v/>
      </c>
      <c r="BG27" s="153">
        <f>$C27*INDEX(Curves!$BD$8:$BD$68,BG$4-$B27+1)</f>
        <v/>
      </c>
      <c r="BH27" s="153">
        <f>$C27*INDEX(Curves!$BD$8:$BD$68,BH$4-$B27+1)</f>
        <v/>
      </c>
      <c r="BI27" s="153">
        <f>$C27*INDEX(Curves!$BD$8:$BD$68,BI$4-$B27+1)</f>
        <v/>
      </c>
      <c r="BJ27" s="153">
        <f>$C27*INDEX(Curves!$BD$8:$BD$68,BJ$4-$B27+1)</f>
        <v/>
      </c>
      <c r="BK27" s="153">
        <f>$C27*INDEX(Curves!$BD$8:$BD$68,BK$4-$B27+1)</f>
        <v/>
      </c>
      <c r="BL27" s="153">
        <f>$C27*INDEX(Curves!$BD$8:$BD$68,BL$4-$B27+1)</f>
        <v/>
      </c>
    </row>
    <row r="28">
      <c r="A28" s="147" t="inlineStr">
        <is>
          <t>Cohort month 19</t>
        </is>
      </c>
      <c r="B28" s="147" t="n">
        <v>19</v>
      </c>
      <c r="C28" s="41">
        <f>INDEX(Ops!$E$110:$BL$110,1,$B28)</f>
        <v/>
      </c>
      <c r="X28" s="153">
        <f>$C28*INDEX(Curves!$BD$8:$BD$68,X$4-$B28+1)</f>
        <v/>
      </c>
      <c r="Y28" s="153">
        <f>$C28*INDEX(Curves!$BD$8:$BD$68,Y$4-$B28+1)</f>
        <v/>
      </c>
      <c r="Z28" s="153">
        <f>$C28*INDEX(Curves!$BD$8:$BD$68,Z$4-$B28+1)</f>
        <v/>
      </c>
      <c r="AA28" s="153">
        <f>$C28*INDEX(Curves!$BD$8:$BD$68,AA$4-$B28+1)</f>
        <v/>
      </c>
      <c r="AB28" s="153">
        <f>$C28*INDEX(Curves!$BD$8:$BD$68,AB$4-$B28+1)</f>
        <v/>
      </c>
      <c r="AC28" s="153">
        <f>$C28*INDEX(Curves!$BD$8:$BD$68,AC$4-$B28+1)</f>
        <v/>
      </c>
      <c r="AD28" s="153">
        <f>$C28*INDEX(Curves!$BD$8:$BD$68,AD$4-$B28+1)</f>
        <v/>
      </c>
      <c r="AE28" s="153">
        <f>$C28*INDEX(Curves!$BD$8:$BD$68,AE$4-$B28+1)</f>
        <v/>
      </c>
      <c r="AF28" s="153">
        <f>$C28*INDEX(Curves!$BD$8:$BD$68,AF$4-$B28+1)</f>
        <v/>
      </c>
      <c r="AG28" s="153">
        <f>$C28*INDEX(Curves!$BD$8:$BD$68,AG$4-$B28+1)</f>
        <v/>
      </c>
      <c r="AH28" s="153">
        <f>$C28*INDEX(Curves!$BD$8:$BD$68,AH$4-$B28+1)</f>
        <v/>
      </c>
      <c r="AI28" s="153">
        <f>$C28*INDEX(Curves!$BD$8:$BD$68,AI$4-$B28+1)</f>
        <v/>
      </c>
      <c r="AJ28" s="153">
        <f>$C28*INDEX(Curves!$BD$8:$BD$68,AJ$4-$B28+1)</f>
        <v/>
      </c>
      <c r="AK28" s="153">
        <f>$C28*INDEX(Curves!$BD$8:$BD$68,AK$4-$B28+1)</f>
        <v/>
      </c>
      <c r="AL28" s="153">
        <f>$C28*INDEX(Curves!$BD$8:$BD$68,AL$4-$B28+1)</f>
        <v/>
      </c>
      <c r="AM28" s="153">
        <f>$C28*INDEX(Curves!$BD$8:$BD$68,AM$4-$B28+1)</f>
        <v/>
      </c>
      <c r="AN28" s="153">
        <f>$C28*INDEX(Curves!$BD$8:$BD$68,AN$4-$B28+1)</f>
        <v/>
      </c>
      <c r="AO28" s="153">
        <f>$C28*INDEX(Curves!$BD$8:$BD$68,AO$4-$B28+1)</f>
        <v/>
      </c>
      <c r="AP28" s="153">
        <f>$C28*INDEX(Curves!$BD$8:$BD$68,AP$4-$B28+1)</f>
        <v/>
      </c>
      <c r="AQ28" s="153">
        <f>$C28*INDEX(Curves!$BD$8:$BD$68,AQ$4-$B28+1)</f>
        <v/>
      </c>
      <c r="AR28" s="153">
        <f>$C28*INDEX(Curves!$BD$8:$BD$68,AR$4-$B28+1)</f>
        <v/>
      </c>
      <c r="AS28" s="153">
        <f>$C28*INDEX(Curves!$BD$8:$BD$68,AS$4-$B28+1)</f>
        <v/>
      </c>
      <c r="AT28" s="153">
        <f>$C28*INDEX(Curves!$BD$8:$BD$68,AT$4-$B28+1)</f>
        <v/>
      </c>
      <c r="AU28" s="153">
        <f>$C28*INDEX(Curves!$BD$8:$BD$68,AU$4-$B28+1)</f>
        <v/>
      </c>
      <c r="AV28" s="153">
        <f>$C28*INDEX(Curves!$BD$8:$BD$68,AV$4-$B28+1)</f>
        <v/>
      </c>
      <c r="AW28" s="153">
        <f>$C28*INDEX(Curves!$BD$8:$BD$68,AW$4-$B28+1)</f>
        <v/>
      </c>
      <c r="AX28" s="153">
        <f>$C28*INDEX(Curves!$BD$8:$BD$68,AX$4-$B28+1)</f>
        <v/>
      </c>
      <c r="AY28" s="153">
        <f>$C28*INDEX(Curves!$BD$8:$BD$68,AY$4-$B28+1)</f>
        <v/>
      </c>
      <c r="AZ28" s="153">
        <f>$C28*INDEX(Curves!$BD$8:$BD$68,AZ$4-$B28+1)</f>
        <v/>
      </c>
      <c r="BA28" s="153">
        <f>$C28*INDEX(Curves!$BD$8:$BD$68,BA$4-$B28+1)</f>
        <v/>
      </c>
      <c r="BB28" s="153">
        <f>$C28*INDEX(Curves!$BD$8:$BD$68,BB$4-$B28+1)</f>
        <v/>
      </c>
      <c r="BC28" s="153">
        <f>$C28*INDEX(Curves!$BD$8:$BD$68,BC$4-$B28+1)</f>
        <v/>
      </c>
      <c r="BD28" s="153">
        <f>$C28*INDEX(Curves!$BD$8:$BD$68,BD$4-$B28+1)</f>
        <v/>
      </c>
      <c r="BE28" s="153">
        <f>$C28*INDEX(Curves!$BD$8:$BD$68,BE$4-$B28+1)</f>
        <v/>
      </c>
      <c r="BF28" s="153">
        <f>$C28*INDEX(Curves!$BD$8:$BD$68,BF$4-$B28+1)</f>
        <v/>
      </c>
      <c r="BG28" s="153">
        <f>$C28*INDEX(Curves!$BD$8:$BD$68,BG$4-$B28+1)</f>
        <v/>
      </c>
      <c r="BH28" s="153">
        <f>$C28*INDEX(Curves!$BD$8:$BD$68,BH$4-$B28+1)</f>
        <v/>
      </c>
      <c r="BI28" s="153">
        <f>$C28*INDEX(Curves!$BD$8:$BD$68,BI$4-$B28+1)</f>
        <v/>
      </c>
      <c r="BJ28" s="153">
        <f>$C28*INDEX(Curves!$BD$8:$BD$68,BJ$4-$B28+1)</f>
        <v/>
      </c>
      <c r="BK28" s="153">
        <f>$C28*INDEX(Curves!$BD$8:$BD$68,BK$4-$B28+1)</f>
        <v/>
      </c>
      <c r="BL28" s="153">
        <f>$C28*INDEX(Curves!$BD$8:$BD$68,BL$4-$B28+1)</f>
        <v/>
      </c>
    </row>
    <row r="29">
      <c r="A29" s="147" t="inlineStr">
        <is>
          <t>Cohort month 20</t>
        </is>
      </c>
      <c r="B29" s="147" t="n">
        <v>20</v>
      </c>
      <c r="C29" s="41">
        <f>INDEX(Ops!$E$110:$BL$110,1,$B29)</f>
        <v/>
      </c>
      <c r="Y29" s="153">
        <f>$C29*INDEX(Curves!$BD$8:$BD$68,Y$4-$B29+1)</f>
        <v/>
      </c>
      <c r="Z29" s="153">
        <f>$C29*INDEX(Curves!$BD$8:$BD$68,Z$4-$B29+1)</f>
        <v/>
      </c>
      <c r="AA29" s="153">
        <f>$C29*INDEX(Curves!$BD$8:$BD$68,AA$4-$B29+1)</f>
        <v/>
      </c>
      <c r="AB29" s="153">
        <f>$C29*INDEX(Curves!$BD$8:$BD$68,AB$4-$B29+1)</f>
        <v/>
      </c>
      <c r="AC29" s="153">
        <f>$C29*INDEX(Curves!$BD$8:$BD$68,AC$4-$B29+1)</f>
        <v/>
      </c>
      <c r="AD29" s="153">
        <f>$C29*INDEX(Curves!$BD$8:$BD$68,AD$4-$B29+1)</f>
        <v/>
      </c>
      <c r="AE29" s="153">
        <f>$C29*INDEX(Curves!$BD$8:$BD$68,AE$4-$B29+1)</f>
        <v/>
      </c>
      <c r="AF29" s="153">
        <f>$C29*INDEX(Curves!$BD$8:$BD$68,AF$4-$B29+1)</f>
        <v/>
      </c>
      <c r="AG29" s="153">
        <f>$C29*INDEX(Curves!$BD$8:$BD$68,AG$4-$B29+1)</f>
        <v/>
      </c>
      <c r="AH29" s="153">
        <f>$C29*INDEX(Curves!$BD$8:$BD$68,AH$4-$B29+1)</f>
        <v/>
      </c>
      <c r="AI29" s="153">
        <f>$C29*INDEX(Curves!$BD$8:$BD$68,AI$4-$B29+1)</f>
        <v/>
      </c>
      <c r="AJ29" s="153">
        <f>$C29*INDEX(Curves!$BD$8:$BD$68,AJ$4-$B29+1)</f>
        <v/>
      </c>
      <c r="AK29" s="153">
        <f>$C29*INDEX(Curves!$BD$8:$BD$68,AK$4-$B29+1)</f>
        <v/>
      </c>
      <c r="AL29" s="153">
        <f>$C29*INDEX(Curves!$BD$8:$BD$68,AL$4-$B29+1)</f>
        <v/>
      </c>
      <c r="AM29" s="153">
        <f>$C29*INDEX(Curves!$BD$8:$BD$68,AM$4-$B29+1)</f>
        <v/>
      </c>
      <c r="AN29" s="153">
        <f>$C29*INDEX(Curves!$BD$8:$BD$68,AN$4-$B29+1)</f>
        <v/>
      </c>
      <c r="AO29" s="153">
        <f>$C29*INDEX(Curves!$BD$8:$BD$68,AO$4-$B29+1)</f>
        <v/>
      </c>
      <c r="AP29" s="153">
        <f>$C29*INDEX(Curves!$BD$8:$BD$68,AP$4-$B29+1)</f>
        <v/>
      </c>
      <c r="AQ29" s="153">
        <f>$C29*INDEX(Curves!$BD$8:$BD$68,AQ$4-$B29+1)</f>
        <v/>
      </c>
      <c r="AR29" s="153">
        <f>$C29*INDEX(Curves!$BD$8:$BD$68,AR$4-$B29+1)</f>
        <v/>
      </c>
      <c r="AS29" s="153">
        <f>$C29*INDEX(Curves!$BD$8:$BD$68,AS$4-$B29+1)</f>
        <v/>
      </c>
      <c r="AT29" s="153">
        <f>$C29*INDEX(Curves!$BD$8:$BD$68,AT$4-$B29+1)</f>
        <v/>
      </c>
      <c r="AU29" s="153">
        <f>$C29*INDEX(Curves!$BD$8:$BD$68,AU$4-$B29+1)</f>
        <v/>
      </c>
      <c r="AV29" s="153">
        <f>$C29*INDEX(Curves!$BD$8:$BD$68,AV$4-$B29+1)</f>
        <v/>
      </c>
      <c r="AW29" s="153">
        <f>$C29*INDEX(Curves!$BD$8:$BD$68,AW$4-$B29+1)</f>
        <v/>
      </c>
      <c r="AX29" s="153">
        <f>$C29*INDEX(Curves!$BD$8:$BD$68,AX$4-$B29+1)</f>
        <v/>
      </c>
      <c r="AY29" s="153">
        <f>$C29*INDEX(Curves!$BD$8:$BD$68,AY$4-$B29+1)</f>
        <v/>
      </c>
      <c r="AZ29" s="153">
        <f>$C29*INDEX(Curves!$BD$8:$BD$68,AZ$4-$B29+1)</f>
        <v/>
      </c>
      <c r="BA29" s="153">
        <f>$C29*INDEX(Curves!$BD$8:$BD$68,BA$4-$B29+1)</f>
        <v/>
      </c>
      <c r="BB29" s="153">
        <f>$C29*INDEX(Curves!$BD$8:$BD$68,BB$4-$B29+1)</f>
        <v/>
      </c>
      <c r="BC29" s="153">
        <f>$C29*INDEX(Curves!$BD$8:$BD$68,BC$4-$B29+1)</f>
        <v/>
      </c>
      <c r="BD29" s="153">
        <f>$C29*INDEX(Curves!$BD$8:$BD$68,BD$4-$B29+1)</f>
        <v/>
      </c>
      <c r="BE29" s="153">
        <f>$C29*INDEX(Curves!$BD$8:$BD$68,BE$4-$B29+1)</f>
        <v/>
      </c>
      <c r="BF29" s="153">
        <f>$C29*INDEX(Curves!$BD$8:$BD$68,BF$4-$B29+1)</f>
        <v/>
      </c>
      <c r="BG29" s="153">
        <f>$C29*INDEX(Curves!$BD$8:$BD$68,BG$4-$B29+1)</f>
        <v/>
      </c>
      <c r="BH29" s="153">
        <f>$C29*INDEX(Curves!$BD$8:$BD$68,BH$4-$B29+1)</f>
        <v/>
      </c>
      <c r="BI29" s="153">
        <f>$C29*INDEX(Curves!$BD$8:$BD$68,BI$4-$B29+1)</f>
        <v/>
      </c>
      <c r="BJ29" s="153">
        <f>$C29*INDEX(Curves!$BD$8:$BD$68,BJ$4-$B29+1)</f>
        <v/>
      </c>
      <c r="BK29" s="153">
        <f>$C29*INDEX(Curves!$BD$8:$BD$68,BK$4-$B29+1)</f>
        <v/>
      </c>
      <c r="BL29" s="153">
        <f>$C29*INDEX(Curves!$BD$8:$BD$68,BL$4-$B29+1)</f>
        <v/>
      </c>
    </row>
    <row r="30">
      <c r="A30" s="147" t="inlineStr">
        <is>
          <t>Cohort month 21</t>
        </is>
      </c>
      <c r="B30" s="147" t="n">
        <v>21</v>
      </c>
      <c r="C30" s="41">
        <f>INDEX(Ops!$E$110:$BL$110,1,$B30)</f>
        <v/>
      </c>
      <c r="Z30" s="153">
        <f>$C30*INDEX(Curves!$BD$8:$BD$68,Z$4-$B30+1)</f>
        <v/>
      </c>
      <c r="AA30" s="153">
        <f>$C30*INDEX(Curves!$BD$8:$BD$68,AA$4-$B30+1)</f>
        <v/>
      </c>
      <c r="AB30" s="153">
        <f>$C30*INDEX(Curves!$BD$8:$BD$68,AB$4-$B30+1)</f>
        <v/>
      </c>
      <c r="AC30" s="153">
        <f>$C30*INDEX(Curves!$BD$8:$BD$68,AC$4-$B30+1)</f>
        <v/>
      </c>
      <c r="AD30" s="153">
        <f>$C30*INDEX(Curves!$BD$8:$BD$68,AD$4-$B30+1)</f>
        <v/>
      </c>
      <c r="AE30" s="153">
        <f>$C30*INDEX(Curves!$BD$8:$BD$68,AE$4-$B30+1)</f>
        <v/>
      </c>
      <c r="AF30" s="153">
        <f>$C30*INDEX(Curves!$BD$8:$BD$68,AF$4-$B30+1)</f>
        <v/>
      </c>
      <c r="AG30" s="153">
        <f>$C30*INDEX(Curves!$BD$8:$BD$68,AG$4-$B30+1)</f>
        <v/>
      </c>
      <c r="AH30" s="153">
        <f>$C30*INDEX(Curves!$BD$8:$BD$68,AH$4-$B30+1)</f>
        <v/>
      </c>
      <c r="AI30" s="153">
        <f>$C30*INDEX(Curves!$BD$8:$BD$68,AI$4-$B30+1)</f>
        <v/>
      </c>
      <c r="AJ30" s="153">
        <f>$C30*INDEX(Curves!$BD$8:$BD$68,AJ$4-$B30+1)</f>
        <v/>
      </c>
      <c r="AK30" s="153">
        <f>$C30*INDEX(Curves!$BD$8:$BD$68,AK$4-$B30+1)</f>
        <v/>
      </c>
      <c r="AL30" s="153">
        <f>$C30*INDEX(Curves!$BD$8:$BD$68,AL$4-$B30+1)</f>
        <v/>
      </c>
      <c r="AM30" s="153">
        <f>$C30*INDEX(Curves!$BD$8:$BD$68,AM$4-$B30+1)</f>
        <v/>
      </c>
      <c r="AN30" s="153">
        <f>$C30*INDEX(Curves!$BD$8:$BD$68,AN$4-$B30+1)</f>
        <v/>
      </c>
      <c r="AO30" s="153">
        <f>$C30*INDEX(Curves!$BD$8:$BD$68,AO$4-$B30+1)</f>
        <v/>
      </c>
      <c r="AP30" s="153">
        <f>$C30*INDEX(Curves!$BD$8:$BD$68,AP$4-$B30+1)</f>
        <v/>
      </c>
      <c r="AQ30" s="153">
        <f>$C30*INDEX(Curves!$BD$8:$BD$68,AQ$4-$B30+1)</f>
        <v/>
      </c>
      <c r="AR30" s="153">
        <f>$C30*INDEX(Curves!$BD$8:$BD$68,AR$4-$B30+1)</f>
        <v/>
      </c>
      <c r="AS30" s="153">
        <f>$C30*INDEX(Curves!$BD$8:$BD$68,AS$4-$B30+1)</f>
        <v/>
      </c>
      <c r="AT30" s="153">
        <f>$C30*INDEX(Curves!$BD$8:$BD$68,AT$4-$B30+1)</f>
        <v/>
      </c>
      <c r="AU30" s="153">
        <f>$C30*INDEX(Curves!$BD$8:$BD$68,AU$4-$B30+1)</f>
        <v/>
      </c>
      <c r="AV30" s="153">
        <f>$C30*INDEX(Curves!$BD$8:$BD$68,AV$4-$B30+1)</f>
        <v/>
      </c>
      <c r="AW30" s="153">
        <f>$C30*INDEX(Curves!$BD$8:$BD$68,AW$4-$B30+1)</f>
        <v/>
      </c>
      <c r="AX30" s="153">
        <f>$C30*INDEX(Curves!$BD$8:$BD$68,AX$4-$B30+1)</f>
        <v/>
      </c>
      <c r="AY30" s="153">
        <f>$C30*INDEX(Curves!$BD$8:$BD$68,AY$4-$B30+1)</f>
        <v/>
      </c>
      <c r="AZ30" s="153">
        <f>$C30*INDEX(Curves!$BD$8:$BD$68,AZ$4-$B30+1)</f>
        <v/>
      </c>
      <c r="BA30" s="153">
        <f>$C30*INDEX(Curves!$BD$8:$BD$68,BA$4-$B30+1)</f>
        <v/>
      </c>
      <c r="BB30" s="153">
        <f>$C30*INDEX(Curves!$BD$8:$BD$68,BB$4-$B30+1)</f>
        <v/>
      </c>
      <c r="BC30" s="153">
        <f>$C30*INDEX(Curves!$BD$8:$BD$68,BC$4-$B30+1)</f>
        <v/>
      </c>
      <c r="BD30" s="153">
        <f>$C30*INDEX(Curves!$BD$8:$BD$68,BD$4-$B30+1)</f>
        <v/>
      </c>
      <c r="BE30" s="153">
        <f>$C30*INDEX(Curves!$BD$8:$BD$68,BE$4-$B30+1)</f>
        <v/>
      </c>
      <c r="BF30" s="153">
        <f>$C30*INDEX(Curves!$BD$8:$BD$68,BF$4-$B30+1)</f>
        <v/>
      </c>
      <c r="BG30" s="153">
        <f>$C30*INDEX(Curves!$BD$8:$BD$68,BG$4-$B30+1)</f>
        <v/>
      </c>
      <c r="BH30" s="153">
        <f>$C30*INDEX(Curves!$BD$8:$BD$68,BH$4-$B30+1)</f>
        <v/>
      </c>
      <c r="BI30" s="153">
        <f>$C30*INDEX(Curves!$BD$8:$BD$68,BI$4-$B30+1)</f>
        <v/>
      </c>
      <c r="BJ30" s="153">
        <f>$C30*INDEX(Curves!$BD$8:$BD$68,BJ$4-$B30+1)</f>
        <v/>
      </c>
      <c r="BK30" s="153">
        <f>$C30*INDEX(Curves!$BD$8:$BD$68,BK$4-$B30+1)</f>
        <v/>
      </c>
      <c r="BL30" s="153">
        <f>$C30*INDEX(Curves!$BD$8:$BD$68,BL$4-$B30+1)</f>
        <v/>
      </c>
    </row>
    <row r="31">
      <c r="A31" s="147" t="inlineStr">
        <is>
          <t>Cohort month 22</t>
        </is>
      </c>
      <c r="B31" s="147" t="n">
        <v>22</v>
      </c>
      <c r="C31" s="41">
        <f>INDEX(Ops!$E$110:$BL$110,1,$B31)</f>
        <v/>
      </c>
      <c r="AA31" s="153">
        <f>$C31*INDEX(Curves!$BD$8:$BD$68,AA$4-$B31+1)</f>
        <v/>
      </c>
      <c r="AB31" s="153">
        <f>$C31*INDEX(Curves!$BD$8:$BD$68,AB$4-$B31+1)</f>
        <v/>
      </c>
      <c r="AC31" s="153">
        <f>$C31*INDEX(Curves!$BD$8:$BD$68,AC$4-$B31+1)</f>
        <v/>
      </c>
      <c r="AD31" s="153">
        <f>$C31*INDEX(Curves!$BD$8:$BD$68,AD$4-$B31+1)</f>
        <v/>
      </c>
      <c r="AE31" s="153">
        <f>$C31*INDEX(Curves!$BD$8:$BD$68,AE$4-$B31+1)</f>
        <v/>
      </c>
      <c r="AF31" s="153">
        <f>$C31*INDEX(Curves!$BD$8:$BD$68,AF$4-$B31+1)</f>
        <v/>
      </c>
      <c r="AG31" s="153">
        <f>$C31*INDEX(Curves!$BD$8:$BD$68,AG$4-$B31+1)</f>
        <v/>
      </c>
      <c r="AH31" s="153">
        <f>$C31*INDEX(Curves!$BD$8:$BD$68,AH$4-$B31+1)</f>
        <v/>
      </c>
      <c r="AI31" s="153">
        <f>$C31*INDEX(Curves!$BD$8:$BD$68,AI$4-$B31+1)</f>
        <v/>
      </c>
      <c r="AJ31" s="153">
        <f>$C31*INDEX(Curves!$BD$8:$BD$68,AJ$4-$B31+1)</f>
        <v/>
      </c>
      <c r="AK31" s="153">
        <f>$C31*INDEX(Curves!$BD$8:$BD$68,AK$4-$B31+1)</f>
        <v/>
      </c>
      <c r="AL31" s="153">
        <f>$C31*INDEX(Curves!$BD$8:$BD$68,AL$4-$B31+1)</f>
        <v/>
      </c>
      <c r="AM31" s="153">
        <f>$C31*INDEX(Curves!$BD$8:$BD$68,AM$4-$B31+1)</f>
        <v/>
      </c>
      <c r="AN31" s="153">
        <f>$C31*INDEX(Curves!$BD$8:$BD$68,AN$4-$B31+1)</f>
        <v/>
      </c>
      <c r="AO31" s="153">
        <f>$C31*INDEX(Curves!$BD$8:$BD$68,AO$4-$B31+1)</f>
        <v/>
      </c>
      <c r="AP31" s="153">
        <f>$C31*INDEX(Curves!$BD$8:$BD$68,AP$4-$B31+1)</f>
        <v/>
      </c>
      <c r="AQ31" s="153">
        <f>$C31*INDEX(Curves!$BD$8:$BD$68,AQ$4-$B31+1)</f>
        <v/>
      </c>
      <c r="AR31" s="153">
        <f>$C31*INDEX(Curves!$BD$8:$BD$68,AR$4-$B31+1)</f>
        <v/>
      </c>
      <c r="AS31" s="153">
        <f>$C31*INDEX(Curves!$BD$8:$BD$68,AS$4-$B31+1)</f>
        <v/>
      </c>
      <c r="AT31" s="153">
        <f>$C31*INDEX(Curves!$BD$8:$BD$68,AT$4-$B31+1)</f>
        <v/>
      </c>
      <c r="AU31" s="153">
        <f>$C31*INDEX(Curves!$BD$8:$BD$68,AU$4-$B31+1)</f>
        <v/>
      </c>
      <c r="AV31" s="153">
        <f>$C31*INDEX(Curves!$BD$8:$BD$68,AV$4-$B31+1)</f>
        <v/>
      </c>
      <c r="AW31" s="153">
        <f>$C31*INDEX(Curves!$BD$8:$BD$68,AW$4-$B31+1)</f>
        <v/>
      </c>
      <c r="AX31" s="153">
        <f>$C31*INDEX(Curves!$BD$8:$BD$68,AX$4-$B31+1)</f>
        <v/>
      </c>
      <c r="AY31" s="153">
        <f>$C31*INDEX(Curves!$BD$8:$BD$68,AY$4-$B31+1)</f>
        <v/>
      </c>
      <c r="AZ31" s="153">
        <f>$C31*INDEX(Curves!$BD$8:$BD$68,AZ$4-$B31+1)</f>
        <v/>
      </c>
      <c r="BA31" s="153">
        <f>$C31*INDEX(Curves!$BD$8:$BD$68,BA$4-$B31+1)</f>
        <v/>
      </c>
      <c r="BB31" s="153">
        <f>$C31*INDEX(Curves!$BD$8:$BD$68,BB$4-$B31+1)</f>
        <v/>
      </c>
      <c r="BC31" s="153">
        <f>$C31*INDEX(Curves!$BD$8:$BD$68,BC$4-$B31+1)</f>
        <v/>
      </c>
      <c r="BD31" s="153">
        <f>$C31*INDEX(Curves!$BD$8:$BD$68,BD$4-$B31+1)</f>
        <v/>
      </c>
      <c r="BE31" s="153">
        <f>$C31*INDEX(Curves!$BD$8:$BD$68,BE$4-$B31+1)</f>
        <v/>
      </c>
      <c r="BF31" s="153">
        <f>$C31*INDEX(Curves!$BD$8:$BD$68,BF$4-$B31+1)</f>
        <v/>
      </c>
      <c r="BG31" s="153">
        <f>$C31*INDEX(Curves!$BD$8:$BD$68,BG$4-$B31+1)</f>
        <v/>
      </c>
      <c r="BH31" s="153">
        <f>$C31*INDEX(Curves!$BD$8:$BD$68,BH$4-$B31+1)</f>
        <v/>
      </c>
      <c r="BI31" s="153">
        <f>$C31*INDEX(Curves!$BD$8:$BD$68,BI$4-$B31+1)</f>
        <v/>
      </c>
      <c r="BJ31" s="153">
        <f>$C31*INDEX(Curves!$BD$8:$BD$68,BJ$4-$B31+1)</f>
        <v/>
      </c>
      <c r="BK31" s="153">
        <f>$C31*INDEX(Curves!$BD$8:$BD$68,BK$4-$B31+1)</f>
        <v/>
      </c>
      <c r="BL31" s="153">
        <f>$C31*INDEX(Curves!$BD$8:$BD$68,BL$4-$B31+1)</f>
        <v/>
      </c>
    </row>
    <row r="32">
      <c r="A32" s="147" t="inlineStr">
        <is>
          <t>Cohort month 23</t>
        </is>
      </c>
      <c r="B32" s="147" t="n">
        <v>23</v>
      </c>
      <c r="C32" s="41">
        <f>INDEX(Ops!$E$110:$BL$110,1,$B32)</f>
        <v/>
      </c>
      <c r="AB32" s="153">
        <f>$C32*INDEX(Curves!$BD$8:$BD$68,AB$4-$B32+1)</f>
        <v/>
      </c>
      <c r="AC32" s="153">
        <f>$C32*INDEX(Curves!$BD$8:$BD$68,AC$4-$B32+1)</f>
        <v/>
      </c>
      <c r="AD32" s="153">
        <f>$C32*INDEX(Curves!$BD$8:$BD$68,AD$4-$B32+1)</f>
        <v/>
      </c>
      <c r="AE32" s="153">
        <f>$C32*INDEX(Curves!$BD$8:$BD$68,AE$4-$B32+1)</f>
        <v/>
      </c>
      <c r="AF32" s="153">
        <f>$C32*INDEX(Curves!$BD$8:$BD$68,AF$4-$B32+1)</f>
        <v/>
      </c>
      <c r="AG32" s="153">
        <f>$C32*INDEX(Curves!$BD$8:$BD$68,AG$4-$B32+1)</f>
        <v/>
      </c>
      <c r="AH32" s="153">
        <f>$C32*INDEX(Curves!$BD$8:$BD$68,AH$4-$B32+1)</f>
        <v/>
      </c>
      <c r="AI32" s="153">
        <f>$C32*INDEX(Curves!$BD$8:$BD$68,AI$4-$B32+1)</f>
        <v/>
      </c>
      <c r="AJ32" s="153">
        <f>$C32*INDEX(Curves!$BD$8:$BD$68,AJ$4-$B32+1)</f>
        <v/>
      </c>
      <c r="AK32" s="153">
        <f>$C32*INDEX(Curves!$BD$8:$BD$68,AK$4-$B32+1)</f>
        <v/>
      </c>
      <c r="AL32" s="153">
        <f>$C32*INDEX(Curves!$BD$8:$BD$68,AL$4-$B32+1)</f>
        <v/>
      </c>
      <c r="AM32" s="153">
        <f>$C32*INDEX(Curves!$BD$8:$BD$68,AM$4-$B32+1)</f>
        <v/>
      </c>
      <c r="AN32" s="153">
        <f>$C32*INDEX(Curves!$BD$8:$BD$68,AN$4-$B32+1)</f>
        <v/>
      </c>
      <c r="AO32" s="153">
        <f>$C32*INDEX(Curves!$BD$8:$BD$68,AO$4-$B32+1)</f>
        <v/>
      </c>
      <c r="AP32" s="153">
        <f>$C32*INDEX(Curves!$BD$8:$BD$68,AP$4-$B32+1)</f>
        <v/>
      </c>
      <c r="AQ32" s="153">
        <f>$C32*INDEX(Curves!$BD$8:$BD$68,AQ$4-$B32+1)</f>
        <v/>
      </c>
      <c r="AR32" s="153">
        <f>$C32*INDEX(Curves!$BD$8:$BD$68,AR$4-$B32+1)</f>
        <v/>
      </c>
      <c r="AS32" s="153">
        <f>$C32*INDEX(Curves!$BD$8:$BD$68,AS$4-$B32+1)</f>
        <v/>
      </c>
      <c r="AT32" s="153">
        <f>$C32*INDEX(Curves!$BD$8:$BD$68,AT$4-$B32+1)</f>
        <v/>
      </c>
      <c r="AU32" s="153">
        <f>$C32*INDEX(Curves!$BD$8:$BD$68,AU$4-$B32+1)</f>
        <v/>
      </c>
      <c r="AV32" s="153">
        <f>$C32*INDEX(Curves!$BD$8:$BD$68,AV$4-$B32+1)</f>
        <v/>
      </c>
      <c r="AW32" s="153">
        <f>$C32*INDEX(Curves!$BD$8:$BD$68,AW$4-$B32+1)</f>
        <v/>
      </c>
      <c r="AX32" s="153">
        <f>$C32*INDEX(Curves!$BD$8:$BD$68,AX$4-$B32+1)</f>
        <v/>
      </c>
      <c r="AY32" s="153">
        <f>$C32*INDEX(Curves!$BD$8:$BD$68,AY$4-$B32+1)</f>
        <v/>
      </c>
      <c r="AZ32" s="153">
        <f>$C32*INDEX(Curves!$BD$8:$BD$68,AZ$4-$B32+1)</f>
        <v/>
      </c>
      <c r="BA32" s="153">
        <f>$C32*INDEX(Curves!$BD$8:$BD$68,BA$4-$B32+1)</f>
        <v/>
      </c>
      <c r="BB32" s="153">
        <f>$C32*INDEX(Curves!$BD$8:$BD$68,BB$4-$B32+1)</f>
        <v/>
      </c>
      <c r="BC32" s="153">
        <f>$C32*INDEX(Curves!$BD$8:$BD$68,BC$4-$B32+1)</f>
        <v/>
      </c>
      <c r="BD32" s="153">
        <f>$C32*INDEX(Curves!$BD$8:$BD$68,BD$4-$B32+1)</f>
        <v/>
      </c>
      <c r="BE32" s="153">
        <f>$C32*INDEX(Curves!$BD$8:$BD$68,BE$4-$B32+1)</f>
        <v/>
      </c>
      <c r="BF32" s="153">
        <f>$C32*INDEX(Curves!$BD$8:$BD$68,BF$4-$B32+1)</f>
        <v/>
      </c>
      <c r="BG32" s="153">
        <f>$C32*INDEX(Curves!$BD$8:$BD$68,BG$4-$B32+1)</f>
        <v/>
      </c>
      <c r="BH32" s="153">
        <f>$C32*INDEX(Curves!$BD$8:$BD$68,BH$4-$B32+1)</f>
        <v/>
      </c>
      <c r="BI32" s="153">
        <f>$C32*INDEX(Curves!$BD$8:$BD$68,BI$4-$B32+1)</f>
        <v/>
      </c>
      <c r="BJ32" s="153">
        <f>$C32*INDEX(Curves!$BD$8:$BD$68,BJ$4-$B32+1)</f>
        <v/>
      </c>
      <c r="BK32" s="153">
        <f>$C32*INDEX(Curves!$BD$8:$BD$68,BK$4-$B32+1)</f>
        <v/>
      </c>
      <c r="BL32" s="153">
        <f>$C32*INDEX(Curves!$BD$8:$BD$68,BL$4-$B32+1)</f>
        <v/>
      </c>
    </row>
    <row r="33">
      <c r="A33" s="147" t="inlineStr">
        <is>
          <t>Cohort month 24</t>
        </is>
      </c>
      <c r="B33" s="147" t="n">
        <v>24</v>
      </c>
      <c r="C33" s="41">
        <f>INDEX(Ops!$E$110:$BL$110,1,$B33)</f>
        <v/>
      </c>
      <c r="AC33" s="153">
        <f>$C33*INDEX(Curves!$BD$8:$BD$68,AC$4-$B33+1)</f>
        <v/>
      </c>
      <c r="AD33" s="153">
        <f>$C33*INDEX(Curves!$BD$8:$BD$68,AD$4-$B33+1)</f>
        <v/>
      </c>
      <c r="AE33" s="153">
        <f>$C33*INDEX(Curves!$BD$8:$BD$68,AE$4-$B33+1)</f>
        <v/>
      </c>
      <c r="AF33" s="153">
        <f>$C33*INDEX(Curves!$BD$8:$BD$68,AF$4-$B33+1)</f>
        <v/>
      </c>
      <c r="AG33" s="153">
        <f>$C33*INDEX(Curves!$BD$8:$BD$68,AG$4-$B33+1)</f>
        <v/>
      </c>
      <c r="AH33" s="153">
        <f>$C33*INDEX(Curves!$BD$8:$BD$68,AH$4-$B33+1)</f>
        <v/>
      </c>
      <c r="AI33" s="153">
        <f>$C33*INDEX(Curves!$BD$8:$BD$68,AI$4-$B33+1)</f>
        <v/>
      </c>
      <c r="AJ33" s="153">
        <f>$C33*INDEX(Curves!$BD$8:$BD$68,AJ$4-$B33+1)</f>
        <v/>
      </c>
      <c r="AK33" s="153">
        <f>$C33*INDEX(Curves!$BD$8:$BD$68,AK$4-$B33+1)</f>
        <v/>
      </c>
      <c r="AL33" s="153">
        <f>$C33*INDEX(Curves!$BD$8:$BD$68,AL$4-$B33+1)</f>
        <v/>
      </c>
      <c r="AM33" s="153">
        <f>$C33*INDEX(Curves!$BD$8:$BD$68,AM$4-$B33+1)</f>
        <v/>
      </c>
      <c r="AN33" s="153">
        <f>$C33*INDEX(Curves!$BD$8:$BD$68,AN$4-$B33+1)</f>
        <v/>
      </c>
      <c r="AO33" s="153">
        <f>$C33*INDEX(Curves!$BD$8:$BD$68,AO$4-$B33+1)</f>
        <v/>
      </c>
      <c r="AP33" s="153">
        <f>$C33*INDEX(Curves!$BD$8:$BD$68,AP$4-$B33+1)</f>
        <v/>
      </c>
      <c r="AQ33" s="153">
        <f>$C33*INDEX(Curves!$BD$8:$BD$68,AQ$4-$B33+1)</f>
        <v/>
      </c>
      <c r="AR33" s="153">
        <f>$C33*INDEX(Curves!$BD$8:$BD$68,AR$4-$B33+1)</f>
        <v/>
      </c>
      <c r="AS33" s="153">
        <f>$C33*INDEX(Curves!$BD$8:$BD$68,AS$4-$B33+1)</f>
        <v/>
      </c>
      <c r="AT33" s="153">
        <f>$C33*INDEX(Curves!$BD$8:$BD$68,AT$4-$B33+1)</f>
        <v/>
      </c>
      <c r="AU33" s="153">
        <f>$C33*INDEX(Curves!$BD$8:$BD$68,AU$4-$B33+1)</f>
        <v/>
      </c>
      <c r="AV33" s="153">
        <f>$C33*INDEX(Curves!$BD$8:$BD$68,AV$4-$B33+1)</f>
        <v/>
      </c>
      <c r="AW33" s="153">
        <f>$C33*INDEX(Curves!$BD$8:$BD$68,AW$4-$B33+1)</f>
        <v/>
      </c>
      <c r="AX33" s="153">
        <f>$C33*INDEX(Curves!$BD$8:$BD$68,AX$4-$B33+1)</f>
        <v/>
      </c>
      <c r="AY33" s="153">
        <f>$C33*INDEX(Curves!$BD$8:$BD$68,AY$4-$B33+1)</f>
        <v/>
      </c>
      <c r="AZ33" s="153">
        <f>$C33*INDEX(Curves!$BD$8:$BD$68,AZ$4-$B33+1)</f>
        <v/>
      </c>
      <c r="BA33" s="153">
        <f>$C33*INDEX(Curves!$BD$8:$BD$68,BA$4-$B33+1)</f>
        <v/>
      </c>
      <c r="BB33" s="153">
        <f>$C33*INDEX(Curves!$BD$8:$BD$68,BB$4-$B33+1)</f>
        <v/>
      </c>
      <c r="BC33" s="153">
        <f>$C33*INDEX(Curves!$BD$8:$BD$68,BC$4-$B33+1)</f>
        <v/>
      </c>
      <c r="BD33" s="153">
        <f>$C33*INDEX(Curves!$BD$8:$BD$68,BD$4-$B33+1)</f>
        <v/>
      </c>
      <c r="BE33" s="153">
        <f>$C33*INDEX(Curves!$BD$8:$BD$68,BE$4-$B33+1)</f>
        <v/>
      </c>
      <c r="BF33" s="153">
        <f>$C33*INDEX(Curves!$BD$8:$BD$68,BF$4-$B33+1)</f>
        <v/>
      </c>
      <c r="BG33" s="153">
        <f>$C33*INDEX(Curves!$BD$8:$BD$68,BG$4-$B33+1)</f>
        <v/>
      </c>
      <c r="BH33" s="153">
        <f>$C33*INDEX(Curves!$BD$8:$BD$68,BH$4-$B33+1)</f>
        <v/>
      </c>
      <c r="BI33" s="153">
        <f>$C33*INDEX(Curves!$BD$8:$BD$68,BI$4-$B33+1)</f>
        <v/>
      </c>
      <c r="BJ33" s="153">
        <f>$C33*INDEX(Curves!$BD$8:$BD$68,BJ$4-$B33+1)</f>
        <v/>
      </c>
      <c r="BK33" s="153">
        <f>$C33*INDEX(Curves!$BD$8:$BD$68,BK$4-$B33+1)</f>
        <v/>
      </c>
      <c r="BL33" s="153">
        <f>$C33*INDEX(Curves!$BD$8:$BD$68,BL$4-$B33+1)</f>
        <v/>
      </c>
    </row>
    <row r="34">
      <c r="A34" s="147" t="inlineStr">
        <is>
          <t>Cohort month 25</t>
        </is>
      </c>
      <c r="B34" s="147" t="n">
        <v>25</v>
      </c>
      <c r="C34" s="41">
        <f>INDEX(Ops!$E$110:$BL$110,1,$B34)</f>
        <v/>
      </c>
      <c r="AD34" s="153">
        <f>$C34*INDEX(Curves!$BD$8:$BD$68,AD$4-$B34+1)</f>
        <v/>
      </c>
      <c r="AE34" s="153">
        <f>$C34*INDEX(Curves!$BD$8:$BD$68,AE$4-$B34+1)</f>
        <v/>
      </c>
      <c r="AF34" s="153">
        <f>$C34*INDEX(Curves!$BD$8:$BD$68,AF$4-$B34+1)</f>
        <v/>
      </c>
      <c r="AG34" s="153">
        <f>$C34*INDEX(Curves!$BD$8:$BD$68,AG$4-$B34+1)</f>
        <v/>
      </c>
      <c r="AH34" s="153">
        <f>$C34*INDEX(Curves!$BD$8:$BD$68,AH$4-$B34+1)</f>
        <v/>
      </c>
      <c r="AI34" s="153">
        <f>$C34*INDEX(Curves!$BD$8:$BD$68,AI$4-$B34+1)</f>
        <v/>
      </c>
      <c r="AJ34" s="153">
        <f>$C34*INDEX(Curves!$BD$8:$BD$68,AJ$4-$B34+1)</f>
        <v/>
      </c>
      <c r="AK34" s="153">
        <f>$C34*INDEX(Curves!$BD$8:$BD$68,AK$4-$B34+1)</f>
        <v/>
      </c>
      <c r="AL34" s="153">
        <f>$C34*INDEX(Curves!$BD$8:$BD$68,AL$4-$B34+1)</f>
        <v/>
      </c>
      <c r="AM34" s="153">
        <f>$C34*INDEX(Curves!$BD$8:$BD$68,AM$4-$B34+1)</f>
        <v/>
      </c>
      <c r="AN34" s="153">
        <f>$C34*INDEX(Curves!$BD$8:$BD$68,AN$4-$B34+1)</f>
        <v/>
      </c>
      <c r="AO34" s="153">
        <f>$C34*INDEX(Curves!$BD$8:$BD$68,AO$4-$B34+1)</f>
        <v/>
      </c>
      <c r="AP34" s="153">
        <f>$C34*INDEX(Curves!$BD$8:$BD$68,AP$4-$B34+1)</f>
        <v/>
      </c>
      <c r="AQ34" s="153">
        <f>$C34*INDEX(Curves!$BD$8:$BD$68,AQ$4-$B34+1)</f>
        <v/>
      </c>
      <c r="AR34" s="153">
        <f>$C34*INDEX(Curves!$BD$8:$BD$68,AR$4-$B34+1)</f>
        <v/>
      </c>
      <c r="AS34" s="153">
        <f>$C34*INDEX(Curves!$BD$8:$BD$68,AS$4-$B34+1)</f>
        <v/>
      </c>
      <c r="AT34" s="153">
        <f>$C34*INDEX(Curves!$BD$8:$BD$68,AT$4-$B34+1)</f>
        <v/>
      </c>
      <c r="AU34" s="153">
        <f>$C34*INDEX(Curves!$BD$8:$BD$68,AU$4-$B34+1)</f>
        <v/>
      </c>
      <c r="AV34" s="153">
        <f>$C34*INDEX(Curves!$BD$8:$BD$68,AV$4-$B34+1)</f>
        <v/>
      </c>
      <c r="AW34" s="153">
        <f>$C34*INDEX(Curves!$BD$8:$BD$68,AW$4-$B34+1)</f>
        <v/>
      </c>
      <c r="AX34" s="153">
        <f>$C34*INDEX(Curves!$BD$8:$BD$68,AX$4-$B34+1)</f>
        <v/>
      </c>
      <c r="AY34" s="153">
        <f>$C34*INDEX(Curves!$BD$8:$BD$68,AY$4-$B34+1)</f>
        <v/>
      </c>
      <c r="AZ34" s="153">
        <f>$C34*INDEX(Curves!$BD$8:$BD$68,AZ$4-$B34+1)</f>
        <v/>
      </c>
      <c r="BA34" s="153">
        <f>$C34*INDEX(Curves!$BD$8:$BD$68,BA$4-$B34+1)</f>
        <v/>
      </c>
      <c r="BB34" s="153">
        <f>$C34*INDEX(Curves!$BD$8:$BD$68,BB$4-$B34+1)</f>
        <v/>
      </c>
      <c r="BC34" s="153">
        <f>$C34*INDEX(Curves!$BD$8:$BD$68,BC$4-$B34+1)</f>
        <v/>
      </c>
      <c r="BD34" s="153">
        <f>$C34*INDEX(Curves!$BD$8:$BD$68,BD$4-$B34+1)</f>
        <v/>
      </c>
      <c r="BE34" s="153">
        <f>$C34*INDEX(Curves!$BD$8:$BD$68,BE$4-$B34+1)</f>
        <v/>
      </c>
      <c r="BF34" s="153">
        <f>$C34*INDEX(Curves!$BD$8:$BD$68,BF$4-$B34+1)</f>
        <v/>
      </c>
      <c r="BG34" s="153">
        <f>$C34*INDEX(Curves!$BD$8:$BD$68,BG$4-$B34+1)</f>
        <v/>
      </c>
      <c r="BH34" s="153">
        <f>$C34*INDEX(Curves!$BD$8:$BD$68,BH$4-$B34+1)</f>
        <v/>
      </c>
      <c r="BI34" s="153">
        <f>$C34*INDEX(Curves!$BD$8:$BD$68,BI$4-$B34+1)</f>
        <v/>
      </c>
      <c r="BJ34" s="153">
        <f>$C34*INDEX(Curves!$BD$8:$BD$68,BJ$4-$B34+1)</f>
        <v/>
      </c>
      <c r="BK34" s="153">
        <f>$C34*INDEX(Curves!$BD$8:$BD$68,BK$4-$B34+1)</f>
        <v/>
      </c>
      <c r="BL34" s="153">
        <f>$C34*INDEX(Curves!$BD$8:$BD$68,BL$4-$B34+1)</f>
        <v/>
      </c>
    </row>
    <row r="35">
      <c r="A35" s="147" t="inlineStr">
        <is>
          <t>Cohort month 26</t>
        </is>
      </c>
      <c r="B35" s="147" t="n">
        <v>26</v>
      </c>
      <c r="C35" s="41">
        <f>INDEX(Ops!$E$110:$BL$110,1,$B35)</f>
        <v/>
      </c>
      <c r="AE35" s="153">
        <f>$C35*INDEX(Curves!$BD$8:$BD$68,AE$4-$B35+1)</f>
        <v/>
      </c>
      <c r="AF35" s="153">
        <f>$C35*INDEX(Curves!$BD$8:$BD$68,AF$4-$B35+1)</f>
        <v/>
      </c>
      <c r="AG35" s="153">
        <f>$C35*INDEX(Curves!$BD$8:$BD$68,AG$4-$B35+1)</f>
        <v/>
      </c>
      <c r="AH35" s="153">
        <f>$C35*INDEX(Curves!$BD$8:$BD$68,AH$4-$B35+1)</f>
        <v/>
      </c>
      <c r="AI35" s="153">
        <f>$C35*INDEX(Curves!$BD$8:$BD$68,AI$4-$B35+1)</f>
        <v/>
      </c>
      <c r="AJ35" s="153">
        <f>$C35*INDEX(Curves!$BD$8:$BD$68,AJ$4-$B35+1)</f>
        <v/>
      </c>
      <c r="AK35" s="153">
        <f>$C35*INDEX(Curves!$BD$8:$BD$68,AK$4-$B35+1)</f>
        <v/>
      </c>
      <c r="AL35" s="153">
        <f>$C35*INDEX(Curves!$BD$8:$BD$68,AL$4-$B35+1)</f>
        <v/>
      </c>
      <c r="AM35" s="153">
        <f>$C35*INDEX(Curves!$BD$8:$BD$68,AM$4-$B35+1)</f>
        <v/>
      </c>
      <c r="AN35" s="153">
        <f>$C35*INDEX(Curves!$BD$8:$BD$68,AN$4-$B35+1)</f>
        <v/>
      </c>
      <c r="AO35" s="153">
        <f>$C35*INDEX(Curves!$BD$8:$BD$68,AO$4-$B35+1)</f>
        <v/>
      </c>
      <c r="AP35" s="153">
        <f>$C35*INDEX(Curves!$BD$8:$BD$68,AP$4-$B35+1)</f>
        <v/>
      </c>
      <c r="AQ35" s="153">
        <f>$C35*INDEX(Curves!$BD$8:$BD$68,AQ$4-$B35+1)</f>
        <v/>
      </c>
      <c r="AR35" s="153">
        <f>$C35*INDEX(Curves!$BD$8:$BD$68,AR$4-$B35+1)</f>
        <v/>
      </c>
      <c r="AS35" s="153">
        <f>$C35*INDEX(Curves!$BD$8:$BD$68,AS$4-$B35+1)</f>
        <v/>
      </c>
      <c r="AT35" s="153">
        <f>$C35*INDEX(Curves!$BD$8:$BD$68,AT$4-$B35+1)</f>
        <v/>
      </c>
      <c r="AU35" s="153">
        <f>$C35*INDEX(Curves!$BD$8:$BD$68,AU$4-$B35+1)</f>
        <v/>
      </c>
      <c r="AV35" s="153">
        <f>$C35*INDEX(Curves!$BD$8:$BD$68,AV$4-$B35+1)</f>
        <v/>
      </c>
      <c r="AW35" s="153">
        <f>$C35*INDEX(Curves!$BD$8:$BD$68,AW$4-$B35+1)</f>
        <v/>
      </c>
      <c r="AX35" s="153">
        <f>$C35*INDEX(Curves!$BD$8:$BD$68,AX$4-$B35+1)</f>
        <v/>
      </c>
      <c r="AY35" s="153">
        <f>$C35*INDEX(Curves!$BD$8:$BD$68,AY$4-$B35+1)</f>
        <v/>
      </c>
      <c r="AZ35" s="153">
        <f>$C35*INDEX(Curves!$BD$8:$BD$68,AZ$4-$B35+1)</f>
        <v/>
      </c>
      <c r="BA35" s="153">
        <f>$C35*INDEX(Curves!$BD$8:$BD$68,BA$4-$B35+1)</f>
        <v/>
      </c>
      <c r="BB35" s="153">
        <f>$C35*INDEX(Curves!$BD$8:$BD$68,BB$4-$B35+1)</f>
        <v/>
      </c>
      <c r="BC35" s="153">
        <f>$C35*INDEX(Curves!$BD$8:$BD$68,BC$4-$B35+1)</f>
        <v/>
      </c>
      <c r="BD35" s="153">
        <f>$C35*INDEX(Curves!$BD$8:$BD$68,BD$4-$B35+1)</f>
        <v/>
      </c>
      <c r="BE35" s="153">
        <f>$C35*INDEX(Curves!$BD$8:$BD$68,BE$4-$B35+1)</f>
        <v/>
      </c>
      <c r="BF35" s="153">
        <f>$C35*INDEX(Curves!$BD$8:$BD$68,BF$4-$B35+1)</f>
        <v/>
      </c>
      <c r="BG35" s="153">
        <f>$C35*INDEX(Curves!$BD$8:$BD$68,BG$4-$B35+1)</f>
        <v/>
      </c>
      <c r="BH35" s="153">
        <f>$C35*INDEX(Curves!$BD$8:$BD$68,BH$4-$B35+1)</f>
        <v/>
      </c>
      <c r="BI35" s="153">
        <f>$C35*INDEX(Curves!$BD$8:$BD$68,BI$4-$B35+1)</f>
        <v/>
      </c>
      <c r="BJ35" s="153">
        <f>$C35*INDEX(Curves!$BD$8:$BD$68,BJ$4-$B35+1)</f>
        <v/>
      </c>
      <c r="BK35" s="153">
        <f>$C35*INDEX(Curves!$BD$8:$BD$68,BK$4-$B35+1)</f>
        <v/>
      </c>
      <c r="BL35" s="153">
        <f>$C35*INDEX(Curves!$BD$8:$BD$68,BL$4-$B35+1)</f>
        <v/>
      </c>
    </row>
    <row r="36">
      <c r="A36" s="147" t="inlineStr">
        <is>
          <t>Cohort month 27</t>
        </is>
      </c>
      <c r="B36" s="147" t="n">
        <v>27</v>
      </c>
      <c r="C36" s="41">
        <f>INDEX(Ops!$E$110:$BL$110,1,$B36)</f>
        <v/>
      </c>
      <c r="AF36" s="153">
        <f>$C36*INDEX(Curves!$BD$8:$BD$68,AF$4-$B36+1)</f>
        <v/>
      </c>
      <c r="AG36" s="153">
        <f>$C36*INDEX(Curves!$BD$8:$BD$68,AG$4-$B36+1)</f>
        <v/>
      </c>
      <c r="AH36" s="153">
        <f>$C36*INDEX(Curves!$BD$8:$BD$68,AH$4-$B36+1)</f>
        <v/>
      </c>
      <c r="AI36" s="153">
        <f>$C36*INDEX(Curves!$BD$8:$BD$68,AI$4-$B36+1)</f>
        <v/>
      </c>
      <c r="AJ36" s="153">
        <f>$C36*INDEX(Curves!$BD$8:$BD$68,AJ$4-$B36+1)</f>
        <v/>
      </c>
      <c r="AK36" s="153">
        <f>$C36*INDEX(Curves!$BD$8:$BD$68,AK$4-$B36+1)</f>
        <v/>
      </c>
      <c r="AL36" s="153">
        <f>$C36*INDEX(Curves!$BD$8:$BD$68,AL$4-$B36+1)</f>
        <v/>
      </c>
      <c r="AM36" s="153">
        <f>$C36*INDEX(Curves!$BD$8:$BD$68,AM$4-$B36+1)</f>
        <v/>
      </c>
      <c r="AN36" s="153">
        <f>$C36*INDEX(Curves!$BD$8:$BD$68,AN$4-$B36+1)</f>
        <v/>
      </c>
      <c r="AO36" s="153">
        <f>$C36*INDEX(Curves!$BD$8:$BD$68,AO$4-$B36+1)</f>
        <v/>
      </c>
      <c r="AP36" s="153">
        <f>$C36*INDEX(Curves!$BD$8:$BD$68,AP$4-$B36+1)</f>
        <v/>
      </c>
      <c r="AQ36" s="153">
        <f>$C36*INDEX(Curves!$BD$8:$BD$68,AQ$4-$B36+1)</f>
        <v/>
      </c>
      <c r="AR36" s="153">
        <f>$C36*INDEX(Curves!$BD$8:$BD$68,AR$4-$B36+1)</f>
        <v/>
      </c>
      <c r="AS36" s="153">
        <f>$C36*INDEX(Curves!$BD$8:$BD$68,AS$4-$B36+1)</f>
        <v/>
      </c>
      <c r="AT36" s="153">
        <f>$C36*INDEX(Curves!$BD$8:$BD$68,AT$4-$B36+1)</f>
        <v/>
      </c>
      <c r="AU36" s="153">
        <f>$C36*INDEX(Curves!$BD$8:$BD$68,AU$4-$B36+1)</f>
        <v/>
      </c>
      <c r="AV36" s="153">
        <f>$C36*INDEX(Curves!$BD$8:$BD$68,AV$4-$B36+1)</f>
        <v/>
      </c>
      <c r="AW36" s="153">
        <f>$C36*INDEX(Curves!$BD$8:$BD$68,AW$4-$B36+1)</f>
        <v/>
      </c>
      <c r="AX36" s="153">
        <f>$C36*INDEX(Curves!$BD$8:$BD$68,AX$4-$B36+1)</f>
        <v/>
      </c>
      <c r="AY36" s="153">
        <f>$C36*INDEX(Curves!$BD$8:$BD$68,AY$4-$B36+1)</f>
        <v/>
      </c>
      <c r="AZ36" s="153">
        <f>$C36*INDEX(Curves!$BD$8:$BD$68,AZ$4-$B36+1)</f>
        <v/>
      </c>
      <c r="BA36" s="153">
        <f>$C36*INDEX(Curves!$BD$8:$BD$68,BA$4-$B36+1)</f>
        <v/>
      </c>
      <c r="BB36" s="153">
        <f>$C36*INDEX(Curves!$BD$8:$BD$68,BB$4-$B36+1)</f>
        <v/>
      </c>
      <c r="BC36" s="153">
        <f>$C36*INDEX(Curves!$BD$8:$BD$68,BC$4-$B36+1)</f>
        <v/>
      </c>
      <c r="BD36" s="153">
        <f>$C36*INDEX(Curves!$BD$8:$BD$68,BD$4-$B36+1)</f>
        <v/>
      </c>
      <c r="BE36" s="153">
        <f>$C36*INDEX(Curves!$BD$8:$BD$68,BE$4-$B36+1)</f>
        <v/>
      </c>
      <c r="BF36" s="153">
        <f>$C36*INDEX(Curves!$BD$8:$BD$68,BF$4-$B36+1)</f>
        <v/>
      </c>
      <c r="BG36" s="153">
        <f>$C36*INDEX(Curves!$BD$8:$BD$68,BG$4-$B36+1)</f>
        <v/>
      </c>
      <c r="BH36" s="153">
        <f>$C36*INDEX(Curves!$BD$8:$BD$68,BH$4-$B36+1)</f>
        <v/>
      </c>
      <c r="BI36" s="153">
        <f>$C36*INDEX(Curves!$BD$8:$BD$68,BI$4-$B36+1)</f>
        <v/>
      </c>
      <c r="BJ36" s="153">
        <f>$C36*INDEX(Curves!$BD$8:$BD$68,BJ$4-$B36+1)</f>
        <v/>
      </c>
      <c r="BK36" s="153">
        <f>$C36*INDEX(Curves!$BD$8:$BD$68,BK$4-$B36+1)</f>
        <v/>
      </c>
      <c r="BL36" s="153">
        <f>$C36*INDEX(Curves!$BD$8:$BD$68,BL$4-$B36+1)</f>
        <v/>
      </c>
    </row>
    <row r="37">
      <c r="A37" s="147" t="inlineStr">
        <is>
          <t>Cohort month 28</t>
        </is>
      </c>
      <c r="B37" s="147" t="n">
        <v>28</v>
      </c>
      <c r="C37" s="41">
        <f>INDEX(Ops!$E$110:$BL$110,1,$B37)</f>
        <v/>
      </c>
      <c r="AG37" s="153">
        <f>$C37*INDEX(Curves!$BD$8:$BD$68,AG$4-$B37+1)</f>
        <v/>
      </c>
      <c r="AH37" s="153">
        <f>$C37*INDEX(Curves!$BD$8:$BD$68,AH$4-$B37+1)</f>
        <v/>
      </c>
      <c r="AI37" s="153">
        <f>$C37*INDEX(Curves!$BD$8:$BD$68,AI$4-$B37+1)</f>
        <v/>
      </c>
      <c r="AJ37" s="153">
        <f>$C37*INDEX(Curves!$BD$8:$BD$68,AJ$4-$B37+1)</f>
        <v/>
      </c>
      <c r="AK37" s="153">
        <f>$C37*INDEX(Curves!$BD$8:$BD$68,AK$4-$B37+1)</f>
        <v/>
      </c>
      <c r="AL37" s="153">
        <f>$C37*INDEX(Curves!$BD$8:$BD$68,AL$4-$B37+1)</f>
        <v/>
      </c>
      <c r="AM37" s="153">
        <f>$C37*INDEX(Curves!$BD$8:$BD$68,AM$4-$B37+1)</f>
        <v/>
      </c>
      <c r="AN37" s="153">
        <f>$C37*INDEX(Curves!$BD$8:$BD$68,AN$4-$B37+1)</f>
        <v/>
      </c>
      <c r="AO37" s="153">
        <f>$C37*INDEX(Curves!$BD$8:$BD$68,AO$4-$B37+1)</f>
        <v/>
      </c>
      <c r="AP37" s="153">
        <f>$C37*INDEX(Curves!$BD$8:$BD$68,AP$4-$B37+1)</f>
        <v/>
      </c>
      <c r="AQ37" s="153">
        <f>$C37*INDEX(Curves!$BD$8:$BD$68,AQ$4-$B37+1)</f>
        <v/>
      </c>
      <c r="AR37" s="153">
        <f>$C37*INDEX(Curves!$BD$8:$BD$68,AR$4-$B37+1)</f>
        <v/>
      </c>
      <c r="AS37" s="153">
        <f>$C37*INDEX(Curves!$BD$8:$BD$68,AS$4-$B37+1)</f>
        <v/>
      </c>
      <c r="AT37" s="153">
        <f>$C37*INDEX(Curves!$BD$8:$BD$68,AT$4-$B37+1)</f>
        <v/>
      </c>
      <c r="AU37" s="153">
        <f>$C37*INDEX(Curves!$BD$8:$BD$68,AU$4-$B37+1)</f>
        <v/>
      </c>
      <c r="AV37" s="153">
        <f>$C37*INDEX(Curves!$BD$8:$BD$68,AV$4-$B37+1)</f>
        <v/>
      </c>
      <c r="AW37" s="153">
        <f>$C37*INDEX(Curves!$BD$8:$BD$68,AW$4-$B37+1)</f>
        <v/>
      </c>
      <c r="AX37" s="153">
        <f>$C37*INDEX(Curves!$BD$8:$BD$68,AX$4-$B37+1)</f>
        <v/>
      </c>
      <c r="AY37" s="153">
        <f>$C37*INDEX(Curves!$BD$8:$BD$68,AY$4-$B37+1)</f>
        <v/>
      </c>
      <c r="AZ37" s="153">
        <f>$C37*INDEX(Curves!$BD$8:$BD$68,AZ$4-$B37+1)</f>
        <v/>
      </c>
      <c r="BA37" s="153">
        <f>$C37*INDEX(Curves!$BD$8:$BD$68,BA$4-$B37+1)</f>
        <v/>
      </c>
      <c r="BB37" s="153">
        <f>$C37*INDEX(Curves!$BD$8:$BD$68,BB$4-$B37+1)</f>
        <v/>
      </c>
      <c r="BC37" s="153">
        <f>$C37*INDEX(Curves!$BD$8:$BD$68,BC$4-$B37+1)</f>
        <v/>
      </c>
      <c r="BD37" s="153">
        <f>$C37*INDEX(Curves!$BD$8:$BD$68,BD$4-$B37+1)</f>
        <v/>
      </c>
      <c r="BE37" s="153">
        <f>$C37*INDEX(Curves!$BD$8:$BD$68,BE$4-$B37+1)</f>
        <v/>
      </c>
      <c r="BF37" s="153">
        <f>$C37*INDEX(Curves!$BD$8:$BD$68,BF$4-$B37+1)</f>
        <v/>
      </c>
      <c r="BG37" s="153">
        <f>$C37*INDEX(Curves!$BD$8:$BD$68,BG$4-$B37+1)</f>
        <v/>
      </c>
      <c r="BH37" s="153">
        <f>$C37*INDEX(Curves!$BD$8:$BD$68,BH$4-$B37+1)</f>
        <v/>
      </c>
      <c r="BI37" s="153">
        <f>$C37*INDEX(Curves!$BD$8:$BD$68,BI$4-$B37+1)</f>
        <v/>
      </c>
      <c r="BJ37" s="153">
        <f>$C37*INDEX(Curves!$BD$8:$BD$68,BJ$4-$B37+1)</f>
        <v/>
      </c>
      <c r="BK37" s="153">
        <f>$C37*INDEX(Curves!$BD$8:$BD$68,BK$4-$B37+1)</f>
        <v/>
      </c>
      <c r="BL37" s="153">
        <f>$C37*INDEX(Curves!$BD$8:$BD$68,BL$4-$B37+1)</f>
        <v/>
      </c>
    </row>
    <row r="38">
      <c r="A38" s="147" t="inlineStr">
        <is>
          <t>Cohort month 29</t>
        </is>
      </c>
      <c r="B38" s="147" t="n">
        <v>29</v>
      </c>
      <c r="C38" s="41">
        <f>INDEX(Ops!$E$110:$BL$110,1,$B38)</f>
        <v/>
      </c>
      <c r="AH38" s="153">
        <f>$C38*INDEX(Curves!$BD$8:$BD$68,AH$4-$B38+1)</f>
        <v/>
      </c>
      <c r="AI38" s="153">
        <f>$C38*INDEX(Curves!$BD$8:$BD$68,AI$4-$B38+1)</f>
        <v/>
      </c>
      <c r="AJ38" s="153">
        <f>$C38*INDEX(Curves!$BD$8:$BD$68,AJ$4-$B38+1)</f>
        <v/>
      </c>
      <c r="AK38" s="153">
        <f>$C38*INDEX(Curves!$BD$8:$BD$68,AK$4-$B38+1)</f>
        <v/>
      </c>
      <c r="AL38" s="153">
        <f>$C38*INDEX(Curves!$BD$8:$BD$68,AL$4-$B38+1)</f>
        <v/>
      </c>
      <c r="AM38" s="153">
        <f>$C38*INDEX(Curves!$BD$8:$BD$68,AM$4-$B38+1)</f>
        <v/>
      </c>
      <c r="AN38" s="153">
        <f>$C38*INDEX(Curves!$BD$8:$BD$68,AN$4-$B38+1)</f>
        <v/>
      </c>
      <c r="AO38" s="153">
        <f>$C38*INDEX(Curves!$BD$8:$BD$68,AO$4-$B38+1)</f>
        <v/>
      </c>
      <c r="AP38" s="153">
        <f>$C38*INDEX(Curves!$BD$8:$BD$68,AP$4-$B38+1)</f>
        <v/>
      </c>
      <c r="AQ38" s="153">
        <f>$C38*INDEX(Curves!$BD$8:$BD$68,AQ$4-$B38+1)</f>
        <v/>
      </c>
      <c r="AR38" s="153">
        <f>$C38*INDEX(Curves!$BD$8:$BD$68,AR$4-$B38+1)</f>
        <v/>
      </c>
      <c r="AS38" s="153">
        <f>$C38*INDEX(Curves!$BD$8:$BD$68,AS$4-$B38+1)</f>
        <v/>
      </c>
      <c r="AT38" s="153">
        <f>$C38*INDEX(Curves!$BD$8:$BD$68,AT$4-$B38+1)</f>
        <v/>
      </c>
      <c r="AU38" s="153">
        <f>$C38*INDEX(Curves!$BD$8:$BD$68,AU$4-$B38+1)</f>
        <v/>
      </c>
      <c r="AV38" s="153">
        <f>$C38*INDEX(Curves!$BD$8:$BD$68,AV$4-$B38+1)</f>
        <v/>
      </c>
      <c r="AW38" s="153">
        <f>$C38*INDEX(Curves!$BD$8:$BD$68,AW$4-$B38+1)</f>
        <v/>
      </c>
      <c r="AX38" s="153">
        <f>$C38*INDEX(Curves!$BD$8:$BD$68,AX$4-$B38+1)</f>
        <v/>
      </c>
      <c r="AY38" s="153">
        <f>$C38*INDEX(Curves!$BD$8:$BD$68,AY$4-$B38+1)</f>
        <v/>
      </c>
      <c r="AZ38" s="153">
        <f>$C38*INDEX(Curves!$BD$8:$BD$68,AZ$4-$B38+1)</f>
        <v/>
      </c>
      <c r="BA38" s="153">
        <f>$C38*INDEX(Curves!$BD$8:$BD$68,BA$4-$B38+1)</f>
        <v/>
      </c>
      <c r="BB38" s="153">
        <f>$C38*INDEX(Curves!$BD$8:$BD$68,BB$4-$B38+1)</f>
        <v/>
      </c>
      <c r="BC38" s="153">
        <f>$C38*INDEX(Curves!$BD$8:$BD$68,BC$4-$B38+1)</f>
        <v/>
      </c>
      <c r="BD38" s="153">
        <f>$C38*INDEX(Curves!$BD$8:$BD$68,BD$4-$B38+1)</f>
        <v/>
      </c>
      <c r="BE38" s="153">
        <f>$C38*INDEX(Curves!$BD$8:$BD$68,BE$4-$B38+1)</f>
        <v/>
      </c>
      <c r="BF38" s="153">
        <f>$C38*INDEX(Curves!$BD$8:$BD$68,BF$4-$B38+1)</f>
        <v/>
      </c>
      <c r="BG38" s="153">
        <f>$C38*INDEX(Curves!$BD$8:$BD$68,BG$4-$B38+1)</f>
        <v/>
      </c>
      <c r="BH38" s="153">
        <f>$C38*INDEX(Curves!$BD$8:$BD$68,BH$4-$B38+1)</f>
        <v/>
      </c>
      <c r="BI38" s="153">
        <f>$C38*INDEX(Curves!$BD$8:$BD$68,BI$4-$B38+1)</f>
        <v/>
      </c>
      <c r="BJ38" s="153">
        <f>$C38*INDEX(Curves!$BD$8:$BD$68,BJ$4-$B38+1)</f>
        <v/>
      </c>
      <c r="BK38" s="153">
        <f>$C38*INDEX(Curves!$BD$8:$BD$68,BK$4-$B38+1)</f>
        <v/>
      </c>
      <c r="BL38" s="153">
        <f>$C38*INDEX(Curves!$BD$8:$BD$68,BL$4-$B38+1)</f>
        <v/>
      </c>
    </row>
    <row r="39">
      <c r="A39" s="147" t="inlineStr">
        <is>
          <t>Cohort month 30</t>
        </is>
      </c>
      <c r="B39" s="147" t="n">
        <v>30</v>
      </c>
      <c r="C39" s="41">
        <f>INDEX(Ops!$E$110:$BL$110,1,$B39)</f>
        <v/>
      </c>
      <c r="AI39" s="153">
        <f>$C39*INDEX(Curves!$BD$8:$BD$68,AI$4-$B39+1)</f>
        <v/>
      </c>
      <c r="AJ39" s="153">
        <f>$C39*INDEX(Curves!$BD$8:$BD$68,AJ$4-$B39+1)</f>
        <v/>
      </c>
      <c r="AK39" s="153">
        <f>$C39*INDEX(Curves!$BD$8:$BD$68,AK$4-$B39+1)</f>
        <v/>
      </c>
      <c r="AL39" s="153">
        <f>$C39*INDEX(Curves!$BD$8:$BD$68,AL$4-$B39+1)</f>
        <v/>
      </c>
      <c r="AM39" s="153">
        <f>$C39*INDEX(Curves!$BD$8:$BD$68,AM$4-$B39+1)</f>
        <v/>
      </c>
      <c r="AN39" s="153">
        <f>$C39*INDEX(Curves!$BD$8:$BD$68,AN$4-$B39+1)</f>
        <v/>
      </c>
      <c r="AO39" s="153">
        <f>$C39*INDEX(Curves!$BD$8:$BD$68,AO$4-$B39+1)</f>
        <v/>
      </c>
      <c r="AP39" s="153">
        <f>$C39*INDEX(Curves!$BD$8:$BD$68,AP$4-$B39+1)</f>
        <v/>
      </c>
      <c r="AQ39" s="153">
        <f>$C39*INDEX(Curves!$BD$8:$BD$68,AQ$4-$B39+1)</f>
        <v/>
      </c>
      <c r="AR39" s="153">
        <f>$C39*INDEX(Curves!$BD$8:$BD$68,AR$4-$B39+1)</f>
        <v/>
      </c>
      <c r="AS39" s="153">
        <f>$C39*INDEX(Curves!$BD$8:$BD$68,AS$4-$B39+1)</f>
        <v/>
      </c>
      <c r="AT39" s="153">
        <f>$C39*INDEX(Curves!$BD$8:$BD$68,AT$4-$B39+1)</f>
        <v/>
      </c>
      <c r="AU39" s="153">
        <f>$C39*INDEX(Curves!$BD$8:$BD$68,AU$4-$B39+1)</f>
        <v/>
      </c>
      <c r="AV39" s="153">
        <f>$C39*INDEX(Curves!$BD$8:$BD$68,AV$4-$B39+1)</f>
        <v/>
      </c>
      <c r="AW39" s="153">
        <f>$C39*INDEX(Curves!$BD$8:$BD$68,AW$4-$B39+1)</f>
        <v/>
      </c>
      <c r="AX39" s="153">
        <f>$C39*INDEX(Curves!$BD$8:$BD$68,AX$4-$B39+1)</f>
        <v/>
      </c>
      <c r="AY39" s="153">
        <f>$C39*INDEX(Curves!$BD$8:$BD$68,AY$4-$B39+1)</f>
        <v/>
      </c>
      <c r="AZ39" s="153">
        <f>$C39*INDEX(Curves!$BD$8:$BD$68,AZ$4-$B39+1)</f>
        <v/>
      </c>
      <c r="BA39" s="153">
        <f>$C39*INDEX(Curves!$BD$8:$BD$68,BA$4-$B39+1)</f>
        <v/>
      </c>
      <c r="BB39" s="153">
        <f>$C39*INDEX(Curves!$BD$8:$BD$68,BB$4-$B39+1)</f>
        <v/>
      </c>
      <c r="BC39" s="153">
        <f>$C39*INDEX(Curves!$BD$8:$BD$68,BC$4-$B39+1)</f>
        <v/>
      </c>
      <c r="BD39" s="153">
        <f>$C39*INDEX(Curves!$BD$8:$BD$68,BD$4-$B39+1)</f>
        <v/>
      </c>
      <c r="BE39" s="153">
        <f>$C39*INDEX(Curves!$BD$8:$BD$68,BE$4-$B39+1)</f>
        <v/>
      </c>
      <c r="BF39" s="153">
        <f>$C39*INDEX(Curves!$BD$8:$BD$68,BF$4-$B39+1)</f>
        <v/>
      </c>
      <c r="BG39" s="153">
        <f>$C39*INDEX(Curves!$BD$8:$BD$68,BG$4-$B39+1)</f>
        <v/>
      </c>
      <c r="BH39" s="153">
        <f>$C39*INDEX(Curves!$BD$8:$BD$68,BH$4-$B39+1)</f>
        <v/>
      </c>
      <c r="BI39" s="153">
        <f>$C39*INDEX(Curves!$BD$8:$BD$68,BI$4-$B39+1)</f>
        <v/>
      </c>
      <c r="BJ39" s="153">
        <f>$C39*INDEX(Curves!$BD$8:$BD$68,BJ$4-$B39+1)</f>
        <v/>
      </c>
      <c r="BK39" s="153">
        <f>$C39*INDEX(Curves!$BD$8:$BD$68,BK$4-$B39+1)</f>
        <v/>
      </c>
      <c r="BL39" s="153">
        <f>$C39*INDEX(Curves!$BD$8:$BD$68,BL$4-$B39+1)</f>
        <v/>
      </c>
    </row>
    <row r="40">
      <c r="A40" s="147" t="inlineStr">
        <is>
          <t>Cohort month 31</t>
        </is>
      </c>
      <c r="B40" s="147" t="n">
        <v>31</v>
      </c>
      <c r="C40" s="41">
        <f>INDEX(Ops!$E$110:$BL$110,1,$B40)</f>
        <v/>
      </c>
      <c r="AJ40" s="153">
        <f>$C40*INDEX(Curves!$BD$8:$BD$68,AJ$4-$B40+1)</f>
        <v/>
      </c>
      <c r="AK40" s="153">
        <f>$C40*INDEX(Curves!$BD$8:$BD$68,AK$4-$B40+1)</f>
        <v/>
      </c>
      <c r="AL40" s="153">
        <f>$C40*INDEX(Curves!$BD$8:$BD$68,AL$4-$B40+1)</f>
        <v/>
      </c>
      <c r="AM40" s="153">
        <f>$C40*INDEX(Curves!$BD$8:$BD$68,AM$4-$B40+1)</f>
        <v/>
      </c>
      <c r="AN40" s="153">
        <f>$C40*INDEX(Curves!$BD$8:$BD$68,AN$4-$B40+1)</f>
        <v/>
      </c>
      <c r="AO40" s="153">
        <f>$C40*INDEX(Curves!$BD$8:$BD$68,AO$4-$B40+1)</f>
        <v/>
      </c>
      <c r="AP40" s="153">
        <f>$C40*INDEX(Curves!$BD$8:$BD$68,AP$4-$B40+1)</f>
        <v/>
      </c>
      <c r="AQ40" s="153">
        <f>$C40*INDEX(Curves!$BD$8:$BD$68,AQ$4-$B40+1)</f>
        <v/>
      </c>
      <c r="AR40" s="153">
        <f>$C40*INDEX(Curves!$BD$8:$BD$68,AR$4-$B40+1)</f>
        <v/>
      </c>
      <c r="AS40" s="153">
        <f>$C40*INDEX(Curves!$BD$8:$BD$68,AS$4-$B40+1)</f>
        <v/>
      </c>
      <c r="AT40" s="153">
        <f>$C40*INDEX(Curves!$BD$8:$BD$68,AT$4-$B40+1)</f>
        <v/>
      </c>
      <c r="AU40" s="153">
        <f>$C40*INDEX(Curves!$BD$8:$BD$68,AU$4-$B40+1)</f>
        <v/>
      </c>
      <c r="AV40" s="153">
        <f>$C40*INDEX(Curves!$BD$8:$BD$68,AV$4-$B40+1)</f>
        <v/>
      </c>
      <c r="AW40" s="153">
        <f>$C40*INDEX(Curves!$BD$8:$BD$68,AW$4-$B40+1)</f>
        <v/>
      </c>
      <c r="AX40" s="153">
        <f>$C40*INDEX(Curves!$BD$8:$BD$68,AX$4-$B40+1)</f>
        <v/>
      </c>
      <c r="AY40" s="153">
        <f>$C40*INDEX(Curves!$BD$8:$BD$68,AY$4-$B40+1)</f>
        <v/>
      </c>
      <c r="AZ40" s="153">
        <f>$C40*INDEX(Curves!$BD$8:$BD$68,AZ$4-$B40+1)</f>
        <v/>
      </c>
      <c r="BA40" s="153">
        <f>$C40*INDEX(Curves!$BD$8:$BD$68,BA$4-$B40+1)</f>
        <v/>
      </c>
      <c r="BB40" s="153">
        <f>$C40*INDEX(Curves!$BD$8:$BD$68,BB$4-$B40+1)</f>
        <v/>
      </c>
      <c r="BC40" s="153">
        <f>$C40*INDEX(Curves!$BD$8:$BD$68,BC$4-$B40+1)</f>
        <v/>
      </c>
      <c r="BD40" s="153">
        <f>$C40*INDEX(Curves!$BD$8:$BD$68,BD$4-$B40+1)</f>
        <v/>
      </c>
      <c r="BE40" s="153">
        <f>$C40*INDEX(Curves!$BD$8:$BD$68,BE$4-$B40+1)</f>
        <v/>
      </c>
      <c r="BF40" s="153">
        <f>$C40*INDEX(Curves!$BD$8:$BD$68,BF$4-$B40+1)</f>
        <v/>
      </c>
      <c r="BG40" s="153">
        <f>$C40*INDEX(Curves!$BD$8:$BD$68,BG$4-$B40+1)</f>
        <v/>
      </c>
      <c r="BH40" s="153">
        <f>$C40*INDEX(Curves!$BD$8:$BD$68,BH$4-$B40+1)</f>
        <v/>
      </c>
      <c r="BI40" s="153">
        <f>$C40*INDEX(Curves!$BD$8:$BD$68,BI$4-$B40+1)</f>
        <v/>
      </c>
      <c r="BJ40" s="153">
        <f>$C40*INDEX(Curves!$BD$8:$BD$68,BJ$4-$B40+1)</f>
        <v/>
      </c>
      <c r="BK40" s="153">
        <f>$C40*INDEX(Curves!$BD$8:$BD$68,BK$4-$B40+1)</f>
        <v/>
      </c>
      <c r="BL40" s="153">
        <f>$C40*INDEX(Curves!$BD$8:$BD$68,BL$4-$B40+1)</f>
        <v/>
      </c>
    </row>
    <row r="41">
      <c r="A41" s="147" t="inlineStr">
        <is>
          <t>Cohort month 32</t>
        </is>
      </c>
      <c r="B41" s="147" t="n">
        <v>32</v>
      </c>
      <c r="C41" s="41">
        <f>INDEX(Ops!$E$110:$BL$110,1,$B41)</f>
        <v/>
      </c>
      <c r="AK41" s="153">
        <f>$C41*INDEX(Curves!$BD$8:$BD$68,AK$4-$B41+1)</f>
        <v/>
      </c>
      <c r="AL41" s="153">
        <f>$C41*INDEX(Curves!$BD$8:$BD$68,AL$4-$B41+1)</f>
        <v/>
      </c>
      <c r="AM41" s="153">
        <f>$C41*INDEX(Curves!$BD$8:$BD$68,AM$4-$B41+1)</f>
        <v/>
      </c>
      <c r="AN41" s="153">
        <f>$C41*INDEX(Curves!$BD$8:$BD$68,AN$4-$B41+1)</f>
        <v/>
      </c>
      <c r="AO41" s="153">
        <f>$C41*INDEX(Curves!$BD$8:$BD$68,AO$4-$B41+1)</f>
        <v/>
      </c>
      <c r="AP41" s="153">
        <f>$C41*INDEX(Curves!$BD$8:$BD$68,AP$4-$B41+1)</f>
        <v/>
      </c>
      <c r="AQ41" s="153">
        <f>$C41*INDEX(Curves!$BD$8:$BD$68,AQ$4-$B41+1)</f>
        <v/>
      </c>
      <c r="AR41" s="153">
        <f>$C41*INDEX(Curves!$BD$8:$BD$68,AR$4-$B41+1)</f>
        <v/>
      </c>
      <c r="AS41" s="153">
        <f>$C41*INDEX(Curves!$BD$8:$BD$68,AS$4-$B41+1)</f>
        <v/>
      </c>
      <c r="AT41" s="153">
        <f>$C41*INDEX(Curves!$BD$8:$BD$68,AT$4-$B41+1)</f>
        <v/>
      </c>
      <c r="AU41" s="153">
        <f>$C41*INDEX(Curves!$BD$8:$BD$68,AU$4-$B41+1)</f>
        <v/>
      </c>
      <c r="AV41" s="153">
        <f>$C41*INDEX(Curves!$BD$8:$BD$68,AV$4-$B41+1)</f>
        <v/>
      </c>
      <c r="AW41" s="153">
        <f>$C41*INDEX(Curves!$BD$8:$BD$68,AW$4-$B41+1)</f>
        <v/>
      </c>
      <c r="AX41" s="153">
        <f>$C41*INDEX(Curves!$BD$8:$BD$68,AX$4-$B41+1)</f>
        <v/>
      </c>
      <c r="AY41" s="153">
        <f>$C41*INDEX(Curves!$BD$8:$BD$68,AY$4-$B41+1)</f>
        <v/>
      </c>
      <c r="AZ41" s="153">
        <f>$C41*INDEX(Curves!$BD$8:$BD$68,AZ$4-$B41+1)</f>
        <v/>
      </c>
      <c r="BA41" s="153">
        <f>$C41*INDEX(Curves!$BD$8:$BD$68,BA$4-$B41+1)</f>
        <v/>
      </c>
      <c r="BB41" s="153">
        <f>$C41*INDEX(Curves!$BD$8:$BD$68,BB$4-$B41+1)</f>
        <v/>
      </c>
      <c r="BC41" s="153">
        <f>$C41*INDEX(Curves!$BD$8:$BD$68,BC$4-$B41+1)</f>
        <v/>
      </c>
      <c r="BD41" s="153">
        <f>$C41*INDEX(Curves!$BD$8:$BD$68,BD$4-$B41+1)</f>
        <v/>
      </c>
      <c r="BE41" s="153">
        <f>$C41*INDEX(Curves!$BD$8:$BD$68,BE$4-$B41+1)</f>
        <v/>
      </c>
      <c r="BF41" s="153">
        <f>$C41*INDEX(Curves!$BD$8:$BD$68,BF$4-$B41+1)</f>
        <v/>
      </c>
      <c r="BG41" s="153">
        <f>$C41*INDEX(Curves!$BD$8:$BD$68,BG$4-$B41+1)</f>
        <v/>
      </c>
      <c r="BH41" s="153">
        <f>$C41*INDEX(Curves!$BD$8:$BD$68,BH$4-$B41+1)</f>
        <v/>
      </c>
      <c r="BI41" s="153">
        <f>$C41*INDEX(Curves!$BD$8:$BD$68,BI$4-$B41+1)</f>
        <v/>
      </c>
      <c r="BJ41" s="153">
        <f>$C41*INDEX(Curves!$BD$8:$BD$68,BJ$4-$B41+1)</f>
        <v/>
      </c>
      <c r="BK41" s="153">
        <f>$C41*INDEX(Curves!$BD$8:$BD$68,BK$4-$B41+1)</f>
        <v/>
      </c>
      <c r="BL41" s="153">
        <f>$C41*INDEX(Curves!$BD$8:$BD$68,BL$4-$B41+1)</f>
        <v/>
      </c>
    </row>
    <row r="42">
      <c r="A42" s="147" t="inlineStr">
        <is>
          <t>Cohort month 33</t>
        </is>
      </c>
      <c r="B42" s="147" t="n">
        <v>33</v>
      </c>
      <c r="C42" s="41">
        <f>INDEX(Ops!$E$110:$BL$110,1,$B42)</f>
        <v/>
      </c>
      <c r="AL42" s="153">
        <f>$C42*INDEX(Curves!$BD$8:$BD$68,AL$4-$B42+1)</f>
        <v/>
      </c>
      <c r="AM42" s="153">
        <f>$C42*INDEX(Curves!$BD$8:$BD$68,AM$4-$B42+1)</f>
        <v/>
      </c>
      <c r="AN42" s="153">
        <f>$C42*INDEX(Curves!$BD$8:$BD$68,AN$4-$B42+1)</f>
        <v/>
      </c>
      <c r="AO42" s="153">
        <f>$C42*INDEX(Curves!$BD$8:$BD$68,AO$4-$B42+1)</f>
        <v/>
      </c>
      <c r="AP42" s="153">
        <f>$C42*INDEX(Curves!$BD$8:$BD$68,AP$4-$B42+1)</f>
        <v/>
      </c>
      <c r="AQ42" s="153">
        <f>$C42*INDEX(Curves!$BD$8:$BD$68,AQ$4-$B42+1)</f>
        <v/>
      </c>
      <c r="AR42" s="153">
        <f>$C42*INDEX(Curves!$BD$8:$BD$68,AR$4-$B42+1)</f>
        <v/>
      </c>
      <c r="AS42" s="153">
        <f>$C42*INDEX(Curves!$BD$8:$BD$68,AS$4-$B42+1)</f>
        <v/>
      </c>
      <c r="AT42" s="153">
        <f>$C42*INDEX(Curves!$BD$8:$BD$68,AT$4-$B42+1)</f>
        <v/>
      </c>
      <c r="AU42" s="153">
        <f>$C42*INDEX(Curves!$BD$8:$BD$68,AU$4-$B42+1)</f>
        <v/>
      </c>
      <c r="AV42" s="153">
        <f>$C42*INDEX(Curves!$BD$8:$BD$68,AV$4-$B42+1)</f>
        <v/>
      </c>
      <c r="AW42" s="153">
        <f>$C42*INDEX(Curves!$BD$8:$BD$68,AW$4-$B42+1)</f>
        <v/>
      </c>
      <c r="AX42" s="153">
        <f>$C42*INDEX(Curves!$BD$8:$BD$68,AX$4-$B42+1)</f>
        <v/>
      </c>
      <c r="AY42" s="153">
        <f>$C42*INDEX(Curves!$BD$8:$BD$68,AY$4-$B42+1)</f>
        <v/>
      </c>
      <c r="AZ42" s="153">
        <f>$C42*INDEX(Curves!$BD$8:$BD$68,AZ$4-$B42+1)</f>
        <v/>
      </c>
      <c r="BA42" s="153">
        <f>$C42*INDEX(Curves!$BD$8:$BD$68,BA$4-$B42+1)</f>
        <v/>
      </c>
      <c r="BB42" s="153">
        <f>$C42*INDEX(Curves!$BD$8:$BD$68,BB$4-$B42+1)</f>
        <v/>
      </c>
      <c r="BC42" s="153">
        <f>$C42*INDEX(Curves!$BD$8:$BD$68,BC$4-$B42+1)</f>
        <v/>
      </c>
      <c r="BD42" s="153">
        <f>$C42*INDEX(Curves!$BD$8:$BD$68,BD$4-$B42+1)</f>
        <v/>
      </c>
      <c r="BE42" s="153">
        <f>$C42*INDEX(Curves!$BD$8:$BD$68,BE$4-$B42+1)</f>
        <v/>
      </c>
      <c r="BF42" s="153">
        <f>$C42*INDEX(Curves!$BD$8:$BD$68,BF$4-$B42+1)</f>
        <v/>
      </c>
      <c r="BG42" s="153">
        <f>$C42*INDEX(Curves!$BD$8:$BD$68,BG$4-$B42+1)</f>
        <v/>
      </c>
      <c r="BH42" s="153">
        <f>$C42*INDEX(Curves!$BD$8:$BD$68,BH$4-$B42+1)</f>
        <v/>
      </c>
      <c r="BI42" s="153">
        <f>$C42*INDEX(Curves!$BD$8:$BD$68,BI$4-$B42+1)</f>
        <v/>
      </c>
      <c r="BJ42" s="153">
        <f>$C42*INDEX(Curves!$BD$8:$BD$68,BJ$4-$B42+1)</f>
        <v/>
      </c>
      <c r="BK42" s="153">
        <f>$C42*INDEX(Curves!$BD$8:$BD$68,BK$4-$B42+1)</f>
        <v/>
      </c>
      <c r="BL42" s="153">
        <f>$C42*INDEX(Curves!$BD$8:$BD$68,BL$4-$B42+1)</f>
        <v/>
      </c>
    </row>
    <row r="43">
      <c r="A43" s="147" t="inlineStr">
        <is>
          <t>Cohort month 34</t>
        </is>
      </c>
      <c r="B43" s="147" t="n">
        <v>34</v>
      </c>
      <c r="C43" s="41">
        <f>INDEX(Ops!$E$110:$BL$110,1,$B43)</f>
        <v/>
      </c>
      <c r="AM43" s="153">
        <f>$C43*INDEX(Curves!$BD$8:$BD$68,AM$4-$B43+1)</f>
        <v/>
      </c>
      <c r="AN43" s="153">
        <f>$C43*INDEX(Curves!$BD$8:$BD$68,AN$4-$B43+1)</f>
        <v/>
      </c>
      <c r="AO43" s="153">
        <f>$C43*INDEX(Curves!$BD$8:$BD$68,AO$4-$B43+1)</f>
        <v/>
      </c>
      <c r="AP43" s="153">
        <f>$C43*INDEX(Curves!$BD$8:$BD$68,AP$4-$B43+1)</f>
        <v/>
      </c>
      <c r="AQ43" s="153">
        <f>$C43*INDEX(Curves!$BD$8:$BD$68,AQ$4-$B43+1)</f>
        <v/>
      </c>
      <c r="AR43" s="153">
        <f>$C43*INDEX(Curves!$BD$8:$BD$68,AR$4-$B43+1)</f>
        <v/>
      </c>
      <c r="AS43" s="153">
        <f>$C43*INDEX(Curves!$BD$8:$BD$68,AS$4-$B43+1)</f>
        <v/>
      </c>
      <c r="AT43" s="153">
        <f>$C43*INDEX(Curves!$BD$8:$BD$68,AT$4-$B43+1)</f>
        <v/>
      </c>
      <c r="AU43" s="153">
        <f>$C43*INDEX(Curves!$BD$8:$BD$68,AU$4-$B43+1)</f>
        <v/>
      </c>
      <c r="AV43" s="153">
        <f>$C43*INDEX(Curves!$BD$8:$BD$68,AV$4-$B43+1)</f>
        <v/>
      </c>
      <c r="AW43" s="153">
        <f>$C43*INDEX(Curves!$BD$8:$BD$68,AW$4-$B43+1)</f>
        <v/>
      </c>
      <c r="AX43" s="153">
        <f>$C43*INDEX(Curves!$BD$8:$BD$68,AX$4-$B43+1)</f>
        <v/>
      </c>
      <c r="AY43" s="153">
        <f>$C43*INDEX(Curves!$BD$8:$BD$68,AY$4-$B43+1)</f>
        <v/>
      </c>
      <c r="AZ43" s="153">
        <f>$C43*INDEX(Curves!$BD$8:$BD$68,AZ$4-$B43+1)</f>
        <v/>
      </c>
      <c r="BA43" s="153">
        <f>$C43*INDEX(Curves!$BD$8:$BD$68,BA$4-$B43+1)</f>
        <v/>
      </c>
      <c r="BB43" s="153">
        <f>$C43*INDEX(Curves!$BD$8:$BD$68,BB$4-$B43+1)</f>
        <v/>
      </c>
      <c r="BC43" s="153">
        <f>$C43*INDEX(Curves!$BD$8:$BD$68,BC$4-$B43+1)</f>
        <v/>
      </c>
      <c r="BD43" s="153">
        <f>$C43*INDEX(Curves!$BD$8:$BD$68,BD$4-$B43+1)</f>
        <v/>
      </c>
      <c r="BE43" s="153">
        <f>$C43*INDEX(Curves!$BD$8:$BD$68,BE$4-$B43+1)</f>
        <v/>
      </c>
      <c r="BF43" s="153">
        <f>$C43*INDEX(Curves!$BD$8:$BD$68,BF$4-$B43+1)</f>
        <v/>
      </c>
      <c r="BG43" s="153">
        <f>$C43*INDEX(Curves!$BD$8:$BD$68,BG$4-$B43+1)</f>
        <v/>
      </c>
      <c r="BH43" s="153">
        <f>$C43*INDEX(Curves!$BD$8:$BD$68,BH$4-$B43+1)</f>
        <v/>
      </c>
      <c r="BI43" s="153">
        <f>$C43*INDEX(Curves!$BD$8:$BD$68,BI$4-$B43+1)</f>
        <v/>
      </c>
      <c r="BJ43" s="153">
        <f>$C43*INDEX(Curves!$BD$8:$BD$68,BJ$4-$B43+1)</f>
        <v/>
      </c>
      <c r="BK43" s="153">
        <f>$C43*INDEX(Curves!$BD$8:$BD$68,BK$4-$B43+1)</f>
        <v/>
      </c>
      <c r="BL43" s="153">
        <f>$C43*INDEX(Curves!$BD$8:$BD$68,BL$4-$B43+1)</f>
        <v/>
      </c>
    </row>
    <row r="44">
      <c r="A44" s="147" t="inlineStr">
        <is>
          <t>Cohort month 35</t>
        </is>
      </c>
      <c r="B44" s="147" t="n">
        <v>35</v>
      </c>
      <c r="C44" s="41">
        <f>INDEX(Ops!$E$110:$BL$110,1,$B44)</f>
        <v/>
      </c>
      <c r="AN44" s="153">
        <f>$C44*INDEX(Curves!$BD$8:$BD$68,AN$4-$B44+1)</f>
        <v/>
      </c>
      <c r="AO44" s="153">
        <f>$C44*INDEX(Curves!$BD$8:$BD$68,AO$4-$B44+1)</f>
        <v/>
      </c>
      <c r="AP44" s="153">
        <f>$C44*INDEX(Curves!$BD$8:$BD$68,AP$4-$B44+1)</f>
        <v/>
      </c>
      <c r="AQ44" s="153">
        <f>$C44*INDEX(Curves!$BD$8:$BD$68,AQ$4-$B44+1)</f>
        <v/>
      </c>
      <c r="AR44" s="153">
        <f>$C44*INDEX(Curves!$BD$8:$BD$68,AR$4-$B44+1)</f>
        <v/>
      </c>
      <c r="AS44" s="153">
        <f>$C44*INDEX(Curves!$BD$8:$BD$68,AS$4-$B44+1)</f>
        <v/>
      </c>
      <c r="AT44" s="153">
        <f>$C44*INDEX(Curves!$BD$8:$BD$68,AT$4-$B44+1)</f>
        <v/>
      </c>
      <c r="AU44" s="153">
        <f>$C44*INDEX(Curves!$BD$8:$BD$68,AU$4-$B44+1)</f>
        <v/>
      </c>
      <c r="AV44" s="153">
        <f>$C44*INDEX(Curves!$BD$8:$BD$68,AV$4-$B44+1)</f>
        <v/>
      </c>
      <c r="AW44" s="153">
        <f>$C44*INDEX(Curves!$BD$8:$BD$68,AW$4-$B44+1)</f>
        <v/>
      </c>
      <c r="AX44" s="153">
        <f>$C44*INDEX(Curves!$BD$8:$BD$68,AX$4-$B44+1)</f>
        <v/>
      </c>
      <c r="AY44" s="153">
        <f>$C44*INDEX(Curves!$BD$8:$BD$68,AY$4-$B44+1)</f>
        <v/>
      </c>
      <c r="AZ44" s="153">
        <f>$C44*INDEX(Curves!$BD$8:$BD$68,AZ$4-$B44+1)</f>
        <v/>
      </c>
      <c r="BA44" s="153">
        <f>$C44*INDEX(Curves!$BD$8:$BD$68,BA$4-$B44+1)</f>
        <v/>
      </c>
      <c r="BB44" s="153">
        <f>$C44*INDEX(Curves!$BD$8:$BD$68,BB$4-$B44+1)</f>
        <v/>
      </c>
      <c r="BC44" s="153">
        <f>$C44*INDEX(Curves!$BD$8:$BD$68,BC$4-$B44+1)</f>
        <v/>
      </c>
      <c r="BD44" s="153">
        <f>$C44*INDEX(Curves!$BD$8:$BD$68,BD$4-$B44+1)</f>
        <v/>
      </c>
      <c r="BE44" s="153">
        <f>$C44*INDEX(Curves!$BD$8:$BD$68,BE$4-$B44+1)</f>
        <v/>
      </c>
      <c r="BF44" s="153">
        <f>$C44*INDEX(Curves!$BD$8:$BD$68,BF$4-$B44+1)</f>
        <v/>
      </c>
      <c r="BG44" s="153">
        <f>$C44*INDEX(Curves!$BD$8:$BD$68,BG$4-$B44+1)</f>
        <v/>
      </c>
      <c r="BH44" s="153">
        <f>$C44*INDEX(Curves!$BD$8:$BD$68,BH$4-$B44+1)</f>
        <v/>
      </c>
      <c r="BI44" s="153">
        <f>$C44*INDEX(Curves!$BD$8:$BD$68,BI$4-$B44+1)</f>
        <v/>
      </c>
      <c r="BJ44" s="153">
        <f>$C44*INDEX(Curves!$BD$8:$BD$68,BJ$4-$B44+1)</f>
        <v/>
      </c>
      <c r="BK44" s="153">
        <f>$C44*INDEX(Curves!$BD$8:$BD$68,BK$4-$B44+1)</f>
        <v/>
      </c>
      <c r="BL44" s="153">
        <f>$C44*INDEX(Curves!$BD$8:$BD$68,BL$4-$B44+1)</f>
        <v/>
      </c>
    </row>
    <row r="45">
      <c r="A45" s="147" t="inlineStr">
        <is>
          <t>Cohort month 36</t>
        </is>
      </c>
      <c r="B45" s="147" t="n">
        <v>36</v>
      </c>
      <c r="C45" s="41">
        <f>INDEX(Ops!$E$110:$BL$110,1,$B45)</f>
        <v/>
      </c>
      <c r="AO45" s="153">
        <f>$C45*INDEX(Curves!$BD$8:$BD$68,AO$4-$B45+1)</f>
        <v/>
      </c>
      <c r="AP45" s="153">
        <f>$C45*INDEX(Curves!$BD$8:$BD$68,AP$4-$B45+1)</f>
        <v/>
      </c>
      <c r="AQ45" s="153">
        <f>$C45*INDEX(Curves!$BD$8:$BD$68,AQ$4-$B45+1)</f>
        <v/>
      </c>
      <c r="AR45" s="153">
        <f>$C45*INDEX(Curves!$BD$8:$BD$68,AR$4-$B45+1)</f>
        <v/>
      </c>
      <c r="AS45" s="153">
        <f>$C45*INDEX(Curves!$BD$8:$BD$68,AS$4-$B45+1)</f>
        <v/>
      </c>
      <c r="AT45" s="153">
        <f>$C45*INDEX(Curves!$BD$8:$BD$68,AT$4-$B45+1)</f>
        <v/>
      </c>
      <c r="AU45" s="153">
        <f>$C45*INDEX(Curves!$BD$8:$BD$68,AU$4-$B45+1)</f>
        <v/>
      </c>
      <c r="AV45" s="153">
        <f>$C45*INDEX(Curves!$BD$8:$BD$68,AV$4-$B45+1)</f>
        <v/>
      </c>
      <c r="AW45" s="153">
        <f>$C45*INDEX(Curves!$BD$8:$BD$68,AW$4-$B45+1)</f>
        <v/>
      </c>
      <c r="AX45" s="153">
        <f>$C45*INDEX(Curves!$BD$8:$BD$68,AX$4-$B45+1)</f>
        <v/>
      </c>
      <c r="AY45" s="153">
        <f>$C45*INDEX(Curves!$BD$8:$BD$68,AY$4-$B45+1)</f>
        <v/>
      </c>
      <c r="AZ45" s="153">
        <f>$C45*INDEX(Curves!$BD$8:$BD$68,AZ$4-$B45+1)</f>
        <v/>
      </c>
      <c r="BA45" s="153">
        <f>$C45*INDEX(Curves!$BD$8:$BD$68,BA$4-$B45+1)</f>
        <v/>
      </c>
      <c r="BB45" s="153">
        <f>$C45*INDEX(Curves!$BD$8:$BD$68,BB$4-$B45+1)</f>
        <v/>
      </c>
      <c r="BC45" s="153">
        <f>$C45*INDEX(Curves!$BD$8:$BD$68,BC$4-$B45+1)</f>
        <v/>
      </c>
      <c r="BD45" s="153">
        <f>$C45*INDEX(Curves!$BD$8:$BD$68,BD$4-$B45+1)</f>
        <v/>
      </c>
      <c r="BE45" s="153">
        <f>$C45*INDEX(Curves!$BD$8:$BD$68,BE$4-$B45+1)</f>
        <v/>
      </c>
      <c r="BF45" s="153">
        <f>$C45*INDEX(Curves!$BD$8:$BD$68,BF$4-$B45+1)</f>
        <v/>
      </c>
      <c r="BG45" s="153">
        <f>$C45*INDEX(Curves!$BD$8:$BD$68,BG$4-$B45+1)</f>
        <v/>
      </c>
      <c r="BH45" s="153">
        <f>$C45*INDEX(Curves!$BD$8:$BD$68,BH$4-$B45+1)</f>
        <v/>
      </c>
      <c r="BI45" s="153">
        <f>$C45*INDEX(Curves!$BD$8:$BD$68,BI$4-$B45+1)</f>
        <v/>
      </c>
      <c r="BJ45" s="153">
        <f>$C45*INDEX(Curves!$BD$8:$BD$68,BJ$4-$B45+1)</f>
        <v/>
      </c>
      <c r="BK45" s="153">
        <f>$C45*INDEX(Curves!$BD$8:$BD$68,BK$4-$B45+1)</f>
        <v/>
      </c>
      <c r="BL45" s="153">
        <f>$C45*INDEX(Curves!$BD$8:$BD$68,BL$4-$B45+1)</f>
        <v/>
      </c>
    </row>
    <row r="46">
      <c r="A46" s="147" t="inlineStr">
        <is>
          <t>Cohort month 37</t>
        </is>
      </c>
      <c r="B46" s="147" t="n">
        <v>37</v>
      </c>
      <c r="C46" s="41">
        <f>INDEX(Ops!$E$110:$BL$110,1,$B46)</f>
        <v/>
      </c>
      <c r="AP46" s="153">
        <f>$C46*INDEX(Curves!$BD$8:$BD$68,AP$4-$B46+1)</f>
        <v/>
      </c>
      <c r="AQ46" s="153">
        <f>$C46*INDEX(Curves!$BD$8:$BD$68,AQ$4-$B46+1)</f>
        <v/>
      </c>
      <c r="AR46" s="153">
        <f>$C46*INDEX(Curves!$BD$8:$BD$68,AR$4-$B46+1)</f>
        <v/>
      </c>
      <c r="AS46" s="153">
        <f>$C46*INDEX(Curves!$BD$8:$BD$68,AS$4-$B46+1)</f>
        <v/>
      </c>
      <c r="AT46" s="153">
        <f>$C46*INDEX(Curves!$BD$8:$BD$68,AT$4-$B46+1)</f>
        <v/>
      </c>
      <c r="AU46" s="153">
        <f>$C46*INDEX(Curves!$BD$8:$BD$68,AU$4-$B46+1)</f>
        <v/>
      </c>
      <c r="AV46" s="153">
        <f>$C46*INDEX(Curves!$BD$8:$BD$68,AV$4-$B46+1)</f>
        <v/>
      </c>
      <c r="AW46" s="153">
        <f>$C46*INDEX(Curves!$BD$8:$BD$68,AW$4-$B46+1)</f>
        <v/>
      </c>
      <c r="AX46" s="153">
        <f>$C46*INDEX(Curves!$BD$8:$BD$68,AX$4-$B46+1)</f>
        <v/>
      </c>
      <c r="AY46" s="153">
        <f>$C46*INDEX(Curves!$BD$8:$BD$68,AY$4-$B46+1)</f>
        <v/>
      </c>
      <c r="AZ46" s="153">
        <f>$C46*INDEX(Curves!$BD$8:$BD$68,AZ$4-$B46+1)</f>
        <v/>
      </c>
      <c r="BA46" s="153">
        <f>$C46*INDEX(Curves!$BD$8:$BD$68,BA$4-$B46+1)</f>
        <v/>
      </c>
      <c r="BB46" s="153">
        <f>$C46*INDEX(Curves!$BD$8:$BD$68,BB$4-$B46+1)</f>
        <v/>
      </c>
      <c r="BC46" s="153">
        <f>$C46*INDEX(Curves!$BD$8:$BD$68,BC$4-$B46+1)</f>
        <v/>
      </c>
      <c r="BD46" s="153">
        <f>$C46*INDEX(Curves!$BD$8:$BD$68,BD$4-$B46+1)</f>
        <v/>
      </c>
      <c r="BE46" s="153">
        <f>$C46*INDEX(Curves!$BD$8:$BD$68,BE$4-$B46+1)</f>
        <v/>
      </c>
      <c r="BF46" s="153">
        <f>$C46*INDEX(Curves!$BD$8:$BD$68,BF$4-$B46+1)</f>
        <v/>
      </c>
      <c r="BG46" s="153">
        <f>$C46*INDEX(Curves!$BD$8:$BD$68,BG$4-$B46+1)</f>
        <v/>
      </c>
      <c r="BH46" s="153">
        <f>$C46*INDEX(Curves!$BD$8:$BD$68,BH$4-$B46+1)</f>
        <v/>
      </c>
      <c r="BI46" s="153">
        <f>$C46*INDEX(Curves!$BD$8:$BD$68,BI$4-$B46+1)</f>
        <v/>
      </c>
      <c r="BJ46" s="153">
        <f>$C46*INDEX(Curves!$BD$8:$BD$68,BJ$4-$B46+1)</f>
        <v/>
      </c>
      <c r="BK46" s="153">
        <f>$C46*INDEX(Curves!$BD$8:$BD$68,BK$4-$B46+1)</f>
        <v/>
      </c>
      <c r="BL46" s="153">
        <f>$C46*INDEX(Curves!$BD$8:$BD$68,BL$4-$B46+1)</f>
        <v/>
      </c>
    </row>
    <row r="47">
      <c r="A47" s="147" t="inlineStr">
        <is>
          <t>Cohort month 38</t>
        </is>
      </c>
      <c r="B47" s="147" t="n">
        <v>38</v>
      </c>
      <c r="C47" s="41">
        <f>INDEX(Ops!$E$110:$BL$110,1,$B47)</f>
        <v/>
      </c>
      <c r="AQ47" s="153">
        <f>$C47*INDEX(Curves!$BD$8:$BD$68,AQ$4-$B47+1)</f>
        <v/>
      </c>
      <c r="AR47" s="153">
        <f>$C47*INDEX(Curves!$BD$8:$BD$68,AR$4-$B47+1)</f>
        <v/>
      </c>
      <c r="AS47" s="153">
        <f>$C47*INDEX(Curves!$BD$8:$BD$68,AS$4-$B47+1)</f>
        <v/>
      </c>
      <c r="AT47" s="153">
        <f>$C47*INDEX(Curves!$BD$8:$BD$68,AT$4-$B47+1)</f>
        <v/>
      </c>
      <c r="AU47" s="153">
        <f>$C47*INDEX(Curves!$BD$8:$BD$68,AU$4-$B47+1)</f>
        <v/>
      </c>
      <c r="AV47" s="153">
        <f>$C47*INDEX(Curves!$BD$8:$BD$68,AV$4-$B47+1)</f>
        <v/>
      </c>
      <c r="AW47" s="153">
        <f>$C47*INDEX(Curves!$BD$8:$BD$68,AW$4-$B47+1)</f>
        <v/>
      </c>
      <c r="AX47" s="153">
        <f>$C47*INDEX(Curves!$BD$8:$BD$68,AX$4-$B47+1)</f>
        <v/>
      </c>
      <c r="AY47" s="153">
        <f>$C47*INDEX(Curves!$BD$8:$BD$68,AY$4-$B47+1)</f>
        <v/>
      </c>
      <c r="AZ47" s="153">
        <f>$C47*INDEX(Curves!$BD$8:$BD$68,AZ$4-$B47+1)</f>
        <v/>
      </c>
      <c r="BA47" s="153">
        <f>$C47*INDEX(Curves!$BD$8:$BD$68,BA$4-$B47+1)</f>
        <v/>
      </c>
      <c r="BB47" s="153">
        <f>$C47*INDEX(Curves!$BD$8:$BD$68,BB$4-$B47+1)</f>
        <v/>
      </c>
      <c r="BC47" s="153">
        <f>$C47*INDEX(Curves!$BD$8:$BD$68,BC$4-$B47+1)</f>
        <v/>
      </c>
      <c r="BD47" s="153">
        <f>$C47*INDEX(Curves!$BD$8:$BD$68,BD$4-$B47+1)</f>
        <v/>
      </c>
      <c r="BE47" s="153">
        <f>$C47*INDEX(Curves!$BD$8:$BD$68,BE$4-$B47+1)</f>
        <v/>
      </c>
      <c r="BF47" s="153">
        <f>$C47*INDEX(Curves!$BD$8:$BD$68,BF$4-$B47+1)</f>
        <v/>
      </c>
      <c r="BG47" s="153">
        <f>$C47*INDEX(Curves!$BD$8:$BD$68,BG$4-$B47+1)</f>
        <v/>
      </c>
      <c r="BH47" s="153">
        <f>$C47*INDEX(Curves!$BD$8:$BD$68,BH$4-$B47+1)</f>
        <v/>
      </c>
      <c r="BI47" s="153">
        <f>$C47*INDEX(Curves!$BD$8:$BD$68,BI$4-$B47+1)</f>
        <v/>
      </c>
      <c r="BJ47" s="153">
        <f>$C47*INDEX(Curves!$BD$8:$BD$68,BJ$4-$B47+1)</f>
        <v/>
      </c>
      <c r="BK47" s="153">
        <f>$C47*INDEX(Curves!$BD$8:$BD$68,BK$4-$B47+1)</f>
        <v/>
      </c>
      <c r="BL47" s="153">
        <f>$C47*INDEX(Curves!$BD$8:$BD$68,BL$4-$B47+1)</f>
        <v/>
      </c>
    </row>
    <row r="48">
      <c r="A48" s="147" t="inlineStr">
        <is>
          <t>Cohort month 39</t>
        </is>
      </c>
      <c r="B48" s="147" t="n">
        <v>39</v>
      </c>
      <c r="C48" s="41">
        <f>INDEX(Ops!$E$110:$BL$110,1,$B48)</f>
        <v/>
      </c>
      <c r="AR48" s="153">
        <f>$C48*INDEX(Curves!$BD$8:$BD$68,AR$4-$B48+1)</f>
        <v/>
      </c>
      <c r="AS48" s="153">
        <f>$C48*INDEX(Curves!$BD$8:$BD$68,AS$4-$B48+1)</f>
        <v/>
      </c>
      <c r="AT48" s="153">
        <f>$C48*INDEX(Curves!$BD$8:$BD$68,AT$4-$B48+1)</f>
        <v/>
      </c>
      <c r="AU48" s="153">
        <f>$C48*INDEX(Curves!$BD$8:$BD$68,AU$4-$B48+1)</f>
        <v/>
      </c>
      <c r="AV48" s="153">
        <f>$C48*INDEX(Curves!$BD$8:$BD$68,AV$4-$B48+1)</f>
        <v/>
      </c>
      <c r="AW48" s="153">
        <f>$C48*INDEX(Curves!$BD$8:$BD$68,AW$4-$B48+1)</f>
        <v/>
      </c>
      <c r="AX48" s="153">
        <f>$C48*INDEX(Curves!$BD$8:$BD$68,AX$4-$B48+1)</f>
        <v/>
      </c>
      <c r="AY48" s="153">
        <f>$C48*INDEX(Curves!$BD$8:$BD$68,AY$4-$B48+1)</f>
        <v/>
      </c>
      <c r="AZ48" s="153">
        <f>$C48*INDEX(Curves!$BD$8:$BD$68,AZ$4-$B48+1)</f>
        <v/>
      </c>
      <c r="BA48" s="153">
        <f>$C48*INDEX(Curves!$BD$8:$BD$68,BA$4-$B48+1)</f>
        <v/>
      </c>
      <c r="BB48" s="153">
        <f>$C48*INDEX(Curves!$BD$8:$BD$68,BB$4-$B48+1)</f>
        <v/>
      </c>
      <c r="BC48" s="153">
        <f>$C48*INDEX(Curves!$BD$8:$BD$68,BC$4-$B48+1)</f>
        <v/>
      </c>
      <c r="BD48" s="153">
        <f>$C48*INDEX(Curves!$BD$8:$BD$68,BD$4-$B48+1)</f>
        <v/>
      </c>
      <c r="BE48" s="153">
        <f>$C48*INDEX(Curves!$BD$8:$BD$68,BE$4-$B48+1)</f>
        <v/>
      </c>
      <c r="BF48" s="153">
        <f>$C48*INDEX(Curves!$BD$8:$BD$68,BF$4-$B48+1)</f>
        <v/>
      </c>
      <c r="BG48" s="153">
        <f>$C48*INDEX(Curves!$BD$8:$BD$68,BG$4-$B48+1)</f>
        <v/>
      </c>
      <c r="BH48" s="153">
        <f>$C48*INDEX(Curves!$BD$8:$BD$68,BH$4-$B48+1)</f>
        <v/>
      </c>
      <c r="BI48" s="153">
        <f>$C48*INDEX(Curves!$BD$8:$BD$68,BI$4-$B48+1)</f>
        <v/>
      </c>
      <c r="BJ48" s="153">
        <f>$C48*INDEX(Curves!$BD$8:$BD$68,BJ$4-$B48+1)</f>
        <v/>
      </c>
      <c r="BK48" s="153">
        <f>$C48*INDEX(Curves!$BD$8:$BD$68,BK$4-$B48+1)</f>
        <v/>
      </c>
      <c r="BL48" s="153">
        <f>$C48*INDEX(Curves!$BD$8:$BD$68,BL$4-$B48+1)</f>
        <v/>
      </c>
    </row>
    <row r="49">
      <c r="A49" s="147" t="inlineStr">
        <is>
          <t>Cohort month 40</t>
        </is>
      </c>
      <c r="B49" s="147" t="n">
        <v>40</v>
      </c>
      <c r="C49" s="41">
        <f>INDEX(Ops!$E$110:$BL$110,1,$B49)</f>
        <v/>
      </c>
      <c r="AS49" s="153">
        <f>$C49*INDEX(Curves!$BD$8:$BD$68,AS$4-$B49+1)</f>
        <v/>
      </c>
      <c r="AT49" s="153">
        <f>$C49*INDEX(Curves!$BD$8:$BD$68,AT$4-$B49+1)</f>
        <v/>
      </c>
      <c r="AU49" s="153">
        <f>$C49*INDEX(Curves!$BD$8:$BD$68,AU$4-$B49+1)</f>
        <v/>
      </c>
      <c r="AV49" s="153">
        <f>$C49*INDEX(Curves!$BD$8:$BD$68,AV$4-$B49+1)</f>
        <v/>
      </c>
      <c r="AW49" s="153">
        <f>$C49*INDEX(Curves!$BD$8:$BD$68,AW$4-$B49+1)</f>
        <v/>
      </c>
      <c r="AX49" s="153">
        <f>$C49*INDEX(Curves!$BD$8:$BD$68,AX$4-$B49+1)</f>
        <v/>
      </c>
      <c r="AY49" s="153">
        <f>$C49*INDEX(Curves!$BD$8:$BD$68,AY$4-$B49+1)</f>
        <v/>
      </c>
      <c r="AZ49" s="153">
        <f>$C49*INDEX(Curves!$BD$8:$BD$68,AZ$4-$B49+1)</f>
        <v/>
      </c>
      <c r="BA49" s="153">
        <f>$C49*INDEX(Curves!$BD$8:$BD$68,BA$4-$B49+1)</f>
        <v/>
      </c>
      <c r="BB49" s="153">
        <f>$C49*INDEX(Curves!$BD$8:$BD$68,BB$4-$B49+1)</f>
        <v/>
      </c>
      <c r="BC49" s="153">
        <f>$C49*INDEX(Curves!$BD$8:$BD$68,BC$4-$B49+1)</f>
        <v/>
      </c>
      <c r="BD49" s="153">
        <f>$C49*INDEX(Curves!$BD$8:$BD$68,BD$4-$B49+1)</f>
        <v/>
      </c>
      <c r="BE49" s="153">
        <f>$C49*INDEX(Curves!$BD$8:$BD$68,BE$4-$B49+1)</f>
        <v/>
      </c>
      <c r="BF49" s="153">
        <f>$C49*INDEX(Curves!$BD$8:$BD$68,BF$4-$B49+1)</f>
        <v/>
      </c>
      <c r="BG49" s="153">
        <f>$C49*INDEX(Curves!$BD$8:$BD$68,BG$4-$B49+1)</f>
        <v/>
      </c>
      <c r="BH49" s="153">
        <f>$C49*INDEX(Curves!$BD$8:$BD$68,BH$4-$B49+1)</f>
        <v/>
      </c>
      <c r="BI49" s="153">
        <f>$C49*INDEX(Curves!$BD$8:$BD$68,BI$4-$B49+1)</f>
        <v/>
      </c>
      <c r="BJ49" s="153">
        <f>$C49*INDEX(Curves!$BD$8:$BD$68,BJ$4-$B49+1)</f>
        <v/>
      </c>
      <c r="BK49" s="153">
        <f>$C49*INDEX(Curves!$BD$8:$BD$68,BK$4-$B49+1)</f>
        <v/>
      </c>
      <c r="BL49" s="153">
        <f>$C49*INDEX(Curves!$BD$8:$BD$68,BL$4-$B49+1)</f>
        <v/>
      </c>
    </row>
    <row r="50">
      <c r="A50" s="147" t="inlineStr">
        <is>
          <t>Cohort month 41</t>
        </is>
      </c>
      <c r="B50" s="147" t="n">
        <v>41</v>
      </c>
      <c r="C50" s="41">
        <f>INDEX(Ops!$E$110:$BL$110,1,$B50)</f>
        <v/>
      </c>
      <c r="AT50" s="153">
        <f>$C50*INDEX(Curves!$BD$8:$BD$68,AT$4-$B50+1)</f>
        <v/>
      </c>
      <c r="AU50" s="153">
        <f>$C50*INDEX(Curves!$BD$8:$BD$68,AU$4-$B50+1)</f>
        <v/>
      </c>
      <c r="AV50" s="153">
        <f>$C50*INDEX(Curves!$BD$8:$BD$68,AV$4-$B50+1)</f>
        <v/>
      </c>
      <c r="AW50" s="153">
        <f>$C50*INDEX(Curves!$BD$8:$BD$68,AW$4-$B50+1)</f>
        <v/>
      </c>
      <c r="AX50" s="153">
        <f>$C50*INDEX(Curves!$BD$8:$BD$68,AX$4-$B50+1)</f>
        <v/>
      </c>
      <c r="AY50" s="153">
        <f>$C50*INDEX(Curves!$BD$8:$BD$68,AY$4-$B50+1)</f>
        <v/>
      </c>
      <c r="AZ50" s="153">
        <f>$C50*INDEX(Curves!$BD$8:$BD$68,AZ$4-$B50+1)</f>
        <v/>
      </c>
      <c r="BA50" s="153">
        <f>$C50*INDEX(Curves!$BD$8:$BD$68,BA$4-$B50+1)</f>
        <v/>
      </c>
      <c r="BB50" s="153">
        <f>$C50*INDEX(Curves!$BD$8:$BD$68,BB$4-$B50+1)</f>
        <v/>
      </c>
      <c r="BC50" s="153">
        <f>$C50*INDEX(Curves!$BD$8:$BD$68,BC$4-$B50+1)</f>
        <v/>
      </c>
      <c r="BD50" s="153">
        <f>$C50*INDEX(Curves!$BD$8:$BD$68,BD$4-$B50+1)</f>
        <v/>
      </c>
      <c r="BE50" s="153">
        <f>$C50*INDEX(Curves!$BD$8:$BD$68,BE$4-$B50+1)</f>
        <v/>
      </c>
      <c r="BF50" s="153">
        <f>$C50*INDEX(Curves!$BD$8:$BD$68,BF$4-$B50+1)</f>
        <v/>
      </c>
      <c r="BG50" s="153">
        <f>$C50*INDEX(Curves!$BD$8:$BD$68,BG$4-$B50+1)</f>
        <v/>
      </c>
      <c r="BH50" s="153">
        <f>$C50*INDEX(Curves!$BD$8:$BD$68,BH$4-$B50+1)</f>
        <v/>
      </c>
      <c r="BI50" s="153">
        <f>$C50*INDEX(Curves!$BD$8:$BD$68,BI$4-$B50+1)</f>
        <v/>
      </c>
      <c r="BJ50" s="153">
        <f>$C50*INDEX(Curves!$BD$8:$BD$68,BJ$4-$B50+1)</f>
        <v/>
      </c>
      <c r="BK50" s="153">
        <f>$C50*INDEX(Curves!$BD$8:$BD$68,BK$4-$B50+1)</f>
        <v/>
      </c>
      <c r="BL50" s="153">
        <f>$C50*INDEX(Curves!$BD$8:$BD$68,BL$4-$B50+1)</f>
        <v/>
      </c>
    </row>
    <row r="51">
      <c r="A51" s="147" t="inlineStr">
        <is>
          <t>Cohort month 42</t>
        </is>
      </c>
      <c r="B51" s="147" t="n">
        <v>42</v>
      </c>
      <c r="C51" s="41">
        <f>INDEX(Ops!$E$110:$BL$110,1,$B51)</f>
        <v/>
      </c>
      <c r="AU51" s="153">
        <f>$C51*INDEX(Curves!$BD$8:$BD$68,AU$4-$B51+1)</f>
        <v/>
      </c>
      <c r="AV51" s="153">
        <f>$C51*INDEX(Curves!$BD$8:$BD$68,AV$4-$B51+1)</f>
        <v/>
      </c>
      <c r="AW51" s="153">
        <f>$C51*INDEX(Curves!$BD$8:$BD$68,AW$4-$B51+1)</f>
        <v/>
      </c>
      <c r="AX51" s="153">
        <f>$C51*INDEX(Curves!$BD$8:$BD$68,AX$4-$B51+1)</f>
        <v/>
      </c>
      <c r="AY51" s="153">
        <f>$C51*INDEX(Curves!$BD$8:$BD$68,AY$4-$B51+1)</f>
        <v/>
      </c>
      <c r="AZ51" s="153">
        <f>$C51*INDEX(Curves!$BD$8:$BD$68,AZ$4-$B51+1)</f>
        <v/>
      </c>
      <c r="BA51" s="153">
        <f>$C51*INDEX(Curves!$BD$8:$BD$68,BA$4-$B51+1)</f>
        <v/>
      </c>
      <c r="BB51" s="153">
        <f>$C51*INDEX(Curves!$BD$8:$BD$68,BB$4-$B51+1)</f>
        <v/>
      </c>
      <c r="BC51" s="153">
        <f>$C51*INDEX(Curves!$BD$8:$BD$68,BC$4-$B51+1)</f>
        <v/>
      </c>
      <c r="BD51" s="153">
        <f>$C51*INDEX(Curves!$BD$8:$BD$68,BD$4-$B51+1)</f>
        <v/>
      </c>
      <c r="BE51" s="153">
        <f>$C51*INDEX(Curves!$BD$8:$BD$68,BE$4-$B51+1)</f>
        <v/>
      </c>
      <c r="BF51" s="153">
        <f>$C51*INDEX(Curves!$BD$8:$BD$68,BF$4-$B51+1)</f>
        <v/>
      </c>
      <c r="BG51" s="153">
        <f>$C51*INDEX(Curves!$BD$8:$BD$68,BG$4-$B51+1)</f>
        <v/>
      </c>
      <c r="BH51" s="153">
        <f>$C51*INDEX(Curves!$BD$8:$BD$68,BH$4-$B51+1)</f>
        <v/>
      </c>
      <c r="BI51" s="153">
        <f>$C51*INDEX(Curves!$BD$8:$BD$68,BI$4-$B51+1)</f>
        <v/>
      </c>
      <c r="BJ51" s="153">
        <f>$C51*INDEX(Curves!$BD$8:$BD$68,BJ$4-$B51+1)</f>
        <v/>
      </c>
      <c r="BK51" s="153">
        <f>$C51*INDEX(Curves!$BD$8:$BD$68,BK$4-$B51+1)</f>
        <v/>
      </c>
      <c r="BL51" s="153">
        <f>$C51*INDEX(Curves!$BD$8:$BD$68,BL$4-$B51+1)</f>
        <v/>
      </c>
    </row>
    <row r="52">
      <c r="A52" s="147" t="inlineStr">
        <is>
          <t>Cohort month 43</t>
        </is>
      </c>
      <c r="B52" s="147" t="n">
        <v>43</v>
      </c>
      <c r="C52" s="41">
        <f>INDEX(Ops!$E$110:$BL$110,1,$B52)</f>
        <v/>
      </c>
      <c r="AV52" s="153">
        <f>$C52*INDEX(Curves!$BD$8:$BD$68,AV$4-$B52+1)</f>
        <v/>
      </c>
      <c r="AW52" s="153">
        <f>$C52*INDEX(Curves!$BD$8:$BD$68,AW$4-$B52+1)</f>
        <v/>
      </c>
      <c r="AX52" s="153">
        <f>$C52*INDEX(Curves!$BD$8:$BD$68,AX$4-$B52+1)</f>
        <v/>
      </c>
      <c r="AY52" s="153">
        <f>$C52*INDEX(Curves!$BD$8:$BD$68,AY$4-$B52+1)</f>
        <v/>
      </c>
      <c r="AZ52" s="153">
        <f>$C52*INDEX(Curves!$BD$8:$BD$68,AZ$4-$B52+1)</f>
        <v/>
      </c>
      <c r="BA52" s="153">
        <f>$C52*INDEX(Curves!$BD$8:$BD$68,BA$4-$B52+1)</f>
        <v/>
      </c>
      <c r="BB52" s="153">
        <f>$C52*INDEX(Curves!$BD$8:$BD$68,BB$4-$B52+1)</f>
        <v/>
      </c>
      <c r="BC52" s="153">
        <f>$C52*INDEX(Curves!$BD$8:$BD$68,BC$4-$B52+1)</f>
        <v/>
      </c>
      <c r="BD52" s="153">
        <f>$C52*INDEX(Curves!$BD$8:$BD$68,BD$4-$B52+1)</f>
        <v/>
      </c>
      <c r="BE52" s="153">
        <f>$C52*INDEX(Curves!$BD$8:$BD$68,BE$4-$B52+1)</f>
        <v/>
      </c>
      <c r="BF52" s="153">
        <f>$C52*INDEX(Curves!$BD$8:$BD$68,BF$4-$B52+1)</f>
        <v/>
      </c>
      <c r="BG52" s="153">
        <f>$C52*INDEX(Curves!$BD$8:$BD$68,BG$4-$B52+1)</f>
        <v/>
      </c>
      <c r="BH52" s="153">
        <f>$C52*INDEX(Curves!$BD$8:$BD$68,BH$4-$B52+1)</f>
        <v/>
      </c>
      <c r="BI52" s="153">
        <f>$C52*INDEX(Curves!$BD$8:$BD$68,BI$4-$B52+1)</f>
        <v/>
      </c>
      <c r="BJ52" s="153">
        <f>$C52*INDEX(Curves!$BD$8:$BD$68,BJ$4-$B52+1)</f>
        <v/>
      </c>
      <c r="BK52" s="153">
        <f>$C52*INDEX(Curves!$BD$8:$BD$68,BK$4-$B52+1)</f>
        <v/>
      </c>
      <c r="BL52" s="153">
        <f>$C52*INDEX(Curves!$BD$8:$BD$68,BL$4-$B52+1)</f>
        <v/>
      </c>
    </row>
    <row r="53">
      <c r="A53" s="147" t="inlineStr">
        <is>
          <t>Cohort month 44</t>
        </is>
      </c>
      <c r="B53" s="147" t="n">
        <v>44</v>
      </c>
      <c r="C53" s="41">
        <f>INDEX(Ops!$E$110:$BL$110,1,$B53)</f>
        <v/>
      </c>
      <c r="AW53" s="153">
        <f>$C53*INDEX(Curves!$BD$8:$BD$68,AW$4-$B53+1)</f>
        <v/>
      </c>
      <c r="AX53" s="153">
        <f>$C53*INDEX(Curves!$BD$8:$BD$68,AX$4-$B53+1)</f>
        <v/>
      </c>
      <c r="AY53" s="153">
        <f>$C53*INDEX(Curves!$BD$8:$BD$68,AY$4-$B53+1)</f>
        <v/>
      </c>
      <c r="AZ53" s="153">
        <f>$C53*INDEX(Curves!$BD$8:$BD$68,AZ$4-$B53+1)</f>
        <v/>
      </c>
      <c r="BA53" s="153">
        <f>$C53*INDEX(Curves!$BD$8:$BD$68,BA$4-$B53+1)</f>
        <v/>
      </c>
      <c r="BB53" s="153">
        <f>$C53*INDEX(Curves!$BD$8:$BD$68,BB$4-$B53+1)</f>
        <v/>
      </c>
      <c r="BC53" s="153">
        <f>$C53*INDEX(Curves!$BD$8:$BD$68,BC$4-$B53+1)</f>
        <v/>
      </c>
      <c r="BD53" s="153">
        <f>$C53*INDEX(Curves!$BD$8:$BD$68,BD$4-$B53+1)</f>
        <v/>
      </c>
      <c r="BE53" s="153">
        <f>$C53*INDEX(Curves!$BD$8:$BD$68,BE$4-$B53+1)</f>
        <v/>
      </c>
      <c r="BF53" s="153">
        <f>$C53*INDEX(Curves!$BD$8:$BD$68,BF$4-$B53+1)</f>
        <v/>
      </c>
      <c r="BG53" s="153">
        <f>$C53*INDEX(Curves!$BD$8:$BD$68,BG$4-$B53+1)</f>
        <v/>
      </c>
      <c r="BH53" s="153">
        <f>$C53*INDEX(Curves!$BD$8:$BD$68,BH$4-$B53+1)</f>
        <v/>
      </c>
      <c r="BI53" s="153">
        <f>$C53*INDEX(Curves!$BD$8:$BD$68,BI$4-$B53+1)</f>
        <v/>
      </c>
      <c r="BJ53" s="153">
        <f>$C53*INDEX(Curves!$BD$8:$BD$68,BJ$4-$B53+1)</f>
        <v/>
      </c>
      <c r="BK53" s="153">
        <f>$C53*INDEX(Curves!$BD$8:$BD$68,BK$4-$B53+1)</f>
        <v/>
      </c>
      <c r="BL53" s="153">
        <f>$C53*INDEX(Curves!$BD$8:$BD$68,BL$4-$B53+1)</f>
        <v/>
      </c>
    </row>
    <row r="54">
      <c r="A54" s="147" t="inlineStr">
        <is>
          <t>Cohort month 45</t>
        </is>
      </c>
      <c r="B54" s="147" t="n">
        <v>45</v>
      </c>
      <c r="C54" s="41">
        <f>INDEX(Ops!$E$110:$BL$110,1,$B54)</f>
        <v/>
      </c>
      <c r="AX54" s="153">
        <f>$C54*INDEX(Curves!$BD$8:$BD$68,AX$4-$B54+1)</f>
        <v/>
      </c>
      <c r="AY54" s="153">
        <f>$C54*INDEX(Curves!$BD$8:$BD$68,AY$4-$B54+1)</f>
        <v/>
      </c>
      <c r="AZ54" s="153">
        <f>$C54*INDEX(Curves!$BD$8:$BD$68,AZ$4-$B54+1)</f>
        <v/>
      </c>
      <c r="BA54" s="153">
        <f>$C54*INDEX(Curves!$BD$8:$BD$68,BA$4-$B54+1)</f>
        <v/>
      </c>
      <c r="BB54" s="153">
        <f>$C54*INDEX(Curves!$BD$8:$BD$68,BB$4-$B54+1)</f>
        <v/>
      </c>
      <c r="BC54" s="153">
        <f>$C54*INDEX(Curves!$BD$8:$BD$68,BC$4-$B54+1)</f>
        <v/>
      </c>
      <c r="BD54" s="153">
        <f>$C54*INDEX(Curves!$BD$8:$BD$68,BD$4-$B54+1)</f>
        <v/>
      </c>
      <c r="BE54" s="153">
        <f>$C54*INDEX(Curves!$BD$8:$BD$68,BE$4-$B54+1)</f>
        <v/>
      </c>
      <c r="BF54" s="153">
        <f>$C54*INDEX(Curves!$BD$8:$BD$68,BF$4-$B54+1)</f>
        <v/>
      </c>
      <c r="BG54" s="153">
        <f>$C54*INDEX(Curves!$BD$8:$BD$68,BG$4-$B54+1)</f>
        <v/>
      </c>
      <c r="BH54" s="153">
        <f>$C54*INDEX(Curves!$BD$8:$BD$68,BH$4-$B54+1)</f>
        <v/>
      </c>
      <c r="BI54" s="153">
        <f>$C54*INDEX(Curves!$BD$8:$BD$68,BI$4-$B54+1)</f>
        <v/>
      </c>
      <c r="BJ54" s="153">
        <f>$C54*INDEX(Curves!$BD$8:$BD$68,BJ$4-$B54+1)</f>
        <v/>
      </c>
      <c r="BK54" s="153">
        <f>$C54*INDEX(Curves!$BD$8:$BD$68,BK$4-$B54+1)</f>
        <v/>
      </c>
      <c r="BL54" s="153">
        <f>$C54*INDEX(Curves!$BD$8:$BD$68,BL$4-$B54+1)</f>
        <v/>
      </c>
    </row>
    <row r="55">
      <c r="A55" s="147" t="inlineStr">
        <is>
          <t>Cohort month 46</t>
        </is>
      </c>
      <c r="B55" s="147" t="n">
        <v>46</v>
      </c>
      <c r="C55" s="41">
        <f>INDEX(Ops!$E$110:$BL$110,1,$B55)</f>
        <v/>
      </c>
      <c r="AY55" s="153">
        <f>$C55*INDEX(Curves!$BD$8:$BD$68,AY$4-$B55+1)</f>
        <v/>
      </c>
      <c r="AZ55" s="153">
        <f>$C55*INDEX(Curves!$BD$8:$BD$68,AZ$4-$B55+1)</f>
        <v/>
      </c>
      <c r="BA55" s="153">
        <f>$C55*INDEX(Curves!$BD$8:$BD$68,BA$4-$B55+1)</f>
        <v/>
      </c>
      <c r="BB55" s="153">
        <f>$C55*INDEX(Curves!$BD$8:$BD$68,BB$4-$B55+1)</f>
        <v/>
      </c>
      <c r="BC55" s="153">
        <f>$C55*INDEX(Curves!$BD$8:$BD$68,BC$4-$B55+1)</f>
        <v/>
      </c>
      <c r="BD55" s="153">
        <f>$C55*INDEX(Curves!$BD$8:$BD$68,BD$4-$B55+1)</f>
        <v/>
      </c>
      <c r="BE55" s="153">
        <f>$C55*INDEX(Curves!$BD$8:$BD$68,BE$4-$B55+1)</f>
        <v/>
      </c>
      <c r="BF55" s="153">
        <f>$C55*INDEX(Curves!$BD$8:$BD$68,BF$4-$B55+1)</f>
        <v/>
      </c>
      <c r="BG55" s="153">
        <f>$C55*INDEX(Curves!$BD$8:$BD$68,BG$4-$B55+1)</f>
        <v/>
      </c>
      <c r="BH55" s="153">
        <f>$C55*INDEX(Curves!$BD$8:$BD$68,BH$4-$B55+1)</f>
        <v/>
      </c>
      <c r="BI55" s="153">
        <f>$C55*INDEX(Curves!$BD$8:$BD$68,BI$4-$B55+1)</f>
        <v/>
      </c>
      <c r="BJ55" s="153">
        <f>$C55*INDEX(Curves!$BD$8:$BD$68,BJ$4-$B55+1)</f>
        <v/>
      </c>
      <c r="BK55" s="153">
        <f>$C55*INDEX(Curves!$BD$8:$BD$68,BK$4-$B55+1)</f>
        <v/>
      </c>
      <c r="BL55" s="153">
        <f>$C55*INDEX(Curves!$BD$8:$BD$68,BL$4-$B55+1)</f>
        <v/>
      </c>
    </row>
    <row r="56">
      <c r="A56" s="147" t="inlineStr">
        <is>
          <t>Cohort month 47</t>
        </is>
      </c>
      <c r="B56" s="147" t="n">
        <v>47</v>
      </c>
      <c r="C56" s="41">
        <f>INDEX(Ops!$E$110:$BL$110,1,$B56)</f>
        <v/>
      </c>
      <c r="AZ56" s="153">
        <f>$C56*INDEX(Curves!$BD$8:$BD$68,AZ$4-$B56+1)</f>
        <v/>
      </c>
      <c r="BA56" s="153">
        <f>$C56*INDEX(Curves!$BD$8:$BD$68,BA$4-$B56+1)</f>
        <v/>
      </c>
      <c r="BB56" s="153">
        <f>$C56*INDEX(Curves!$BD$8:$BD$68,BB$4-$B56+1)</f>
        <v/>
      </c>
      <c r="BC56" s="153">
        <f>$C56*INDEX(Curves!$BD$8:$BD$68,BC$4-$B56+1)</f>
        <v/>
      </c>
      <c r="BD56" s="153">
        <f>$C56*INDEX(Curves!$BD$8:$BD$68,BD$4-$B56+1)</f>
        <v/>
      </c>
      <c r="BE56" s="153">
        <f>$C56*INDEX(Curves!$BD$8:$BD$68,BE$4-$B56+1)</f>
        <v/>
      </c>
      <c r="BF56" s="153">
        <f>$C56*INDEX(Curves!$BD$8:$BD$68,BF$4-$B56+1)</f>
        <v/>
      </c>
      <c r="BG56" s="153">
        <f>$C56*INDEX(Curves!$BD$8:$BD$68,BG$4-$B56+1)</f>
        <v/>
      </c>
      <c r="BH56" s="153">
        <f>$C56*INDEX(Curves!$BD$8:$BD$68,BH$4-$B56+1)</f>
        <v/>
      </c>
      <c r="BI56" s="153">
        <f>$C56*INDEX(Curves!$BD$8:$BD$68,BI$4-$B56+1)</f>
        <v/>
      </c>
      <c r="BJ56" s="153">
        <f>$C56*INDEX(Curves!$BD$8:$BD$68,BJ$4-$B56+1)</f>
        <v/>
      </c>
      <c r="BK56" s="153">
        <f>$C56*INDEX(Curves!$BD$8:$BD$68,BK$4-$B56+1)</f>
        <v/>
      </c>
      <c r="BL56" s="153">
        <f>$C56*INDEX(Curves!$BD$8:$BD$68,BL$4-$B56+1)</f>
        <v/>
      </c>
    </row>
    <row r="57">
      <c r="A57" s="147" t="inlineStr">
        <is>
          <t>Cohort month 48</t>
        </is>
      </c>
      <c r="B57" s="147" t="n">
        <v>48</v>
      </c>
      <c r="C57" s="41">
        <f>INDEX(Ops!$E$110:$BL$110,1,$B57)</f>
        <v/>
      </c>
      <c r="BA57" s="153">
        <f>$C57*INDEX(Curves!$BD$8:$BD$68,BA$4-$B57+1)</f>
        <v/>
      </c>
      <c r="BB57" s="153">
        <f>$C57*INDEX(Curves!$BD$8:$BD$68,BB$4-$B57+1)</f>
        <v/>
      </c>
      <c r="BC57" s="153">
        <f>$C57*INDEX(Curves!$BD$8:$BD$68,BC$4-$B57+1)</f>
        <v/>
      </c>
      <c r="BD57" s="153">
        <f>$C57*INDEX(Curves!$BD$8:$BD$68,BD$4-$B57+1)</f>
        <v/>
      </c>
      <c r="BE57" s="153">
        <f>$C57*INDEX(Curves!$BD$8:$BD$68,BE$4-$B57+1)</f>
        <v/>
      </c>
      <c r="BF57" s="153">
        <f>$C57*INDEX(Curves!$BD$8:$BD$68,BF$4-$B57+1)</f>
        <v/>
      </c>
      <c r="BG57" s="153">
        <f>$C57*INDEX(Curves!$BD$8:$BD$68,BG$4-$B57+1)</f>
        <v/>
      </c>
      <c r="BH57" s="153">
        <f>$C57*INDEX(Curves!$BD$8:$BD$68,BH$4-$B57+1)</f>
        <v/>
      </c>
      <c r="BI57" s="153">
        <f>$C57*INDEX(Curves!$BD$8:$BD$68,BI$4-$B57+1)</f>
        <v/>
      </c>
      <c r="BJ57" s="153">
        <f>$C57*INDEX(Curves!$BD$8:$BD$68,BJ$4-$B57+1)</f>
        <v/>
      </c>
      <c r="BK57" s="153">
        <f>$C57*INDEX(Curves!$BD$8:$BD$68,BK$4-$B57+1)</f>
        <v/>
      </c>
      <c r="BL57" s="153">
        <f>$C57*INDEX(Curves!$BD$8:$BD$68,BL$4-$B57+1)</f>
        <v/>
      </c>
    </row>
    <row r="58">
      <c r="A58" s="147" t="inlineStr">
        <is>
          <t>Cohort month 49</t>
        </is>
      </c>
      <c r="B58" s="147" t="n">
        <v>49</v>
      </c>
      <c r="C58" s="41">
        <f>INDEX(Ops!$E$110:$BL$110,1,$B58)</f>
        <v/>
      </c>
      <c r="BB58" s="153">
        <f>$C58*INDEX(Curves!$BD$8:$BD$68,BB$4-$B58+1)</f>
        <v/>
      </c>
      <c r="BC58" s="153">
        <f>$C58*INDEX(Curves!$BD$8:$BD$68,BC$4-$B58+1)</f>
        <v/>
      </c>
      <c r="BD58" s="153">
        <f>$C58*INDEX(Curves!$BD$8:$BD$68,BD$4-$B58+1)</f>
        <v/>
      </c>
      <c r="BE58" s="153">
        <f>$C58*INDEX(Curves!$BD$8:$BD$68,BE$4-$B58+1)</f>
        <v/>
      </c>
      <c r="BF58" s="153">
        <f>$C58*INDEX(Curves!$BD$8:$BD$68,BF$4-$B58+1)</f>
        <v/>
      </c>
      <c r="BG58" s="153">
        <f>$C58*INDEX(Curves!$BD$8:$BD$68,BG$4-$B58+1)</f>
        <v/>
      </c>
      <c r="BH58" s="153">
        <f>$C58*INDEX(Curves!$BD$8:$BD$68,BH$4-$B58+1)</f>
        <v/>
      </c>
      <c r="BI58" s="153">
        <f>$C58*INDEX(Curves!$BD$8:$BD$68,BI$4-$B58+1)</f>
        <v/>
      </c>
      <c r="BJ58" s="153">
        <f>$C58*INDEX(Curves!$BD$8:$BD$68,BJ$4-$B58+1)</f>
        <v/>
      </c>
      <c r="BK58" s="153">
        <f>$C58*INDEX(Curves!$BD$8:$BD$68,BK$4-$B58+1)</f>
        <v/>
      </c>
      <c r="BL58" s="153">
        <f>$C58*INDEX(Curves!$BD$8:$BD$68,BL$4-$B58+1)</f>
        <v/>
      </c>
    </row>
    <row r="59">
      <c r="A59" s="147" t="inlineStr">
        <is>
          <t>Cohort month 50</t>
        </is>
      </c>
      <c r="B59" s="147" t="n">
        <v>50</v>
      </c>
      <c r="C59" s="41">
        <f>INDEX(Ops!$E$110:$BL$110,1,$B59)</f>
        <v/>
      </c>
      <c r="BC59" s="153">
        <f>$C59*INDEX(Curves!$BD$8:$BD$68,BC$4-$B59+1)</f>
        <v/>
      </c>
      <c r="BD59" s="153">
        <f>$C59*INDEX(Curves!$BD$8:$BD$68,BD$4-$B59+1)</f>
        <v/>
      </c>
      <c r="BE59" s="153">
        <f>$C59*INDEX(Curves!$BD$8:$BD$68,BE$4-$B59+1)</f>
        <v/>
      </c>
      <c r="BF59" s="153">
        <f>$C59*INDEX(Curves!$BD$8:$BD$68,BF$4-$B59+1)</f>
        <v/>
      </c>
      <c r="BG59" s="153">
        <f>$C59*INDEX(Curves!$BD$8:$BD$68,BG$4-$B59+1)</f>
        <v/>
      </c>
      <c r="BH59" s="153">
        <f>$C59*INDEX(Curves!$BD$8:$BD$68,BH$4-$B59+1)</f>
        <v/>
      </c>
      <c r="BI59" s="153">
        <f>$C59*INDEX(Curves!$BD$8:$BD$68,BI$4-$B59+1)</f>
        <v/>
      </c>
      <c r="BJ59" s="153">
        <f>$C59*INDEX(Curves!$BD$8:$BD$68,BJ$4-$B59+1)</f>
        <v/>
      </c>
      <c r="BK59" s="153">
        <f>$C59*INDEX(Curves!$BD$8:$BD$68,BK$4-$B59+1)</f>
        <v/>
      </c>
      <c r="BL59" s="153">
        <f>$C59*INDEX(Curves!$BD$8:$BD$68,BL$4-$B59+1)</f>
        <v/>
      </c>
    </row>
    <row r="60">
      <c r="A60" s="147" t="inlineStr">
        <is>
          <t>Cohort month 51</t>
        </is>
      </c>
      <c r="B60" s="147" t="n">
        <v>51</v>
      </c>
      <c r="C60" s="41">
        <f>INDEX(Ops!$E$110:$BL$110,1,$B60)</f>
        <v/>
      </c>
      <c r="BD60" s="153">
        <f>$C60*INDEX(Curves!$BD$8:$BD$68,BD$4-$B60+1)</f>
        <v/>
      </c>
      <c r="BE60" s="153">
        <f>$C60*INDEX(Curves!$BD$8:$BD$68,BE$4-$B60+1)</f>
        <v/>
      </c>
      <c r="BF60" s="153">
        <f>$C60*INDEX(Curves!$BD$8:$BD$68,BF$4-$B60+1)</f>
        <v/>
      </c>
      <c r="BG60" s="153">
        <f>$C60*INDEX(Curves!$BD$8:$BD$68,BG$4-$B60+1)</f>
        <v/>
      </c>
      <c r="BH60" s="153">
        <f>$C60*INDEX(Curves!$BD$8:$BD$68,BH$4-$B60+1)</f>
        <v/>
      </c>
      <c r="BI60" s="153">
        <f>$C60*INDEX(Curves!$BD$8:$BD$68,BI$4-$B60+1)</f>
        <v/>
      </c>
      <c r="BJ60" s="153">
        <f>$C60*INDEX(Curves!$BD$8:$BD$68,BJ$4-$B60+1)</f>
        <v/>
      </c>
      <c r="BK60" s="153">
        <f>$C60*INDEX(Curves!$BD$8:$BD$68,BK$4-$B60+1)</f>
        <v/>
      </c>
      <c r="BL60" s="153">
        <f>$C60*INDEX(Curves!$BD$8:$BD$68,BL$4-$B60+1)</f>
        <v/>
      </c>
    </row>
    <row r="61">
      <c r="A61" s="147" t="inlineStr">
        <is>
          <t>Cohort month 52</t>
        </is>
      </c>
      <c r="B61" s="147" t="n">
        <v>52</v>
      </c>
      <c r="C61" s="41">
        <f>INDEX(Ops!$E$110:$BL$110,1,$B61)</f>
        <v/>
      </c>
      <c r="BE61" s="153">
        <f>$C61*INDEX(Curves!$BD$8:$BD$68,BE$4-$B61+1)</f>
        <v/>
      </c>
      <c r="BF61" s="153">
        <f>$C61*INDEX(Curves!$BD$8:$BD$68,BF$4-$B61+1)</f>
        <v/>
      </c>
      <c r="BG61" s="153">
        <f>$C61*INDEX(Curves!$BD$8:$BD$68,BG$4-$B61+1)</f>
        <v/>
      </c>
      <c r="BH61" s="153">
        <f>$C61*INDEX(Curves!$BD$8:$BD$68,BH$4-$B61+1)</f>
        <v/>
      </c>
      <c r="BI61" s="153">
        <f>$C61*INDEX(Curves!$BD$8:$BD$68,BI$4-$B61+1)</f>
        <v/>
      </c>
      <c r="BJ61" s="153">
        <f>$C61*INDEX(Curves!$BD$8:$BD$68,BJ$4-$B61+1)</f>
        <v/>
      </c>
      <c r="BK61" s="153">
        <f>$C61*INDEX(Curves!$BD$8:$BD$68,BK$4-$B61+1)</f>
        <v/>
      </c>
      <c r="BL61" s="153">
        <f>$C61*INDEX(Curves!$BD$8:$BD$68,BL$4-$B61+1)</f>
        <v/>
      </c>
    </row>
    <row r="62">
      <c r="A62" s="147" t="inlineStr">
        <is>
          <t>Cohort month 53</t>
        </is>
      </c>
      <c r="B62" s="147" t="n">
        <v>53</v>
      </c>
      <c r="C62" s="41">
        <f>INDEX(Ops!$E$110:$BL$110,1,$B62)</f>
        <v/>
      </c>
      <c r="BF62" s="153">
        <f>$C62*INDEX(Curves!$BD$8:$BD$68,BF$4-$B62+1)</f>
        <v/>
      </c>
      <c r="BG62" s="153">
        <f>$C62*INDEX(Curves!$BD$8:$BD$68,BG$4-$B62+1)</f>
        <v/>
      </c>
      <c r="BH62" s="153">
        <f>$C62*INDEX(Curves!$BD$8:$BD$68,BH$4-$B62+1)</f>
        <v/>
      </c>
      <c r="BI62" s="153">
        <f>$C62*INDEX(Curves!$BD$8:$BD$68,BI$4-$B62+1)</f>
        <v/>
      </c>
      <c r="BJ62" s="153">
        <f>$C62*INDEX(Curves!$BD$8:$BD$68,BJ$4-$B62+1)</f>
        <v/>
      </c>
      <c r="BK62" s="153">
        <f>$C62*INDEX(Curves!$BD$8:$BD$68,BK$4-$B62+1)</f>
        <v/>
      </c>
      <c r="BL62" s="153">
        <f>$C62*INDEX(Curves!$BD$8:$BD$68,BL$4-$B62+1)</f>
        <v/>
      </c>
    </row>
    <row r="63">
      <c r="A63" s="147" t="inlineStr">
        <is>
          <t>Cohort month 54</t>
        </is>
      </c>
      <c r="B63" s="147" t="n">
        <v>54</v>
      </c>
      <c r="C63" s="41">
        <f>INDEX(Ops!$E$110:$BL$110,1,$B63)</f>
        <v/>
      </c>
      <c r="BG63" s="153">
        <f>$C63*INDEX(Curves!$BD$8:$BD$68,BG$4-$B63+1)</f>
        <v/>
      </c>
      <c r="BH63" s="153">
        <f>$C63*INDEX(Curves!$BD$8:$BD$68,BH$4-$B63+1)</f>
        <v/>
      </c>
      <c r="BI63" s="153">
        <f>$C63*INDEX(Curves!$BD$8:$BD$68,BI$4-$B63+1)</f>
        <v/>
      </c>
      <c r="BJ63" s="153">
        <f>$C63*INDEX(Curves!$BD$8:$BD$68,BJ$4-$B63+1)</f>
        <v/>
      </c>
      <c r="BK63" s="153">
        <f>$C63*INDEX(Curves!$BD$8:$BD$68,BK$4-$B63+1)</f>
        <v/>
      </c>
      <c r="BL63" s="153">
        <f>$C63*INDEX(Curves!$BD$8:$BD$68,BL$4-$B63+1)</f>
        <v/>
      </c>
    </row>
    <row r="64">
      <c r="A64" s="147" t="inlineStr">
        <is>
          <t>Cohort month 55</t>
        </is>
      </c>
      <c r="B64" s="147" t="n">
        <v>55</v>
      </c>
      <c r="C64" s="41">
        <f>INDEX(Ops!$E$110:$BL$110,1,$B64)</f>
        <v/>
      </c>
      <c r="BH64" s="153">
        <f>$C64*INDEX(Curves!$BD$8:$BD$68,BH$4-$B64+1)</f>
        <v/>
      </c>
      <c r="BI64" s="153">
        <f>$C64*INDEX(Curves!$BD$8:$BD$68,BI$4-$B64+1)</f>
        <v/>
      </c>
      <c r="BJ64" s="153">
        <f>$C64*INDEX(Curves!$BD$8:$BD$68,BJ$4-$B64+1)</f>
        <v/>
      </c>
      <c r="BK64" s="153">
        <f>$C64*INDEX(Curves!$BD$8:$BD$68,BK$4-$B64+1)</f>
        <v/>
      </c>
      <c r="BL64" s="153">
        <f>$C64*INDEX(Curves!$BD$8:$BD$68,BL$4-$B64+1)</f>
        <v/>
      </c>
    </row>
    <row r="65">
      <c r="A65" s="147" t="inlineStr">
        <is>
          <t>Cohort month 56</t>
        </is>
      </c>
      <c r="B65" s="147" t="n">
        <v>56</v>
      </c>
      <c r="C65" s="41">
        <f>INDEX(Ops!$E$110:$BL$110,1,$B65)</f>
        <v/>
      </c>
      <c r="BI65" s="153">
        <f>$C65*INDEX(Curves!$BD$8:$BD$68,BI$4-$B65+1)</f>
        <v/>
      </c>
      <c r="BJ65" s="153">
        <f>$C65*INDEX(Curves!$BD$8:$BD$68,BJ$4-$B65+1)</f>
        <v/>
      </c>
      <c r="BK65" s="153">
        <f>$C65*INDEX(Curves!$BD$8:$BD$68,BK$4-$B65+1)</f>
        <v/>
      </c>
      <c r="BL65" s="153">
        <f>$C65*INDEX(Curves!$BD$8:$BD$68,BL$4-$B65+1)</f>
        <v/>
      </c>
    </row>
    <row r="66">
      <c r="A66" s="147" t="inlineStr">
        <is>
          <t>Cohort month 57</t>
        </is>
      </c>
      <c r="B66" s="147" t="n">
        <v>57</v>
      </c>
      <c r="C66" s="41">
        <f>INDEX(Ops!$E$110:$BL$110,1,$B66)</f>
        <v/>
      </c>
      <c r="BJ66" s="153">
        <f>$C66*INDEX(Curves!$BD$8:$BD$68,BJ$4-$B66+1)</f>
        <v/>
      </c>
      <c r="BK66" s="153">
        <f>$C66*INDEX(Curves!$BD$8:$BD$68,BK$4-$B66+1)</f>
        <v/>
      </c>
      <c r="BL66" s="153">
        <f>$C66*INDEX(Curves!$BD$8:$BD$68,BL$4-$B66+1)</f>
        <v/>
      </c>
    </row>
    <row r="67">
      <c r="A67" s="147" t="inlineStr">
        <is>
          <t>Cohort month 58</t>
        </is>
      </c>
      <c r="B67" s="147" t="n">
        <v>58</v>
      </c>
      <c r="C67" s="41">
        <f>INDEX(Ops!$E$110:$BL$110,1,$B67)</f>
        <v/>
      </c>
      <c r="BK67" s="153">
        <f>$C67*INDEX(Curves!$BD$8:$BD$68,BK$4-$B67+1)</f>
        <v/>
      </c>
      <c r="BL67" s="153">
        <f>$C67*INDEX(Curves!$BD$8:$BD$68,BL$4-$B67+1)</f>
        <v/>
      </c>
    </row>
    <row r="68">
      <c r="A68" s="147" t="inlineStr">
        <is>
          <t>Cohort month 59</t>
        </is>
      </c>
      <c r="B68" s="147" t="n">
        <v>59</v>
      </c>
      <c r="C68" s="41">
        <f>INDEX(Ops!$E$110:$BL$110,1,$B68)</f>
        <v/>
      </c>
      <c r="BL68" s="153">
        <f>$C68*INDEX(Curves!$BD$8:$BD$68,BL$4-$B68+1)</f>
        <v/>
      </c>
    </row>
    <row r="69">
      <c r="A69" s="147" t="inlineStr">
        <is>
          <t>Cohort month 60</t>
        </is>
      </c>
      <c r="B69" s="147" t="n">
        <v>60</v>
      </c>
      <c r="C69" s="41">
        <f>INDEX(Ops!$E$110:$BL$110,1,$B69)</f>
        <v/>
      </c>
    </row>
    <row r="70"/>
    <row r="71">
      <c r="A71" s="21" t="inlineStr">
        <is>
          <t>Active accounts by cohort</t>
        </is>
      </c>
      <c r="B71" s="22" t="n"/>
      <c r="C71" s="22" t="n"/>
      <c r="D71" s="22" t="n"/>
      <c r="E71" s="22" t="n"/>
      <c r="F71" s="22"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c r="AA71" s="22" t="n"/>
      <c r="AB71" s="22" t="n"/>
      <c r="AC71" s="22" t="n"/>
      <c r="AD71" s="22" t="n"/>
      <c r="AE71" s="22" t="n"/>
      <c r="AF71" s="22" t="n"/>
      <c r="AG71" s="22" t="n"/>
      <c r="AH71" s="22" t="n"/>
      <c r="AI71" s="22" t="n"/>
      <c r="AJ71" s="22" t="n"/>
      <c r="AK71" s="22" t="n"/>
      <c r="AL71" s="22" t="n"/>
      <c r="AM71" s="22" t="n"/>
      <c r="AN71" s="22" t="n"/>
      <c r="AO71" s="22" t="n"/>
      <c r="AP71" s="22" t="n"/>
      <c r="AQ71" s="22" t="n"/>
      <c r="AR71" s="22" t="n"/>
      <c r="AS71" s="22" t="n"/>
      <c r="AT71" s="22" t="n"/>
      <c r="AU71" s="22" t="n"/>
      <c r="AV71" s="22" t="n"/>
      <c r="AW71" s="22" t="n"/>
      <c r="AX71" s="22" t="n"/>
      <c r="AY71" s="22" t="n"/>
      <c r="AZ71" s="22" t="n"/>
      <c r="BA71" s="22" t="n"/>
      <c r="BB71" s="22" t="n"/>
      <c r="BC71" s="22" t="n"/>
      <c r="BD71" s="22" t="n"/>
      <c r="BE71" s="22" t="n"/>
      <c r="BF71" s="22" t="n"/>
      <c r="BG71" s="22" t="n"/>
      <c r="BH71" s="22" t="n"/>
      <c r="BI71" s="22" t="n"/>
      <c r="BJ71" s="22" t="n"/>
      <c r="BK71" s="22" t="n"/>
      <c r="BL71" s="22" t="n"/>
    </row>
    <row r="72">
      <c r="A72" s="100" t="inlineStr">
        <is>
          <t>Total</t>
        </is>
      </c>
      <c r="B72" s="101" t="inlineStr"/>
      <c r="C72" s="103" t="n"/>
      <c r="D72" s="103" t="n"/>
      <c r="E72" s="104">
        <f>SUM(E73:E132)</f>
        <v/>
      </c>
      <c r="F72" s="104">
        <f>SUM(F73:F132)</f>
        <v/>
      </c>
      <c r="G72" s="104">
        <f>SUM(G73:G132)</f>
        <v/>
      </c>
      <c r="H72" s="104">
        <f>SUM(H73:H132)</f>
        <v/>
      </c>
      <c r="I72" s="104">
        <f>SUM(I73:I132)</f>
        <v/>
      </c>
      <c r="J72" s="104">
        <f>SUM(J73:J132)</f>
        <v/>
      </c>
      <c r="K72" s="104">
        <f>SUM(K73:K132)</f>
        <v/>
      </c>
      <c r="L72" s="104">
        <f>SUM(L73:L132)</f>
        <v/>
      </c>
      <c r="M72" s="104">
        <f>SUM(M73:M132)</f>
        <v/>
      </c>
      <c r="N72" s="104">
        <f>SUM(N73:N132)</f>
        <v/>
      </c>
      <c r="O72" s="104">
        <f>SUM(O73:O132)</f>
        <v/>
      </c>
      <c r="P72" s="104">
        <f>SUM(P73:P132)</f>
        <v/>
      </c>
      <c r="Q72" s="104">
        <f>SUM(Q73:Q132)</f>
        <v/>
      </c>
      <c r="R72" s="104">
        <f>SUM(R73:R132)</f>
        <v/>
      </c>
      <c r="S72" s="104">
        <f>SUM(S73:S132)</f>
        <v/>
      </c>
      <c r="T72" s="104">
        <f>SUM(T73:T132)</f>
        <v/>
      </c>
      <c r="U72" s="104">
        <f>SUM(U73:U132)</f>
        <v/>
      </c>
      <c r="V72" s="104">
        <f>SUM(V73:V132)</f>
        <v/>
      </c>
      <c r="W72" s="104">
        <f>SUM(W73:W132)</f>
        <v/>
      </c>
      <c r="X72" s="104">
        <f>SUM(X73:X132)</f>
        <v/>
      </c>
      <c r="Y72" s="104">
        <f>SUM(Y73:Y132)</f>
        <v/>
      </c>
      <c r="Z72" s="104">
        <f>SUM(Z73:Z132)</f>
        <v/>
      </c>
      <c r="AA72" s="104">
        <f>SUM(AA73:AA132)</f>
        <v/>
      </c>
      <c r="AB72" s="104">
        <f>SUM(AB73:AB132)</f>
        <v/>
      </c>
      <c r="AC72" s="104">
        <f>SUM(AC73:AC132)</f>
        <v/>
      </c>
      <c r="AD72" s="104">
        <f>SUM(AD73:AD132)</f>
        <v/>
      </c>
      <c r="AE72" s="104">
        <f>SUM(AE73:AE132)</f>
        <v/>
      </c>
      <c r="AF72" s="104">
        <f>SUM(AF73:AF132)</f>
        <v/>
      </c>
      <c r="AG72" s="104">
        <f>SUM(AG73:AG132)</f>
        <v/>
      </c>
      <c r="AH72" s="104">
        <f>SUM(AH73:AH132)</f>
        <v/>
      </c>
      <c r="AI72" s="104">
        <f>SUM(AI73:AI132)</f>
        <v/>
      </c>
      <c r="AJ72" s="104">
        <f>SUM(AJ73:AJ132)</f>
        <v/>
      </c>
      <c r="AK72" s="104">
        <f>SUM(AK73:AK132)</f>
        <v/>
      </c>
      <c r="AL72" s="104">
        <f>SUM(AL73:AL132)</f>
        <v/>
      </c>
      <c r="AM72" s="104">
        <f>SUM(AM73:AM132)</f>
        <v/>
      </c>
      <c r="AN72" s="104">
        <f>SUM(AN73:AN132)</f>
        <v/>
      </c>
      <c r="AO72" s="104">
        <f>SUM(AO73:AO132)</f>
        <v/>
      </c>
      <c r="AP72" s="104">
        <f>SUM(AP73:AP132)</f>
        <v/>
      </c>
      <c r="AQ72" s="104">
        <f>SUM(AQ73:AQ132)</f>
        <v/>
      </c>
      <c r="AR72" s="104">
        <f>SUM(AR73:AR132)</f>
        <v/>
      </c>
      <c r="AS72" s="104">
        <f>SUM(AS73:AS132)</f>
        <v/>
      </c>
      <c r="AT72" s="104">
        <f>SUM(AT73:AT132)</f>
        <v/>
      </c>
      <c r="AU72" s="104">
        <f>SUM(AU73:AU132)</f>
        <v/>
      </c>
      <c r="AV72" s="104">
        <f>SUM(AV73:AV132)</f>
        <v/>
      </c>
      <c r="AW72" s="104">
        <f>SUM(AW73:AW132)</f>
        <v/>
      </c>
      <c r="AX72" s="104">
        <f>SUM(AX73:AX132)</f>
        <v/>
      </c>
      <c r="AY72" s="104">
        <f>SUM(AY73:AY132)</f>
        <v/>
      </c>
      <c r="AZ72" s="104">
        <f>SUM(AZ73:AZ132)</f>
        <v/>
      </c>
      <c r="BA72" s="104">
        <f>SUM(BA73:BA132)</f>
        <v/>
      </c>
      <c r="BB72" s="104">
        <f>SUM(BB73:BB132)</f>
        <v/>
      </c>
      <c r="BC72" s="104">
        <f>SUM(BC73:BC132)</f>
        <v/>
      </c>
      <c r="BD72" s="104">
        <f>SUM(BD73:BD132)</f>
        <v/>
      </c>
      <c r="BE72" s="104">
        <f>SUM(BE73:BE132)</f>
        <v/>
      </c>
      <c r="BF72" s="104">
        <f>SUM(BF73:BF132)</f>
        <v/>
      </c>
      <c r="BG72" s="104">
        <f>SUM(BG73:BG132)</f>
        <v/>
      </c>
      <c r="BH72" s="104">
        <f>SUM(BH73:BH132)</f>
        <v/>
      </c>
      <c r="BI72" s="104">
        <f>SUM(BI73:BI132)</f>
        <v/>
      </c>
      <c r="BJ72" s="104">
        <f>SUM(BJ73:BJ132)</f>
        <v/>
      </c>
      <c r="BK72" s="104">
        <f>SUM(BK73:BK132)</f>
        <v/>
      </c>
      <c r="BL72" s="104">
        <f>SUM(BL73:BL132)</f>
        <v/>
      </c>
    </row>
    <row r="73">
      <c r="A73" s="147" t="inlineStr">
        <is>
          <t>Cohort month 1</t>
        </is>
      </c>
      <c r="B73" s="147" t="n">
        <v>1</v>
      </c>
      <c r="C73" s="41">
        <f>INDEX(Ops!$E$109:$BL$109,1,$B73)</f>
        <v/>
      </c>
      <c r="F73" s="153">
        <f>$C73*INDEX(Curves!$BG$8:$BG$68,F$4-$B73+1)</f>
        <v/>
      </c>
      <c r="G73" s="153">
        <f>$C73*INDEX(Curves!$BG$8:$BG$68,G$4-$B73+1)</f>
        <v/>
      </c>
      <c r="H73" s="153">
        <f>$C73*INDEX(Curves!$BG$8:$BG$68,H$4-$B73+1)</f>
        <v/>
      </c>
      <c r="I73" s="153">
        <f>$C73*INDEX(Curves!$BG$8:$BG$68,I$4-$B73+1)</f>
        <v/>
      </c>
      <c r="J73" s="153">
        <f>$C73*INDEX(Curves!$BG$8:$BG$68,J$4-$B73+1)</f>
        <v/>
      </c>
      <c r="K73" s="153">
        <f>$C73*INDEX(Curves!$BG$8:$BG$68,K$4-$B73+1)</f>
        <v/>
      </c>
      <c r="L73" s="153">
        <f>$C73*INDEX(Curves!$BG$8:$BG$68,L$4-$B73+1)</f>
        <v/>
      </c>
      <c r="M73" s="153">
        <f>$C73*INDEX(Curves!$BG$8:$BG$68,M$4-$B73+1)</f>
        <v/>
      </c>
      <c r="N73" s="153">
        <f>$C73*INDEX(Curves!$BG$8:$BG$68,N$4-$B73+1)</f>
        <v/>
      </c>
      <c r="O73" s="153">
        <f>$C73*INDEX(Curves!$BG$8:$BG$68,O$4-$B73+1)</f>
        <v/>
      </c>
      <c r="P73" s="153">
        <f>$C73*INDEX(Curves!$BG$8:$BG$68,P$4-$B73+1)</f>
        <v/>
      </c>
      <c r="Q73" s="153">
        <f>$C73*INDEX(Curves!$BG$8:$BG$68,Q$4-$B73+1)</f>
        <v/>
      </c>
      <c r="R73" s="153">
        <f>$C73*INDEX(Curves!$BG$8:$BG$68,R$4-$B73+1)</f>
        <v/>
      </c>
      <c r="S73" s="153">
        <f>$C73*INDEX(Curves!$BG$8:$BG$68,S$4-$B73+1)</f>
        <v/>
      </c>
      <c r="T73" s="153">
        <f>$C73*INDEX(Curves!$BG$8:$BG$68,T$4-$B73+1)</f>
        <v/>
      </c>
      <c r="U73" s="153">
        <f>$C73*INDEX(Curves!$BG$8:$BG$68,U$4-$B73+1)</f>
        <v/>
      </c>
      <c r="V73" s="153">
        <f>$C73*INDEX(Curves!$BG$8:$BG$68,V$4-$B73+1)</f>
        <v/>
      </c>
      <c r="W73" s="153">
        <f>$C73*INDEX(Curves!$BG$8:$BG$68,W$4-$B73+1)</f>
        <v/>
      </c>
      <c r="X73" s="153">
        <f>$C73*INDEX(Curves!$BG$8:$BG$68,X$4-$B73+1)</f>
        <v/>
      </c>
      <c r="Y73" s="153">
        <f>$C73*INDEX(Curves!$BG$8:$BG$68,Y$4-$B73+1)</f>
        <v/>
      </c>
      <c r="Z73" s="153">
        <f>$C73*INDEX(Curves!$BG$8:$BG$68,Z$4-$B73+1)</f>
        <v/>
      </c>
      <c r="AA73" s="153">
        <f>$C73*INDEX(Curves!$BG$8:$BG$68,AA$4-$B73+1)</f>
        <v/>
      </c>
      <c r="AB73" s="153">
        <f>$C73*INDEX(Curves!$BG$8:$BG$68,AB$4-$B73+1)</f>
        <v/>
      </c>
      <c r="AC73" s="153">
        <f>$C73*INDEX(Curves!$BG$8:$BG$68,AC$4-$B73+1)</f>
        <v/>
      </c>
      <c r="AD73" s="153">
        <f>$C73*INDEX(Curves!$BG$8:$BG$68,AD$4-$B73+1)</f>
        <v/>
      </c>
      <c r="AE73" s="153">
        <f>$C73*INDEX(Curves!$BG$8:$BG$68,AE$4-$B73+1)</f>
        <v/>
      </c>
      <c r="AF73" s="153">
        <f>$C73*INDEX(Curves!$BG$8:$BG$68,AF$4-$B73+1)</f>
        <v/>
      </c>
      <c r="AG73" s="153">
        <f>$C73*INDEX(Curves!$BG$8:$BG$68,AG$4-$B73+1)</f>
        <v/>
      </c>
      <c r="AH73" s="153">
        <f>$C73*INDEX(Curves!$BG$8:$BG$68,AH$4-$B73+1)</f>
        <v/>
      </c>
      <c r="AI73" s="153">
        <f>$C73*INDEX(Curves!$BG$8:$BG$68,AI$4-$B73+1)</f>
        <v/>
      </c>
      <c r="AJ73" s="153">
        <f>$C73*INDEX(Curves!$BG$8:$BG$68,AJ$4-$B73+1)</f>
        <v/>
      </c>
      <c r="AK73" s="153">
        <f>$C73*INDEX(Curves!$BG$8:$BG$68,AK$4-$B73+1)</f>
        <v/>
      </c>
      <c r="AL73" s="153">
        <f>$C73*INDEX(Curves!$BG$8:$BG$68,AL$4-$B73+1)</f>
        <v/>
      </c>
      <c r="AM73" s="153">
        <f>$C73*INDEX(Curves!$BG$8:$BG$68,AM$4-$B73+1)</f>
        <v/>
      </c>
      <c r="AN73" s="153">
        <f>$C73*INDEX(Curves!$BG$8:$BG$68,AN$4-$B73+1)</f>
        <v/>
      </c>
      <c r="AO73" s="153">
        <f>$C73*INDEX(Curves!$BG$8:$BG$68,AO$4-$B73+1)</f>
        <v/>
      </c>
      <c r="AP73" s="153">
        <f>$C73*INDEX(Curves!$BG$8:$BG$68,AP$4-$B73+1)</f>
        <v/>
      </c>
      <c r="AQ73" s="153">
        <f>$C73*INDEX(Curves!$BG$8:$BG$68,AQ$4-$B73+1)</f>
        <v/>
      </c>
      <c r="AR73" s="153">
        <f>$C73*INDEX(Curves!$BG$8:$BG$68,AR$4-$B73+1)</f>
        <v/>
      </c>
      <c r="AS73" s="153">
        <f>$C73*INDEX(Curves!$BG$8:$BG$68,AS$4-$B73+1)</f>
        <v/>
      </c>
      <c r="AT73" s="153">
        <f>$C73*INDEX(Curves!$BG$8:$BG$68,AT$4-$B73+1)</f>
        <v/>
      </c>
      <c r="AU73" s="153">
        <f>$C73*INDEX(Curves!$BG$8:$BG$68,AU$4-$B73+1)</f>
        <v/>
      </c>
      <c r="AV73" s="153">
        <f>$C73*INDEX(Curves!$BG$8:$BG$68,AV$4-$B73+1)</f>
        <v/>
      </c>
      <c r="AW73" s="153">
        <f>$C73*INDEX(Curves!$BG$8:$BG$68,AW$4-$B73+1)</f>
        <v/>
      </c>
      <c r="AX73" s="153">
        <f>$C73*INDEX(Curves!$BG$8:$BG$68,AX$4-$B73+1)</f>
        <v/>
      </c>
      <c r="AY73" s="153">
        <f>$C73*INDEX(Curves!$BG$8:$BG$68,AY$4-$B73+1)</f>
        <v/>
      </c>
      <c r="AZ73" s="153">
        <f>$C73*INDEX(Curves!$BG$8:$BG$68,AZ$4-$B73+1)</f>
        <v/>
      </c>
      <c r="BA73" s="153">
        <f>$C73*INDEX(Curves!$BG$8:$BG$68,BA$4-$B73+1)</f>
        <v/>
      </c>
      <c r="BB73" s="153">
        <f>$C73*INDEX(Curves!$BG$8:$BG$68,BB$4-$B73+1)</f>
        <v/>
      </c>
      <c r="BC73" s="153">
        <f>$C73*INDEX(Curves!$BG$8:$BG$68,BC$4-$B73+1)</f>
        <v/>
      </c>
      <c r="BD73" s="153">
        <f>$C73*INDEX(Curves!$BG$8:$BG$68,BD$4-$B73+1)</f>
        <v/>
      </c>
      <c r="BE73" s="153">
        <f>$C73*INDEX(Curves!$BG$8:$BG$68,BE$4-$B73+1)</f>
        <v/>
      </c>
      <c r="BF73" s="153">
        <f>$C73*INDEX(Curves!$BG$8:$BG$68,BF$4-$B73+1)</f>
        <v/>
      </c>
      <c r="BG73" s="153">
        <f>$C73*INDEX(Curves!$BG$8:$BG$68,BG$4-$B73+1)</f>
        <v/>
      </c>
      <c r="BH73" s="153">
        <f>$C73*INDEX(Curves!$BG$8:$BG$68,BH$4-$B73+1)</f>
        <v/>
      </c>
      <c r="BI73" s="153">
        <f>$C73*INDEX(Curves!$BG$8:$BG$68,BI$4-$B73+1)</f>
        <v/>
      </c>
      <c r="BJ73" s="153">
        <f>$C73*INDEX(Curves!$BG$8:$BG$68,BJ$4-$B73+1)</f>
        <v/>
      </c>
      <c r="BK73" s="153">
        <f>$C73*INDEX(Curves!$BG$8:$BG$68,BK$4-$B73+1)</f>
        <v/>
      </c>
      <c r="BL73" s="153">
        <f>$C73*INDEX(Curves!$BG$8:$BG$68,BL$4-$B73+1)</f>
        <v/>
      </c>
    </row>
    <row r="74">
      <c r="A74" s="147" t="inlineStr">
        <is>
          <t>Cohort month 2</t>
        </is>
      </c>
      <c r="B74" s="147" t="n">
        <v>2</v>
      </c>
      <c r="C74" s="41">
        <f>INDEX(Ops!$E$109:$BL$109,1,$B74)</f>
        <v/>
      </c>
      <c r="G74" s="153">
        <f>$C74*INDEX(Curves!$BG$8:$BG$68,G$4-$B74+1)</f>
        <v/>
      </c>
      <c r="H74" s="153">
        <f>$C74*INDEX(Curves!$BG$8:$BG$68,H$4-$B74+1)</f>
        <v/>
      </c>
      <c r="I74" s="153">
        <f>$C74*INDEX(Curves!$BG$8:$BG$68,I$4-$B74+1)</f>
        <v/>
      </c>
      <c r="J74" s="153">
        <f>$C74*INDEX(Curves!$BG$8:$BG$68,J$4-$B74+1)</f>
        <v/>
      </c>
      <c r="K74" s="153">
        <f>$C74*INDEX(Curves!$BG$8:$BG$68,K$4-$B74+1)</f>
        <v/>
      </c>
      <c r="L74" s="153">
        <f>$C74*INDEX(Curves!$BG$8:$BG$68,L$4-$B74+1)</f>
        <v/>
      </c>
      <c r="M74" s="153">
        <f>$C74*INDEX(Curves!$BG$8:$BG$68,M$4-$B74+1)</f>
        <v/>
      </c>
      <c r="N74" s="153">
        <f>$C74*INDEX(Curves!$BG$8:$BG$68,N$4-$B74+1)</f>
        <v/>
      </c>
      <c r="O74" s="153">
        <f>$C74*INDEX(Curves!$BG$8:$BG$68,O$4-$B74+1)</f>
        <v/>
      </c>
      <c r="P74" s="153">
        <f>$C74*INDEX(Curves!$BG$8:$BG$68,P$4-$B74+1)</f>
        <v/>
      </c>
      <c r="Q74" s="153">
        <f>$C74*INDEX(Curves!$BG$8:$BG$68,Q$4-$B74+1)</f>
        <v/>
      </c>
      <c r="R74" s="153">
        <f>$C74*INDEX(Curves!$BG$8:$BG$68,R$4-$B74+1)</f>
        <v/>
      </c>
      <c r="S74" s="153">
        <f>$C74*INDEX(Curves!$BG$8:$BG$68,S$4-$B74+1)</f>
        <v/>
      </c>
      <c r="T74" s="153">
        <f>$C74*INDEX(Curves!$BG$8:$BG$68,T$4-$B74+1)</f>
        <v/>
      </c>
      <c r="U74" s="153">
        <f>$C74*INDEX(Curves!$BG$8:$BG$68,U$4-$B74+1)</f>
        <v/>
      </c>
      <c r="V74" s="153">
        <f>$C74*INDEX(Curves!$BG$8:$BG$68,V$4-$B74+1)</f>
        <v/>
      </c>
      <c r="W74" s="153">
        <f>$C74*INDEX(Curves!$BG$8:$BG$68,W$4-$B74+1)</f>
        <v/>
      </c>
      <c r="X74" s="153">
        <f>$C74*INDEX(Curves!$BG$8:$BG$68,X$4-$B74+1)</f>
        <v/>
      </c>
      <c r="Y74" s="153">
        <f>$C74*INDEX(Curves!$BG$8:$BG$68,Y$4-$B74+1)</f>
        <v/>
      </c>
      <c r="Z74" s="153">
        <f>$C74*INDEX(Curves!$BG$8:$BG$68,Z$4-$B74+1)</f>
        <v/>
      </c>
      <c r="AA74" s="153">
        <f>$C74*INDEX(Curves!$BG$8:$BG$68,AA$4-$B74+1)</f>
        <v/>
      </c>
      <c r="AB74" s="153">
        <f>$C74*INDEX(Curves!$BG$8:$BG$68,AB$4-$B74+1)</f>
        <v/>
      </c>
      <c r="AC74" s="153">
        <f>$C74*INDEX(Curves!$BG$8:$BG$68,AC$4-$B74+1)</f>
        <v/>
      </c>
      <c r="AD74" s="153">
        <f>$C74*INDEX(Curves!$BG$8:$BG$68,AD$4-$B74+1)</f>
        <v/>
      </c>
      <c r="AE74" s="153">
        <f>$C74*INDEX(Curves!$BG$8:$BG$68,AE$4-$B74+1)</f>
        <v/>
      </c>
      <c r="AF74" s="153">
        <f>$C74*INDEX(Curves!$BG$8:$BG$68,AF$4-$B74+1)</f>
        <v/>
      </c>
      <c r="AG74" s="153">
        <f>$C74*INDEX(Curves!$BG$8:$BG$68,AG$4-$B74+1)</f>
        <v/>
      </c>
      <c r="AH74" s="153">
        <f>$C74*INDEX(Curves!$BG$8:$BG$68,AH$4-$B74+1)</f>
        <v/>
      </c>
      <c r="AI74" s="153">
        <f>$C74*INDEX(Curves!$BG$8:$BG$68,AI$4-$B74+1)</f>
        <v/>
      </c>
      <c r="AJ74" s="153">
        <f>$C74*INDEX(Curves!$BG$8:$BG$68,AJ$4-$B74+1)</f>
        <v/>
      </c>
      <c r="AK74" s="153">
        <f>$C74*INDEX(Curves!$BG$8:$BG$68,AK$4-$B74+1)</f>
        <v/>
      </c>
      <c r="AL74" s="153">
        <f>$C74*INDEX(Curves!$BG$8:$BG$68,AL$4-$B74+1)</f>
        <v/>
      </c>
      <c r="AM74" s="153">
        <f>$C74*INDEX(Curves!$BG$8:$BG$68,AM$4-$B74+1)</f>
        <v/>
      </c>
      <c r="AN74" s="153">
        <f>$C74*INDEX(Curves!$BG$8:$BG$68,AN$4-$B74+1)</f>
        <v/>
      </c>
      <c r="AO74" s="153">
        <f>$C74*INDEX(Curves!$BG$8:$BG$68,AO$4-$B74+1)</f>
        <v/>
      </c>
      <c r="AP74" s="153">
        <f>$C74*INDEX(Curves!$BG$8:$BG$68,AP$4-$B74+1)</f>
        <v/>
      </c>
      <c r="AQ74" s="153">
        <f>$C74*INDEX(Curves!$BG$8:$BG$68,AQ$4-$B74+1)</f>
        <v/>
      </c>
      <c r="AR74" s="153">
        <f>$C74*INDEX(Curves!$BG$8:$BG$68,AR$4-$B74+1)</f>
        <v/>
      </c>
      <c r="AS74" s="153">
        <f>$C74*INDEX(Curves!$BG$8:$BG$68,AS$4-$B74+1)</f>
        <v/>
      </c>
      <c r="AT74" s="153">
        <f>$C74*INDEX(Curves!$BG$8:$BG$68,AT$4-$B74+1)</f>
        <v/>
      </c>
      <c r="AU74" s="153">
        <f>$C74*INDEX(Curves!$BG$8:$BG$68,AU$4-$B74+1)</f>
        <v/>
      </c>
      <c r="AV74" s="153">
        <f>$C74*INDEX(Curves!$BG$8:$BG$68,AV$4-$B74+1)</f>
        <v/>
      </c>
      <c r="AW74" s="153">
        <f>$C74*INDEX(Curves!$BG$8:$BG$68,AW$4-$B74+1)</f>
        <v/>
      </c>
      <c r="AX74" s="153">
        <f>$C74*INDEX(Curves!$BG$8:$BG$68,AX$4-$B74+1)</f>
        <v/>
      </c>
      <c r="AY74" s="153">
        <f>$C74*INDEX(Curves!$BG$8:$BG$68,AY$4-$B74+1)</f>
        <v/>
      </c>
      <c r="AZ74" s="153">
        <f>$C74*INDEX(Curves!$BG$8:$BG$68,AZ$4-$B74+1)</f>
        <v/>
      </c>
      <c r="BA74" s="153">
        <f>$C74*INDEX(Curves!$BG$8:$BG$68,BA$4-$B74+1)</f>
        <v/>
      </c>
      <c r="BB74" s="153">
        <f>$C74*INDEX(Curves!$BG$8:$BG$68,BB$4-$B74+1)</f>
        <v/>
      </c>
      <c r="BC74" s="153">
        <f>$C74*INDEX(Curves!$BG$8:$BG$68,BC$4-$B74+1)</f>
        <v/>
      </c>
      <c r="BD74" s="153">
        <f>$C74*INDEX(Curves!$BG$8:$BG$68,BD$4-$B74+1)</f>
        <v/>
      </c>
      <c r="BE74" s="153">
        <f>$C74*INDEX(Curves!$BG$8:$BG$68,BE$4-$B74+1)</f>
        <v/>
      </c>
      <c r="BF74" s="153">
        <f>$C74*INDEX(Curves!$BG$8:$BG$68,BF$4-$B74+1)</f>
        <v/>
      </c>
      <c r="BG74" s="153">
        <f>$C74*INDEX(Curves!$BG$8:$BG$68,BG$4-$B74+1)</f>
        <v/>
      </c>
      <c r="BH74" s="153">
        <f>$C74*INDEX(Curves!$BG$8:$BG$68,BH$4-$B74+1)</f>
        <v/>
      </c>
      <c r="BI74" s="153">
        <f>$C74*INDEX(Curves!$BG$8:$BG$68,BI$4-$B74+1)</f>
        <v/>
      </c>
      <c r="BJ74" s="153">
        <f>$C74*INDEX(Curves!$BG$8:$BG$68,BJ$4-$B74+1)</f>
        <v/>
      </c>
      <c r="BK74" s="153">
        <f>$C74*INDEX(Curves!$BG$8:$BG$68,BK$4-$B74+1)</f>
        <v/>
      </c>
      <c r="BL74" s="153">
        <f>$C74*INDEX(Curves!$BG$8:$BG$68,BL$4-$B74+1)</f>
        <v/>
      </c>
    </row>
    <row r="75">
      <c r="A75" s="147" t="inlineStr">
        <is>
          <t>Cohort month 3</t>
        </is>
      </c>
      <c r="B75" s="147" t="n">
        <v>3</v>
      </c>
      <c r="C75" s="41">
        <f>INDEX(Ops!$E$109:$BL$109,1,$B75)</f>
        <v/>
      </c>
      <c r="H75" s="153">
        <f>$C75*INDEX(Curves!$BG$8:$BG$68,H$4-$B75+1)</f>
        <v/>
      </c>
      <c r="I75" s="153">
        <f>$C75*INDEX(Curves!$BG$8:$BG$68,I$4-$B75+1)</f>
        <v/>
      </c>
      <c r="J75" s="153">
        <f>$C75*INDEX(Curves!$BG$8:$BG$68,J$4-$B75+1)</f>
        <v/>
      </c>
      <c r="K75" s="153">
        <f>$C75*INDEX(Curves!$BG$8:$BG$68,K$4-$B75+1)</f>
        <v/>
      </c>
      <c r="L75" s="153">
        <f>$C75*INDEX(Curves!$BG$8:$BG$68,L$4-$B75+1)</f>
        <v/>
      </c>
      <c r="M75" s="153">
        <f>$C75*INDEX(Curves!$BG$8:$BG$68,M$4-$B75+1)</f>
        <v/>
      </c>
      <c r="N75" s="153">
        <f>$C75*INDEX(Curves!$BG$8:$BG$68,N$4-$B75+1)</f>
        <v/>
      </c>
      <c r="O75" s="153">
        <f>$C75*INDEX(Curves!$BG$8:$BG$68,O$4-$B75+1)</f>
        <v/>
      </c>
      <c r="P75" s="153">
        <f>$C75*INDEX(Curves!$BG$8:$BG$68,P$4-$B75+1)</f>
        <v/>
      </c>
      <c r="Q75" s="153">
        <f>$C75*INDEX(Curves!$BG$8:$BG$68,Q$4-$B75+1)</f>
        <v/>
      </c>
      <c r="R75" s="153">
        <f>$C75*INDEX(Curves!$BG$8:$BG$68,R$4-$B75+1)</f>
        <v/>
      </c>
      <c r="S75" s="153">
        <f>$C75*INDEX(Curves!$BG$8:$BG$68,S$4-$B75+1)</f>
        <v/>
      </c>
      <c r="T75" s="153">
        <f>$C75*INDEX(Curves!$BG$8:$BG$68,T$4-$B75+1)</f>
        <v/>
      </c>
      <c r="U75" s="153">
        <f>$C75*INDEX(Curves!$BG$8:$BG$68,U$4-$B75+1)</f>
        <v/>
      </c>
      <c r="V75" s="153">
        <f>$C75*INDEX(Curves!$BG$8:$BG$68,V$4-$B75+1)</f>
        <v/>
      </c>
      <c r="W75" s="153">
        <f>$C75*INDEX(Curves!$BG$8:$BG$68,W$4-$B75+1)</f>
        <v/>
      </c>
      <c r="X75" s="153">
        <f>$C75*INDEX(Curves!$BG$8:$BG$68,X$4-$B75+1)</f>
        <v/>
      </c>
      <c r="Y75" s="153">
        <f>$C75*INDEX(Curves!$BG$8:$BG$68,Y$4-$B75+1)</f>
        <v/>
      </c>
      <c r="Z75" s="153">
        <f>$C75*INDEX(Curves!$BG$8:$BG$68,Z$4-$B75+1)</f>
        <v/>
      </c>
      <c r="AA75" s="153">
        <f>$C75*INDEX(Curves!$BG$8:$BG$68,AA$4-$B75+1)</f>
        <v/>
      </c>
      <c r="AB75" s="153">
        <f>$C75*INDEX(Curves!$BG$8:$BG$68,AB$4-$B75+1)</f>
        <v/>
      </c>
      <c r="AC75" s="153">
        <f>$C75*INDEX(Curves!$BG$8:$BG$68,AC$4-$B75+1)</f>
        <v/>
      </c>
      <c r="AD75" s="153">
        <f>$C75*INDEX(Curves!$BG$8:$BG$68,AD$4-$B75+1)</f>
        <v/>
      </c>
      <c r="AE75" s="153">
        <f>$C75*INDEX(Curves!$BG$8:$BG$68,AE$4-$B75+1)</f>
        <v/>
      </c>
      <c r="AF75" s="153">
        <f>$C75*INDEX(Curves!$BG$8:$BG$68,AF$4-$B75+1)</f>
        <v/>
      </c>
      <c r="AG75" s="153">
        <f>$C75*INDEX(Curves!$BG$8:$BG$68,AG$4-$B75+1)</f>
        <v/>
      </c>
      <c r="AH75" s="153">
        <f>$C75*INDEX(Curves!$BG$8:$BG$68,AH$4-$B75+1)</f>
        <v/>
      </c>
      <c r="AI75" s="153">
        <f>$C75*INDEX(Curves!$BG$8:$BG$68,AI$4-$B75+1)</f>
        <v/>
      </c>
      <c r="AJ75" s="153">
        <f>$C75*INDEX(Curves!$BG$8:$BG$68,AJ$4-$B75+1)</f>
        <v/>
      </c>
      <c r="AK75" s="153">
        <f>$C75*INDEX(Curves!$BG$8:$BG$68,AK$4-$B75+1)</f>
        <v/>
      </c>
      <c r="AL75" s="153">
        <f>$C75*INDEX(Curves!$BG$8:$BG$68,AL$4-$B75+1)</f>
        <v/>
      </c>
      <c r="AM75" s="153">
        <f>$C75*INDEX(Curves!$BG$8:$BG$68,AM$4-$B75+1)</f>
        <v/>
      </c>
      <c r="AN75" s="153">
        <f>$C75*INDEX(Curves!$BG$8:$BG$68,AN$4-$B75+1)</f>
        <v/>
      </c>
      <c r="AO75" s="153">
        <f>$C75*INDEX(Curves!$BG$8:$BG$68,AO$4-$B75+1)</f>
        <v/>
      </c>
      <c r="AP75" s="153">
        <f>$C75*INDEX(Curves!$BG$8:$BG$68,AP$4-$B75+1)</f>
        <v/>
      </c>
      <c r="AQ75" s="153">
        <f>$C75*INDEX(Curves!$BG$8:$BG$68,AQ$4-$B75+1)</f>
        <v/>
      </c>
      <c r="AR75" s="153">
        <f>$C75*INDEX(Curves!$BG$8:$BG$68,AR$4-$B75+1)</f>
        <v/>
      </c>
      <c r="AS75" s="153">
        <f>$C75*INDEX(Curves!$BG$8:$BG$68,AS$4-$B75+1)</f>
        <v/>
      </c>
      <c r="AT75" s="153">
        <f>$C75*INDEX(Curves!$BG$8:$BG$68,AT$4-$B75+1)</f>
        <v/>
      </c>
      <c r="AU75" s="153">
        <f>$C75*INDEX(Curves!$BG$8:$BG$68,AU$4-$B75+1)</f>
        <v/>
      </c>
      <c r="AV75" s="153">
        <f>$C75*INDEX(Curves!$BG$8:$BG$68,AV$4-$B75+1)</f>
        <v/>
      </c>
      <c r="AW75" s="153">
        <f>$C75*INDEX(Curves!$BG$8:$BG$68,AW$4-$B75+1)</f>
        <v/>
      </c>
      <c r="AX75" s="153">
        <f>$C75*INDEX(Curves!$BG$8:$BG$68,AX$4-$B75+1)</f>
        <v/>
      </c>
      <c r="AY75" s="153">
        <f>$C75*INDEX(Curves!$BG$8:$BG$68,AY$4-$B75+1)</f>
        <v/>
      </c>
      <c r="AZ75" s="153">
        <f>$C75*INDEX(Curves!$BG$8:$BG$68,AZ$4-$B75+1)</f>
        <v/>
      </c>
      <c r="BA75" s="153">
        <f>$C75*INDEX(Curves!$BG$8:$BG$68,BA$4-$B75+1)</f>
        <v/>
      </c>
      <c r="BB75" s="153">
        <f>$C75*INDEX(Curves!$BG$8:$BG$68,BB$4-$B75+1)</f>
        <v/>
      </c>
      <c r="BC75" s="153">
        <f>$C75*INDEX(Curves!$BG$8:$BG$68,BC$4-$B75+1)</f>
        <v/>
      </c>
      <c r="BD75" s="153">
        <f>$C75*INDEX(Curves!$BG$8:$BG$68,BD$4-$B75+1)</f>
        <v/>
      </c>
      <c r="BE75" s="153">
        <f>$C75*INDEX(Curves!$BG$8:$BG$68,BE$4-$B75+1)</f>
        <v/>
      </c>
      <c r="BF75" s="153">
        <f>$C75*INDEX(Curves!$BG$8:$BG$68,BF$4-$B75+1)</f>
        <v/>
      </c>
      <c r="BG75" s="153">
        <f>$C75*INDEX(Curves!$BG$8:$BG$68,BG$4-$B75+1)</f>
        <v/>
      </c>
      <c r="BH75" s="153">
        <f>$C75*INDEX(Curves!$BG$8:$BG$68,BH$4-$B75+1)</f>
        <v/>
      </c>
      <c r="BI75" s="153">
        <f>$C75*INDEX(Curves!$BG$8:$BG$68,BI$4-$B75+1)</f>
        <v/>
      </c>
      <c r="BJ75" s="153">
        <f>$C75*INDEX(Curves!$BG$8:$BG$68,BJ$4-$B75+1)</f>
        <v/>
      </c>
      <c r="BK75" s="153">
        <f>$C75*INDEX(Curves!$BG$8:$BG$68,BK$4-$B75+1)</f>
        <v/>
      </c>
      <c r="BL75" s="153">
        <f>$C75*INDEX(Curves!$BG$8:$BG$68,BL$4-$B75+1)</f>
        <v/>
      </c>
    </row>
    <row r="76">
      <c r="A76" s="147" t="inlineStr">
        <is>
          <t>Cohort month 4</t>
        </is>
      </c>
      <c r="B76" s="147" t="n">
        <v>4</v>
      </c>
      <c r="C76" s="41">
        <f>INDEX(Ops!$E$109:$BL$109,1,$B76)</f>
        <v/>
      </c>
      <c r="I76" s="153">
        <f>$C76*INDEX(Curves!$BG$8:$BG$68,I$4-$B76+1)</f>
        <v/>
      </c>
      <c r="J76" s="153">
        <f>$C76*INDEX(Curves!$BG$8:$BG$68,J$4-$B76+1)</f>
        <v/>
      </c>
      <c r="K76" s="153">
        <f>$C76*INDEX(Curves!$BG$8:$BG$68,K$4-$B76+1)</f>
        <v/>
      </c>
      <c r="L76" s="153">
        <f>$C76*INDEX(Curves!$BG$8:$BG$68,L$4-$B76+1)</f>
        <v/>
      </c>
      <c r="M76" s="153">
        <f>$C76*INDEX(Curves!$BG$8:$BG$68,M$4-$B76+1)</f>
        <v/>
      </c>
      <c r="N76" s="153">
        <f>$C76*INDEX(Curves!$BG$8:$BG$68,N$4-$B76+1)</f>
        <v/>
      </c>
      <c r="O76" s="153">
        <f>$C76*INDEX(Curves!$BG$8:$BG$68,O$4-$B76+1)</f>
        <v/>
      </c>
      <c r="P76" s="153">
        <f>$C76*INDEX(Curves!$BG$8:$BG$68,P$4-$B76+1)</f>
        <v/>
      </c>
      <c r="Q76" s="153">
        <f>$C76*INDEX(Curves!$BG$8:$BG$68,Q$4-$B76+1)</f>
        <v/>
      </c>
      <c r="R76" s="153">
        <f>$C76*INDEX(Curves!$BG$8:$BG$68,R$4-$B76+1)</f>
        <v/>
      </c>
      <c r="S76" s="153">
        <f>$C76*INDEX(Curves!$BG$8:$BG$68,S$4-$B76+1)</f>
        <v/>
      </c>
      <c r="T76" s="153">
        <f>$C76*INDEX(Curves!$BG$8:$BG$68,T$4-$B76+1)</f>
        <v/>
      </c>
      <c r="U76" s="153">
        <f>$C76*INDEX(Curves!$BG$8:$BG$68,U$4-$B76+1)</f>
        <v/>
      </c>
      <c r="V76" s="153">
        <f>$C76*INDEX(Curves!$BG$8:$BG$68,V$4-$B76+1)</f>
        <v/>
      </c>
      <c r="W76" s="153">
        <f>$C76*INDEX(Curves!$BG$8:$BG$68,W$4-$B76+1)</f>
        <v/>
      </c>
      <c r="X76" s="153">
        <f>$C76*INDEX(Curves!$BG$8:$BG$68,X$4-$B76+1)</f>
        <v/>
      </c>
      <c r="Y76" s="153">
        <f>$C76*INDEX(Curves!$BG$8:$BG$68,Y$4-$B76+1)</f>
        <v/>
      </c>
      <c r="Z76" s="153">
        <f>$C76*INDEX(Curves!$BG$8:$BG$68,Z$4-$B76+1)</f>
        <v/>
      </c>
      <c r="AA76" s="153">
        <f>$C76*INDEX(Curves!$BG$8:$BG$68,AA$4-$B76+1)</f>
        <v/>
      </c>
      <c r="AB76" s="153">
        <f>$C76*INDEX(Curves!$BG$8:$BG$68,AB$4-$B76+1)</f>
        <v/>
      </c>
      <c r="AC76" s="153">
        <f>$C76*INDEX(Curves!$BG$8:$BG$68,AC$4-$B76+1)</f>
        <v/>
      </c>
      <c r="AD76" s="153">
        <f>$C76*INDEX(Curves!$BG$8:$BG$68,AD$4-$B76+1)</f>
        <v/>
      </c>
      <c r="AE76" s="153">
        <f>$C76*INDEX(Curves!$BG$8:$BG$68,AE$4-$B76+1)</f>
        <v/>
      </c>
      <c r="AF76" s="153">
        <f>$C76*INDEX(Curves!$BG$8:$BG$68,AF$4-$B76+1)</f>
        <v/>
      </c>
      <c r="AG76" s="153">
        <f>$C76*INDEX(Curves!$BG$8:$BG$68,AG$4-$B76+1)</f>
        <v/>
      </c>
      <c r="AH76" s="153">
        <f>$C76*INDEX(Curves!$BG$8:$BG$68,AH$4-$B76+1)</f>
        <v/>
      </c>
      <c r="AI76" s="153">
        <f>$C76*INDEX(Curves!$BG$8:$BG$68,AI$4-$B76+1)</f>
        <v/>
      </c>
      <c r="AJ76" s="153">
        <f>$C76*INDEX(Curves!$BG$8:$BG$68,AJ$4-$B76+1)</f>
        <v/>
      </c>
      <c r="AK76" s="153">
        <f>$C76*INDEX(Curves!$BG$8:$BG$68,AK$4-$B76+1)</f>
        <v/>
      </c>
      <c r="AL76" s="153">
        <f>$C76*INDEX(Curves!$BG$8:$BG$68,AL$4-$B76+1)</f>
        <v/>
      </c>
      <c r="AM76" s="153">
        <f>$C76*INDEX(Curves!$BG$8:$BG$68,AM$4-$B76+1)</f>
        <v/>
      </c>
      <c r="AN76" s="153">
        <f>$C76*INDEX(Curves!$BG$8:$BG$68,AN$4-$B76+1)</f>
        <v/>
      </c>
      <c r="AO76" s="153">
        <f>$C76*INDEX(Curves!$BG$8:$BG$68,AO$4-$B76+1)</f>
        <v/>
      </c>
      <c r="AP76" s="153">
        <f>$C76*INDEX(Curves!$BG$8:$BG$68,AP$4-$B76+1)</f>
        <v/>
      </c>
      <c r="AQ76" s="153">
        <f>$C76*INDEX(Curves!$BG$8:$BG$68,AQ$4-$B76+1)</f>
        <v/>
      </c>
      <c r="AR76" s="153">
        <f>$C76*INDEX(Curves!$BG$8:$BG$68,AR$4-$B76+1)</f>
        <v/>
      </c>
      <c r="AS76" s="153">
        <f>$C76*INDEX(Curves!$BG$8:$BG$68,AS$4-$B76+1)</f>
        <v/>
      </c>
      <c r="AT76" s="153">
        <f>$C76*INDEX(Curves!$BG$8:$BG$68,AT$4-$B76+1)</f>
        <v/>
      </c>
      <c r="AU76" s="153">
        <f>$C76*INDEX(Curves!$BG$8:$BG$68,AU$4-$B76+1)</f>
        <v/>
      </c>
      <c r="AV76" s="153">
        <f>$C76*INDEX(Curves!$BG$8:$BG$68,AV$4-$B76+1)</f>
        <v/>
      </c>
      <c r="AW76" s="153">
        <f>$C76*INDEX(Curves!$BG$8:$BG$68,AW$4-$B76+1)</f>
        <v/>
      </c>
      <c r="AX76" s="153">
        <f>$C76*INDEX(Curves!$BG$8:$BG$68,AX$4-$B76+1)</f>
        <v/>
      </c>
      <c r="AY76" s="153">
        <f>$C76*INDEX(Curves!$BG$8:$BG$68,AY$4-$B76+1)</f>
        <v/>
      </c>
      <c r="AZ76" s="153">
        <f>$C76*INDEX(Curves!$BG$8:$BG$68,AZ$4-$B76+1)</f>
        <v/>
      </c>
      <c r="BA76" s="153">
        <f>$C76*INDEX(Curves!$BG$8:$BG$68,BA$4-$B76+1)</f>
        <v/>
      </c>
      <c r="BB76" s="153">
        <f>$C76*INDEX(Curves!$BG$8:$BG$68,BB$4-$B76+1)</f>
        <v/>
      </c>
      <c r="BC76" s="153">
        <f>$C76*INDEX(Curves!$BG$8:$BG$68,BC$4-$B76+1)</f>
        <v/>
      </c>
      <c r="BD76" s="153">
        <f>$C76*INDEX(Curves!$BG$8:$BG$68,BD$4-$B76+1)</f>
        <v/>
      </c>
      <c r="BE76" s="153">
        <f>$C76*INDEX(Curves!$BG$8:$BG$68,BE$4-$B76+1)</f>
        <v/>
      </c>
      <c r="BF76" s="153">
        <f>$C76*INDEX(Curves!$BG$8:$BG$68,BF$4-$B76+1)</f>
        <v/>
      </c>
      <c r="BG76" s="153">
        <f>$C76*INDEX(Curves!$BG$8:$BG$68,BG$4-$B76+1)</f>
        <v/>
      </c>
      <c r="BH76" s="153">
        <f>$C76*INDEX(Curves!$BG$8:$BG$68,BH$4-$B76+1)</f>
        <v/>
      </c>
      <c r="BI76" s="153">
        <f>$C76*INDEX(Curves!$BG$8:$BG$68,BI$4-$B76+1)</f>
        <v/>
      </c>
      <c r="BJ76" s="153">
        <f>$C76*INDEX(Curves!$BG$8:$BG$68,BJ$4-$B76+1)</f>
        <v/>
      </c>
      <c r="BK76" s="153">
        <f>$C76*INDEX(Curves!$BG$8:$BG$68,BK$4-$B76+1)</f>
        <v/>
      </c>
      <c r="BL76" s="153">
        <f>$C76*INDEX(Curves!$BG$8:$BG$68,BL$4-$B76+1)</f>
        <v/>
      </c>
    </row>
    <row r="77">
      <c r="A77" s="147" t="inlineStr">
        <is>
          <t>Cohort month 5</t>
        </is>
      </c>
      <c r="B77" s="147" t="n">
        <v>5</v>
      </c>
      <c r="C77" s="41">
        <f>INDEX(Ops!$E$109:$BL$109,1,$B77)</f>
        <v/>
      </c>
      <c r="J77" s="153">
        <f>$C77*INDEX(Curves!$BG$8:$BG$68,J$4-$B77+1)</f>
        <v/>
      </c>
      <c r="K77" s="153">
        <f>$C77*INDEX(Curves!$BG$8:$BG$68,K$4-$B77+1)</f>
        <v/>
      </c>
      <c r="L77" s="153">
        <f>$C77*INDEX(Curves!$BG$8:$BG$68,L$4-$B77+1)</f>
        <v/>
      </c>
      <c r="M77" s="153">
        <f>$C77*INDEX(Curves!$BG$8:$BG$68,M$4-$B77+1)</f>
        <v/>
      </c>
      <c r="N77" s="153">
        <f>$C77*INDEX(Curves!$BG$8:$BG$68,N$4-$B77+1)</f>
        <v/>
      </c>
      <c r="O77" s="153">
        <f>$C77*INDEX(Curves!$BG$8:$BG$68,O$4-$B77+1)</f>
        <v/>
      </c>
      <c r="P77" s="153">
        <f>$C77*INDEX(Curves!$BG$8:$BG$68,P$4-$B77+1)</f>
        <v/>
      </c>
      <c r="Q77" s="153">
        <f>$C77*INDEX(Curves!$BG$8:$BG$68,Q$4-$B77+1)</f>
        <v/>
      </c>
      <c r="R77" s="153">
        <f>$C77*INDEX(Curves!$BG$8:$BG$68,R$4-$B77+1)</f>
        <v/>
      </c>
      <c r="S77" s="153">
        <f>$C77*INDEX(Curves!$BG$8:$BG$68,S$4-$B77+1)</f>
        <v/>
      </c>
      <c r="T77" s="153">
        <f>$C77*INDEX(Curves!$BG$8:$BG$68,T$4-$B77+1)</f>
        <v/>
      </c>
      <c r="U77" s="153">
        <f>$C77*INDEX(Curves!$BG$8:$BG$68,U$4-$B77+1)</f>
        <v/>
      </c>
      <c r="V77" s="153">
        <f>$C77*INDEX(Curves!$BG$8:$BG$68,V$4-$B77+1)</f>
        <v/>
      </c>
      <c r="W77" s="153">
        <f>$C77*INDEX(Curves!$BG$8:$BG$68,W$4-$B77+1)</f>
        <v/>
      </c>
      <c r="X77" s="153">
        <f>$C77*INDEX(Curves!$BG$8:$BG$68,X$4-$B77+1)</f>
        <v/>
      </c>
      <c r="Y77" s="153">
        <f>$C77*INDEX(Curves!$BG$8:$BG$68,Y$4-$B77+1)</f>
        <v/>
      </c>
      <c r="Z77" s="153">
        <f>$C77*INDEX(Curves!$BG$8:$BG$68,Z$4-$B77+1)</f>
        <v/>
      </c>
      <c r="AA77" s="153">
        <f>$C77*INDEX(Curves!$BG$8:$BG$68,AA$4-$B77+1)</f>
        <v/>
      </c>
      <c r="AB77" s="153">
        <f>$C77*INDEX(Curves!$BG$8:$BG$68,AB$4-$B77+1)</f>
        <v/>
      </c>
      <c r="AC77" s="153">
        <f>$C77*INDEX(Curves!$BG$8:$BG$68,AC$4-$B77+1)</f>
        <v/>
      </c>
      <c r="AD77" s="153">
        <f>$C77*INDEX(Curves!$BG$8:$BG$68,AD$4-$B77+1)</f>
        <v/>
      </c>
      <c r="AE77" s="153">
        <f>$C77*INDEX(Curves!$BG$8:$BG$68,AE$4-$B77+1)</f>
        <v/>
      </c>
      <c r="AF77" s="153">
        <f>$C77*INDEX(Curves!$BG$8:$BG$68,AF$4-$B77+1)</f>
        <v/>
      </c>
      <c r="AG77" s="153">
        <f>$C77*INDEX(Curves!$BG$8:$BG$68,AG$4-$B77+1)</f>
        <v/>
      </c>
      <c r="AH77" s="153">
        <f>$C77*INDEX(Curves!$BG$8:$BG$68,AH$4-$B77+1)</f>
        <v/>
      </c>
      <c r="AI77" s="153">
        <f>$C77*INDEX(Curves!$BG$8:$BG$68,AI$4-$B77+1)</f>
        <v/>
      </c>
      <c r="AJ77" s="153">
        <f>$C77*INDEX(Curves!$BG$8:$BG$68,AJ$4-$B77+1)</f>
        <v/>
      </c>
      <c r="AK77" s="153">
        <f>$C77*INDEX(Curves!$BG$8:$BG$68,AK$4-$B77+1)</f>
        <v/>
      </c>
      <c r="AL77" s="153">
        <f>$C77*INDEX(Curves!$BG$8:$BG$68,AL$4-$B77+1)</f>
        <v/>
      </c>
      <c r="AM77" s="153">
        <f>$C77*INDEX(Curves!$BG$8:$BG$68,AM$4-$B77+1)</f>
        <v/>
      </c>
      <c r="AN77" s="153">
        <f>$C77*INDEX(Curves!$BG$8:$BG$68,AN$4-$B77+1)</f>
        <v/>
      </c>
      <c r="AO77" s="153">
        <f>$C77*INDEX(Curves!$BG$8:$BG$68,AO$4-$B77+1)</f>
        <v/>
      </c>
      <c r="AP77" s="153">
        <f>$C77*INDEX(Curves!$BG$8:$BG$68,AP$4-$B77+1)</f>
        <v/>
      </c>
      <c r="AQ77" s="153">
        <f>$C77*INDEX(Curves!$BG$8:$BG$68,AQ$4-$B77+1)</f>
        <v/>
      </c>
      <c r="AR77" s="153">
        <f>$C77*INDEX(Curves!$BG$8:$BG$68,AR$4-$B77+1)</f>
        <v/>
      </c>
      <c r="AS77" s="153">
        <f>$C77*INDEX(Curves!$BG$8:$BG$68,AS$4-$B77+1)</f>
        <v/>
      </c>
      <c r="AT77" s="153">
        <f>$C77*INDEX(Curves!$BG$8:$BG$68,AT$4-$B77+1)</f>
        <v/>
      </c>
      <c r="AU77" s="153">
        <f>$C77*INDEX(Curves!$BG$8:$BG$68,AU$4-$B77+1)</f>
        <v/>
      </c>
      <c r="AV77" s="153">
        <f>$C77*INDEX(Curves!$BG$8:$BG$68,AV$4-$B77+1)</f>
        <v/>
      </c>
      <c r="AW77" s="153">
        <f>$C77*INDEX(Curves!$BG$8:$BG$68,AW$4-$B77+1)</f>
        <v/>
      </c>
      <c r="AX77" s="153">
        <f>$C77*INDEX(Curves!$BG$8:$BG$68,AX$4-$B77+1)</f>
        <v/>
      </c>
      <c r="AY77" s="153">
        <f>$C77*INDEX(Curves!$BG$8:$BG$68,AY$4-$B77+1)</f>
        <v/>
      </c>
      <c r="AZ77" s="153">
        <f>$C77*INDEX(Curves!$BG$8:$BG$68,AZ$4-$B77+1)</f>
        <v/>
      </c>
      <c r="BA77" s="153">
        <f>$C77*INDEX(Curves!$BG$8:$BG$68,BA$4-$B77+1)</f>
        <v/>
      </c>
      <c r="BB77" s="153">
        <f>$C77*INDEX(Curves!$BG$8:$BG$68,BB$4-$B77+1)</f>
        <v/>
      </c>
      <c r="BC77" s="153">
        <f>$C77*INDEX(Curves!$BG$8:$BG$68,BC$4-$B77+1)</f>
        <v/>
      </c>
      <c r="BD77" s="153">
        <f>$C77*INDEX(Curves!$BG$8:$BG$68,BD$4-$B77+1)</f>
        <v/>
      </c>
      <c r="BE77" s="153">
        <f>$C77*INDEX(Curves!$BG$8:$BG$68,BE$4-$B77+1)</f>
        <v/>
      </c>
      <c r="BF77" s="153">
        <f>$C77*INDEX(Curves!$BG$8:$BG$68,BF$4-$B77+1)</f>
        <v/>
      </c>
      <c r="BG77" s="153">
        <f>$C77*INDEX(Curves!$BG$8:$BG$68,BG$4-$B77+1)</f>
        <v/>
      </c>
      <c r="BH77" s="153">
        <f>$C77*INDEX(Curves!$BG$8:$BG$68,BH$4-$B77+1)</f>
        <v/>
      </c>
      <c r="BI77" s="153">
        <f>$C77*INDEX(Curves!$BG$8:$BG$68,BI$4-$B77+1)</f>
        <v/>
      </c>
      <c r="BJ77" s="153">
        <f>$C77*INDEX(Curves!$BG$8:$BG$68,BJ$4-$B77+1)</f>
        <v/>
      </c>
      <c r="BK77" s="153">
        <f>$C77*INDEX(Curves!$BG$8:$BG$68,BK$4-$B77+1)</f>
        <v/>
      </c>
      <c r="BL77" s="153">
        <f>$C77*INDEX(Curves!$BG$8:$BG$68,BL$4-$B77+1)</f>
        <v/>
      </c>
    </row>
    <row r="78">
      <c r="A78" s="147" t="inlineStr">
        <is>
          <t>Cohort month 6</t>
        </is>
      </c>
      <c r="B78" s="147" t="n">
        <v>6</v>
      </c>
      <c r="C78" s="41">
        <f>INDEX(Ops!$E$109:$BL$109,1,$B78)</f>
        <v/>
      </c>
      <c r="K78" s="153">
        <f>$C78*INDEX(Curves!$BG$8:$BG$68,K$4-$B78+1)</f>
        <v/>
      </c>
      <c r="L78" s="153">
        <f>$C78*INDEX(Curves!$BG$8:$BG$68,L$4-$B78+1)</f>
        <v/>
      </c>
      <c r="M78" s="153">
        <f>$C78*INDEX(Curves!$BG$8:$BG$68,M$4-$B78+1)</f>
        <v/>
      </c>
      <c r="N78" s="153">
        <f>$C78*INDEX(Curves!$BG$8:$BG$68,N$4-$B78+1)</f>
        <v/>
      </c>
      <c r="O78" s="153">
        <f>$C78*INDEX(Curves!$BG$8:$BG$68,O$4-$B78+1)</f>
        <v/>
      </c>
      <c r="P78" s="153">
        <f>$C78*INDEX(Curves!$BG$8:$BG$68,P$4-$B78+1)</f>
        <v/>
      </c>
      <c r="Q78" s="153">
        <f>$C78*INDEX(Curves!$BG$8:$BG$68,Q$4-$B78+1)</f>
        <v/>
      </c>
      <c r="R78" s="153">
        <f>$C78*INDEX(Curves!$BG$8:$BG$68,R$4-$B78+1)</f>
        <v/>
      </c>
      <c r="S78" s="153">
        <f>$C78*INDEX(Curves!$BG$8:$BG$68,S$4-$B78+1)</f>
        <v/>
      </c>
      <c r="T78" s="153">
        <f>$C78*INDEX(Curves!$BG$8:$BG$68,T$4-$B78+1)</f>
        <v/>
      </c>
      <c r="U78" s="153">
        <f>$C78*INDEX(Curves!$BG$8:$BG$68,U$4-$B78+1)</f>
        <v/>
      </c>
      <c r="V78" s="153">
        <f>$C78*INDEX(Curves!$BG$8:$BG$68,V$4-$B78+1)</f>
        <v/>
      </c>
      <c r="W78" s="153">
        <f>$C78*INDEX(Curves!$BG$8:$BG$68,W$4-$B78+1)</f>
        <v/>
      </c>
      <c r="X78" s="153">
        <f>$C78*INDEX(Curves!$BG$8:$BG$68,X$4-$B78+1)</f>
        <v/>
      </c>
      <c r="Y78" s="153">
        <f>$C78*INDEX(Curves!$BG$8:$BG$68,Y$4-$B78+1)</f>
        <v/>
      </c>
      <c r="Z78" s="153">
        <f>$C78*INDEX(Curves!$BG$8:$BG$68,Z$4-$B78+1)</f>
        <v/>
      </c>
      <c r="AA78" s="153">
        <f>$C78*INDEX(Curves!$BG$8:$BG$68,AA$4-$B78+1)</f>
        <v/>
      </c>
      <c r="AB78" s="153">
        <f>$C78*INDEX(Curves!$BG$8:$BG$68,AB$4-$B78+1)</f>
        <v/>
      </c>
      <c r="AC78" s="153">
        <f>$C78*INDEX(Curves!$BG$8:$BG$68,AC$4-$B78+1)</f>
        <v/>
      </c>
      <c r="AD78" s="153">
        <f>$C78*INDEX(Curves!$BG$8:$BG$68,AD$4-$B78+1)</f>
        <v/>
      </c>
      <c r="AE78" s="153">
        <f>$C78*INDEX(Curves!$BG$8:$BG$68,AE$4-$B78+1)</f>
        <v/>
      </c>
      <c r="AF78" s="153">
        <f>$C78*INDEX(Curves!$BG$8:$BG$68,AF$4-$B78+1)</f>
        <v/>
      </c>
      <c r="AG78" s="153">
        <f>$C78*INDEX(Curves!$BG$8:$BG$68,AG$4-$B78+1)</f>
        <v/>
      </c>
      <c r="AH78" s="153">
        <f>$C78*INDEX(Curves!$BG$8:$BG$68,AH$4-$B78+1)</f>
        <v/>
      </c>
      <c r="AI78" s="153">
        <f>$C78*INDEX(Curves!$BG$8:$BG$68,AI$4-$B78+1)</f>
        <v/>
      </c>
      <c r="AJ78" s="153">
        <f>$C78*INDEX(Curves!$BG$8:$BG$68,AJ$4-$B78+1)</f>
        <v/>
      </c>
      <c r="AK78" s="153">
        <f>$C78*INDEX(Curves!$BG$8:$BG$68,AK$4-$B78+1)</f>
        <v/>
      </c>
      <c r="AL78" s="153">
        <f>$C78*INDEX(Curves!$BG$8:$BG$68,AL$4-$B78+1)</f>
        <v/>
      </c>
      <c r="AM78" s="153">
        <f>$C78*INDEX(Curves!$BG$8:$BG$68,AM$4-$B78+1)</f>
        <v/>
      </c>
      <c r="AN78" s="153">
        <f>$C78*INDEX(Curves!$BG$8:$BG$68,AN$4-$B78+1)</f>
        <v/>
      </c>
      <c r="AO78" s="153">
        <f>$C78*INDEX(Curves!$BG$8:$BG$68,AO$4-$B78+1)</f>
        <v/>
      </c>
      <c r="AP78" s="153">
        <f>$C78*INDEX(Curves!$BG$8:$BG$68,AP$4-$B78+1)</f>
        <v/>
      </c>
      <c r="AQ78" s="153">
        <f>$C78*INDEX(Curves!$BG$8:$BG$68,AQ$4-$B78+1)</f>
        <v/>
      </c>
      <c r="AR78" s="153">
        <f>$C78*INDEX(Curves!$BG$8:$BG$68,AR$4-$B78+1)</f>
        <v/>
      </c>
      <c r="AS78" s="153">
        <f>$C78*INDEX(Curves!$BG$8:$BG$68,AS$4-$B78+1)</f>
        <v/>
      </c>
      <c r="AT78" s="153">
        <f>$C78*INDEX(Curves!$BG$8:$BG$68,AT$4-$B78+1)</f>
        <v/>
      </c>
      <c r="AU78" s="153">
        <f>$C78*INDEX(Curves!$BG$8:$BG$68,AU$4-$B78+1)</f>
        <v/>
      </c>
      <c r="AV78" s="153">
        <f>$C78*INDEX(Curves!$BG$8:$BG$68,AV$4-$B78+1)</f>
        <v/>
      </c>
      <c r="AW78" s="153">
        <f>$C78*INDEX(Curves!$BG$8:$BG$68,AW$4-$B78+1)</f>
        <v/>
      </c>
      <c r="AX78" s="153">
        <f>$C78*INDEX(Curves!$BG$8:$BG$68,AX$4-$B78+1)</f>
        <v/>
      </c>
      <c r="AY78" s="153">
        <f>$C78*INDEX(Curves!$BG$8:$BG$68,AY$4-$B78+1)</f>
        <v/>
      </c>
      <c r="AZ78" s="153">
        <f>$C78*INDEX(Curves!$BG$8:$BG$68,AZ$4-$B78+1)</f>
        <v/>
      </c>
      <c r="BA78" s="153">
        <f>$C78*INDEX(Curves!$BG$8:$BG$68,BA$4-$B78+1)</f>
        <v/>
      </c>
      <c r="BB78" s="153">
        <f>$C78*INDEX(Curves!$BG$8:$BG$68,BB$4-$B78+1)</f>
        <v/>
      </c>
      <c r="BC78" s="153">
        <f>$C78*INDEX(Curves!$BG$8:$BG$68,BC$4-$B78+1)</f>
        <v/>
      </c>
      <c r="BD78" s="153">
        <f>$C78*INDEX(Curves!$BG$8:$BG$68,BD$4-$B78+1)</f>
        <v/>
      </c>
      <c r="BE78" s="153">
        <f>$C78*INDEX(Curves!$BG$8:$BG$68,BE$4-$B78+1)</f>
        <v/>
      </c>
      <c r="BF78" s="153">
        <f>$C78*INDEX(Curves!$BG$8:$BG$68,BF$4-$B78+1)</f>
        <v/>
      </c>
      <c r="BG78" s="153">
        <f>$C78*INDEX(Curves!$BG$8:$BG$68,BG$4-$B78+1)</f>
        <v/>
      </c>
      <c r="BH78" s="153">
        <f>$C78*INDEX(Curves!$BG$8:$BG$68,BH$4-$B78+1)</f>
        <v/>
      </c>
      <c r="BI78" s="153">
        <f>$C78*INDEX(Curves!$BG$8:$BG$68,BI$4-$B78+1)</f>
        <v/>
      </c>
      <c r="BJ78" s="153">
        <f>$C78*INDEX(Curves!$BG$8:$BG$68,BJ$4-$B78+1)</f>
        <v/>
      </c>
      <c r="BK78" s="153">
        <f>$C78*INDEX(Curves!$BG$8:$BG$68,BK$4-$B78+1)</f>
        <v/>
      </c>
      <c r="BL78" s="153">
        <f>$C78*INDEX(Curves!$BG$8:$BG$68,BL$4-$B78+1)</f>
        <v/>
      </c>
    </row>
    <row r="79">
      <c r="A79" s="147" t="inlineStr">
        <is>
          <t>Cohort month 7</t>
        </is>
      </c>
      <c r="B79" s="147" t="n">
        <v>7</v>
      </c>
      <c r="C79" s="41">
        <f>INDEX(Ops!$E$109:$BL$109,1,$B79)</f>
        <v/>
      </c>
      <c r="L79" s="153">
        <f>$C79*INDEX(Curves!$BG$8:$BG$68,L$4-$B79+1)</f>
        <v/>
      </c>
      <c r="M79" s="153">
        <f>$C79*INDEX(Curves!$BG$8:$BG$68,M$4-$B79+1)</f>
        <v/>
      </c>
      <c r="N79" s="153">
        <f>$C79*INDEX(Curves!$BG$8:$BG$68,N$4-$B79+1)</f>
        <v/>
      </c>
      <c r="O79" s="153">
        <f>$C79*INDEX(Curves!$BG$8:$BG$68,O$4-$B79+1)</f>
        <v/>
      </c>
      <c r="P79" s="153">
        <f>$C79*INDEX(Curves!$BG$8:$BG$68,P$4-$B79+1)</f>
        <v/>
      </c>
      <c r="Q79" s="153">
        <f>$C79*INDEX(Curves!$BG$8:$BG$68,Q$4-$B79+1)</f>
        <v/>
      </c>
      <c r="R79" s="153">
        <f>$C79*INDEX(Curves!$BG$8:$BG$68,R$4-$B79+1)</f>
        <v/>
      </c>
      <c r="S79" s="153">
        <f>$C79*INDEX(Curves!$BG$8:$BG$68,S$4-$B79+1)</f>
        <v/>
      </c>
      <c r="T79" s="153">
        <f>$C79*INDEX(Curves!$BG$8:$BG$68,T$4-$B79+1)</f>
        <v/>
      </c>
      <c r="U79" s="153">
        <f>$C79*INDEX(Curves!$BG$8:$BG$68,U$4-$B79+1)</f>
        <v/>
      </c>
      <c r="V79" s="153">
        <f>$C79*INDEX(Curves!$BG$8:$BG$68,V$4-$B79+1)</f>
        <v/>
      </c>
      <c r="W79" s="153">
        <f>$C79*INDEX(Curves!$BG$8:$BG$68,W$4-$B79+1)</f>
        <v/>
      </c>
      <c r="X79" s="153">
        <f>$C79*INDEX(Curves!$BG$8:$BG$68,X$4-$B79+1)</f>
        <v/>
      </c>
      <c r="Y79" s="153">
        <f>$C79*INDEX(Curves!$BG$8:$BG$68,Y$4-$B79+1)</f>
        <v/>
      </c>
      <c r="Z79" s="153">
        <f>$C79*INDEX(Curves!$BG$8:$BG$68,Z$4-$B79+1)</f>
        <v/>
      </c>
      <c r="AA79" s="153">
        <f>$C79*INDEX(Curves!$BG$8:$BG$68,AA$4-$B79+1)</f>
        <v/>
      </c>
      <c r="AB79" s="153">
        <f>$C79*INDEX(Curves!$BG$8:$BG$68,AB$4-$B79+1)</f>
        <v/>
      </c>
      <c r="AC79" s="153">
        <f>$C79*INDEX(Curves!$BG$8:$BG$68,AC$4-$B79+1)</f>
        <v/>
      </c>
      <c r="AD79" s="153">
        <f>$C79*INDEX(Curves!$BG$8:$BG$68,AD$4-$B79+1)</f>
        <v/>
      </c>
      <c r="AE79" s="153">
        <f>$C79*INDEX(Curves!$BG$8:$BG$68,AE$4-$B79+1)</f>
        <v/>
      </c>
      <c r="AF79" s="153">
        <f>$C79*INDEX(Curves!$BG$8:$BG$68,AF$4-$B79+1)</f>
        <v/>
      </c>
      <c r="AG79" s="153">
        <f>$C79*INDEX(Curves!$BG$8:$BG$68,AG$4-$B79+1)</f>
        <v/>
      </c>
      <c r="AH79" s="153">
        <f>$C79*INDEX(Curves!$BG$8:$BG$68,AH$4-$B79+1)</f>
        <v/>
      </c>
      <c r="AI79" s="153">
        <f>$C79*INDEX(Curves!$BG$8:$BG$68,AI$4-$B79+1)</f>
        <v/>
      </c>
      <c r="AJ79" s="153">
        <f>$C79*INDEX(Curves!$BG$8:$BG$68,AJ$4-$B79+1)</f>
        <v/>
      </c>
      <c r="AK79" s="153">
        <f>$C79*INDEX(Curves!$BG$8:$BG$68,AK$4-$B79+1)</f>
        <v/>
      </c>
      <c r="AL79" s="153">
        <f>$C79*INDEX(Curves!$BG$8:$BG$68,AL$4-$B79+1)</f>
        <v/>
      </c>
      <c r="AM79" s="153">
        <f>$C79*INDEX(Curves!$BG$8:$BG$68,AM$4-$B79+1)</f>
        <v/>
      </c>
      <c r="AN79" s="153">
        <f>$C79*INDEX(Curves!$BG$8:$BG$68,AN$4-$B79+1)</f>
        <v/>
      </c>
      <c r="AO79" s="153">
        <f>$C79*INDEX(Curves!$BG$8:$BG$68,AO$4-$B79+1)</f>
        <v/>
      </c>
      <c r="AP79" s="153">
        <f>$C79*INDEX(Curves!$BG$8:$BG$68,AP$4-$B79+1)</f>
        <v/>
      </c>
      <c r="AQ79" s="153">
        <f>$C79*INDEX(Curves!$BG$8:$BG$68,AQ$4-$B79+1)</f>
        <v/>
      </c>
      <c r="AR79" s="153">
        <f>$C79*INDEX(Curves!$BG$8:$BG$68,AR$4-$B79+1)</f>
        <v/>
      </c>
      <c r="AS79" s="153">
        <f>$C79*INDEX(Curves!$BG$8:$BG$68,AS$4-$B79+1)</f>
        <v/>
      </c>
      <c r="AT79" s="153">
        <f>$C79*INDEX(Curves!$BG$8:$BG$68,AT$4-$B79+1)</f>
        <v/>
      </c>
      <c r="AU79" s="153">
        <f>$C79*INDEX(Curves!$BG$8:$BG$68,AU$4-$B79+1)</f>
        <v/>
      </c>
      <c r="AV79" s="153">
        <f>$C79*INDEX(Curves!$BG$8:$BG$68,AV$4-$B79+1)</f>
        <v/>
      </c>
      <c r="AW79" s="153">
        <f>$C79*INDEX(Curves!$BG$8:$BG$68,AW$4-$B79+1)</f>
        <v/>
      </c>
      <c r="AX79" s="153">
        <f>$C79*INDEX(Curves!$BG$8:$BG$68,AX$4-$B79+1)</f>
        <v/>
      </c>
      <c r="AY79" s="153">
        <f>$C79*INDEX(Curves!$BG$8:$BG$68,AY$4-$B79+1)</f>
        <v/>
      </c>
      <c r="AZ79" s="153">
        <f>$C79*INDEX(Curves!$BG$8:$BG$68,AZ$4-$B79+1)</f>
        <v/>
      </c>
      <c r="BA79" s="153">
        <f>$C79*INDEX(Curves!$BG$8:$BG$68,BA$4-$B79+1)</f>
        <v/>
      </c>
      <c r="BB79" s="153">
        <f>$C79*INDEX(Curves!$BG$8:$BG$68,BB$4-$B79+1)</f>
        <v/>
      </c>
      <c r="BC79" s="153">
        <f>$C79*INDEX(Curves!$BG$8:$BG$68,BC$4-$B79+1)</f>
        <v/>
      </c>
      <c r="BD79" s="153">
        <f>$C79*INDEX(Curves!$BG$8:$BG$68,BD$4-$B79+1)</f>
        <v/>
      </c>
      <c r="BE79" s="153">
        <f>$C79*INDEX(Curves!$BG$8:$BG$68,BE$4-$B79+1)</f>
        <v/>
      </c>
      <c r="BF79" s="153">
        <f>$C79*INDEX(Curves!$BG$8:$BG$68,BF$4-$B79+1)</f>
        <v/>
      </c>
      <c r="BG79" s="153">
        <f>$C79*INDEX(Curves!$BG$8:$BG$68,BG$4-$B79+1)</f>
        <v/>
      </c>
      <c r="BH79" s="153">
        <f>$C79*INDEX(Curves!$BG$8:$BG$68,BH$4-$B79+1)</f>
        <v/>
      </c>
      <c r="BI79" s="153">
        <f>$C79*INDEX(Curves!$BG$8:$BG$68,BI$4-$B79+1)</f>
        <v/>
      </c>
      <c r="BJ79" s="153">
        <f>$C79*INDEX(Curves!$BG$8:$BG$68,BJ$4-$B79+1)</f>
        <v/>
      </c>
      <c r="BK79" s="153">
        <f>$C79*INDEX(Curves!$BG$8:$BG$68,BK$4-$B79+1)</f>
        <v/>
      </c>
      <c r="BL79" s="153">
        <f>$C79*INDEX(Curves!$BG$8:$BG$68,BL$4-$B79+1)</f>
        <v/>
      </c>
    </row>
    <row r="80">
      <c r="A80" s="147" t="inlineStr">
        <is>
          <t>Cohort month 8</t>
        </is>
      </c>
      <c r="B80" s="147" t="n">
        <v>8</v>
      </c>
      <c r="C80" s="41">
        <f>INDEX(Ops!$E$109:$BL$109,1,$B80)</f>
        <v/>
      </c>
      <c r="M80" s="153">
        <f>$C80*INDEX(Curves!$BG$8:$BG$68,M$4-$B80+1)</f>
        <v/>
      </c>
      <c r="N80" s="153">
        <f>$C80*INDEX(Curves!$BG$8:$BG$68,N$4-$B80+1)</f>
        <v/>
      </c>
      <c r="O80" s="153">
        <f>$C80*INDEX(Curves!$BG$8:$BG$68,O$4-$B80+1)</f>
        <v/>
      </c>
      <c r="P80" s="153">
        <f>$C80*INDEX(Curves!$BG$8:$BG$68,P$4-$B80+1)</f>
        <v/>
      </c>
      <c r="Q80" s="153">
        <f>$C80*INDEX(Curves!$BG$8:$BG$68,Q$4-$B80+1)</f>
        <v/>
      </c>
      <c r="R80" s="153">
        <f>$C80*INDEX(Curves!$BG$8:$BG$68,R$4-$B80+1)</f>
        <v/>
      </c>
      <c r="S80" s="153">
        <f>$C80*INDEX(Curves!$BG$8:$BG$68,S$4-$B80+1)</f>
        <v/>
      </c>
      <c r="T80" s="153">
        <f>$C80*INDEX(Curves!$BG$8:$BG$68,T$4-$B80+1)</f>
        <v/>
      </c>
      <c r="U80" s="153">
        <f>$C80*INDEX(Curves!$BG$8:$BG$68,U$4-$B80+1)</f>
        <v/>
      </c>
      <c r="V80" s="153">
        <f>$C80*INDEX(Curves!$BG$8:$BG$68,V$4-$B80+1)</f>
        <v/>
      </c>
      <c r="W80" s="153">
        <f>$C80*INDEX(Curves!$BG$8:$BG$68,W$4-$B80+1)</f>
        <v/>
      </c>
      <c r="X80" s="153">
        <f>$C80*INDEX(Curves!$BG$8:$BG$68,X$4-$B80+1)</f>
        <v/>
      </c>
      <c r="Y80" s="153">
        <f>$C80*INDEX(Curves!$BG$8:$BG$68,Y$4-$B80+1)</f>
        <v/>
      </c>
      <c r="Z80" s="153">
        <f>$C80*INDEX(Curves!$BG$8:$BG$68,Z$4-$B80+1)</f>
        <v/>
      </c>
      <c r="AA80" s="153">
        <f>$C80*INDEX(Curves!$BG$8:$BG$68,AA$4-$B80+1)</f>
        <v/>
      </c>
      <c r="AB80" s="153">
        <f>$C80*INDEX(Curves!$BG$8:$BG$68,AB$4-$B80+1)</f>
        <v/>
      </c>
      <c r="AC80" s="153">
        <f>$C80*INDEX(Curves!$BG$8:$BG$68,AC$4-$B80+1)</f>
        <v/>
      </c>
      <c r="AD80" s="153">
        <f>$C80*INDEX(Curves!$BG$8:$BG$68,AD$4-$B80+1)</f>
        <v/>
      </c>
      <c r="AE80" s="153">
        <f>$C80*INDEX(Curves!$BG$8:$BG$68,AE$4-$B80+1)</f>
        <v/>
      </c>
      <c r="AF80" s="153">
        <f>$C80*INDEX(Curves!$BG$8:$BG$68,AF$4-$B80+1)</f>
        <v/>
      </c>
      <c r="AG80" s="153">
        <f>$C80*INDEX(Curves!$BG$8:$BG$68,AG$4-$B80+1)</f>
        <v/>
      </c>
      <c r="AH80" s="153">
        <f>$C80*INDEX(Curves!$BG$8:$BG$68,AH$4-$B80+1)</f>
        <v/>
      </c>
      <c r="AI80" s="153">
        <f>$C80*INDEX(Curves!$BG$8:$BG$68,AI$4-$B80+1)</f>
        <v/>
      </c>
      <c r="AJ80" s="153">
        <f>$C80*INDEX(Curves!$BG$8:$BG$68,AJ$4-$B80+1)</f>
        <v/>
      </c>
      <c r="AK80" s="153">
        <f>$C80*INDEX(Curves!$BG$8:$BG$68,AK$4-$B80+1)</f>
        <v/>
      </c>
      <c r="AL80" s="153">
        <f>$C80*INDEX(Curves!$BG$8:$BG$68,AL$4-$B80+1)</f>
        <v/>
      </c>
      <c r="AM80" s="153">
        <f>$C80*INDEX(Curves!$BG$8:$BG$68,AM$4-$B80+1)</f>
        <v/>
      </c>
      <c r="AN80" s="153">
        <f>$C80*INDEX(Curves!$BG$8:$BG$68,AN$4-$B80+1)</f>
        <v/>
      </c>
      <c r="AO80" s="153">
        <f>$C80*INDEX(Curves!$BG$8:$BG$68,AO$4-$B80+1)</f>
        <v/>
      </c>
      <c r="AP80" s="153">
        <f>$C80*INDEX(Curves!$BG$8:$BG$68,AP$4-$B80+1)</f>
        <v/>
      </c>
      <c r="AQ80" s="153">
        <f>$C80*INDEX(Curves!$BG$8:$BG$68,AQ$4-$B80+1)</f>
        <v/>
      </c>
      <c r="AR80" s="153">
        <f>$C80*INDEX(Curves!$BG$8:$BG$68,AR$4-$B80+1)</f>
        <v/>
      </c>
      <c r="AS80" s="153">
        <f>$C80*INDEX(Curves!$BG$8:$BG$68,AS$4-$B80+1)</f>
        <v/>
      </c>
      <c r="AT80" s="153">
        <f>$C80*INDEX(Curves!$BG$8:$BG$68,AT$4-$B80+1)</f>
        <v/>
      </c>
      <c r="AU80" s="153">
        <f>$C80*INDEX(Curves!$BG$8:$BG$68,AU$4-$B80+1)</f>
        <v/>
      </c>
      <c r="AV80" s="153">
        <f>$C80*INDEX(Curves!$BG$8:$BG$68,AV$4-$B80+1)</f>
        <v/>
      </c>
      <c r="AW80" s="153">
        <f>$C80*INDEX(Curves!$BG$8:$BG$68,AW$4-$B80+1)</f>
        <v/>
      </c>
      <c r="AX80" s="153">
        <f>$C80*INDEX(Curves!$BG$8:$BG$68,AX$4-$B80+1)</f>
        <v/>
      </c>
      <c r="AY80" s="153">
        <f>$C80*INDEX(Curves!$BG$8:$BG$68,AY$4-$B80+1)</f>
        <v/>
      </c>
      <c r="AZ80" s="153">
        <f>$C80*INDEX(Curves!$BG$8:$BG$68,AZ$4-$B80+1)</f>
        <v/>
      </c>
      <c r="BA80" s="153">
        <f>$C80*INDEX(Curves!$BG$8:$BG$68,BA$4-$B80+1)</f>
        <v/>
      </c>
      <c r="BB80" s="153">
        <f>$C80*INDEX(Curves!$BG$8:$BG$68,BB$4-$B80+1)</f>
        <v/>
      </c>
      <c r="BC80" s="153">
        <f>$C80*INDEX(Curves!$BG$8:$BG$68,BC$4-$B80+1)</f>
        <v/>
      </c>
      <c r="BD80" s="153">
        <f>$C80*INDEX(Curves!$BG$8:$BG$68,BD$4-$B80+1)</f>
        <v/>
      </c>
      <c r="BE80" s="153">
        <f>$C80*INDEX(Curves!$BG$8:$BG$68,BE$4-$B80+1)</f>
        <v/>
      </c>
      <c r="BF80" s="153">
        <f>$C80*INDEX(Curves!$BG$8:$BG$68,BF$4-$B80+1)</f>
        <v/>
      </c>
      <c r="BG80" s="153">
        <f>$C80*INDEX(Curves!$BG$8:$BG$68,BG$4-$B80+1)</f>
        <v/>
      </c>
      <c r="BH80" s="153">
        <f>$C80*INDEX(Curves!$BG$8:$BG$68,BH$4-$B80+1)</f>
        <v/>
      </c>
      <c r="BI80" s="153">
        <f>$C80*INDEX(Curves!$BG$8:$BG$68,BI$4-$B80+1)</f>
        <v/>
      </c>
      <c r="BJ80" s="153">
        <f>$C80*INDEX(Curves!$BG$8:$BG$68,BJ$4-$B80+1)</f>
        <v/>
      </c>
      <c r="BK80" s="153">
        <f>$C80*INDEX(Curves!$BG$8:$BG$68,BK$4-$B80+1)</f>
        <v/>
      </c>
      <c r="BL80" s="153">
        <f>$C80*INDEX(Curves!$BG$8:$BG$68,BL$4-$B80+1)</f>
        <v/>
      </c>
    </row>
    <row r="81">
      <c r="A81" s="147" t="inlineStr">
        <is>
          <t>Cohort month 9</t>
        </is>
      </c>
      <c r="B81" s="147" t="n">
        <v>9</v>
      </c>
      <c r="C81" s="41">
        <f>INDEX(Ops!$E$109:$BL$109,1,$B81)</f>
        <v/>
      </c>
      <c r="N81" s="153">
        <f>$C81*INDEX(Curves!$BG$8:$BG$68,N$4-$B81+1)</f>
        <v/>
      </c>
      <c r="O81" s="153">
        <f>$C81*INDEX(Curves!$BG$8:$BG$68,O$4-$B81+1)</f>
        <v/>
      </c>
      <c r="P81" s="153">
        <f>$C81*INDEX(Curves!$BG$8:$BG$68,P$4-$B81+1)</f>
        <v/>
      </c>
      <c r="Q81" s="153">
        <f>$C81*INDEX(Curves!$BG$8:$BG$68,Q$4-$B81+1)</f>
        <v/>
      </c>
      <c r="R81" s="153">
        <f>$C81*INDEX(Curves!$BG$8:$BG$68,R$4-$B81+1)</f>
        <v/>
      </c>
      <c r="S81" s="153">
        <f>$C81*INDEX(Curves!$BG$8:$BG$68,S$4-$B81+1)</f>
        <v/>
      </c>
      <c r="T81" s="153">
        <f>$C81*INDEX(Curves!$BG$8:$BG$68,T$4-$B81+1)</f>
        <v/>
      </c>
      <c r="U81" s="153">
        <f>$C81*INDEX(Curves!$BG$8:$BG$68,U$4-$B81+1)</f>
        <v/>
      </c>
      <c r="V81" s="153">
        <f>$C81*INDEX(Curves!$BG$8:$BG$68,V$4-$B81+1)</f>
        <v/>
      </c>
      <c r="W81" s="153">
        <f>$C81*INDEX(Curves!$BG$8:$BG$68,W$4-$B81+1)</f>
        <v/>
      </c>
      <c r="X81" s="153">
        <f>$C81*INDEX(Curves!$BG$8:$BG$68,X$4-$B81+1)</f>
        <v/>
      </c>
      <c r="Y81" s="153">
        <f>$C81*INDEX(Curves!$BG$8:$BG$68,Y$4-$B81+1)</f>
        <v/>
      </c>
      <c r="Z81" s="153">
        <f>$C81*INDEX(Curves!$BG$8:$BG$68,Z$4-$B81+1)</f>
        <v/>
      </c>
      <c r="AA81" s="153">
        <f>$C81*INDEX(Curves!$BG$8:$BG$68,AA$4-$B81+1)</f>
        <v/>
      </c>
      <c r="AB81" s="153">
        <f>$C81*INDEX(Curves!$BG$8:$BG$68,AB$4-$B81+1)</f>
        <v/>
      </c>
      <c r="AC81" s="153">
        <f>$C81*INDEX(Curves!$BG$8:$BG$68,AC$4-$B81+1)</f>
        <v/>
      </c>
      <c r="AD81" s="153">
        <f>$C81*INDEX(Curves!$BG$8:$BG$68,AD$4-$B81+1)</f>
        <v/>
      </c>
      <c r="AE81" s="153">
        <f>$C81*INDEX(Curves!$BG$8:$BG$68,AE$4-$B81+1)</f>
        <v/>
      </c>
      <c r="AF81" s="153">
        <f>$C81*INDEX(Curves!$BG$8:$BG$68,AF$4-$B81+1)</f>
        <v/>
      </c>
      <c r="AG81" s="153">
        <f>$C81*INDEX(Curves!$BG$8:$BG$68,AG$4-$B81+1)</f>
        <v/>
      </c>
      <c r="AH81" s="153">
        <f>$C81*INDEX(Curves!$BG$8:$BG$68,AH$4-$B81+1)</f>
        <v/>
      </c>
      <c r="AI81" s="153">
        <f>$C81*INDEX(Curves!$BG$8:$BG$68,AI$4-$B81+1)</f>
        <v/>
      </c>
      <c r="AJ81" s="153">
        <f>$C81*INDEX(Curves!$BG$8:$BG$68,AJ$4-$B81+1)</f>
        <v/>
      </c>
      <c r="AK81" s="153">
        <f>$C81*INDEX(Curves!$BG$8:$BG$68,AK$4-$B81+1)</f>
        <v/>
      </c>
      <c r="AL81" s="153">
        <f>$C81*INDEX(Curves!$BG$8:$BG$68,AL$4-$B81+1)</f>
        <v/>
      </c>
      <c r="AM81" s="153">
        <f>$C81*INDEX(Curves!$BG$8:$BG$68,AM$4-$B81+1)</f>
        <v/>
      </c>
      <c r="AN81" s="153">
        <f>$C81*INDEX(Curves!$BG$8:$BG$68,AN$4-$B81+1)</f>
        <v/>
      </c>
      <c r="AO81" s="153">
        <f>$C81*INDEX(Curves!$BG$8:$BG$68,AO$4-$B81+1)</f>
        <v/>
      </c>
      <c r="AP81" s="153">
        <f>$C81*INDEX(Curves!$BG$8:$BG$68,AP$4-$B81+1)</f>
        <v/>
      </c>
      <c r="AQ81" s="153">
        <f>$C81*INDEX(Curves!$BG$8:$BG$68,AQ$4-$B81+1)</f>
        <v/>
      </c>
      <c r="AR81" s="153">
        <f>$C81*INDEX(Curves!$BG$8:$BG$68,AR$4-$B81+1)</f>
        <v/>
      </c>
      <c r="AS81" s="153">
        <f>$C81*INDEX(Curves!$BG$8:$BG$68,AS$4-$B81+1)</f>
        <v/>
      </c>
      <c r="AT81" s="153">
        <f>$C81*INDEX(Curves!$BG$8:$BG$68,AT$4-$B81+1)</f>
        <v/>
      </c>
      <c r="AU81" s="153">
        <f>$C81*INDEX(Curves!$BG$8:$BG$68,AU$4-$B81+1)</f>
        <v/>
      </c>
      <c r="AV81" s="153">
        <f>$C81*INDEX(Curves!$BG$8:$BG$68,AV$4-$B81+1)</f>
        <v/>
      </c>
      <c r="AW81" s="153">
        <f>$C81*INDEX(Curves!$BG$8:$BG$68,AW$4-$B81+1)</f>
        <v/>
      </c>
      <c r="AX81" s="153">
        <f>$C81*INDEX(Curves!$BG$8:$BG$68,AX$4-$B81+1)</f>
        <v/>
      </c>
      <c r="AY81" s="153">
        <f>$C81*INDEX(Curves!$BG$8:$BG$68,AY$4-$B81+1)</f>
        <v/>
      </c>
      <c r="AZ81" s="153">
        <f>$C81*INDEX(Curves!$BG$8:$BG$68,AZ$4-$B81+1)</f>
        <v/>
      </c>
      <c r="BA81" s="153">
        <f>$C81*INDEX(Curves!$BG$8:$BG$68,BA$4-$B81+1)</f>
        <v/>
      </c>
      <c r="BB81" s="153">
        <f>$C81*INDEX(Curves!$BG$8:$BG$68,BB$4-$B81+1)</f>
        <v/>
      </c>
      <c r="BC81" s="153">
        <f>$C81*INDEX(Curves!$BG$8:$BG$68,BC$4-$B81+1)</f>
        <v/>
      </c>
      <c r="BD81" s="153">
        <f>$C81*INDEX(Curves!$BG$8:$BG$68,BD$4-$B81+1)</f>
        <v/>
      </c>
      <c r="BE81" s="153">
        <f>$C81*INDEX(Curves!$BG$8:$BG$68,BE$4-$B81+1)</f>
        <v/>
      </c>
      <c r="BF81" s="153">
        <f>$C81*INDEX(Curves!$BG$8:$BG$68,BF$4-$B81+1)</f>
        <v/>
      </c>
      <c r="BG81" s="153">
        <f>$C81*INDEX(Curves!$BG$8:$BG$68,BG$4-$B81+1)</f>
        <v/>
      </c>
      <c r="BH81" s="153">
        <f>$C81*INDEX(Curves!$BG$8:$BG$68,BH$4-$B81+1)</f>
        <v/>
      </c>
      <c r="BI81" s="153">
        <f>$C81*INDEX(Curves!$BG$8:$BG$68,BI$4-$B81+1)</f>
        <v/>
      </c>
      <c r="BJ81" s="153">
        <f>$C81*INDEX(Curves!$BG$8:$BG$68,BJ$4-$B81+1)</f>
        <v/>
      </c>
      <c r="BK81" s="153">
        <f>$C81*INDEX(Curves!$BG$8:$BG$68,BK$4-$B81+1)</f>
        <v/>
      </c>
      <c r="BL81" s="153">
        <f>$C81*INDEX(Curves!$BG$8:$BG$68,BL$4-$B81+1)</f>
        <v/>
      </c>
    </row>
    <row r="82">
      <c r="A82" s="147" t="inlineStr">
        <is>
          <t>Cohort month 10</t>
        </is>
      </c>
      <c r="B82" s="147" t="n">
        <v>10</v>
      </c>
      <c r="C82" s="41">
        <f>INDEX(Ops!$E$109:$BL$109,1,$B82)</f>
        <v/>
      </c>
      <c r="O82" s="153">
        <f>$C82*INDEX(Curves!$BG$8:$BG$68,O$4-$B82+1)</f>
        <v/>
      </c>
      <c r="P82" s="153">
        <f>$C82*INDEX(Curves!$BG$8:$BG$68,P$4-$B82+1)</f>
        <v/>
      </c>
      <c r="Q82" s="153">
        <f>$C82*INDEX(Curves!$BG$8:$BG$68,Q$4-$B82+1)</f>
        <v/>
      </c>
      <c r="R82" s="153">
        <f>$C82*INDEX(Curves!$BG$8:$BG$68,R$4-$B82+1)</f>
        <v/>
      </c>
      <c r="S82" s="153">
        <f>$C82*INDEX(Curves!$BG$8:$BG$68,S$4-$B82+1)</f>
        <v/>
      </c>
      <c r="T82" s="153">
        <f>$C82*INDEX(Curves!$BG$8:$BG$68,T$4-$B82+1)</f>
        <v/>
      </c>
      <c r="U82" s="153">
        <f>$C82*INDEX(Curves!$BG$8:$BG$68,U$4-$B82+1)</f>
        <v/>
      </c>
      <c r="V82" s="153">
        <f>$C82*INDEX(Curves!$BG$8:$BG$68,V$4-$B82+1)</f>
        <v/>
      </c>
      <c r="W82" s="153">
        <f>$C82*INDEX(Curves!$BG$8:$BG$68,W$4-$B82+1)</f>
        <v/>
      </c>
      <c r="X82" s="153">
        <f>$C82*INDEX(Curves!$BG$8:$BG$68,X$4-$B82+1)</f>
        <v/>
      </c>
      <c r="Y82" s="153">
        <f>$C82*INDEX(Curves!$BG$8:$BG$68,Y$4-$B82+1)</f>
        <v/>
      </c>
      <c r="Z82" s="153">
        <f>$C82*INDEX(Curves!$BG$8:$BG$68,Z$4-$B82+1)</f>
        <v/>
      </c>
      <c r="AA82" s="153">
        <f>$C82*INDEX(Curves!$BG$8:$BG$68,AA$4-$B82+1)</f>
        <v/>
      </c>
      <c r="AB82" s="153">
        <f>$C82*INDEX(Curves!$BG$8:$BG$68,AB$4-$B82+1)</f>
        <v/>
      </c>
      <c r="AC82" s="153">
        <f>$C82*INDEX(Curves!$BG$8:$BG$68,AC$4-$B82+1)</f>
        <v/>
      </c>
      <c r="AD82" s="153">
        <f>$C82*INDEX(Curves!$BG$8:$BG$68,AD$4-$B82+1)</f>
        <v/>
      </c>
      <c r="AE82" s="153">
        <f>$C82*INDEX(Curves!$BG$8:$BG$68,AE$4-$B82+1)</f>
        <v/>
      </c>
      <c r="AF82" s="153">
        <f>$C82*INDEX(Curves!$BG$8:$BG$68,AF$4-$B82+1)</f>
        <v/>
      </c>
      <c r="AG82" s="153">
        <f>$C82*INDEX(Curves!$BG$8:$BG$68,AG$4-$B82+1)</f>
        <v/>
      </c>
      <c r="AH82" s="153">
        <f>$C82*INDEX(Curves!$BG$8:$BG$68,AH$4-$B82+1)</f>
        <v/>
      </c>
      <c r="AI82" s="153">
        <f>$C82*INDEX(Curves!$BG$8:$BG$68,AI$4-$B82+1)</f>
        <v/>
      </c>
      <c r="AJ82" s="153">
        <f>$C82*INDEX(Curves!$BG$8:$BG$68,AJ$4-$B82+1)</f>
        <v/>
      </c>
      <c r="AK82" s="153">
        <f>$C82*INDEX(Curves!$BG$8:$BG$68,AK$4-$B82+1)</f>
        <v/>
      </c>
      <c r="AL82" s="153">
        <f>$C82*INDEX(Curves!$BG$8:$BG$68,AL$4-$B82+1)</f>
        <v/>
      </c>
      <c r="AM82" s="153">
        <f>$C82*INDEX(Curves!$BG$8:$BG$68,AM$4-$B82+1)</f>
        <v/>
      </c>
      <c r="AN82" s="153">
        <f>$C82*INDEX(Curves!$BG$8:$BG$68,AN$4-$B82+1)</f>
        <v/>
      </c>
      <c r="AO82" s="153">
        <f>$C82*INDEX(Curves!$BG$8:$BG$68,AO$4-$B82+1)</f>
        <v/>
      </c>
      <c r="AP82" s="153">
        <f>$C82*INDEX(Curves!$BG$8:$BG$68,AP$4-$B82+1)</f>
        <v/>
      </c>
      <c r="AQ82" s="153">
        <f>$C82*INDEX(Curves!$BG$8:$BG$68,AQ$4-$B82+1)</f>
        <v/>
      </c>
      <c r="AR82" s="153">
        <f>$C82*INDEX(Curves!$BG$8:$BG$68,AR$4-$B82+1)</f>
        <v/>
      </c>
      <c r="AS82" s="153">
        <f>$C82*INDEX(Curves!$BG$8:$BG$68,AS$4-$B82+1)</f>
        <v/>
      </c>
      <c r="AT82" s="153">
        <f>$C82*INDEX(Curves!$BG$8:$BG$68,AT$4-$B82+1)</f>
        <v/>
      </c>
      <c r="AU82" s="153">
        <f>$C82*INDEX(Curves!$BG$8:$BG$68,AU$4-$B82+1)</f>
        <v/>
      </c>
      <c r="AV82" s="153">
        <f>$C82*INDEX(Curves!$BG$8:$BG$68,AV$4-$B82+1)</f>
        <v/>
      </c>
      <c r="AW82" s="153">
        <f>$C82*INDEX(Curves!$BG$8:$BG$68,AW$4-$B82+1)</f>
        <v/>
      </c>
      <c r="AX82" s="153">
        <f>$C82*INDEX(Curves!$BG$8:$BG$68,AX$4-$B82+1)</f>
        <v/>
      </c>
      <c r="AY82" s="153">
        <f>$C82*INDEX(Curves!$BG$8:$BG$68,AY$4-$B82+1)</f>
        <v/>
      </c>
      <c r="AZ82" s="153">
        <f>$C82*INDEX(Curves!$BG$8:$BG$68,AZ$4-$B82+1)</f>
        <v/>
      </c>
      <c r="BA82" s="153">
        <f>$C82*INDEX(Curves!$BG$8:$BG$68,BA$4-$B82+1)</f>
        <v/>
      </c>
      <c r="BB82" s="153">
        <f>$C82*INDEX(Curves!$BG$8:$BG$68,BB$4-$B82+1)</f>
        <v/>
      </c>
      <c r="BC82" s="153">
        <f>$C82*INDEX(Curves!$BG$8:$BG$68,BC$4-$B82+1)</f>
        <v/>
      </c>
      <c r="BD82" s="153">
        <f>$C82*INDEX(Curves!$BG$8:$BG$68,BD$4-$B82+1)</f>
        <v/>
      </c>
      <c r="BE82" s="153">
        <f>$C82*INDEX(Curves!$BG$8:$BG$68,BE$4-$B82+1)</f>
        <v/>
      </c>
      <c r="BF82" s="153">
        <f>$C82*INDEX(Curves!$BG$8:$BG$68,BF$4-$B82+1)</f>
        <v/>
      </c>
      <c r="BG82" s="153">
        <f>$C82*INDEX(Curves!$BG$8:$BG$68,BG$4-$B82+1)</f>
        <v/>
      </c>
      <c r="BH82" s="153">
        <f>$C82*INDEX(Curves!$BG$8:$BG$68,BH$4-$B82+1)</f>
        <v/>
      </c>
      <c r="BI82" s="153">
        <f>$C82*INDEX(Curves!$BG$8:$BG$68,BI$4-$B82+1)</f>
        <v/>
      </c>
      <c r="BJ82" s="153">
        <f>$C82*INDEX(Curves!$BG$8:$BG$68,BJ$4-$B82+1)</f>
        <v/>
      </c>
      <c r="BK82" s="153">
        <f>$C82*INDEX(Curves!$BG$8:$BG$68,BK$4-$B82+1)</f>
        <v/>
      </c>
      <c r="BL82" s="153">
        <f>$C82*INDEX(Curves!$BG$8:$BG$68,BL$4-$B82+1)</f>
        <v/>
      </c>
    </row>
    <row r="83">
      <c r="A83" s="147" t="inlineStr">
        <is>
          <t>Cohort month 11</t>
        </is>
      </c>
      <c r="B83" s="147" t="n">
        <v>11</v>
      </c>
      <c r="C83" s="41">
        <f>INDEX(Ops!$E$109:$BL$109,1,$B83)</f>
        <v/>
      </c>
      <c r="P83" s="153">
        <f>$C83*INDEX(Curves!$BG$8:$BG$68,P$4-$B83+1)</f>
        <v/>
      </c>
      <c r="Q83" s="153">
        <f>$C83*INDEX(Curves!$BG$8:$BG$68,Q$4-$B83+1)</f>
        <v/>
      </c>
      <c r="R83" s="153">
        <f>$C83*INDEX(Curves!$BG$8:$BG$68,R$4-$B83+1)</f>
        <v/>
      </c>
      <c r="S83" s="153">
        <f>$C83*INDEX(Curves!$BG$8:$BG$68,S$4-$B83+1)</f>
        <v/>
      </c>
      <c r="T83" s="153">
        <f>$C83*INDEX(Curves!$BG$8:$BG$68,T$4-$B83+1)</f>
        <v/>
      </c>
      <c r="U83" s="153">
        <f>$C83*INDEX(Curves!$BG$8:$BG$68,U$4-$B83+1)</f>
        <v/>
      </c>
      <c r="V83" s="153">
        <f>$C83*INDEX(Curves!$BG$8:$BG$68,V$4-$B83+1)</f>
        <v/>
      </c>
      <c r="W83" s="153">
        <f>$C83*INDEX(Curves!$BG$8:$BG$68,W$4-$B83+1)</f>
        <v/>
      </c>
      <c r="X83" s="153">
        <f>$C83*INDEX(Curves!$BG$8:$BG$68,X$4-$B83+1)</f>
        <v/>
      </c>
      <c r="Y83" s="153">
        <f>$C83*INDEX(Curves!$BG$8:$BG$68,Y$4-$B83+1)</f>
        <v/>
      </c>
      <c r="Z83" s="153">
        <f>$C83*INDEX(Curves!$BG$8:$BG$68,Z$4-$B83+1)</f>
        <v/>
      </c>
      <c r="AA83" s="153">
        <f>$C83*INDEX(Curves!$BG$8:$BG$68,AA$4-$B83+1)</f>
        <v/>
      </c>
      <c r="AB83" s="153">
        <f>$C83*INDEX(Curves!$BG$8:$BG$68,AB$4-$B83+1)</f>
        <v/>
      </c>
      <c r="AC83" s="153">
        <f>$C83*INDEX(Curves!$BG$8:$BG$68,AC$4-$B83+1)</f>
        <v/>
      </c>
      <c r="AD83" s="153">
        <f>$C83*INDEX(Curves!$BG$8:$BG$68,AD$4-$B83+1)</f>
        <v/>
      </c>
      <c r="AE83" s="153">
        <f>$C83*INDEX(Curves!$BG$8:$BG$68,AE$4-$B83+1)</f>
        <v/>
      </c>
      <c r="AF83" s="153">
        <f>$C83*INDEX(Curves!$BG$8:$BG$68,AF$4-$B83+1)</f>
        <v/>
      </c>
      <c r="AG83" s="153">
        <f>$C83*INDEX(Curves!$BG$8:$BG$68,AG$4-$B83+1)</f>
        <v/>
      </c>
      <c r="AH83" s="153">
        <f>$C83*INDEX(Curves!$BG$8:$BG$68,AH$4-$B83+1)</f>
        <v/>
      </c>
      <c r="AI83" s="153">
        <f>$C83*INDEX(Curves!$BG$8:$BG$68,AI$4-$B83+1)</f>
        <v/>
      </c>
      <c r="AJ83" s="153">
        <f>$C83*INDEX(Curves!$BG$8:$BG$68,AJ$4-$B83+1)</f>
        <v/>
      </c>
      <c r="AK83" s="153">
        <f>$C83*INDEX(Curves!$BG$8:$BG$68,AK$4-$B83+1)</f>
        <v/>
      </c>
      <c r="AL83" s="153">
        <f>$C83*INDEX(Curves!$BG$8:$BG$68,AL$4-$B83+1)</f>
        <v/>
      </c>
      <c r="AM83" s="153">
        <f>$C83*INDEX(Curves!$BG$8:$BG$68,AM$4-$B83+1)</f>
        <v/>
      </c>
      <c r="AN83" s="153">
        <f>$C83*INDEX(Curves!$BG$8:$BG$68,AN$4-$B83+1)</f>
        <v/>
      </c>
      <c r="AO83" s="153">
        <f>$C83*INDEX(Curves!$BG$8:$BG$68,AO$4-$B83+1)</f>
        <v/>
      </c>
      <c r="AP83" s="153">
        <f>$C83*INDEX(Curves!$BG$8:$BG$68,AP$4-$B83+1)</f>
        <v/>
      </c>
      <c r="AQ83" s="153">
        <f>$C83*INDEX(Curves!$BG$8:$BG$68,AQ$4-$B83+1)</f>
        <v/>
      </c>
      <c r="AR83" s="153">
        <f>$C83*INDEX(Curves!$BG$8:$BG$68,AR$4-$B83+1)</f>
        <v/>
      </c>
      <c r="AS83" s="153">
        <f>$C83*INDEX(Curves!$BG$8:$BG$68,AS$4-$B83+1)</f>
        <v/>
      </c>
      <c r="AT83" s="153">
        <f>$C83*INDEX(Curves!$BG$8:$BG$68,AT$4-$B83+1)</f>
        <v/>
      </c>
      <c r="AU83" s="153">
        <f>$C83*INDEX(Curves!$BG$8:$BG$68,AU$4-$B83+1)</f>
        <v/>
      </c>
      <c r="AV83" s="153">
        <f>$C83*INDEX(Curves!$BG$8:$BG$68,AV$4-$B83+1)</f>
        <v/>
      </c>
      <c r="AW83" s="153">
        <f>$C83*INDEX(Curves!$BG$8:$BG$68,AW$4-$B83+1)</f>
        <v/>
      </c>
      <c r="AX83" s="153">
        <f>$C83*INDEX(Curves!$BG$8:$BG$68,AX$4-$B83+1)</f>
        <v/>
      </c>
      <c r="AY83" s="153">
        <f>$C83*INDEX(Curves!$BG$8:$BG$68,AY$4-$B83+1)</f>
        <v/>
      </c>
      <c r="AZ83" s="153">
        <f>$C83*INDEX(Curves!$BG$8:$BG$68,AZ$4-$B83+1)</f>
        <v/>
      </c>
      <c r="BA83" s="153">
        <f>$C83*INDEX(Curves!$BG$8:$BG$68,BA$4-$B83+1)</f>
        <v/>
      </c>
      <c r="BB83" s="153">
        <f>$C83*INDEX(Curves!$BG$8:$BG$68,BB$4-$B83+1)</f>
        <v/>
      </c>
      <c r="BC83" s="153">
        <f>$C83*INDEX(Curves!$BG$8:$BG$68,BC$4-$B83+1)</f>
        <v/>
      </c>
      <c r="BD83" s="153">
        <f>$C83*INDEX(Curves!$BG$8:$BG$68,BD$4-$B83+1)</f>
        <v/>
      </c>
      <c r="BE83" s="153">
        <f>$C83*INDEX(Curves!$BG$8:$BG$68,BE$4-$B83+1)</f>
        <v/>
      </c>
      <c r="BF83" s="153">
        <f>$C83*INDEX(Curves!$BG$8:$BG$68,BF$4-$B83+1)</f>
        <v/>
      </c>
      <c r="BG83" s="153">
        <f>$C83*INDEX(Curves!$BG$8:$BG$68,BG$4-$B83+1)</f>
        <v/>
      </c>
      <c r="BH83" s="153">
        <f>$C83*INDEX(Curves!$BG$8:$BG$68,BH$4-$B83+1)</f>
        <v/>
      </c>
      <c r="BI83" s="153">
        <f>$C83*INDEX(Curves!$BG$8:$BG$68,BI$4-$B83+1)</f>
        <v/>
      </c>
      <c r="BJ83" s="153">
        <f>$C83*INDEX(Curves!$BG$8:$BG$68,BJ$4-$B83+1)</f>
        <v/>
      </c>
      <c r="BK83" s="153">
        <f>$C83*INDEX(Curves!$BG$8:$BG$68,BK$4-$B83+1)</f>
        <v/>
      </c>
      <c r="BL83" s="153">
        <f>$C83*INDEX(Curves!$BG$8:$BG$68,BL$4-$B83+1)</f>
        <v/>
      </c>
    </row>
    <row r="84">
      <c r="A84" s="147" t="inlineStr">
        <is>
          <t>Cohort month 12</t>
        </is>
      </c>
      <c r="B84" s="147" t="n">
        <v>12</v>
      </c>
      <c r="C84" s="41">
        <f>INDEX(Ops!$E$109:$BL$109,1,$B84)</f>
        <v/>
      </c>
      <c r="Q84" s="153">
        <f>$C84*INDEX(Curves!$BG$8:$BG$68,Q$4-$B84+1)</f>
        <v/>
      </c>
      <c r="R84" s="153">
        <f>$C84*INDEX(Curves!$BG$8:$BG$68,R$4-$B84+1)</f>
        <v/>
      </c>
      <c r="S84" s="153">
        <f>$C84*INDEX(Curves!$BG$8:$BG$68,S$4-$B84+1)</f>
        <v/>
      </c>
      <c r="T84" s="153">
        <f>$C84*INDEX(Curves!$BG$8:$BG$68,T$4-$B84+1)</f>
        <v/>
      </c>
      <c r="U84" s="153">
        <f>$C84*INDEX(Curves!$BG$8:$BG$68,U$4-$B84+1)</f>
        <v/>
      </c>
      <c r="V84" s="153">
        <f>$C84*INDEX(Curves!$BG$8:$BG$68,V$4-$B84+1)</f>
        <v/>
      </c>
      <c r="W84" s="153">
        <f>$C84*INDEX(Curves!$BG$8:$BG$68,W$4-$B84+1)</f>
        <v/>
      </c>
      <c r="X84" s="153">
        <f>$C84*INDEX(Curves!$BG$8:$BG$68,X$4-$B84+1)</f>
        <v/>
      </c>
      <c r="Y84" s="153">
        <f>$C84*INDEX(Curves!$BG$8:$BG$68,Y$4-$B84+1)</f>
        <v/>
      </c>
      <c r="Z84" s="153">
        <f>$C84*INDEX(Curves!$BG$8:$BG$68,Z$4-$B84+1)</f>
        <v/>
      </c>
      <c r="AA84" s="153">
        <f>$C84*INDEX(Curves!$BG$8:$BG$68,AA$4-$B84+1)</f>
        <v/>
      </c>
      <c r="AB84" s="153">
        <f>$C84*INDEX(Curves!$BG$8:$BG$68,AB$4-$B84+1)</f>
        <v/>
      </c>
      <c r="AC84" s="153">
        <f>$C84*INDEX(Curves!$BG$8:$BG$68,AC$4-$B84+1)</f>
        <v/>
      </c>
      <c r="AD84" s="153">
        <f>$C84*INDEX(Curves!$BG$8:$BG$68,AD$4-$B84+1)</f>
        <v/>
      </c>
      <c r="AE84" s="153">
        <f>$C84*INDEX(Curves!$BG$8:$BG$68,AE$4-$B84+1)</f>
        <v/>
      </c>
      <c r="AF84" s="153">
        <f>$C84*INDEX(Curves!$BG$8:$BG$68,AF$4-$B84+1)</f>
        <v/>
      </c>
      <c r="AG84" s="153">
        <f>$C84*INDEX(Curves!$BG$8:$BG$68,AG$4-$B84+1)</f>
        <v/>
      </c>
      <c r="AH84" s="153">
        <f>$C84*INDEX(Curves!$BG$8:$BG$68,AH$4-$B84+1)</f>
        <v/>
      </c>
      <c r="AI84" s="153">
        <f>$C84*INDEX(Curves!$BG$8:$BG$68,AI$4-$B84+1)</f>
        <v/>
      </c>
      <c r="AJ84" s="153">
        <f>$C84*INDEX(Curves!$BG$8:$BG$68,AJ$4-$B84+1)</f>
        <v/>
      </c>
      <c r="AK84" s="153">
        <f>$C84*INDEX(Curves!$BG$8:$BG$68,AK$4-$B84+1)</f>
        <v/>
      </c>
      <c r="AL84" s="153">
        <f>$C84*INDEX(Curves!$BG$8:$BG$68,AL$4-$B84+1)</f>
        <v/>
      </c>
      <c r="AM84" s="153">
        <f>$C84*INDEX(Curves!$BG$8:$BG$68,AM$4-$B84+1)</f>
        <v/>
      </c>
      <c r="AN84" s="153">
        <f>$C84*INDEX(Curves!$BG$8:$BG$68,AN$4-$B84+1)</f>
        <v/>
      </c>
      <c r="AO84" s="153">
        <f>$C84*INDEX(Curves!$BG$8:$BG$68,AO$4-$B84+1)</f>
        <v/>
      </c>
      <c r="AP84" s="153">
        <f>$C84*INDEX(Curves!$BG$8:$BG$68,AP$4-$B84+1)</f>
        <v/>
      </c>
      <c r="AQ84" s="153">
        <f>$C84*INDEX(Curves!$BG$8:$BG$68,AQ$4-$B84+1)</f>
        <v/>
      </c>
      <c r="AR84" s="153">
        <f>$C84*INDEX(Curves!$BG$8:$BG$68,AR$4-$B84+1)</f>
        <v/>
      </c>
      <c r="AS84" s="153">
        <f>$C84*INDEX(Curves!$BG$8:$BG$68,AS$4-$B84+1)</f>
        <v/>
      </c>
      <c r="AT84" s="153">
        <f>$C84*INDEX(Curves!$BG$8:$BG$68,AT$4-$B84+1)</f>
        <v/>
      </c>
      <c r="AU84" s="153">
        <f>$C84*INDEX(Curves!$BG$8:$BG$68,AU$4-$B84+1)</f>
        <v/>
      </c>
      <c r="AV84" s="153">
        <f>$C84*INDEX(Curves!$BG$8:$BG$68,AV$4-$B84+1)</f>
        <v/>
      </c>
      <c r="AW84" s="153">
        <f>$C84*INDEX(Curves!$BG$8:$BG$68,AW$4-$B84+1)</f>
        <v/>
      </c>
      <c r="AX84" s="153">
        <f>$C84*INDEX(Curves!$BG$8:$BG$68,AX$4-$B84+1)</f>
        <v/>
      </c>
      <c r="AY84" s="153">
        <f>$C84*INDEX(Curves!$BG$8:$BG$68,AY$4-$B84+1)</f>
        <v/>
      </c>
      <c r="AZ84" s="153">
        <f>$C84*INDEX(Curves!$BG$8:$BG$68,AZ$4-$B84+1)</f>
        <v/>
      </c>
      <c r="BA84" s="153">
        <f>$C84*INDEX(Curves!$BG$8:$BG$68,BA$4-$B84+1)</f>
        <v/>
      </c>
      <c r="BB84" s="153">
        <f>$C84*INDEX(Curves!$BG$8:$BG$68,BB$4-$B84+1)</f>
        <v/>
      </c>
      <c r="BC84" s="153">
        <f>$C84*INDEX(Curves!$BG$8:$BG$68,BC$4-$B84+1)</f>
        <v/>
      </c>
      <c r="BD84" s="153">
        <f>$C84*INDEX(Curves!$BG$8:$BG$68,BD$4-$B84+1)</f>
        <v/>
      </c>
      <c r="BE84" s="153">
        <f>$C84*INDEX(Curves!$BG$8:$BG$68,BE$4-$B84+1)</f>
        <v/>
      </c>
      <c r="BF84" s="153">
        <f>$C84*INDEX(Curves!$BG$8:$BG$68,BF$4-$B84+1)</f>
        <v/>
      </c>
      <c r="BG84" s="153">
        <f>$C84*INDEX(Curves!$BG$8:$BG$68,BG$4-$B84+1)</f>
        <v/>
      </c>
      <c r="BH84" s="153">
        <f>$C84*INDEX(Curves!$BG$8:$BG$68,BH$4-$B84+1)</f>
        <v/>
      </c>
      <c r="BI84" s="153">
        <f>$C84*INDEX(Curves!$BG$8:$BG$68,BI$4-$B84+1)</f>
        <v/>
      </c>
      <c r="BJ84" s="153">
        <f>$C84*INDEX(Curves!$BG$8:$BG$68,BJ$4-$B84+1)</f>
        <v/>
      </c>
      <c r="BK84" s="153">
        <f>$C84*INDEX(Curves!$BG$8:$BG$68,BK$4-$B84+1)</f>
        <v/>
      </c>
      <c r="BL84" s="153">
        <f>$C84*INDEX(Curves!$BG$8:$BG$68,BL$4-$B84+1)</f>
        <v/>
      </c>
    </row>
    <row r="85">
      <c r="A85" s="147" t="inlineStr">
        <is>
          <t>Cohort month 13</t>
        </is>
      </c>
      <c r="B85" s="147" t="n">
        <v>13</v>
      </c>
      <c r="C85" s="41">
        <f>INDEX(Ops!$E$109:$BL$109,1,$B85)</f>
        <v/>
      </c>
      <c r="R85" s="153">
        <f>$C85*INDEX(Curves!$BG$8:$BG$68,R$4-$B85+1)</f>
        <v/>
      </c>
      <c r="S85" s="153">
        <f>$C85*INDEX(Curves!$BG$8:$BG$68,S$4-$B85+1)</f>
        <v/>
      </c>
      <c r="T85" s="153">
        <f>$C85*INDEX(Curves!$BG$8:$BG$68,T$4-$B85+1)</f>
        <v/>
      </c>
      <c r="U85" s="153">
        <f>$C85*INDEX(Curves!$BG$8:$BG$68,U$4-$B85+1)</f>
        <v/>
      </c>
      <c r="V85" s="153">
        <f>$C85*INDEX(Curves!$BG$8:$BG$68,V$4-$B85+1)</f>
        <v/>
      </c>
      <c r="W85" s="153">
        <f>$C85*INDEX(Curves!$BG$8:$BG$68,W$4-$B85+1)</f>
        <v/>
      </c>
      <c r="X85" s="153">
        <f>$C85*INDEX(Curves!$BG$8:$BG$68,X$4-$B85+1)</f>
        <v/>
      </c>
      <c r="Y85" s="153">
        <f>$C85*INDEX(Curves!$BG$8:$BG$68,Y$4-$B85+1)</f>
        <v/>
      </c>
      <c r="Z85" s="153">
        <f>$C85*INDEX(Curves!$BG$8:$BG$68,Z$4-$B85+1)</f>
        <v/>
      </c>
      <c r="AA85" s="153">
        <f>$C85*INDEX(Curves!$BG$8:$BG$68,AA$4-$B85+1)</f>
        <v/>
      </c>
      <c r="AB85" s="153">
        <f>$C85*INDEX(Curves!$BG$8:$BG$68,AB$4-$B85+1)</f>
        <v/>
      </c>
      <c r="AC85" s="153">
        <f>$C85*INDEX(Curves!$BG$8:$BG$68,AC$4-$B85+1)</f>
        <v/>
      </c>
      <c r="AD85" s="153">
        <f>$C85*INDEX(Curves!$BG$8:$BG$68,AD$4-$B85+1)</f>
        <v/>
      </c>
      <c r="AE85" s="153">
        <f>$C85*INDEX(Curves!$BG$8:$BG$68,AE$4-$B85+1)</f>
        <v/>
      </c>
      <c r="AF85" s="153">
        <f>$C85*INDEX(Curves!$BG$8:$BG$68,AF$4-$B85+1)</f>
        <v/>
      </c>
      <c r="AG85" s="153">
        <f>$C85*INDEX(Curves!$BG$8:$BG$68,AG$4-$B85+1)</f>
        <v/>
      </c>
      <c r="AH85" s="153">
        <f>$C85*INDEX(Curves!$BG$8:$BG$68,AH$4-$B85+1)</f>
        <v/>
      </c>
      <c r="AI85" s="153">
        <f>$C85*INDEX(Curves!$BG$8:$BG$68,AI$4-$B85+1)</f>
        <v/>
      </c>
      <c r="AJ85" s="153">
        <f>$C85*INDEX(Curves!$BG$8:$BG$68,AJ$4-$B85+1)</f>
        <v/>
      </c>
      <c r="AK85" s="153">
        <f>$C85*INDEX(Curves!$BG$8:$BG$68,AK$4-$B85+1)</f>
        <v/>
      </c>
      <c r="AL85" s="153">
        <f>$C85*INDEX(Curves!$BG$8:$BG$68,AL$4-$B85+1)</f>
        <v/>
      </c>
      <c r="AM85" s="153">
        <f>$C85*INDEX(Curves!$BG$8:$BG$68,AM$4-$B85+1)</f>
        <v/>
      </c>
      <c r="AN85" s="153">
        <f>$C85*INDEX(Curves!$BG$8:$BG$68,AN$4-$B85+1)</f>
        <v/>
      </c>
      <c r="AO85" s="153">
        <f>$C85*INDEX(Curves!$BG$8:$BG$68,AO$4-$B85+1)</f>
        <v/>
      </c>
      <c r="AP85" s="153">
        <f>$C85*INDEX(Curves!$BG$8:$BG$68,AP$4-$B85+1)</f>
        <v/>
      </c>
      <c r="AQ85" s="153">
        <f>$C85*INDEX(Curves!$BG$8:$BG$68,AQ$4-$B85+1)</f>
        <v/>
      </c>
      <c r="AR85" s="153">
        <f>$C85*INDEX(Curves!$BG$8:$BG$68,AR$4-$B85+1)</f>
        <v/>
      </c>
      <c r="AS85" s="153">
        <f>$C85*INDEX(Curves!$BG$8:$BG$68,AS$4-$B85+1)</f>
        <v/>
      </c>
      <c r="AT85" s="153">
        <f>$C85*INDEX(Curves!$BG$8:$BG$68,AT$4-$B85+1)</f>
        <v/>
      </c>
      <c r="AU85" s="153">
        <f>$C85*INDEX(Curves!$BG$8:$BG$68,AU$4-$B85+1)</f>
        <v/>
      </c>
      <c r="AV85" s="153">
        <f>$C85*INDEX(Curves!$BG$8:$BG$68,AV$4-$B85+1)</f>
        <v/>
      </c>
      <c r="AW85" s="153">
        <f>$C85*INDEX(Curves!$BG$8:$BG$68,AW$4-$B85+1)</f>
        <v/>
      </c>
      <c r="AX85" s="153">
        <f>$C85*INDEX(Curves!$BG$8:$BG$68,AX$4-$B85+1)</f>
        <v/>
      </c>
      <c r="AY85" s="153">
        <f>$C85*INDEX(Curves!$BG$8:$BG$68,AY$4-$B85+1)</f>
        <v/>
      </c>
      <c r="AZ85" s="153">
        <f>$C85*INDEX(Curves!$BG$8:$BG$68,AZ$4-$B85+1)</f>
        <v/>
      </c>
      <c r="BA85" s="153">
        <f>$C85*INDEX(Curves!$BG$8:$BG$68,BA$4-$B85+1)</f>
        <v/>
      </c>
      <c r="BB85" s="153">
        <f>$C85*INDEX(Curves!$BG$8:$BG$68,BB$4-$B85+1)</f>
        <v/>
      </c>
      <c r="BC85" s="153">
        <f>$C85*INDEX(Curves!$BG$8:$BG$68,BC$4-$B85+1)</f>
        <v/>
      </c>
      <c r="BD85" s="153">
        <f>$C85*INDEX(Curves!$BG$8:$BG$68,BD$4-$B85+1)</f>
        <v/>
      </c>
      <c r="BE85" s="153">
        <f>$C85*INDEX(Curves!$BG$8:$BG$68,BE$4-$B85+1)</f>
        <v/>
      </c>
      <c r="BF85" s="153">
        <f>$C85*INDEX(Curves!$BG$8:$BG$68,BF$4-$B85+1)</f>
        <v/>
      </c>
      <c r="BG85" s="153">
        <f>$C85*INDEX(Curves!$BG$8:$BG$68,BG$4-$B85+1)</f>
        <v/>
      </c>
      <c r="BH85" s="153">
        <f>$C85*INDEX(Curves!$BG$8:$BG$68,BH$4-$B85+1)</f>
        <v/>
      </c>
      <c r="BI85" s="153">
        <f>$C85*INDEX(Curves!$BG$8:$BG$68,BI$4-$B85+1)</f>
        <v/>
      </c>
      <c r="BJ85" s="153">
        <f>$C85*INDEX(Curves!$BG$8:$BG$68,BJ$4-$B85+1)</f>
        <v/>
      </c>
      <c r="BK85" s="153">
        <f>$C85*INDEX(Curves!$BG$8:$BG$68,BK$4-$B85+1)</f>
        <v/>
      </c>
      <c r="BL85" s="153">
        <f>$C85*INDEX(Curves!$BG$8:$BG$68,BL$4-$B85+1)</f>
        <v/>
      </c>
    </row>
    <row r="86">
      <c r="A86" s="147" t="inlineStr">
        <is>
          <t>Cohort month 14</t>
        </is>
      </c>
      <c r="B86" s="147" t="n">
        <v>14</v>
      </c>
      <c r="C86" s="41">
        <f>INDEX(Ops!$E$109:$BL$109,1,$B86)</f>
        <v/>
      </c>
      <c r="S86" s="153">
        <f>$C86*INDEX(Curves!$BG$8:$BG$68,S$4-$B86+1)</f>
        <v/>
      </c>
      <c r="T86" s="153">
        <f>$C86*INDEX(Curves!$BG$8:$BG$68,T$4-$B86+1)</f>
        <v/>
      </c>
      <c r="U86" s="153">
        <f>$C86*INDEX(Curves!$BG$8:$BG$68,U$4-$B86+1)</f>
        <v/>
      </c>
      <c r="V86" s="153">
        <f>$C86*INDEX(Curves!$BG$8:$BG$68,V$4-$B86+1)</f>
        <v/>
      </c>
      <c r="W86" s="153">
        <f>$C86*INDEX(Curves!$BG$8:$BG$68,W$4-$B86+1)</f>
        <v/>
      </c>
      <c r="X86" s="153">
        <f>$C86*INDEX(Curves!$BG$8:$BG$68,X$4-$B86+1)</f>
        <v/>
      </c>
      <c r="Y86" s="153">
        <f>$C86*INDEX(Curves!$BG$8:$BG$68,Y$4-$B86+1)</f>
        <v/>
      </c>
      <c r="Z86" s="153">
        <f>$C86*INDEX(Curves!$BG$8:$BG$68,Z$4-$B86+1)</f>
        <v/>
      </c>
      <c r="AA86" s="153">
        <f>$C86*INDEX(Curves!$BG$8:$BG$68,AA$4-$B86+1)</f>
        <v/>
      </c>
      <c r="AB86" s="153">
        <f>$C86*INDEX(Curves!$BG$8:$BG$68,AB$4-$B86+1)</f>
        <v/>
      </c>
      <c r="AC86" s="153">
        <f>$C86*INDEX(Curves!$BG$8:$BG$68,AC$4-$B86+1)</f>
        <v/>
      </c>
      <c r="AD86" s="153">
        <f>$C86*INDEX(Curves!$BG$8:$BG$68,AD$4-$B86+1)</f>
        <v/>
      </c>
      <c r="AE86" s="153">
        <f>$C86*INDEX(Curves!$BG$8:$BG$68,AE$4-$B86+1)</f>
        <v/>
      </c>
      <c r="AF86" s="153">
        <f>$C86*INDEX(Curves!$BG$8:$BG$68,AF$4-$B86+1)</f>
        <v/>
      </c>
      <c r="AG86" s="153">
        <f>$C86*INDEX(Curves!$BG$8:$BG$68,AG$4-$B86+1)</f>
        <v/>
      </c>
      <c r="AH86" s="153">
        <f>$C86*INDEX(Curves!$BG$8:$BG$68,AH$4-$B86+1)</f>
        <v/>
      </c>
      <c r="AI86" s="153">
        <f>$C86*INDEX(Curves!$BG$8:$BG$68,AI$4-$B86+1)</f>
        <v/>
      </c>
      <c r="AJ86" s="153">
        <f>$C86*INDEX(Curves!$BG$8:$BG$68,AJ$4-$B86+1)</f>
        <v/>
      </c>
      <c r="AK86" s="153">
        <f>$C86*INDEX(Curves!$BG$8:$BG$68,AK$4-$B86+1)</f>
        <v/>
      </c>
      <c r="AL86" s="153">
        <f>$C86*INDEX(Curves!$BG$8:$BG$68,AL$4-$B86+1)</f>
        <v/>
      </c>
      <c r="AM86" s="153">
        <f>$C86*INDEX(Curves!$BG$8:$BG$68,AM$4-$B86+1)</f>
        <v/>
      </c>
      <c r="AN86" s="153">
        <f>$C86*INDEX(Curves!$BG$8:$BG$68,AN$4-$B86+1)</f>
        <v/>
      </c>
      <c r="AO86" s="153">
        <f>$C86*INDEX(Curves!$BG$8:$BG$68,AO$4-$B86+1)</f>
        <v/>
      </c>
      <c r="AP86" s="153">
        <f>$C86*INDEX(Curves!$BG$8:$BG$68,AP$4-$B86+1)</f>
        <v/>
      </c>
      <c r="AQ86" s="153">
        <f>$C86*INDEX(Curves!$BG$8:$BG$68,AQ$4-$B86+1)</f>
        <v/>
      </c>
      <c r="AR86" s="153">
        <f>$C86*INDEX(Curves!$BG$8:$BG$68,AR$4-$B86+1)</f>
        <v/>
      </c>
      <c r="AS86" s="153">
        <f>$C86*INDEX(Curves!$BG$8:$BG$68,AS$4-$B86+1)</f>
        <v/>
      </c>
      <c r="AT86" s="153">
        <f>$C86*INDEX(Curves!$BG$8:$BG$68,AT$4-$B86+1)</f>
        <v/>
      </c>
      <c r="AU86" s="153">
        <f>$C86*INDEX(Curves!$BG$8:$BG$68,AU$4-$B86+1)</f>
        <v/>
      </c>
      <c r="AV86" s="153">
        <f>$C86*INDEX(Curves!$BG$8:$BG$68,AV$4-$B86+1)</f>
        <v/>
      </c>
      <c r="AW86" s="153">
        <f>$C86*INDEX(Curves!$BG$8:$BG$68,AW$4-$B86+1)</f>
        <v/>
      </c>
      <c r="AX86" s="153">
        <f>$C86*INDEX(Curves!$BG$8:$BG$68,AX$4-$B86+1)</f>
        <v/>
      </c>
      <c r="AY86" s="153">
        <f>$C86*INDEX(Curves!$BG$8:$BG$68,AY$4-$B86+1)</f>
        <v/>
      </c>
      <c r="AZ86" s="153">
        <f>$C86*INDEX(Curves!$BG$8:$BG$68,AZ$4-$B86+1)</f>
        <v/>
      </c>
      <c r="BA86" s="153">
        <f>$C86*INDEX(Curves!$BG$8:$BG$68,BA$4-$B86+1)</f>
        <v/>
      </c>
      <c r="BB86" s="153">
        <f>$C86*INDEX(Curves!$BG$8:$BG$68,BB$4-$B86+1)</f>
        <v/>
      </c>
      <c r="BC86" s="153">
        <f>$C86*INDEX(Curves!$BG$8:$BG$68,BC$4-$B86+1)</f>
        <v/>
      </c>
      <c r="BD86" s="153">
        <f>$C86*INDEX(Curves!$BG$8:$BG$68,BD$4-$B86+1)</f>
        <v/>
      </c>
      <c r="BE86" s="153">
        <f>$C86*INDEX(Curves!$BG$8:$BG$68,BE$4-$B86+1)</f>
        <v/>
      </c>
      <c r="BF86" s="153">
        <f>$C86*INDEX(Curves!$BG$8:$BG$68,BF$4-$B86+1)</f>
        <v/>
      </c>
      <c r="BG86" s="153">
        <f>$C86*INDEX(Curves!$BG$8:$BG$68,BG$4-$B86+1)</f>
        <v/>
      </c>
      <c r="BH86" s="153">
        <f>$C86*INDEX(Curves!$BG$8:$BG$68,BH$4-$B86+1)</f>
        <v/>
      </c>
      <c r="BI86" s="153">
        <f>$C86*INDEX(Curves!$BG$8:$BG$68,BI$4-$B86+1)</f>
        <v/>
      </c>
      <c r="BJ86" s="153">
        <f>$C86*INDEX(Curves!$BG$8:$BG$68,BJ$4-$B86+1)</f>
        <v/>
      </c>
      <c r="BK86" s="153">
        <f>$C86*INDEX(Curves!$BG$8:$BG$68,BK$4-$B86+1)</f>
        <v/>
      </c>
      <c r="BL86" s="153">
        <f>$C86*INDEX(Curves!$BG$8:$BG$68,BL$4-$B86+1)</f>
        <v/>
      </c>
    </row>
    <row r="87">
      <c r="A87" s="147" t="inlineStr">
        <is>
          <t>Cohort month 15</t>
        </is>
      </c>
      <c r="B87" s="147" t="n">
        <v>15</v>
      </c>
      <c r="C87" s="41">
        <f>INDEX(Ops!$E$109:$BL$109,1,$B87)</f>
        <v/>
      </c>
      <c r="T87" s="153">
        <f>$C87*INDEX(Curves!$BG$8:$BG$68,T$4-$B87+1)</f>
        <v/>
      </c>
      <c r="U87" s="153">
        <f>$C87*INDEX(Curves!$BG$8:$BG$68,U$4-$B87+1)</f>
        <v/>
      </c>
      <c r="V87" s="153">
        <f>$C87*INDEX(Curves!$BG$8:$BG$68,V$4-$B87+1)</f>
        <v/>
      </c>
      <c r="W87" s="153">
        <f>$C87*INDEX(Curves!$BG$8:$BG$68,W$4-$B87+1)</f>
        <v/>
      </c>
      <c r="X87" s="153">
        <f>$C87*INDEX(Curves!$BG$8:$BG$68,X$4-$B87+1)</f>
        <v/>
      </c>
      <c r="Y87" s="153">
        <f>$C87*INDEX(Curves!$BG$8:$BG$68,Y$4-$B87+1)</f>
        <v/>
      </c>
      <c r="Z87" s="153">
        <f>$C87*INDEX(Curves!$BG$8:$BG$68,Z$4-$B87+1)</f>
        <v/>
      </c>
      <c r="AA87" s="153">
        <f>$C87*INDEX(Curves!$BG$8:$BG$68,AA$4-$B87+1)</f>
        <v/>
      </c>
      <c r="AB87" s="153">
        <f>$C87*INDEX(Curves!$BG$8:$BG$68,AB$4-$B87+1)</f>
        <v/>
      </c>
      <c r="AC87" s="153">
        <f>$C87*INDEX(Curves!$BG$8:$BG$68,AC$4-$B87+1)</f>
        <v/>
      </c>
      <c r="AD87" s="153">
        <f>$C87*INDEX(Curves!$BG$8:$BG$68,AD$4-$B87+1)</f>
        <v/>
      </c>
      <c r="AE87" s="153">
        <f>$C87*INDEX(Curves!$BG$8:$BG$68,AE$4-$B87+1)</f>
        <v/>
      </c>
      <c r="AF87" s="153">
        <f>$C87*INDEX(Curves!$BG$8:$BG$68,AF$4-$B87+1)</f>
        <v/>
      </c>
      <c r="AG87" s="153">
        <f>$C87*INDEX(Curves!$BG$8:$BG$68,AG$4-$B87+1)</f>
        <v/>
      </c>
      <c r="AH87" s="153">
        <f>$C87*INDEX(Curves!$BG$8:$BG$68,AH$4-$B87+1)</f>
        <v/>
      </c>
      <c r="AI87" s="153">
        <f>$C87*INDEX(Curves!$BG$8:$BG$68,AI$4-$B87+1)</f>
        <v/>
      </c>
      <c r="AJ87" s="153">
        <f>$C87*INDEX(Curves!$BG$8:$BG$68,AJ$4-$B87+1)</f>
        <v/>
      </c>
      <c r="AK87" s="153">
        <f>$C87*INDEX(Curves!$BG$8:$BG$68,AK$4-$B87+1)</f>
        <v/>
      </c>
      <c r="AL87" s="153">
        <f>$C87*INDEX(Curves!$BG$8:$BG$68,AL$4-$B87+1)</f>
        <v/>
      </c>
      <c r="AM87" s="153">
        <f>$C87*INDEX(Curves!$BG$8:$BG$68,AM$4-$B87+1)</f>
        <v/>
      </c>
      <c r="AN87" s="153">
        <f>$C87*INDEX(Curves!$BG$8:$BG$68,AN$4-$B87+1)</f>
        <v/>
      </c>
      <c r="AO87" s="153">
        <f>$C87*INDEX(Curves!$BG$8:$BG$68,AO$4-$B87+1)</f>
        <v/>
      </c>
      <c r="AP87" s="153">
        <f>$C87*INDEX(Curves!$BG$8:$BG$68,AP$4-$B87+1)</f>
        <v/>
      </c>
      <c r="AQ87" s="153">
        <f>$C87*INDEX(Curves!$BG$8:$BG$68,AQ$4-$B87+1)</f>
        <v/>
      </c>
      <c r="AR87" s="153">
        <f>$C87*INDEX(Curves!$BG$8:$BG$68,AR$4-$B87+1)</f>
        <v/>
      </c>
      <c r="AS87" s="153">
        <f>$C87*INDEX(Curves!$BG$8:$BG$68,AS$4-$B87+1)</f>
        <v/>
      </c>
      <c r="AT87" s="153">
        <f>$C87*INDEX(Curves!$BG$8:$BG$68,AT$4-$B87+1)</f>
        <v/>
      </c>
      <c r="AU87" s="153">
        <f>$C87*INDEX(Curves!$BG$8:$BG$68,AU$4-$B87+1)</f>
        <v/>
      </c>
      <c r="AV87" s="153">
        <f>$C87*INDEX(Curves!$BG$8:$BG$68,AV$4-$B87+1)</f>
        <v/>
      </c>
      <c r="AW87" s="153">
        <f>$C87*INDEX(Curves!$BG$8:$BG$68,AW$4-$B87+1)</f>
        <v/>
      </c>
      <c r="AX87" s="153">
        <f>$C87*INDEX(Curves!$BG$8:$BG$68,AX$4-$B87+1)</f>
        <v/>
      </c>
      <c r="AY87" s="153">
        <f>$C87*INDEX(Curves!$BG$8:$BG$68,AY$4-$B87+1)</f>
        <v/>
      </c>
      <c r="AZ87" s="153">
        <f>$C87*INDEX(Curves!$BG$8:$BG$68,AZ$4-$B87+1)</f>
        <v/>
      </c>
      <c r="BA87" s="153">
        <f>$C87*INDEX(Curves!$BG$8:$BG$68,BA$4-$B87+1)</f>
        <v/>
      </c>
      <c r="BB87" s="153">
        <f>$C87*INDEX(Curves!$BG$8:$BG$68,BB$4-$B87+1)</f>
        <v/>
      </c>
      <c r="BC87" s="153">
        <f>$C87*INDEX(Curves!$BG$8:$BG$68,BC$4-$B87+1)</f>
        <v/>
      </c>
      <c r="BD87" s="153">
        <f>$C87*INDEX(Curves!$BG$8:$BG$68,BD$4-$B87+1)</f>
        <v/>
      </c>
      <c r="BE87" s="153">
        <f>$C87*INDEX(Curves!$BG$8:$BG$68,BE$4-$B87+1)</f>
        <v/>
      </c>
      <c r="BF87" s="153">
        <f>$C87*INDEX(Curves!$BG$8:$BG$68,BF$4-$B87+1)</f>
        <v/>
      </c>
      <c r="BG87" s="153">
        <f>$C87*INDEX(Curves!$BG$8:$BG$68,BG$4-$B87+1)</f>
        <v/>
      </c>
      <c r="BH87" s="153">
        <f>$C87*INDEX(Curves!$BG$8:$BG$68,BH$4-$B87+1)</f>
        <v/>
      </c>
      <c r="BI87" s="153">
        <f>$C87*INDEX(Curves!$BG$8:$BG$68,BI$4-$B87+1)</f>
        <v/>
      </c>
      <c r="BJ87" s="153">
        <f>$C87*INDEX(Curves!$BG$8:$BG$68,BJ$4-$B87+1)</f>
        <v/>
      </c>
      <c r="BK87" s="153">
        <f>$C87*INDEX(Curves!$BG$8:$BG$68,BK$4-$B87+1)</f>
        <v/>
      </c>
      <c r="BL87" s="153">
        <f>$C87*INDEX(Curves!$BG$8:$BG$68,BL$4-$B87+1)</f>
        <v/>
      </c>
    </row>
    <row r="88">
      <c r="A88" s="147" t="inlineStr">
        <is>
          <t>Cohort month 16</t>
        </is>
      </c>
      <c r="B88" s="147" t="n">
        <v>16</v>
      </c>
      <c r="C88" s="41">
        <f>INDEX(Ops!$E$109:$BL$109,1,$B88)</f>
        <v/>
      </c>
      <c r="U88" s="153">
        <f>$C88*INDEX(Curves!$BG$8:$BG$68,U$4-$B88+1)</f>
        <v/>
      </c>
      <c r="V88" s="153">
        <f>$C88*INDEX(Curves!$BG$8:$BG$68,V$4-$B88+1)</f>
        <v/>
      </c>
      <c r="W88" s="153">
        <f>$C88*INDEX(Curves!$BG$8:$BG$68,W$4-$B88+1)</f>
        <v/>
      </c>
      <c r="X88" s="153">
        <f>$C88*INDEX(Curves!$BG$8:$BG$68,X$4-$B88+1)</f>
        <v/>
      </c>
      <c r="Y88" s="153">
        <f>$C88*INDEX(Curves!$BG$8:$BG$68,Y$4-$B88+1)</f>
        <v/>
      </c>
      <c r="Z88" s="153">
        <f>$C88*INDEX(Curves!$BG$8:$BG$68,Z$4-$B88+1)</f>
        <v/>
      </c>
      <c r="AA88" s="153">
        <f>$C88*INDEX(Curves!$BG$8:$BG$68,AA$4-$B88+1)</f>
        <v/>
      </c>
      <c r="AB88" s="153">
        <f>$C88*INDEX(Curves!$BG$8:$BG$68,AB$4-$B88+1)</f>
        <v/>
      </c>
      <c r="AC88" s="153">
        <f>$C88*INDEX(Curves!$BG$8:$BG$68,AC$4-$B88+1)</f>
        <v/>
      </c>
      <c r="AD88" s="153">
        <f>$C88*INDEX(Curves!$BG$8:$BG$68,AD$4-$B88+1)</f>
        <v/>
      </c>
      <c r="AE88" s="153">
        <f>$C88*INDEX(Curves!$BG$8:$BG$68,AE$4-$B88+1)</f>
        <v/>
      </c>
      <c r="AF88" s="153">
        <f>$C88*INDEX(Curves!$BG$8:$BG$68,AF$4-$B88+1)</f>
        <v/>
      </c>
      <c r="AG88" s="153">
        <f>$C88*INDEX(Curves!$BG$8:$BG$68,AG$4-$B88+1)</f>
        <v/>
      </c>
      <c r="AH88" s="153">
        <f>$C88*INDEX(Curves!$BG$8:$BG$68,AH$4-$B88+1)</f>
        <v/>
      </c>
      <c r="AI88" s="153">
        <f>$C88*INDEX(Curves!$BG$8:$BG$68,AI$4-$B88+1)</f>
        <v/>
      </c>
      <c r="AJ88" s="153">
        <f>$C88*INDEX(Curves!$BG$8:$BG$68,AJ$4-$B88+1)</f>
        <v/>
      </c>
      <c r="AK88" s="153">
        <f>$C88*INDEX(Curves!$BG$8:$BG$68,AK$4-$B88+1)</f>
        <v/>
      </c>
      <c r="AL88" s="153">
        <f>$C88*INDEX(Curves!$BG$8:$BG$68,AL$4-$B88+1)</f>
        <v/>
      </c>
      <c r="AM88" s="153">
        <f>$C88*INDEX(Curves!$BG$8:$BG$68,AM$4-$B88+1)</f>
        <v/>
      </c>
      <c r="AN88" s="153">
        <f>$C88*INDEX(Curves!$BG$8:$BG$68,AN$4-$B88+1)</f>
        <v/>
      </c>
      <c r="AO88" s="153">
        <f>$C88*INDEX(Curves!$BG$8:$BG$68,AO$4-$B88+1)</f>
        <v/>
      </c>
      <c r="AP88" s="153">
        <f>$C88*INDEX(Curves!$BG$8:$BG$68,AP$4-$B88+1)</f>
        <v/>
      </c>
      <c r="AQ88" s="153">
        <f>$C88*INDEX(Curves!$BG$8:$BG$68,AQ$4-$B88+1)</f>
        <v/>
      </c>
      <c r="AR88" s="153">
        <f>$C88*INDEX(Curves!$BG$8:$BG$68,AR$4-$B88+1)</f>
        <v/>
      </c>
      <c r="AS88" s="153">
        <f>$C88*INDEX(Curves!$BG$8:$BG$68,AS$4-$B88+1)</f>
        <v/>
      </c>
      <c r="AT88" s="153">
        <f>$C88*INDEX(Curves!$BG$8:$BG$68,AT$4-$B88+1)</f>
        <v/>
      </c>
      <c r="AU88" s="153">
        <f>$C88*INDEX(Curves!$BG$8:$BG$68,AU$4-$B88+1)</f>
        <v/>
      </c>
      <c r="AV88" s="153">
        <f>$C88*INDEX(Curves!$BG$8:$BG$68,AV$4-$B88+1)</f>
        <v/>
      </c>
      <c r="AW88" s="153">
        <f>$C88*INDEX(Curves!$BG$8:$BG$68,AW$4-$B88+1)</f>
        <v/>
      </c>
      <c r="AX88" s="153">
        <f>$C88*INDEX(Curves!$BG$8:$BG$68,AX$4-$B88+1)</f>
        <v/>
      </c>
      <c r="AY88" s="153">
        <f>$C88*INDEX(Curves!$BG$8:$BG$68,AY$4-$B88+1)</f>
        <v/>
      </c>
      <c r="AZ88" s="153">
        <f>$C88*INDEX(Curves!$BG$8:$BG$68,AZ$4-$B88+1)</f>
        <v/>
      </c>
      <c r="BA88" s="153">
        <f>$C88*INDEX(Curves!$BG$8:$BG$68,BA$4-$B88+1)</f>
        <v/>
      </c>
      <c r="BB88" s="153">
        <f>$C88*INDEX(Curves!$BG$8:$BG$68,BB$4-$B88+1)</f>
        <v/>
      </c>
      <c r="BC88" s="153">
        <f>$C88*INDEX(Curves!$BG$8:$BG$68,BC$4-$B88+1)</f>
        <v/>
      </c>
      <c r="BD88" s="153">
        <f>$C88*INDEX(Curves!$BG$8:$BG$68,BD$4-$B88+1)</f>
        <v/>
      </c>
      <c r="BE88" s="153">
        <f>$C88*INDEX(Curves!$BG$8:$BG$68,BE$4-$B88+1)</f>
        <v/>
      </c>
      <c r="BF88" s="153">
        <f>$C88*INDEX(Curves!$BG$8:$BG$68,BF$4-$B88+1)</f>
        <v/>
      </c>
      <c r="BG88" s="153">
        <f>$C88*INDEX(Curves!$BG$8:$BG$68,BG$4-$B88+1)</f>
        <v/>
      </c>
      <c r="BH88" s="153">
        <f>$C88*INDEX(Curves!$BG$8:$BG$68,BH$4-$B88+1)</f>
        <v/>
      </c>
      <c r="BI88" s="153">
        <f>$C88*INDEX(Curves!$BG$8:$BG$68,BI$4-$B88+1)</f>
        <v/>
      </c>
      <c r="BJ88" s="153">
        <f>$C88*INDEX(Curves!$BG$8:$BG$68,BJ$4-$B88+1)</f>
        <v/>
      </c>
      <c r="BK88" s="153">
        <f>$C88*INDEX(Curves!$BG$8:$BG$68,BK$4-$B88+1)</f>
        <v/>
      </c>
      <c r="BL88" s="153">
        <f>$C88*INDEX(Curves!$BG$8:$BG$68,BL$4-$B88+1)</f>
        <v/>
      </c>
    </row>
    <row r="89">
      <c r="A89" s="147" t="inlineStr">
        <is>
          <t>Cohort month 17</t>
        </is>
      </c>
      <c r="B89" s="147" t="n">
        <v>17</v>
      </c>
      <c r="C89" s="41">
        <f>INDEX(Ops!$E$109:$BL$109,1,$B89)</f>
        <v/>
      </c>
      <c r="V89" s="153">
        <f>$C89*INDEX(Curves!$BG$8:$BG$68,V$4-$B89+1)</f>
        <v/>
      </c>
      <c r="W89" s="153">
        <f>$C89*INDEX(Curves!$BG$8:$BG$68,W$4-$B89+1)</f>
        <v/>
      </c>
      <c r="X89" s="153">
        <f>$C89*INDEX(Curves!$BG$8:$BG$68,X$4-$B89+1)</f>
        <v/>
      </c>
      <c r="Y89" s="153">
        <f>$C89*INDEX(Curves!$BG$8:$BG$68,Y$4-$B89+1)</f>
        <v/>
      </c>
      <c r="Z89" s="153">
        <f>$C89*INDEX(Curves!$BG$8:$BG$68,Z$4-$B89+1)</f>
        <v/>
      </c>
      <c r="AA89" s="153">
        <f>$C89*INDEX(Curves!$BG$8:$BG$68,AA$4-$B89+1)</f>
        <v/>
      </c>
      <c r="AB89" s="153">
        <f>$C89*INDEX(Curves!$BG$8:$BG$68,AB$4-$B89+1)</f>
        <v/>
      </c>
      <c r="AC89" s="153">
        <f>$C89*INDEX(Curves!$BG$8:$BG$68,AC$4-$B89+1)</f>
        <v/>
      </c>
      <c r="AD89" s="153">
        <f>$C89*INDEX(Curves!$BG$8:$BG$68,AD$4-$B89+1)</f>
        <v/>
      </c>
      <c r="AE89" s="153">
        <f>$C89*INDEX(Curves!$BG$8:$BG$68,AE$4-$B89+1)</f>
        <v/>
      </c>
      <c r="AF89" s="153">
        <f>$C89*INDEX(Curves!$BG$8:$BG$68,AF$4-$B89+1)</f>
        <v/>
      </c>
      <c r="AG89" s="153">
        <f>$C89*INDEX(Curves!$BG$8:$BG$68,AG$4-$B89+1)</f>
        <v/>
      </c>
      <c r="AH89" s="153">
        <f>$C89*INDEX(Curves!$BG$8:$BG$68,AH$4-$B89+1)</f>
        <v/>
      </c>
      <c r="AI89" s="153">
        <f>$C89*INDEX(Curves!$BG$8:$BG$68,AI$4-$B89+1)</f>
        <v/>
      </c>
      <c r="AJ89" s="153">
        <f>$C89*INDEX(Curves!$BG$8:$BG$68,AJ$4-$B89+1)</f>
        <v/>
      </c>
      <c r="AK89" s="153">
        <f>$C89*INDEX(Curves!$BG$8:$BG$68,AK$4-$B89+1)</f>
        <v/>
      </c>
      <c r="AL89" s="153">
        <f>$C89*INDEX(Curves!$BG$8:$BG$68,AL$4-$B89+1)</f>
        <v/>
      </c>
      <c r="AM89" s="153">
        <f>$C89*INDEX(Curves!$BG$8:$BG$68,AM$4-$B89+1)</f>
        <v/>
      </c>
      <c r="AN89" s="153">
        <f>$C89*INDEX(Curves!$BG$8:$BG$68,AN$4-$B89+1)</f>
        <v/>
      </c>
      <c r="AO89" s="153">
        <f>$C89*INDEX(Curves!$BG$8:$BG$68,AO$4-$B89+1)</f>
        <v/>
      </c>
      <c r="AP89" s="153">
        <f>$C89*INDEX(Curves!$BG$8:$BG$68,AP$4-$B89+1)</f>
        <v/>
      </c>
      <c r="AQ89" s="153">
        <f>$C89*INDEX(Curves!$BG$8:$BG$68,AQ$4-$B89+1)</f>
        <v/>
      </c>
      <c r="AR89" s="153">
        <f>$C89*INDEX(Curves!$BG$8:$BG$68,AR$4-$B89+1)</f>
        <v/>
      </c>
      <c r="AS89" s="153">
        <f>$C89*INDEX(Curves!$BG$8:$BG$68,AS$4-$B89+1)</f>
        <v/>
      </c>
      <c r="AT89" s="153">
        <f>$C89*INDEX(Curves!$BG$8:$BG$68,AT$4-$B89+1)</f>
        <v/>
      </c>
      <c r="AU89" s="153">
        <f>$C89*INDEX(Curves!$BG$8:$BG$68,AU$4-$B89+1)</f>
        <v/>
      </c>
      <c r="AV89" s="153">
        <f>$C89*INDEX(Curves!$BG$8:$BG$68,AV$4-$B89+1)</f>
        <v/>
      </c>
      <c r="AW89" s="153">
        <f>$C89*INDEX(Curves!$BG$8:$BG$68,AW$4-$B89+1)</f>
        <v/>
      </c>
      <c r="AX89" s="153">
        <f>$C89*INDEX(Curves!$BG$8:$BG$68,AX$4-$B89+1)</f>
        <v/>
      </c>
      <c r="AY89" s="153">
        <f>$C89*INDEX(Curves!$BG$8:$BG$68,AY$4-$B89+1)</f>
        <v/>
      </c>
      <c r="AZ89" s="153">
        <f>$C89*INDEX(Curves!$BG$8:$BG$68,AZ$4-$B89+1)</f>
        <v/>
      </c>
      <c r="BA89" s="153">
        <f>$C89*INDEX(Curves!$BG$8:$BG$68,BA$4-$B89+1)</f>
        <v/>
      </c>
      <c r="BB89" s="153">
        <f>$C89*INDEX(Curves!$BG$8:$BG$68,BB$4-$B89+1)</f>
        <v/>
      </c>
      <c r="BC89" s="153">
        <f>$C89*INDEX(Curves!$BG$8:$BG$68,BC$4-$B89+1)</f>
        <v/>
      </c>
      <c r="BD89" s="153">
        <f>$C89*INDEX(Curves!$BG$8:$BG$68,BD$4-$B89+1)</f>
        <v/>
      </c>
      <c r="BE89" s="153">
        <f>$C89*INDEX(Curves!$BG$8:$BG$68,BE$4-$B89+1)</f>
        <v/>
      </c>
      <c r="BF89" s="153">
        <f>$C89*INDEX(Curves!$BG$8:$BG$68,BF$4-$B89+1)</f>
        <v/>
      </c>
      <c r="BG89" s="153">
        <f>$C89*INDEX(Curves!$BG$8:$BG$68,BG$4-$B89+1)</f>
        <v/>
      </c>
      <c r="BH89" s="153">
        <f>$C89*INDEX(Curves!$BG$8:$BG$68,BH$4-$B89+1)</f>
        <v/>
      </c>
      <c r="BI89" s="153">
        <f>$C89*INDEX(Curves!$BG$8:$BG$68,BI$4-$B89+1)</f>
        <v/>
      </c>
      <c r="BJ89" s="153">
        <f>$C89*INDEX(Curves!$BG$8:$BG$68,BJ$4-$B89+1)</f>
        <v/>
      </c>
      <c r="BK89" s="153">
        <f>$C89*INDEX(Curves!$BG$8:$BG$68,BK$4-$B89+1)</f>
        <v/>
      </c>
      <c r="BL89" s="153">
        <f>$C89*INDEX(Curves!$BG$8:$BG$68,BL$4-$B89+1)</f>
        <v/>
      </c>
    </row>
    <row r="90">
      <c r="A90" s="147" t="inlineStr">
        <is>
          <t>Cohort month 18</t>
        </is>
      </c>
      <c r="B90" s="147" t="n">
        <v>18</v>
      </c>
      <c r="C90" s="41">
        <f>INDEX(Ops!$E$109:$BL$109,1,$B90)</f>
        <v/>
      </c>
      <c r="W90" s="153">
        <f>$C90*INDEX(Curves!$BG$8:$BG$68,W$4-$B90+1)</f>
        <v/>
      </c>
      <c r="X90" s="153">
        <f>$C90*INDEX(Curves!$BG$8:$BG$68,X$4-$B90+1)</f>
        <v/>
      </c>
      <c r="Y90" s="153">
        <f>$C90*INDEX(Curves!$BG$8:$BG$68,Y$4-$B90+1)</f>
        <v/>
      </c>
      <c r="Z90" s="153">
        <f>$C90*INDEX(Curves!$BG$8:$BG$68,Z$4-$B90+1)</f>
        <v/>
      </c>
      <c r="AA90" s="153">
        <f>$C90*INDEX(Curves!$BG$8:$BG$68,AA$4-$B90+1)</f>
        <v/>
      </c>
      <c r="AB90" s="153">
        <f>$C90*INDEX(Curves!$BG$8:$BG$68,AB$4-$B90+1)</f>
        <v/>
      </c>
      <c r="AC90" s="153">
        <f>$C90*INDEX(Curves!$BG$8:$BG$68,AC$4-$B90+1)</f>
        <v/>
      </c>
      <c r="AD90" s="153">
        <f>$C90*INDEX(Curves!$BG$8:$BG$68,AD$4-$B90+1)</f>
        <v/>
      </c>
      <c r="AE90" s="153">
        <f>$C90*INDEX(Curves!$BG$8:$BG$68,AE$4-$B90+1)</f>
        <v/>
      </c>
      <c r="AF90" s="153">
        <f>$C90*INDEX(Curves!$BG$8:$BG$68,AF$4-$B90+1)</f>
        <v/>
      </c>
      <c r="AG90" s="153">
        <f>$C90*INDEX(Curves!$BG$8:$BG$68,AG$4-$B90+1)</f>
        <v/>
      </c>
      <c r="AH90" s="153">
        <f>$C90*INDEX(Curves!$BG$8:$BG$68,AH$4-$B90+1)</f>
        <v/>
      </c>
      <c r="AI90" s="153">
        <f>$C90*INDEX(Curves!$BG$8:$BG$68,AI$4-$B90+1)</f>
        <v/>
      </c>
      <c r="AJ90" s="153">
        <f>$C90*INDEX(Curves!$BG$8:$BG$68,AJ$4-$B90+1)</f>
        <v/>
      </c>
      <c r="AK90" s="153">
        <f>$C90*INDEX(Curves!$BG$8:$BG$68,AK$4-$B90+1)</f>
        <v/>
      </c>
      <c r="AL90" s="153">
        <f>$C90*INDEX(Curves!$BG$8:$BG$68,AL$4-$B90+1)</f>
        <v/>
      </c>
      <c r="AM90" s="153">
        <f>$C90*INDEX(Curves!$BG$8:$BG$68,AM$4-$B90+1)</f>
        <v/>
      </c>
      <c r="AN90" s="153">
        <f>$C90*INDEX(Curves!$BG$8:$BG$68,AN$4-$B90+1)</f>
        <v/>
      </c>
      <c r="AO90" s="153">
        <f>$C90*INDEX(Curves!$BG$8:$BG$68,AO$4-$B90+1)</f>
        <v/>
      </c>
      <c r="AP90" s="153">
        <f>$C90*INDEX(Curves!$BG$8:$BG$68,AP$4-$B90+1)</f>
        <v/>
      </c>
      <c r="AQ90" s="153">
        <f>$C90*INDEX(Curves!$BG$8:$BG$68,AQ$4-$B90+1)</f>
        <v/>
      </c>
      <c r="AR90" s="153">
        <f>$C90*INDEX(Curves!$BG$8:$BG$68,AR$4-$B90+1)</f>
        <v/>
      </c>
      <c r="AS90" s="153">
        <f>$C90*INDEX(Curves!$BG$8:$BG$68,AS$4-$B90+1)</f>
        <v/>
      </c>
      <c r="AT90" s="153">
        <f>$C90*INDEX(Curves!$BG$8:$BG$68,AT$4-$B90+1)</f>
        <v/>
      </c>
      <c r="AU90" s="153">
        <f>$C90*INDEX(Curves!$BG$8:$BG$68,AU$4-$B90+1)</f>
        <v/>
      </c>
      <c r="AV90" s="153">
        <f>$C90*INDEX(Curves!$BG$8:$BG$68,AV$4-$B90+1)</f>
        <v/>
      </c>
      <c r="AW90" s="153">
        <f>$C90*INDEX(Curves!$BG$8:$BG$68,AW$4-$B90+1)</f>
        <v/>
      </c>
      <c r="AX90" s="153">
        <f>$C90*INDEX(Curves!$BG$8:$BG$68,AX$4-$B90+1)</f>
        <v/>
      </c>
      <c r="AY90" s="153">
        <f>$C90*INDEX(Curves!$BG$8:$BG$68,AY$4-$B90+1)</f>
        <v/>
      </c>
      <c r="AZ90" s="153">
        <f>$C90*INDEX(Curves!$BG$8:$BG$68,AZ$4-$B90+1)</f>
        <v/>
      </c>
      <c r="BA90" s="153">
        <f>$C90*INDEX(Curves!$BG$8:$BG$68,BA$4-$B90+1)</f>
        <v/>
      </c>
      <c r="BB90" s="153">
        <f>$C90*INDEX(Curves!$BG$8:$BG$68,BB$4-$B90+1)</f>
        <v/>
      </c>
      <c r="BC90" s="153">
        <f>$C90*INDEX(Curves!$BG$8:$BG$68,BC$4-$B90+1)</f>
        <v/>
      </c>
      <c r="BD90" s="153">
        <f>$C90*INDEX(Curves!$BG$8:$BG$68,BD$4-$B90+1)</f>
        <v/>
      </c>
      <c r="BE90" s="153">
        <f>$C90*INDEX(Curves!$BG$8:$BG$68,BE$4-$B90+1)</f>
        <v/>
      </c>
      <c r="BF90" s="153">
        <f>$C90*INDEX(Curves!$BG$8:$BG$68,BF$4-$B90+1)</f>
        <v/>
      </c>
      <c r="BG90" s="153">
        <f>$C90*INDEX(Curves!$BG$8:$BG$68,BG$4-$B90+1)</f>
        <v/>
      </c>
      <c r="BH90" s="153">
        <f>$C90*INDEX(Curves!$BG$8:$BG$68,BH$4-$B90+1)</f>
        <v/>
      </c>
      <c r="BI90" s="153">
        <f>$C90*INDEX(Curves!$BG$8:$BG$68,BI$4-$B90+1)</f>
        <v/>
      </c>
      <c r="BJ90" s="153">
        <f>$C90*INDEX(Curves!$BG$8:$BG$68,BJ$4-$B90+1)</f>
        <v/>
      </c>
      <c r="BK90" s="153">
        <f>$C90*INDEX(Curves!$BG$8:$BG$68,BK$4-$B90+1)</f>
        <v/>
      </c>
      <c r="BL90" s="153">
        <f>$C90*INDEX(Curves!$BG$8:$BG$68,BL$4-$B90+1)</f>
        <v/>
      </c>
    </row>
    <row r="91">
      <c r="A91" s="147" t="inlineStr">
        <is>
          <t>Cohort month 19</t>
        </is>
      </c>
      <c r="B91" s="147" t="n">
        <v>19</v>
      </c>
      <c r="C91" s="41">
        <f>INDEX(Ops!$E$109:$BL$109,1,$B91)</f>
        <v/>
      </c>
      <c r="X91" s="153">
        <f>$C91*INDEX(Curves!$BG$8:$BG$68,X$4-$B91+1)</f>
        <v/>
      </c>
      <c r="Y91" s="153">
        <f>$C91*INDEX(Curves!$BG$8:$BG$68,Y$4-$B91+1)</f>
        <v/>
      </c>
      <c r="Z91" s="153">
        <f>$C91*INDEX(Curves!$BG$8:$BG$68,Z$4-$B91+1)</f>
        <v/>
      </c>
      <c r="AA91" s="153">
        <f>$C91*INDEX(Curves!$BG$8:$BG$68,AA$4-$B91+1)</f>
        <v/>
      </c>
      <c r="AB91" s="153">
        <f>$C91*INDEX(Curves!$BG$8:$BG$68,AB$4-$B91+1)</f>
        <v/>
      </c>
      <c r="AC91" s="153">
        <f>$C91*INDEX(Curves!$BG$8:$BG$68,AC$4-$B91+1)</f>
        <v/>
      </c>
      <c r="AD91" s="153">
        <f>$C91*INDEX(Curves!$BG$8:$BG$68,AD$4-$B91+1)</f>
        <v/>
      </c>
      <c r="AE91" s="153">
        <f>$C91*INDEX(Curves!$BG$8:$BG$68,AE$4-$B91+1)</f>
        <v/>
      </c>
      <c r="AF91" s="153">
        <f>$C91*INDEX(Curves!$BG$8:$BG$68,AF$4-$B91+1)</f>
        <v/>
      </c>
      <c r="AG91" s="153">
        <f>$C91*INDEX(Curves!$BG$8:$BG$68,AG$4-$B91+1)</f>
        <v/>
      </c>
      <c r="AH91" s="153">
        <f>$C91*INDEX(Curves!$BG$8:$BG$68,AH$4-$B91+1)</f>
        <v/>
      </c>
      <c r="AI91" s="153">
        <f>$C91*INDEX(Curves!$BG$8:$BG$68,AI$4-$B91+1)</f>
        <v/>
      </c>
      <c r="AJ91" s="153">
        <f>$C91*INDEX(Curves!$BG$8:$BG$68,AJ$4-$B91+1)</f>
        <v/>
      </c>
      <c r="AK91" s="153">
        <f>$C91*INDEX(Curves!$BG$8:$BG$68,AK$4-$B91+1)</f>
        <v/>
      </c>
      <c r="AL91" s="153">
        <f>$C91*INDEX(Curves!$BG$8:$BG$68,AL$4-$B91+1)</f>
        <v/>
      </c>
      <c r="AM91" s="153">
        <f>$C91*INDEX(Curves!$BG$8:$BG$68,AM$4-$B91+1)</f>
        <v/>
      </c>
      <c r="AN91" s="153">
        <f>$C91*INDEX(Curves!$BG$8:$BG$68,AN$4-$B91+1)</f>
        <v/>
      </c>
      <c r="AO91" s="153">
        <f>$C91*INDEX(Curves!$BG$8:$BG$68,AO$4-$B91+1)</f>
        <v/>
      </c>
      <c r="AP91" s="153">
        <f>$C91*INDEX(Curves!$BG$8:$BG$68,AP$4-$B91+1)</f>
        <v/>
      </c>
      <c r="AQ91" s="153">
        <f>$C91*INDEX(Curves!$BG$8:$BG$68,AQ$4-$B91+1)</f>
        <v/>
      </c>
      <c r="AR91" s="153">
        <f>$C91*INDEX(Curves!$BG$8:$BG$68,AR$4-$B91+1)</f>
        <v/>
      </c>
      <c r="AS91" s="153">
        <f>$C91*INDEX(Curves!$BG$8:$BG$68,AS$4-$B91+1)</f>
        <v/>
      </c>
      <c r="AT91" s="153">
        <f>$C91*INDEX(Curves!$BG$8:$BG$68,AT$4-$B91+1)</f>
        <v/>
      </c>
      <c r="AU91" s="153">
        <f>$C91*INDEX(Curves!$BG$8:$BG$68,AU$4-$B91+1)</f>
        <v/>
      </c>
      <c r="AV91" s="153">
        <f>$C91*INDEX(Curves!$BG$8:$BG$68,AV$4-$B91+1)</f>
        <v/>
      </c>
      <c r="AW91" s="153">
        <f>$C91*INDEX(Curves!$BG$8:$BG$68,AW$4-$B91+1)</f>
        <v/>
      </c>
      <c r="AX91" s="153">
        <f>$C91*INDEX(Curves!$BG$8:$BG$68,AX$4-$B91+1)</f>
        <v/>
      </c>
      <c r="AY91" s="153">
        <f>$C91*INDEX(Curves!$BG$8:$BG$68,AY$4-$B91+1)</f>
        <v/>
      </c>
      <c r="AZ91" s="153">
        <f>$C91*INDEX(Curves!$BG$8:$BG$68,AZ$4-$B91+1)</f>
        <v/>
      </c>
      <c r="BA91" s="153">
        <f>$C91*INDEX(Curves!$BG$8:$BG$68,BA$4-$B91+1)</f>
        <v/>
      </c>
      <c r="BB91" s="153">
        <f>$C91*INDEX(Curves!$BG$8:$BG$68,BB$4-$B91+1)</f>
        <v/>
      </c>
      <c r="BC91" s="153">
        <f>$C91*INDEX(Curves!$BG$8:$BG$68,BC$4-$B91+1)</f>
        <v/>
      </c>
      <c r="BD91" s="153">
        <f>$C91*INDEX(Curves!$BG$8:$BG$68,BD$4-$B91+1)</f>
        <v/>
      </c>
      <c r="BE91" s="153">
        <f>$C91*INDEX(Curves!$BG$8:$BG$68,BE$4-$B91+1)</f>
        <v/>
      </c>
      <c r="BF91" s="153">
        <f>$C91*INDEX(Curves!$BG$8:$BG$68,BF$4-$B91+1)</f>
        <v/>
      </c>
      <c r="BG91" s="153">
        <f>$C91*INDEX(Curves!$BG$8:$BG$68,BG$4-$B91+1)</f>
        <v/>
      </c>
      <c r="BH91" s="153">
        <f>$C91*INDEX(Curves!$BG$8:$BG$68,BH$4-$B91+1)</f>
        <v/>
      </c>
      <c r="BI91" s="153">
        <f>$C91*INDEX(Curves!$BG$8:$BG$68,BI$4-$B91+1)</f>
        <v/>
      </c>
      <c r="BJ91" s="153">
        <f>$C91*INDEX(Curves!$BG$8:$BG$68,BJ$4-$B91+1)</f>
        <v/>
      </c>
      <c r="BK91" s="153">
        <f>$C91*INDEX(Curves!$BG$8:$BG$68,BK$4-$B91+1)</f>
        <v/>
      </c>
      <c r="BL91" s="153">
        <f>$C91*INDEX(Curves!$BG$8:$BG$68,BL$4-$B91+1)</f>
        <v/>
      </c>
    </row>
    <row r="92">
      <c r="A92" s="147" t="inlineStr">
        <is>
          <t>Cohort month 20</t>
        </is>
      </c>
      <c r="B92" s="147" t="n">
        <v>20</v>
      </c>
      <c r="C92" s="41">
        <f>INDEX(Ops!$E$109:$BL$109,1,$B92)</f>
        <v/>
      </c>
      <c r="Y92" s="153">
        <f>$C92*INDEX(Curves!$BG$8:$BG$68,Y$4-$B92+1)</f>
        <v/>
      </c>
      <c r="Z92" s="153">
        <f>$C92*INDEX(Curves!$BG$8:$BG$68,Z$4-$B92+1)</f>
        <v/>
      </c>
      <c r="AA92" s="153">
        <f>$C92*INDEX(Curves!$BG$8:$BG$68,AA$4-$B92+1)</f>
        <v/>
      </c>
      <c r="AB92" s="153">
        <f>$C92*INDEX(Curves!$BG$8:$BG$68,AB$4-$B92+1)</f>
        <v/>
      </c>
      <c r="AC92" s="153">
        <f>$C92*INDEX(Curves!$BG$8:$BG$68,AC$4-$B92+1)</f>
        <v/>
      </c>
      <c r="AD92" s="153">
        <f>$C92*INDEX(Curves!$BG$8:$BG$68,AD$4-$B92+1)</f>
        <v/>
      </c>
      <c r="AE92" s="153">
        <f>$C92*INDEX(Curves!$BG$8:$BG$68,AE$4-$B92+1)</f>
        <v/>
      </c>
      <c r="AF92" s="153">
        <f>$C92*INDEX(Curves!$BG$8:$BG$68,AF$4-$B92+1)</f>
        <v/>
      </c>
      <c r="AG92" s="153">
        <f>$C92*INDEX(Curves!$BG$8:$BG$68,AG$4-$B92+1)</f>
        <v/>
      </c>
      <c r="AH92" s="153">
        <f>$C92*INDEX(Curves!$BG$8:$BG$68,AH$4-$B92+1)</f>
        <v/>
      </c>
      <c r="AI92" s="153">
        <f>$C92*INDEX(Curves!$BG$8:$BG$68,AI$4-$B92+1)</f>
        <v/>
      </c>
      <c r="AJ92" s="153">
        <f>$C92*INDEX(Curves!$BG$8:$BG$68,AJ$4-$B92+1)</f>
        <v/>
      </c>
      <c r="AK92" s="153">
        <f>$C92*INDEX(Curves!$BG$8:$BG$68,AK$4-$B92+1)</f>
        <v/>
      </c>
      <c r="AL92" s="153">
        <f>$C92*INDEX(Curves!$BG$8:$BG$68,AL$4-$B92+1)</f>
        <v/>
      </c>
      <c r="AM92" s="153">
        <f>$C92*INDEX(Curves!$BG$8:$BG$68,AM$4-$B92+1)</f>
        <v/>
      </c>
      <c r="AN92" s="153">
        <f>$C92*INDEX(Curves!$BG$8:$BG$68,AN$4-$B92+1)</f>
        <v/>
      </c>
      <c r="AO92" s="153">
        <f>$C92*INDEX(Curves!$BG$8:$BG$68,AO$4-$B92+1)</f>
        <v/>
      </c>
      <c r="AP92" s="153">
        <f>$C92*INDEX(Curves!$BG$8:$BG$68,AP$4-$B92+1)</f>
        <v/>
      </c>
      <c r="AQ92" s="153">
        <f>$C92*INDEX(Curves!$BG$8:$BG$68,AQ$4-$B92+1)</f>
        <v/>
      </c>
      <c r="AR92" s="153">
        <f>$C92*INDEX(Curves!$BG$8:$BG$68,AR$4-$B92+1)</f>
        <v/>
      </c>
      <c r="AS92" s="153">
        <f>$C92*INDEX(Curves!$BG$8:$BG$68,AS$4-$B92+1)</f>
        <v/>
      </c>
      <c r="AT92" s="153">
        <f>$C92*INDEX(Curves!$BG$8:$BG$68,AT$4-$B92+1)</f>
        <v/>
      </c>
      <c r="AU92" s="153">
        <f>$C92*INDEX(Curves!$BG$8:$BG$68,AU$4-$B92+1)</f>
        <v/>
      </c>
      <c r="AV92" s="153">
        <f>$C92*INDEX(Curves!$BG$8:$BG$68,AV$4-$B92+1)</f>
        <v/>
      </c>
      <c r="AW92" s="153">
        <f>$C92*INDEX(Curves!$BG$8:$BG$68,AW$4-$B92+1)</f>
        <v/>
      </c>
      <c r="AX92" s="153">
        <f>$C92*INDEX(Curves!$BG$8:$BG$68,AX$4-$B92+1)</f>
        <v/>
      </c>
      <c r="AY92" s="153">
        <f>$C92*INDEX(Curves!$BG$8:$BG$68,AY$4-$B92+1)</f>
        <v/>
      </c>
      <c r="AZ92" s="153">
        <f>$C92*INDEX(Curves!$BG$8:$BG$68,AZ$4-$B92+1)</f>
        <v/>
      </c>
      <c r="BA92" s="153">
        <f>$C92*INDEX(Curves!$BG$8:$BG$68,BA$4-$B92+1)</f>
        <v/>
      </c>
      <c r="BB92" s="153">
        <f>$C92*INDEX(Curves!$BG$8:$BG$68,BB$4-$B92+1)</f>
        <v/>
      </c>
      <c r="BC92" s="153">
        <f>$C92*INDEX(Curves!$BG$8:$BG$68,BC$4-$B92+1)</f>
        <v/>
      </c>
      <c r="BD92" s="153">
        <f>$C92*INDEX(Curves!$BG$8:$BG$68,BD$4-$B92+1)</f>
        <v/>
      </c>
      <c r="BE92" s="153">
        <f>$C92*INDEX(Curves!$BG$8:$BG$68,BE$4-$B92+1)</f>
        <v/>
      </c>
      <c r="BF92" s="153">
        <f>$C92*INDEX(Curves!$BG$8:$BG$68,BF$4-$B92+1)</f>
        <v/>
      </c>
      <c r="BG92" s="153">
        <f>$C92*INDEX(Curves!$BG$8:$BG$68,BG$4-$B92+1)</f>
        <v/>
      </c>
      <c r="BH92" s="153">
        <f>$C92*INDEX(Curves!$BG$8:$BG$68,BH$4-$B92+1)</f>
        <v/>
      </c>
      <c r="BI92" s="153">
        <f>$C92*INDEX(Curves!$BG$8:$BG$68,BI$4-$B92+1)</f>
        <v/>
      </c>
      <c r="BJ92" s="153">
        <f>$C92*INDEX(Curves!$BG$8:$BG$68,BJ$4-$B92+1)</f>
        <v/>
      </c>
      <c r="BK92" s="153">
        <f>$C92*INDEX(Curves!$BG$8:$BG$68,BK$4-$B92+1)</f>
        <v/>
      </c>
      <c r="BL92" s="153">
        <f>$C92*INDEX(Curves!$BG$8:$BG$68,BL$4-$B92+1)</f>
        <v/>
      </c>
    </row>
    <row r="93">
      <c r="A93" s="147" t="inlineStr">
        <is>
          <t>Cohort month 21</t>
        </is>
      </c>
      <c r="B93" s="147" t="n">
        <v>21</v>
      </c>
      <c r="C93" s="41">
        <f>INDEX(Ops!$E$109:$BL$109,1,$B93)</f>
        <v/>
      </c>
      <c r="Z93" s="153">
        <f>$C93*INDEX(Curves!$BG$8:$BG$68,Z$4-$B93+1)</f>
        <v/>
      </c>
      <c r="AA93" s="153">
        <f>$C93*INDEX(Curves!$BG$8:$BG$68,AA$4-$B93+1)</f>
        <v/>
      </c>
      <c r="AB93" s="153">
        <f>$C93*INDEX(Curves!$BG$8:$BG$68,AB$4-$B93+1)</f>
        <v/>
      </c>
      <c r="AC93" s="153">
        <f>$C93*INDEX(Curves!$BG$8:$BG$68,AC$4-$B93+1)</f>
        <v/>
      </c>
      <c r="AD93" s="153">
        <f>$C93*INDEX(Curves!$BG$8:$BG$68,AD$4-$B93+1)</f>
        <v/>
      </c>
      <c r="AE93" s="153">
        <f>$C93*INDEX(Curves!$BG$8:$BG$68,AE$4-$B93+1)</f>
        <v/>
      </c>
      <c r="AF93" s="153">
        <f>$C93*INDEX(Curves!$BG$8:$BG$68,AF$4-$B93+1)</f>
        <v/>
      </c>
      <c r="AG93" s="153">
        <f>$C93*INDEX(Curves!$BG$8:$BG$68,AG$4-$B93+1)</f>
        <v/>
      </c>
      <c r="AH93" s="153">
        <f>$C93*INDEX(Curves!$BG$8:$BG$68,AH$4-$B93+1)</f>
        <v/>
      </c>
      <c r="AI93" s="153">
        <f>$C93*INDEX(Curves!$BG$8:$BG$68,AI$4-$B93+1)</f>
        <v/>
      </c>
      <c r="AJ93" s="153">
        <f>$C93*INDEX(Curves!$BG$8:$BG$68,AJ$4-$B93+1)</f>
        <v/>
      </c>
      <c r="AK93" s="153">
        <f>$C93*INDEX(Curves!$BG$8:$BG$68,AK$4-$B93+1)</f>
        <v/>
      </c>
      <c r="AL93" s="153">
        <f>$C93*INDEX(Curves!$BG$8:$BG$68,AL$4-$B93+1)</f>
        <v/>
      </c>
      <c r="AM93" s="153">
        <f>$C93*INDEX(Curves!$BG$8:$BG$68,AM$4-$B93+1)</f>
        <v/>
      </c>
      <c r="AN93" s="153">
        <f>$C93*INDEX(Curves!$BG$8:$BG$68,AN$4-$B93+1)</f>
        <v/>
      </c>
      <c r="AO93" s="153">
        <f>$C93*INDEX(Curves!$BG$8:$BG$68,AO$4-$B93+1)</f>
        <v/>
      </c>
      <c r="AP93" s="153">
        <f>$C93*INDEX(Curves!$BG$8:$BG$68,AP$4-$B93+1)</f>
        <v/>
      </c>
      <c r="AQ93" s="153">
        <f>$C93*INDEX(Curves!$BG$8:$BG$68,AQ$4-$B93+1)</f>
        <v/>
      </c>
      <c r="AR93" s="153">
        <f>$C93*INDEX(Curves!$BG$8:$BG$68,AR$4-$B93+1)</f>
        <v/>
      </c>
      <c r="AS93" s="153">
        <f>$C93*INDEX(Curves!$BG$8:$BG$68,AS$4-$B93+1)</f>
        <v/>
      </c>
      <c r="AT93" s="153">
        <f>$C93*INDEX(Curves!$BG$8:$BG$68,AT$4-$B93+1)</f>
        <v/>
      </c>
      <c r="AU93" s="153">
        <f>$C93*INDEX(Curves!$BG$8:$BG$68,AU$4-$B93+1)</f>
        <v/>
      </c>
      <c r="AV93" s="153">
        <f>$C93*INDEX(Curves!$BG$8:$BG$68,AV$4-$B93+1)</f>
        <v/>
      </c>
      <c r="AW93" s="153">
        <f>$C93*INDEX(Curves!$BG$8:$BG$68,AW$4-$B93+1)</f>
        <v/>
      </c>
      <c r="AX93" s="153">
        <f>$C93*INDEX(Curves!$BG$8:$BG$68,AX$4-$B93+1)</f>
        <v/>
      </c>
      <c r="AY93" s="153">
        <f>$C93*INDEX(Curves!$BG$8:$BG$68,AY$4-$B93+1)</f>
        <v/>
      </c>
      <c r="AZ93" s="153">
        <f>$C93*INDEX(Curves!$BG$8:$BG$68,AZ$4-$B93+1)</f>
        <v/>
      </c>
      <c r="BA93" s="153">
        <f>$C93*INDEX(Curves!$BG$8:$BG$68,BA$4-$B93+1)</f>
        <v/>
      </c>
      <c r="BB93" s="153">
        <f>$C93*INDEX(Curves!$BG$8:$BG$68,BB$4-$B93+1)</f>
        <v/>
      </c>
      <c r="BC93" s="153">
        <f>$C93*INDEX(Curves!$BG$8:$BG$68,BC$4-$B93+1)</f>
        <v/>
      </c>
      <c r="BD93" s="153">
        <f>$C93*INDEX(Curves!$BG$8:$BG$68,BD$4-$B93+1)</f>
        <v/>
      </c>
      <c r="BE93" s="153">
        <f>$C93*INDEX(Curves!$BG$8:$BG$68,BE$4-$B93+1)</f>
        <v/>
      </c>
      <c r="BF93" s="153">
        <f>$C93*INDEX(Curves!$BG$8:$BG$68,BF$4-$B93+1)</f>
        <v/>
      </c>
      <c r="BG93" s="153">
        <f>$C93*INDEX(Curves!$BG$8:$BG$68,BG$4-$B93+1)</f>
        <v/>
      </c>
      <c r="BH93" s="153">
        <f>$C93*INDEX(Curves!$BG$8:$BG$68,BH$4-$B93+1)</f>
        <v/>
      </c>
      <c r="BI93" s="153">
        <f>$C93*INDEX(Curves!$BG$8:$BG$68,BI$4-$B93+1)</f>
        <v/>
      </c>
      <c r="BJ93" s="153">
        <f>$C93*INDEX(Curves!$BG$8:$BG$68,BJ$4-$B93+1)</f>
        <v/>
      </c>
      <c r="BK93" s="153">
        <f>$C93*INDEX(Curves!$BG$8:$BG$68,BK$4-$B93+1)</f>
        <v/>
      </c>
      <c r="BL93" s="153">
        <f>$C93*INDEX(Curves!$BG$8:$BG$68,BL$4-$B93+1)</f>
        <v/>
      </c>
    </row>
    <row r="94">
      <c r="A94" s="147" t="inlineStr">
        <is>
          <t>Cohort month 22</t>
        </is>
      </c>
      <c r="B94" s="147" t="n">
        <v>22</v>
      </c>
      <c r="C94" s="41">
        <f>INDEX(Ops!$E$109:$BL$109,1,$B94)</f>
        <v/>
      </c>
      <c r="AA94" s="153">
        <f>$C94*INDEX(Curves!$BG$8:$BG$68,AA$4-$B94+1)</f>
        <v/>
      </c>
      <c r="AB94" s="153">
        <f>$C94*INDEX(Curves!$BG$8:$BG$68,AB$4-$B94+1)</f>
        <v/>
      </c>
      <c r="AC94" s="153">
        <f>$C94*INDEX(Curves!$BG$8:$BG$68,AC$4-$B94+1)</f>
        <v/>
      </c>
      <c r="AD94" s="153">
        <f>$C94*INDEX(Curves!$BG$8:$BG$68,AD$4-$B94+1)</f>
        <v/>
      </c>
      <c r="AE94" s="153">
        <f>$C94*INDEX(Curves!$BG$8:$BG$68,AE$4-$B94+1)</f>
        <v/>
      </c>
      <c r="AF94" s="153">
        <f>$C94*INDEX(Curves!$BG$8:$BG$68,AF$4-$B94+1)</f>
        <v/>
      </c>
      <c r="AG94" s="153">
        <f>$C94*INDEX(Curves!$BG$8:$BG$68,AG$4-$B94+1)</f>
        <v/>
      </c>
      <c r="AH94" s="153">
        <f>$C94*INDEX(Curves!$BG$8:$BG$68,AH$4-$B94+1)</f>
        <v/>
      </c>
      <c r="AI94" s="153">
        <f>$C94*INDEX(Curves!$BG$8:$BG$68,AI$4-$B94+1)</f>
        <v/>
      </c>
      <c r="AJ94" s="153">
        <f>$C94*INDEX(Curves!$BG$8:$BG$68,AJ$4-$B94+1)</f>
        <v/>
      </c>
      <c r="AK94" s="153">
        <f>$C94*INDEX(Curves!$BG$8:$BG$68,AK$4-$B94+1)</f>
        <v/>
      </c>
      <c r="AL94" s="153">
        <f>$C94*INDEX(Curves!$BG$8:$BG$68,AL$4-$B94+1)</f>
        <v/>
      </c>
      <c r="AM94" s="153">
        <f>$C94*INDEX(Curves!$BG$8:$BG$68,AM$4-$B94+1)</f>
        <v/>
      </c>
      <c r="AN94" s="153">
        <f>$C94*INDEX(Curves!$BG$8:$BG$68,AN$4-$B94+1)</f>
        <v/>
      </c>
      <c r="AO94" s="153">
        <f>$C94*INDEX(Curves!$BG$8:$BG$68,AO$4-$B94+1)</f>
        <v/>
      </c>
      <c r="AP94" s="153">
        <f>$C94*INDEX(Curves!$BG$8:$BG$68,AP$4-$B94+1)</f>
        <v/>
      </c>
      <c r="AQ94" s="153">
        <f>$C94*INDEX(Curves!$BG$8:$BG$68,AQ$4-$B94+1)</f>
        <v/>
      </c>
      <c r="AR94" s="153">
        <f>$C94*INDEX(Curves!$BG$8:$BG$68,AR$4-$B94+1)</f>
        <v/>
      </c>
      <c r="AS94" s="153">
        <f>$C94*INDEX(Curves!$BG$8:$BG$68,AS$4-$B94+1)</f>
        <v/>
      </c>
      <c r="AT94" s="153">
        <f>$C94*INDEX(Curves!$BG$8:$BG$68,AT$4-$B94+1)</f>
        <v/>
      </c>
      <c r="AU94" s="153">
        <f>$C94*INDEX(Curves!$BG$8:$BG$68,AU$4-$B94+1)</f>
        <v/>
      </c>
      <c r="AV94" s="153">
        <f>$C94*INDEX(Curves!$BG$8:$BG$68,AV$4-$B94+1)</f>
        <v/>
      </c>
      <c r="AW94" s="153">
        <f>$C94*INDEX(Curves!$BG$8:$BG$68,AW$4-$B94+1)</f>
        <v/>
      </c>
      <c r="AX94" s="153">
        <f>$C94*INDEX(Curves!$BG$8:$BG$68,AX$4-$B94+1)</f>
        <v/>
      </c>
      <c r="AY94" s="153">
        <f>$C94*INDEX(Curves!$BG$8:$BG$68,AY$4-$B94+1)</f>
        <v/>
      </c>
      <c r="AZ94" s="153">
        <f>$C94*INDEX(Curves!$BG$8:$BG$68,AZ$4-$B94+1)</f>
        <v/>
      </c>
      <c r="BA94" s="153">
        <f>$C94*INDEX(Curves!$BG$8:$BG$68,BA$4-$B94+1)</f>
        <v/>
      </c>
      <c r="BB94" s="153">
        <f>$C94*INDEX(Curves!$BG$8:$BG$68,BB$4-$B94+1)</f>
        <v/>
      </c>
      <c r="BC94" s="153">
        <f>$C94*INDEX(Curves!$BG$8:$BG$68,BC$4-$B94+1)</f>
        <v/>
      </c>
      <c r="BD94" s="153">
        <f>$C94*INDEX(Curves!$BG$8:$BG$68,BD$4-$B94+1)</f>
        <v/>
      </c>
      <c r="BE94" s="153">
        <f>$C94*INDEX(Curves!$BG$8:$BG$68,BE$4-$B94+1)</f>
        <v/>
      </c>
      <c r="BF94" s="153">
        <f>$C94*INDEX(Curves!$BG$8:$BG$68,BF$4-$B94+1)</f>
        <v/>
      </c>
      <c r="BG94" s="153">
        <f>$C94*INDEX(Curves!$BG$8:$BG$68,BG$4-$B94+1)</f>
        <v/>
      </c>
      <c r="BH94" s="153">
        <f>$C94*INDEX(Curves!$BG$8:$BG$68,BH$4-$B94+1)</f>
        <v/>
      </c>
      <c r="BI94" s="153">
        <f>$C94*INDEX(Curves!$BG$8:$BG$68,BI$4-$B94+1)</f>
        <v/>
      </c>
      <c r="BJ94" s="153">
        <f>$C94*INDEX(Curves!$BG$8:$BG$68,BJ$4-$B94+1)</f>
        <v/>
      </c>
      <c r="BK94" s="153">
        <f>$C94*INDEX(Curves!$BG$8:$BG$68,BK$4-$B94+1)</f>
        <v/>
      </c>
      <c r="BL94" s="153">
        <f>$C94*INDEX(Curves!$BG$8:$BG$68,BL$4-$B94+1)</f>
        <v/>
      </c>
    </row>
    <row r="95">
      <c r="A95" s="147" t="inlineStr">
        <is>
          <t>Cohort month 23</t>
        </is>
      </c>
      <c r="B95" s="147" t="n">
        <v>23</v>
      </c>
      <c r="C95" s="41">
        <f>INDEX(Ops!$E$109:$BL$109,1,$B95)</f>
        <v/>
      </c>
      <c r="AB95" s="153">
        <f>$C95*INDEX(Curves!$BG$8:$BG$68,AB$4-$B95+1)</f>
        <v/>
      </c>
      <c r="AC95" s="153">
        <f>$C95*INDEX(Curves!$BG$8:$BG$68,AC$4-$B95+1)</f>
        <v/>
      </c>
      <c r="AD95" s="153">
        <f>$C95*INDEX(Curves!$BG$8:$BG$68,AD$4-$B95+1)</f>
        <v/>
      </c>
      <c r="AE95" s="153">
        <f>$C95*INDEX(Curves!$BG$8:$BG$68,AE$4-$B95+1)</f>
        <v/>
      </c>
      <c r="AF95" s="153">
        <f>$C95*INDEX(Curves!$BG$8:$BG$68,AF$4-$B95+1)</f>
        <v/>
      </c>
      <c r="AG95" s="153">
        <f>$C95*INDEX(Curves!$BG$8:$BG$68,AG$4-$B95+1)</f>
        <v/>
      </c>
      <c r="AH95" s="153">
        <f>$C95*INDEX(Curves!$BG$8:$BG$68,AH$4-$B95+1)</f>
        <v/>
      </c>
      <c r="AI95" s="153">
        <f>$C95*INDEX(Curves!$BG$8:$BG$68,AI$4-$B95+1)</f>
        <v/>
      </c>
      <c r="AJ95" s="153">
        <f>$C95*INDEX(Curves!$BG$8:$BG$68,AJ$4-$B95+1)</f>
        <v/>
      </c>
      <c r="AK95" s="153">
        <f>$C95*INDEX(Curves!$BG$8:$BG$68,AK$4-$B95+1)</f>
        <v/>
      </c>
      <c r="AL95" s="153">
        <f>$C95*INDEX(Curves!$BG$8:$BG$68,AL$4-$B95+1)</f>
        <v/>
      </c>
      <c r="AM95" s="153">
        <f>$C95*INDEX(Curves!$BG$8:$BG$68,AM$4-$B95+1)</f>
        <v/>
      </c>
      <c r="AN95" s="153">
        <f>$C95*INDEX(Curves!$BG$8:$BG$68,AN$4-$B95+1)</f>
        <v/>
      </c>
      <c r="AO95" s="153">
        <f>$C95*INDEX(Curves!$BG$8:$BG$68,AO$4-$B95+1)</f>
        <v/>
      </c>
      <c r="AP95" s="153">
        <f>$C95*INDEX(Curves!$BG$8:$BG$68,AP$4-$B95+1)</f>
        <v/>
      </c>
      <c r="AQ95" s="153">
        <f>$C95*INDEX(Curves!$BG$8:$BG$68,AQ$4-$B95+1)</f>
        <v/>
      </c>
      <c r="AR95" s="153">
        <f>$C95*INDEX(Curves!$BG$8:$BG$68,AR$4-$B95+1)</f>
        <v/>
      </c>
      <c r="AS95" s="153">
        <f>$C95*INDEX(Curves!$BG$8:$BG$68,AS$4-$B95+1)</f>
        <v/>
      </c>
      <c r="AT95" s="153">
        <f>$C95*INDEX(Curves!$BG$8:$BG$68,AT$4-$B95+1)</f>
        <v/>
      </c>
      <c r="AU95" s="153">
        <f>$C95*INDEX(Curves!$BG$8:$BG$68,AU$4-$B95+1)</f>
        <v/>
      </c>
      <c r="AV95" s="153">
        <f>$C95*INDEX(Curves!$BG$8:$BG$68,AV$4-$B95+1)</f>
        <v/>
      </c>
      <c r="AW95" s="153">
        <f>$C95*INDEX(Curves!$BG$8:$BG$68,AW$4-$B95+1)</f>
        <v/>
      </c>
      <c r="AX95" s="153">
        <f>$C95*INDEX(Curves!$BG$8:$BG$68,AX$4-$B95+1)</f>
        <v/>
      </c>
      <c r="AY95" s="153">
        <f>$C95*INDEX(Curves!$BG$8:$BG$68,AY$4-$B95+1)</f>
        <v/>
      </c>
      <c r="AZ95" s="153">
        <f>$C95*INDEX(Curves!$BG$8:$BG$68,AZ$4-$B95+1)</f>
        <v/>
      </c>
      <c r="BA95" s="153">
        <f>$C95*INDEX(Curves!$BG$8:$BG$68,BA$4-$B95+1)</f>
        <v/>
      </c>
      <c r="BB95" s="153">
        <f>$C95*INDEX(Curves!$BG$8:$BG$68,BB$4-$B95+1)</f>
        <v/>
      </c>
      <c r="BC95" s="153">
        <f>$C95*INDEX(Curves!$BG$8:$BG$68,BC$4-$B95+1)</f>
        <v/>
      </c>
      <c r="BD95" s="153">
        <f>$C95*INDEX(Curves!$BG$8:$BG$68,BD$4-$B95+1)</f>
        <v/>
      </c>
      <c r="BE95" s="153">
        <f>$C95*INDEX(Curves!$BG$8:$BG$68,BE$4-$B95+1)</f>
        <v/>
      </c>
      <c r="BF95" s="153">
        <f>$C95*INDEX(Curves!$BG$8:$BG$68,BF$4-$B95+1)</f>
        <v/>
      </c>
      <c r="BG95" s="153">
        <f>$C95*INDEX(Curves!$BG$8:$BG$68,BG$4-$B95+1)</f>
        <v/>
      </c>
      <c r="BH95" s="153">
        <f>$C95*INDEX(Curves!$BG$8:$BG$68,BH$4-$B95+1)</f>
        <v/>
      </c>
      <c r="BI95" s="153">
        <f>$C95*INDEX(Curves!$BG$8:$BG$68,BI$4-$B95+1)</f>
        <v/>
      </c>
      <c r="BJ95" s="153">
        <f>$C95*INDEX(Curves!$BG$8:$BG$68,BJ$4-$B95+1)</f>
        <v/>
      </c>
      <c r="BK95" s="153">
        <f>$C95*INDEX(Curves!$BG$8:$BG$68,BK$4-$B95+1)</f>
        <v/>
      </c>
      <c r="BL95" s="153">
        <f>$C95*INDEX(Curves!$BG$8:$BG$68,BL$4-$B95+1)</f>
        <v/>
      </c>
    </row>
    <row r="96">
      <c r="A96" s="147" t="inlineStr">
        <is>
          <t>Cohort month 24</t>
        </is>
      </c>
      <c r="B96" s="147" t="n">
        <v>24</v>
      </c>
      <c r="C96" s="41">
        <f>INDEX(Ops!$E$109:$BL$109,1,$B96)</f>
        <v/>
      </c>
      <c r="AC96" s="153">
        <f>$C96*INDEX(Curves!$BG$8:$BG$68,AC$4-$B96+1)</f>
        <v/>
      </c>
      <c r="AD96" s="153">
        <f>$C96*INDEX(Curves!$BG$8:$BG$68,AD$4-$B96+1)</f>
        <v/>
      </c>
      <c r="AE96" s="153">
        <f>$C96*INDEX(Curves!$BG$8:$BG$68,AE$4-$B96+1)</f>
        <v/>
      </c>
      <c r="AF96" s="153">
        <f>$C96*INDEX(Curves!$BG$8:$BG$68,AF$4-$B96+1)</f>
        <v/>
      </c>
      <c r="AG96" s="153">
        <f>$C96*INDEX(Curves!$BG$8:$BG$68,AG$4-$B96+1)</f>
        <v/>
      </c>
      <c r="AH96" s="153">
        <f>$C96*INDEX(Curves!$BG$8:$BG$68,AH$4-$B96+1)</f>
        <v/>
      </c>
      <c r="AI96" s="153">
        <f>$C96*INDEX(Curves!$BG$8:$BG$68,AI$4-$B96+1)</f>
        <v/>
      </c>
      <c r="AJ96" s="153">
        <f>$C96*INDEX(Curves!$BG$8:$BG$68,AJ$4-$B96+1)</f>
        <v/>
      </c>
      <c r="AK96" s="153">
        <f>$C96*INDEX(Curves!$BG$8:$BG$68,AK$4-$B96+1)</f>
        <v/>
      </c>
      <c r="AL96" s="153">
        <f>$C96*INDEX(Curves!$BG$8:$BG$68,AL$4-$B96+1)</f>
        <v/>
      </c>
      <c r="AM96" s="153">
        <f>$C96*INDEX(Curves!$BG$8:$BG$68,AM$4-$B96+1)</f>
        <v/>
      </c>
      <c r="AN96" s="153">
        <f>$C96*INDEX(Curves!$BG$8:$BG$68,AN$4-$B96+1)</f>
        <v/>
      </c>
      <c r="AO96" s="153">
        <f>$C96*INDEX(Curves!$BG$8:$BG$68,AO$4-$B96+1)</f>
        <v/>
      </c>
      <c r="AP96" s="153">
        <f>$C96*INDEX(Curves!$BG$8:$BG$68,AP$4-$B96+1)</f>
        <v/>
      </c>
      <c r="AQ96" s="153">
        <f>$C96*INDEX(Curves!$BG$8:$BG$68,AQ$4-$B96+1)</f>
        <v/>
      </c>
      <c r="AR96" s="153">
        <f>$C96*INDEX(Curves!$BG$8:$BG$68,AR$4-$B96+1)</f>
        <v/>
      </c>
      <c r="AS96" s="153">
        <f>$C96*INDEX(Curves!$BG$8:$BG$68,AS$4-$B96+1)</f>
        <v/>
      </c>
      <c r="AT96" s="153">
        <f>$C96*INDEX(Curves!$BG$8:$BG$68,AT$4-$B96+1)</f>
        <v/>
      </c>
      <c r="AU96" s="153">
        <f>$C96*INDEX(Curves!$BG$8:$BG$68,AU$4-$B96+1)</f>
        <v/>
      </c>
      <c r="AV96" s="153">
        <f>$C96*INDEX(Curves!$BG$8:$BG$68,AV$4-$B96+1)</f>
        <v/>
      </c>
      <c r="AW96" s="153">
        <f>$C96*INDEX(Curves!$BG$8:$BG$68,AW$4-$B96+1)</f>
        <v/>
      </c>
      <c r="AX96" s="153">
        <f>$C96*INDEX(Curves!$BG$8:$BG$68,AX$4-$B96+1)</f>
        <v/>
      </c>
      <c r="AY96" s="153">
        <f>$C96*INDEX(Curves!$BG$8:$BG$68,AY$4-$B96+1)</f>
        <v/>
      </c>
      <c r="AZ96" s="153">
        <f>$C96*INDEX(Curves!$BG$8:$BG$68,AZ$4-$B96+1)</f>
        <v/>
      </c>
      <c r="BA96" s="153">
        <f>$C96*INDEX(Curves!$BG$8:$BG$68,BA$4-$B96+1)</f>
        <v/>
      </c>
      <c r="BB96" s="153">
        <f>$C96*INDEX(Curves!$BG$8:$BG$68,BB$4-$B96+1)</f>
        <v/>
      </c>
      <c r="BC96" s="153">
        <f>$C96*INDEX(Curves!$BG$8:$BG$68,BC$4-$B96+1)</f>
        <v/>
      </c>
      <c r="BD96" s="153">
        <f>$C96*INDEX(Curves!$BG$8:$BG$68,BD$4-$B96+1)</f>
        <v/>
      </c>
      <c r="BE96" s="153">
        <f>$C96*INDEX(Curves!$BG$8:$BG$68,BE$4-$B96+1)</f>
        <v/>
      </c>
      <c r="BF96" s="153">
        <f>$C96*INDEX(Curves!$BG$8:$BG$68,BF$4-$B96+1)</f>
        <v/>
      </c>
      <c r="BG96" s="153">
        <f>$C96*INDEX(Curves!$BG$8:$BG$68,BG$4-$B96+1)</f>
        <v/>
      </c>
      <c r="BH96" s="153">
        <f>$C96*INDEX(Curves!$BG$8:$BG$68,BH$4-$B96+1)</f>
        <v/>
      </c>
      <c r="BI96" s="153">
        <f>$C96*INDEX(Curves!$BG$8:$BG$68,BI$4-$B96+1)</f>
        <v/>
      </c>
      <c r="BJ96" s="153">
        <f>$C96*INDEX(Curves!$BG$8:$BG$68,BJ$4-$B96+1)</f>
        <v/>
      </c>
      <c r="BK96" s="153">
        <f>$C96*INDEX(Curves!$BG$8:$BG$68,BK$4-$B96+1)</f>
        <v/>
      </c>
      <c r="BL96" s="153">
        <f>$C96*INDEX(Curves!$BG$8:$BG$68,BL$4-$B96+1)</f>
        <v/>
      </c>
    </row>
    <row r="97">
      <c r="A97" s="147" t="inlineStr">
        <is>
          <t>Cohort month 25</t>
        </is>
      </c>
      <c r="B97" s="147" t="n">
        <v>25</v>
      </c>
      <c r="C97" s="41">
        <f>INDEX(Ops!$E$109:$BL$109,1,$B97)</f>
        <v/>
      </c>
      <c r="AD97" s="153">
        <f>$C97*INDEX(Curves!$BG$8:$BG$68,AD$4-$B97+1)</f>
        <v/>
      </c>
      <c r="AE97" s="153">
        <f>$C97*INDEX(Curves!$BG$8:$BG$68,AE$4-$B97+1)</f>
        <v/>
      </c>
      <c r="AF97" s="153">
        <f>$C97*INDEX(Curves!$BG$8:$BG$68,AF$4-$B97+1)</f>
        <v/>
      </c>
      <c r="AG97" s="153">
        <f>$C97*INDEX(Curves!$BG$8:$BG$68,AG$4-$B97+1)</f>
        <v/>
      </c>
      <c r="AH97" s="153">
        <f>$C97*INDEX(Curves!$BG$8:$BG$68,AH$4-$B97+1)</f>
        <v/>
      </c>
      <c r="AI97" s="153">
        <f>$C97*INDEX(Curves!$BG$8:$BG$68,AI$4-$B97+1)</f>
        <v/>
      </c>
      <c r="AJ97" s="153">
        <f>$C97*INDEX(Curves!$BG$8:$BG$68,AJ$4-$B97+1)</f>
        <v/>
      </c>
      <c r="AK97" s="153">
        <f>$C97*INDEX(Curves!$BG$8:$BG$68,AK$4-$B97+1)</f>
        <v/>
      </c>
      <c r="AL97" s="153">
        <f>$C97*INDEX(Curves!$BG$8:$BG$68,AL$4-$B97+1)</f>
        <v/>
      </c>
      <c r="AM97" s="153">
        <f>$C97*INDEX(Curves!$BG$8:$BG$68,AM$4-$B97+1)</f>
        <v/>
      </c>
      <c r="AN97" s="153">
        <f>$C97*INDEX(Curves!$BG$8:$BG$68,AN$4-$B97+1)</f>
        <v/>
      </c>
      <c r="AO97" s="153">
        <f>$C97*INDEX(Curves!$BG$8:$BG$68,AO$4-$B97+1)</f>
        <v/>
      </c>
      <c r="AP97" s="153">
        <f>$C97*INDEX(Curves!$BG$8:$BG$68,AP$4-$B97+1)</f>
        <v/>
      </c>
      <c r="AQ97" s="153">
        <f>$C97*INDEX(Curves!$BG$8:$BG$68,AQ$4-$B97+1)</f>
        <v/>
      </c>
      <c r="AR97" s="153">
        <f>$C97*INDEX(Curves!$BG$8:$BG$68,AR$4-$B97+1)</f>
        <v/>
      </c>
      <c r="AS97" s="153">
        <f>$C97*INDEX(Curves!$BG$8:$BG$68,AS$4-$B97+1)</f>
        <v/>
      </c>
      <c r="AT97" s="153">
        <f>$C97*INDEX(Curves!$BG$8:$BG$68,AT$4-$B97+1)</f>
        <v/>
      </c>
      <c r="AU97" s="153">
        <f>$C97*INDEX(Curves!$BG$8:$BG$68,AU$4-$B97+1)</f>
        <v/>
      </c>
      <c r="AV97" s="153">
        <f>$C97*INDEX(Curves!$BG$8:$BG$68,AV$4-$B97+1)</f>
        <v/>
      </c>
      <c r="AW97" s="153">
        <f>$C97*INDEX(Curves!$BG$8:$BG$68,AW$4-$B97+1)</f>
        <v/>
      </c>
      <c r="AX97" s="153">
        <f>$C97*INDEX(Curves!$BG$8:$BG$68,AX$4-$B97+1)</f>
        <v/>
      </c>
      <c r="AY97" s="153">
        <f>$C97*INDEX(Curves!$BG$8:$BG$68,AY$4-$B97+1)</f>
        <v/>
      </c>
      <c r="AZ97" s="153">
        <f>$C97*INDEX(Curves!$BG$8:$BG$68,AZ$4-$B97+1)</f>
        <v/>
      </c>
      <c r="BA97" s="153">
        <f>$C97*INDEX(Curves!$BG$8:$BG$68,BA$4-$B97+1)</f>
        <v/>
      </c>
      <c r="BB97" s="153">
        <f>$C97*INDEX(Curves!$BG$8:$BG$68,BB$4-$B97+1)</f>
        <v/>
      </c>
      <c r="BC97" s="153">
        <f>$C97*INDEX(Curves!$BG$8:$BG$68,BC$4-$B97+1)</f>
        <v/>
      </c>
      <c r="BD97" s="153">
        <f>$C97*INDEX(Curves!$BG$8:$BG$68,BD$4-$B97+1)</f>
        <v/>
      </c>
      <c r="BE97" s="153">
        <f>$C97*INDEX(Curves!$BG$8:$BG$68,BE$4-$B97+1)</f>
        <v/>
      </c>
      <c r="BF97" s="153">
        <f>$C97*INDEX(Curves!$BG$8:$BG$68,BF$4-$B97+1)</f>
        <v/>
      </c>
      <c r="BG97" s="153">
        <f>$C97*INDEX(Curves!$BG$8:$BG$68,BG$4-$B97+1)</f>
        <v/>
      </c>
      <c r="BH97" s="153">
        <f>$C97*INDEX(Curves!$BG$8:$BG$68,BH$4-$B97+1)</f>
        <v/>
      </c>
      <c r="BI97" s="153">
        <f>$C97*INDEX(Curves!$BG$8:$BG$68,BI$4-$B97+1)</f>
        <v/>
      </c>
      <c r="BJ97" s="153">
        <f>$C97*INDEX(Curves!$BG$8:$BG$68,BJ$4-$B97+1)</f>
        <v/>
      </c>
      <c r="BK97" s="153">
        <f>$C97*INDEX(Curves!$BG$8:$BG$68,BK$4-$B97+1)</f>
        <v/>
      </c>
      <c r="BL97" s="153">
        <f>$C97*INDEX(Curves!$BG$8:$BG$68,BL$4-$B97+1)</f>
        <v/>
      </c>
    </row>
    <row r="98">
      <c r="A98" s="147" t="inlineStr">
        <is>
          <t>Cohort month 26</t>
        </is>
      </c>
      <c r="B98" s="147" t="n">
        <v>26</v>
      </c>
      <c r="C98" s="41">
        <f>INDEX(Ops!$E$109:$BL$109,1,$B98)</f>
        <v/>
      </c>
      <c r="AE98" s="153">
        <f>$C98*INDEX(Curves!$BG$8:$BG$68,AE$4-$B98+1)</f>
        <v/>
      </c>
      <c r="AF98" s="153">
        <f>$C98*INDEX(Curves!$BG$8:$BG$68,AF$4-$B98+1)</f>
        <v/>
      </c>
      <c r="AG98" s="153">
        <f>$C98*INDEX(Curves!$BG$8:$BG$68,AG$4-$B98+1)</f>
        <v/>
      </c>
      <c r="AH98" s="153">
        <f>$C98*INDEX(Curves!$BG$8:$BG$68,AH$4-$B98+1)</f>
        <v/>
      </c>
      <c r="AI98" s="153">
        <f>$C98*INDEX(Curves!$BG$8:$BG$68,AI$4-$B98+1)</f>
        <v/>
      </c>
      <c r="AJ98" s="153">
        <f>$C98*INDEX(Curves!$BG$8:$BG$68,AJ$4-$B98+1)</f>
        <v/>
      </c>
      <c r="AK98" s="153">
        <f>$C98*INDEX(Curves!$BG$8:$BG$68,AK$4-$B98+1)</f>
        <v/>
      </c>
      <c r="AL98" s="153">
        <f>$C98*INDEX(Curves!$BG$8:$BG$68,AL$4-$B98+1)</f>
        <v/>
      </c>
      <c r="AM98" s="153">
        <f>$C98*INDEX(Curves!$BG$8:$BG$68,AM$4-$B98+1)</f>
        <v/>
      </c>
      <c r="AN98" s="153">
        <f>$C98*INDEX(Curves!$BG$8:$BG$68,AN$4-$B98+1)</f>
        <v/>
      </c>
      <c r="AO98" s="153">
        <f>$C98*INDEX(Curves!$BG$8:$BG$68,AO$4-$B98+1)</f>
        <v/>
      </c>
      <c r="AP98" s="153">
        <f>$C98*INDEX(Curves!$BG$8:$BG$68,AP$4-$B98+1)</f>
        <v/>
      </c>
      <c r="AQ98" s="153">
        <f>$C98*INDEX(Curves!$BG$8:$BG$68,AQ$4-$B98+1)</f>
        <v/>
      </c>
      <c r="AR98" s="153">
        <f>$C98*INDEX(Curves!$BG$8:$BG$68,AR$4-$B98+1)</f>
        <v/>
      </c>
      <c r="AS98" s="153">
        <f>$C98*INDEX(Curves!$BG$8:$BG$68,AS$4-$B98+1)</f>
        <v/>
      </c>
      <c r="AT98" s="153">
        <f>$C98*INDEX(Curves!$BG$8:$BG$68,AT$4-$B98+1)</f>
        <v/>
      </c>
      <c r="AU98" s="153">
        <f>$C98*INDEX(Curves!$BG$8:$BG$68,AU$4-$B98+1)</f>
        <v/>
      </c>
      <c r="AV98" s="153">
        <f>$C98*INDEX(Curves!$BG$8:$BG$68,AV$4-$B98+1)</f>
        <v/>
      </c>
      <c r="AW98" s="153">
        <f>$C98*INDEX(Curves!$BG$8:$BG$68,AW$4-$B98+1)</f>
        <v/>
      </c>
      <c r="AX98" s="153">
        <f>$C98*INDEX(Curves!$BG$8:$BG$68,AX$4-$B98+1)</f>
        <v/>
      </c>
      <c r="AY98" s="153">
        <f>$C98*INDEX(Curves!$BG$8:$BG$68,AY$4-$B98+1)</f>
        <v/>
      </c>
      <c r="AZ98" s="153">
        <f>$C98*INDEX(Curves!$BG$8:$BG$68,AZ$4-$B98+1)</f>
        <v/>
      </c>
      <c r="BA98" s="153">
        <f>$C98*INDEX(Curves!$BG$8:$BG$68,BA$4-$B98+1)</f>
        <v/>
      </c>
      <c r="BB98" s="153">
        <f>$C98*INDEX(Curves!$BG$8:$BG$68,BB$4-$B98+1)</f>
        <v/>
      </c>
      <c r="BC98" s="153">
        <f>$C98*INDEX(Curves!$BG$8:$BG$68,BC$4-$B98+1)</f>
        <v/>
      </c>
      <c r="BD98" s="153">
        <f>$C98*INDEX(Curves!$BG$8:$BG$68,BD$4-$B98+1)</f>
        <v/>
      </c>
      <c r="BE98" s="153">
        <f>$C98*INDEX(Curves!$BG$8:$BG$68,BE$4-$B98+1)</f>
        <v/>
      </c>
      <c r="BF98" s="153">
        <f>$C98*INDEX(Curves!$BG$8:$BG$68,BF$4-$B98+1)</f>
        <v/>
      </c>
      <c r="BG98" s="153">
        <f>$C98*INDEX(Curves!$BG$8:$BG$68,BG$4-$B98+1)</f>
        <v/>
      </c>
      <c r="BH98" s="153">
        <f>$C98*INDEX(Curves!$BG$8:$BG$68,BH$4-$B98+1)</f>
        <v/>
      </c>
      <c r="BI98" s="153">
        <f>$C98*INDEX(Curves!$BG$8:$BG$68,BI$4-$B98+1)</f>
        <v/>
      </c>
      <c r="BJ98" s="153">
        <f>$C98*INDEX(Curves!$BG$8:$BG$68,BJ$4-$B98+1)</f>
        <v/>
      </c>
      <c r="BK98" s="153">
        <f>$C98*INDEX(Curves!$BG$8:$BG$68,BK$4-$B98+1)</f>
        <v/>
      </c>
      <c r="BL98" s="153">
        <f>$C98*INDEX(Curves!$BG$8:$BG$68,BL$4-$B98+1)</f>
        <v/>
      </c>
    </row>
    <row r="99">
      <c r="A99" s="147" t="inlineStr">
        <is>
          <t>Cohort month 27</t>
        </is>
      </c>
      <c r="B99" s="147" t="n">
        <v>27</v>
      </c>
      <c r="C99" s="41">
        <f>INDEX(Ops!$E$109:$BL$109,1,$B99)</f>
        <v/>
      </c>
      <c r="AF99" s="153">
        <f>$C99*INDEX(Curves!$BG$8:$BG$68,AF$4-$B99+1)</f>
        <v/>
      </c>
      <c r="AG99" s="153">
        <f>$C99*INDEX(Curves!$BG$8:$BG$68,AG$4-$B99+1)</f>
        <v/>
      </c>
      <c r="AH99" s="153">
        <f>$C99*INDEX(Curves!$BG$8:$BG$68,AH$4-$B99+1)</f>
        <v/>
      </c>
      <c r="AI99" s="153">
        <f>$C99*INDEX(Curves!$BG$8:$BG$68,AI$4-$B99+1)</f>
        <v/>
      </c>
      <c r="AJ99" s="153">
        <f>$C99*INDEX(Curves!$BG$8:$BG$68,AJ$4-$B99+1)</f>
        <v/>
      </c>
      <c r="AK99" s="153">
        <f>$C99*INDEX(Curves!$BG$8:$BG$68,AK$4-$B99+1)</f>
        <v/>
      </c>
      <c r="AL99" s="153">
        <f>$C99*INDEX(Curves!$BG$8:$BG$68,AL$4-$B99+1)</f>
        <v/>
      </c>
      <c r="AM99" s="153">
        <f>$C99*INDEX(Curves!$BG$8:$BG$68,AM$4-$B99+1)</f>
        <v/>
      </c>
      <c r="AN99" s="153">
        <f>$C99*INDEX(Curves!$BG$8:$BG$68,AN$4-$B99+1)</f>
        <v/>
      </c>
      <c r="AO99" s="153">
        <f>$C99*INDEX(Curves!$BG$8:$BG$68,AO$4-$B99+1)</f>
        <v/>
      </c>
      <c r="AP99" s="153">
        <f>$C99*INDEX(Curves!$BG$8:$BG$68,AP$4-$B99+1)</f>
        <v/>
      </c>
      <c r="AQ99" s="153">
        <f>$C99*INDEX(Curves!$BG$8:$BG$68,AQ$4-$B99+1)</f>
        <v/>
      </c>
      <c r="AR99" s="153">
        <f>$C99*INDEX(Curves!$BG$8:$BG$68,AR$4-$B99+1)</f>
        <v/>
      </c>
      <c r="AS99" s="153">
        <f>$C99*INDEX(Curves!$BG$8:$BG$68,AS$4-$B99+1)</f>
        <v/>
      </c>
      <c r="AT99" s="153">
        <f>$C99*INDEX(Curves!$BG$8:$BG$68,AT$4-$B99+1)</f>
        <v/>
      </c>
      <c r="AU99" s="153">
        <f>$C99*INDEX(Curves!$BG$8:$BG$68,AU$4-$B99+1)</f>
        <v/>
      </c>
      <c r="AV99" s="153">
        <f>$C99*INDEX(Curves!$BG$8:$BG$68,AV$4-$B99+1)</f>
        <v/>
      </c>
      <c r="AW99" s="153">
        <f>$C99*INDEX(Curves!$BG$8:$BG$68,AW$4-$B99+1)</f>
        <v/>
      </c>
      <c r="AX99" s="153">
        <f>$C99*INDEX(Curves!$BG$8:$BG$68,AX$4-$B99+1)</f>
        <v/>
      </c>
      <c r="AY99" s="153">
        <f>$C99*INDEX(Curves!$BG$8:$BG$68,AY$4-$B99+1)</f>
        <v/>
      </c>
      <c r="AZ99" s="153">
        <f>$C99*INDEX(Curves!$BG$8:$BG$68,AZ$4-$B99+1)</f>
        <v/>
      </c>
      <c r="BA99" s="153">
        <f>$C99*INDEX(Curves!$BG$8:$BG$68,BA$4-$B99+1)</f>
        <v/>
      </c>
      <c r="BB99" s="153">
        <f>$C99*INDEX(Curves!$BG$8:$BG$68,BB$4-$B99+1)</f>
        <v/>
      </c>
      <c r="BC99" s="153">
        <f>$C99*INDEX(Curves!$BG$8:$BG$68,BC$4-$B99+1)</f>
        <v/>
      </c>
      <c r="BD99" s="153">
        <f>$C99*INDEX(Curves!$BG$8:$BG$68,BD$4-$B99+1)</f>
        <v/>
      </c>
      <c r="BE99" s="153">
        <f>$C99*INDEX(Curves!$BG$8:$BG$68,BE$4-$B99+1)</f>
        <v/>
      </c>
      <c r="BF99" s="153">
        <f>$C99*INDEX(Curves!$BG$8:$BG$68,BF$4-$B99+1)</f>
        <v/>
      </c>
      <c r="BG99" s="153">
        <f>$C99*INDEX(Curves!$BG$8:$BG$68,BG$4-$B99+1)</f>
        <v/>
      </c>
      <c r="BH99" s="153">
        <f>$C99*INDEX(Curves!$BG$8:$BG$68,BH$4-$B99+1)</f>
        <v/>
      </c>
      <c r="BI99" s="153">
        <f>$C99*INDEX(Curves!$BG$8:$BG$68,BI$4-$B99+1)</f>
        <v/>
      </c>
      <c r="BJ99" s="153">
        <f>$C99*INDEX(Curves!$BG$8:$BG$68,BJ$4-$B99+1)</f>
        <v/>
      </c>
      <c r="BK99" s="153">
        <f>$C99*INDEX(Curves!$BG$8:$BG$68,BK$4-$B99+1)</f>
        <v/>
      </c>
      <c r="BL99" s="153">
        <f>$C99*INDEX(Curves!$BG$8:$BG$68,BL$4-$B99+1)</f>
        <v/>
      </c>
    </row>
    <row r="100">
      <c r="A100" s="147" t="inlineStr">
        <is>
          <t>Cohort month 28</t>
        </is>
      </c>
      <c r="B100" s="147" t="n">
        <v>28</v>
      </c>
      <c r="C100" s="41">
        <f>INDEX(Ops!$E$109:$BL$109,1,$B100)</f>
        <v/>
      </c>
      <c r="AG100" s="153">
        <f>$C100*INDEX(Curves!$BG$8:$BG$68,AG$4-$B100+1)</f>
        <v/>
      </c>
      <c r="AH100" s="153">
        <f>$C100*INDEX(Curves!$BG$8:$BG$68,AH$4-$B100+1)</f>
        <v/>
      </c>
      <c r="AI100" s="153">
        <f>$C100*INDEX(Curves!$BG$8:$BG$68,AI$4-$B100+1)</f>
        <v/>
      </c>
      <c r="AJ100" s="153">
        <f>$C100*INDEX(Curves!$BG$8:$BG$68,AJ$4-$B100+1)</f>
        <v/>
      </c>
      <c r="AK100" s="153">
        <f>$C100*INDEX(Curves!$BG$8:$BG$68,AK$4-$B100+1)</f>
        <v/>
      </c>
      <c r="AL100" s="153">
        <f>$C100*INDEX(Curves!$BG$8:$BG$68,AL$4-$B100+1)</f>
        <v/>
      </c>
      <c r="AM100" s="153">
        <f>$C100*INDEX(Curves!$BG$8:$BG$68,AM$4-$B100+1)</f>
        <v/>
      </c>
      <c r="AN100" s="153">
        <f>$C100*INDEX(Curves!$BG$8:$BG$68,AN$4-$B100+1)</f>
        <v/>
      </c>
      <c r="AO100" s="153">
        <f>$C100*INDEX(Curves!$BG$8:$BG$68,AO$4-$B100+1)</f>
        <v/>
      </c>
      <c r="AP100" s="153">
        <f>$C100*INDEX(Curves!$BG$8:$BG$68,AP$4-$B100+1)</f>
        <v/>
      </c>
      <c r="AQ100" s="153">
        <f>$C100*INDEX(Curves!$BG$8:$BG$68,AQ$4-$B100+1)</f>
        <v/>
      </c>
      <c r="AR100" s="153">
        <f>$C100*INDEX(Curves!$BG$8:$BG$68,AR$4-$B100+1)</f>
        <v/>
      </c>
      <c r="AS100" s="153">
        <f>$C100*INDEX(Curves!$BG$8:$BG$68,AS$4-$B100+1)</f>
        <v/>
      </c>
      <c r="AT100" s="153">
        <f>$C100*INDEX(Curves!$BG$8:$BG$68,AT$4-$B100+1)</f>
        <v/>
      </c>
      <c r="AU100" s="153">
        <f>$C100*INDEX(Curves!$BG$8:$BG$68,AU$4-$B100+1)</f>
        <v/>
      </c>
      <c r="AV100" s="153">
        <f>$C100*INDEX(Curves!$BG$8:$BG$68,AV$4-$B100+1)</f>
        <v/>
      </c>
      <c r="AW100" s="153">
        <f>$C100*INDEX(Curves!$BG$8:$BG$68,AW$4-$B100+1)</f>
        <v/>
      </c>
      <c r="AX100" s="153">
        <f>$C100*INDEX(Curves!$BG$8:$BG$68,AX$4-$B100+1)</f>
        <v/>
      </c>
      <c r="AY100" s="153">
        <f>$C100*INDEX(Curves!$BG$8:$BG$68,AY$4-$B100+1)</f>
        <v/>
      </c>
      <c r="AZ100" s="153">
        <f>$C100*INDEX(Curves!$BG$8:$BG$68,AZ$4-$B100+1)</f>
        <v/>
      </c>
      <c r="BA100" s="153">
        <f>$C100*INDEX(Curves!$BG$8:$BG$68,BA$4-$B100+1)</f>
        <v/>
      </c>
      <c r="BB100" s="153">
        <f>$C100*INDEX(Curves!$BG$8:$BG$68,BB$4-$B100+1)</f>
        <v/>
      </c>
      <c r="BC100" s="153">
        <f>$C100*INDEX(Curves!$BG$8:$BG$68,BC$4-$B100+1)</f>
        <v/>
      </c>
      <c r="BD100" s="153">
        <f>$C100*INDEX(Curves!$BG$8:$BG$68,BD$4-$B100+1)</f>
        <v/>
      </c>
      <c r="BE100" s="153">
        <f>$C100*INDEX(Curves!$BG$8:$BG$68,BE$4-$B100+1)</f>
        <v/>
      </c>
      <c r="BF100" s="153">
        <f>$C100*INDEX(Curves!$BG$8:$BG$68,BF$4-$B100+1)</f>
        <v/>
      </c>
      <c r="BG100" s="153">
        <f>$C100*INDEX(Curves!$BG$8:$BG$68,BG$4-$B100+1)</f>
        <v/>
      </c>
      <c r="BH100" s="153">
        <f>$C100*INDEX(Curves!$BG$8:$BG$68,BH$4-$B100+1)</f>
        <v/>
      </c>
      <c r="BI100" s="153">
        <f>$C100*INDEX(Curves!$BG$8:$BG$68,BI$4-$B100+1)</f>
        <v/>
      </c>
      <c r="BJ100" s="153">
        <f>$C100*INDEX(Curves!$BG$8:$BG$68,BJ$4-$B100+1)</f>
        <v/>
      </c>
      <c r="BK100" s="153">
        <f>$C100*INDEX(Curves!$BG$8:$BG$68,BK$4-$B100+1)</f>
        <v/>
      </c>
      <c r="BL100" s="153">
        <f>$C100*INDEX(Curves!$BG$8:$BG$68,BL$4-$B100+1)</f>
        <v/>
      </c>
    </row>
    <row r="101">
      <c r="A101" s="147" t="inlineStr">
        <is>
          <t>Cohort month 29</t>
        </is>
      </c>
      <c r="B101" s="147" t="n">
        <v>29</v>
      </c>
      <c r="C101" s="41">
        <f>INDEX(Ops!$E$109:$BL$109,1,$B101)</f>
        <v/>
      </c>
      <c r="AH101" s="153">
        <f>$C101*INDEX(Curves!$BG$8:$BG$68,AH$4-$B101+1)</f>
        <v/>
      </c>
      <c r="AI101" s="153">
        <f>$C101*INDEX(Curves!$BG$8:$BG$68,AI$4-$B101+1)</f>
        <v/>
      </c>
      <c r="AJ101" s="153">
        <f>$C101*INDEX(Curves!$BG$8:$BG$68,AJ$4-$B101+1)</f>
        <v/>
      </c>
      <c r="AK101" s="153">
        <f>$C101*INDEX(Curves!$BG$8:$BG$68,AK$4-$B101+1)</f>
        <v/>
      </c>
      <c r="AL101" s="153">
        <f>$C101*INDEX(Curves!$BG$8:$BG$68,AL$4-$B101+1)</f>
        <v/>
      </c>
      <c r="AM101" s="153">
        <f>$C101*INDEX(Curves!$BG$8:$BG$68,AM$4-$B101+1)</f>
        <v/>
      </c>
      <c r="AN101" s="153">
        <f>$C101*INDEX(Curves!$BG$8:$BG$68,AN$4-$B101+1)</f>
        <v/>
      </c>
      <c r="AO101" s="153">
        <f>$C101*INDEX(Curves!$BG$8:$BG$68,AO$4-$B101+1)</f>
        <v/>
      </c>
      <c r="AP101" s="153">
        <f>$C101*INDEX(Curves!$BG$8:$BG$68,AP$4-$B101+1)</f>
        <v/>
      </c>
      <c r="AQ101" s="153">
        <f>$C101*INDEX(Curves!$BG$8:$BG$68,AQ$4-$B101+1)</f>
        <v/>
      </c>
      <c r="AR101" s="153">
        <f>$C101*INDEX(Curves!$BG$8:$BG$68,AR$4-$B101+1)</f>
        <v/>
      </c>
      <c r="AS101" s="153">
        <f>$C101*INDEX(Curves!$BG$8:$BG$68,AS$4-$B101+1)</f>
        <v/>
      </c>
      <c r="AT101" s="153">
        <f>$C101*INDEX(Curves!$BG$8:$BG$68,AT$4-$B101+1)</f>
        <v/>
      </c>
      <c r="AU101" s="153">
        <f>$C101*INDEX(Curves!$BG$8:$BG$68,AU$4-$B101+1)</f>
        <v/>
      </c>
      <c r="AV101" s="153">
        <f>$C101*INDEX(Curves!$BG$8:$BG$68,AV$4-$B101+1)</f>
        <v/>
      </c>
      <c r="AW101" s="153">
        <f>$C101*INDEX(Curves!$BG$8:$BG$68,AW$4-$B101+1)</f>
        <v/>
      </c>
      <c r="AX101" s="153">
        <f>$C101*INDEX(Curves!$BG$8:$BG$68,AX$4-$B101+1)</f>
        <v/>
      </c>
      <c r="AY101" s="153">
        <f>$C101*INDEX(Curves!$BG$8:$BG$68,AY$4-$B101+1)</f>
        <v/>
      </c>
      <c r="AZ101" s="153">
        <f>$C101*INDEX(Curves!$BG$8:$BG$68,AZ$4-$B101+1)</f>
        <v/>
      </c>
      <c r="BA101" s="153">
        <f>$C101*INDEX(Curves!$BG$8:$BG$68,BA$4-$B101+1)</f>
        <v/>
      </c>
      <c r="BB101" s="153">
        <f>$C101*INDEX(Curves!$BG$8:$BG$68,BB$4-$B101+1)</f>
        <v/>
      </c>
      <c r="BC101" s="153">
        <f>$C101*INDEX(Curves!$BG$8:$BG$68,BC$4-$B101+1)</f>
        <v/>
      </c>
      <c r="BD101" s="153">
        <f>$C101*INDEX(Curves!$BG$8:$BG$68,BD$4-$B101+1)</f>
        <v/>
      </c>
      <c r="BE101" s="153">
        <f>$C101*INDEX(Curves!$BG$8:$BG$68,BE$4-$B101+1)</f>
        <v/>
      </c>
      <c r="BF101" s="153">
        <f>$C101*INDEX(Curves!$BG$8:$BG$68,BF$4-$B101+1)</f>
        <v/>
      </c>
      <c r="BG101" s="153">
        <f>$C101*INDEX(Curves!$BG$8:$BG$68,BG$4-$B101+1)</f>
        <v/>
      </c>
      <c r="BH101" s="153">
        <f>$C101*INDEX(Curves!$BG$8:$BG$68,BH$4-$B101+1)</f>
        <v/>
      </c>
      <c r="BI101" s="153">
        <f>$C101*INDEX(Curves!$BG$8:$BG$68,BI$4-$B101+1)</f>
        <v/>
      </c>
      <c r="BJ101" s="153">
        <f>$C101*INDEX(Curves!$BG$8:$BG$68,BJ$4-$B101+1)</f>
        <v/>
      </c>
      <c r="BK101" s="153">
        <f>$C101*INDEX(Curves!$BG$8:$BG$68,BK$4-$B101+1)</f>
        <v/>
      </c>
      <c r="BL101" s="153">
        <f>$C101*INDEX(Curves!$BG$8:$BG$68,BL$4-$B101+1)</f>
        <v/>
      </c>
    </row>
    <row r="102">
      <c r="A102" s="147" t="inlineStr">
        <is>
          <t>Cohort month 30</t>
        </is>
      </c>
      <c r="B102" s="147" t="n">
        <v>30</v>
      </c>
      <c r="C102" s="41">
        <f>INDEX(Ops!$E$109:$BL$109,1,$B102)</f>
        <v/>
      </c>
      <c r="AI102" s="153">
        <f>$C102*INDEX(Curves!$BG$8:$BG$68,AI$4-$B102+1)</f>
        <v/>
      </c>
      <c r="AJ102" s="153">
        <f>$C102*INDEX(Curves!$BG$8:$BG$68,AJ$4-$B102+1)</f>
        <v/>
      </c>
      <c r="AK102" s="153">
        <f>$C102*INDEX(Curves!$BG$8:$BG$68,AK$4-$B102+1)</f>
        <v/>
      </c>
      <c r="AL102" s="153">
        <f>$C102*INDEX(Curves!$BG$8:$BG$68,AL$4-$B102+1)</f>
        <v/>
      </c>
      <c r="AM102" s="153">
        <f>$C102*INDEX(Curves!$BG$8:$BG$68,AM$4-$B102+1)</f>
        <v/>
      </c>
      <c r="AN102" s="153">
        <f>$C102*INDEX(Curves!$BG$8:$BG$68,AN$4-$B102+1)</f>
        <v/>
      </c>
      <c r="AO102" s="153">
        <f>$C102*INDEX(Curves!$BG$8:$BG$68,AO$4-$B102+1)</f>
        <v/>
      </c>
      <c r="AP102" s="153">
        <f>$C102*INDEX(Curves!$BG$8:$BG$68,AP$4-$B102+1)</f>
        <v/>
      </c>
      <c r="AQ102" s="153">
        <f>$C102*INDEX(Curves!$BG$8:$BG$68,AQ$4-$B102+1)</f>
        <v/>
      </c>
      <c r="AR102" s="153">
        <f>$C102*INDEX(Curves!$BG$8:$BG$68,AR$4-$B102+1)</f>
        <v/>
      </c>
      <c r="AS102" s="153">
        <f>$C102*INDEX(Curves!$BG$8:$BG$68,AS$4-$B102+1)</f>
        <v/>
      </c>
      <c r="AT102" s="153">
        <f>$C102*INDEX(Curves!$BG$8:$BG$68,AT$4-$B102+1)</f>
        <v/>
      </c>
      <c r="AU102" s="153">
        <f>$C102*INDEX(Curves!$BG$8:$BG$68,AU$4-$B102+1)</f>
        <v/>
      </c>
      <c r="AV102" s="153">
        <f>$C102*INDEX(Curves!$BG$8:$BG$68,AV$4-$B102+1)</f>
        <v/>
      </c>
      <c r="AW102" s="153">
        <f>$C102*INDEX(Curves!$BG$8:$BG$68,AW$4-$B102+1)</f>
        <v/>
      </c>
      <c r="AX102" s="153">
        <f>$C102*INDEX(Curves!$BG$8:$BG$68,AX$4-$B102+1)</f>
        <v/>
      </c>
      <c r="AY102" s="153">
        <f>$C102*INDEX(Curves!$BG$8:$BG$68,AY$4-$B102+1)</f>
        <v/>
      </c>
      <c r="AZ102" s="153">
        <f>$C102*INDEX(Curves!$BG$8:$BG$68,AZ$4-$B102+1)</f>
        <v/>
      </c>
      <c r="BA102" s="153">
        <f>$C102*INDEX(Curves!$BG$8:$BG$68,BA$4-$B102+1)</f>
        <v/>
      </c>
      <c r="BB102" s="153">
        <f>$C102*INDEX(Curves!$BG$8:$BG$68,BB$4-$B102+1)</f>
        <v/>
      </c>
      <c r="BC102" s="153">
        <f>$C102*INDEX(Curves!$BG$8:$BG$68,BC$4-$B102+1)</f>
        <v/>
      </c>
      <c r="BD102" s="153">
        <f>$C102*INDEX(Curves!$BG$8:$BG$68,BD$4-$B102+1)</f>
        <v/>
      </c>
      <c r="BE102" s="153">
        <f>$C102*INDEX(Curves!$BG$8:$BG$68,BE$4-$B102+1)</f>
        <v/>
      </c>
      <c r="BF102" s="153">
        <f>$C102*INDEX(Curves!$BG$8:$BG$68,BF$4-$B102+1)</f>
        <v/>
      </c>
      <c r="BG102" s="153">
        <f>$C102*INDEX(Curves!$BG$8:$BG$68,BG$4-$B102+1)</f>
        <v/>
      </c>
      <c r="BH102" s="153">
        <f>$C102*INDEX(Curves!$BG$8:$BG$68,BH$4-$B102+1)</f>
        <v/>
      </c>
      <c r="BI102" s="153">
        <f>$C102*INDEX(Curves!$BG$8:$BG$68,BI$4-$B102+1)</f>
        <v/>
      </c>
      <c r="BJ102" s="153">
        <f>$C102*INDEX(Curves!$BG$8:$BG$68,BJ$4-$B102+1)</f>
        <v/>
      </c>
      <c r="BK102" s="153">
        <f>$C102*INDEX(Curves!$BG$8:$BG$68,BK$4-$B102+1)</f>
        <v/>
      </c>
      <c r="BL102" s="153">
        <f>$C102*INDEX(Curves!$BG$8:$BG$68,BL$4-$B102+1)</f>
        <v/>
      </c>
    </row>
    <row r="103">
      <c r="A103" s="147" t="inlineStr">
        <is>
          <t>Cohort month 31</t>
        </is>
      </c>
      <c r="B103" s="147" t="n">
        <v>31</v>
      </c>
      <c r="C103" s="41">
        <f>INDEX(Ops!$E$109:$BL$109,1,$B103)</f>
        <v/>
      </c>
      <c r="AJ103" s="153">
        <f>$C103*INDEX(Curves!$BG$8:$BG$68,AJ$4-$B103+1)</f>
        <v/>
      </c>
      <c r="AK103" s="153">
        <f>$C103*INDEX(Curves!$BG$8:$BG$68,AK$4-$B103+1)</f>
        <v/>
      </c>
      <c r="AL103" s="153">
        <f>$C103*INDEX(Curves!$BG$8:$BG$68,AL$4-$B103+1)</f>
        <v/>
      </c>
      <c r="AM103" s="153">
        <f>$C103*INDEX(Curves!$BG$8:$BG$68,AM$4-$B103+1)</f>
        <v/>
      </c>
      <c r="AN103" s="153">
        <f>$C103*INDEX(Curves!$BG$8:$BG$68,AN$4-$B103+1)</f>
        <v/>
      </c>
      <c r="AO103" s="153">
        <f>$C103*INDEX(Curves!$BG$8:$BG$68,AO$4-$B103+1)</f>
        <v/>
      </c>
      <c r="AP103" s="153">
        <f>$C103*INDEX(Curves!$BG$8:$BG$68,AP$4-$B103+1)</f>
        <v/>
      </c>
      <c r="AQ103" s="153">
        <f>$C103*INDEX(Curves!$BG$8:$BG$68,AQ$4-$B103+1)</f>
        <v/>
      </c>
      <c r="AR103" s="153">
        <f>$C103*INDEX(Curves!$BG$8:$BG$68,AR$4-$B103+1)</f>
        <v/>
      </c>
      <c r="AS103" s="153">
        <f>$C103*INDEX(Curves!$BG$8:$BG$68,AS$4-$B103+1)</f>
        <v/>
      </c>
      <c r="AT103" s="153">
        <f>$C103*INDEX(Curves!$BG$8:$BG$68,AT$4-$B103+1)</f>
        <v/>
      </c>
      <c r="AU103" s="153">
        <f>$C103*INDEX(Curves!$BG$8:$BG$68,AU$4-$B103+1)</f>
        <v/>
      </c>
      <c r="AV103" s="153">
        <f>$C103*INDEX(Curves!$BG$8:$BG$68,AV$4-$B103+1)</f>
        <v/>
      </c>
      <c r="AW103" s="153">
        <f>$C103*INDEX(Curves!$BG$8:$BG$68,AW$4-$B103+1)</f>
        <v/>
      </c>
      <c r="AX103" s="153">
        <f>$C103*INDEX(Curves!$BG$8:$BG$68,AX$4-$B103+1)</f>
        <v/>
      </c>
      <c r="AY103" s="153">
        <f>$C103*INDEX(Curves!$BG$8:$BG$68,AY$4-$B103+1)</f>
        <v/>
      </c>
      <c r="AZ103" s="153">
        <f>$C103*INDEX(Curves!$BG$8:$BG$68,AZ$4-$B103+1)</f>
        <v/>
      </c>
      <c r="BA103" s="153">
        <f>$C103*INDEX(Curves!$BG$8:$BG$68,BA$4-$B103+1)</f>
        <v/>
      </c>
      <c r="BB103" s="153">
        <f>$C103*INDEX(Curves!$BG$8:$BG$68,BB$4-$B103+1)</f>
        <v/>
      </c>
      <c r="BC103" s="153">
        <f>$C103*INDEX(Curves!$BG$8:$BG$68,BC$4-$B103+1)</f>
        <v/>
      </c>
      <c r="BD103" s="153">
        <f>$C103*INDEX(Curves!$BG$8:$BG$68,BD$4-$B103+1)</f>
        <v/>
      </c>
      <c r="BE103" s="153">
        <f>$C103*INDEX(Curves!$BG$8:$BG$68,BE$4-$B103+1)</f>
        <v/>
      </c>
      <c r="BF103" s="153">
        <f>$C103*INDEX(Curves!$BG$8:$BG$68,BF$4-$B103+1)</f>
        <v/>
      </c>
      <c r="BG103" s="153">
        <f>$C103*INDEX(Curves!$BG$8:$BG$68,BG$4-$B103+1)</f>
        <v/>
      </c>
      <c r="BH103" s="153">
        <f>$C103*INDEX(Curves!$BG$8:$BG$68,BH$4-$B103+1)</f>
        <v/>
      </c>
      <c r="BI103" s="153">
        <f>$C103*INDEX(Curves!$BG$8:$BG$68,BI$4-$B103+1)</f>
        <v/>
      </c>
      <c r="BJ103" s="153">
        <f>$C103*INDEX(Curves!$BG$8:$BG$68,BJ$4-$B103+1)</f>
        <v/>
      </c>
      <c r="BK103" s="153">
        <f>$C103*INDEX(Curves!$BG$8:$BG$68,BK$4-$B103+1)</f>
        <v/>
      </c>
      <c r="BL103" s="153">
        <f>$C103*INDEX(Curves!$BG$8:$BG$68,BL$4-$B103+1)</f>
        <v/>
      </c>
    </row>
    <row r="104">
      <c r="A104" s="147" t="inlineStr">
        <is>
          <t>Cohort month 32</t>
        </is>
      </c>
      <c r="B104" s="147" t="n">
        <v>32</v>
      </c>
      <c r="C104" s="41">
        <f>INDEX(Ops!$E$109:$BL$109,1,$B104)</f>
        <v/>
      </c>
      <c r="AK104" s="153">
        <f>$C104*INDEX(Curves!$BG$8:$BG$68,AK$4-$B104+1)</f>
        <v/>
      </c>
      <c r="AL104" s="153">
        <f>$C104*INDEX(Curves!$BG$8:$BG$68,AL$4-$B104+1)</f>
        <v/>
      </c>
      <c r="AM104" s="153">
        <f>$C104*INDEX(Curves!$BG$8:$BG$68,AM$4-$B104+1)</f>
        <v/>
      </c>
      <c r="AN104" s="153">
        <f>$C104*INDEX(Curves!$BG$8:$BG$68,AN$4-$B104+1)</f>
        <v/>
      </c>
      <c r="AO104" s="153">
        <f>$C104*INDEX(Curves!$BG$8:$BG$68,AO$4-$B104+1)</f>
        <v/>
      </c>
      <c r="AP104" s="153">
        <f>$C104*INDEX(Curves!$BG$8:$BG$68,AP$4-$B104+1)</f>
        <v/>
      </c>
      <c r="AQ104" s="153">
        <f>$C104*INDEX(Curves!$BG$8:$BG$68,AQ$4-$B104+1)</f>
        <v/>
      </c>
      <c r="AR104" s="153">
        <f>$C104*INDEX(Curves!$BG$8:$BG$68,AR$4-$B104+1)</f>
        <v/>
      </c>
      <c r="AS104" s="153">
        <f>$C104*INDEX(Curves!$BG$8:$BG$68,AS$4-$B104+1)</f>
        <v/>
      </c>
      <c r="AT104" s="153">
        <f>$C104*INDEX(Curves!$BG$8:$BG$68,AT$4-$B104+1)</f>
        <v/>
      </c>
      <c r="AU104" s="153">
        <f>$C104*INDEX(Curves!$BG$8:$BG$68,AU$4-$B104+1)</f>
        <v/>
      </c>
      <c r="AV104" s="153">
        <f>$C104*INDEX(Curves!$BG$8:$BG$68,AV$4-$B104+1)</f>
        <v/>
      </c>
      <c r="AW104" s="153">
        <f>$C104*INDEX(Curves!$BG$8:$BG$68,AW$4-$B104+1)</f>
        <v/>
      </c>
      <c r="AX104" s="153">
        <f>$C104*INDEX(Curves!$BG$8:$BG$68,AX$4-$B104+1)</f>
        <v/>
      </c>
      <c r="AY104" s="153">
        <f>$C104*INDEX(Curves!$BG$8:$BG$68,AY$4-$B104+1)</f>
        <v/>
      </c>
      <c r="AZ104" s="153">
        <f>$C104*INDEX(Curves!$BG$8:$BG$68,AZ$4-$B104+1)</f>
        <v/>
      </c>
      <c r="BA104" s="153">
        <f>$C104*INDEX(Curves!$BG$8:$BG$68,BA$4-$B104+1)</f>
        <v/>
      </c>
      <c r="BB104" s="153">
        <f>$C104*INDEX(Curves!$BG$8:$BG$68,BB$4-$B104+1)</f>
        <v/>
      </c>
      <c r="BC104" s="153">
        <f>$C104*INDEX(Curves!$BG$8:$BG$68,BC$4-$B104+1)</f>
        <v/>
      </c>
      <c r="BD104" s="153">
        <f>$C104*INDEX(Curves!$BG$8:$BG$68,BD$4-$B104+1)</f>
        <v/>
      </c>
      <c r="BE104" s="153">
        <f>$C104*INDEX(Curves!$BG$8:$BG$68,BE$4-$B104+1)</f>
        <v/>
      </c>
      <c r="BF104" s="153">
        <f>$C104*INDEX(Curves!$BG$8:$BG$68,BF$4-$B104+1)</f>
        <v/>
      </c>
      <c r="BG104" s="153">
        <f>$C104*INDEX(Curves!$BG$8:$BG$68,BG$4-$B104+1)</f>
        <v/>
      </c>
      <c r="BH104" s="153">
        <f>$C104*INDEX(Curves!$BG$8:$BG$68,BH$4-$B104+1)</f>
        <v/>
      </c>
      <c r="BI104" s="153">
        <f>$C104*INDEX(Curves!$BG$8:$BG$68,BI$4-$B104+1)</f>
        <v/>
      </c>
      <c r="BJ104" s="153">
        <f>$C104*INDEX(Curves!$BG$8:$BG$68,BJ$4-$B104+1)</f>
        <v/>
      </c>
      <c r="BK104" s="153">
        <f>$C104*INDEX(Curves!$BG$8:$BG$68,BK$4-$B104+1)</f>
        <v/>
      </c>
      <c r="BL104" s="153">
        <f>$C104*INDEX(Curves!$BG$8:$BG$68,BL$4-$B104+1)</f>
        <v/>
      </c>
    </row>
    <row r="105">
      <c r="A105" s="147" t="inlineStr">
        <is>
          <t>Cohort month 33</t>
        </is>
      </c>
      <c r="B105" s="147" t="n">
        <v>33</v>
      </c>
      <c r="C105" s="41">
        <f>INDEX(Ops!$E$109:$BL$109,1,$B105)</f>
        <v/>
      </c>
      <c r="AL105" s="153">
        <f>$C105*INDEX(Curves!$BG$8:$BG$68,AL$4-$B105+1)</f>
        <v/>
      </c>
      <c r="AM105" s="153">
        <f>$C105*INDEX(Curves!$BG$8:$BG$68,AM$4-$B105+1)</f>
        <v/>
      </c>
      <c r="AN105" s="153">
        <f>$C105*INDEX(Curves!$BG$8:$BG$68,AN$4-$B105+1)</f>
        <v/>
      </c>
      <c r="AO105" s="153">
        <f>$C105*INDEX(Curves!$BG$8:$BG$68,AO$4-$B105+1)</f>
        <v/>
      </c>
      <c r="AP105" s="153">
        <f>$C105*INDEX(Curves!$BG$8:$BG$68,AP$4-$B105+1)</f>
        <v/>
      </c>
      <c r="AQ105" s="153">
        <f>$C105*INDEX(Curves!$BG$8:$BG$68,AQ$4-$B105+1)</f>
        <v/>
      </c>
      <c r="AR105" s="153">
        <f>$C105*INDEX(Curves!$BG$8:$BG$68,AR$4-$B105+1)</f>
        <v/>
      </c>
      <c r="AS105" s="153">
        <f>$C105*INDEX(Curves!$BG$8:$BG$68,AS$4-$B105+1)</f>
        <v/>
      </c>
      <c r="AT105" s="153">
        <f>$C105*INDEX(Curves!$BG$8:$BG$68,AT$4-$B105+1)</f>
        <v/>
      </c>
      <c r="AU105" s="153">
        <f>$C105*INDEX(Curves!$BG$8:$BG$68,AU$4-$B105+1)</f>
        <v/>
      </c>
      <c r="AV105" s="153">
        <f>$C105*INDEX(Curves!$BG$8:$BG$68,AV$4-$B105+1)</f>
        <v/>
      </c>
      <c r="AW105" s="153">
        <f>$C105*INDEX(Curves!$BG$8:$BG$68,AW$4-$B105+1)</f>
        <v/>
      </c>
      <c r="AX105" s="153">
        <f>$C105*INDEX(Curves!$BG$8:$BG$68,AX$4-$B105+1)</f>
        <v/>
      </c>
      <c r="AY105" s="153">
        <f>$C105*INDEX(Curves!$BG$8:$BG$68,AY$4-$B105+1)</f>
        <v/>
      </c>
      <c r="AZ105" s="153">
        <f>$C105*INDEX(Curves!$BG$8:$BG$68,AZ$4-$B105+1)</f>
        <v/>
      </c>
      <c r="BA105" s="153">
        <f>$C105*INDEX(Curves!$BG$8:$BG$68,BA$4-$B105+1)</f>
        <v/>
      </c>
      <c r="BB105" s="153">
        <f>$C105*INDEX(Curves!$BG$8:$BG$68,BB$4-$B105+1)</f>
        <v/>
      </c>
      <c r="BC105" s="153">
        <f>$C105*INDEX(Curves!$BG$8:$BG$68,BC$4-$B105+1)</f>
        <v/>
      </c>
      <c r="BD105" s="153">
        <f>$C105*INDEX(Curves!$BG$8:$BG$68,BD$4-$B105+1)</f>
        <v/>
      </c>
      <c r="BE105" s="153">
        <f>$C105*INDEX(Curves!$BG$8:$BG$68,BE$4-$B105+1)</f>
        <v/>
      </c>
      <c r="BF105" s="153">
        <f>$C105*INDEX(Curves!$BG$8:$BG$68,BF$4-$B105+1)</f>
        <v/>
      </c>
      <c r="BG105" s="153">
        <f>$C105*INDEX(Curves!$BG$8:$BG$68,BG$4-$B105+1)</f>
        <v/>
      </c>
      <c r="BH105" s="153">
        <f>$C105*INDEX(Curves!$BG$8:$BG$68,BH$4-$B105+1)</f>
        <v/>
      </c>
      <c r="BI105" s="153">
        <f>$C105*INDEX(Curves!$BG$8:$BG$68,BI$4-$B105+1)</f>
        <v/>
      </c>
      <c r="BJ105" s="153">
        <f>$C105*INDEX(Curves!$BG$8:$BG$68,BJ$4-$B105+1)</f>
        <v/>
      </c>
      <c r="BK105" s="153">
        <f>$C105*INDEX(Curves!$BG$8:$BG$68,BK$4-$B105+1)</f>
        <v/>
      </c>
      <c r="BL105" s="153">
        <f>$C105*INDEX(Curves!$BG$8:$BG$68,BL$4-$B105+1)</f>
        <v/>
      </c>
    </row>
    <row r="106">
      <c r="A106" s="147" t="inlineStr">
        <is>
          <t>Cohort month 34</t>
        </is>
      </c>
      <c r="B106" s="147" t="n">
        <v>34</v>
      </c>
      <c r="C106" s="41">
        <f>INDEX(Ops!$E$109:$BL$109,1,$B106)</f>
        <v/>
      </c>
      <c r="AM106" s="153">
        <f>$C106*INDEX(Curves!$BG$8:$BG$68,AM$4-$B106+1)</f>
        <v/>
      </c>
      <c r="AN106" s="153">
        <f>$C106*INDEX(Curves!$BG$8:$BG$68,AN$4-$B106+1)</f>
        <v/>
      </c>
      <c r="AO106" s="153">
        <f>$C106*INDEX(Curves!$BG$8:$BG$68,AO$4-$B106+1)</f>
        <v/>
      </c>
      <c r="AP106" s="153">
        <f>$C106*INDEX(Curves!$BG$8:$BG$68,AP$4-$B106+1)</f>
        <v/>
      </c>
      <c r="AQ106" s="153">
        <f>$C106*INDEX(Curves!$BG$8:$BG$68,AQ$4-$B106+1)</f>
        <v/>
      </c>
      <c r="AR106" s="153">
        <f>$C106*INDEX(Curves!$BG$8:$BG$68,AR$4-$B106+1)</f>
        <v/>
      </c>
      <c r="AS106" s="153">
        <f>$C106*INDEX(Curves!$BG$8:$BG$68,AS$4-$B106+1)</f>
        <v/>
      </c>
      <c r="AT106" s="153">
        <f>$C106*INDEX(Curves!$BG$8:$BG$68,AT$4-$B106+1)</f>
        <v/>
      </c>
      <c r="AU106" s="153">
        <f>$C106*INDEX(Curves!$BG$8:$BG$68,AU$4-$B106+1)</f>
        <v/>
      </c>
      <c r="AV106" s="153">
        <f>$C106*INDEX(Curves!$BG$8:$BG$68,AV$4-$B106+1)</f>
        <v/>
      </c>
      <c r="AW106" s="153">
        <f>$C106*INDEX(Curves!$BG$8:$BG$68,AW$4-$B106+1)</f>
        <v/>
      </c>
      <c r="AX106" s="153">
        <f>$C106*INDEX(Curves!$BG$8:$BG$68,AX$4-$B106+1)</f>
        <v/>
      </c>
      <c r="AY106" s="153">
        <f>$C106*INDEX(Curves!$BG$8:$BG$68,AY$4-$B106+1)</f>
        <v/>
      </c>
      <c r="AZ106" s="153">
        <f>$C106*INDEX(Curves!$BG$8:$BG$68,AZ$4-$B106+1)</f>
        <v/>
      </c>
      <c r="BA106" s="153">
        <f>$C106*INDEX(Curves!$BG$8:$BG$68,BA$4-$B106+1)</f>
        <v/>
      </c>
      <c r="BB106" s="153">
        <f>$C106*INDEX(Curves!$BG$8:$BG$68,BB$4-$B106+1)</f>
        <v/>
      </c>
      <c r="BC106" s="153">
        <f>$C106*INDEX(Curves!$BG$8:$BG$68,BC$4-$B106+1)</f>
        <v/>
      </c>
      <c r="BD106" s="153">
        <f>$C106*INDEX(Curves!$BG$8:$BG$68,BD$4-$B106+1)</f>
        <v/>
      </c>
      <c r="BE106" s="153">
        <f>$C106*INDEX(Curves!$BG$8:$BG$68,BE$4-$B106+1)</f>
        <v/>
      </c>
      <c r="BF106" s="153">
        <f>$C106*INDEX(Curves!$BG$8:$BG$68,BF$4-$B106+1)</f>
        <v/>
      </c>
      <c r="BG106" s="153">
        <f>$C106*INDEX(Curves!$BG$8:$BG$68,BG$4-$B106+1)</f>
        <v/>
      </c>
      <c r="BH106" s="153">
        <f>$C106*INDEX(Curves!$BG$8:$BG$68,BH$4-$B106+1)</f>
        <v/>
      </c>
      <c r="BI106" s="153">
        <f>$C106*INDEX(Curves!$BG$8:$BG$68,BI$4-$B106+1)</f>
        <v/>
      </c>
      <c r="BJ106" s="153">
        <f>$C106*INDEX(Curves!$BG$8:$BG$68,BJ$4-$B106+1)</f>
        <v/>
      </c>
      <c r="BK106" s="153">
        <f>$C106*INDEX(Curves!$BG$8:$BG$68,BK$4-$B106+1)</f>
        <v/>
      </c>
      <c r="BL106" s="153">
        <f>$C106*INDEX(Curves!$BG$8:$BG$68,BL$4-$B106+1)</f>
        <v/>
      </c>
    </row>
    <row r="107">
      <c r="A107" s="147" t="inlineStr">
        <is>
          <t>Cohort month 35</t>
        </is>
      </c>
      <c r="B107" s="147" t="n">
        <v>35</v>
      </c>
      <c r="C107" s="41">
        <f>INDEX(Ops!$E$109:$BL$109,1,$B107)</f>
        <v/>
      </c>
      <c r="AN107" s="153">
        <f>$C107*INDEX(Curves!$BG$8:$BG$68,AN$4-$B107+1)</f>
        <v/>
      </c>
      <c r="AO107" s="153">
        <f>$C107*INDEX(Curves!$BG$8:$BG$68,AO$4-$B107+1)</f>
        <v/>
      </c>
      <c r="AP107" s="153">
        <f>$C107*INDEX(Curves!$BG$8:$BG$68,AP$4-$B107+1)</f>
        <v/>
      </c>
      <c r="AQ107" s="153">
        <f>$C107*INDEX(Curves!$BG$8:$BG$68,AQ$4-$B107+1)</f>
        <v/>
      </c>
      <c r="AR107" s="153">
        <f>$C107*INDEX(Curves!$BG$8:$BG$68,AR$4-$B107+1)</f>
        <v/>
      </c>
      <c r="AS107" s="153">
        <f>$C107*INDEX(Curves!$BG$8:$BG$68,AS$4-$B107+1)</f>
        <v/>
      </c>
      <c r="AT107" s="153">
        <f>$C107*INDEX(Curves!$BG$8:$BG$68,AT$4-$B107+1)</f>
        <v/>
      </c>
      <c r="AU107" s="153">
        <f>$C107*INDEX(Curves!$BG$8:$BG$68,AU$4-$B107+1)</f>
        <v/>
      </c>
      <c r="AV107" s="153">
        <f>$C107*INDEX(Curves!$BG$8:$BG$68,AV$4-$B107+1)</f>
        <v/>
      </c>
      <c r="AW107" s="153">
        <f>$C107*INDEX(Curves!$BG$8:$BG$68,AW$4-$B107+1)</f>
        <v/>
      </c>
      <c r="AX107" s="153">
        <f>$C107*INDEX(Curves!$BG$8:$BG$68,AX$4-$B107+1)</f>
        <v/>
      </c>
      <c r="AY107" s="153">
        <f>$C107*INDEX(Curves!$BG$8:$BG$68,AY$4-$B107+1)</f>
        <v/>
      </c>
      <c r="AZ107" s="153">
        <f>$C107*INDEX(Curves!$BG$8:$BG$68,AZ$4-$B107+1)</f>
        <v/>
      </c>
      <c r="BA107" s="153">
        <f>$C107*INDEX(Curves!$BG$8:$BG$68,BA$4-$B107+1)</f>
        <v/>
      </c>
      <c r="BB107" s="153">
        <f>$C107*INDEX(Curves!$BG$8:$BG$68,BB$4-$B107+1)</f>
        <v/>
      </c>
      <c r="BC107" s="153">
        <f>$C107*INDEX(Curves!$BG$8:$BG$68,BC$4-$B107+1)</f>
        <v/>
      </c>
      <c r="BD107" s="153">
        <f>$C107*INDEX(Curves!$BG$8:$BG$68,BD$4-$B107+1)</f>
        <v/>
      </c>
      <c r="BE107" s="153">
        <f>$C107*INDEX(Curves!$BG$8:$BG$68,BE$4-$B107+1)</f>
        <v/>
      </c>
      <c r="BF107" s="153">
        <f>$C107*INDEX(Curves!$BG$8:$BG$68,BF$4-$B107+1)</f>
        <v/>
      </c>
      <c r="BG107" s="153">
        <f>$C107*INDEX(Curves!$BG$8:$BG$68,BG$4-$B107+1)</f>
        <v/>
      </c>
      <c r="BH107" s="153">
        <f>$C107*INDEX(Curves!$BG$8:$BG$68,BH$4-$B107+1)</f>
        <v/>
      </c>
      <c r="BI107" s="153">
        <f>$C107*INDEX(Curves!$BG$8:$BG$68,BI$4-$B107+1)</f>
        <v/>
      </c>
      <c r="BJ107" s="153">
        <f>$C107*INDEX(Curves!$BG$8:$BG$68,BJ$4-$B107+1)</f>
        <v/>
      </c>
      <c r="BK107" s="153">
        <f>$C107*INDEX(Curves!$BG$8:$BG$68,BK$4-$B107+1)</f>
        <v/>
      </c>
      <c r="BL107" s="153">
        <f>$C107*INDEX(Curves!$BG$8:$BG$68,BL$4-$B107+1)</f>
        <v/>
      </c>
    </row>
    <row r="108">
      <c r="A108" s="147" t="inlineStr">
        <is>
          <t>Cohort month 36</t>
        </is>
      </c>
      <c r="B108" s="147" t="n">
        <v>36</v>
      </c>
      <c r="C108" s="41">
        <f>INDEX(Ops!$E$109:$BL$109,1,$B108)</f>
        <v/>
      </c>
      <c r="AO108" s="153">
        <f>$C108*INDEX(Curves!$BG$8:$BG$68,AO$4-$B108+1)</f>
        <v/>
      </c>
      <c r="AP108" s="153">
        <f>$C108*INDEX(Curves!$BG$8:$BG$68,AP$4-$B108+1)</f>
        <v/>
      </c>
      <c r="AQ108" s="153">
        <f>$C108*INDEX(Curves!$BG$8:$BG$68,AQ$4-$B108+1)</f>
        <v/>
      </c>
      <c r="AR108" s="153">
        <f>$C108*INDEX(Curves!$BG$8:$BG$68,AR$4-$B108+1)</f>
        <v/>
      </c>
      <c r="AS108" s="153">
        <f>$C108*INDEX(Curves!$BG$8:$BG$68,AS$4-$B108+1)</f>
        <v/>
      </c>
      <c r="AT108" s="153">
        <f>$C108*INDEX(Curves!$BG$8:$BG$68,AT$4-$B108+1)</f>
        <v/>
      </c>
      <c r="AU108" s="153">
        <f>$C108*INDEX(Curves!$BG$8:$BG$68,AU$4-$B108+1)</f>
        <v/>
      </c>
      <c r="AV108" s="153">
        <f>$C108*INDEX(Curves!$BG$8:$BG$68,AV$4-$B108+1)</f>
        <v/>
      </c>
      <c r="AW108" s="153">
        <f>$C108*INDEX(Curves!$BG$8:$BG$68,AW$4-$B108+1)</f>
        <v/>
      </c>
      <c r="AX108" s="153">
        <f>$C108*INDEX(Curves!$BG$8:$BG$68,AX$4-$B108+1)</f>
        <v/>
      </c>
      <c r="AY108" s="153">
        <f>$C108*INDEX(Curves!$BG$8:$BG$68,AY$4-$B108+1)</f>
        <v/>
      </c>
      <c r="AZ108" s="153">
        <f>$C108*INDEX(Curves!$BG$8:$BG$68,AZ$4-$B108+1)</f>
        <v/>
      </c>
      <c r="BA108" s="153">
        <f>$C108*INDEX(Curves!$BG$8:$BG$68,BA$4-$B108+1)</f>
        <v/>
      </c>
      <c r="BB108" s="153">
        <f>$C108*INDEX(Curves!$BG$8:$BG$68,BB$4-$B108+1)</f>
        <v/>
      </c>
      <c r="BC108" s="153">
        <f>$C108*INDEX(Curves!$BG$8:$BG$68,BC$4-$B108+1)</f>
        <v/>
      </c>
      <c r="BD108" s="153">
        <f>$C108*INDEX(Curves!$BG$8:$BG$68,BD$4-$B108+1)</f>
        <v/>
      </c>
      <c r="BE108" s="153">
        <f>$C108*INDEX(Curves!$BG$8:$BG$68,BE$4-$B108+1)</f>
        <v/>
      </c>
      <c r="BF108" s="153">
        <f>$C108*INDEX(Curves!$BG$8:$BG$68,BF$4-$B108+1)</f>
        <v/>
      </c>
      <c r="BG108" s="153">
        <f>$C108*INDEX(Curves!$BG$8:$BG$68,BG$4-$B108+1)</f>
        <v/>
      </c>
      <c r="BH108" s="153">
        <f>$C108*INDEX(Curves!$BG$8:$BG$68,BH$4-$B108+1)</f>
        <v/>
      </c>
      <c r="BI108" s="153">
        <f>$C108*INDEX(Curves!$BG$8:$BG$68,BI$4-$B108+1)</f>
        <v/>
      </c>
      <c r="BJ108" s="153">
        <f>$C108*INDEX(Curves!$BG$8:$BG$68,BJ$4-$B108+1)</f>
        <v/>
      </c>
      <c r="BK108" s="153">
        <f>$C108*INDEX(Curves!$BG$8:$BG$68,BK$4-$B108+1)</f>
        <v/>
      </c>
      <c r="BL108" s="153">
        <f>$C108*INDEX(Curves!$BG$8:$BG$68,BL$4-$B108+1)</f>
        <v/>
      </c>
    </row>
    <row r="109">
      <c r="A109" s="147" t="inlineStr">
        <is>
          <t>Cohort month 37</t>
        </is>
      </c>
      <c r="B109" s="147" t="n">
        <v>37</v>
      </c>
      <c r="C109" s="41">
        <f>INDEX(Ops!$E$109:$BL$109,1,$B109)</f>
        <v/>
      </c>
      <c r="AP109" s="153">
        <f>$C109*INDEX(Curves!$BG$8:$BG$68,AP$4-$B109+1)</f>
        <v/>
      </c>
      <c r="AQ109" s="153">
        <f>$C109*INDEX(Curves!$BG$8:$BG$68,AQ$4-$B109+1)</f>
        <v/>
      </c>
      <c r="AR109" s="153">
        <f>$C109*INDEX(Curves!$BG$8:$BG$68,AR$4-$B109+1)</f>
        <v/>
      </c>
      <c r="AS109" s="153">
        <f>$C109*INDEX(Curves!$BG$8:$BG$68,AS$4-$B109+1)</f>
        <v/>
      </c>
      <c r="AT109" s="153">
        <f>$C109*INDEX(Curves!$BG$8:$BG$68,AT$4-$B109+1)</f>
        <v/>
      </c>
      <c r="AU109" s="153">
        <f>$C109*INDEX(Curves!$BG$8:$BG$68,AU$4-$B109+1)</f>
        <v/>
      </c>
      <c r="AV109" s="153">
        <f>$C109*INDEX(Curves!$BG$8:$BG$68,AV$4-$B109+1)</f>
        <v/>
      </c>
      <c r="AW109" s="153">
        <f>$C109*INDEX(Curves!$BG$8:$BG$68,AW$4-$B109+1)</f>
        <v/>
      </c>
      <c r="AX109" s="153">
        <f>$C109*INDEX(Curves!$BG$8:$BG$68,AX$4-$B109+1)</f>
        <v/>
      </c>
      <c r="AY109" s="153">
        <f>$C109*INDEX(Curves!$BG$8:$BG$68,AY$4-$B109+1)</f>
        <v/>
      </c>
      <c r="AZ109" s="153">
        <f>$C109*INDEX(Curves!$BG$8:$BG$68,AZ$4-$B109+1)</f>
        <v/>
      </c>
      <c r="BA109" s="153">
        <f>$C109*INDEX(Curves!$BG$8:$BG$68,BA$4-$B109+1)</f>
        <v/>
      </c>
      <c r="BB109" s="153">
        <f>$C109*INDEX(Curves!$BG$8:$BG$68,BB$4-$B109+1)</f>
        <v/>
      </c>
      <c r="BC109" s="153">
        <f>$C109*INDEX(Curves!$BG$8:$BG$68,BC$4-$B109+1)</f>
        <v/>
      </c>
      <c r="BD109" s="153">
        <f>$C109*INDEX(Curves!$BG$8:$BG$68,BD$4-$B109+1)</f>
        <v/>
      </c>
      <c r="BE109" s="153">
        <f>$C109*INDEX(Curves!$BG$8:$BG$68,BE$4-$B109+1)</f>
        <v/>
      </c>
      <c r="BF109" s="153">
        <f>$C109*INDEX(Curves!$BG$8:$BG$68,BF$4-$B109+1)</f>
        <v/>
      </c>
      <c r="BG109" s="153">
        <f>$C109*INDEX(Curves!$BG$8:$BG$68,BG$4-$B109+1)</f>
        <v/>
      </c>
      <c r="BH109" s="153">
        <f>$C109*INDEX(Curves!$BG$8:$BG$68,BH$4-$B109+1)</f>
        <v/>
      </c>
      <c r="BI109" s="153">
        <f>$C109*INDEX(Curves!$BG$8:$BG$68,BI$4-$B109+1)</f>
        <v/>
      </c>
      <c r="BJ109" s="153">
        <f>$C109*INDEX(Curves!$BG$8:$BG$68,BJ$4-$B109+1)</f>
        <v/>
      </c>
      <c r="BK109" s="153">
        <f>$C109*INDEX(Curves!$BG$8:$BG$68,BK$4-$B109+1)</f>
        <v/>
      </c>
      <c r="BL109" s="153">
        <f>$C109*INDEX(Curves!$BG$8:$BG$68,BL$4-$B109+1)</f>
        <v/>
      </c>
    </row>
    <row r="110">
      <c r="A110" s="147" t="inlineStr">
        <is>
          <t>Cohort month 38</t>
        </is>
      </c>
      <c r="B110" s="147" t="n">
        <v>38</v>
      </c>
      <c r="C110" s="41">
        <f>INDEX(Ops!$E$109:$BL$109,1,$B110)</f>
        <v/>
      </c>
      <c r="AQ110" s="153">
        <f>$C110*INDEX(Curves!$BG$8:$BG$68,AQ$4-$B110+1)</f>
        <v/>
      </c>
      <c r="AR110" s="153">
        <f>$C110*INDEX(Curves!$BG$8:$BG$68,AR$4-$B110+1)</f>
        <v/>
      </c>
      <c r="AS110" s="153">
        <f>$C110*INDEX(Curves!$BG$8:$BG$68,AS$4-$B110+1)</f>
        <v/>
      </c>
      <c r="AT110" s="153">
        <f>$C110*INDEX(Curves!$BG$8:$BG$68,AT$4-$B110+1)</f>
        <v/>
      </c>
      <c r="AU110" s="153">
        <f>$C110*INDEX(Curves!$BG$8:$BG$68,AU$4-$B110+1)</f>
        <v/>
      </c>
      <c r="AV110" s="153">
        <f>$C110*INDEX(Curves!$BG$8:$BG$68,AV$4-$B110+1)</f>
        <v/>
      </c>
      <c r="AW110" s="153">
        <f>$C110*INDEX(Curves!$BG$8:$BG$68,AW$4-$B110+1)</f>
        <v/>
      </c>
      <c r="AX110" s="153">
        <f>$C110*INDEX(Curves!$BG$8:$BG$68,AX$4-$B110+1)</f>
        <v/>
      </c>
      <c r="AY110" s="153">
        <f>$C110*INDEX(Curves!$BG$8:$BG$68,AY$4-$B110+1)</f>
        <v/>
      </c>
      <c r="AZ110" s="153">
        <f>$C110*INDEX(Curves!$BG$8:$BG$68,AZ$4-$B110+1)</f>
        <v/>
      </c>
      <c r="BA110" s="153">
        <f>$C110*INDEX(Curves!$BG$8:$BG$68,BA$4-$B110+1)</f>
        <v/>
      </c>
      <c r="BB110" s="153">
        <f>$C110*INDEX(Curves!$BG$8:$BG$68,BB$4-$B110+1)</f>
        <v/>
      </c>
      <c r="BC110" s="153">
        <f>$C110*INDEX(Curves!$BG$8:$BG$68,BC$4-$B110+1)</f>
        <v/>
      </c>
      <c r="BD110" s="153">
        <f>$C110*INDEX(Curves!$BG$8:$BG$68,BD$4-$B110+1)</f>
        <v/>
      </c>
      <c r="BE110" s="153">
        <f>$C110*INDEX(Curves!$BG$8:$BG$68,BE$4-$B110+1)</f>
        <v/>
      </c>
      <c r="BF110" s="153">
        <f>$C110*INDEX(Curves!$BG$8:$BG$68,BF$4-$B110+1)</f>
        <v/>
      </c>
      <c r="BG110" s="153">
        <f>$C110*INDEX(Curves!$BG$8:$BG$68,BG$4-$B110+1)</f>
        <v/>
      </c>
      <c r="BH110" s="153">
        <f>$C110*INDEX(Curves!$BG$8:$BG$68,BH$4-$B110+1)</f>
        <v/>
      </c>
      <c r="BI110" s="153">
        <f>$C110*INDEX(Curves!$BG$8:$BG$68,BI$4-$B110+1)</f>
        <v/>
      </c>
      <c r="BJ110" s="153">
        <f>$C110*INDEX(Curves!$BG$8:$BG$68,BJ$4-$B110+1)</f>
        <v/>
      </c>
      <c r="BK110" s="153">
        <f>$C110*INDEX(Curves!$BG$8:$BG$68,BK$4-$B110+1)</f>
        <v/>
      </c>
      <c r="BL110" s="153">
        <f>$C110*INDEX(Curves!$BG$8:$BG$68,BL$4-$B110+1)</f>
        <v/>
      </c>
    </row>
    <row r="111">
      <c r="A111" s="147" t="inlineStr">
        <is>
          <t>Cohort month 39</t>
        </is>
      </c>
      <c r="B111" s="147" t="n">
        <v>39</v>
      </c>
      <c r="C111" s="41">
        <f>INDEX(Ops!$E$109:$BL$109,1,$B111)</f>
        <v/>
      </c>
      <c r="AR111" s="153">
        <f>$C111*INDEX(Curves!$BG$8:$BG$68,AR$4-$B111+1)</f>
        <v/>
      </c>
      <c r="AS111" s="153">
        <f>$C111*INDEX(Curves!$BG$8:$BG$68,AS$4-$B111+1)</f>
        <v/>
      </c>
      <c r="AT111" s="153">
        <f>$C111*INDEX(Curves!$BG$8:$BG$68,AT$4-$B111+1)</f>
        <v/>
      </c>
      <c r="AU111" s="153">
        <f>$C111*INDEX(Curves!$BG$8:$BG$68,AU$4-$B111+1)</f>
        <v/>
      </c>
      <c r="AV111" s="153">
        <f>$C111*INDEX(Curves!$BG$8:$BG$68,AV$4-$B111+1)</f>
        <v/>
      </c>
      <c r="AW111" s="153">
        <f>$C111*INDEX(Curves!$BG$8:$BG$68,AW$4-$B111+1)</f>
        <v/>
      </c>
      <c r="AX111" s="153">
        <f>$C111*INDEX(Curves!$BG$8:$BG$68,AX$4-$B111+1)</f>
        <v/>
      </c>
      <c r="AY111" s="153">
        <f>$C111*INDEX(Curves!$BG$8:$BG$68,AY$4-$B111+1)</f>
        <v/>
      </c>
      <c r="AZ111" s="153">
        <f>$C111*INDEX(Curves!$BG$8:$BG$68,AZ$4-$B111+1)</f>
        <v/>
      </c>
      <c r="BA111" s="153">
        <f>$C111*INDEX(Curves!$BG$8:$BG$68,BA$4-$B111+1)</f>
        <v/>
      </c>
      <c r="BB111" s="153">
        <f>$C111*INDEX(Curves!$BG$8:$BG$68,BB$4-$B111+1)</f>
        <v/>
      </c>
      <c r="BC111" s="153">
        <f>$C111*INDEX(Curves!$BG$8:$BG$68,BC$4-$B111+1)</f>
        <v/>
      </c>
      <c r="BD111" s="153">
        <f>$C111*INDEX(Curves!$BG$8:$BG$68,BD$4-$B111+1)</f>
        <v/>
      </c>
      <c r="BE111" s="153">
        <f>$C111*INDEX(Curves!$BG$8:$BG$68,BE$4-$B111+1)</f>
        <v/>
      </c>
      <c r="BF111" s="153">
        <f>$C111*INDEX(Curves!$BG$8:$BG$68,BF$4-$B111+1)</f>
        <v/>
      </c>
      <c r="BG111" s="153">
        <f>$C111*INDEX(Curves!$BG$8:$BG$68,BG$4-$B111+1)</f>
        <v/>
      </c>
      <c r="BH111" s="153">
        <f>$C111*INDEX(Curves!$BG$8:$BG$68,BH$4-$B111+1)</f>
        <v/>
      </c>
      <c r="BI111" s="153">
        <f>$C111*INDEX(Curves!$BG$8:$BG$68,BI$4-$B111+1)</f>
        <v/>
      </c>
      <c r="BJ111" s="153">
        <f>$C111*INDEX(Curves!$BG$8:$BG$68,BJ$4-$B111+1)</f>
        <v/>
      </c>
      <c r="BK111" s="153">
        <f>$C111*INDEX(Curves!$BG$8:$BG$68,BK$4-$B111+1)</f>
        <v/>
      </c>
      <c r="BL111" s="153">
        <f>$C111*INDEX(Curves!$BG$8:$BG$68,BL$4-$B111+1)</f>
        <v/>
      </c>
    </row>
    <row r="112">
      <c r="A112" s="147" t="inlineStr">
        <is>
          <t>Cohort month 40</t>
        </is>
      </c>
      <c r="B112" s="147" t="n">
        <v>40</v>
      </c>
      <c r="C112" s="41">
        <f>INDEX(Ops!$E$109:$BL$109,1,$B112)</f>
        <v/>
      </c>
      <c r="AS112" s="153">
        <f>$C112*INDEX(Curves!$BG$8:$BG$68,AS$4-$B112+1)</f>
        <v/>
      </c>
      <c r="AT112" s="153">
        <f>$C112*INDEX(Curves!$BG$8:$BG$68,AT$4-$B112+1)</f>
        <v/>
      </c>
      <c r="AU112" s="153">
        <f>$C112*INDEX(Curves!$BG$8:$BG$68,AU$4-$B112+1)</f>
        <v/>
      </c>
      <c r="AV112" s="153">
        <f>$C112*INDEX(Curves!$BG$8:$BG$68,AV$4-$B112+1)</f>
        <v/>
      </c>
      <c r="AW112" s="153">
        <f>$C112*INDEX(Curves!$BG$8:$BG$68,AW$4-$B112+1)</f>
        <v/>
      </c>
      <c r="AX112" s="153">
        <f>$C112*INDEX(Curves!$BG$8:$BG$68,AX$4-$B112+1)</f>
        <v/>
      </c>
      <c r="AY112" s="153">
        <f>$C112*INDEX(Curves!$BG$8:$BG$68,AY$4-$B112+1)</f>
        <v/>
      </c>
      <c r="AZ112" s="153">
        <f>$C112*INDEX(Curves!$BG$8:$BG$68,AZ$4-$B112+1)</f>
        <v/>
      </c>
      <c r="BA112" s="153">
        <f>$C112*INDEX(Curves!$BG$8:$BG$68,BA$4-$B112+1)</f>
        <v/>
      </c>
      <c r="BB112" s="153">
        <f>$C112*INDEX(Curves!$BG$8:$BG$68,BB$4-$B112+1)</f>
        <v/>
      </c>
      <c r="BC112" s="153">
        <f>$C112*INDEX(Curves!$BG$8:$BG$68,BC$4-$B112+1)</f>
        <v/>
      </c>
      <c r="BD112" s="153">
        <f>$C112*INDEX(Curves!$BG$8:$BG$68,BD$4-$B112+1)</f>
        <v/>
      </c>
      <c r="BE112" s="153">
        <f>$C112*INDEX(Curves!$BG$8:$BG$68,BE$4-$B112+1)</f>
        <v/>
      </c>
      <c r="BF112" s="153">
        <f>$C112*INDEX(Curves!$BG$8:$BG$68,BF$4-$B112+1)</f>
        <v/>
      </c>
      <c r="BG112" s="153">
        <f>$C112*INDEX(Curves!$BG$8:$BG$68,BG$4-$B112+1)</f>
        <v/>
      </c>
      <c r="BH112" s="153">
        <f>$C112*INDEX(Curves!$BG$8:$BG$68,BH$4-$B112+1)</f>
        <v/>
      </c>
      <c r="BI112" s="153">
        <f>$C112*INDEX(Curves!$BG$8:$BG$68,BI$4-$B112+1)</f>
        <v/>
      </c>
      <c r="BJ112" s="153">
        <f>$C112*INDEX(Curves!$BG$8:$BG$68,BJ$4-$B112+1)</f>
        <v/>
      </c>
      <c r="BK112" s="153">
        <f>$C112*INDEX(Curves!$BG$8:$BG$68,BK$4-$B112+1)</f>
        <v/>
      </c>
      <c r="BL112" s="153">
        <f>$C112*INDEX(Curves!$BG$8:$BG$68,BL$4-$B112+1)</f>
        <v/>
      </c>
    </row>
    <row r="113">
      <c r="A113" s="147" t="inlineStr">
        <is>
          <t>Cohort month 41</t>
        </is>
      </c>
      <c r="B113" s="147" t="n">
        <v>41</v>
      </c>
      <c r="C113" s="41">
        <f>INDEX(Ops!$E$109:$BL$109,1,$B113)</f>
        <v/>
      </c>
      <c r="AT113" s="153">
        <f>$C113*INDEX(Curves!$BG$8:$BG$68,AT$4-$B113+1)</f>
        <v/>
      </c>
      <c r="AU113" s="153">
        <f>$C113*INDEX(Curves!$BG$8:$BG$68,AU$4-$B113+1)</f>
        <v/>
      </c>
      <c r="AV113" s="153">
        <f>$C113*INDEX(Curves!$BG$8:$BG$68,AV$4-$B113+1)</f>
        <v/>
      </c>
      <c r="AW113" s="153">
        <f>$C113*INDEX(Curves!$BG$8:$BG$68,AW$4-$B113+1)</f>
        <v/>
      </c>
      <c r="AX113" s="153">
        <f>$C113*INDEX(Curves!$BG$8:$BG$68,AX$4-$B113+1)</f>
        <v/>
      </c>
      <c r="AY113" s="153">
        <f>$C113*INDEX(Curves!$BG$8:$BG$68,AY$4-$B113+1)</f>
        <v/>
      </c>
      <c r="AZ113" s="153">
        <f>$C113*INDEX(Curves!$BG$8:$BG$68,AZ$4-$B113+1)</f>
        <v/>
      </c>
      <c r="BA113" s="153">
        <f>$C113*INDEX(Curves!$BG$8:$BG$68,BA$4-$B113+1)</f>
        <v/>
      </c>
      <c r="BB113" s="153">
        <f>$C113*INDEX(Curves!$BG$8:$BG$68,BB$4-$B113+1)</f>
        <v/>
      </c>
      <c r="BC113" s="153">
        <f>$C113*INDEX(Curves!$BG$8:$BG$68,BC$4-$B113+1)</f>
        <v/>
      </c>
      <c r="BD113" s="153">
        <f>$C113*INDEX(Curves!$BG$8:$BG$68,BD$4-$B113+1)</f>
        <v/>
      </c>
      <c r="BE113" s="153">
        <f>$C113*INDEX(Curves!$BG$8:$BG$68,BE$4-$B113+1)</f>
        <v/>
      </c>
      <c r="BF113" s="153">
        <f>$C113*INDEX(Curves!$BG$8:$BG$68,BF$4-$B113+1)</f>
        <v/>
      </c>
      <c r="BG113" s="153">
        <f>$C113*INDEX(Curves!$BG$8:$BG$68,BG$4-$B113+1)</f>
        <v/>
      </c>
      <c r="BH113" s="153">
        <f>$C113*INDEX(Curves!$BG$8:$BG$68,BH$4-$B113+1)</f>
        <v/>
      </c>
      <c r="BI113" s="153">
        <f>$C113*INDEX(Curves!$BG$8:$BG$68,BI$4-$B113+1)</f>
        <v/>
      </c>
      <c r="BJ113" s="153">
        <f>$C113*INDEX(Curves!$BG$8:$BG$68,BJ$4-$B113+1)</f>
        <v/>
      </c>
      <c r="BK113" s="153">
        <f>$C113*INDEX(Curves!$BG$8:$BG$68,BK$4-$B113+1)</f>
        <v/>
      </c>
      <c r="BL113" s="153">
        <f>$C113*INDEX(Curves!$BG$8:$BG$68,BL$4-$B113+1)</f>
        <v/>
      </c>
    </row>
    <row r="114">
      <c r="A114" s="147" t="inlineStr">
        <is>
          <t>Cohort month 42</t>
        </is>
      </c>
      <c r="B114" s="147" t="n">
        <v>42</v>
      </c>
      <c r="C114" s="41">
        <f>INDEX(Ops!$E$109:$BL$109,1,$B114)</f>
        <v/>
      </c>
      <c r="AU114" s="153">
        <f>$C114*INDEX(Curves!$BG$8:$BG$68,AU$4-$B114+1)</f>
        <v/>
      </c>
      <c r="AV114" s="153">
        <f>$C114*INDEX(Curves!$BG$8:$BG$68,AV$4-$B114+1)</f>
        <v/>
      </c>
      <c r="AW114" s="153">
        <f>$C114*INDEX(Curves!$BG$8:$BG$68,AW$4-$B114+1)</f>
        <v/>
      </c>
      <c r="AX114" s="153">
        <f>$C114*INDEX(Curves!$BG$8:$BG$68,AX$4-$B114+1)</f>
        <v/>
      </c>
      <c r="AY114" s="153">
        <f>$C114*INDEX(Curves!$BG$8:$BG$68,AY$4-$B114+1)</f>
        <v/>
      </c>
      <c r="AZ114" s="153">
        <f>$C114*INDEX(Curves!$BG$8:$BG$68,AZ$4-$B114+1)</f>
        <v/>
      </c>
      <c r="BA114" s="153">
        <f>$C114*INDEX(Curves!$BG$8:$BG$68,BA$4-$B114+1)</f>
        <v/>
      </c>
      <c r="BB114" s="153">
        <f>$C114*INDEX(Curves!$BG$8:$BG$68,BB$4-$B114+1)</f>
        <v/>
      </c>
      <c r="BC114" s="153">
        <f>$C114*INDEX(Curves!$BG$8:$BG$68,BC$4-$B114+1)</f>
        <v/>
      </c>
      <c r="BD114" s="153">
        <f>$C114*INDEX(Curves!$BG$8:$BG$68,BD$4-$B114+1)</f>
        <v/>
      </c>
      <c r="BE114" s="153">
        <f>$C114*INDEX(Curves!$BG$8:$BG$68,BE$4-$B114+1)</f>
        <v/>
      </c>
      <c r="BF114" s="153">
        <f>$C114*INDEX(Curves!$BG$8:$BG$68,BF$4-$B114+1)</f>
        <v/>
      </c>
      <c r="BG114" s="153">
        <f>$C114*INDEX(Curves!$BG$8:$BG$68,BG$4-$B114+1)</f>
        <v/>
      </c>
      <c r="BH114" s="153">
        <f>$C114*INDEX(Curves!$BG$8:$BG$68,BH$4-$B114+1)</f>
        <v/>
      </c>
      <c r="BI114" s="153">
        <f>$C114*INDEX(Curves!$BG$8:$BG$68,BI$4-$B114+1)</f>
        <v/>
      </c>
      <c r="BJ114" s="153">
        <f>$C114*INDEX(Curves!$BG$8:$BG$68,BJ$4-$B114+1)</f>
        <v/>
      </c>
      <c r="BK114" s="153">
        <f>$C114*INDEX(Curves!$BG$8:$BG$68,BK$4-$B114+1)</f>
        <v/>
      </c>
      <c r="BL114" s="153">
        <f>$C114*INDEX(Curves!$BG$8:$BG$68,BL$4-$B114+1)</f>
        <v/>
      </c>
    </row>
    <row r="115">
      <c r="A115" s="147" t="inlineStr">
        <is>
          <t>Cohort month 43</t>
        </is>
      </c>
      <c r="B115" s="147" t="n">
        <v>43</v>
      </c>
      <c r="C115" s="41">
        <f>INDEX(Ops!$E$109:$BL$109,1,$B115)</f>
        <v/>
      </c>
      <c r="AV115" s="153">
        <f>$C115*INDEX(Curves!$BG$8:$BG$68,AV$4-$B115+1)</f>
        <v/>
      </c>
      <c r="AW115" s="153">
        <f>$C115*INDEX(Curves!$BG$8:$BG$68,AW$4-$B115+1)</f>
        <v/>
      </c>
      <c r="AX115" s="153">
        <f>$C115*INDEX(Curves!$BG$8:$BG$68,AX$4-$B115+1)</f>
        <v/>
      </c>
      <c r="AY115" s="153">
        <f>$C115*INDEX(Curves!$BG$8:$BG$68,AY$4-$B115+1)</f>
        <v/>
      </c>
      <c r="AZ115" s="153">
        <f>$C115*INDEX(Curves!$BG$8:$BG$68,AZ$4-$B115+1)</f>
        <v/>
      </c>
      <c r="BA115" s="153">
        <f>$C115*INDEX(Curves!$BG$8:$BG$68,BA$4-$B115+1)</f>
        <v/>
      </c>
      <c r="BB115" s="153">
        <f>$C115*INDEX(Curves!$BG$8:$BG$68,BB$4-$B115+1)</f>
        <v/>
      </c>
      <c r="BC115" s="153">
        <f>$C115*INDEX(Curves!$BG$8:$BG$68,BC$4-$B115+1)</f>
        <v/>
      </c>
      <c r="BD115" s="153">
        <f>$C115*INDEX(Curves!$BG$8:$BG$68,BD$4-$B115+1)</f>
        <v/>
      </c>
      <c r="BE115" s="153">
        <f>$C115*INDEX(Curves!$BG$8:$BG$68,BE$4-$B115+1)</f>
        <v/>
      </c>
      <c r="BF115" s="153">
        <f>$C115*INDEX(Curves!$BG$8:$BG$68,BF$4-$B115+1)</f>
        <v/>
      </c>
      <c r="BG115" s="153">
        <f>$C115*INDEX(Curves!$BG$8:$BG$68,BG$4-$B115+1)</f>
        <v/>
      </c>
      <c r="BH115" s="153">
        <f>$C115*INDEX(Curves!$BG$8:$BG$68,BH$4-$B115+1)</f>
        <v/>
      </c>
      <c r="BI115" s="153">
        <f>$C115*INDEX(Curves!$BG$8:$BG$68,BI$4-$B115+1)</f>
        <v/>
      </c>
      <c r="BJ115" s="153">
        <f>$C115*INDEX(Curves!$BG$8:$BG$68,BJ$4-$B115+1)</f>
        <v/>
      </c>
      <c r="BK115" s="153">
        <f>$C115*INDEX(Curves!$BG$8:$BG$68,BK$4-$B115+1)</f>
        <v/>
      </c>
      <c r="BL115" s="153">
        <f>$C115*INDEX(Curves!$BG$8:$BG$68,BL$4-$B115+1)</f>
        <v/>
      </c>
    </row>
    <row r="116">
      <c r="A116" s="147" t="inlineStr">
        <is>
          <t>Cohort month 44</t>
        </is>
      </c>
      <c r="B116" s="147" t="n">
        <v>44</v>
      </c>
      <c r="C116" s="41">
        <f>INDEX(Ops!$E$109:$BL$109,1,$B116)</f>
        <v/>
      </c>
      <c r="AW116" s="153">
        <f>$C116*INDEX(Curves!$BG$8:$BG$68,AW$4-$B116+1)</f>
        <v/>
      </c>
      <c r="AX116" s="153">
        <f>$C116*INDEX(Curves!$BG$8:$BG$68,AX$4-$B116+1)</f>
        <v/>
      </c>
      <c r="AY116" s="153">
        <f>$C116*INDEX(Curves!$BG$8:$BG$68,AY$4-$B116+1)</f>
        <v/>
      </c>
      <c r="AZ116" s="153">
        <f>$C116*INDEX(Curves!$BG$8:$BG$68,AZ$4-$B116+1)</f>
        <v/>
      </c>
      <c r="BA116" s="153">
        <f>$C116*INDEX(Curves!$BG$8:$BG$68,BA$4-$B116+1)</f>
        <v/>
      </c>
      <c r="BB116" s="153">
        <f>$C116*INDEX(Curves!$BG$8:$BG$68,BB$4-$B116+1)</f>
        <v/>
      </c>
      <c r="BC116" s="153">
        <f>$C116*INDEX(Curves!$BG$8:$BG$68,BC$4-$B116+1)</f>
        <v/>
      </c>
      <c r="BD116" s="153">
        <f>$C116*INDEX(Curves!$BG$8:$BG$68,BD$4-$B116+1)</f>
        <v/>
      </c>
      <c r="BE116" s="153">
        <f>$C116*INDEX(Curves!$BG$8:$BG$68,BE$4-$B116+1)</f>
        <v/>
      </c>
      <c r="BF116" s="153">
        <f>$C116*INDEX(Curves!$BG$8:$BG$68,BF$4-$B116+1)</f>
        <v/>
      </c>
      <c r="BG116" s="153">
        <f>$C116*INDEX(Curves!$BG$8:$BG$68,BG$4-$B116+1)</f>
        <v/>
      </c>
      <c r="BH116" s="153">
        <f>$C116*INDEX(Curves!$BG$8:$BG$68,BH$4-$B116+1)</f>
        <v/>
      </c>
      <c r="BI116" s="153">
        <f>$C116*INDEX(Curves!$BG$8:$BG$68,BI$4-$B116+1)</f>
        <v/>
      </c>
      <c r="BJ116" s="153">
        <f>$C116*INDEX(Curves!$BG$8:$BG$68,BJ$4-$B116+1)</f>
        <v/>
      </c>
      <c r="BK116" s="153">
        <f>$C116*INDEX(Curves!$BG$8:$BG$68,BK$4-$B116+1)</f>
        <v/>
      </c>
      <c r="BL116" s="153">
        <f>$C116*INDEX(Curves!$BG$8:$BG$68,BL$4-$B116+1)</f>
        <v/>
      </c>
    </row>
    <row r="117">
      <c r="A117" s="147" t="inlineStr">
        <is>
          <t>Cohort month 45</t>
        </is>
      </c>
      <c r="B117" s="147" t="n">
        <v>45</v>
      </c>
      <c r="C117" s="41">
        <f>INDEX(Ops!$E$109:$BL$109,1,$B117)</f>
        <v/>
      </c>
      <c r="AX117" s="153">
        <f>$C117*INDEX(Curves!$BG$8:$BG$68,AX$4-$B117+1)</f>
        <v/>
      </c>
      <c r="AY117" s="153">
        <f>$C117*INDEX(Curves!$BG$8:$BG$68,AY$4-$B117+1)</f>
        <v/>
      </c>
      <c r="AZ117" s="153">
        <f>$C117*INDEX(Curves!$BG$8:$BG$68,AZ$4-$B117+1)</f>
        <v/>
      </c>
      <c r="BA117" s="153">
        <f>$C117*INDEX(Curves!$BG$8:$BG$68,BA$4-$B117+1)</f>
        <v/>
      </c>
      <c r="BB117" s="153">
        <f>$C117*INDEX(Curves!$BG$8:$BG$68,BB$4-$B117+1)</f>
        <v/>
      </c>
      <c r="BC117" s="153">
        <f>$C117*INDEX(Curves!$BG$8:$BG$68,BC$4-$B117+1)</f>
        <v/>
      </c>
      <c r="BD117" s="153">
        <f>$C117*INDEX(Curves!$BG$8:$BG$68,BD$4-$B117+1)</f>
        <v/>
      </c>
      <c r="BE117" s="153">
        <f>$C117*INDEX(Curves!$BG$8:$BG$68,BE$4-$B117+1)</f>
        <v/>
      </c>
      <c r="BF117" s="153">
        <f>$C117*INDEX(Curves!$BG$8:$BG$68,BF$4-$B117+1)</f>
        <v/>
      </c>
      <c r="BG117" s="153">
        <f>$C117*INDEX(Curves!$BG$8:$BG$68,BG$4-$B117+1)</f>
        <v/>
      </c>
      <c r="BH117" s="153">
        <f>$C117*INDEX(Curves!$BG$8:$BG$68,BH$4-$B117+1)</f>
        <v/>
      </c>
      <c r="BI117" s="153">
        <f>$C117*INDEX(Curves!$BG$8:$BG$68,BI$4-$B117+1)</f>
        <v/>
      </c>
      <c r="BJ117" s="153">
        <f>$C117*INDEX(Curves!$BG$8:$BG$68,BJ$4-$B117+1)</f>
        <v/>
      </c>
      <c r="BK117" s="153">
        <f>$C117*INDEX(Curves!$BG$8:$BG$68,BK$4-$B117+1)</f>
        <v/>
      </c>
      <c r="BL117" s="153">
        <f>$C117*INDEX(Curves!$BG$8:$BG$68,BL$4-$B117+1)</f>
        <v/>
      </c>
    </row>
    <row r="118">
      <c r="A118" s="147" t="inlineStr">
        <is>
          <t>Cohort month 46</t>
        </is>
      </c>
      <c r="B118" s="147" t="n">
        <v>46</v>
      </c>
      <c r="C118" s="41">
        <f>INDEX(Ops!$E$109:$BL$109,1,$B118)</f>
        <v/>
      </c>
      <c r="AY118" s="153">
        <f>$C118*INDEX(Curves!$BG$8:$BG$68,AY$4-$B118+1)</f>
        <v/>
      </c>
      <c r="AZ118" s="153">
        <f>$C118*INDEX(Curves!$BG$8:$BG$68,AZ$4-$B118+1)</f>
        <v/>
      </c>
      <c r="BA118" s="153">
        <f>$C118*INDEX(Curves!$BG$8:$BG$68,BA$4-$B118+1)</f>
        <v/>
      </c>
      <c r="BB118" s="153">
        <f>$C118*INDEX(Curves!$BG$8:$BG$68,BB$4-$B118+1)</f>
        <v/>
      </c>
      <c r="BC118" s="153">
        <f>$C118*INDEX(Curves!$BG$8:$BG$68,BC$4-$B118+1)</f>
        <v/>
      </c>
      <c r="BD118" s="153">
        <f>$C118*INDEX(Curves!$BG$8:$BG$68,BD$4-$B118+1)</f>
        <v/>
      </c>
      <c r="BE118" s="153">
        <f>$C118*INDEX(Curves!$BG$8:$BG$68,BE$4-$B118+1)</f>
        <v/>
      </c>
      <c r="BF118" s="153">
        <f>$C118*INDEX(Curves!$BG$8:$BG$68,BF$4-$B118+1)</f>
        <v/>
      </c>
      <c r="BG118" s="153">
        <f>$C118*INDEX(Curves!$BG$8:$BG$68,BG$4-$B118+1)</f>
        <v/>
      </c>
      <c r="BH118" s="153">
        <f>$C118*INDEX(Curves!$BG$8:$BG$68,BH$4-$B118+1)</f>
        <v/>
      </c>
      <c r="BI118" s="153">
        <f>$C118*INDEX(Curves!$BG$8:$BG$68,BI$4-$B118+1)</f>
        <v/>
      </c>
      <c r="BJ118" s="153">
        <f>$C118*INDEX(Curves!$BG$8:$BG$68,BJ$4-$B118+1)</f>
        <v/>
      </c>
      <c r="BK118" s="153">
        <f>$C118*INDEX(Curves!$BG$8:$BG$68,BK$4-$B118+1)</f>
        <v/>
      </c>
      <c r="BL118" s="153">
        <f>$C118*INDEX(Curves!$BG$8:$BG$68,BL$4-$B118+1)</f>
        <v/>
      </c>
    </row>
    <row r="119">
      <c r="A119" s="147" t="inlineStr">
        <is>
          <t>Cohort month 47</t>
        </is>
      </c>
      <c r="B119" s="147" t="n">
        <v>47</v>
      </c>
      <c r="C119" s="41">
        <f>INDEX(Ops!$E$109:$BL$109,1,$B119)</f>
        <v/>
      </c>
      <c r="AZ119" s="153">
        <f>$C119*INDEX(Curves!$BG$8:$BG$68,AZ$4-$B119+1)</f>
        <v/>
      </c>
      <c r="BA119" s="153">
        <f>$C119*INDEX(Curves!$BG$8:$BG$68,BA$4-$B119+1)</f>
        <v/>
      </c>
      <c r="BB119" s="153">
        <f>$C119*INDEX(Curves!$BG$8:$BG$68,BB$4-$B119+1)</f>
        <v/>
      </c>
      <c r="BC119" s="153">
        <f>$C119*INDEX(Curves!$BG$8:$BG$68,BC$4-$B119+1)</f>
        <v/>
      </c>
      <c r="BD119" s="153">
        <f>$C119*INDEX(Curves!$BG$8:$BG$68,BD$4-$B119+1)</f>
        <v/>
      </c>
      <c r="BE119" s="153">
        <f>$C119*INDEX(Curves!$BG$8:$BG$68,BE$4-$B119+1)</f>
        <v/>
      </c>
      <c r="BF119" s="153">
        <f>$C119*INDEX(Curves!$BG$8:$BG$68,BF$4-$B119+1)</f>
        <v/>
      </c>
      <c r="BG119" s="153">
        <f>$C119*INDEX(Curves!$BG$8:$BG$68,BG$4-$B119+1)</f>
        <v/>
      </c>
      <c r="BH119" s="153">
        <f>$C119*INDEX(Curves!$BG$8:$BG$68,BH$4-$B119+1)</f>
        <v/>
      </c>
      <c r="BI119" s="153">
        <f>$C119*INDEX(Curves!$BG$8:$BG$68,BI$4-$B119+1)</f>
        <v/>
      </c>
      <c r="BJ119" s="153">
        <f>$C119*INDEX(Curves!$BG$8:$BG$68,BJ$4-$B119+1)</f>
        <v/>
      </c>
      <c r="BK119" s="153">
        <f>$C119*INDEX(Curves!$BG$8:$BG$68,BK$4-$B119+1)</f>
        <v/>
      </c>
      <c r="BL119" s="153">
        <f>$C119*INDEX(Curves!$BG$8:$BG$68,BL$4-$B119+1)</f>
        <v/>
      </c>
    </row>
    <row r="120">
      <c r="A120" s="147" t="inlineStr">
        <is>
          <t>Cohort month 48</t>
        </is>
      </c>
      <c r="B120" s="147" t="n">
        <v>48</v>
      </c>
      <c r="C120" s="41">
        <f>INDEX(Ops!$E$109:$BL$109,1,$B120)</f>
        <v/>
      </c>
      <c r="BA120" s="153">
        <f>$C120*INDEX(Curves!$BG$8:$BG$68,BA$4-$B120+1)</f>
        <v/>
      </c>
      <c r="BB120" s="153">
        <f>$C120*INDEX(Curves!$BG$8:$BG$68,BB$4-$B120+1)</f>
        <v/>
      </c>
      <c r="BC120" s="153">
        <f>$C120*INDEX(Curves!$BG$8:$BG$68,BC$4-$B120+1)</f>
        <v/>
      </c>
      <c r="BD120" s="153">
        <f>$C120*INDEX(Curves!$BG$8:$BG$68,BD$4-$B120+1)</f>
        <v/>
      </c>
      <c r="BE120" s="153">
        <f>$C120*INDEX(Curves!$BG$8:$BG$68,BE$4-$B120+1)</f>
        <v/>
      </c>
      <c r="BF120" s="153">
        <f>$C120*INDEX(Curves!$BG$8:$BG$68,BF$4-$B120+1)</f>
        <v/>
      </c>
      <c r="BG120" s="153">
        <f>$C120*INDEX(Curves!$BG$8:$BG$68,BG$4-$B120+1)</f>
        <v/>
      </c>
      <c r="BH120" s="153">
        <f>$C120*INDEX(Curves!$BG$8:$BG$68,BH$4-$B120+1)</f>
        <v/>
      </c>
      <c r="BI120" s="153">
        <f>$C120*INDEX(Curves!$BG$8:$BG$68,BI$4-$B120+1)</f>
        <v/>
      </c>
      <c r="BJ120" s="153">
        <f>$C120*INDEX(Curves!$BG$8:$BG$68,BJ$4-$B120+1)</f>
        <v/>
      </c>
      <c r="BK120" s="153">
        <f>$C120*INDEX(Curves!$BG$8:$BG$68,BK$4-$B120+1)</f>
        <v/>
      </c>
      <c r="BL120" s="153">
        <f>$C120*INDEX(Curves!$BG$8:$BG$68,BL$4-$B120+1)</f>
        <v/>
      </c>
    </row>
    <row r="121">
      <c r="A121" s="147" t="inlineStr">
        <is>
          <t>Cohort month 49</t>
        </is>
      </c>
      <c r="B121" s="147" t="n">
        <v>49</v>
      </c>
      <c r="C121" s="41">
        <f>INDEX(Ops!$E$109:$BL$109,1,$B121)</f>
        <v/>
      </c>
      <c r="BB121" s="153">
        <f>$C121*INDEX(Curves!$BG$8:$BG$68,BB$4-$B121+1)</f>
        <v/>
      </c>
      <c r="BC121" s="153">
        <f>$C121*INDEX(Curves!$BG$8:$BG$68,BC$4-$B121+1)</f>
        <v/>
      </c>
      <c r="BD121" s="153">
        <f>$C121*INDEX(Curves!$BG$8:$BG$68,BD$4-$B121+1)</f>
        <v/>
      </c>
      <c r="BE121" s="153">
        <f>$C121*INDEX(Curves!$BG$8:$BG$68,BE$4-$B121+1)</f>
        <v/>
      </c>
      <c r="BF121" s="153">
        <f>$C121*INDEX(Curves!$BG$8:$BG$68,BF$4-$B121+1)</f>
        <v/>
      </c>
      <c r="BG121" s="153">
        <f>$C121*INDEX(Curves!$BG$8:$BG$68,BG$4-$B121+1)</f>
        <v/>
      </c>
      <c r="BH121" s="153">
        <f>$C121*INDEX(Curves!$BG$8:$BG$68,BH$4-$B121+1)</f>
        <v/>
      </c>
      <c r="BI121" s="153">
        <f>$C121*INDEX(Curves!$BG$8:$BG$68,BI$4-$B121+1)</f>
        <v/>
      </c>
      <c r="BJ121" s="153">
        <f>$C121*INDEX(Curves!$BG$8:$BG$68,BJ$4-$B121+1)</f>
        <v/>
      </c>
      <c r="BK121" s="153">
        <f>$C121*INDEX(Curves!$BG$8:$BG$68,BK$4-$B121+1)</f>
        <v/>
      </c>
      <c r="BL121" s="153">
        <f>$C121*INDEX(Curves!$BG$8:$BG$68,BL$4-$B121+1)</f>
        <v/>
      </c>
    </row>
    <row r="122">
      <c r="A122" s="147" t="inlineStr">
        <is>
          <t>Cohort month 50</t>
        </is>
      </c>
      <c r="B122" s="147" t="n">
        <v>50</v>
      </c>
      <c r="C122" s="41">
        <f>INDEX(Ops!$E$109:$BL$109,1,$B122)</f>
        <v/>
      </c>
      <c r="BC122" s="153">
        <f>$C122*INDEX(Curves!$BG$8:$BG$68,BC$4-$B122+1)</f>
        <v/>
      </c>
      <c r="BD122" s="153">
        <f>$C122*INDEX(Curves!$BG$8:$BG$68,BD$4-$B122+1)</f>
        <v/>
      </c>
      <c r="BE122" s="153">
        <f>$C122*INDEX(Curves!$BG$8:$BG$68,BE$4-$B122+1)</f>
        <v/>
      </c>
      <c r="BF122" s="153">
        <f>$C122*INDEX(Curves!$BG$8:$BG$68,BF$4-$B122+1)</f>
        <v/>
      </c>
      <c r="BG122" s="153">
        <f>$C122*INDEX(Curves!$BG$8:$BG$68,BG$4-$B122+1)</f>
        <v/>
      </c>
      <c r="BH122" s="153">
        <f>$C122*INDEX(Curves!$BG$8:$BG$68,BH$4-$B122+1)</f>
        <v/>
      </c>
      <c r="BI122" s="153">
        <f>$C122*INDEX(Curves!$BG$8:$BG$68,BI$4-$B122+1)</f>
        <v/>
      </c>
      <c r="BJ122" s="153">
        <f>$C122*INDEX(Curves!$BG$8:$BG$68,BJ$4-$B122+1)</f>
        <v/>
      </c>
      <c r="BK122" s="153">
        <f>$C122*INDEX(Curves!$BG$8:$BG$68,BK$4-$B122+1)</f>
        <v/>
      </c>
      <c r="BL122" s="153">
        <f>$C122*INDEX(Curves!$BG$8:$BG$68,BL$4-$B122+1)</f>
        <v/>
      </c>
    </row>
    <row r="123">
      <c r="A123" s="147" t="inlineStr">
        <is>
          <t>Cohort month 51</t>
        </is>
      </c>
      <c r="B123" s="147" t="n">
        <v>51</v>
      </c>
      <c r="C123" s="41">
        <f>INDEX(Ops!$E$109:$BL$109,1,$B123)</f>
        <v/>
      </c>
      <c r="BD123" s="153">
        <f>$C123*INDEX(Curves!$BG$8:$BG$68,BD$4-$B123+1)</f>
        <v/>
      </c>
      <c r="BE123" s="153">
        <f>$C123*INDEX(Curves!$BG$8:$BG$68,BE$4-$B123+1)</f>
        <v/>
      </c>
      <c r="BF123" s="153">
        <f>$C123*INDEX(Curves!$BG$8:$BG$68,BF$4-$B123+1)</f>
        <v/>
      </c>
      <c r="BG123" s="153">
        <f>$C123*INDEX(Curves!$BG$8:$BG$68,BG$4-$B123+1)</f>
        <v/>
      </c>
      <c r="BH123" s="153">
        <f>$C123*INDEX(Curves!$BG$8:$BG$68,BH$4-$B123+1)</f>
        <v/>
      </c>
      <c r="BI123" s="153">
        <f>$C123*INDEX(Curves!$BG$8:$BG$68,BI$4-$B123+1)</f>
        <v/>
      </c>
      <c r="BJ123" s="153">
        <f>$C123*INDEX(Curves!$BG$8:$BG$68,BJ$4-$B123+1)</f>
        <v/>
      </c>
      <c r="BK123" s="153">
        <f>$C123*INDEX(Curves!$BG$8:$BG$68,BK$4-$B123+1)</f>
        <v/>
      </c>
      <c r="BL123" s="153">
        <f>$C123*INDEX(Curves!$BG$8:$BG$68,BL$4-$B123+1)</f>
        <v/>
      </c>
    </row>
    <row r="124">
      <c r="A124" s="147" t="inlineStr">
        <is>
          <t>Cohort month 52</t>
        </is>
      </c>
      <c r="B124" s="147" t="n">
        <v>52</v>
      </c>
      <c r="C124" s="41">
        <f>INDEX(Ops!$E$109:$BL$109,1,$B124)</f>
        <v/>
      </c>
      <c r="BE124" s="153">
        <f>$C124*INDEX(Curves!$BG$8:$BG$68,BE$4-$B124+1)</f>
        <v/>
      </c>
      <c r="BF124" s="153">
        <f>$C124*INDEX(Curves!$BG$8:$BG$68,BF$4-$B124+1)</f>
        <v/>
      </c>
      <c r="BG124" s="153">
        <f>$C124*INDEX(Curves!$BG$8:$BG$68,BG$4-$B124+1)</f>
        <v/>
      </c>
      <c r="BH124" s="153">
        <f>$C124*INDEX(Curves!$BG$8:$BG$68,BH$4-$B124+1)</f>
        <v/>
      </c>
      <c r="BI124" s="153">
        <f>$C124*INDEX(Curves!$BG$8:$BG$68,BI$4-$B124+1)</f>
        <v/>
      </c>
      <c r="BJ124" s="153">
        <f>$C124*INDEX(Curves!$BG$8:$BG$68,BJ$4-$B124+1)</f>
        <v/>
      </c>
      <c r="BK124" s="153">
        <f>$C124*INDEX(Curves!$BG$8:$BG$68,BK$4-$B124+1)</f>
        <v/>
      </c>
      <c r="BL124" s="153">
        <f>$C124*INDEX(Curves!$BG$8:$BG$68,BL$4-$B124+1)</f>
        <v/>
      </c>
    </row>
    <row r="125">
      <c r="A125" s="147" t="inlineStr">
        <is>
          <t>Cohort month 53</t>
        </is>
      </c>
      <c r="B125" s="147" t="n">
        <v>53</v>
      </c>
      <c r="C125" s="41">
        <f>INDEX(Ops!$E$109:$BL$109,1,$B125)</f>
        <v/>
      </c>
      <c r="BF125" s="153">
        <f>$C125*INDEX(Curves!$BG$8:$BG$68,BF$4-$B125+1)</f>
        <v/>
      </c>
      <c r="BG125" s="153">
        <f>$C125*INDEX(Curves!$BG$8:$BG$68,BG$4-$B125+1)</f>
        <v/>
      </c>
      <c r="BH125" s="153">
        <f>$C125*INDEX(Curves!$BG$8:$BG$68,BH$4-$B125+1)</f>
        <v/>
      </c>
      <c r="BI125" s="153">
        <f>$C125*INDEX(Curves!$BG$8:$BG$68,BI$4-$B125+1)</f>
        <v/>
      </c>
      <c r="BJ125" s="153">
        <f>$C125*INDEX(Curves!$BG$8:$BG$68,BJ$4-$B125+1)</f>
        <v/>
      </c>
      <c r="BK125" s="153">
        <f>$C125*INDEX(Curves!$BG$8:$BG$68,BK$4-$B125+1)</f>
        <v/>
      </c>
      <c r="BL125" s="153">
        <f>$C125*INDEX(Curves!$BG$8:$BG$68,BL$4-$B125+1)</f>
        <v/>
      </c>
    </row>
    <row r="126">
      <c r="A126" s="147" t="inlineStr">
        <is>
          <t>Cohort month 54</t>
        </is>
      </c>
      <c r="B126" s="147" t="n">
        <v>54</v>
      </c>
      <c r="C126" s="41">
        <f>INDEX(Ops!$E$109:$BL$109,1,$B126)</f>
        <v/>
      </c>
      <c r="BG126" s="153">
        <f>$C126*INDEX(Curves!$BG$8:$BG$68,BG$4-$B126+1)</f>
        <v/>
      </c>
      <c r="BH126" s="153">
        <f>$C126*INDEX(Curves!$BG$8:$BG$68,BH$4-$B126+1)</f>
        <v/>
      </c>
      <c r="BI126" s="153">
        <f>$C126*INDEX(Curves!$BG$8:$BG$68,BI$4-$B126+1)</f>
        <v/>
      </c>
      <c r="BJ126" s="153">
        <f>$C126*INDEX(Curves!$BG$8:$BG$68,BJ$4-$B126+1)</f>
        <v/>
      </c>
      <c r="BK126" s="153">
        <f>$C126*INDEX(Curves!$BG$8:$BG$68,BK$4-$B126+1)</f>
        <v/>
      </c>
      <c r="BL126" s="153">
        <f>$C126*INDEX(Curves!$BG$8:$BG$68,BL$4-$B126+1)</f>
        <v/>
      </c>
    </row>
    <row r="127">
      <c r="A127" s="147" t="inlineStr">
        <is>
          <t>Cohort month 55</t>
        </is>
      </c>
      <c r="B127" s="147" t="n">
        <v>55</v>
      </c>
      <c r="C127" s="41">
        <f>INDEX(Ops!$E$109:$BL$109,1,$B127)</f>
        <v/>
      </c>
      <c r="BH127" s="153">
        <f>$C127*INDEX(Curves!$BG$8:$BG$68,BH$4-$B127+1)</f>
        <v/>
      </c>
      <c r="BI127" s="153">
        <f>$C127*INDEX(Curves!$BG$8:$BG$68,BI$4-$B127+1)</f>
        <v/>
      </c>
      <c r="BJ127" s="153">
        <f>$C127*INDEX(Curves!$BG$8:$BG$68,BJ$4-$B127+1)</f>
        <v/>
      </c>
      <c r="BK127" s="153">
        <f>$C127*INDEX(Curves!$BG$8:$BG$68,BK$4-$B127+1)</f>
        <v/>
      </c>
      <c r="BL127" s="153">
        <f>$C127*INDEX(Curves!$BG$8:$BG$68,BL$4-$B127+1)</f>
        <v/>
      </c>
    </row>
    <row r="128">
      <c r="A128" s="147" t="inlineStr">
        <is>
          <t>Cohort month 56</t>
        </is>
      </c>
      <c r="B128" s="147" t="n">
        <v>56</v>
      </c>
      <c r="C128" s="41">
        <f>INDEX(Ops!$E$109:$BL$109,1,$B128)</f>
        <v/>
      </c>
      <c r="BI128" s="153">
        <f>$C128*INDEX(Curves!$BG$8:$BG$68,BI$4-$B128+1)</f>
        <v/>
      </c>
      <c r="BJ128" s="153">
        <f>$C128*INDEX(Curves!$BG$8:$BG$68,BJ$4-$B128+1)</f>
        <v/>
      </c>
      <c r="BK128" s="153">
        <f>$C128*INDEX(Curves!$BG$8:$BG$68,BK$4-$B128+1)</f>
        <v/>
      </c>
      <c r="BL128" s="153">
        <f>$C128*INDEX(Curves!$BG$8:$BG$68,BL$4-$B128+1)</f>
        <v/>
      </c>
    </row>
    <row r="129">
      <c r="A129" s="147" t="inlineStr">
        <is>
          <t>Cohort month 57</t>
        </is>
      </c>
      <c r="B129" s="147" t="n">
        <v>57</v>
      </c>
      <c r="C129" s="41">
        <f>INDEX(Ops!$E$109:$BL$109,1,$B129)</f>
        <v/>
      </c>
      <c r="BJ129" s="153">
        <f>$C129*INDEX(Curves!$BG$8:$BG$68,BJ$4-$B129+1)</f>
        <v/>
      </c>
      <c r="BK129" s="153">
        <f>$C129*INDEX(Curves!$BG$8:$BG$68,BK$4-$B129+1)</f>
        <v/>
      </c>
      <c r="BL129" s="153">
        <f>$C129*INDEX(Curves!$BG$8:$BG$68,BL$4-$B129+1)</f>
        <v/>
      </c>
    </row>
    <row r="130">
      <c r="A130" s="147" t="inlineStr">
        <is>
          <t>Cohort month 58</t>
        </is>
      </c>
      <c r="B130" s="147" t="n">
        <v>58</v>
      </c>
      <c r="C130" s="41">
        <f>INDEX(Ops!$E$109:$BL$109,1,$B130)</f>
        <v/>
      </c>
      <c r="BK130" s="153">
        <f>$C130*INDEX(Curves!$BG$8:$BG$68,BK$4-$B130+1)</f>
        <v/>
      </c>
      <c r="BL130" s="153">
        <f>$C130*INDEX(Curves!$BG$8:$BG$68,BL$4-$B130+1)</f>
        <v/>
      </c>
    </row>
    <row r="131">
      <c r="A131" s="147" t="inlineStr">
        <is>
          <t>Cohort month 59</t>
        </is>
      </c>
      <c r="B131" s="147" t="n">
        <v>59</v>
      </c>
      <c r="C131" s="41">
        <f>INDEX(Ops!$E$109:$BL$109,1,$B131)</f>
        <v/>
      </c>
      <c r="BL131" s="153">
        <f>$C131*INDEX(Curves!$BG$8:$BG$68,BL$4-$B131+1)</f>
        <v/>
      </c>
    </row>
    <row r="132">
      <c r="A132" s="147" t="inlineStr">
        <is>
          <t>Cohort month 60</t>
        </is>
      </c>
      <c r="B132" s="147" t="n">
        <v>60</v>
      </c>
      <c r="C132" s="41">
        <f>INDEX(Ops!$E$109:$BL$109,1,$B132)</f>
        <v/>
      </c>
    </row>
    <row r="133"/>
    <row r="134">
      <c r="A134" s="21" t="inlineStr">
        <is>
          <t>Receivables at risk by cohort (LCY)</t>
        </is>
      </c>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c r="AA134" s="22" t="n"/>
      <c r="AB134" s="22" t="n"/>
      <c r="AC134" s="22" t="n"/>
      <c r="AD134" s="22" t="n"/>
      <c r="AE134" s="22" t="n"/>
      <c r="AF134" s="22" t="n"/>
      <c r="AG134" s="22" t="n"/>
      <c r="AH134" s="22" t="n"/>
      <c r="AI134" s="22" t="n"/>
      <c r="AJ134" s="22" t="n"/>
      <c r="AK134" s="22" t="n"/>
      <c r="AL134" s="22" t="n"/>
      <c r="AM134" s="22" t="n"/>
      <c r="AN134" s="22" t="n"/>
      <c r="AO134" s="22" t="n"/>
      <c r="AP134" s="22" t="n"/>
      <c r="AQ134" s="22" t="n"/>
      <c r="AR134" s="22" t="n"/>
      <c r="AS134" s="22" t="n"/>
      <c r="AT134" s="22" t="n"/>
      <c r="AU134" s="22" t="n"/>
      <c r="AV134" s="22" t="n"/>
      <c r="AW134" s="22" t="n"/>
      <c r="AX134" s="22" t="n"/>
      <c r="AY134" s="22" t="n"/>
      <c r="AZ134" s="22" t="n"/>
      <c r="BA134" s="22" t="n"/>
      <c r="BB134" s="22" t="n"/>
      <c r="BC134" s="22" t="n"/>
      <c r="BD134" s="22" t="n"/>
      <c r="BE134" s="22" t="n"/>
      <c r="BF134" s="22" t="n"/>
      <c r="BG134" s="22" t="n"/>
      <c r="BH134" s="22" t="n"/>
      <c r="BI134" s="22" t="n"/>
      <c r="BJ134" s="22" t="n"/>
      <c r="BK134" s="22" t="n"/>
      <c r="BL134" s="22" t="n"/>
    </row>
    <row r="135">
      <c r="A135" s="100" t="inlineStr">
        <is>
          <t>Total</t>
        </is>
      </c>
      <c r="B135" s="101" t="inlineStr"/>
      <c r="C135" s="103" t="n"/>
      <c r="D135" s="103" t="n"/>
      <c r="E135" s="104">
        <f>SUM(E136:E195)</f>
        <v/>
      </c>
      <c r="F135" s="104">
        <f>SUM(F136:F195)</f>
        <v/>
      </c>
      <c r="G135" s="104">
        <f>SUM(G136:G195)</f>
        <v/>
      </c>
      <c r="H135" s="104">
        <f>SUM(H136:H195)</f>
        <v/>
      </c>
      <c r="I135" s="104">
        <f>SUM(I136:I195)</f>
        <v/>
      </c>
      <c r="J135" s="104">
        <f>SUM(J136:J195)</f>
        <v/>
      </c>
      <c r="K135" s="104">
        <f>SUM(K136:K195)</f>
        <v/>
      </c>
      <c r="L135" s="104">
        <f>SUM(L136:L195)</f>
        <v/>
      </c>
      <c r="M135" s="104">
        <f>SUM(M136:M195)</f>
        <v/>
      </c>
      <c r="N135" s="104">
        <f>SUM(N136:N195)</f>
        <v/>
      </c>
      <c r="O135" s="104">
        <f>SUM(O136:O195)</f>
        <v/>
      </c>
      <c r="P135" s="104">
        <f>SUM(P136:P195)</f>
        <v/>
      </c>
      <c r="Q135" s="104">
        <f>SUM(Q136:Q195)</f>
        <v/>
      </c>
      <c r="R135" s="104">
        <f>SUM(R136:R195)</f>
        <v/>
      </c>
      <c r="S135" s="104">
        <f>SUM(S136:S195)</f>
        <v/>
      </c>
      <c r="T135" s="104">
        <f>SUM(T136:T195)</f>
        <v/>
      </c>
      <c r="U135" s="104">
        <f>SUM(U136:U195)</f>
        <v/>
      </c>
      <c r="V135" s="104">
        <f>SUM(V136:V195)</f>
        <v/>
      </c>
      <c r="W135" s="104">
        <f>SUM(W136:W195)</f>
        <v/>
      </c>
      <c r="X135" s="104">
        <f>SUM(X136:X195)</f>
        <v/>
      </c>
      <c r="Y135" s="104">
        <f>SUM(Y136:Y195)</f>
        <v/>
      </c>
      <c r="Z135" s="104">
        <f>SUM(Z136:Z195)</f>
        <v/>
      </c>
      <c r="AA135" s="104">
        <f>SUM(AA136:AA195)</f>
        <v/>
      </c>
      <c r="AB135" s="104">
        <f>SUM(AB136:AB195)</f>
        <v/>
      </c>
      <c r="AC135" s="104">
        <f>SUM(AC136:AC195)</f>
        <v/>
      </c>
      <c r="AD135" s="104">
        <f>SUM(AD136:AD195)</f>
        <v/>
      </c>
      <c r="AE135" s="104">
        <f>SUM(AE136:AE195)</f>
        <v/>
      </c>
      <c r="AF135" s="104">
        <f>SUM(AF136:AF195)</f>
        <v/>
      </c>
      <c r="AG135" s="104">
        <f>SUM(AG136:AG195)</f>
        <v/>
      </c>
      <c r="AH135" s="104">
        <f>SUM(AH136:AH195)</f>
        <v/>
      </c>
      <c r="AI135" s="104">
        <f>SUM(AI136:AI195)</f>
        <v/>
      </c>
      <c r="AJ135" s="104">
        <f>SUM(AJ136:AJ195)</f>
        <v/>
      </c>
      <c r="AK135" s="104">
        <f>SUM(AK136:AK195)</f>
        <v/>
      </c>
      <c r="AL135" s="104">
        <f>SUM(AL136:AL195)</f>
        <v/>
      </c>
      <c r="AM135" s="104">
        <f>SUM(AM136:AM195)</f>
        <v/>
      </c>
      <c r="AN135" s="104">
        <f>SUM(AN136:AN195)</f>
        <v/>
      </c>
      <c r="AO135" s="104">
        <f>SUM(AO136:AO195)</f>
        <v/>
      </c>
      <c r="AP135" s="104">
        <f>SUM(AP136:AP195)</f>
        <v/>
      </c>
      <c r="AQ135" s="104">
        <f>SUM(AQ136:AQ195)</f>
        <v/>
      </c>
      <c r="AR135" s="104">
        <f>SUM(AR136:AR195)</f>
        <v/>
      </c>
      <c r="AS135" s="104">
        <f>SUM(AS136:AS195)</f>
        <v/>
      </c>
      <c r="AT135" s="104">
        <f>SUM(AT136:AT195)</f>
        <v/>
      </c>
      <c r="AU135" s="104">
        <f>SUM(AU136:AU195)</f>
        <v/>
      </c>
      <c r="AV135" s="104">
        <f>SUM(AV136:AV195)</f>
        <v/>
      </c>
      <c r="AW135" s="104">
        <f>SUM(AW136:AW195)</f>
        <v/>
      </c>
      <c r="AX135" s="104">
        <f>SUM(AX136:AX195)</f>
        <v/>
      </c>
      <c r="AY135" s="104">
        <f>SUM(AY136:AY195)</f>
        <v/>
      </c>
      <c r="AZ135" s="104">
        <f>SUM(AZ136:AZ195)</f>
        <v/>
      </c>
      <c r="BA135" s="104">
        <f>SUM(BA136:BA195)</f>
        <v/>
      </c>
      <c r="BB135" s="104">
        <f>SUM(BB136:BB195)</f>
        <v/>
      </c>
      <c r="BC135" s="104">
        <f>SUM(BC136:BC195)</f>
        <v/>
      </c>
      <c r="BD135" s="104">
        <f>SUM(BD136:BD195)</f>
        <v/>
      </c>
      <c r="BE135" s="104">
        <f>SUM(BE136:BE195)</f>
        <v/>
      </c>
      <c r="BF135" s="104">
        <f>SUM(BF136:BF195)</f>
        <v/>
      </c>
      <c r="BG135" s="104">
        <f>SUM(BG136:BG195)</f>
        <v/>
      </c>
      <c r="BH135" s="104">
        <f>SUM(BH136:BH195)</f>
        <v/>
      </c>
      <c r="BI135" s="104">
        <f>SUM(BI136:BI195)</f>
        <v/>
      </c>
      <c r="BJ135" s="104">
        <f>SUM(BJ136:BJ195)</f>
        <v/>
      </c>
      <c r="BK135" s="104">
        <f>SUM(BK136:BK195)</f>
        <v/>
      </c>
      <c r="BL135" s="104">
        <f>SUM(BL136:BL195)</f>
        <v/>
      </c>
    </row>
    <row r="136">
      <c r="A136" s="147" t="inlineStr">
        <is>
          <t>Cohort month 1</t>
        </is>
      </c>
      <c r="B136" s="147" t="n">
        <v>1</v>
      </c>
      <c r="C136" s="41">
        <f>INDEX(Ops!$E$110:$BL$110,1,$B136)</f>
        <v/>
      </c>
      <c r="F136" s="153">
        <f>$C136*INDEX(Curves!$BF$8:$BF$68,F$4-$B136+1)</f>
        <v/>
      </c>
      <c r="G136" s="153">
        <f>$C136*INDEX(Curves!$BF$8:$BF$68,G$4-$B136+1)</f>
        <v/>
      </c>
      <c r="H136" s="153">
        <f>$C136*INDEX(Curves!$BF$8:$BF$68,H$4-$B136+1)</f>
        <v/>
      </c>
      <c r="I136" s="153">
        <f>$C136*INDEX(Curves!$BF$8:$BF$68,I$4-$B136+1)</f>
        <v/>
      </c>
      <c r="J136" s="153">
        <f>$C136*INDEX(Curves!$BF$8:$BF$68,J$4-$B136+1)</f>
        <v/>
      </c>
      <c r="K136" s="153">
        <f>$C136*INDEX(Curves!$BF$8:$BF$68,K$4-$B136+1)</f>
        <v/>
      </c>
      <c r="L136" s="153">
        <f>$C136*INDEX(Curves!$BF$8:$BF$68,L$4-$B136+1)</f>
        <v/>
      </c>
      <c r="M136" s="153">
        <f>$C136*INDEX(Curves!$BF$8:$BF$68,M$4-$B136+1)</f>
        <v/>
      </c>
      <c r="N136" s="153">
        <f>$C136*INDEX(Curves!$BF$8:$BF$68,N$4-$B136+1)</f>
        <v/>
      </c>
      <c r="O136" s="153">
        <f>$C136*INDEX(Curves!$BF$8:$BF$68,O$4-$B136+1)</f>
        <v/>
      </c>
      <c r="P136" s="153">
        <f>$C136*INDEX(Curves!$BF$8:$BF$68,P$4-$B136+1)</f>
        <v/>
      </c>
      <c r="Q136" s="153">
        <f>$C136*INDEX(Curves!$BF$8:$BF$68,Q$4-$B136+1)</f>
        <v/>
      </c>
      <c r="R136" s="153">
        <f>$C136*INDEX(Curves!$BF$8:$BF$68,R$4-$B136+1)</f>
        <v/>
      </c>
      <c r="S136" s="153">
        <f>$C136*INDEX(Curves!$BF$8:$BF$68,S$4-$B136+1)</f>
        <v/>
      </c>
      <c r="T136" s="153">
        <f>$C136*INDEX(Curves!$BF$8:$BF$68,T$4-$B136+1)</f>
        <v/>
      </c>
      <c r="U136" s="153">
        <f>$C136*INDEX(Curves!$BF$8:$BF$68,U$4-$B136+1)</f>
        <v/>
      </c>
      <c r="V136" s="153">
        <f>$C136*INDEX(Curves!$BF$8:$BF$68,V$4-$B136+1)</f>
        <v/>
      </c>
      <c r="W136" s="153">
        <f>$C136*INDEX(Curves!$BF$8:$BF$68,W$4-$B136+1)</f>
        <v/>
      </c>
      <c r="X136" s="153">
        <f>$C136*INDEX(Curves!$BF$8:$BF$68,X$4-$B136+1)</f>
        <v/>
      </c>
      <c r="Y136" s="153">
        <f>$C136*INDEX(Curves!$BF$8:$BF$68,Y$4-$B136+1)</f>
        <v/>
      </c>
      <c r="Z136" s="153">
        <f>$C136*INDEX(Curves!$BF$8:$BF$68,Z$4-$B136+1)</f>
        <v/>
      </c>
      <c r="AA136" s="153">
        <f>$C136*INDEX(Curves!$BF$8:$BF$68,AA$4-$B136+1)</f>
        <v/>
      </c>
      <c r="AB136" s="153">
        <f>$C136*INDEX(Curves!$BF$8:$BF$68,AB$4-$B136+1)</f>
        <v/>
      </c>
      <c r="AC136" s="153">
        <f>$C136*INDEX(Curves!$BF$8:$BF$68,AC$4-$B136+1)</f>
        <v/>
      </c>
      <c r="AD136" s="153">
        <f>$C136*INDEX(Curves!$BF$8:$BF$68,AD$4-$B136+1)</f>
        <v/>
      </c>
      <c r="AE136" s="153">
        <f>$C136*INDEX(Curves!$BF$8:$BF$68,AE$4-$B136+1)</f>
        <v/>
      </c>
      <c r="AF136" s="153">
        <f>$C136*INDEX(Curves!$BF$8:$BF$68,AF$4-$B136+1)</f>
        <v/>
      </c>
      <c r="AG136" s="153">
        <f>$C136*INDEX(Curves!$BF$8:$BF$68,AG$4-$B136+1)</f>
        <v/>
      </c>
      <c r="AH136" s="153">
        <f>$C136*INDEX(Curves!$BF$8:$BF$68,AH$4-$B136+1)</f>
        <v/>
      </c>
      <c r="AI136" s="153">
        <f>$C136*INDEX(Curves!$BF$8:$BF$68,AI$4-$B136+1)</f>
        <v/>
      </c>
      <c r="AJ136" s="153">
        <f>$C136*INDEX(Curves!$BF$8:$BF$68,AJ$4-$B136+1)</f>
        <v/>
      </c>
      <c r="AK136" s="153">
        <f>$C136*INDEX(Curves!$BF$8:$BF$68,AK$4-$B136+1)</f>
        <v/>
      </c>
      <c r="AL136" s="153">
        <f>$C136*INDEX(Curves!$BF$8:$BF$68,AL$4-$B136+1)</f>
        <v/>
      </c>
      <c r="AM136" s="153">
        <f>$C136*INDEX(Curves!$BF$8:$BF$68,AM$4-$B136+1)</f>
        <v/>
      </c>
      <c r="AN136" s="153">
        <f>$C136*INDEX(Curves!$BF$8:$BF$68,AN$4-$B136+1)</f>
        <v/>
      </c>
      <c r="AO136" s="153">
        <f>$C136*INDEX(Curves!$BF$8:$BF$68,AO$4-$B136+1)</f>
        <v/>
      </c>
      <c r="AP136" s="153">
        <f>$C136*INDEX(Curves!$BF$8:$BF$68,AP$4-$B136+1)</f>
        <v/>
      </c>
      <c r="AQ136" s="153">
        <f>$C136*INDEX(Curves!$BF$8:$BF$68,AQ$4-$B136+1)</f>
        <v/>
      </c>
      <c r="AR136" s="153">
        <f>$C136*INDEX(Curves!$BF$8:$BF$68,AR$4-$B136+1)</f>
        <v/>
      </c>
      <c r="AS136" s="153">
        <f>$C136*INDEX(Curves!$BF$8:$BF$68,AS$4-$B136+1)</f>
        <v/>
      </c>
      <c r="AT136" s="153">
        <f>$C136*INDEX(Curves!$BF$8:$BF$68,AT$4-$B136+1)</f>
        <v/>
      </c>
      <c r="AU136" s="153">
        <f>$C136*INDEX(Curves!$BF$8:$BF$68,AU$4-$B136+1)</f>
        <v/>
      </c>
      <c r="AV136" s="153">
        <f>$C136*INDEX(Curves!$BF$8:$BF$68,AV$4-$B136+1)</f>
        <v/>
      </c>
      <c r="AW136" s="153">
        <f>$C136*INDEX(Curves!$BF$8:$BF$68,AW$4-$B136+1)</f>
        <v/>
      </c>
      <c r="AX136" s="153">
        <f>$C136*INDEX(Curves!$BF$8:$BF$68,AX$4-$B136+1)</f>
        <v/>
      </c>
      <c r="AY136" s="153">
        <f>$C136*INDEX(Curves!$BF$8:$BF$68,AY$4-$B136+1)</f>
        <v/>
      </c>
      <c r="AZ136" s="153">
        <f>$C136*INDEX(Curves!$BF$8:$BF$68,AZ$4-$B136+1)</f>
        <v/>
      </c>
      <c r="BA136" s="153">
        <f>$C136*INDEX(Curves!$BF$8:$BF$68,BA$4-$B136+1)</f>
        <v/>
      </c>
      <c r="BB136" s="153">
        <f>$C136*INDEX(Curves!$BF$8:$BF$68,BB$4-$B136+1)</f>
        <v/>
      </c>
      <c r="BC136" s="153">
        <f>$C136*INDEX(Curves!$BF$8:$BF$68,BC$4-$B136+1)</f>
        <v/>
      </c>
      <c r="BD136" s="153">
        <f>$C136*INDEX(Curves!$BF$8:$BF$68,BD$4-$B136+1)</f>
        <v/>
      </c>
      <c r="BE136" s="153">
        <f>$C136*INDEX(Curves!$BF$8:$BF$68,BE$4-$B136+1)</f>
        <v/>
      </c>
      <c r="BF136" s="153">
        <f>$C136*INDEX(Curves!$BF$8:$BF$68,BF$4-$B136+1)</f>
        <v/>
      </c>
      <c r="BG136" s="153">
        <f>$C136*INDEX(Curves!$BF$8:$BF$68,BG$4-$B136+1)</f>
        <v/>
      </c>
      <c r="BH136" s="153">
        <f>$C136*INDEX(Curves!$BF$8:$BF$68,BH$4-$B136+1)</f>
        <v/>
      </c>
      <c r="BI136" s="153">
        <f>$C136*INDEX(Curves!$BF$8:$BF$68,BI$4-$B136+1)</f>
        <v/>
      </c>
      <c r="BJ136" s="153">
        <f>$C136*INDEX(Curves!$BF$8:$BF$68,BJ$4-$B136+1)</f>
        <v/>
      </c>
      <c r="BK136" s="153">
        <f>$C136*INDEX(Curves!$BF$8:$BF$68,BK$4-$B136+1)</f>
        <v/>
      </c>
      <c r="BL136" s="153">
        <f>$C136*INDEX(Curves!$BF$8:$BF$68,BL$4-$B136+1)</f>
        <v/>
      </c>
    </row>
    <row r="137">
      <c r="A137" s="147" t="inlineStr">
        <is>
          <t>Cohort month 2</t>
        </is>
      </c>
      <c r="B137" s="147" t="n">
        <v>2</v>
      </c>
      <c r="C137" s="41">
        <f>INDEX(Ops!$E$110:$BL$110,1,$B137)</f>
        <v/>
      </c>
      <c r="G137" s="153">
        <f>$C137*INDEX(Curves!$BF$8:$BF$68,G$4-$B137+1)</f>
        <v/>
      </c>
      <c r="H137" s="153">
        <f>$C137*INDEX(Curves!$BF$8:$BF$68,H$4-$B137+1)</f>
        <v/>
      </c>
      <c r="I137" s="153">
        <f>$C137*INDEX(Curves!$BF$8:$BF$68,I$4-$B137+1)</f>
        <v/>
      </c>
      <c r="J137" s="153">
        <f>$C137*INDEX(Curves!$BF$8:$BF$68,J$4-$B137+1)</f>
        <v/>
      </c>
      <c r="K137" s="153">
        <f>$C137*INDEX(Curves!$BF$8:$BF$68,K$4-$B137+1)</f>
        <v/>
      </c>
      <c r="L137" s="153">
        <f>$C137*INDEX(Curves!$BF$8:$BF$68,L$4-$B137+1)</f>
        <v/>
      </c>
      <c r="M137" s="153">
        <f>$C137*INDEX(Curves!$BF$8:$BF$68,M$4-$B137+1)</f>
        <v/>
      </c>
      <c r="N137" s="153">
        <f>$C137*INDEX(Curves!$BF$8:$BF$68,N$4-$B137+1)</f>
        <v/>
      </c>
      <c r="O137" s="153">
        <f>$C137*INDEX(Curves!$BF$8:$BF$68,O$4-$B137+1)</f>
        <v/>
      </c>
      <c r="P137" s="153">
        <f>$C137*INDEX(Curves!$BF$8:$BF$68,P$4-$B137+1)</f>
        <v/>
      </c>
      <c r="Q137" s="153">
        <f>$C137*INDEX(Curves!$BF$8:$BF$68,Q$4-$B137+1)</f>
        <v/>
      </c>
      <c r="R137" s="153">
        <f>$C137*INDEX(Curves!$BF$8:$BF$68,R$4-$B137+1)</f>
        <v/>
      </c>
      <c r="S137" s="153">
        <f>$C137*INDEX(Curves!$BF$8:$BF$68,S$4-$B137+1)</f>
        <v/>
      </c>
      <c r="T137" s="153">
        <f>$C137*INDEX(Curves!$BF$8:$BF$68,T$4-$B137+1)</f>
        <v/>
      </c>
      <c r="U137" s="153">
        <f>$C137*INDEX(Curves!$BF$8:$BF$68,U$4-$B137+1)</f>
        <v/>
      </c>
      <c r="V137" s="153">
        <f>$C137*INDEX(Curves!$BF$8:$BF$68,V$4-$B137+1)</f>
        <v/>
      </c>
      <c r="W137" s="153">
        <f>$C137*INDEX(Curves!$BF$8:$BF$68,W$4-$B137+1)</f>
        <v/>
      </c>
      <c r="X137" s="153">
        <f>$C137*INDEX(Curves!$BF$8:$BF$68,X$4-$B137+1)</f>
        <v/>
      </c>
      <c r="Y137" s="153">
        <f>$C137*INDEX(Curves!$BF$8:$BF$68,Y$4-$B137+1)</f>
        <v/>
      </c>
      <c r="Z137" s="153">
        <f>$C137*INDEX(Curves!$BF$8:$BF$68,Z$4-$B137+1)</f>
        <v/>
      </c>
      <c r="AA137" s="153">
        <f>$C137*INDEX(Curves!$BF$8:$BF$68,AA$4-$B137+1)</f>
        <v/>
      </c>
      <c r="AB137" s="153">
        <f>$C137*INDEX(Curves!$BF$8:$BF$68,AB$4-$B137+1)</f>
        <v/>
      </c>
      <c r="AC137" s="153">
        <f>$C137*INDEX(Curves!$BF$8:$BF$68,AC$4-$B137+1)</f>
        <v/>
      </c>
      <c r="AD137" s="153">
        <f>$C137*INDEX(Curves!$BF$8:$BF$68,AD$4-$B137+1)</f>
        <v/>
      </c>
      <c r="AE137" s="153">
        <f>$C137*INDEX(Curves!$BF$8:$BF$68,AE$4-$B137+1)</f>
        <v/>
      </c>
      <c r="AF137" s="153">
        <f>$C137*INDEX(Curves!$BF$8:$BF$68,AF$4-$B137+1)</f>
        <v/>
      </c>
      <c r="AG137" s="153">
        <f>$C137*INDEX(Curves!$BF$8:$BF$68,AG$4-$B137+1)</f>
        <v/>
      </c>
      <c r="AH137" s="153">
        <f>$C137*INDEX(Curves!$BF$8:$BF$68,AH$4-$B137+1)</f>
        <v/>
      </c>
      <c r="AI137" s="153">
        <f>$C137*INDEX(Curves!$BF$8:$BF$68,AI$4-$B137+1)</f>
        <v/>
      </c>
      <c r="AJ137" s="153">
        <f>$C137*INDEX(Curves!$BF$8:$BF$68,AJ$4-$B137+1)</f>
        <v/>
      </c>
      <c r="AK137" s="153">
        <f>$C137*INDEX(Curves!$BF$8:$BF$68,AK$4-$B137+1)</f>
        <v/>
      </c>
      <c r="AL137" s="153">
        <f>$C137*INDEX(Curves!$BF$8:$BF$68,AL$4-$B137+1)</f>
        <v/>
      </c>
      <c r="AM137" s="153">
        <f>$C137*INDEX(Curves!$BF$8:$BF$68,AM$4-$B137+1)</f>
        <v/>
      </c>
      <c r="AN137" s="153">
        <f>$C137*INDEX(Curves!$BF$8:$BF$68,AN$4-$B137+1)</f>
        <v/>
      </c>
      <c r="AO137" s="153">
        <f>$C137*INDEX(Curves!$BF$8:$BF$68,AO$4-$B137+1)</f>
        <v/>
      </c>
      <c r="AP137" s="153">
        <f>$C137*INDEX(Curves!$BF$8:$BF$68,AP$4-$B137+1)</f>
        <v/>
      </c>
      <c r="AQ137" s="153">
        <f>$C137*INDEX(Curves!$BF$8:$BF$68,AQ$4-$B137+1)</f>
        <v/>
      </c>
      <c r="AR137" s="153">
        <f>$C137*INDEX(Curves!$BF$8:$BF$68,AR$4-$B137+1)</f>
        <v/>
      </c>
      <c r="AS137" s="153">
        <f>$C137*INDEX(Curves!$BF$8:$BF$68,AS$4-$B137+1)</f>
        <v/>
      </c>
      <c r="AT137" s="153">
        <f>$C137*INDEX(Curves!$BF$8:$BF$68,AT$4-$B137+1)</f>
        <v/>
      </c>
      <c r="AU137" s="153">
        <f>$C137*INDEX(Curves!$BF$8:$BF$68,AU$4-$B137+1)</f>
        <v/>
      </c>
      <c r="AV137" s="153">
        <f>$C137*INDEX(Curves!$BF$8:$BF$68,AV$4-$B137+1)</f>
        <v/>
      </c>
      <c r="AW137" s="153">
        <f>$C137*INDEX(Curves!$BF$8:$BF$68,AW$4-$B137+1)</f>
        <v/>
      </c>
      <c r="AX137" s="153">
        <f>$C137*INDEX(Curves!$BF$8:$BF$68,AX$4-$B137+1)</f>
        <v/>
      </c>
      <c r="AY137" s="153">
        <f>$C137*INDEX(Curves!$BF$8:$BF$68,AY$4-$B137+1)</f>
        <v/>
      </c>
      <c r="AZ137" s="153">
        <f>$C137*INDEX(Curves!$BF$8:$BF$68,AZ$4-$B137+1)</f>
        <v/>
      </c>
      <c r="BA137" s="153">
        <f>$C137*INDEX(Curves!$BF$8:$BF$68,BA$4-$B137+1)</f>
        <v/>
      </c>
      <c r="BB137" s="153">
        <f>$C137*INDEX(Curves!$BF$8:$BF$68,BB$4-$B137+1)</f>
        <v/>
      </c>
      <c r="BC137" s="153">
        <f>$C137*INDEX(Curves!$BF$8:$BF$68,BC$4-$B137+1)</f>
        <v/>
      </c>
      <c r="BD137" s="153">
        <f>$C137*INDEX(Curves!$BF$8:$BF$68,BD$4-$B137+1)</f>
        <v/>
      </c>
      <c r="BE137" s="153">
        <f>$C137*INDEX(Curves!$BF$8:$BF$68,BE$4-$B137+1)</f>
        <v/>
      </c>
      <c r="BF137" s="153">
        <f>$C137*INDEX(Curves!$BF$8:$BF$68,BF$4-$B137+1)</f>
        <v/>
      </c>
      <c r="BG137" s="153">
        <f>$C137*INDEX(Curves!$BF$8:$BF$68,BG$4-$B137+1)</f>
        <v/>
      </c>
      <c r="BH137" s="153">
        <f>$C137*INDEX(Curves!$BF$8:$BF$68,BH$4-$B137+1)</f>
        <v/>
      </c>
      <c r="BI137" s="153">
        <f>$C137*INDEX(Curves!$BF$8:$BF$68,BI$4-$B137+1)</f>
        <v/>
      </c>
      <c r="BJ137" s="153">
        <f>$C137*INDEX(Curves!$BF$8:$BF$68,BJ$4-$B137+1)</f>
        <v/>
      </c>
      <c r="BK137" s="153">
        <f>$C137*INDEX(Curves!$BF$8:$BF$68,BK$4-$B137+1)</f>
        <v/>
      </c>
      <c r="BL137" s="153">
        <f>$C137*INDEX(Curves!$BF$8:$BF$68,BL$4-$B137+1)</f>
        <v/>
      </c>
    </row>
    <row r="138">
      <c r="A138" s="147" t="inlineStr">
        <is>
          <t>Cohort month 3</t>
        </is>
      </c>
      <c r="B138" s="147" t="n">
        <v>3</v>
      </c>
      <c r="C138" s="41">
        <f>INDEX(Ops!$E$110:$BL$110,1,$B138)</f>
        <v/>
      </c>
      <c r="H138" s="153">
        <f>$C138*INDEX(Curves!$BF$8:$BF$68,H$4-$B138+1)</f>
        <v/>
      </c>
      <c r="I138" s="153">
        <f>$C138*INDEX(Curves!$BF$8:$BF$68,I$4-$B138+1)</f>
        <v/>
      </c>
      <c r="J138" s="153">
        <f>$C138*INDEX(Curves!$BF$8:$BF$68,J$4-$B138+1)</f>
        <v/>
      </c>
      <c r="K138" s="153">
        <f>$C138*INDEX(Curves!$BF$8:$BF$68,K$4-$B138+1)</f>
        <v/>
      </c>
      <c r="L138" s="153">
        <f>$C138*INDEX(Curves!$BF$8:$BF$68,L$4-$B138+1)</f>
        <v/>
      </c>
      <c r="M138" s="153">
        <f>$C138*INDEX(Curves!$BF$8:$BF$68,M$4-$B138+1)</f>
        <v/>
      </c>
      <c r="N138" s="153">
        <f>$C138*INDEX(Curves!$BF$8:$BF$68,N$4-$B138+1)</f>
        <v/>
      </c>
      <c r="O138" s="153">
        <f>$C138*INDEX(Curves!$BF$8:$BF$68,O$4-$B138+1)</f>
        <v/>
      </c>
      <c r="P138" s="153">
        <f>$C138*INDEX(Curves!$BF$8:$BF$68,P$4-$B138+1)</f>
        <v/>
      </c>
      <c r="Q138" s="153">
        <f>$C138*INDEX(Curves!$BF$8:$BF$68,Q$4-$B138+1)</f>
        <v/>
      </c>
      <c r="R138" s="153">
        <f>$C138*INDEX(Curves!$BF$8:$BF$68,R$4-$B138+1)</f>
        <v/>
      </c>
      <c r="S138" s="153">
        <f>$C138*INDEX(Curves!$BF$8:$BF$68,S$4-$B138+1)</f>
        <v/>
      </c>
      <c r="T138" s="153">
        <f>$C138*INDEX(Curves!$BF$8:$BF$68,T$4-$B138+1)</f>
        <v/>
      </c>
      <c r="U138" s="153">
        <f>$C138*INDEX(Curves!$BF$8:$BF$68,U$4-$B138+1)</f>
        <v/>
      </c>
      <c r="V138" s="153">
        <f>$C138*INDEX(Curves!$BF$8:$BF$68,V$4-$B138+1)</f>
        <v/>
      </c>
      <c r="W138" s="153">
        <f>$C138*INDEX(Curves!$BF$8:$BF$68,W$4-$B138+1)</f>
        <v/>
      </c>
      <c r="X138" s="153">
        <f>$C138*INDEX(Curves!$BF$8:$BF$68,X$4-$B138+1)</f>
        <v/>
      </c>
      <c r="Y138" s="153">
        <f>$C138*INDEX(Curves!$BF$8:$BF$68,Y$4-$B138+1)</f>
        <v/>
      </c>
      <c r="Z138" s="153">
        <f>$C138*INDEX(Curves!$BF$8:$BF$68,Z$4-$B138+1)</f>
        <v/>
      </c>
      <c r="AA138" s="153">
        <f>$C138*INDEX(Curves!$BF$8:$BF$68,AA$4-$B138+1)</f>
        <v/>
      </c>
      <c r="AB138" s="153">
        <f>$C138*INDEX(Curves!$BF$8:$BF$68,AB$4-$B138+1)</f>
        <v/>
      </c>
      <c r="AC138" s="153">
        <f>$C138*INDEX(Curves!$BF$8:$BF$68,AC$4-$B138+1)</f>
        <v/>
      </c>
      <c r="AD138" s="153">
        <f>$C138*INDEX(Curves!$BF$8:$BF$68,AD$4-$B138+1)</f>
        <v/>
      </c>
      <c r="AE138" s="153">
        <f>$C138*INDEX(Curves!$BF$8:$BF$68,AE$4-$B138+1)</f>
        <v/>
      </c>
      <c r="AF138" s="153">
        <f>$C138*INDEX(Curves!$BF$8:$BF$68,AF$4-$B138+1)</f>
        <v/>
      </c>
      <c r="AG138" s="153">
        <f>$C138*INDEX(Curves!$BF$8:$BF$68,AG$4-$B138+1)</f>
        <v/>
      </c>
      <c r="AH138" s="153">
        <f>$C138*INDEX(Curves!$BF$8:$BF$68,AH$4-$B138+1)</f>
        <v/>
      </c>
      <c r="AI138" s="153">
        <f>$C138*INDEX(Curves!$BF$8:$BF$68,AI$4-$B138+1)</f>
        <v/>
      </c>
      <c r="AJ138" s="153">
        <f>$C138*INDEX(Curves!$BF$8:$BF$68,AJ$4-$B138+1)</f>
        <v/>
      </c>
      <c r="AK138" s="153">
        <f>$C138*INDEX(Curves!$BF$8:$BF$68,AK$4-$B138+1)</f>
        <v/>
      </c>
      <c r="AL138" s="153">
        <f>$C138*INDEX(Curves!$BF$8:$BF$68,AL$4-$B138+1)</f>
        <v/>
      </c>
      <c r="AM138" s="153">
        <f>$C138*INDEX(Curves!$BF$8:$BF$68,AM$4-$B138+1)</f>
        <v/>
      </c>
      <c r="AN138" s="153">
        <f>$C138*INDEX(Curves!$BF$8:$BF$68,AN$4-$B138+1)</f>
        <v/>
      </c>
      <c r="AO138" s="153">
        <f>$C138*INDEX(Curves!$BF$8:$BF$68,AO$4-$B138+1)</f>
        <v/>
      </c>
      <c r="AP138" s="153">
        <f>$C138*INDEX(Curves!$BF$8:$BF$68,AP$4-$B138+1)</f>
        <v/>
      </c>
      <c r="AQ138" s="153">
        <f>$C138*INDEX(Curves!$BF$8:$BF$68,AQ$4-$B138+1)</f>
        <v/>
      </c>
      <c r="AR138" s="153">
        <f>$C138*INDEX(Curves!$BF$8:$BF$68,AR$4-$B138+1)</f>
        <v/>
      </c>
      <c r="AS138" s="153">
        <f>$C138*INDEX(Curves!$BF$8:$BF$68,AS$4-$B138+1)</f>
        <v/>
      </c>
      <c r="AT138" s="153">
        <f>$C138*INDEX(Curves!$BF$8:$BF$68,AT$4-$B138+1)</f>
        <v/>
      </c>
      <c r="AU138" s="153">
        <f>$C138*INDEX(Curves!$BF$8:$BF$68,AU$4-$B138+1)</f>
        <v/>
      </c>
      <c r="AV138" s="153">
        <f>$C138*INDEX(Curves!$BF$8:$BF$68,AV$4-$B138+1)</f>
        <v/>
      </c>
      <c r="AW138" s="153">
        <f>$C138*INDEX(Curves!$BF$8:$BF$68,AW$4-$B138+1)</f>
        <v/>
      </c>
      <c r="AX138" s="153">
        <f>$C138*INDEX(Curves!$BF$8:$BF$68,AX$4-$B138+1)</f>
        <v/>
      </c>
      <c r="AY138" s="153">
        <f>$C138*INDEX(Curves!$BF$8:$BF$68,AY$4-$B138+1)</f>
        <v/>
      </c>
      <c r="AZ138" s="153">
        <f>$C138*INDEX(Curves!$BF$8:$BF$68,AZ$4-$B138+1)</f>
        <v/>
      </c>
      <c r="BA138" s="153">
        <f>$C138*INDEX(Curves!$BF$8:$BF$68,BA$4-$B138+1)</f>
        <v/>
      </c>
      <c r="BB138" s="153">
        <f>$C138*INDEX(Curves!$BF$8:$BF$68,BB$4-$B138+1)</f>
        <v/>
      </c>
      <c r="BC138" s="153">
        <f>$C138*INDEX(Curves!$BF$8:$BF$68,BC$4-$B138+1)</f>
        <v/>
      </c>
      <c r="BD138" s="153">
        <f>$C138*INDEX(Curves!$BF$8:$BF$68,BD$4-$B138+1)</f>
        <v/>
      </c>
      <c r="BE138" s="153">
        <f>$C138*INDEX(Curves!$BF$8:$BF$68,BE$4-$B138+1)</f>
        <v/>
      </c>
      <c r="BF138" s="153">
        <f>$C138*INDEX(Curves!$BF$8:$BF$68,BF$4-$B138+1)</f>
        <v/>
      </c>
      <c r="BG138" s="153">
        <f>$C138*INDEX(Curves!$BF$8:$BF$68,BG$4-$B138+1)</f>
        <v/>
      </c>
      <c r="BH138" s="153">
        <f>$C138*INDEX(Curves!$BF$8:$BF$68,BH$4-$B138+1)</f>
        <v/>
      </c>
      <c r="BI138" s="153">
        <f>$C138*INDEX(Curves!$BF$8:$BF$68,BI$4-$B138+1)</f>
        <v/>
      </c>
      <c r="BJ138" s="153">
        <f>$C138*INDEX(Curves!$BF$8:$BF$68,BJ$4-$B138+1)</f>
        <v/>
      </c>
      <c r="BK138" s="153">
        <f>$C138*INDEX(Curves!$BF$8:$BF$68,BK$4-$B138+1)</f>
        <v/>
      </c>
      <c r="BL138" s="153">
        <f>$C138*INDEX(Curves!$BF$8:$BF$68,BL$4-$B138+1)</f>
        <v/>
      </c>
    </row>
    <row r="139">
      <c r="A139" s="147" t="inlineStr">
        <is>
          <t>Cohort month 4</t>
        </is>
      </c>
      <c r="B139" s="147" t="n">
        <v>4</v>
      </c>
      <c r="C139" s="41">
        <f>INDEX(Ops!$E$110:$BL$110,1,$B139)</f>
        <v/>
      </c>
      <c r="I139" s="153">
        <f>$C139*INDEX(Curves!$BF$8:$BF$68,I$4-$B139+1)</f>
        <v/>
      </c>
      <c r="J139" s="153">
        <f>$C139*INDEX(Curves!$BF$8:$BF$68,J$4-$B139+1)</f>
        <v/>
      </c>
      <c r="K139" s="153">
        <f>$C139*INDEX(Curves!$BF$8:$BF$68,K$4-$B139+1)</f>
        <v/>
      </c>
      <c r="L139" s="153">
        <f>$C139*INDEX(Curves!$BF$8:$BF$68,L$4-$B139+1)</f>
        <v/>
      </c>
      <c r="M139" s="153">
        <f>$C139*INDEX(Curves!$BF$8:$BF$68,M$4-$B139+1)</f>
        <v/>
      </c>
      <c r="N139" s="153">
        <f>$C139*INDEX(Curves!$BF$8:$BF$68,N$4-$B139+1)</f>
        <v/>
      </c>
      <c r="O139" s="153">
        <f>$C139*INDEX(Curves!$BF$8:$BF$68,O$4-$B139+1)</f>
        <v/>
      </c>
      <c r="P139" s="153">
        <f>$C139*INDEX(Curves!$BF$8:$BF$68,P$4-$B139+1)</f>
        <v/>
      </c>
      <c r="Q139" s="153">
        <f>$C139*INDEX(Curves!$BF$8:$BF$68,Q$4-$B139+1)</f>
        <v/>
      </c>
      <c r="R139" s="153">
        <f>$C139*INDEX(Curves!$BF$8:$BF$68,R$4-$B139+1)</f>
        <v/>
      </c>
      <c r="S139" s="153">
        <f>$C139*INDEX(Curves!$BF$8:$BF$68,S$4-$B139+1)</f>
        <v/>
      </c>
      <c r="T139" s="153">
        <f>$C139*INDEX(Curves!$BF$8:$BF$68,T$4-$B139+1)</f>
        <v/>
      </c>
      <c r="U139" s="153">
        <f>$C139*INDEX(Curves!$BF$8:$BF$68,U$4-$B139+1)</f>
        <v/>
      </c>
      <c r="V139" s="153">
        <f>$C139*INDEX(Curves!$BF$8:$BF$68,V$4-$B139+1)</f>
        <v/>
      </c>
      <c r="W139" s="153">
        <f>$C139*INDEX(Curves!$BF$8:$BF$68,W$4-$B139+1)</f>
        <v/>
      </c>
      <c r="X139" s="153">
        <f>$C139*INDEX(Curves!$BF$8:$BF$68,X$4-$B139+1)</f>
        <v/>
      </c>
      <c r="Y139" s="153">
        <f>$C139*INDEX(Curves!$BF$8:$BF$68,Y$4-$B139+1)</f>
        <v/>
      </c>
      <c r="Z139" s="153">
        <f>$C139*INDEX(Curves!$BF$8:$BF$68,Z$4-$B139+1)</f>
        <v/>
      </c>
      <c r="AA139" s="153">
        <f>$C139*INDEX(Curves!$BF$8:$BF$68,AA$4-$B139+1)</f>
        <v/>
      </c>
      <c r="AB139" s="153">
        <f>$C139*INDEX(Curves!$BF$8:$BF$68,AB$4-$B139+1)</f>
        <v/>
      </c>
      <c r="AC139" s="153">
        <f>$C139*INDEX(Curves!$BF$8:$BF$68,AC$4-$B139+1)</f>
        <v/>
      </c>
      <c r="AD139" s="153">
        <f>$C139*INDEX(Curves!$BF$8:$BF$68,AD$4-$B139+1)</f>
        <v/>
      </c>
      <c r="AE139" s="153">
        <f>$C139*INDEX(Curves!$BF$8:$BF$68,AE$4-$B139+1)</f>
        <v/>
      </c>
      <c r="AF139" s="153">
        <f>$C139*INDEX(Curves!$BF$8:$BF$68,AF$4-$B139+1)</f>
        <v/>
      </c>
      <c r="AG139" s="153">
        <f>$C139*INDEX(Curves!$BF$8:$BF$68,AG$4-$B139+1)</f>
        <v/>
      </c>
      <c r="AH139" s="153">
        <f>$C139*INDEX(Curves!$BF$8:$BF$68,AH$4-$B139+1)</f>
        <v/>
      </c>
      <c r="AI139" s="153">
        <f>$C139*INDEX(Curves!$BF$8:$BF$68,AI$4-$B139+1)</f>
        <v/>
      </c>
      <c r="AJ139" s="153">
        <f>$C139*INDEX(Curves!$BF$8:$BF$68,AJ$4-$B139+1)</f>
        <v/>
      </c>
      <c r="AK139" s="153">
        <f>$C139*INDEX(Curves!$BF$8:$BF$68,AK$4-$B139+1)</f>
        <v/>
      </c>
      <c r="AL139" s="153">
        <f>$C139*INDEX(Curves!$BF$8:$BF$68,AL$4-$B139+1)</f>
        <v/>
      </c>
      <c r="AM139" s="153">
        <f>$C139*INDEX(Curves!$BF$8:$BF$68,AM$4-$B139+1)</f>
        <v/>
      </c>
      <c r="AN139" s="153">
        <f>$C139*INDEX(Curves!$BF$8:$BF$68,AN$4-$B139+1)</f>
        <v/>
      </c>
      <c r="AO139" s="153">
        <f>$C139*INDEX(Curves!$BF$8:$BF$68,AO$4-$B139+1)</f>
        <v/>
      </c>
      <c r="AP139" s="153">
        <f>$C139*INDEX(Curves!$BF$8:$BF$68,AP$4-$B139+1)</f>
        <v/>
      </c>
      <c r="AQ139" s="153">
        <f>$C139*INDEX(Curves!$BF$8:$BF$68,AQ$4-$B139+1)</f>
        <v/>
      </c>
      <c r="AR139" s="153">
        <f>$C139*INDEX(Curves!$BF$8:$BF$68,AR$4-$B139+1)</f>
        <v/>
      </c>
      <c r="AS139" s="153">
        <f>$C139*INDEX(Curves!$BF$8:$BF$68,AS$4-$B139+1)</f>
        <v/>
      </c>
      <c r="AT139" s="153">
        <f>$C139*INDEX(Curves!$BF$8:$BF$68,AT$4-$B139+1)</f>
        <v/>
      </c>
      <c r="AU139" s="153">
        <f>$C139*INDEX(Curves!$BF$8:$BF$68,AU$4-$B139+1)</f>
        <v/>
      </c>
      <c r="AV139" s="153">
        <f>$C139*INDEX(Curves!$BF$8:$BF$68,AV$4-$B139+1)</f>
        <v/>
      </c>
      <c r="AW139" s="153">
        <f>$C139*INDEX(Curves!$BF$8:$BF$68,AW$4-$B139+1)</f>
        <v/>
      </c>
      <c r="AX139" s="153">
        <f>$C139*INDEX(Curves!$BF$8:$BF$68,AX$4-$B139+1)</f>
        <v/>
      </c>
      <c r="AY139" s="153">
        <f>$C139*INDEX(Curves!$BF$8:$BF$68,AY$4-$B139+1)</f>
        <v/>
      </c>
      <c r="AZ139" s="153">
        <f>$C139*INDEX(Curves!$BF$8:$BF$68,AZ$4-$B139+1)</f>
        <v/>
      </c>
      <c r="BA139" s="153">
        <f>$C139*INDEX(Curves!$BF$8:$BF$68,BA$4-$B139+1)</f>
        <v/>
      </c>
      <c r="BB139" s="153">
        <f>$C139*INDEX(Curves!$BF$8:$BF$68,BB$4-$B139+1)</f>
        <v/>
      </c>
      <c r="BC139" s="153">
        <f>$C139*INDEX(Curves!$BF$8:$BF$68,BC$4-$B139+1)</f>
        <v/>
      </c>
      <c r="BD139" s="153">
        <f>$C139*INDEX(Curves!$BF$8:$BF$68,BD$4-$B139+1)</f>
        <v/>
      </c>
      <c r="BE139" s="153">
        <f>$C139*INDEX(Curves!$BF$8:$BF$68,BE$4-$B139+1)</f>
        <v/>
      </c>
      <c r="BF139" s="153">
        <f>$C139*INDEX(Curves!$BF$8:$BF$68,BF$4-$B139+1)</f>
        <v/>
      </c>
      <c r="BG139" s="153">
        <f>$C139*INDEX(Curves!$BF$8:$BF$68,BG$4-$B139+1)</f>
        <v/>
      </c>
      <c r="BH139" s="153">
        <f>$C139*INDEX(Curves!$BF$8:$BF$68,BH$4-$B139+1)</f>
        <v/>
      </c>
      <c r="BI139" s="153">
        <f>$C139*INDEX(Curves!$BF$8:$BF$68,BI$4-$B139+1)</f>
        <v/>
      </c>
      <c r="BJ139" s="153">
        <f>$C139*INDEX(Curves!$BF$8:$BF$68,BJ$4-$B139+1)</f>
        <v/>
      </c>
      <c r="BK139" s="153">
        <f>$C139*INDEX(Curves!$BF$8:$BF$68,BK$4-$B139+1)</f>
        <v/>
      </c>
      <c r="BL139" s="153">
        <f>$C139*INDEX(Curves!$BF$8:$BF$68,BL$4-$B139+1)</f>
        <v/>
      </c>
    </row>
    <row r="140">
      <c r="A140" s="147" t="inlineStr">
        <is>
          <t>Cohort month 5</t>
        </is>
      </c>
      <c r="B140" s="147" t="n">
        <v>5</v>
      </c>
      <c r="C140" s="41">
        <f>INDEX(Ops!$E$110:$BL$110,1,$B140)</f>
        <v/>
      </c>
      <c r="J140" s="153">
        <f>$C140*INDEX(Curves!$BF$8:$BF$68,J$4-$B140+1)</f>
        <v/>
      </c>
      <c r="K140" s="153">
        <f>$C140*INDEX(Curves!$BF$8:$BF$68,K$4-$B140+1)</f>
        <v/>
      </c>
      <c r="L140" s="153">
        <f>$C140*INDEX(Curves!$BF$8:$BF$68,L$4-$B140+1)</f>
        <v/>
      </c>
      <c r="M140" s="153">
        <f>$C140*INDEX(Curves!$BF$8:$BF$68,M$4-$B140+1)</f>
        <v/>
      </c>
      <c r="N140" s="153">
        <f>$C140*INDEX(Curves!$BF$8:$BF$68,N$4-$B140+1)</f>
        <v/>
      </c>
      <c r="O140" s="153">
        <f>$C140*INDEX(Curves!$BF$8:$BF$68,O$4-$B140+1)</f>
        <v/>
      </c>
      <c r="P140" s="153">
        <f>$C140*INDEX(Curves!$BF$8:$BF$68,P$4-$B140+1)</f>
        <v/>
      </c>
      <c r="Q140" s="153">
        <f>$C140*INDEX(Curves!$BF$8:$BF$68,Q$4-$B140+1)</f>
        <v/>
      </c>
      <c r="R140" s="153">
        <f>$C140*INDEX(Curves!$BF$8:$BF$68,R$4-$B140+1)</f>
        <v/>
      </c>
      <c r="S140" s="153">
        <f>$C140*INDEX(Curves!$BF$8:$BF$68,S$4-$B140+1)</f>
        <v/>
      </c>
      <c r="T140" s="153">
        <f>$C140*INDEX(Curves!$BF$8:$BF$68,T$4-$B140+1)</f>
        <v/>
      </c>
      <c r="U140" s="153">
        <f>$C140*INDEX(Curves!$BF$8:$BF$68,U$4-$B140+1)</f>
        <v/>
      </c>
      <c r="V140" s="153">
        <f>$C140*INDEX(Curves!$BF$8:$BF$68,V$4-$B140+1)</f>
        <v/>
      </c>
      <c r="W140" s="153">
        <f>$C140*INDEX(Curves!$BF$8:$BF$68,W$4-$B140+1)</f>
        <v/>
      </c>
      <c r="X140" s="153">
        <f>$C140*INDEX(Curves!$BF$8:$BF$68,X$4-$B140+1)</f>
        <v/>
      </c>
      <c r="Y140" s="153">
        <f>$C140*INDEX(Curves!$BF$8:$BF$68,Y$4-$B140+1)</f>
        <v/>
      </c>
      <c r="Z140" s="153">
        <f>$C140*INDEX(Curves!$BF$8:$BF$68,Z$4-$B140+1)</f>
        <v/>
      </c>
      <c r="AA140" s="153">
        <f>$C140*INDEX(Curves!$BF$8:$BF$68,AA$4-$B140+1)</f>
        <v/>
      </c>
      <c r="AB140" s="153">
        <f>$C140*INDEX(Curves!$BF$8:$BF$68,AB$4-$B140+1)</f>
        <v/>
      </c>
      <c r="AC140" s="153">
        <f>$C140*INDEX(Curves!$BF$8:$BF$68,AC$4-$B140+1)</f>
        <v/>
      </c>
      <c r="AD140" s="153">
        <f>$C140*INDEX(Curves!$BF$8:$BF$68,AD$4-$B140+1)</f>
        <v/>
      </c>
      <c r="AE140" s="153">
        <f>$C140*INDEX(Curves!$BF$8:$BF$68,AE$4-$B140+1)</f>
        <v/>
      </c>
      <c r="AF140" s="153">
        <f>$C140*INDEX(Curves!$BF$8:$BF$68,AF$4-$B140+1)</f>
        <v/>
      </c>
      <c r="AG140" s="153">
        <f>$C140*INDEX(Curves!$BF$8:$BF$68,AG$4-$B140+1)</f>
        <v/>
      </c>
      <c r="AH140" s="153">
        <f>$C140*INDEX(Curves!$BF$8:$BF$68,AH$4-$B140+1)</f>
        <v/>
      </c>
      <c r="AI140" s="153">
        <f>$C140*INDEX(Curves!$BF$8:$BF$68,AI$4-$B140+1)</f>
        <v/>
      </c>
      <c r="AJ140" s="153">
        <f>$C140*INDEX(Curves!$BF$8:$BF$68,AJ$4-$B140+1)</f>
        <v/>
      </c>
      <c r="AK140" s="153">
        <f>$C140*INDEX(Curves!$BF$8:$BF$68,AK$4-$B140+1)</f>
        <v/>
      </c>
      <c r="AL140" s="153">
        <f>$C140*INDEX(Curves!$BF$8:$BF$68,AL$4-$B140+1)</f>
        <v/>
      </c>
      <c r="AM140" s="153">
        <f>$C140*INDEX(Curves!$BF$8:$BF$68,AM$4-$B140+1)</f>
        <v/>
      </c>
      <c r="AN140" s="153">
        <f>$C140*INDEX(Curves!$BF$8:$BF$68,AN$4-$B140+1)</f>
        <v/>
      </c>
      <c r="AO140" s="153">
        <f>$C140*INDEX(Curves!$BF$8:$BF$68,AO$4-$B140+1)</f>
        <v/>
      </c>
      <c r="AP140" s="153">
        <f>$C140*INDEX(Curves!$BF$8:$BF$68,AP$4-$B140+1)</f>
        <v/>
      </c>
      <c r="AQ140" s="153">
        <f>$C140*INDEX(Curves!$BF$8:$BF$68,AQ$4-$B140+1)</f>
        <v/>
      </c>
      <c r="AR140" s="153">
        <f>$C140*INDEX(Curves!$BF$8:$BF$68,AR$4-$B140+1)</f>
        <v/>
      </c>
      <c r="AS140" s="153">
        <f>$C140*INDEX(Curves!$BF$8:$BF$68,AS$4-$B140+1)</f>
        <v/>
      </c>
      <c r="AT140" s="153">
        <f>$C140*INDEX(Curves!$BF$8:$BF$68,AT$4-$B140+1)</f>
        <v/>
      </c>
      <c r="AU140" s="153">
        <f>$C140*INDEX(Curves!$BF$8:$BF$68,AU$4-$B140+1)</f>
        <v/>
      </c>
      <c r="AV140" s="153">
        <f>$C140*INDEX(Curves!$BF$8:$BF$68,AV$4-$B140+1)</f>
        <v/>
      </c>
      <c r="AW140" s="153">
        <f>$C140*INDEX(Curves!$BF$8:$BF$68,AW$4-$B140+1)</f>
        <v/>
      </c>
      <c r="AX140" s="153">
        <f>$C140*INDEX(Curves!$BF$8:$BF$68,AX$4-$B140+1)</f>
        <v/>
      </c>
      <c r="AY140" s="153">
        <f>$C140*INDEX(Curves!$BF$8:$BF$68,AY$4-$B140+1)</f>
        <v/>
      </c>
      <c r="AZ140" s="153">
        <f>$C140*INDEX(Curves!$BF$8:$BF$68,AZ$4-$B140+1)</f>
        <v/>
      </c>
      <c r="BA140" s="153">
        <f>$C140*INDEX(Curves!$BF$8:$BF$68,BA$4-$B140+1)</f>
        <v/>
      </c>
      <c r="BB140" s="153">
        <f>$C140*INDEX(Curves!$BF$8:$BF$68,BB$4-$B140+1)</f>
        <v/>
      </c>
      <c r="BC140" s="153">
        <f>$C140*INDEX(Curves!$BF$8:$BF$68,BC$4-$B140+1)</f>
        <v/>
      </c>
      <c r="BD140" s="153">
        <f>$C140*INDEX(Curves!$BF$8:$BF$68,BD$4-$B140+1)</f>
        <v/>
      </c>
      <c r="BE140" s="153">
        <f>$C140*INDEX(Curves!$BF$8:$BF$68,BE$4-$B140+1)</f>
        <v/>
      </c>
      <c r="BF140" s="153">
        <f>$C140*INDEX(Curves!$BF$8:$BF$68,BF$4-$B140+1)</f>
        <v/>
      </c>
      <c r="BG140" s="153">
        <f>$C140*INDEX(Curves!$BF$8:$BF$68,BG$4-$B140+1)</f>
        <v/>
      </c>
      <c r="BH140" s="153">
        <f>$C140*INDEX(Curves!$BF$8:$BF$68,BH$4-$B140+1)</f>
        <v/>
      </c>
      <c r="BI140" s="153">
        <f>$C140*INDEX(Curves!$BF$8:$BF$68,BI$4-$B140+1)</f>
        <v/>
      </c>
      <c r="BJ140" s="153">
        <f>$C140*INDEX(Curves!$BF$8:$BF$68,BJ$4-$B140+1)</f>
        <v/>
      </c>
      <c r="BK140" s="153">
        <f>$C140*INDEX(Curves!$BF$8:$BF$68,BK$4-$B140+1)</f>
        <v/>
      </c>
      <c r="BL140" s="153">
        <f>$C140*INDEX(Curves!$BF$8:$BF$68,BL$4-$B140+1)</f>
        <v/>
      </c>
    </row>
    <row r="141">
      <c r="A141" s="147" t="inlineStr">
        <is>
          <t>Cohort month 6</t>
        </is>
      </c>
      <c r="B141" s="147" t="n">
        <v>6</v>
      </c>
      <c r="C141" s="41">
        <f>INDEX(Ops!$E$110:$BL$110,1,$B141)</f>
        <v/>
      </c>
      <c r="K141" s="153">
        <f>$C141*INDEX(Curves!$BF$8:$BF$68,K$4-$B141+1)</f>
        <v/>
      </c>
      <c r="L141" s="153">
        <f>$C141*INDEX(Curves!$BF$8:$BF$68,L$4-$B141+1)</f>
        <v/>
      </c>
      <c r="M141" s="153">
        <f>$C141*INDEX(Curves!$BF$8:$BF$68,M$4-$B141+1)</f>
        <v/>
      </c>
      <c r="N141" s="153">
        <f>$C141*INDEX(Curves!$BF$8:$BF$68,N$4-$B141+1)</f>
        <v/>
      </c>
      <c r="O141" s="153">
        <f>$C141*INDEX(Curves!$BF$8:$BF$68,O$4-$B141+1)</f>
        <v/>
      </c>
      <c r="P141" s="153">
        <f>$C141*INDEX(Curves!$BF$8:$BF$68,P$4-$B141+1)</f>
        <v/>
      </c>
      <c r="Q141" s="153">
        <f>$C141*INDEX(Curves!$BF$8:$BF$68,Q$4-$B141+1)</f>
        <v/>
      </c>
      <c r="R141" s="153">
        <f>$C141*INDEX(Curves!$BF$8:$BF$68,R$4-$B141+1)</f>
        <v/>
      </c>
      <c r="S141" s="153">
        <f>$C141*INDEX(Curves!$BF$8:$BF$68,S$4-$B141+1)</f>
        <v/>
      </c>
      <c r="T141" s="153">
        <f>$C141*INDEX(Curves!$BF$8:$BF$68,T$4-$B141+1)</f>
        <v/>
      </c>
      <c r="U141" s="153">
        <f>$C141*INDEX(Curves!$BF$8:$BF$68,U$4-$B141+1)</f>
        <v/>
      </c>
      <c r="V141" s="153">
        <f>$C141*INDEX(Curves!$BF$8:$BF$68,V$4-$B141+1)</f>
        <v/>
      </c>
      <c r="W141" s="153">
        <f>$C141*INDEX(Curves!$BF$8:$BF$68,W$4-$B141+1)</f>
        <v/>
      </c>
      <c r="X141" s="153">
        <f>$C141*INDEX(Curves!$BF$8:$BF$68,X$4-$B141+1)</f>
        <v/>
      </c>
      <c r="Y141" s="153">
        <f>$C141*INDEX(Curves!$BF$8:$BF$68,Y$4-$B141+1)</f>
        <v/>
      </c>
      <c r="Z141" s="153">
        <f>$C141*INDEX(Curves!$BF$8:$BF$68,Z$4-$B141+1)</f>
        <v/>
      </c>
      <c r="AA141" s="153">
        <f>$C141*INDEX(Curves!$BF$8:$BF$68,AA$4-$B141+1)</f>
        <v/>
      </c>
      <c r="AB141" s="153">
        <f>$C141*INDEX(Curves!$BF$8:$BF$68,AB$4-$B141+1)</f>
        <v/>
      </c>
      <c r="AC141" s="153">
        <f>$C141*INDEX(Curves!$BF$8:$BF$68,AC$4-$B141+1)</f>
        <v/>
      </c>
      <c r="AD141" s="153">
        <f>$C141*INDEX(Curves!$BF$8:$BF$68,AD$4-$B141+1)</f>
        <v/>
      </c>
      <c r="AE141" s="153">
        <f>$C141*INDEX(Curves!$BF$8:$BF$68,AE$4-$B141+1)</f>
        <v/>
      </c>
      <c r="AF141" s="153">
        <f>$C141*INDEX(Curves!$BF$8:$BF$68,AF$4-$B141+1)</f>
        <v/>
      </c>
      <c r="AG141" s="153">
        <f>$C141*INDEX(Curves!$BF$8:$BF$68,AG$4-$B141+1)</f>
        <v/>
      </c>
      <c r="AH141" s="153">
        <f>$C141*INDEX(Curves!$BF$8:$BF$68,AH$4-$B141+1)</f>
        <v/>
      </c>
      <c r="AI141" s="153">
        <f>$C141*INDEX(Curves!$BF$8:$BF$68,AI$4-$B141+1)</f>
        <v/>
      </c>
      <c r="AJ141" s="153">
        <f>$C141*INDEX(Curves!$BF$8:$BF$68,AJ$4-$B141+1)</f>
        <v/>
      </c>
      <c r="AK141" s="153">
        <f>$C141*INDEX(Curves!$BF$8:$BF$68,AK$4-$B141+1)</f>
        <v/>
      </c>
      <c r="AL141" s="153">
        <f>$C141*INDEX(Curves!$BF$8:$BF$68,AL$4-$B141+1)</f>
        <v/>
      </c>
      <c r="AM141" s="153">
        <f>$C141*INDEX(Curves!$BF$8:$BF$68,AM$4-$B141+1)</f>
        <v/>
      </c>
      <c r="AN141" s="153">
        <f>$C141*INDEX(Curves!$BF$8:$BF$68,AN$4-$B141+1)</f>
        <v/>
      </c>
      <c r="AO141" s="153">
        <f>$C141*INDEX(Curves!$BF$8:$BF$68,AO$4-$B141+1)</f>
        <v/>
      </c>
      <c r="AP141" s="153">
        <f>$C141*INDEX(Curves!$BF$8:$BF$68,AP$4-$B141+1)</f>
        <v/>
      </c>
      <c r="AQ141" s="153">
        <f>$C141*INDEX(Curves!$BF$8:$BF$68,AQ$4-$B141+1)</f>
        <v/>
      </c>
      <c r="AR141" s="153">
        <f>$C141*INDEX(Curves!$BF$8:$BF$68,AR$4-$B141+1)</f>
        <v/>
      </c>
      <c r="AS141" s="153">
        <f>$C141*INDEX(Curves!$BF$8:$BF$68,AS$4-$B141+1)</f>
        <v/>
      </c>
      <c r="AT141" s="153">
        <f>$C141*INDEX(Curves!$BF$8:$BF$68,AT$4-$B141+1)</f>
        <v/>
      </c>
      <c r="AU141" s="153">
        <f>$C141*INDEX(Curves!$BF$8:$BF$68,AU$4-$B141+1)</f>
        <v/>
      </c>
      <c r="AV141" s="153">
        <f>$C141*INDEX(Curves!$BF$8:$BF$68,AV$4-$B141+1)</f>
        <v/>
      </c>
      <c r="AW141" s="153">
        <f>$C141*INDEX(Curves!$BF$8:$BF$68,AW$4-$B141+1)</f>
        <v/>
      </c>
      <c r="AX141" s="153">
        <f>$C141*INDEX(Curves!$BF$8:$BF$68,AX$4-$B141+1)</f>
        <v/>
      </c>
      <c r="AY141" s="153">
        <f>$C141*INDEX(Curves!$BF$8:$BF$68,AY$4-$B141+1)</f>
        <v/>
      </c>
      <c r="AZ141" s="153">
        <f>$C141*INDEX(Curves!$BF$8:$BF$68,AZ$4-$B141+1)</f>
        <v/>
      </c>
      <c r="BA141" s="153">
        <f>$C141*INDEX(Curves!$BF$8:$BF$68,BA$4-$B141+1)</f>
        <v/>
      </c>
      <c r="BB141" s="153">
        <f>$C141*INDEX(Curves!$BF$8:$BF$68,BB$4-$B141+1)</f>
        <v/>
      </c>
      <c r="BC141" s="153">
        <f>$C141*INDEX(Curves!$BF$8:$BF$68,BC$4-$B141+1)</f>
        <v/>
      </c>
      <c r="BD141" s="153">
        <f>$C141*INDEX(Curves!$BF$8:$BF$68,BD$4-$B141+1)</f>
        <v/>
      </c>
      <c r="BE141" s="153">
        <f>$C141*INDEX(Curves!$BF$8:$BF$68,BE$4-$B141+1)</f>
        <v/>
      </c>
      <c r="BF141" s="153">
        <f>$C141*INDEX(Curves!$BF$8:$BF$68,BF$4-$B141+1)</f>
        <v/>
      </c>
      <c r="BG141" s="153">
        <f>$C141*INDEX(Curves!$BF$8:$BF$68,BG$4-$B141+1)</f>
        <v/>
      </c>
      <c r="BH141" s="153">
        <f>$C141*INDEX(Curves!$BF$8:$BF$68,BH$4-$B141+1)</f>
        <v/>
      </c>
      <c r="BI141" s="153">
        <f>$C141*INDEX(Curves!$BF$8:$BF$68,BI$4-$B141+1)</f>
        <v/>
      </c>
      <c r="BJ141" s="153">
        <f>$C141*INDEX(Curves!$BF$8:$BF$68,BJ$4-$B141+1)</f>
        <v/>
      </c>
      <c r="BK141" s="153">
        <f>$C141*INDEX(Curves!$BF$8:$BF$68,BK$4-$B141+1)</f>
        <v/>
      </c>
      <c r="BL141" s="153">
        <f>$C141*INDEX(Curves!$BF$8:$BF$68,BL$4-$B141+1)</f>
        <v/>
      </c>
    </row>
    <row r="142">
      <c r="A142" s="147" t="inlineStr">
        <is>
          <t>Cohort month 7</t>
        </is>
      </c>
      <c r="B142" s="147" t="n">
        <v>7</v>
      </c>
      <c r="C142" s="41">
        <f>INDEX(Ops!$E$110:$BL$110,1,$B142)</f>
        <v/>
      </c>
      <c r="L142" s="153">
        <f>$C142*INDEX(Curves!$BF$8:$BF$68,L$4-$B142+1)</f>
        <v/>
      </c>
      <c r="M142" s="153">
        <f>$C142*INDEX(Curves!$BF$8:$BF$68,M$4-$B142+1)</f>
        <v/>
      </c>
      <c r="N142" s="153">
        <f>$C142*INDEX(Curves!$BF$8:$BF$68,N$4-$B142+1)</f>
        <v/>
      </c>
      <c r="O142" s="153">
        <f>$C142*INDEX(Curves!$BF$8:$BF$68,O$4-$B142+1)</f>
        <v/>
      </c>
      <c r="P142" s="153">
        <f>$C142*INDEX(Curves!$BF$8:$BF$68,P$4-$B142+1)</f>
        <v/>
      </c>
      <c r="Q142" s="153">
        <f>$C142*INDEX(Curves!$BF$8:$BF$68,Q$4-$B142+1)</f>
        <v/>
      </c>
      <c r="R142" s="153">
        <f>$C142*INDEX(Curves!$BF$8:$BF$68,R$4-$B142+1)</f>
        <v/>
      </c>
      <c r="S142" s="153">
        <f>$C142*INDEX(Curves!$BF$8:$BF$68,S$4-$B142+1)</f>
        <v/>
      </c>
      <c r="T142" s="153">
        <f>$C142*INDEX(Curves!$BF$8:$BF$68,T$4-$B142+1)</f>
        <v/>
      </c>
      <c r="U142" s="153">
        <f>$C142*INDEX(Curves!$BF$8:$BF$68,U$4-$B142+1)</f>
        <v/>
      </c>
      <c r="V142" s="153">
        <f>$C142*INDEX(Curves!$BF$8:$BF$68,V$4-$B142+1)</f>
        <v/>
      </c>
      <c r="W142" s="153">
        <f>$C142*INDEX(Curves!$BF$8:$BF$68,W$4-$B142+1)</f>
        <v/>
      </c>
      <c r="X142" s="153">
        <f>$C142*INDEX(Curves!$BF$8:$BF$68,X$4-$B142+1)</f>
        <v/>
      </c>
      <c r="Y142" s="153">
        <f>$C142*INDEX(Curves!$BF$8:$BF$68,Y$4-$B142+1)</f>
        <v/>
      </c>
      <c r="Z142" s="153">
        <f>$C142*INDEX(Curves!$BF$8:$BF$68,Z$4-$B142+1)</f>
        <v/>
      </c>
      <c r="AA142" s="153">
        <f>$C142*INDEX(Curves!$BF$8:$BF$68,AA$4-$B142+1)</f>
        <v/>
      </c>
      <c r="AB142" s="153">
        <f>$C142*INDEX(Curves!$BF$8:$BF$68,AB$4-$B142+1)</f>
        <v/>
      </c>
      <c r="AC142" s="153">
        <f>$C142*INDEX(Curves!$BF$8:$BF$68,AC$4-$B142+1)</f>
        <v/>
      </c>
      <c r="AD142" s="153">
        <f>$C142*INDEX(Curves!$BF$8:$BF$68,AD$4-$B142+1)</f>
        <v/>
      </c>
      <c r="AE142" s="153">
        <f>$C142*INDEX(Curves!$BF$8:$BF$68,AE$4-$B142+1)</f>
        <v/>
      </c>
      <c r="AF142" s="153">
        <f>$C142*INDEX(Curves!$BF$8:$BF$68,AF$4-$B142+1)</f>
        <v/>
      </c>
      <c r="AG142" s="153">
        <f>$C142*INDEX(Curves!$BF$8:$BF$68,AG$4-$B142+1)</f>
        <v/>
      </c>
      <c r="AH142" s="153">
        <f>$C142*INDEX(Curves!$BF$8:$BF$68,AH$4-$B142+1)</f>
        <v/>
      </c>
      <c r="AI142" s="153">
        <f>$C142*INDEX(Curves!$BF$8:$BF$68,AI$4-$B142+1)</f>
        <v/>
      </c>
      <c r="AJ142" s="153">
        <f>$C142*INDEX(Curves!$BF$8:$BF$68,AJ$4-$B142+1)</f>
        <v/>
      </c>
      <c r="AK142" s="153">
        <f>$C142*INDEX(Curves!$BF$8:$BF$68,AK$4-$B142+1)</f>
        <v/>
      </c>
      <c r="AL142" s="153">
        <f>$C142*INDEX(Curves!$BF$8:$BF$68,AL$4-$B142+1)</f>
        <v/>
      </c>
      <c r="AM142" s="153">
        <f>$C142*INDEX(Curves!$BF$8:$BF$68,AM$4-$B142+1)</f>
        <v/>
      </c>
      <c r="AN142" s="153">
        <f>$C142*INDEX(Curves!$BF$8:$BF$68,AN$4-$B142+1)</f>
        <v/>
      </c>
      <c r="AO142" s="153">
        <f>$C142*INDEX(Curves!$BF$8:$BF$68,AO$4-$B142+1)</f>
        <v/>
      </c>
      <c r="AP142" s="153">
        <f>$C142*INDEX(Curves!$BF$8:$BF$68,AP$4-$B142+1)</f>
        <v/>
      </c>
      <c r="AQ142" s="153">
        <f>$C142*INDEX(Curves!$BF$8:$BF$68,AQ$4-$B142+1)</f>
        <v/>
      </c>
      <c r="AR142" s="153">
        <f>$C142*INDEX(Curves!$BF$8:$BF$68,AR$4-$B142+1)</f>
        <v/>
      </c>
      <c r="AS142" s="153">
        <f>$C142*INDEX(Curves!$BF$8:$BF$68,AS$4-$B142+1)</f>
        <v/>
      </c>
      <c r="AT142" s="153">
        <f>$C142*INDEX(Curves!$BF$8:$BF$68,AT$4-$B142+1)</f>
        <v/>
      </c>
      <c r="AU142" s="153">
        <f>$C142*INDEX(Curves!$BF$8:$BF$68,AU$4-$B142+1)</f>
        <v/>
      </c>
      <c r="AV142" s="153">
        <f>$C142*INDEX(Curves!$BF$8:$BF$68,AV$4-$B142+1)</f>
        <v/>
      </c>
      <c r="AW142" s="153">
        <f>$C142*INDEX(Curves!$BF$8:$BF$68,AW$4-$B142+1)</f>
        <v/>
      </c>
      <c r="AX142" s="153">
        <f>$C142*INDEX(Curves!$BF$8:$BF$68,AX$4-$B142+1)</f>
        <v/>
      </c>
      <c r="AY142" s="153">
        <f>$C142*INDEX(Curves!$BF$8:$BF$68,AY$4-$B142+1)</f>
        <v/>
      </c>
      <c r="AZ142" s="153">
        <f>$C142*INDEX(Curves!$BF$8:$BF$68,AZ$4-$B142+1)</f>
        <v/>
      </c>
      <c r="BA142" s="153">
        <f>$C142*INDEX(Curves!$BF$8:$BF$68,BA$4-$B142+1)</f>
        <v/>
      </c>
      <c r="BB142" s="153">
        <f>$C142*INDEX(Curves!$BF$8:$BF$68,BB$4-$B142+1)</f>
        <v/>
      </c>
      <c r="BC142" s="153">
        <f>$C142*INDEX(Curves!$BF$8:$BF$68,BC$4-$B142+1)</f>
        <v/>
      </c>
      <c r="BD142" s="153">
        <f>$C142*INDEX(Curves!$BF$8:$BF$68,BD$4-$B142+1)</f>
        <v/>
      </c>
      <c r="BE142" s="153">
        <f>$C142*INDEX(Curves!$BF$8:$BF$68,BE$4-$B142+1)</f>
        <v/>
      </c>
      <c r="BF142" s="153">
        <f>$C142*INDEX(Curves!$BF$8:$BF$68,BF$4-$B142+1)</f>
        <v/>
      </c>
      <c r="BG142" s="153">
        <f>$C142*INDEX(Curves!$BF$8:$BF$68,BG$4-$B142+1)</f>
        <v/>
      </c>
      <c r="BH142" s="153">
        <f>$C142*INDEX(Curves!$BF$8:$BF$68,BH$4-$B142+1)</f>
        <v/>
      </c>
      <c r="BI142" s="153">
        <f>$C142*INDEX(Curves!$BF$8:$BF$68,BI$4-$B142+1)</f>
        <v/>
      </c>
      <c r="BJ142" s="153">
        <f>$C142*INDEX(Curves!$BF$8:$BF$68,BJ$4-$B142+1)</f>
        <v/>
      </c>
      <c r="BK142" s="153">
        <f>$C142*INDEX(Curves!$BF$8:$BF$68,BK$4-$B142+1)</f>
        <v/>
      </c>
      <c r="BL142" s="153">
        <f>$C142*INDEX(Curves!$BF$8:$BF$68,BL$4-$B142+1)</f>
        <v/>
      </c>
    </row>
    <row r="143">
      <c r="A143" s="147" t="inlineStr">
        <is>
          <t>Cohort month 8</t>
        </is>
      </c>
      <c r="B143" s="147" t="n">
        <v>8</v>
      </c>
      <c r="C143" s="41">
        <f>INDEX(Ops!$E$110:$BL$110,1,$B143)</f>
        <v/>
      </c>
      <c r="M143" s="153">
        <f>$C143*INDEX(Curves!$BF$8:$BF$68,M$4-$B143+1)</f>
        <v/>
      </c>
      <c r="N143" s="153">
        <f>$C143*INDEX(Curves!$BF$8:$BF$68,N$4-$B143+1)</f>
        <v/>
      </c>
      <c r="O143" s="153">
        <f>$C143*INDEX(Curves!$BF$8:$BF$68,O$4-$B143+1)</f>
        <v/>
      </c>
      <c r="P143" s="153">
        <f>$C143*INDEX(Curves!$BF$8:$BF$68,P$4-$B143+1)</f>
        <v/>
      </c>
      <c r="Q143" s="153">
        <f>$C143*INDEX(Curves!$BF$8:$BF$68,Q$4-$B143+1)</f>
        <v/>
      </c>
      <c r="R143" s="153">
        <f>$C143*INDEX(Curves!$BF$8:$BF$68,R$4-$B143+1)</f>
        <v/>
      </c>
      <c r="S143" s="153">
        <f>$C143*INDEX(Curves!$BF$8:$BF$68,S$4-$B143+1)</f>
        <v/>
      </c>
      <c r="T143" s="153">
        <f>$C143*INDEX(Curves!$BF$8:$BF$68,T$4-$B143+1)</f>
        <v/>
      </c>
      <c r="U143" s="153">
        <f>$C143*INDEX(Curves!$BF$8:$BF$68,U$4-$B143+1)</f>
        <v/>
      </c>
      <c r="V143" s="153">
        <f>$C143*INDEX(Curves!$BF$8:$BF$68,V$4-$B143+1)</f>
        <v/>
      </c>
      <c r="W143" s="153">
        <f>$C143*INDEX(Curves!$BF$8:$BF$68,W$4-$B143+1)</f>
        <v/>
      </c>
      <c r="X143" s="153">
        <f>$C143*INDEX(Curves!$BF$8:$BF$68,X$4-$B143+1)</f>
        <v/>
      </c>
      <c r="Y143" s="153">
        <f>$C143*INDEX(Curves!$BF$8:$BF$68,Y$4-$B143+1)</f>
        <v/>
      </c>
      <c r="Z143" s="153">
        <f>$C143*INDEX(Curves!$BF$8:$BF$68,Z$4-$B143+1)</f>
        <v/>
      </c>
      <c r="AA143" s="153">
        <f>$C143*INDEX(Curves!$BF$8:$BF$68,AA$4-$B143+1)</f>
        <v/>
      </c>
      <c r="AB143" s="153">
        <f>$C143*INDEX(Curves!$BF$8:$BF$68,AB$4-$B143+1)</f>
        <v/>
      </c>
      <c r="AC143" s="153">
        <f>$C143*INDEX(Curves!$BF$8:$BF$68,AC$4-$B143+1)</f>
        <v/>
      </c>
      <c r="AD143" s="153">
        <f>$C143*INDEX(Curves!$BF$8:$BF$68,AD$4-$B143+1)</f>
        <v/>
      </c>
      <c r="AE143" s="153">
        <f>$C143*INDEX(Curves!$BF$8:$BF$68,AE$4-$B143+1)</f>
        <v/>
      </c>
      <c r="AF143" s="153">
        <f>$C143*INDEX(Curves!$BF$8:$BF$68,AF$4-$B143+1)</f>
        <v/>
      </c>
      <c r="AG143" s="153">
        <f>$C143*INDEX(Curves!$BF$8:$BF$68,AG$4-$B143+1)</f>
        <v/>
      </c>
      <c r="AH143" s="153">
        <f>$C143*INDEX(Curves!$BF$8:$BF$68,AH$4-$B143+1)</f>
        <v/>
      </c>
      <c r="AI143" s="153">
        <f>$C143*INDEX(Curves!$BF$8:$BF$68,AI$4-$B143+1)</f>
        <v/>
      </c>
      <c r="AJ143" s="153">
        <f>$C143*INDEX(Curves!$BF$8:$BF$68,AJ$4-$B143+1)</f>
        <v/>
      </c>
      <c r="AK143" s="153">
        <f>$C143*INDEX(Curves!$BF$8:$BF$68,AK$4-$B143+1)</f>
        <v/>
      </c>
      <c r="AL143" s="153">
        <f>$C143*INDEX(Curves!$BF$8:$BF$68,AL$4-$B143+1)</f>
        <v/>
      </c>
      <c r="AM143" s="153">
        <f>$C143*INDEX(Curves!$BF$8:$BF$68,AM$4-$B143+1)</f>
        <v/>
      </c>
      <c r="AN143" s="153">
        <f>$C143*INDEX(Curves!$BF$8:$BF$68,AN$4-$B143+1)</f>
        <v/>
      </c>
      <c r="AO143" s="153">
        <f>$C143*INDEX(Curves!$BF$8:$BF$68,AO$4-$B143+1)</f>
        <v/>
      </c>
      <c r="AP143" s="153">
        <f>$C143*INDEX(Curves!$BF$8:$BF$68,AP$4-$B143+1)</f>
        <v/>
      </c>
      <c r="AQ143" s="153">
        <f>$C143*INDEX(Curves!$BF$8:$BF$68,AQ$4-$B143+1)</f>
        <v/>
      </c>
      <c r="AR143" s="153">
        <f>$C143*INDEX(Curves!$BF$8:$BF$68,AR$4-$B143+1)</f>
        <v/>
      </c>
      <c r="AS143" s="153">
        <f>$C143*INDEX(Curves!$BF$8:$BF$68,AS$4-$B143+1)</f>
        <v/>
      </c>
      <c r="AT143" s="153">
        <f>$C143*INDEX(Curves!$BF$8:$BF$68,AT$4-$B143+1)</f>
        <v/>
      </c>
      <c r="AU143" s="153">
        <f>$C143*INDEX(Curves!$BF$8:$BF$68,AU$4-$B143+1)</f>
        <v/>
      </c>
      <c r="AV143" s="153">
        <f>$C143*INDEX(Curves!$BF$8:$BF$68,AV$4-$B143+1)</f>
        <v/>
      </c>
      <c r="AW143" s="153">
        <f>$C143*INDEX(Curves!$BF$8:$BF$68,AW$4-$B143+1)</f>
        <v/>
      </c>
      <c r="AX143" s="153">
        <f>$C143*INDEX(Curves!$BF$8:$BF$68,AX$4-$B143+1)</f>
        <v/>
      </c>
      <c r="AY143" s="153">
        <f>$C143*INDEX(Curves!$BF$8:$BF$68,AY$4-$B143+1)</f>
        <v/>
      </c>
      <c r="AZ143" s="153">
        <f>$C143*INDEX(Curves!$BF$8:$BF$68,AZ$4-$B143+1)</f>
        <v/>
      </c>
      <c r="BA143" s="153">
        <f>$C143*INDEX(Curves!$BF$8:$BF$68,BA$4-$B143+1)</f>
        <v/>
      </c>
      <c r="BB143" s="153">
        <f>$C143*INDEX(Curves!$BF$8:$BF$68,BB$4-$B143+1)</f>
        <v/>
      </c>
      <c r="BC143" s="153">
        <f>$C143*INDEX(Curves!$BF$8:$BF$68,BC$4-$B143+1)</f>
        <v/>
      </c>
      <c r="BD143" s="153">
        <f>$C143*INDEX(Curves!$BF$8:$BF$68,BD$4-$B143+1)</f>
        <v/>
      </c>
      <c r="BE143" s="153">
        <f>$C143*INDEX(Curves!$BF$8:$BF$68,BE$4-$B143+1)</f>
        <v/>
      </c>
      <c r="BF143" s="153">
        <f>$C143*INDEX(Curves!$BF$8:$BF$68,BF$4-$B143+1)</f>
        <v/>
      </c>
      <c r="BG143" s="153">
        <f>$C143*INDEX(Curves!$BF$8:$BF$68,BG$4-$B143+1)</f>
        <v/>
      </c>
      <c r="BH143" s="153">
        <f>$C143*INDEX(Curves!$BF$8:$BF$68,BH$4-$B143+1)</f>
        <v/>
      </c>
      <c r="BI143" s="153">
        <f>$C143*INDEX(Curves!$BF$8:$BF$68,BI$4-$B143+1)</f>
        <v/>
      </c>
      <c r="BJ143" s="153">
        <f>$C143*INDEX(Curves!$BF$8:$BF$68,BJ$4-$B143+1)</f>
        <v/>
      </c>
      <c r="BK143" s="153">
        <f>$C143*INDEX(Curves!$BF$8:$BF$68,BK$4-$B143+1)</f>
        <v/>
      </c>
      <c r="BL143" s="153">
        <f>$C143*INDEX(Curves!$BF$8:$BF$68,BL$4-$B143+1)</f>
        <v/>
      </c>
    </row>
    <row r="144">
      <c r="A144" s="147" t="inlineStr">
        <is>
          <t>Cohort month 9</t>
        </is>
      </c>
      <c r="B144" s="147" t="n">
        <v>9</v>
      </c>
      <c r="C144" s="41">
        <f>INDEX(Ops!$E$110:$BL$110,1,$B144)</f>
        <v/>
      </c>
      <c r="N144" s="153">
        <f>$C144*INDEX(Curves!$BF$8:$BF$68,N$4-$B144+1)</f>
        <v/>
      </c>
      <c r="O144" s="153">
        <f>$C144*INDEX(Curves!$BF$8:$BF$68,O$4-$B144+1)</f>
        <v/>
      </c>
      <c r="P144" s="153">
        <f>$C144*INDEX(Curves!$BF$8:$BF$68,P$4-$B144+1)</f>
        <v/>
      </c>
      <c r="Q144" s="153">
        <f>$C144*INDEX(Curves!$BF$8:$BF$68,Q$4-$B144+1)</f>
        <v/>
      </c>
      <c r="R144" s="153">
        <f>$C144*INDEX(Curves!$BF$8:$BF$68,R$4-$B144+1)</f>
        <v/>
      </c>
      <c r="S144" s="153">
        <f>$C144*INDEX(Curves!$BF$8:$BF$68,S$4-$B144+1)</f>
        <v/>
      </c>
      <c r="T144" s="153">
        <f>$C144*INDEX(Curves!$BF$8:$BF$68,T$4-$B144+1)</f>
        <v/>
      </c>
      <c r="U144" s="153">
        <f>$C144*INDEX(Curves!$BF$8:$BF$68,U$4-$B144+1)</f>
        <v/>
      </c>
      <c r="V144" s="153">
        <f>$C144*INDEX(Curves!$BF$8:$BF$68,V$4-$B144+1)</f>
        <v/>
      </c>
      <c r="W144" s="153">
        <f>$C144*INDEX(Curves!$BF$8:$BF$68,W$4-$B144+1)</f>
        <v/>
      </c>
      <c r="X144" s="153">
        <f>$C144*INDEX(Curves!$BF$8:$BF$68,X$4-$B144+1)</f>
        <v/>
      </c>
      <c r="Y144" s="153">
        <f>$C144*INDEX(Curves!$BF$8:$BF$68,Y$4-$B144+1)</f>
        <v/>
      </c>
      <c r="Z144" s="153">
        <f>$C144*INDEX(Curves!$BF$8:$BF$68,Z$4-$B144+1)</f>
        <v/>
      </c>
      <c r="AA144" s="153">
        <f>$C144*INDEX(Curves!$BF$8:$BF$68,AA$4-$B144+1)</f>
        <v/>
      </c>
      <c r="AB144" s="153">
        <f>$C144*INDEX(Curves!$BF$8:$BF$68,AB$4-$B144+1)</f>
        <v/>
      </c>
      <c r="AC144" s="153">
        <f>$C144*INDEX(Curves!$BF$8:$BF$68,AC$4-$B144+1)</f>
        <v/>
      </c>
      <c r="AD144" s="153">
        <f>$C144*INDEX(Curves!$BF$8:$BF$68,AD$4-$B144+1)</f>
        <v/>
      </c>
      <c r="AE144" s="153">
        <f>$C144*INDEX(Curves!$BF$8:$BF$68,AE$4-$B144+1)</f>
        <v/>
      </c>
      <c r="AF144" s="153">
        <f>$C144*INDEX(Curves!$BF$8:$BF$68,AF$4-$B144+1)</f>
        <v/>
      </c>
      <c r="AG144" s="153">
        <f>$C144*INDEX(Curves!$BF$8:$BF$68,AG$4-$B144+1)</f>
        <v/>
      </c>
      <c r="AH144" s="153">
        <f>$C144*INDEX(Curves!$BF$8:$BF$68,AH$4-$B144+1)</f>
        <v/>
      </c>
      <c r="AI144" s="153">
        <f>$C144*INDEX(Curves!$BF$8:$BF$68,AI$4-$B144+1)</f>
        <v/>
      </c>
      <c r="AJ144" s="153">
        <f>$C144*INDEX(Curves!$BF$8:$BF$68,AJ$4-$B144+1)</f>
        <v/>
      </c>
      <c r="AK144" s="153">
        <f>$C144*INDEX(Curves!$BF$8:$BF$68,AK$4-$B144+1)</f>
        <v/>
      </c>
      <c r="AL144" s="153">
        <f>$C144*INDEX(Curves!$BF$8:$BF$68,AL$4-$B144+1)</f>
        <v/>
      </c>
      <c r="AM144" s="153">
        <f>$C144*INDEX(Curves!$BF$8:$BF$68,AM$4-$B144+1)</f>
        <v/>
      </c>
      <c r="AN144" s="153">
        <f>$C144*INDEX(Curves!$BF$8:$BF$68,AN$4-$B144+1)</f>
        <v/>
      </c>
      <c r="AO144" s="153">
        <f>$C144*INDEX(Curves!$BF$8:$BF$68,AO$4-$B144+1)</f>
        <v/>
      </c>
      <c r="AP144" s="153">
        <f>$C144*INDEX(Curves!$BF$8:$BF$68,AP$4-$B144+1)</f>
        <v/>
      </c>
      <c r="AQ144" s="153">
        <f>$C144*INDEX(Curves!$BF$8:$BF$68,AQ$4-$B144+1)</f>
        <v/>
      </c>
      <c r="AR144" s="153">
        <f>$C144*INDEX(Curves!$BF$8:$BF$68,AR$4-$B144+1)</f>
        <v/>
      </c>
      <c r="AS144" s="153">
        <f>$C144*INDEX(Curves!$BF$8:$BF$68,AS$4-$B144+1)</f>
        <v/>
      </c>
      <c r="AT144" s="153">
        <f>$C144*INDEX(Curves!$BF$8:$BF$68,AT$4-$B144+1)</f>
        <v/>
      </c>
      <c r="AU144" s="153">
        <f>$C144*INDEX(Curves!$BF$8:$BF$68,AU$4-$B144+1)</f>
        <v/>
      </c>
      <c r="AV144" s="153">
        <f>$C144*INDEX(Curves!$BF$8:$BF$68,AV$4-$B144+1)</f>
        <v/>
      </c>
      <c r="AW144" s="153">
        <f>$C144*INDEX(Curves!$BF$8:$BF$68,AW$4-$B144+1)</f>
        <v/>
      </c>
      <c r="AX144" s="153">
        <f>$C144*INDEX(Curves!$BF$8:$BF$68,AX$4-$B144+1)</f>
        <v/>
      </c>
      <c r="AY144" s="153">
        <f>$C144*INDEX(Curves!$BF$8:$BF$68,AY$4-$B144+1)</f>
        <v/>
      </c>
      <c r="AZ144" s="153">
        <f>$C144*INDEX(Curves!$BF$8:$BF$68,AZ$4-$B144+1)</f>
        <v/>
      </c>
      <c r="BA144" s="153">
        <f>$C144*INDEX(Curves!$BF$8:$BF$68,BA$4-$B144+1)</f>
        <v/>
      </c>
      <c r="BB144" s="153">
        <f>$C144*INDEX(Curves!$BF$8:$BF$68,BB$4-$B144+1)</f>
        <v/>
      </c>
      <c r="BC144" s="153">
        <f>$C144*INDEX(Curves!$BF$8:$BF$68,BC$4-$B144+1)</f>
        <v/>
      </c>
      <c r="BD144" s="153">
        <f>$C144*INDEX(Curves!$BF$8:$BF$68,BD$4-$B144+1)</f>
        <v/>
      </c>
      <c r="BE144" s="153">
        <f>$C144*INDEX(Curves!$BF$8:$BF$68,BE$4-$B144+1)</f>
        <v/>
      </c>
      <c r="BF144" s="153">
        <f>$C144*INDEX(Curves!$BF$8:$BF$68,BF$4-$B144+1)</f>
        <v/>
      </c>
      <c r="BG144" s="153">
        <f>$C144*INDEX(Curves!$BF$8:$BF$68,BG$4-$B144+1)</f>
        <v/>
      </c>
      <c r="BH144" s="153">
        <f>$C144*INDEX(Curves!$BF$8:$BF$68,BH$4-$B144+1)</f>
        <v/>
      </c>
      <c r="BI144" s="153">
        <f>$C144*INDEX(Curves!$BF$8:$BF$68,BI$4-$B144+1)</f>
        <v/>
      </c>
      <c r="BJ144" s="153">
        <f>$C144*INDEX(Curves!$BF$8:$BF$68,BJ$4-$B144+1)</f>
        <v/>
      </c>
      <c r="BK144" s="153">
        <f>$C144*INDEX(Curves!$BF$8:$BF$68,BK$4-$B144+1)</f>
        <v/>
      </c>
      <c r="BL144" s="153">
        <f>$C144*INDEX(Curves!$BF$8:$BF$68,BL$4-$B144+1)</f>
        <v/>
      </c>
    </row>
    <row r="145">
      <c r="A145" s="147" t="inlineStr">
        <is>
          <t>Cohort month 10</t>
        </is>
      </c>
      <c r="B145" s="147" t="n">
        <v>10</v>
      </c>
      <c r="C145" s="41">
        <f>INDEX(Ops!$E$110:$BL$110,1,$B145)</f>
        <v/>
      </c>
      <c r="O145" s="153">
        <f>$C145*INDEX(Curves!$BF$8:$BF$68,O$4-$B145+1)</f>
        <v/>
      </c>
      <c r="P145" s="153">
        <f>$C145*INDEX(Curves!$BF$8:$BF$68,P$4-$B145+1)</f>
        <v/>
      </c>
      <c r="Q145" s="153">
        <f>$C145*INDEX(Curves!$BF$8:$BF$68,Q$4-$B145+1)</f>
        <v/>
      </c>
      <c r="R145" s="153">
        <f>$C145*INDEX(Curves!$BF$8:$BF$68,R$4-$B145+1)</f>
        <v/>
      </c>
      <c r="S145" s="153">
        <f>$C145*INDEX(Curves!$BF$8:$BF$68,S$4-$B145+1)</f>
        <v/>
      </c>
      <c r="T145" s="153">
        <f>$C145*INDEX(Curves!$BF$8:$BF$68,T$4-$B145+1)</f>
        <v/>
      </c>
      <c r="U145" s="153">
        <f>$C145*INDEX(Curves!$BF$8:$BF$68,U$4-$B145+1)</f>
        <v/>
      </c>
      <c r="V145" s="153">
        <f>$C145*INDEX(Curves!$BF$8:$BF$68,V$4-$B145+1)</f>
        <v/>
      </c>
      <c r="W145" s="153">
        <f>$C145*INDEX(Curves!$BF$8:$BF$68,W$4-$B145+1)</f>
        <v/>
      </c>
      <c r="X145" s="153">
        <f>$C145*INDEX(Curves!$BF$8:$BF$68,X$4-$B145+1)</f>
        <v/>
      </c>
      <c r="Y145" s="153">
        <f>$C145*INDEX(Curves!$BF$8:$BF$68,Y$4-$B145+1)</f>
        <v/>
      </c>
      <c r="Z145" s="153">
        <f>$C145*INDEX(Curves!$BF$8:$BF$68,Z$4-$B145+1)</f>
        <v/>
      </c>
      <c r="AA145" s="153">
        <f>$C145*INDEX(Curves!$BF$8:$BF$68,AA$4-$B145+1)</f>
        <v/>
      </c>
      <c r="AB145" s="153">
        <f>$C145*INDEX(Curves!$BF$8:$BF$68,AB$4-$B145+1)</f>
        <v/>
      </c>
      <c r="AC145" s="153">
        <f>$C145*INDEX(Curves!$BF$8:$BF$68,AC$4-$B145+1)</f>
        <v/>
      </c>
      <c r="AD145" s="153">
        <f>$C145*INDEX(Curves!$BF$8:$BF$68,AD$4-$B145+1)</f>
        <v/>
      </c>
      <c r="AE145" s="153">
        <f>$C145*INDEX(Curves!$BF$8:$BF$68,AE$4-$B145+1)</f>
        <v/>
      </c>
      <c r="AF145" s="153">
        <f>$C145*INDEX(Curves!$BF$8:$BF$68,AF$4-$B145+1)</f>
        <v/>
      </c>
      <c r="AG145" s="153">
        <f>$C145*INDEX(Curves!$BF$8:$BF$68,AG$4-$B145+1)</f>
        <v/>
      </c>
      <c r="AH145" s="153">
        <f>$C145*INDEX(Curves!$BF$8:$BF$68,AH$4-$B145+1)</f>
        <v/>
      </c>
      <c r="AI145" s="153">
        <f>$C145*INDEX(Curves!$BF$8:$BF$68,AI$4-$B145+1)</f>
        <v/>
      </c>
      <c r="AJ145" s="153">
        <f>$C145*INDEX(Curves!$BF$8:$BF$68,AJ$4-$B145+1)</f>
        <v/>
      </c>
      <c r="AK145" s="153">
        <f>$C145*INDEX(Curves!$BF$8:$BF$68,AK$4-$B145+1)</f>
        <v/>
      </c>
      <c r="AL145" s="153">
        <f>$C145*INDEX(Curves!$BF$8:$BF$68,AL$4-$B145+1)</f>
        <v/>
      </c>
      <c r="AM145" s="153">
        <f>$C145*INDEX(Curves!$BF$8:$BF$68,AM$4-$B145+1)</f>
        <v/>
      </c>
      <c r="AN145" s="153">
        <f>$C145*INDEX(Curves!$BF$8:$BF$68,AN$4-$B145+1)</f>
        <v/>
      </c>
      <c r="AO145" s="153">
        <f>$C145*INDEX(Curves!$BF$8:$BF$68,AO$4-$B145+1)</f>
        <v/>
      </c>
      <c r="AP145" s="153">
        <f>$C145*INDEX(Curves!$BF$8:$BF$68,AP$4-$B145+1)</f>
        <v/>
      </c>
      <c r="AQ145" s="153">
        <f>$C145*INDEX(Curves!$BF$8:$BF$68,AQ$4-$B145+1)</f>
        <v/>
      </c>
      <c r="AR145" s="153">
        <f>$C145*INDEX(Curves!$BF$8:$BF$68,AR$4-$B145+1)</f>
        <v/>
      </c>
      <c r="AS145" s="153">
        <f>$C145*INDEX(Curves!$BF$8:$BF$68,AS$4-$B145+1)</f>
        <v/>
      </c>
      <c r="AT145" s="153">
        <f>$C145*INDEX(Curves!$BF$8:$BF$68,AT$4-$B145+1)</f>
        <v/>
      </c>
      <c r="AU145" s="153">
        <f>$C145*INDEX(Curves!$BF$8:$BF$68,AU$4-$B145+1)</f>
        <v/>
      </c>
      <c r="AV145" s="153">
        <f>$C145*INDEX(Curves!$BF$8:$BF$68,AV$4-$B145+1)</f>
        <v/>
      </c>
      <c r="AW145" s="153">
        <f>$C145*INDEX(Curves!$BF$8:$BF$68,AW$4-$B145+1)</f>
        <v/>
      </c>
      <c r="AX145" s="153">
        <f>$C145*INDEX(Curves!$BF$8:$BF$68,AX$4-$B145+1)</f>
        <v/>
      </c>
      <c r="AY145" s="153">
        <f>$C145*INDEX(Curves!$BF$8:$BF$68,AY$4-$B145+1)</f>
        <v/>
      </c>
      <c r="AZ145" s="153">
        <f>$C145*INDEX(Curves!$BF$8:$BF$68,AZ$4-$B145+1)</f>
        <v/>
      </c>
      <c r="BA145" s="153">
        <f>$C145*INDEX(Curves!$BF$8:$BF$68,BA$4-$B145+1)</f>
        <v/>
      </c>
      <c r="BB145" s="153">
        <f>$C145*INDEX(Curves!$BF$8:$BF$68,BB$4-$B145+1)</f>
        <v/>
      </c>
      <c r="BC145" s="153">
        <f>$C145*INDEX(Curves!$BF$8:$BF$68,BC$4-$B145+1)</f>
        <v/>
      </c>
      <c r="BD145" s="153">
        <f>$C145*INDEX(Curves!$BF$8:$BF$68,BD$4-$B145+1)</f>
        <v/>
      </c>
      <c r="BE145" s="153">
        <f>$C145*INDEX(Curves!$BF$8:$BF$68,BE$4-$B145+1)</f>
        <v/>
      </c>
      <c r="BF145" s="153">
        <f>$C145*INDEX(Curves!$BF$8:$BF$68,BF$4-$B145+1)</f>
        <v/>
      </c>
      <c r="BG145" s="153">
        <f>$C145*INDEX(Curves!$BF$8:$BF$68,BG$4-$B145+1)</f>
        <v/>
      </c>
      <c r="BH145" s="153">
        <f>$C145*INDEX(Curves!$BF$8:$BF$68,BH$4-$B145+1)</f>
        <v/>
      </c>
      <c r="BI145" s="153">
        <f>$C145*INDEX(Curves!$BF$8:$BF$68,BI$4-$B145+1)</f>
        <v/>
      </c>
      <c r="BJ145" s="153">
        <f>$C145*INDEX(Curves!$BF$8:$BF$68,BJ$4-$B145+1)</f>
        <v/>
      </c>
      <c r="BK145" s="153">
        <f>$C145*INDEX(Curves!$BF$8:$BF$68,BK$4-$B145+1)</f>
        <v/>
      </c>
      <c r="BL145" s="153">
        <f>$C145*INDEX(Curves!$BF$8:$BF$68,BL$4-$B145+1)</f>
        <v/>
      </c>
    </row>
    <row r="146">
      <c r="A146" s="147" t="inlineStr">
        <is>
          <t>Cohort month 11</t>
        </is>
      </c>
      <c r="B146" s="147" t="n">
        <v>11</v>
      </c>
      <c r="C146" s="41">
        <f>INDEX(Ops!$E$110:$BL$110,1,$B146)</f>
        <v/>
      </c>
      <c r="P146" s="153">
        <f>$C146*INDEX(Curves!$BF$8:$BF$68,P$4-$B146+1)</f>
        <v/>
      </c>
      <c r="Q146" s="153">
        <f>$C146*INDEX(Curves!$BF$8:$BF$68,Q$4-$B146+1)</f>
        <v/>
      </c>
      <c r="R146" s="153">
        <f>$C146*INDEX(Curves!$BF$8:$BF$68,R$4-$B146+1)</f>
        <v/>
      </c>
      <c r="S146" s="153">
        <f>$C146*INDEX(Curves!$BF$8:$BF$68,S$4-$B146+1)</f>
        <v/>
      </c>
      <c r="T146" s="153">
        <f>$C146*INDEX(Curves!$BF$8:$BF$68,T$4-$B146+1)</f>
        <v/>
      </c>
      <c r="U146" s="153">
        <f>$C146*INDEX(Curves!$BF$8:$BF$68,U$4-$B146+1)</f>
        <v/>
      </c>
      <c r="V146" s="153">
        <f>$C146*INDEX(Curves!$BF$8:$BF$68,V$4-$B146+1)</f>
        <v/>
      </c>
      <c r="W146" s="153">
        <f>$C146*INDEX(Curves!$BF$8:$BF$68,W$4-$B146+1)</f>
        <v/>
      </c>
      <c r="X146" s="153">
        <f>$C146*INDEX(Curves!$BF$8:$BF$68,X$4-$B146+1)</f>
        <v/>
      </c>
      <c r="Y146" s="153">
        <f>$C146*INDEX(Curves!$BF$8:$BF$68,Y$4-$B146+1)</f>
        <v/>
      </c>
      <c r="Z146" s="153">
        <f>$C146*INDEX(Curves!$BF$8:$BF$68,Z$4-$B146+1)</f>
        <v/>
      </c>
      <c r="AA146" s="153">
        <f>$C146*INDEX(Curves!$BF$8:$BF$68,AA$4-$B146+1)</f>
        <v/>
      </c>
      <c r="AB146" s="153">
        <f>$C146*INDEX(Curves!$BF$8:$BF$68,AB$4-$B146+1)</f>
        <v/>
      </c>
      <c r="AC146" s="153">
        <f>$C146*INDEX(Curves!$BF$8:$BF$68,AC$4-$B146+1)</f>
        <v/>
      </c>
      <c r="AD146" s="153">
        <f>$C146*INDEX(Curves!$BF$8:$BF$68,AD$4-$B146+1)</f>
        <v/>
      </c>
      <c r="AE146" s="153">
        <f>$C146*INDEX(Curves!$BF$8:$BF$68,AE$4-$B146+1)</f>
        <v/>
      </c>
      <c r="AF146" s="153">
        <f>$C146*INDEX(Curves!$BF$8:$BF$68,AF$4-$B146+1)</f>
        <v/>
      </c>
      <c r="AG146" s="153">
        <f>$C146*INDEX(Curves!$BF$8:$BF$68,AG$4-$B146+1)</f>
        <v/>
      </c>
      <c r="AH146" s="153">
        <f>$C146*INDEX(Curves!$BF$8:$BF$68,AH$4-$B146+1)</f>
        <v/>
      </c>
      <c r="AI146" s="153">
        <f>$C146*INDEX(Curves!$BF$8:$BF$68,AI$4-$B146+1)</f>
        <v/>
      </c>
      <c r="AJ146" s="153">
        <f>$C146*INDEX(Curves!$BF$8:$BF$68,AJ$4-$B146+1)</f>
        <v/>
      </c>
      <c r="AK146" s="153">
        <f>$C146*INDEX(Curves!$BF$8:$BF$68,AK$4-$B146+1)</f>
        <v/>
      </c>
      <c r="AL146" s="153">
        <f>$C146*INDEX(Curves!$BF$8:$BF$68,AL$4-$B146+1)</f>
        <v/>
      </c>
      <c r="AM146" s="153">
        <f>$C146*INDEX(Curves!$BF$8:$BF$68,AM$4-$B146+1)</f>
        <v/>
      </c>
      <c r="AN146" s="153">
        <f>$C146*INDEX(Curves!$BF$8:$BF$68,AN$4-$B146+1)</f>
        <v/>
      </c>
      <c r="AO146" s="153">
        <f>$C146*INDEX(Curves!$BF$8:$BF$68,AO$4-$B146+1)</f>
        <v/>
      </c>
      <c r="AP146" s="153">
        <f>$C146*INDEX(Curves!$BF$8:$BF$68,AP$4-$B146+1)</f>
        <v/>
      </c>
      <c r="AQ146" s="153">
        <f>$C146*INDEX(Curves!$BF$8:$BF$68,AQ$4-$B146+1)</f>
        <v/>
      </c>
      <c r="AR146" s="153">
        <f>$C146*INDEX(Curves!$BF$8:$BF$68,AR$4-$B146+1)</f>
        <v/>
      </c>
      <c r="AS146" s="153">
        <f>$C146*INDEX(Curves!$BF$8:$BF$68,AS$4-$B146+1)</f>
        <v/>
      </c>
      <c r="AT146" s="153">
        <f>$C146*INDEX(Curves!$BF$8:$BF$68,AT$4-$B146+1)</f>
        <v/>
      </c>
      <c r="AU146" s="153">
        <f>$C146*INDEX(Curves!$BF$8:$BF$68,AU$4-$B146+1)</f>
        <v/>
      </c>
      <c r="AV146" s="153">
        <f>$C146*INDEX(Curves!$BF$8:$BF$68,AV$4-$B146+1)</f>
        <v/>
      </c>
      <c r="AW146" s="153">
        <f>$C146*INDEX(Curves!$BF$8:$BF$68,AW$4-$B146+1)</f>
        <v/>
      </c>
      <c r="AX146" s="153">
        <f>$C146*INDEX(Curves!$BF$8:$BF$68,AX$4-$B146+1)</f>
        <v/>
      </c>
      <c r="AY146" s="153">
        <f>$C146*INDEX(Curves!$BF$8:$BF$68,AY$4-$B146+1)</f>
        <v/>
      </c>
      <c r="AZ146" s="153">
        <f>$C146*INDEX(Curves!$BF$8:$BF$68,AZ$4-$B146+1)</f>
        <v/>
      </c>
      <c r="BA146" s="153">
        <f>$C146*INDEX(Curves!$BF$8:$BF$68,BA$4-$B146+1)</f>
        <v/>
      </c>
      <c r="BB146" s="153">
        <f>$C146*INDEX(Curves!$BF$8:$BF$68,BB$4-$B146+1)</f>
        <v/>
      </c>
      <c r="BC146" s="153">
        <f>$C146*INDEX(Curves!$BF$8:$BF$68,BC$4-$B146+1)</f>
        <v/>
      </c>
      <c r="BD146" s="153">
        <f>$C146*INDEX(Curves!$BF$8:$BF$68,BD$4-$B146+1)</f>
        <v/>
      </c>
      <c r="BE146" s="153">
        <f>$C146*INDEX(Curves!$BF$8:$BF$68,BE$4-$B146+1)</f>
        <v/>
      </c>
      <c r="BF146" s="153">
        <f>$C146*INDEX(Curves!$BF$8:$BF$68,BF$4-$B146+1)</f>
        <v/>
      </c>
      <c r="BG146" s="153">
        <f>$C146*INDEX(Curves!$BF$8:$BF$68,BG$4-$B146+1)</f>
        <v/>
      </c>
      <c r="BH146" s="153">
        <f>$C146*INDEX(Curves!$BF$8:$BF$68,BH$4-$B146+1)</f>
        <v/>
      </c>
      <c r="BI146" s="153">
        <f>$C146*INDEX(Curves!$BF$8:$BF$68,BI$4-$B146+1)</f>
        <v/>
      </c>
      <c r="BJ146" s="153">
        <f>$C146*INDEX(Curves!$BF$8:$BF$68,BJ$4-$B146+1)</f>
        <v/>
      </c>
      <c r="BK146" s="153">
        <f>$C146*INDEX(Curves!$BF$8:$BF$68,BK$4-$B146+1)</f>
        <v/>
      </c>
      <c r="BL146" s="153">
        <f>$C146*INDEX(Curves!$BF$8:$BF$68,BL$4-$B146+1)</f>
        <v/>
      </c>
    </row>
    <row r="147">
      <c r="A147" s="147" t="inlineStr">
        <is>
          <t>Cohort month 12</t>
        </is>
      </c>
      <c r="B147" s="147" t="n">
        <v>12</v>
      </c>
      <c r="C147" s="41">
        <f>INDEX(Ops!$E$110:$BL$110,1,$B147)</f>
        <v/>
      </c>
      <c r="Q147" s="153">
        <f>$C147*INDEX(Curves!$BF$8:$BF$68,Q$4-$B147+1)</f>
        <v/>
      </c>
      <c r="R147" s="153">
        <f>$C147*INDEX(Curves!$BF$8:$BF$68,R$4-$B147+1)</f>
        <v/>
      </c>
      <c r="S147" s="153">
        <f>$C147*INDEX(Curves!$BF$8:$BF$68,S$4-$B147+1)</f>
        <v/>
      </c>
      <c r="T147" s="153">
        <f>$C147*INDEX(Curves!$BF$8:$BF$68,T$4-$B147+1)</f>
        <v/>
      </c>
      <c r="U147" s="153">
        <f>$C147*INDEX(Curves!$BF$8:$BF$68,U$4-$B147+1)</f>
        <v/>
      </c>
      <c r="V147" s="153">
        <f>$C147*INDEX(Curves!$BF$8:$BF$68,V$4-$B147+1)</f>
        <v/>
      </c>
      <c r="W147" s="153">
        <f>$C147*INDEX(Curves!$BF$8:$BF$68,W$4-$B147+1)</f>
        <v/>
      </c>
      <c r="X147" s="153">
        <f>$C147*INDEX(Curves!$BF$8:$BF$68,X$4-$B147+1)</f>
        <v/>
      </c>
      <c r="Y147" s="153">
        <f>$C147*INDEX(Curves!$BF$8:$BF$68,Y$4-$B147+1)</f>
        <v/>
      </c>
      <c r="Z147" s="153">
        <f>$C147*INDEX(Curves!$BF$8:$BF$68,Z$4-$B147+1)</f>
        <v/>
      </c>
      <c r="AA147" s="153">
        <f>$C147*INDEX(Curves!$BF$8:$BF$68,AA$4-$B147+1)</f>
        <v/>
      </c>
      <c r="AB147" s="153">
        <f>$C147*INDEX(Curves!$BF$8:$BF$68,AB$4-$B147+1)</f>
        <v/>
      </c>
      <c r="AC147" s="153">
        <f>$C147*INDEX(Curves!$BF$8:$BF$68,AC$4-$B147+1)</f>
        <v/>
      </c>
      <c r="AD147" s="153">
        <f>$C147*INDEX(Curves!$BF$8:$BF$68,AD$4-$B147+1)</f>
        <v/>
      </c>
      <c r="AE147" s="153">
        <f>$C147*INDEX(Curves!$BF$8:$BF$68,AE$4-$B147+1)</f>
        <v/>
      </c>
      <c r="AF147" s="153">
        <f>$C147*INDEX(Curves!$BF$8:$BF$68,AF$4-$B147+1)</f>
        <v/>
      </c>
      <c r="AG147" s="153">
        <f>$C147*INDEX(Curves!$BF$8:$BF$68,AG$4-$B147+1)</f>
        <v/>
      </c>
      <c r="AH147" s="153">
        <f>$C147*INDEX(Curves!$BF$8:$BF$68,AH$4-$B147+1)</f>
        <v/>
      </c>
      <c r="AI147" s="153">
        <f>$C147*INDEX(Curves!$BF$8:$BF$68,AI$4-$B147+1)</f>
        <v/>
      </c>
      <c r="AJ147" s="153">
        <f>$C147*INDEX(Curves!$BF$8:$BF$68,AJ$4-$B147+1)</f>
        <v/>
      </c>
      <c r="AK147" s="153">
        <f>$C147*INDEX(Curves!$BF$8:$BF$68,AK$4-$B147+1)</f>
        <v/>
      </c>
      <c r="AL147" s="153">
        <f>$C147*INDEX(Curves!$BF$8:$BF$68,AL$4-$B147+1)</f>
        <v/>
      </c>
      <c r="AM147" s="153">
        <f>$C147*INDEX(Curves!$BF$8:$BF$68,AM$4-$B147+1)</f>
        <v/>
      </c>
      <c r="AN147" s="153">
        <f>$C147*INDEX(Curves!$BF$8:$BF$68,AN$4-$B147+1)</f>
        <v/>
      </c>
      <c r="AO147" s="153">
        <f>$C147*INDEX(Curves!$BF$8:$BF$68,AO$4-$B147+1)</f>
        <v/>
      </c>
      <c r="AP147" s="153">
        <f>$C147*INDEX(Curves!$BF$8:$BF$68,AP$4-$B147+1)</f>
        <v/>
      </c>
      <c r="AQ147" s="153">
        <f>$C147*INDEX(Curves!$BF$8:$BF$68,AQ$4-$B147+1)</f>
        <v/>
      </c>
      <c r="AR147" s="153">
        <f>$C147*INDEX(Curves!$BF$8:$BF$68,AR$4-$B147+1)</f>
        <v/>
      </c>
      <c r="AS147" s="153">
        <f>$C147*INDEX(Curves!$BF$8:$BF$68,AS$4-$B147+1)</f>
        <v/>
      </c>
      <c r="AT147" s="153">
        <f>$C147*INDEX(Curves!$BF$8:$BF$68,AT$4-$B147+1)</f>
        <v/>
      </c>
      <c r="AU147" s="153">
        <f>$C147*INDEX(Curves!$BF$8:$BF$68,AU$4-$B147+1)</f>
        <v/>
      </c>
      <c r="AV147" s="153">
        <f>$C147*INDEX(Curves!$BF$8:$BF$68,AV$4-$B147+1)</f>
        <v/>
      </c>
      <c r="AW147" s="153">
        <f>$C147*INDEX(Curves!$BF$8:$BF$68,AW$4-$B147+1)</f>
        <v/>
      </c>
      <c r="AX147" s="153">
        <f>$C147*INDEX(Curves!$BF$8:$BF$68,AX$4-$B147+1)</f>
        <v/>
      </c>
      <c r="AY147" s="153">
        <f>$C147*INDEX(Curves!$BF$8:$BF$68,AY$4-$B147+1)</f>
        <v/>
      </c>
      <c r="AZ147" s="153">
        <f>$C147*INDEX(Curves!$BF$8:$BF$68,AZ$4-$B147+1)</f>
        <v/>
      </c>
      <c r="BA147" s="153">
        <f>$C147*INDEX(Curves!$BF$8:$BF$68,BA$4-$B147+1)</f>
        <v/>
      </c>
      <c r="BB147" s="153">
        <f>$C147*INDEX(Curves!$BF$8:$BF$68,BB$4-$B147+1)</f>
        <v/>
      </c>
      <c r="BC147" s="153">
        <f>$C147*INDEX(Curves!$BF$8:$BF$68,BC$4-$B147+1)</f>
        <v/>
      </c>
      <c r="BD147" s="153">
        <f>$C147*INDEX(Curves!$BF$8:$BF$68,BD$4-$B147+1)</f>
        <v/>
      </c>
      <c r="BE147" s="153">
        <f>$C147*INDEX(Curves!$BF$8:$BF$68,BE$4-$B147+1)</f>
        <v/>
      </c>
      <c r="BF147" s="153">
        <f>$C147*INDEX(Curves!$BF$8:$BF$68,BF$4-$B147+1)</f>
        <v/>
      </c>
      <c r="BG147" s="153">
        <f>$C147*INDEX(Curves!$BF$8:$BF$68,BG$4-$B147+1)</f>
        <v/>
      </c>
      <c r="BH147" s="153">
        <f>$C147*INDEX(Curves!$BF$8:$BF$68,BH$4-$B147+1)</f>
        <v/>
      </c>
      <c r="BI147" s="153">
        <f>$C147*INDEX(Curves!$BF$8:$BF$68,BI$4-$B147+1)</f>
        <v/>
      </c>
      <c r="BJ147" s="153">
        <f>$C147*INDEX(Curves!$BF$8:$BF$68,BJ$4-$B147+1)</f>
        <v/>
      </c>
      <c r="BK147" s="153">
        <f>$C147*INDEX(Curves!$BF$8:$BF$68,BK$4-$B147+1)</f>
        <v/>
      </c>
      <c r="BL147" s="153">
        <f>$C147*INDEX(Curves!$BF$8:$BF$68,BL$4-$B147+1)</f>
        <v/>
      </c>
    </row>
    <row r="148">
      <c r="A148" s="147" t="inlineStr">
        <is>
          <t>Cohort month 13</t>
        </is>
      </c>
      <c r="B148" s="147" t="n">
        <v>13</v>
      </c>
      <c r="C148" s="41">
        <f>INDEX(Ops!$E$110:$BL$110,1,$B148)</f>
        <v/>
      </c>
      <c r="R148" s="153">
        <f>$C148*INDEX(Curves!$BF$8:$BF$68,R$4-$B148+1)</f>
        <v/>
      </c>
      <c r="S148" s="153">
        <f>$C148*INDEX(Curves!$BF$8:$BF$68,S$4-$B148+1)</f>
        <v/>
      </c>
      <c r="T148" s="153">
        <f>$C148*INDEX(Curves!$BF$8:$BF$68,T$4-$B148+1)</f>
        <v/>
      </c>
      <c r="U148" s="153">
        <f>$C148*INDEX(Curves!$BF$8:$BF$68,U$4-$B148+1)</f>
        <v/>
      </c>
      <c r="V148" s="153">
        <f>$C148*INDEX(Curves!$BF$8:$BF$68,V$4-$B148+1)</f>
        <v/>
      </c>
      <c r="W148" s="153">
        <f>$C148*INDEX(Curves!$BF$8:$BF$68,W$4-$B148+1)</f>
        <v/>
      </c>
      <c r="X148" s="153">
        <f>$C148*INDEX(Curves!$BF$8:$BF$68,X$4-$B148+1)</f>
        <v/>
      </c>
      <c r="Y148" s="153">
        <f>$C148*INDEX(Curves!$BF$8:$BF$68,Y$4-$B148+1)</f>
        <v/>
      </c>
      <c r="Z148" s="153">
        <f>$C148*INDEX(Curves!$BF$8:$BF$68,Z$4-$B148+1)</f>
        <v/>
      </c>
      <c r="AA148" s="153">
        <f>$C148*INDEX(Curves!$BF$8:$BF$68,AA$4-$B148+1)</f>
        <v/>
      </c>
      <c r="AB148" s="153">
        <f>$C148*INDEX(Curves!$BF$8:$BF$68,AB$4-$B148+1)</f>
        <v/>
      </c>
      <c r="AC148" s="153">
        <f>$C148*INDEX(Curves!$BF$8:$BF$68,AC$4-$B148+1)</f>
        <v/>
      </c>
      <c r="AD148" s="153">
        <f>$C148*INDEX(Curves!$BF$8:$BF$68,AD$4-$B148+1)</f>
        <v/>
      </c>
      <c r="AE148" s="153">
        <f>$C148*INDEX(Curves!$BF$8:$BF$68,AE$4-$B148+1)</f>
        <v/>
      </c>
      <c r="AF148" s="153">
        <f>$C148*INDEX(Curves!$BF$8:$BF$68,AF$4-$B148+1)</f>
        <v/>
      </c>
      <c r="AG148" s="153">
        <f>$C148*INDEX(Curves!$BF$8:$BF$68,AG$4-$B148+1)</f>
        <v/>
      </c>
      <c r="AH148" s="153">
        <f>$C148*INDEX(Curves!$BF$8:$BF$68,AH$4-$B148+1)</f>
        <v/>
      </c>
      <c r="AI148" s="153">
        <f>$C148*INDEX(Curves!$BF$8:$BF$68,AI$4-$B148+1)</f>
        <v/>
      </c>
      <c r="AJ148" s="153">
        <f>$C148*INDEX(Curves!$BF$8:$BF$68,AJ$4-$B148+1)</f>
        <v/>
      </c>
      <c r="AK148" s="153">
        <f>$C148*INDEX(Curves!$BF$8:$BF$68,AK$4-$B148+1)</f>
        <v/>
      </c>
      <c r="AL148" s="153">
        <f>$C148*INDEX(Curves!$BF$8:$BF$68,AL$4-$B148+1)</f>
        <v/>
      </c>
      <c r="AM148" s="153">
        <f>$C148*INDEX(Curves!$BF$8:$BF$68,AM$4-$B148+1)</f>
        <v/>
      </c>
      <c r="AN148" s="153">
        <f>$C148*INDEX(Curves!$BF$8:$BF$68,AN$4-$B148+1)</f>
        <v/>
      </c>
      <c r="AO148" s="153">
        <f>$C148*INDEX(Curves!$BF$8:$BF$68,AO$4-$B148+1)</f>
        <v/>
      </c>
      <c r="AP148" s="153">
        <f>$C148*INDEX(Curves!$BF$8:$BF$68,AP$4-$B148+1)</f>
        <v/>
      </c>
      <c r="AQ148" s="153">
        <f>$C148*INDEX(Curves!$BF$8:$BF$68,AQ$4-$B148+1)</f>
        <v/>
      </c>
      <c r="AR148" s="153">
        <f>$C148*INDEX(Curves!$BF$8:$BF$68,AR$4-$B148+1)</f>
        <v/>
      </c>
      <c r="AS148" s="153">
        <f>$C148*INDEX(Curves!$BF$8:$BF$68,AS$4-$B148+1)</f>
        <v/>
      </c>
      <c r="AT148" s="153">
        <f>$C148*INDEX(Curves!$BF$8:$BF$68,AT$4-$B148+1)</f>
        <v/>
      </c>
      <c r="AU148" s="153">
        <f>$C148*INDEX(Curves!$BF$8:$BF$68,AU$4-$B148+1)</f>
        <v/>
      </c>
      <c r="AV148" s="153">
        <f>$C148*INDEX(Curves!$BF$8:$BF$68,AV$4-$B148+1)</f>
        <v/>
      </c>
      <c r="AW148" s="153">
        <f>$C148*INDEX(Curves!$BF$8:$BF$68,AW$4-$B148+1)</f>
        <v/>
      </c>
      <c r="AX148" s="153">
        <f>$C148*INDEX(Curves!$BF$8:$BF$68,AX$4-$B148+1)</f>
        <v/>
      </c>
      <c r="AY148" s="153">
        <f>$C148*INDEX(Curves!$BF$8:$BF$68,AY$4-$B148+1)</f>
        <v/>
      </c>
      <c r="AZ148" s="153">
        <f>$C148*INDEX(Curves!$BF$8:$BF$68,AZ$4-$B148+1)</f>
        <v/>
      </c>
      <c r="BA148" s="153">
        <f>$C148*INDEX(Curves!$BF$8:$BF$68,BA$4-$B148+1)</f>
        <v/>
      </c>
      <c r="BB148" s="153">
        <f>$C148*INDEX(Curves!$BF$8:$BF$68,BB$4-$B148+1)</f>
        <v/>
      </c>
      <c r="BC148" s="153">
        <f>$C148*INDEX(Curves!$BF$8:$BF$68,BC$4-$B148+1)</f>
        <v/>
      </c>
      <c r="BD148" s="153">
        <f>$C148*INDEX(Curves!$BF$8:$BF$68,BD$4-$B148+1)</f>
        <v/>
      </c>
      <c r="BE148" s="153">
        <f>$C148*INDEX(Curves!$BF$8:$BF$68,BE$4-$B148+1)</f>
        <v/>
      </c>
      <c r="BF148" s="153">
        <f>$C148*INDEX(Curves!$BF$8:$BF$68,BF$4-$B148+1)</f>
        <v/>
      </c>
      <c r="BG148" s="153">
        <f>$C148*INDEX(Curves!$BF$8:$BF$68,BG$4-$B148+1)</f>
        <v/>
      </c>
      <c r="BH148" s="153">
        <f>$C148*INDEX(Curves!$BF$8:$BF$68,BH$4-$B148+1)</f>
        <v/>
      </c>
      <c r="BI148" s="153">
        <f>$C148*INDEX(Curves!$BF$8:$BF$68,BI$4-$B148+1)</f>
        <v/>
      </c>
      <c r="BJ148" s="153">
        <f>$C148*INDEX(Curves!$BF$8:$BF$68,BJ$4-$B148+1)</f>
        <v/>
      </c>
      <c r="BK148" s="153">
        <f>$C148*INDEX(Curves!$BF$8:$BF$68,BK$4-$B148+1)</f>
        <v/>
      </c>
      <c r="BL148" s="153">
        <f>$C148*INDEX(Curves!$BF$8:$BF$68,BL$4-$B148+1)</f>
        <v/>
      </c>
    </row>
    <row r="149">
      <c r="A149" s="147" t="inlineStr">
        <is>
          <t>Cohort month 14</t>
        </is>
      </c>
      <c r="B149" s="147" t="n">
        <v>14</v>
      </c>
      <c r="C149" s="41">
        <f>INDEX(Ops!$E$110:$BL$110,1,$B149)</f>
        <v/>
      </c>
      <c r="S149" s="153">
        <f>$C149*INDEX(Curves!$BF$8:$BF$68,S$4-$B149+1)</f>
        <v/>
      </c>
      <c r="T149" s="153">
        <f>$C149*INDEX(Curves!$BF$8:$BF$68,T$4-$B149+1)</f>
        <v/>
      </c>
      <c r="U149" s="153">
        <f>$C149*INDEX(Curves!$BF$8:$BF$68,U$4-$B149+1)</f>
        <v/>
      </c>
      <c r="V149" s="153">
        <f>$C149*INDEX(Curves!$BF$8:$BF$68,V$4-$B149+1)</f>
        <v/>
      </c>
      <c r="W149" s="153">
        <f>$C149*INDEX(Curves!$BF$8:$BF$68,W$4-$B149+1)</f>
        <v/>
      </c>
      <c r="X149" s="153">
        <f>$C149*INDEX(Curves!$BF$8:$BF$68,X$4-$B149+1)</f>
        <v/>
      </c>
      <c r="Y149" s="153">
        <f>$C149*INDEX(Curves!$BF$8:$BF$68,Y$4-$B149+1)</f>
        <v/>
      </c>
      <c r="Z149" s="153">
        <f>$C149*INDEX(Curves!$BF$8:$BF$68,Z$4-$B149+1)</f>
        <v/>
      </c>
      <c r="AA149" s="153">
        <f>$C149*INDEX(Curves!$BF$8:$BF$68,AA$4-$B149+1)</f>
        <v/>
      </c>
      <c r="AB149" s="153">
        <f>$C149*INDEX(Curves!$BF$8:$BF$68,AB$4-$B149+1)</f>
        <v/>
      </c>
      <c r="AC149" s="153">
        <f>$C149*INDEX(Curves!$BF$8:$BF$68,AC$4-$B149+1)</f>
        <v/>
      </c>
      <c r="AD149" s="153">
        <f>$C149*INDEX(Curves!$BF$8:$BF$68,AD$4-$B149+1)</f>
        <v/>
      </c>
      <c r="AE149" s="153">
        <f>$C149*INDEX(Curves!$BF$8:$BF$68,AE$4-$B149+1)</f>
        <v/>
      </c>
      <c r="AF149" s="153">
        <f>$C149*INDEX(Curves!$BF$8:$BF$68,AF$4-$B149+1)</f>
        <v/>
      </c>
      <c r="AG149" s="153">
        <f>$C149*INDEX(Curves!$BF$8:$BF$68,AG$4-$B149+1)</f>
        <v/>
      </c>
      <c r="AH149" s="153">
        <f>$C149*INDEX(Curves!$BF$8:$BF$68,AH$4-$B149+1)</f>
        <v/>
      </c>
      <c r="AI149" s="153">
        <f>$C149*INDEX(Curves!$BF$8:$BF$68,AI$4-$B149+1)</f>
        <v/>
      </c>
      <c r="AJ149" s="153">
        <f>$C149*INDEX(Curves!$BF$8:$BF$68,AJ$4-$B149+1)</f>
        <v/>
      </c>
      <c r="AK149" s="153">
        <f>$C149*INDEX(Curves!$BF$8:$BF$68,AK$4-$B149+1)</f>
        <v/>
      </c>
      <c r="AL149" s="153">
        <f>$C149*INDEX(Curves!$BF$8:$BF$68,AL$4-$B149+1)</f>
        <v/>
      </c>
      <c r="AM149" s="153">
        <f>$C149*INDEX(Curves!$BF$8:$BF$68,AM$4-$B149+1)</f>
        <v/>
      </c>
      <c r="AN149" s="153">
        <f>$C149*INDEX(Curves!$BF$8:$BF$68,AN$4-$B149+1)</f>
        <v/>
      </c>
      <c r="AO149" s="153">
        <f>$C149*INDEX(Curves!$BF$8:$BF$68,AO$4-$B149+1)</f>
        <v/>
      </c>
      <c r="AP149" s="153">
        <f>$C149*INDEX(Curves!$BF$8:$BF$68,AP$4-$B149+1)</f>
        <v/>
      </c>
      <c r="AQ149" s="153">
        <f>$C149*INDEX(Curves!$BF$8:$BF$68,AQ$4-$B149+1)</f>
        <v/>
      </c>
      <c r="AR149" s="153">
        <f>$C149*INDEX(Curves!$BF$8:$BF$68,AR$4-$B149+1)</f>
        <v/>
      </c>
      <c r="AS149" s="153">
        <f>$C149*INDEX(Curves!$BF$8:$BF$68,AS$4-$B149+1)</f>
        <v/>
      </c>
      <c r="AT149" s="153">
        <f>$C149*INDEX(Curves!$BF$8:$BF$68,AT$4-$B149+1)</f>
        <v/>
      </c>
      <c r="AU149" s="153">
        <f>$C149*INDEX(Curves!$BF$8:$BF$68,AU$4-$B149+1)</f>
        <v/>
      </c>
      <c r="AV149" s="153">
        <f>$C149*INDEX(Curves!$BF$8:$BF$68,AV$4-$B149+1)</f>
        <v/>
      </c>
      <c r="AW149" s="153">
        <f>$C149*INDEX(Curves!$BF$8:$BF$68,AW$4-$B149+1)</f>
        <v/>
      </c>
      <c r="AX149" s="153">
        <f>$C149*INDEX(Curves!$BF$8:$BF$68,AX$4-$B149+1)</f>
        <v/>
      </c>
      <c r="AY149" s="153">
        <f>$C149*INDEX(Curves!$BF$8:$BF$68,AY$4-$B149+1)</f>
        <v/>
      </c>
      <c r="AZ149" s="153">
        <f>$C149*INDEX(Curves!$BF$8:$BF$68,AZ$4-$B149+1)</f>
        <v/>
      </c>
      <c r="BA149" s="153">
        <f>$C149*INDEX(Curves!$BF$8:$BF$68,BA$4-$B149+1)</f>
        <v/>
      </c>
      <c r="BB149" s="153">
        <f>$C149*INDEX(Curves!$BF$8:$BF$68,BB$4-$B149+1)</f>
        <v/>
      </c>
      <c r="BC149" s="153">
        <f>$C149*INDEX(Curves!$BF$8:$BF$68,BC$4-$B149+1)</f>
        <v/>
      </c>
      <c r="BD149" s="153">
        <f>$C149*INDEX(Curves!$BF$8:$BF$68,BD$4-$B149+1)</f>
        <v/>
      </c>
      <c r="BE149" s="153">
        <f>$C149*INDEX(Curves!$BF$8:$BF$68,BE$4-$B149+1)</f>
        <v/>
      </c>
      <c r="BF149" s="153">
        <f>$C149*INDEX(Curves!$BF$8:$BF$68,BF$4-$B149+1)</f>
        <v/>
      </c>
      <c r="BG149" s="153">
        <f>$C149*INDEX(Curves!$BF$8:$BF$68,BG$4-$B149+1)</f>
        <v/>
      </c>
      <c r="BH149" s="153">
        <f>$C149*INDEX(Curves!$BF$8:$BF$68,BH$4-$B149+1)</f>
        <v/>
      </c>
      <c r="BI149" s="153">
        <f>$C149*INDEX(Curves!$BF$8:$BF$68,BI$4-$B149+1)</f>
        <v/>
      </c>
      <c r="BJ149" s="153">
        <f>$C149*INDEX(Curves!$BF$8:$BF$68,BJ$4-$B149+1)</f>
        <v/>
      </c>
      <c r="BK149" s="153">
        <f>$C149*INDEX(Curves!$BF$8:$BF$68,BK$4-$B149+1)</f>
        <v/>
      </c>
      <c r="BL149" s="153">
        <f>$C149*INDEX(Curves!$BF$8:$BF$68,BL$4-$B149+1)</f>
        <v/>
      </c>
    </row>
    <row r="150">
      <c r="A150" s="147" t="inlineStr">
        <is>
          <t>Cohort month 15</t>
        </is>
      </c>
      <c r="B150" s="147" t="n">
        <v>15</v>
      </c>
      <c r="C150" s="41">
        <f>INDEX(Ops!$E$110:$BL$110,1,$B150)</f>
        <v/>
      </c>
      <c r="T150" s="153">
        <f>$C150*INDEX(Curves!$BF$8:$BF$68,T$4-$B150+1)</f>
        <v/>
      </c>
      <c r="U150" s="153">
        <f>$C150*INDEX(Curves!$BF$8:$BF$68,U$4-$B150+1)</f>
        <v/>
      </c>
      <c r="V150" s="153">
        <f>$C150*INDEX(Curves!$BF$8:$BF$68,V$4-$B150+1)</f>
        <v/>
      </c>
      <c r="W150" s="153">
        <f>$C150*INDEX(Curves!$BF$8:$BF$68,W$4-$B150+1)</f>
        <v/>
      </c>
      <c r="X150" s="153">
        <f>$C150*INDEX(Curves!$BF$8:$BF$68,X$4-$B150+1)</f>
        <v/>
      </c>
      <c r="Y150" s="153">
        <f>$C150*INDEX(Curves!$BF$8:$BF$68,Y$4-$B150+1)</f>
        <v/>
      </c>
      <c r="Z150" s="153">
        <f>$C150*INDEX(Curves!$BF$8:$BF$68,Z$4-$B150+1)</f>
        <v/>
      </c>
      <c r="AA150" s="153">
        <f>$C150*INDEX(Curves!$BF$8:$BF$68,AA$4-$B150+1)</f>
        <v/>
      </c>
      <c r="AB150" s="153">
        <f>$C150*INDEX(Curves!$BF$8:$BF$68,AB$4-$B150+1)</f>
        <v/>
      </c>
      <c r="AC150" s="153">
        <f>$C150*INDEX(Curves!$BF$8:$BF$68,AC$4-$B150+1)</f>
        <v/>
      </c>
      <c r="AD150" s="153">
        <f>$C150*INDEX(Curves!$BF$8:$BF$68,AD$4-$B150+1)</f>
        <v/>
      </c>
      <c r="AE150" s="153">
        <f>$C150*INDEX(Curves!$BF$8:$BF$68,AE$4-$B150+1)</f>
        <v/>
      </c>
      <c r="AF150" s="153">
        <f>$C150*INDEX(Curves!$BF$8:$BF$68,AF$4-$B150+1)</f>
        <v/>
      </c>
      <c r="AG150" s="153">
        <f>$C150*INDEX(Curves!$BF$8:$BF$68,AG$4-$B150+1)</f>
        <v/>
      </c>
      <c r="AH150" s="153">
        <f>$C150*INDEX(Curves!$BF$8:$BF$68,AH$4-$B150+1)</f>
        <v/>
      </c>
      <c r="AI150" s="153">
        <f>$C150*INDEX(Curves!$BF$8:$BF$68,AI$4-$B150+1)</f>
        <v/>
      </c>
      <c r="AJ150" s="153">
        <f>$C150*INDEX(Curves!$BF$8:$BF$68,AJ$4-$B150+1)</f>
        <v/>
      </c>
      <c r="AK150" s="153">
        <f>$C150*INDEX(Curves!$BF$8:$BF$68,AK$4-$B150+1)</f>
        <v/>
      </c>
      <c r="AL150" s="153">
        <f>$C150*INDEX(Curves!$BF$8:$BF$68,AL$4-$B150+1)</f>
        <v/>
      </c>
      <c r="AM150" s="153">
        <f>$C150*INDEX(Curves!$BF$8:$BF$68,AM$4-$B150+1)</f>
        <v/>
      </c>
      <c r="AN150" s="153">
        <f>$C150*INDEX(Curves!$BF$8:$BF$68,AN$4-$B150+1)</f>
        <v/>
      </c>
      <c r="AO150" s="153">
        <f>$C150*INDEX(Curves!$BF$8:$BF$68,AO$4-$B150+1)</f>
        <v/>
      </c>
      <c r="AP150" s="153">
        <f>$C150*INDEX(Curves!$BF$8:$BF$68,AP$4-$B150+1)</f>
        <v/>
      </c>
      <c r="AQ150" s="153">
        <f>$C150*INDEX(Curves!$BF$8:$BF$68,AQ$4-$B150+1)</f>
        <v/>
      </c>
      <c r="AR150" s="153">
        <f>$C150*INDEX(Curves!$BF$8:$BF$68,AR$4-$B150+1)</f>
        <v/>
      </c>
      <c r="AS150" s="153">
        <f>$C150*INDEX(Curves!$BF$8:$BF$68,AS$4-$B150+1)</f>
        <v/>
      </c>
      <c r="AT150" s="153">
        <f>$C150*INDEX(Curves!$BF$8:$BF$68,AT$4-$B150+1)</f>
        <v/>
      </c>
      <c r="AU150" s="153">
        <f>$C150*INDEX(Curves!$BF$8:$BF$68,AU$4-$B150+1)</f>
        <v/>
      </c>
      <c r="AV150" s="153">
        <f>$C150*INDEX(Curves!$BF$8:$BF$68,AV$4-$B150+1)</f>
        <v/>
      </c>
      <c r="AW150" s="153">
        <f>$C150*INDEX(Curves!$BF$8:$BF$68,AW$4-$B150+1)</f>
        <v/>
      </c>
      <c r="AX150" s="153">
        <f>$C150*INDEX(Curves!$BF$8:$BF$68,AX$4-$B150+1)</f>
        <v/>
      </c>
      <c r="AY150" s="153">
        <f>$C150*INDEX(Curves!$BF$8:$BF$68,AY$4-$B150+1)</f>
        <v/>
      </c>
      <c r="AZ150" s="153">
        <f>$C150*INDEX(Curves!$BF$8:$BF$68,AZ$4-$B150+1)</f>
        <v/>
      </c>
      <c r="BA150" s="153">
        <f>$C150*INDEX(Curves!$BF$8:$BF$68,BA$4-$B150+1)</f>
        <v/>
      </c>
      <c r="BB150" s="153">
        <f>$C150*INDEX(Curves!$BF$8:$BF$68,BB$4-$B150+1)</f>
        <v/>
      </c>
      <c r="BC150" s="153">
        <f>$C150*INDEX(Curves!$BF$8:$BF$68,BC$4-$B150+1)</f>
        <v/>
      </c>
      <c r="BD150" s="153">
        <f>$C150*INDEX(Curves!$BF$8:$BF$68,BD$4-$B150+1)</f>
        <v/>
      </c>
      <c r="BE150" s="153">
        <f>$C150*INDEX(Curves!$BF$8:$BF$68,BE$4-$B150+1)</f>
        <v/>
      </c>
      <c r="BF150" s="153">
        <f>$C150*INDEX(Curves!$BF$8:$BF$68,BF$4-$B150+1)</f>
        <v/>
      </c>
      <c r="BG150" s="153">
        <f>$C150*INDEX(Curves!$BF$8:$BF$68,BG$4-$B150+1)</f>
        <v/>
      </c>
      <c r="BH150" s="153">
        <f>$C150*INDEX(Curves!$BF$8:$BF$68,BH$4-$B150+1)</f>
        <v/>
      </c>
      <c r="BI150" s="153">
        <f>$C150*INDEX(Curves!$BF$8:$BF$68,BI$4-$B150+1)</f>
        <v/>
      </c>
      <c r="BJ150" s="153">
        <f>$C150*INDEX(Curves!$BF$8:$BF$68,BJ$4-$B150+1)</f>
        <v/>
      </c>
      <c r="BK150" s="153">
        <f>$C150*INDEX(Curves!$BF$8:$BF$68,BK$4-$B150+1)</f>
        <v/>
      </c>
      <c r="BL150" s="153">
        <f>$C150*INDEX(Curves!$BF$8:$BF$68,BL$4-$B150+1)</f>
        <v/>
      </c>
    </row>
    <row r="151">
      <c r="A151" s="147" t="inlineStr">
        <is>
          <t>Cohort month 16</t>
        </is>
      </c>
      <c r="B151" s="147" t="n">
        <v>16</v>
      </c>
      <c r="C151" s="41">
        <f>INDEX(Ops!$E$110:$BL$110,1,$B151)</f>
        <v/>
      </c>
      <c r="U151" s="153">
        <f>$C151*INDEX(Curves!$BF$8:$BF$68,U$4-$B151+1)</f>
        <v/>
      </c>
      <c r="V151" s="153">
        <f>$C151*INDEX(Curves!$BF$8:$BF$68,V$4-$B151+1)</f>
        <v/>
      </c>
      <c r="W151" s="153">
        <f>$C151*INDEX(Curves!$BF$8:$BF$68,W$4-$B151+1)</f>
        <v/>
      </c>
      <c r="X151" s="153">
        <f>$C151*INDEX(Curves!$BF$8:$BF$68,X$4-$B151+1)</f>
        <v/>
      </c>
      <c r="Y151" s="153">
        <f>$C151*INDEX(Curves!$BF$8:$BF$68,Y$4-$B151+1)</f>
        <v/>
      </c>
      <c r="Z151" s="153">
        <f>$C151*INDEX(Curves!$BF$8:$BF$68,Z$4-$B151+1)</f>
        <v/>
      </c>
      <c r="AA151" s="153">
        <f>$C151*INDEX(Curves!$BF$8:$BF$68,AA$4-$B151+1)</f>
        <v/>
      </c>
      <c r="AB151" s="153">
        <f>$C151*INDEX(Curves!$BF$8:$BF$68,AB$4-$B151+1)</f>
        <v/>
      </c>
      <c r="AC151" s="153">
        <f>$C151*INDEX(Curves!$BF$8:$BF$68,AC$4-$B151+1)</f>
        <v/>
      </c>
      <c r="AD151" s="153">
        <f>$C151*INDEX(Curves!$BF$8:$BF$68,AD$4-$B151+1)</f>
        <v/>
      </c>
      <c r="AE151" s="153">
        <f>$C151*INDEX(Curves!$BF$8:$BF$68,AE$4-$B151+1)</f>
        <v/>
      </c>
      <c r="AF151" s="153">
        <f>$C151*INDEX(Curves!$BF$8:$BF$68,AF$4-$B151+1)</f>
        <v/>
      </c>
      <c r="AG151" s="153">
        <f>$C151*INDEX(Curves!$BF$8:$BF$68,AG$4-$B151+1)</f>
        <v/>
      </c>
      <c r="AH151" s="153">
        <f>$C151*INDEX(Curves!$BF$8:$BF$68,AH$4-$B151+1)</f>
        <v/>
      </c>
      <c r="AI151" s="153">
        <f>$C151*INDEX(Curves!$BF$8:$BF$68,AI$4-$B151+1)</f>
        <v/>
      </c>
      <c r="AJ151" s="153">
        <f>$C151*INDEX(Curves!$BF$8:$BF$68,AJ$4-$B151+1)</f>
        <v/>
      </c>
      <c r="AK151" s="153">
        <f>$C151*INDEX(Curves!$BF$8:$BF$68,AK$4-$B151+1)</f>
        <v/>
      </c>
      <c r="AL151" s="153">
        <f>$C151*INDEX(Curves!$BF$8:$BF$68,AL$4-$B151+1)</f>
        <v/>
      </c>
      <c r="AM151" s="153">
        <f>$C151*INDEX(Curves!$BF$8:$BF$68,AM$4-$B151+1)</f>
        <v/>
      </c>
      <c r="AN151" s="153">
        <f>$C151*INDEX(Curves!$BF$8:$BF$68,AN$4-$B151+1)</f>
        <v/>
      </c>
      <c r="AO151" s="153">
        <f>$C151*INDEX(Curves!$BF$8:$BF$68,AO$4-$B151+1)</f>
        <v/>
      </c>
      <c r="AP151" s="153">
        <f>$C151*INDEX(Curves!$BF$8:$BF$68,AP$4-$B151+1)</f>
        <v/>
      </c>
      <c r="AQ151" s="153">
        <f>$C151*INDEX(Curves!$BF$8:$BF$68,AQ$4-$B151+1)</f>
        <v/>
      </c>
      <c r="AR151" s="153">
        <f>$C151*INDEX(Curves!$BF$8:$BF$68,AR$4-$B151+1)</f>
        <v/>
      </c>
      <c r="AS151" s="153">
        <f>$C151*INDEX(Curves!$BF$8:$BF$68,AS$4-$B151+1)</f>
        <v/>
      </c>
      <c r="AT151" s="153">
        <f>$C151*INDEX(Curves!$BF$8:$BF$68,AT$4-$B151+1)</f>
        <v/>
      </c>
      <c r="AU151" s="153">
        <f>$C151*INDEX(Curves!$BF$8:$BF$68,AU$4-$B151+1)</f>
        <v/>
      </c>
      <c r="AV151" s="153">
        <f>$C151*INDEX(Curves!$BF$8:$BF$68,AV$4-$B151+1)</f>
        <v/>
      </c>
      <c r="AW151" s="153">
        <f>$C151*INDEX(Curves!$BF$8:$BF$68,AW$4-$B151+1)</f>
        <v/>
      </c>
      <c r="AX151" s="153">
        <f>$C151*INDEX(Curves!$BF$8:$BF$68,AX$4-$B151+1)</f>
        <v/>
      </c>
      <c r="AY151" s="153">
        <f>$C151*INDEX(Curves!$BF$8:$BF$68,AY$4-$B151+1)</f>
        <v/>
      </c>
      <c r="AZ151" s="153">
        <f>$C151*INDEX(Curves!$BF$8:$BF$68,AZ$4-$B151+1)</f>
        <v/>
      </c>
      <c r="BA151" s="153">
        <f>$C151*INDEX(Curves!$BF$8:$BF$68,BA$4-$B151+1)</f>
        <v/>
      </c>
      <c r="BB151" s="153">
        <f>$C151*INDEX(Curves!$BF$8:$BF$68,BB$4-$B151+1)</f>
        <v/>
      </c>
      <c r="BC151" s="153">
        <f>$C151*INDEX(Curves!$BF$8:$BF$68,BC$4-$B151+1)</f>
        <v/>
      </c>
      <c r="BD151" s="153">
        <f>$C151*INDEX(Curves!$BF$8:$BF$68,BD$4-$B151+1)</f>
        <v/>
      </c>
      <c r="BE151" s="153">
        <f>$C151*INDEX(Curves!$BF$8:$BF$68,BE$4-$B151+1)</f>
        <v/>
      </c>
      <c r="BF151" s="153">
        <f>$C151*INDEX(Curves!$BF$8:$BF$68,BF$4-$B151+1)</f>
        <v/>
      </c>
      <c r="BG151" s="153">
        <f>$C151*INDEX(Curves!$BF$8:$BF$68,BG$4-$B151+1)</f>
        <v/>
      </c>
      <c r="BH151" s="153">
        <f>$C151*INDEX(Curves!$BF$8:$BF$68,BH$4-$B151+1)</f>
        <v/>
      </c>
      <c r="BI151" s="153">
        <f>$C151*INDEX(Curves!$BF$8:$BF$68,BI$4-$B151+1)</f>
        <v/>
      </c>
      <c r="BJ151" s="153">
        <f>$C151*INDEX(Curves!$BF$8:$BF$68,BJ$4-$B151+1)</f>
        <v/>
      </c>
      <c r="BK151" s="153">
        <f>$C151*INDEX(Curves!$BF$8:$BF$68,BK$4-$B151+1)</f>
        <v/>
      </c>
      <c r="BL151" s="153">
        <f>$C151*INDEX(Curves!$BF$8:$BF$68,BL$4-$B151+1)</f>
        <v/>
      </c>
    </row>
    <row r="152">
      <c r="A152" s="147" t="inlineStr">
        <is>
          <t>Cohort month 17</t>
        </is>
      </c>
      <c r="B152" s="147" t="n">
        <v>17</v>
      </c>
      <c r="C152" s="41">
        <f>INDEX(Ops!$E$110:$BL$110,1,$B152)</f>
        <v/>
      </c>
      <c r="V152" s="153">
        <f>$C152*INDEX(Curves!$BF$8:$BF$68,V$4-$B152+1)</f>
        <v/>
      </c>
      <c r="W152" s="153">
        <f>$C152*INDEX(Curves!$BF$8:$BF$68,W$4-$B152+1)</f>
        <v/>
      </c>
      <c r="X152" s="153">
        <f>$C152*INDEX(Curves!$BF$8:$BF$68,X$4-$B152+1)</f>
        <v/>
      </c>
      <c r="Y152" s="153">
        <f>$C152*INDEX(Curves!$BF$8:$BF$68,Y$4-$B152+1)</f>
        <v/>
      </c>
      <c r="Z152" s="153">
        <f>$C152*INDEX(Curves!$BF$8:$BF$68,Z$4-$B152+1)</f>
        <v/>
      </c>
      <c r="AA152" s="153">
        <f>$C152*INDEX(Curves!$BF$8:$BF$68,AA$4-$B152+1)</f>
        <v/>
      </c>
      <c r="AB152" s="153">
        <f>$C152*INDEX(Curves!$BF$8:$BF$68,AB$4-$B152+1)</f>
        <v/>
      </c>
      <c r="AC152" s="153">
        <f>$C152*INDEX(Curves!$BF$8:$BF$68,AC$4-$B152+1)</f>
        <v/>
      </c>
      <c r="AD152" s="153">
        <f>$C152*INDEX(Curves!$BF$8:$BF$68,AD$4-$B152+1)</f>
        <v/>
      </c>
      <c r="AE152" s="153">
        <f>$C152*INDEX(Curves!$BF$8:$BF$68,AE$4-$B152+1)</f>
        <v/>
      </c>
      <c r="AF152" s="153">
        <f>$C152*INDEX(Curves!$BF$8:$BF$68,AF$4-$B152+1)</f>
        <v/>
      </c>
      <c r="AG152" s="153">
        <f>$C152*INDEX(Curves!$BF$8:$BF$68,AG$4-$B152+1)</f>
        <v/>
      </c>
      <c r="AH152" s="153">
        <f>$C152*INDEX(Curves!$BF$8:$BF$68,AH$4-$B152+1)</f>
        <v/>
      </c>
      <c r="AI152" s="153">
        <f>$C152*INDEX(Curves!$BF$8:$BF$68,AI$4-$B152+1)</f>
        <v/>
      </c>
      <c r="AJ152" s="153">
        <f>$C152*INDEX(Curves!$BF$8:$BF$68,AJ$4-$B152+1)</f>
        <v/>
      </c>
      <c r="AK152" s="153">
        <f>$C152*INDEX(Curves!$BF$8:$BF$68,AK$4-$B152+1)</f>
        <v/>
      </c>
      <c r="AL152" s="153">
        <f>$C152*INDEX(Curves!$BF$8:$BF$68,AL$4-$B152+1)</f>
        <v/>
      </c>
      <c r="AM152" s="153">
        <f>$C152*INDEX(Curves!$BF$8:$BF$68,AM$4-$B152+1)</f>
        <v/>
      </c>
      <c r="AN152" s="153">
        <f>$C152*INDEX(Curves!$BF$8:$BF$68,AN$4-$B152+1)</f>
        <v/>
      </c>
      <c r="AO152" s="153">
        <f>$C152*INDEX(Curves!$BF$8:$BF$68,AO$4-$B152+1)</f>
        <v/>
      </c>
      <c r="AP152" s="153">
        <f>$C152*INDEX(Curves!$BF$8:$BF$68,AP$4-$B152+1)</f>
        <v/>
      </c>
      <c r="AQ152" s="153">
        <f>$C152*INDEX(Curves!$BF$8:$BF$68,AQ$4-$B152+1)</f>
        <v/>
      </c>
      <c r="AR152" s="153">
        <f>$C152*INDEX(Curves!$BF$8:$BF$68,AR$4-$B152+1)</f>
        <v/>
      </c>
      <c r="AS152" s="153">
        <f>$C152*INDEX(Curves!$BF$8:$BF$68,AS$4-$B152+1)</f>
        <v/>
      </c>
      <c r="AT152" s="153">
        <f>$C152*INDEX(Curves!$BF$8:$BF$68,AT$4-$B152+1)</f>
        <v/>
      </c>
      <c r="AU152" s="153">
        <f>$C152*INDEX(Curves!$BF$8:$BF$68,AU$4-$B152+1)</f>
        <v/>
      </c>
      <c r="AV152" s="153">
        <f>$C152*INDEX(Curves!$BF$8:$BF$68,AV$4-$B152+1)</f>
        <v/>
      </c>
      <c r="AW152" s="153">
        <f>$C152*INDEX(Curves!$BF$8:$BF$68,AW$4-$B152+1)</f>
        <v/>
      </c>
      <c r="AX152" s="153">
        <f>$C152*INDEX(Curves!$BF$8:$BF$68,AX$4-$B152+1)</f>
        <v/>
      </c>
      <c r="AY152" s="153">
        <f>$C152*INDEX(Curves!$BF$8:$BF$68,AY$4-$B152+1)</f>
        <v/>
      </c>
      <c r="AZ152" s="153">
        <f>$C152*INDEX(Curves!$BF$8:$BF$68,AZ$4-$B152+1)</f>
        <v/>
      </c>
      <c r="BA152" s="153">
        <f>$C152*INDEX(Curves!$BF$8:$BF$68,BA$4-$B152+1)</f>
        <v/>
      </c>
      <c r="BB152" s="153">
        <f>$C152*INDEX(Curves!$BF$8:$BF$68,BB$4-$B152+1)</f>
        <v/>
      </c>
      <c r="BC152" s="153">
        <f>$C152*INDEX(Curves!$BF$8:$BF$68,BC$4-$B152+1)</f>
        <v/>
      </c>
      <c r="BD152" s="153">
        <f>$C152*INDEX(Curves!$BF$8:$BF$68,BD$4-$B152+1)</f>
        <v/>
      </c>
      <c r="BE152" s="153">
        <f>$C152*INDEX(Curves!$BF$8:$BF$68,BE$4-$B152+1)</f>
        <v/>
      </c>
      <c r="BF152" s="153">
        <f>$C152*INDEX(Curves!$BF$8:$BF$68,BF$4-$B152+1)</f>
        <v/>
      </c>
      <c r="BG152" s="153">
        <f>$C152*INDEX(Curves!$BF$8:$BF$68,BG$4-$B152+1)</f>
        <v/>
      </c>
      <c r="BH152" s="153">
        <f>$C152*INDEX(Curves!$BF$8:$BF$68,BH$4-$B152+1)</f>
        <v/>
      </c>
      <c r="BI152" s="153">
        <f>$C152*INDEX(Curves!$BF$8:$BF$68,BI$4-$B152+1)</f>
        <v/>
      </c>
      <c r="BJ152" s="153">
        <f>$C152*INDEX(Curves!$BF$8:$BF$68,BJ$4-$B152+1)</f>
        <v/>
      </c>
      <c r="BK152" s="153">
        <f>$C152*INDEX(Curves!$BF$8:$BF$68,BK$4-$B152+1)</f>
        <v/>
      </c>
      <c r="BL152" s="153">
        <f>$C152*INDEX(Curves!$BF$8:$BF$68,BL$4-$B152+1)</f>
        <v/>
      </c>
    </row>
    <row r="153">
      <c r="A153" s="147" t="inlineStr">
        <is>
          <t>Cohort month 18</t>
        </is>
      </c>
      <c r="B153" s="147" t="n">
        <v>18</v>
      </c>
      <c r="C153" s="41">
        <f>INDEX(Ops!$E$110:$BL$110,1,$B153)</f>
        <v/>
      </c>
      <c r="W153" s="153">
        <f>$C153*INDEX(Curves!$BF$8:$BF$68,W$4-$B153+1)</f>
        <v/>
      </c>
      <c r="X153" s="153">
        <f>$C153*INDEX(Curves!$BF$8:$BF$68,X$4-$B153+1)</f>
        <v/>
      </c>
      <c r="Y153" s="153">
        <f>$C153*INDEX(Curves!$BF$8:$BF$68,Y$4-$B153+1)</f>
        <v/>
      </c>
      <c r="Z153" s="153">
        <f>$C153*INDEX(Curves!$BF$8:$BF$68,Z$4-$B153+1)</f>
        <v/>
      </c>
      <c r="AA153" s="153">
        <f>$C153*INDEX(Curves!$BF$8:$BF$68,AA$4-$B153+1)</f>
        <v/>
      </c>
      <c r="AB153" s="153">
        <f>$C153*INDEX(Curves!$BF$8:$BF$68,AB$4-$B153+1)</f>
        <v/>
      </c>
      <c r="AC153" s="153">
        <f>$C153*INDEX(Curves!$BF$8:$BF$68,AC$4-$B153+1)</f>
        <v/>
      </c>
      <c r="AD153" s="153">
        <f>$C153*INDEX(Curves!$BF$8:$BF$68,AD$4-$B153+1)</f>
        <v/>
      </c>
      <c r="AE153" s="153">
        <f>$C153*INDEX(Curves!$BF$8:$BF$68,AE$4-$B153+1)</f>
        <v/>
      </c>
      <c r="AF153" s="153">
        <f>$C153*INDEX(Curves!$BF$8:$BF$68,AF$4-$B153+1)</f>
        <v/>
      </c>
      <c r="AG153" s="153">
        <f>$C153*INDEX(Curves!$BF$8:$BF$68,AG$4-$B153+1)</f>
        <v/>
      </c>
      <c r="AH153" s="153">
        <f>$C153*INDEX(Curves!$BF$8:$BF$68,AH$4-$B153+1)</f>
        <v/>
      </c>
      <c r="AI153" s="153">
        <f>$C153*INDEX(Curves!$BF$8:$BF$68,AI$4-$B153+1)</f>
        <v/>
      </c>
      <c r="AJ153" s="153">
        <f>$C153*INDEX(Curves!$BF$8:$BF$68,AJ$4-$B153+1)</f>
        <v/>
      </c>
      <c r="AK153" s="153">
        <f>$C153*INDEX(Curves!$BF$8:$BF$68,AK$4-$B153+1)</f>
        <v/>
      </c>
      <c r="AL153" s="153">
        <f>$C153*INDEX(Curves!$BF$8:$BF$68,AL$4-$B153+1)</f>
        <v/>
      </c>
      <c r="AM153" s="153">
        <f>$C153*INDEX(Curves!$BF$8:$BF$68,AM$4-$B153+1)</f>
        <v/>
      </c>
      <c r="AN153" s="153">
        <f>$C153*INDEX(Curves!$BF$8:$BF$68,AN$4-$B153+1)</f>
        <v/>
      </c>
      <c r="AO153" s="153">
        <f>$C153*INDEX(Curves!$BF$8:$BF$68,AO$4-$B153+1)</f>
        <v/>
      </c>
      <c r="AP153" s="153">
        <f>$C153*INDEX(Curves!$BF$8:$BF$68,AP$4-$B153+1)</f>
        <v/>
      </c>
      <c r="AQ153" s="153">
        <f>$C153*INDEX(Curves!$BF$8:$BF$68,AQ$4-$B153+1)</f>
        <v/>
      </c>
      <c r="AR153" s="153">
        <f>$C153*INDEX(Curves!$BF$8:$BF$68,AR$4-$B153+1)</f>
        <v/>
      </c>
      <c r="AS153" s="153">
        <f>$C153*INDEX(Curves!$BF$8:$BF$68,AS$4-$B153+1)</f>
        <v/>
      </c>
      <c r="AT153" s="153">
        <f>$C153*INDEX(Curves!$BF$8:$BF$68,AT$4-$B153+1)</f>
        <v/>
      </c>
      <c r="AU153" s="153">
        <f>$C153*INDEX(Curves!$BF$8:$BF$68,AU$4-$B153+1)</f>
        <v/>
      </c>
      <c r="AV153" s="153">
        <f>$C153*INDEX(Curves!$BF$8:$BF$68,AV$4-$B153+1)</f>
        <v/>
      </c>
      <c r="AW153" s="153">
        <f>$C153*INDEX(Curves!$BF$8:$BF$68,AW$4-$B153+1)</f>
        <v/>
      </c>
      <c r="AX153" s="153">
        <f>$C153*INDEX(Curves!$BF$8:$BF$68,AX$4-$B153+1)</f>
        <v/>
      </c>
      <c r="AY153" s="153">
        <f>$C153*INDEX(Curves!$BF$8:$BF$68,AY$4-$B153+1)</f>
        <v/>
      </c>
      <c r="AZ153" s="153">
        <f>$C153*INDEX(Curves!$BF$8:$BF$68,AZ$4-$B153+1)</f>
        <v/>
      </c>
      <c r="BA153" s="153">
        <f>$C153*INDEX(Curves!$BF$8:$BF$68,BA$4-$B153+1)</f>
        <v/>
      </c>
      <c r="BB153" s="153">
        <f>$C153*INDEX(Curves!$BF$8:$BF$68,BB$4-$B153+1)</f>
        <v/>
      </c>
      <c r="BC153" s="153">
        <f>$C153*INDEX(Curves!$BF$8:$BF$68,BC$4-$B153+1)</f>
        <v/>
      </c>
      <c r="BD153" s="153">
        <f>$C153*INDEX(Curves!$BF$8:$BF$68,BD$4-$B153+1)</f>
        <v/>
      </c>
      <c r="BE153" s="153">
        <f>$C153*INDEX(Curves!$BF$8:$BF$68,BE$4-$B153+1)</f>
        <v/>
      </c>
      <c r="BF153" s="153">
        <f>$C153*INDEX(Curves!$BF$8:$BF$68,BF$4-$B153+1)</f>
        <v/>
      </c>
      <c r="BG153" s="153">
        <f>$C153*INDEX(Curves!$BF$8:$BF$68,BG$4-$B153+1)</f>
        <v/>
      </c>
      <c r="BH153" s="153">
        <f>$C153*INDEX(Curves!$BF$8:$BF$68,BH$4-$B153+1)</f>
        <v/>
      </c>
      <c r="BI153" s="153">
        <f>$C153*INDEX(Curves!$BF$8:$BF$68,BI$4-$B153+1)</f>
        <v/>
      </c>
      <c r="BJ153" s="153">
        <f>$C153*INDEX(Curves!$BF$8:$BF$68,BJ$4-$B153+1)</f>
        <v/>
      </c>
      <c r="BK153" s="153">
        <f>$C153*INDEX(Curves!$BF$8:$BF$68,BK$4-$B153+1)</f>
        <v/>
      </c>
      <c r="BL153" s="153">
        <f>$C153*INDEX(Curves!$BF$8:$BF$68,BL$4-$B153+1)</f>
        <v/>
      </c>
    </row>
    <row r="154">
      <c r="A154" s="147" t="inlineStr">
        <is>
          <t>Cohort month 19</t>
        </is>
      </c>
      <c r="B154" s="147" t="n">
        <v>19</v>
      </c>
      <c r="C154" s="41">
        <f>INDEX(Ops!$E$110:$BL$110,1,$B154)</f>
        <v/>
      </c>
      <c r="X154" s="153">
        <f>$C154*INDEX(Curves!$BF$8:$BF$68,X$4-$B154+1)</f>
        <v/>
      </c>
      <c r="Y154" s="153">
        <f>$C154*INDEX(Curves!$BF$8:$BF$68,Y$4-$B154+1)</f>
        <v/>
      </c>
      <c r="Z154" s="153">
        <f>$C154*INDEX(Curves!$BF$8:$BF$68,Z$4-$B154+1)</f>
        <v/>
      </c>
      <c r="AA154" s="153">
        <f>$C154*INDEX(Curves!$BF$8:$BF$68,AA$4-$B154+1)</f>
        <v/>
      </c>
      <c r="AB154" s="153">
        <f>$C154*INDEX(Curves!$BF$8:$BF$68,AB$4-$B154+1)</f>
        <v/>
      </c>
      <c r="AC154" s="153">
        <f>$C154*INDEX(Curves!$BF$8:$BF$68,AC$4-$B154+1)</f>
        <v/>
      </c>
      <c r="AD154" s="153">
        <f>$C154*INDEX(Curves!$BF$8:$BF$68,AD$4-$B154+1)</f>
        <v/>
      </c>
      <c r="AE154" s="153">
        <f>$C154*INDEX(Curves!$BF$8:$BF$68,AE$4-$B154+1)</f>
        <v/>
      </c>
      <c r="AF154" s="153">
        <f>$C154*INDEX(Curves!$BF$8:$BF$68,AF$4-$B154+1)</f>
        <v/>
      </c>
      <c r="AG154" s="153">
        <f>$C154*INDEX(Curves!$BF$8:$BF$68,AG$4-$B154+1)</f>
        <v/>
      </c>
      <c r="AH154" s="153">
        <f>$C154*INDEX(Curves!$BF$8:$BF$68,AH$4-$B154+1)</f>
        <v/>
      </c>
      <c r="AI154" s="153">
        <f>$C154*INDEX(Curves!$BF$8:$BF$68,AI$4-$B154+1)</f>
        <v/>
      </c>
      <c r="AJ154" s="153">
        <f>$C154*INDEX(Curves!$BF$8:$BF$68,AJ$4-$B154+1)</f>
        <v/>
      </c>
      <c r="AK154" s="153">
        <f>$C154*INDEX(Curves!$BF$8:$BF$68,AK$4-$B154+1)</f>
        <v/>
      </c>
      <c r="AL154" s="153">
        <f>$C154*INDEX(Curves!$BF$8:$BF$68,AL$4-$B154+1)</f>
        <v/>
      </c>
      <c r="AM154" s="153">
        <f>$C154*INDEX(Curves!$BF$8:$BF$68,AM$4-$B154+1)</f>
        <v/>
      </c>
      <c r="AN154" s="153">
        <f>$C154*INDEX(Curves!$BF$8:$BF$68,AN$4-$B154+1)</f>
        <v/>
      </c>
      <c r="AO154" s="153">
        <f>$C154*INDEX(Curves!$BF$8:$BF$68,AO$4-$B154+1)</f>
        <v/>
      </c>
      <c r="AP154" s="153">
        <f>$C154*INDEX(Curves!$BF$8:$BF$68,AP$4-$B154+1)</f>
        <v/>
      </c>
      <c r="AQ154" s="153">
        <f>$C154*INDEX(Curves!$BF$8:$BF$68,AQ$4-$B154+1)</f>
        <v/>
      </c>
      <c r="AR154" s="153">
        <f>$C154*INDEX(Curves!$BF$8:$BF$68,AR$4-$B154+1)</f>
        <v/>
      </c>
      <c r="AS154" s="153">
        <f>$C154*INDEX(Curves!$BF$8:$BF$68,AS$4-$B154+1)</f>
        <v/>
      </c>
      <c r="AT154" s="153">
        <f>$C154*INDEX(Curves!$BF$8:$BF$68,AT$4-$B154+1)</f>
        <v/>
      </c>
      <c r="AU154" s="153">
        <f>$C154*INDEX(Curves!$BF$8:$BF$68,AU$4-$B154+1)</f>
        <v/>
      </c>
      <c r="AV154" s="153">
        <f>$C154*INDEX(Curves!$BF$8:$BF$68,AV$4-$B154+1)</f>
        <v/>
      </c>
      <c r="AW154" s="153">
        <f>$C154*INDEX(Curves!$BF$8:$BF$68,AW$4-$B154+1)</f>
        <v/>
      </c>
      <c r="AX154" s="153">
        <f>$C154*INDEX(Curves!$BF$8:$BF$68,AX$4-$B154+1)</f>
        <v/>
      </c>
      <c r="AY154" s="153">
        <f>$C154*INDEX(Curves!$BF$8:$BF$68,AY$4-$B154+1)</f>
        <v/>
      </c>
      <c r="AZ154" s="153">
        <f>$C154*INDEX(Curves!$BF$8:$BF$68,AZ$4-$B154+1)</f>
        <v/>
      </c>
      <c r="BA154" s="153">
        <f>$C154*INDEX(Curves!$BF$8:$BF$68,BA$4-$B154+1)</f>
        <v/>
      </c>
      <c r="BB154" s="153">
        <f>$C154*INDEX(Curves!$BF$8:$BF$68,BB$4-$B154+1)</f>
        <v/>
      </c>
      <c r="BC154" s="153">
        <f>$C154*INDEX(Curves!$BF$8:$BF$68,BC$4-$B154+1)</f>
        <v/>
      </c>
      <c r="BD154" s="153">
        <f>$C154*INDEX(Curves!$BF$8:$BF$68,BD$4-$B154+1)</f>
        <v/>
      </c>
      <c r="BE154" s="153">
        <f>$C154*INDEX(Curves!$BF$8:$BF$68,BE$4-$B154+1)</f>
        <v/>
      </c>
      <c r="BF154" s="153">
        <f>$C154*INDEX(Curves!$BF$8:$BF$68,BF$4-$B154+1)</f>
        <v/>
      </c>
      <c r="BG154" s="153">
        <f>$C154*INDEX(Curves!$BF$8:$BF$68,BG$4-$B154+1)</f>
        <v/>
      </c>
      <c r="BH154" s="153">
        <f>$C154*INDEX(Curves!$BF$8:$BF$68,BH$4-$B154+1)</f>
        <v/>
      </c>
      <c r="BI154" s="153">
        <f>$C154*INDEX(Curves!$BF$8:$BF$68,BI$4-$B154+1)</f>
        <v/>
      </c>
      <c r="BJ154" s="153">
        <f>$C154*INDEX(Curves!$BF$8:$BF$68,BJ$4-$B154+1)</f>
        <v/>
      </c>
      <c r="BK154" s="153">
        <f>$C154*INDEX(Curves!$BF$8:$BF$68,BK$4-$B154+1)</f>
        <v/>
      </c>
      <c r="BL154" s="153">
        <f>$C154*INDEX(Curves!$BF$8:$BF$68,BL$4-$B154+1)</f>
        <v/>
      </c>
    </row>
    <row r="155">
      <c r="A155" s="147" t="inlineStr">
        <is>
          <t>Cohort month 20</t>
        </is>
      </c>
      <c r="B155" s="147" t="n">
        <v>20</v>
      </c>
      <c r="C155" s="41">
        <f>INDEX(Ops!$E$110:$BL$110,1,$B155)</f>
        <v/>
      </c>
      <c r="Y155" s="153">
        <f>$C155*INDEX(Curves!$BF$8:$BF$68,Y$4-$B155+1)</f>
        <v/>
      </c>
      <c r="Z155" s="153">
        <f>$C155*INDEX(Curves!$BF$8:$BF$68,Z$4-$B155+1)</f>
        <v/>
      </c>
      <c r="AA155" s="153">
        <f>$C155*INDEX(Curves!$BF$8:$BF$68,AA$4-$B155+1)</f>
        <v/>
      </c>
      <c r="AB155" s="153">
        <f>$C155*INDEX(Curves!$BF$8:$BF$68,AB$4-$B155+1)</f>
        <v/>
      </c>
      <c r="AC155" s="153">
        <f>$C155*INDEX(Curves!$BF$8:$BF$68,AC$4-$B155+1)</f>
        <v/>
      </c>
      <c r="AD155" s="153">
        <f>$C155*INDEX(Curves!$BF$8:$BF$68,AD$4-$B155+1)</f>
        <v/>
      </c>
      <c r="AE155" s="153">
        <f>$C155*INDEX(Curves!$BF$8:$BF$68,AE$4-$B155+1)</f>
        <v/>
      </c>
      <c r="AF155" s="153">
        <f>$C155*INDEX(Curves!$BF$8:$BF$68,AF$4-$B155+1)</f>
        <v/>
      </c>
      <c r="AG155" s="153">
        <f>$C155*INDEX(Curves!$BF$8:$BF$68,AG$4-$B155+1)</f>
        <v/>
      </c>
      <c r="AH155" s="153">
        <f>$C155*INDEX(Curves!$BF$8:$BF$68,AH$4-$B155+1)</f>
        <v/>
      </c>
      <c r="AI155" s="153">
        <f>$C155*INDEX(Curves!$BF$8:$BF$68,AI$4-$B155+1)</f>
        <v/>
      </c>
      <c r="AJ155" s="153">
        <f>$C155*INDEX(Curves!$BF$8:$BF$68,AJ$4-$B155+1)</f>
        <v/>
      </c>
      <c r="AK155" s="153">
        <f>$C155*INDEX(Curves!$BF$8:$BF$68,AK$4-$B155+1)</f>
        <v/>
      </c>
      <c r="AL155" s="153">
        <f>$C155*INDEX(Curves!$BF$8:$BF$68,AL$4-$B155+1)</f>
        <v/>
      </c>
      <c r="AM155" s="153">
        <f>$C155*INDEX(Curves!$BF$8:$BF$68,AM$4-$B155+1)</f>
        <v/>
      </c>
      <c r="AN155" s="153">
        <f>$C155*INDEX(Curves!$BF$8:$BF$68,AN$4-$B155+1)</f>
        <v/>
      </c>
      <c r="AO155" s="153">
        <f>$C155*INDEX(Curves!$BF$8:$BF$68,AO$4-$B155+1)</f>
        <v/>
      </c>
      <c r="AP155" s="153">
        <f>$C155*INDEX(Curves!$BF$8:$BF$68,AP$4-$B155+1)</f>
        <v/>
      </c>
      <c r="AQ155" s="153">
        <f>$C155*INDEX(Curves!$BF$8:$BF$68,AQ$4-$B155+1)</f>
        <v/>
      </c>
      <c r="AR155" s="153">
        <f>$C155*INDEX(Curves!$BF$8:$BF$68,AR$4-$B155+1)</f>
        <v/>
      </c>
      <c r="AS155" s="153">
        <f>$C155*INDEX(Curves!$BF$8:$BF$68,AS$4-$B155+1)</f>
        <v/>
      </c>
      <c r="AT155" s="153">
        <f>$C155*INDEX(Curves!$BF$8:$BF$68,AT$4-$B155+1)</f>
        <v/>
      </c>
      <c r="AU155" s="153">
        <f>$C155*INDEX(Curves!$BF$8:$BF$68,AU$4-$B155+1)</f>
        <v/>
      </c>
      <c r="AV155" s="153">
        <f>$C155*INDEX(Curves!$BF$8:$BF$68,AV$4-$B155+1)</f>
        <v/>
      </c>
      <c r="AW155" s="153">
        <f>$C155*INDEX(Curves!$BF$8:$BF$68,AW$4-$B155+1)</f>
        <v/>
      </c>
      <c r="AX155" s="153">
        <f>$C155*INDEX(Curves!$BF$8:$BF$68,AX$4-$B155+1)</f>
        <v/>
      </c>
      <c r="AY155" s="153">
        <f>$C155*INDEX(Curves!$BF$8:$BF$68,AY$4-$B155+1)</f>
        <v/>
      </c>
      <c r="AZ155" s="153">
        <f>$C155*INDEX(Curves!$BF$8:$BF$68,AZ$4-$B155+1)</f>
        <v/>
      </c>
      <c r="BA155" s="153">
        <f>$C155*INDEX(Curves!$BF$8:$BF$68,BA$4-$B155+1)</f>
        <v/>
      </c>
      <c r="BB155" s="153">
        <f>$C155*INDEX(Curves!$BF$8:$BF$68,BB$4-$B155+1)</f>
        <v/>
      </c>
      <c r="BC155" s="153">
        <f>$C155*INDEX(Curves!$BF$8:$BF$68,BC$4-$B155+1)</f>
        <v/>
      </c>
      <c r="BD155" s="153">
        <f>$C155*INDEX(Curves!$BF$8:$BF$68,BD$4-$B155+1)</f>
        <v/>
      </c>
      <c r="BE155" s="153">
        <f>$C155*INDEX(Curves!$BF$8:$BF$68,BE$4-$B155+1)</f>
        <v/>
      </c>
      <c r="BF155" s="153">
        <f>$C155*INDEX(Curves!$BF$8:$BF$68,BF$4-$B155+1)</f>
        <v/>
      </c>
      <c r="BG155" s="153">
        <f>$C155*INDEX(Curves!$BF$8:$BF$68,BG$4-$B155+1)</f>
        <v/>
      </c>
      <c r="BH155" s="153">
        <f>$C155*INDEX(Curves!$BF$8:$BF$68,BH$4-$B155+1)</f>
        <v/>
      </c>
      <c r="BI155" s="153">
        <f>$C155*INDEX(Curves!$BF$8:$BF$68,BI$4-$B155+1)</f>
        <v/>
      </c>
      <c r="BJ155" s="153">
        <f>$C155*INDEX(Curves!$BF$8:$BF$68,BJ$4-$B155+1)</f>
        <v/>
      </c>
      <c r="BK155" s="153">
        <f>$C155*INDEX(Curves!$BF$8:$BF$68,BK$4-$B155+1)</f>
        <v/>
      </c>
      <c r="BL155" s="153">
        <f>$C155*INDEX(Curves!$BF$8:$BF$68,BL$4-$B155+1)</f>
        <v/>
      </c>
    </row>
    <row r="156">
      <c r="A156" s="147" t="inlineStr">
        <is>
          <t>Cohort month 21</t>
        </is>
      </c>
      <c r="B156" s="147" t="n">
        <v>21</v>
      </c>
      <c r="C156" s="41">
        <f>INDEX(Ops!$E$110:$BL$110,1,$B156)</f>
        <v/>
      </c>
      <c r="Z156" s="153">
        <f>$C156*INDEX(Curves!$BF$8:$BF$68,Z$4-$B156+1)</f>
        <v/>
      </c>
      <c r="AA156" s="153">
        <f>$C156*INDEX(Curves!$BF$8:$BF$68,AA$4-$B156+1)</f>
        <v/>
      </c>
      <c r="AB156" s="153">
        <f>$C156*INDEX(Curves!$BF$8:$BF$68,AB$4-$B156+1)</f>
        <v/>
      </c>
      <c r="AC156" s="153">
        <f>$C156*INDEX(Curves!$BF$8:$BF$68,AC$4-$B156+1)</f>
        <v/>
      </c>
      <c r="AD156" s="153">
        <f>$C156*INDEX(Curves!$BF$8:$BF$68,AD$4-$B156+1)</f>
        <v/>
      </c>
      <c r="AE156" s="153">
        <f>$C156*INDEX(Curves!$BF$8:$BF$68,AE$4-$B156+1)</f>
        <v/>
      </c>
      <c r="AF156" s="153">
        <f>$C156*INDEX(Curves!$BF$8:$BF$68,AF$4-$B156+1)</f>
        <v/>
      </c>
      <c r="AG156" s="153">
        <f>$C156*INDEX(Curves!$BF$8:$BF$68,AG$4-$B156+1)</f>
        <v/>
      </c>
      <c r="AH156" s="153">
        <f>$C156*INDEX(Curves!$BF$8:$BF$68,AH$4-$B156+1)</f>
        <v/>
      </c>
      <c r="AI156" s="153">
        <f>$C156*INDEX(Curves!$BF$8:$BF$68,AI$4-$B156+1)</f>
        <v/>
      </c>
      <c r="AJ156" s="153">
        <f>$C156*INDEX(Curves!$BF$8:$BF$68,AJ$4-$B156+1)</f>
        <v/>
      </c>
      <c r="AK156" s="153">
        <f>$C156*INDEX(Curves!$BF$8:$BF$68,AK$4-$B156+1)</f>
        <v/>
      </c>
      <c r="AL156" s="153">
        <f>$C156*INDEX(Curves!$BF$8:$BF$68,AL$4-$B156+1)</f>
        <v/>
      </c>
      <c r="AM156" s="153">
        <f>$C156*INDEX(Curves!$BF$8:$BF$68,AM$4-$B156+1)</f>
        <v/>
      </c>
      <c r="AN156" s="153">
        <f>$C156*INDEX(Curves!$BF$8:$BF$68,AN$4-$B156+1)</f>
        <v/>
      </c>
      <c r="AO156" s="153">
        <f>$C156*INDEX(Curves!$BF$8:$BF$68,AO$4-$B156+1)</f>
        <v/>
      </c>
      <c r="AP156" s="153">
        <f>$C156*INDEX(Curves!$BF$8:$BF$68,AP$4-$B156+1)</f>
        <v/>
      </c>
      <c r="AQ156" s="153">
        <f>$C156*INDEX(Curves!$BF$8:$BF$68,AQ$4-$B156+1)</f>
        <v/>
      </c>
      <c r="AR156" s="153">
        <f>$C156*INDEX(Curves!$BF$8:$BF$68,AR$4-$B156+1)</f>
        <v/>
      </c>
      <c r="AS156" s="153">
        <f>$C156*INDEX(Curves!$BF$8:$BF$68,AS$4-$B156+1)</f>
        <v/>
      </c>
      <c r="AT156" s="153">
        <f>$C156*INDEX(Curves!$BF$8:$BF$68,AT$4-$B156+1)</f>
        <v/>
      </c>
      <c r="AU156" s="153">
        <f>$C156*INDEX(Curves!$BF$8:$BF$68,AU$4-$B156+1)</f>
        <v/>
      </c>
      <c r="AV156" s="153">
        <f>$C156*INDEX(Curves!$BF$8:$BF$68,AV$4-$B156+1)</f>
        <v/>
      </c>
      <c r="AW156" s="153">
        <f>$C156*INDEX(Curves!$BF$8:$BF$68,AW$4-$B156+1)</f>
        <v/>
      </c>
      <c r="AX156" s="153">
        <f>$C156*INDEX(Curves!$BF$8:$BF$68,AX$4-$B156+1)</f>
        <v/>
      </c>
      <c r="AY156" s="153">
        <f>$C156*INDEX(Curves!$BF$8:$BF$68,AY$4-$B156+1)</f>
        <v/>
      </c>
      <c r="AZ156" s="153">
        <f>$C156*INDEX(Curves!$BF$8:$BF$68,AZ$4-$B156+1)</f>
        <v/>
      </c>
      <c r="BA156" s="153">
        <f>$C156*INDEX(Curves!$BF$8:$BF$68,BA$4-$B156+1)</f>
        <v/>
      </c>
      <c r="BB156" s="153">
        <f>$C156*INDEX(Curves!$BF$8:$BF$68,BB$4-$B156+1)</f>
        <v/>
      </c>
      <c r="BC156" s="153">
        <f>$C156*INDEX(Curves!$BF$8:$BF$68,BC$4-$B156+1)</f>
        <v/>
      </c>
      <c r="BD156" s="153">
        <f>$C156*INDEX(Curves!$BF$8:$BF$68,BD$4-$B156+1)</f>
        <v/>
      </c>
      <c r="BE156" s="153">
        <f>$C156*INDEX(Curves!$BF$8:$BF$68,BE$4-$B156+1)</f>
        <v/>
      </c>
      <c r="BF156" s="153">
        <f>$C156*INDEX(Curves!$BF$8:$BF$68,BF$4-$B156+1)</f>
        <v/>
      </c>
      <c r="BG156" s="153">
        <f>$C156*INDEX(Curves!$BF$8:$BF$68,BG$4-$B156+1)</f>
        <v/>
      </c>
      <c r="BH156" s="153">
        <f>$C156*INDEX(Curves!$BF$8:$BF$68,BH$4-$B156+1)</f>
        <v/>
      </c>
      <c r="BI156" s="153">
        <f>$C156*INDEX(Curves!$BF$8:$BF$68,BI$4-$B156+1)</f>
        <v/>
      </c>
      <c r="BJ156" s="153">
        <f>$C156*INDEX(Curves!$BF$8:$BF$68,BJ$4-$B156+1)</f>
        <v/>
      </c>
      <c r="BK156" s="153">
        <f>$C156*INDEX(Curves!$BF$8:$BF$68,BK$4-$B156+1)</f>
        <v/>
      </c>
      <c r="BL156" s="153">
        <f>$C156*INDEX(Curves!$BF$8:$BF$68,BL$4-$B156+1)</f>
        <v/>
      </c>
    </row>
    <row r="157">
      <c r="A157" s="147" t="inlineStr">
        <is>
          <t>Cohort month 22</t>
        </is>
      </c>
      <c r="B157" s="147" t="n">
        <v>22</v>
      </c>
      <c r="C157" s="41">
        <f>INDEX(Ops!$E$110:$BL$110,1,$B157)</f>
        <v/>
      </c>
      <c r="AA157" s="153">
        <f>$C157*INDEX(Curves!$BF$8:$BF$68,AA$4-$B157+1)</f>
        <v/>
      </c>
      <c r="AB157" s="153">
        <f>$C157*INDEX(Curves!$BF$8:$BF$68,AB$4-$B157+1)</f>
        <v/>
      </c>
      <c r="AC157" s="153">
        <f>$C157*INDEX(Curves!$BF$8:$BF$68,AC$4-$B157+1)</f>
        <v/>
      </c>
      <c r="AD157" s="153">
        <f>$C157*INDEX(Curves!$BF$8:$BF$68,AD$4-$B157+1)</f>
        <v/>
      </c>
      <c r="AE157" s="153">
        <f>$C157*INDEX(Curves!$BF$8:$BF$68,AE$4-$B157+1)</f>
        <v/>
      </c>
      <c r="AF157" s="153">
        <f>$C157*INDEX(Curves!$BF$8:$BF$68,AF$4-$B157+1)</f>
        <v/>
      </c>
      <c r="AG157" s="153">
        <f>$C157*INDEX(Curves!$BF$8:$BF$68,AG$4-$B157+1)</f>
        <v/>
      </c>
      <c r="AH157" s="153">
        <f>$C157*INDEX(Curves!$BF$8:$BF$68,AH$4-$B157+1)</f>
        <v/>
      </c>
      <c r="AI157" s="153">
        <f>$C157*INDEX(Curves!$BF$8:$BF$68,AI$4-$B157+1)</f>
        <v/>
      </c>
      <c r="AJ157" s="153">
        <f>$C157*INDEX(Curves!$BF$8:$BF$68,AJ$4-$B157+1)</f>
        <v/>
      </c>
      <c r="AK157" s="153">
        <f>$C157*INDEX(Curves!$BF$8:$BF$68,AK$4-$B157+1)</f>
        <v/>
      </c>
      <c r="AL157" s="153">
        <f>$C157*INDEX(Curves!$BF$8:$BF$68,AL$4-$B157+1)</f>
        <v/>
      </c>
      <c r="AM157" s="153">
        <f>$C157*INDEX(Curves!$BF$8:$BF$68,AM$4-$B157+1)</f>
        <v/>
      </c>
      <c r="AN157" s="153">
        <f>$C157*INDEX(Curves!$BF$8:$BF$68,AN$4-$B157+1)</f>
        <v/>
      </c>
      <c r="AO157" s="153">
        <f>$C157*INDEX(Curves!$BF$8:$BF$68,AO$4-$B157+1)</f>
        <v/>
      </c>
      <c r="AP157" s="153">
        <f>$C157*INDEX(Curves!$BF$8:$BF$68,AP$4-$B157+1)</f>
        <v/>
      </c>
      <c r="AQ157" s="153">
        <f>$C157*INDEX(Curves!$BF$8:$BF$68,AQ$4-$B157+1)</f>
        <v/>
      </c>
      <c r="AR157" s="153">
        <f>$C157*INDEX(Curves!$BF$8:$BF$68,AR$4-$B157+1)</f>
        <v/>
      </c>
      <c r="AS157" s="153">
        <f>$C157*INDEX(Curves!$BF$8:$BF$68,AS$4-$B157+1)</f>
        <v/>
      </c>
      <c r="AT157" s="153">
        <f>$C157*INDEX(Curves!$BF$8:$BF$68,AT$4-$B157+1)</f>
        <v/>
      </c>
      <c r="AU157" s="153">
        <f>$C157*INDEX(Curves!$BF$8:$BF$68,AU$4-$B157+1)</f>
        <v/>
      </c>
      <c r="AV157" s="153">
        <f>$C157*INDEX(Curves!$BF$8:$BF$68,AV$4-$B157+1)</f>
        <v/>
      </c>
      <c r="AW157" s="153">
        <f>$C157*INDEX(Curves!$BF$8:$BF$68,AW$4-$B157+1)</f>
        <v/>
      </c>
      <c r="AX157" s="153">
        <f>$C157*INDEX(Curves!$BF$8:$BF$68,AX$4-$B157+1)</f>
        <v/>
      </c>
      <c r="AY157" s="153">
        <f>$C157*INDEX(Curves!$BF$8:$BF$68,AY$4-$B157+1)</f>
        <v/>
      </c>
      <c r="AZ157" s="153">
        <f>$C157*INDEX(Curves!$BF$8:$BF$68,AZ$4-$B157+1)</f>
        <v/>
      </c>
      <c r="BA157" s="153">
        <f>$C157*INDEX(Curves!$BF$8:$BF$68,BA$4-$B157+1)</f>
        <v/>
      </c>
      <c r="BB157" s="153">
        <f>$C157*INDEX(Curves!$BF$8:$BF$68,BB$4-$B157+1)</f>
        <v/>
      </c>
      <c r="BC157" s="153">
        <f>$C157*INDEX(Curves!$BF$8:$BF$68,BC$4-$B157+1)</f>
        <v/>
      </c>
      <c r="BD157" s="153">
        <f>$C157*INDEX(Curves!$BF$8:$BF$68,BD$4-$B157+1)</f>
        <v/>
      </c>
      <c r="BE157" s="153">
        <f>$C157*INDEX(Curves!$BF$8:$BF$68,BE$4-$B157+1)</f>
        <v/>
      </c>
      <c r="BF157" s="153">
        <f>$C157*INDEX(Curves!$BF$8:$BF$68,BF$4-$B157+1)</f>
        <v/>
      </c>
      <c r="BG157" s="153">
        <f>$C157*INDEX(Curves!$BF$8:$BF$68,BG$4-$B157+1)</f>
        <v/>
      </c>
      <c r="BH157" s="153">
        <f>$C157*INDEX(Curves!$BF$8:$BF$68,BH$4-$B157+1)</f>
        <v/>
      </c>
      <c r="BI157" s="153">
        <f>$C157*INDEX(Curves!$BF$8:$BF$68,BI$4-$B157+1)</f>
        <v/>
      </c>
      <c r="BJ157" s="153">
        <f>$C157*INDEX(Curves!$BF$8:$BF$68,BJ$4-$B157+1)</f>
        <v/>
      </c>
      <c r="BK157" s="153">
        <f>$C157*INDEX(Curves!$BF$8:$BF$68,BK$4-$B157+1)</f>
        <v/>
      </c>
      <c r="BL157" s="153">
        <f>$C157*INDEX(Curves!$BF$8:$BF$68,BL$4-$B157+1)</f>
        <v/>
      </c>
    </row>
    <row r="158">
      <c r="A158" s="147" t="inlineStr">
        <is>
          <t>Cohort month 23</t>
        </is>
      </c>
      <c r="B158" s="147" t="n">
        <v>23</v>
      </c>
      <c r="C158" s="41">
        <f>INDEX(Ops!$E$110:$BL$110,1,$B158)</f>
        <v/>
      </c>
      <c r="AB158" s="153">
        <f>$C158*INDEX(Curves!$BF$8:$BF$68,AB$4-$B158+1)</f>
        <v/>
      </c>
      <c r="AC158" s="153">
        <f>$C158*INDEX(Curves!$BF$8:$BF$68,AC$4-$B158+1)</f>
        <v/>
      </c>
      <c r="AD158" s="153">
        <f>$C158*INDEX(Curves!$BF$8:$BF$68,AD$4-$B158+1)</f>
        <v/>
      </c>
      <c r="AE158" s="153">
        <f>$C158*INDEX(Curves!$BF$8:$BF$68,AE$4-$B158+1)</f>
        <v/>
      </c>
      <c r="AF158" s="153">
        <f>$C158*INDEX(Curves!$BF$8:$BF$68,AF$4-$B158+1)</f>
        <v/>
      </c>
      <c r="AG158" s="153">
        <f>$C158*INDEX(Curves!$BF$8:$BF$68,AG$4-$B158+1)</f>
        <v/>
      </c>
      <c r="AH158" s="153">
        <f>$C158*INDEX(Curves!$BF$8:$BF$68,AH$4-$B158+1)</f>
        <v/>
      </c>
      <c r="AI158" s="153">
        <f>$C158*INDEX(Curves!$BF$8:$BF$68,AI$4-$B158+1)</f>
        <v/>
      </c>
      <c r="AJ158" s="153">
        <f>$C158*INDEX(Curves!$BF$8:$BF$68,AJ$4-$B158+1)</f>
        <v/>
      </c>
      <c r="AK158" s="153">
        <f>$C158*INDEX(Curves!$BF$8:$BF$68,AK$4-$B158+1)</f>
        <v/>
      </c>
      <c r="AL158" s="153">
        <f>$C158*INDEX(Curves!$BF$8:$BF$68,AL$4-$B158+1)</f>
        <v/>
      </c>
      <c r="AM158" s="153">
        <f>$C158*INDEX(Curves!$BF$8:$BF$68,AM$4-$B158+1)</f>
        <v/>
      </c>
      <c r="AN158" s="153">
        <f>$C158*INDEX(Curves!$BF$8:$BF$68,AN$4-$B158+1)</f>
        <v/>
      </c>
      <c r="AO158" s="153">
        <f>$C158*INDEX(Curves!$BF$8:$BF$68,AO$4-$B158+1)</f>
        <v/>
      </c>
      <c r="AP158" s="153">
        <f>$C158*INDEX(Curves!$BF$8:$BF$68,AP$4-$B158+1)</f>
        <v/>
      </c>
      <c r="AQ158" s="153">
        <f>$C158*INDEX(Curves!$BF$8:$BF$68,AQ$4-$B158+1)</f>
        <v/>
      </c>
      <c r="AR158" s="153">
        <f>$C158*INDEX(Curves!$BF$8:$BF$68,AR$4-$B158+1)</f>
        <v/>
      </c>
      <c r="AS158" s="153">
        <f>$C158*INDEX(Curves!$BF$8:$BF$68,AS$4-$B158+1)</f>
        <v/>
      </c>
      <c r="AT158" s="153">
        <f>$C158*INDEX(Curves!$BF$8:$BF$68,AT$4-$B158+1)</f>
        <v/>
      </c>
      <c r="AU158" s="153">
        <f>$C158*INDEX(Curves!$BF$8:$BF$68,AU$4-$B158+1)</f>
        <v/>
      </c>
      <c r="AV158" s="153">
        <f>$C158*INDEX(Curves!$BF$8:$BF$68,AV$4-$B158+1)</f>
        <v/>
      </c>
      <c r="AW158" s="153">
        <f>$C158*INDEX(Curves!$BF$8:$BF$68,AW$4-$B158+1)</f>
        <v/>
      </c>
      <c r="AX158" s="153">
        <f>$C158*INDEX(Curves!$BF$8:$BF$68,AX$4-$B158+1)</f>
        <v/>
      </c>
      <c r="AY158" s="153">
        <f>$C158*INDEX(Curves!$BF$8:$BF$68,AY$4-$B158+1)</f>
        <v/>
      </c>
      <c r="AZ158" s="153">
        <f>$C158*INDEX(Curves!$BF$8:$BF$68,AZ$4-$B158+1)</f>
        <v/>
      </c>
      <c r="BA158" s="153">
        <f>$C158*INDEX(Curves!$BF$8:$BF$68,BA$4-$B158+1)</f>
        <v/>
      </c>
      <c r="BB158" s="153">
        <f>$C158*INDEX(Curves!$BF$8:$BF$68,BB$4-$B158+1)</f>
        <v/>
      </c>
      <c r="BC158" s="153">
        <f>$C158*INDEX(Curves!$BF$8:$BF$68,BC$4-$B158+1)</f>
        <v/>
      </c>
      <c r="BD158" s="153">
        <f>$C158*INDEX(Curves!$BF$8:$BF$68,BD$4-$B158+1)</f>
        <v/>
      </c>
      <c r="BE158" s="153">
        <f>$C158*INDEX(Curves!$BF$8:$BF$68,BE$4-$B158+1)</f>
        <v/>
      </c>
      <c r="BF158" s="153">
        <f>$C158*INDEX(Curves!$BF$8:$BF$68,BF$4-$B158+1)</f>
        <v/>
      </c>
      <c r="BG158" s="153">
        <f>$C158*INDEX(Curves!$BF$8:$BF$68,BG$4-$B158+1)</f>
        <v/>
      </c>
      <c r="BH158" s="153">
        <f>$C158*INDEX(Curves!$BF$8:$BF$68,BH$4-$B158+1)</f>
        <v/>
      </c>
      <c r="BI158" s="153">
        <f>$C158*INDEX(Curves!$BF$8:$BF$68,BI$4-$B158+1)</f>
        <v/>
      </c>
      <c r="BJ158" s="153">
        <f>$C158*INDEX(Curves!$BF$8:$BF$68,BJ$4-$B158+1)</f>
        <v/>
      </c>
      <c r="BK158" s="153">
        <f>$C158*INDEX(Curves!$BF$8:$BF$68,BK$4-$B158+1)</f>
        <v/>
      </c>
      <c r="BL158" s="153">
        <f>$C158*INDEX(Curves!$BF$8:$BF$68,BL$4-$B158+1)</f>
        <v/>
      </c>
    </row>
    <row r="159">
      <c r="A159" s="147" t="inlineStr">
        <is>
          <t>Cohort month 24</t>
        </is>
      </c>
      <c r="B159" s="147" t="n">
        <v>24</v>
      </c>
      <c r="C159" s="41">
        <f>INDEX(Ops!$E$110:$BL$110,1,$B159)</f>
        <v/>
      </c>
      <c r="AC159" s="153">
        <f>$C159*INDEX(Curves!$BF$8:$BF$68,AC$4-$B159+1)</f>
        <v/>
      </c>
      <c r="AD159" s="153">
        <f>$C159*INDEX(Curves!$BF$8:$BF$68,AD$4-$B159+1)</f>
        <v/>
      </c>
      <c r="AE159" s="153">
        <f>$C159*INDEX(Curves!$BF$8:$BF$68,AE$4-$B159+1)</f>
        <v/>
      </c>
      <c r="AF159" s="153">
        <f>$C159*INDEX(Curves!$BF$8:$BF$68,AF$4-$B159+1)</f>
        <v/>
      </c>
      <c r="AG159" s="153">
        <f>$C159*INDEX(Curves!$BF$8:$BF$68,AG$4-$B159+1)</f>
        <v/>
      </c>
      <c r="AH159" s="153">
        <f>$C159*INDEX(Curves!$BF$8:$BF$68,AH$4-$B159+1)</f>
        <v/>
      </c>
      <c r="AI159" s="153">
        <f>$C159*INDEX(Curves!$BF$8:$BF$68,AI$4-$B159+1)</f>
        <v/>
      </c>
      <c r="AJ159" s="153">
        <f>$C159*INDEX(Curves!$BF$8:$BF$68,AJ$4-$B159+1)</f>
        <v/>
      </c>
      <c r="AK159" s="153">
        <f>$C159*INDEX(Curves!$BF$8:$BF$68,AK$4-$B159+1)</f>
        <v/>
      </c>
      <c r="AL159" s="153">
        <f>$C159*INDEX(Curves!$BF$8:$BF$68,AL$4-$B159+1)</f>
        <v/>
      </c>
      <c r="AM159" s="153">
        <f>$C159*INDEX(Curves!$BF$8:$BF$68,AM$4-$B159+1)</f>
        <v/>
      </c>
      <c r="AN159" s="153">
        <f>$C159*INDEX(Curves!$BF$8:$BF$68,AN$4-$B159+1)</f>
        <v/>
      </c>
      <c r="AO159" s="153">
        <f>$C159*INDEX(Curves!$BF$8:$BF$68,AO$4-$B159+1)</f>
        <v/>
      </c>
      <c r="AP159" s="153">
        <f>$C159*INDEX(Curves!$BF$8:$BF$68,AP$4-$B159+1)</f>
        <v/>
      </c>
      <c r="AQ159" s="153">
        <f>$C159*INDEX(Curves!$BF$8:$BF$68,AQ$4-$B159+1)</f>
        <v/>
      </c>
      <c r="AR159" s="153">
        <f>$C159*INDEX(Curves!$BF$8:$BF$68,AR$4-$B159+1)</f>
        <v/>
      </c>
      <c r="AS159" s="153">
        <f>$C159*INDEX(Curves!$BF$8:$BF$68,AS$4-$B159+1)</f>
        <v/>
      </c>
      <c r="AT159" s="153">
        <f>$C159*INDEX(Curves!$BF$8:$BF$68,AT$4-$B159+1)</f>
        <v/>
      </c>
      <c r="AU159" s="153">
        <f>$C159*INDEX(Curves!$BF$8:$BF$68,AU$4-$B159+1)</f>
        <v/>
      </c>
      <c r="AV159" s="153">
        <f>$C159*INDEX(Curves!$BF$8:$BF$68,AV$4-$B159+1)</f>
        <v/>
      </c>
      <c r="AW159" s="153">
        <f>$C159*INDEX(Curves!$BF$8:$BF$68,AW$4-$B159+1)</f>
        <v/>
      </c>
      <c r="AX159" s="153">
        <f>$C159*INDEX(Curves!$BF$8:$BF$68,AX$4-$B159+1)</f>
        <v/>
      </c>
      <c r="AY159" s="153">
        <f>$C159*INDEX(Curves!$BF$8:$BF$68,AY$4-$B159+1)</f>
        <v/>
      </c>
      <c r="AZ159" s="153">
        <f>$C159*INDEX(Curves!$BF$8:$BF$68,AZ$4-$B159+1)</f>
        <v/>
      </c>
      <c r="BA159" s="153">
        <f>$C159*INDEX(Curves!$BF$8:$BF$68,BA$4-$B159+1)</f>
        <v/>
      </c>
      <c r="BB159" s="153">
        <f>$C159*INDEX(Curves!$BF$8:$BF$68,BB$4-$B159+1)</f>
        <v/>
      </c>
      <c r="BC159" s="153">
        <f>$C159*INDEX(Curves!$BF$8:$BF$68,BC$4-$B159+1)</f>
        <v/>
      </c>
      <c r="BD159" s="153">
        <f>$C159*INDEX(Curves!$BF$8:$BF$68,BD$4-$B159+1)</f>
        <v/>
      </c>
      <c r="BE159" s="153">
        <f>$C159*INDEX(Curves!$BF$8:$BF$68,BE$4-$B159+1)</f>
        <v/>
      </c>
      <c r="BF159" s="153">
        <f>$C159*INDEX(Curves!$BF$8:$BF$68,BF$4-$B159+1)</f>
        <v/>
      </c>
      <c r="BG159" s="153">
        <f>$C159*INDEX(Curves!$BF$8:$BF$68,BG$4-$B159+1)</f>
        <v/>
      </c>
      <c r="BH159" s="153">
        <f>$C159*INDEX(Curves!$BF$8:$BF$68,BH$4-$B159+1)</f>
        <v/>
      </c>
      <c r="BI159" s="153">
        <f>$C159*INDEX(Curves!$BF$8:$BF$68,BI$4-$B159+1)</f>
        <v/>
      </c>
      <c r="BJ159" s="153">
        <f>$C159*INDEX(Curves!$BF$8:$BF$68,BJ$4-$B159+1)</f>
        <v/>
      </c>
      <c r="BK159" s="153">
        <f>$C159*INDEX(Curves!$BF$8:$BF$68,BK$4-$B159+1)</f>
        <v/>
      </c>
      <c r="BL159" s="153">
        <f>$C159*INDEX(Curves!$BF$8:$BF$68,BL$4-$B159+1)</f>
        <v/>
      </c>
    </row>
    <row r="160">
      <c r="A160" s="147" t="inlineStr">
        <is>
          <t>Cohort month 25</t>
        </is>
      </c>
      <c r="B160" s="147" t="n">
        <v>25</v>
      </c>
      <c r="C160" s="41">
        <f>INDEX(Ops!$E$110:$BL$110,1,$B160)</f>
        <v/>
      </c>
      <c r="AD160" s="153">
        <f>$C160*INDEX(Curves!$BF$8:$BF$68,AD$4-$B160+1)</f>
        <v/>
      </c>
      <c r="AE160" s="153">
        <f>$C160*INDEX(Curves!$BF$8:$BF$68,AE$4-$B160+1)</f>
        <v/>
      </c>
      <c r="AF160" s="153">
        <f>$C160*INDEX(Curves!$BF$8:$BF$68,AF$4-$B160+1)</f>
        <v/>
      </c>
      <c r="AG160" s="153">
        <f>$C160*INDEX(Curves!$BF$8:$BF$68,AG$4-$B160+1)</f>
        <v/>
      </c>
      <c r="AH160" s="153">
        <f>$C160*INDEX(Curves!$BF$8:$BF$68,AH$4-$B160+1)</f>
        <v/>
      </c>
      <c r="AI160" s="153">
        <f>$C160*INDEX(Curves!$BF$8:$BF$68,AI$4-$B160+1)</f>
        <v/>
      </c>
      <c r="AJ160" s="153">
        <f>$C160*INDEX(Curves!$BF$8:$BF$68,AJ$4-$B160+1)</f>
        <v/>
      </c>
      <c r="AK160" s="153">
        <f>$C160*INDEX(Curves!$BF$8:$BF$68,AK$4-$B160+1)</f>
        <v/>
      </c>
      <c r="AL160" s="153">
        <f>$C160*INDEX(Curves!$BF$8:$BF$68,AL$4-$B160+1)</f>
        <v/>
      </c>
      <c r="AM160" s="153">
        <f>$C160*INDEX(Curves!$BF$8:$BF$68,AM$4-$B160+1)</f>
        <v/>
      </c>
      <c r="AN160" s="153">
        <f>$C160*INDEX(Curves!$BF$8:$BF$68,AN$4-$B160+1)</f>
        <v/>
      </c>
      <c r="AO160" s="153">
        <f>$C160*INDEX(Curves!$BF$8:$BF$68,AO$4-$B160+1)</f>
        <v/>
      </c>
      <c r="AP160" s="153">
        <f>$C160*INDEX(Curves!$BF$8:$BF$68,AP$4-$B160+1)</f>
        <v/>
      </c>
      <c r="AQ160" s="153">
        <f>$C160*INDEX(Curves!$BF$8:$BF$68,AQ$4-$B160+1)</f>
        <v/>
      </c>
      <c r="AR160" s="153">
        <f>$C160*INDEX(Curves!$BF$8:$BF$68,AR$4-$B160+1)</f>
        <v/>
      </c>
      <c r="AS160" s="153">
        <f>$C160*INDEX(Curves!$BF$8:$BF$68,AS$4-$B160+1)</f>
        <v/>
      </c>
      <c r="AT160" s="153">
        <f>$C160*INDEX(Curves!$BF$8:$BF$68,AT$4-$B160+1)</f>
        <v/>
      </c>
      <c r="AU160" s="153">
        <f>$C160*INDEX(Curves!$BF$8:$BF$68,AU$4-$B160+1)</f>
        <v/>
      </c>
      <c r="AV160" s="153">
        <f>$C160*INDEX(Curves!$BF$8:$BF$68,AV$4-$B160+1)</f>
        <v/>
      </c>
      <c r="AW160" s="153">
        <f>$C160*INDEX(Curves!$BF$8:$BF$68,AW$4-$B160+1)</f>
        <v/>
      </c>
      <c r="AX160" s="153">
        <f>$C160*INDEX(Curves!$BF$8:$BF$68,AX$4-$B160+1)</f>
        <v/>
      </c>
      <c r="AY160" s="153">
        <f>$C160*INDEX(Curves!$BF$8:$BF$68,AY$4-$B160+1)</f>
        <v/>
      </c>
      <c r="AZ160" s="153">
        <f>$C160*INDEX(Curves!$BF$8:$BF$68,AZ$4-$B160+1)</f>
        <v/>
      </c>
      <c r="BA160" s="153">
        <f>$C160*INDEX(Curves!$BF$8:$BF$68,BA$4-$B160+1)</f>
        <v/>
      </c>
      <c r="BB160" s="153">
        <f>$C160*INDEX(Curves!$BF$8:$BF$68,BB$4-$B160+1)</f>
        <v/>
      </c>
      <c r="BC160" s="153">
        <f>$C160*INDEX(Curves!$BF$8:$BF$68,BC$4-$B160+1)</f>
        <v/>
      </c>
      <c r="BD160" s="153">
        <f>$C160*INDEX(Curves!$BF$8:$BF$68,BD$4-$B160+1)</f>
        <v/>
      </c>
      <c r="BE160" s="153">
        <f>$C160*INDEX(Curves!$BF$8:$BF$68,BE$4-$B160+1)</f>
        <v/>
      </c>
      <c r="BF160" s="153">
        <f>$C160*INDEX(Curves!$BF$8:$BF$68,BF$4-$B160+1)</f>
        <v/>
      </c>
      <c r="BG160" s="153">
        <f>$C160*INDEX(Curves!$BF$8:$BF$68,BG$4-$B160+1)</f>
        <v/>
      </c>
      <c r="BH160" s="153">
        <f>$C160*INDEX(Curves!$BF$8:$BF$68,BH$4-$B160+1)</f>
        <v/>
      </c>
      <c r="BI160" s="153">
        <f>$C160*INDEX(Curves!$BF$8:$BF$68,BI$4-$B160+1)</f>
        <v/>
      </c>
      <c r="BJ160" s="153">
        <f>$C160*INDEX(Curves!$BF$8:$BF$68,BJ$4-$B160+1)</f>
        <v/>
      </c>
      <c r="BK160" s="153">
        <f>$C160*INDEX(Curves!$BF$8:$BF$68,BK$4-$B160+1)</f>
        <v/>
      </c>
      <c r="BL160" s="153">
        <f>$C160*INDEX(Curves!$BF$8:$BF$68,BL$4-$B160+1)</f>
        <v/>
      </c>
    </row>
    <row r="161">
      <c r="A161" s="147" t="inlineStr">
        <is>
          <t>Cohort month 26</t>
        </is>
      </c>
      <c r="B161" s="147" t="n">
        <v>26</v>
      </c>
      <c r="C161" s="41">
        <f>INDEX(Ops!$E$110:$BL$110,1,$B161)</f>
        <v/>
      </c>
      <c r="AE161" s="153">
        <f>$C161*INDEX(Curves!$BF$8:$BF$68,AE$4-$B161+1)</f>
        <v/>
      </c>
      <c r="AF161" s="153">
        <f>$C161*INDEX(Curves!$BF$8:$BF$68,AF$4-$B161+1)</f>
        <v/>
      </c>
      <c r="AG161" s="153">
        <f>$C161*INDEX(Curves!$BF$8:$BF$68,AG$4-$B161+1)</f>
        <v/>
      </c>
      <c r="AH161" s="153">
        <f>$C161*INDEX(Curves!$BF$8:$BF$68,AH$4-$B161+1)</f>
        <v/>
      </c>
      <c r="AI161" s="153">
        <f>$C161*INDEX(Curves!$BF$8:$BF$68,AI$4-$B161+1)</f>
        <v/>
      </c>
      <c r="AJ161" s="153">
        <f>$C161*INDEX(Curves!$BF$8:$BF$68,AJ$4-$B161+1)</f>
        <v/>
      </c>
      <c r="AK161" s="153">
        <f>$C161*INDEX(Curves!$BF$8:$BF$68,AK$4-$B161+1)</f>
        <v/>
      </c>
      <c r="AL161" s="153">
        <f>$C161*INDEX(Curves!$BF$8:$BF$68,AL$4-$B161+1)</f>
        <v/>
      </c>
      <c r="AM161" s="153">
        <f>$C161*INDEX(Curves!$BF$8:$BF$68,AM$4-$B161+1)</f>
        <v/>
      </c>
      <c r="AN161" s="153">
        <f>$C161*INDEX(Curves!$BF$8:$BF$68,AN$4-$B161+1)</f>
        <v/>
      </c>
      <c r="AO161" s="153">
        <f>$C161*INDEX(Curves!$BF$8:$BF$68,AO$4-$B161+1)</f>
        <v/>
      </c>
      <c r="AP161" s="153">
        <f>$C161*INDEX(Curves!$BF$8:$BF$68,AP$4-$B161+1)</f>
        <v/>
      </c>
      <c r="AQ161" s="153">
        <f>$C161*INDEX(Curves!$BF$8:$BF$68,AQ$4-$B161+1)</f>
        <v/>
      </c>
      <c r="AR161" s="153">
        <f>$C161*INDEX(Curves!$BF$8:$BF$68,AR$4-$B161+1)</f>
        <v/>
      </c>
      <c r="AS161" s="153">
        <f>$C161*INDEX(Curves!$BF$8:$BF$68,AS$4-$B161+1)</f>
        <v/>
      </c>
      <c r="AT161" s="153">
        <f>$C161*INDEX(Curves!$BF$8:$BF$68,AT$4-$B161+1)</f>
        <v/>
      </c>
      <c r="AU161" s="153">
        <f>$C161*INDEX(Curves!$BF$8:$BF$68,AU$4-$B161+1)</f>
        <v/>
      </c>
      <c r="AV161" s="153">
        <f>$C161*INDEX(Curves!$BF$8:$BF$68,AV$4-$B161+1)</f>
        <v/>
      </c>
      <c r="AW161" s="153">
        <f>$C161*INDEX(Curves!$BF$8:$BF$68,AW$4-$B161+1)</f>
        <v/>
      </c>
      <c r="AX161" s="153">
        <f>$C161*INDEX(Curves!$BF$8:$BF$68,AX$4-$B161+1)</f>
        <v/>
      </c>
      <c r="AY161" s="153">
        <f>$C161*INDEX(Curves!$BF$8:$BF$68,AY$4-$B161+1)</f>
        <v/>
      </c>
      <c r="AZ161" s="153">
        <f>$C161*INDEX(Curves!$BF$8:$BF$68,AZ$4-$B161+1)</f>
        <v/>
      </c>
      <c r="BA161" s="153">
        <f>$C161*INDEX(Curves!$BF$8:$BF$68,BA$4-$B161+1)</f>
        <v/>
      </c>
      <c r="BB161" s="153">
        <f>$C161*INDEX(Curves!$BF$8:$BF$68,BB$4-$B161+1)</f>
        <v/>
      </c>
      <c r="BC161" s="153">
        <f>$C161*INDEX(Curves!$BF$8:$BF$68,BC$4-$B161+1)</f>
        <v/>
      </c>
      <c r="BD161" s="153">
        <f>$C161*INDEX(Curves!$BF$8:$BF$68,BD$4-$B161+1)</f>
        <v/>
      </c>
      <c r="BE161" s="153">
        <f>$C161*INDEX(Curves!$BF$8:$BF$68,BE$4-$B161+1)</f>
        <v/>
      </c>
      <c r="BF161" s="153">
        <f>$C161*INDEX(Curves!$BF$8:$BF$68,BF$4-$B161+1)</f>
        <v/>
      </c>
      <c r="BG161" s="153">
        <f>$C161*INDEX(Curves!$BF$8:$BF$68,BG$4-$B161+1)</f>
        <v/>
      </c>
      <c r="BH161" s="153">
        <f>$C161*INDEX(Curves!$BF$8:$BF$68,BH$4-$B161+1)</f>
        <v/>
      </c>
      <c r="BI161" s="153">
        <f>$C161*INDEX(Curves!$BF$8:$BF$68,BI$4-$B161+1)</f>
        <v/>
      </c>
      <c r="BJ161" s="153">
        <f>$C161*INDEX(Curves!$BF$8:$BF$68,BJ$4-$B161+1)</f>
        <v/>
      </c>
      <c r="BK161" s="153">
        <f>$C161*INDEX(Curves!$BF$8:$BF$68,BK$4-$B161+1)</f>
        <v/>
      </c>
      <c r="BL161" s="153">
        <f>$C161*INDEX(Curves!$BF$8:$BF$68,BL$4-$B161+1)</f>
        <v/>
      </c>
    </row>
    <row r="162">
      <c r="A162" s="147" t="inlineStr">
        <is>
          <t>Cohort month 27</t>
        </is>
      </c>
      <c r="B162" s="147" t="n">
        <v>27</v>
      </c>
      <c r="C162" s="41">
        <f>INDEX(Ops!$E$110:$BL$110,1,$B162)</f>
        <v/>
      </c>
      <c r="AF162" s="153">
        <f>$C162*INDEX(Curves!$BF$8:$BF$68,AF$4-$B162+1)</f>
        <v/>
      </c>
      <c r="AG162" s="153">
        <f>$C162*INDEX(Curves!$BF$8:$BF$68,AG$4-$B162+1)</f>
        <v/>
      </c>
      <c r="AH162" s="153">
        <f>$C162*INDEX(Curves!$BF$8:$BF$68,AH$4-$B162+1)</f>
        <v/>
      </c>
      <c r="AI162" s="153">
        <f>$C162*INDEX(Curves!$BF$8:$BF$68,AI$4-$B162+1)</f>
        <v/>
      </c>
      <c r="AJ162" s="153">
        <f>$C162*INDEX(Curves!$BF$8:$BF$68,AJ$4-$B162+1)</f>
        <v/>
      </c>
      <c r="AK162" s="153">
        <f>$C162*INDEX(Curves!$BF$8:$BF$68,AK$4-$B162+1)</f>
        <v/>
      </c>
      <c r="AL162" s="153">
        <f>$C162*INDEX(Curves!$BF$8:$BF$68,AL$4-$B162+1)</f>
        <v/>
      </c>
      <c r="AM162" s="153">
        <f>$C162*INDEX(Curves!$BF$8:$BF$68,AM$4-$B162+1)</f>
        <v/>
      </c>
      <c r="AN162" s="153">
        <f>$C162*INDEX(Curves!$BF$8:$BF$68,AN$4-$B162+1)</f>
        <v/>
      </c>
      <c r="AO162" s="153">
        <f>$C162*INDEX(Curves!$BF$8:$BF$68,AO$4-$B162+1)</f>
        <v/>
      </c>
      <c r="AP162" s="153">
        <f>$C162*INDEX(Curves!$BF$8:$BF$68,AP$4-$B162+1)</f>
        <v/>
      </c>
      <c r="AQ162" s="153">
        <f>$C162*INDEX(Curves!$BF$8:$BF$68,AQ$4-$B162+1)</f>
        <v/>
      </c>
      <c r="AR162" s="153">
        <f>$C162*INDEX(Curves!$BF$8:$BF$68,AR$4-$B162+1)</f>
        <v/>
      </c>
      <c r="AS162" s="153">
        <f>$C162*INDEX(Curves!$BF$8:$BF$68,AS$4-$B162+1)</f>
        <v/>
      </c>
      <c r="AT162" s="153">
        <f>$C162*INDEX(Curves!$BF$8:$BF$68,AT$4-$B162+1)</f>
        <v/>
      </c>
      <c r="AU162" s="153">
        <f>$C162*INDEX(Curves!$BF$8:$BF$68,AU$4-$B162+1)</f>
        <v/>
      </c>
      <c r="AV162" s="153">
        <f>$C162*INDEX(Curves!$BF$8:$BF$68,AV$4-$B162+1)</f>
        <v/>
      </c>
      <c r="AW162" s="153">
        <f>$C162*INDEX(Curves!$BF$8:$BF$68,AW$4-$B162+1)</f>
        <v/>
      </c>
      <c r="AX162" s="153">
        <f>$C162*INDEX(Curves!$BF$8:$BF$68,AX$4-$B162+1)</f>
        <v/>
      </c>
      <c r="AY162" s="153">
        <f>$C162*INDEX(Curves!$BF$8:$BF$68,AY$4-$B162+1)</f>
        <v/>
      </c>
      <c r="AZ162" s="153">
        <f>$C162*INDEX(Curves!$BF$8:$BF$68,AZ$4-$B162+1)</f>
        <v/>
      </c>
      <c r="BA162" s="153">
        <f>$C162*INDEX(Curves!$BF$8:$BF$68,BA$4-$B162+1)</f>
        <v/>
      </c>
      <c r="BB162" s="153">
        <f>$C162*INDEX(Curves!$BF$8:$BF$68,BB$4-$B162+1)</f>
        <v/>
      </c>
      <c r="BC162" s="153">
        <f>$C162*INDEX(Curves!$BF$8:$BF$68,BC$4-$B162+1)</f>
        <v/>
      </c>
      <c r="BD162" s="153">
        <f>$C162*INDEX(Curves!$BF$8:$BF$68,BD$4-$B162+1)</f>
        <v/>
      </c>
      <c r="BE162" s="153">
        <f>$C162*INDEX(Curves!$BF$8:$BF$68,BE$4-$B162+1)</f>
        <v/>
      </c>
      <c r="BF162" s="153">
        <f>$C162*INDEX(Curves!$BF$8:$BF$68,BF$4-$B162+1)</f>
        <v/>
      </c>
      <c r="BG162" s="153">
        <f>$C162*INDEX(Curves!$BF$8:$BF$68,BG$4-$B162+1)</f>
        <v/>
      </c>
      <c r="BH162" s="153">
        <f>$C162*INDEX(Curves!$BF$8:$BF$68,BH$4-$B162+1)</f>
        <v/>
      </c>
      <c r="BI162" s="153">
        <f>$C162*INDEX(Curves!$BF$8:$BF$68,BI$4-$B162+1)</f>
        <v/>
      </c>
      <c r="BJ162" s="153">
        <f>$C162*INDEX(Curves!$BF$8:$BF$68,BJ$4-$B162+1)</f>
        <v/>
      </c>
      <c r="BK162" s="153">
        <f>$C162*INDEX(Curves!$BF$8:$BF$68,BK$4-$B162+1)</f>
        <v/>
      </c>
      <c r="BL162" s="153">
        <f>$C162*INDEX(Curves!$BF$8:$BF$68,BL$4-$B162+1)</f>
        <v/>
      </c>
    </row>
    <row r="163">
      <c r="A163" s="147" t="inlineStr">
        <is>
          <t>Cohort month 28</t>
        </is>
      </c>
      <c r="B163" s="147" t="n">
        <v>28</v>
      </c>
      <c r="C163" s="41">
        <f>INDEX(Ops!$E$110:$BL$110,1,$B163)</f>
        <v/>
      </c>
      <c r="AG163" s="153">
        <f>$C163*INDEX(Curves!$BF$8:$BF$68,AG$4-$B163+1)</f>
        <v/>
      </c>
      <c r="AH163" s="153">
        <f>$C163*INDEX(Curves!$BF$8:$BF$68,AH$4-$B163+1)</f>
        <v/>
      </c>
      <c r="AI163" s="153">
        <f>$C163*INDEX(Curves!$BF$8:$BF$68,AI$4-$B163+1)</f>
        <v/>
      </c>
      <c r="AJ163" s="153">
        <f>$C163*INDEX(Curves!$BF$8:$BF$68,AJ$4-$B163+1)</f>
        <v/>
      </c>
      <c r="AK163" s="153">
        <f>$C163*INDEX(Curves!$BF$8:$BF$68,AK$4-$B163+1)</f>
        <v/>
      </c>
      <c r="AL163" s="153">
        <f>$C163*INDEX(Curves!$BF$8:$BF$68,AL$4-$B163+1)</f>
        <v/>
      </c>
      <c r="AM163" s="153">
        <f>$C163*INDEX(Curves!$BF$8:$BF$68,AM$4-$B163+1)</f>
        <v/>
      </c>
      <c r="AN163" s="153">
        <f>$C163*INDEX(Curves!$BF$8:$BF$68,AN$4-$B163+1)</f>
        <v/>
      </c>
      <c r="AO163" s="153">
        <f>$C163*INDEX(Curves!$BF$8:$BF$68,AO$4-$B163+1)</f>
        <v/>
      </c>
      <c r="AP163" s="153">
        <f>$C163*INDEX(Curves!$BF$8:$BF$68,AP$4-$B163+1)</f>
        <v/>
      </c>
      <c r="AQ163" s="153">
        <f>$C163*INDEX(Curves!$BF$8:$BF$68,AQ$4-$B163+1)</f>
        <v/>
      </c>
      <c r="AR163" s="153">
        <f>$C163*INDEX(Curves!$BF$8:$BF$68,AR$4-$B163+1)</f>
        <v/>
      </c>
      <c r="AS163" s="153">
        <f>$C163*INDEX(Curves!$BF$8:$BF$68,AS$4-$B163+1)</f>
        <v/>
      </c>
      <c r="AT163" s="153">
        <f>$C163*INDEX(Curves!$BF$8:$BF$68,AT$4-$B163+1)</f>
        <v/>
      </c>
      <c r="AU163" s="153">
        <f>$C163*INDEX(Curves!$BF$8:$BF$68,AU$4-$B163+1)</f>
        <v/>
      </c>
      <c r="AV163" s="153">
        <f>$C163*INDEX(Curves!$BF$8:$BF$68,AV$4-$B163+1)</f>
        <v/>
      </c>
      <c r="AW163" s="153">
        <f>$C163*INDEX(Curves!$BF$8:$BF$68,AW$4-$B163+1)</f>
        <v/>
      </c>
      <c r="AX163" s="153">
        <f>$C163*INDEX(Curves!$BF$8:$BF$68,AX$4-$B163+1)</f>
        <v/>
      </c>
      <c r="AY163" s="153">
        <f>$C163*INDEX(Curves!$BF$8:$BF$68,AY$4-$B163+1)</f>
        <v/>
      </c>
      <c r="AZ163" s="153">
        <f>$C163*INDEX(Curves!$BF$8:$BF$68,AZ$4-$B163+1)</f>
        <v/>
      </c>
      <c r="BA163" s="153">
        <f>$C163*INDEX(Curves!$BF$8:$BF$68,BA$4-$B163+1)</f>
        <v/>
      </c>
      <c r="BB163" s="153">
        <f>$C163*INDEX(Curves!$BF$8:$BF$68,BB$4-$B163+1)</f>
        <v/>
      </c>
      <c r="BC163" s="153">
        <f>$C163*INDEX(Curves!$BF$8:$BF$68,BC$4-$B163+1)</f>
        <v/>
      </c>
      <c r="BD163" s="153">
        <f>$C163*INDEX(Curves!$BF$8:$BF$68,BD$4-$B163+1)</f>
        <v/>
      </c>
      <c r="BE163" s="153">
        <f>$C163*INDEX(Curves!$BF$8:$BF$68,BE$4-$B163+1)</f>
        <v/>
      </c>
      <c r="BF163" s="153">
        <f>$C163*INDEX(Curves!$BF$8:$BF$68,BF$4-$B163+1)</f>
        <v/>
      </c>
      <c r="BG163" s="153">
        <f>$C163*INDEX(Curves!$BF$8:$BF$68,BG$4-$B163+1)</f>
        <v/>
      </c>
      <c r="BH163" s="153">
        <f>$C163*INDEX(Curves!$BF$8:$BF$68,BH$4-$B163+1)</f>
        <v/>
      </c>
      <c r="BI163" s="153">
        <f>$C163*INDEX(Curves!$BF$8:$BF$68,BI$4-$B163+1)</f>
        <v/>
      </c>
      <c r="BJ163" s="153">
        <f>$C163*INDEX(Curves!$BF$8:$BF$68,BJ$4-$B163+1)</f>
        <v/>
      </c>
      <c r="BK163" s="153">
        <f>$C163*INDEX(Curves!$BF$8:$BF$68,BK$4-$B163+1)</f>
        <v/>
      </c>
      <c r="BL163" s="153">
        <f>$C163*INDEX(Curves!$BF$8:$BF$68,BL$4-$B163+1)</f>
        <v/>
      </c>
    </row>
    <row r="164">
      <c r="A164" s="147" t="inlineStr">
        <is>
          <t>Cohort month 29</t>
        </is>
      </c>
      <c r="B164" s="147" t="n">
        <v>29</v>
      </c>
      <c r="C164" s="41">
        <f>INDEX(Ops!$E$110:$BL$110,1,$B164)</f>
        <v/>
      </c>
      <c r="AH164" s="153">
        <f>$C164*INDEX(Curves!$BF$8:$BF$68,AH$4-$B164+1)</f>
        <v/>
      </c>
      <c r="AI164" s="153">
        <f>$C164*INDEX(Curves!$BF$8:$BF$68,AI$4-$B164+1)</f>
        <v/>
      </c>
      <c r="AJ164" s="153">
        <f>$C164*INDEX(Curves!$BF$8:$BF$68,AJ$4-$B164+1)</f>
        <v/>
      </c>
      <c r="AK164" s="153">
        <f>$C164*INDEX(Curves!$BF$8:$BF$68,AK$4-$B164+1)</f>
        <v/>
      </c>
      <c r="AL164" s="153">
        <f>$C164*INDEX(Curves!$BF$8:$BF$68,AL$4-$B164+1)</f>
        <v/>
      </c>
      <c r="AM164" s="153">
        <f>$C164*INDEX(Curves!$BF$8:$BF$68,AM$4-$B164+1)</f>
        <v/>
      </c>
      <c r="AN164" s="153">
        <f>$C164*INDEX(Curves!$BF$8:$BF$68,AN$4-$B164+1)</f>
        <v/>
      </c>
      <c r="AO164" s="153">
        <f>$C164*INDEX(Curves!$BF$8:$BF$68,AO$4-$B164+1)</f>
        <v/>
      </c>
      <c r="AP164" s="153">
        <f>$C164*INDEX(Curves!$BF$8:$BF$68,AP$4-$B164+1)</f>
        <v/>
      </c>
      <c r="AQ164" s="153">
        <f>$C164*INDEX(Curves!$BF$8:$BF$68,AQ$4-$B164+1)</f>
        <v/>
      </c>
      <c r="AR164" s="153">
        <f>$C164*INDEX(Curves!$BF$8:$BF$68,AR$4-$B164+1)</f>
        <v/>
      </c>
      <c r="AS164" s="153">
        <f>$C164*INDEX(Curves!$BF$8:$BF$68,AS$4-$B164+1)</f>
        <v/>
      </c>
      <c r="AT164" s="153">
        <f>$C164*INDEX(Curves!$BF$8:$BF$68,AT$4-$B164+1)</f>
        <v/>
      </c>
      <c r="AU164" s="153">
        <f>$C164*INDEX(Curves!$BF$8:$BF$68,AU$4-$B164+1)</f>
        <v/>
      </c>
      <c r="AV164" s="153">
        <f>$C164*INDEX(Curves!$BF$8:$BF$68,AV$4-$B164+1)</f>
        <v/>
      </c>
      <c r="AW164" s="153">
        <f>$C164*INDEX(Curves!$BF$8:$BF$68,AW$4-$B164+1)</f>
        <v/>
      </c>
      <c r="AX164" s="153">
        <f>$C164*INDEX(Curves!$BF$8:$BF$68,AX$4-$B164+1)</f>
        <v/>
      </c>
      <c r="AY164" s="153">
        <f>$C164*INDEX(Curves!$BF$8:$BF$68,AY$4-$B164+1)</f>
        <v/>
      </c>
      <c r="AZ164" s="153">
        <f>$C164*INDEX(Curves!$BF$8:$BF$68,AZ$4-$B164+1)</f>
        <v/>
      </c>
      <c r="BA164" s="153">
        <f>$C164*INDEX(Curves!$BF$8:$BF$68,BA$4-$B164+1)</f>
        <v/>
      </c>
      <c r="BB164" s="153">
        <f>$C164*INDEX(Curves!$BF$8:$BF$68,BB$4-$B164+1)</f>
        <v/>
      </c>
      <c r="BC164" s="153">
        <f>$C164*INDEX(Curves!$BF$8:$BF$68,BC$4-$B164+1)</f>
        <v/>
      </c>
      <c r="BD164" s="153">
        <f>$C164*INDEX(Curves!$BF$8:$BF$68,BD$4-$B164+1)</f>
        <v/>
      </c>
      <c r="BE164" s="153">
        <f>$C164*INDEX(Curves!$BF$8:$BF$68,BE$4-$B164+1)</f>
        <v/>
      </c>
      <c r="BF164" s="153">
        <f>$C164*INDEX(Curves!$BF$8:$BF$68,BF$4-$B164+1)</f>
        <v/>
      </c>
      <c r="BG164" s="153">
        <f>$C164*INDEX(Curves!$BF$8:$BF$68,BG$4-$B164+1)</f>
        <v/>
      </c>
      <c r="BH164" s="153">
        <f>$C164*INDEX(Curves!$BF$8:$BF$68,BH$4-$B164+1)</f>
        <v/>
      </c>
      <c r="BI164" s="153">
        <f>$C164*INDEX(Curves!$BF$8:$BF$68,BI$4-$B164+1)</f>
        <v/>
      </c>
      <c r="BJ164" s="153">
        <f>$C164*INDEX(Curves!$BF$8:$BF$68,BJ$4-$B164+1)</f>
        <v/>
      </c>
      <c r="BK164" s="153">
        <f>$C164*INDEX(Curves!$BF$8:$BF$68,BK$4-$B164+1)</f>
        <v/>
      </c>
      <c r="BL164" s="153">
        <f>$C164*INDEX(Curves!$BF$8:$BF$68,BL$4-$B164+1)</f>
        <v/>
      </c>
    </row>
    <row r="165">
      <c r="A165" s="147" t="inlineStr">
        <is>
          <t>Cohort month 30</t>
        </is>
      </c>
      <c r="B165" s="147" t="n">
        <v>30</v>
      </c>
      <c r="C165" s="41">
        <f>INDEX(Ops!$E$110:$BL$110,1,$B165)</f>
        <v/>
      </c>
      <c r="AI165" s="153">
        <f>$C165*INDEX(Curves!$BF$8:$BF$68,AI$4-$B165+1)</f>
        <v/>
      </c>
      <c r="AJ165" s="153">
        <f>$C165*INDEX(Curves!$BF$8:$BF$68,AJ$4-$B165+1)</f>
        <v/>
      </c>
      <c r="AK165" s="153">
        <f>$C165*INDEX(Curves!$BF$8:$BF$68,AK$4-$B165+1)</f>
        <v/>
      </c>
      <c r="AL165" s="153">
        <f>$C165*INDEX(Curves!$BF$8:$BF$68,AL$4-$B165+1)</f>
        <v/>
      </c>
      <c r="AM165" s="153">
        <f>$C165*INDEX(Curves!$BF$8:$BF$68,AM$4-$B165+1)</f>
        <v/>
      </c>
      <c r="AN165" s="153">
        <f>$C165*INDEX(Curves!$BF$8:$BF$68,AN$4-$B165+1)</f>
        <v/>
      </c>
      <c r="AO165" s="153">
        <f>$C165*INDEX(Curves!$BF$8:$BF$68,AO$4-$B165+1)</f>
        <v/>
      </c>
      <c r="AP165" s="153">
        <f>$C165*INDEX(Curves!$BF$8:$BF$68,AP$4-$B165+1)</f>
        <v/>
      </c>
      <c r="AQ165" s="153">
        <f>$C165*INDEX(Curves!$BF$8:$BF$68,AQ$4-$B165+1)</f>
        <v/>
      </c>
      <c r="AR165" s="153">
        <f>$C165*INDEX(Curves!$BF$8:$BF$68,AR$4-$B165+1)</f>
        <v/>
      </c>
      <c r="AS165" s="153">
        <f>$C165*INDEX(Curves!$BF$8:$BF$68,AS$4-$B165+1)</f>
        <v/>
      </c>
      <c r="AT165" s="153">
        <f>$C165*INDEX(Curves!$BF$8:$BF$68,AT$4-$B165+1)</f>
        <v/>
      </c>
      <c r="AU165" s="153">
        <f>$C165*INDEX(Curves!$BF$8:$BF$68,AU$4-$B165+1)</f>
        <v/>
      </c>
      <c r="AV165" s="153">
        <f>$C165*INDEX(Curves!$BF$8:$BF$68,AV$4-$B165+1)</f>
        <v/>
      </c>
      <c r="AW165" s="153">
        <f>$C165*INDEX(Curves!$BF$8:$BF$68,AW$4-$B165+1)</f>
        <v/>
      </c>
      <c r="AX165" s="153">
        <f>$C165*INDEX(Curves!$BF$8:$BF$68,AX$4-$B165+1)</f>
        <v/>
      </c>
      <c r="AY165" s="153">
        <f>$C165*INDEX(Curves!$BF$8:$BF$68,AY$4-$B165+1)</f>
        <v/>
      </c>
      <c r="AZ165" s="153">
        <f>$C165*INDEX(Curves!$BF$8:$BF$68,AZ$4-$B165+1)</f>
        <v/>
      </c>
      <c r="BA165" s="153">
        <f>$C165*INDEX(Curves!$BF$8:$BF$68,BA$4-$B165+1)</f>
        <v/>
      </c>
      <c r="BB165" s="153">
        <f>$C165*INDEX(Curves!$BF$8:$BF$68,BB$4-$B165+1)</f>
        <v/>
      </c>
      <c r="BC165" s="153">
        <f>$C165*INDEX(Curves!$BF$8:$BF$68,BC$4-$B165+1)</f>
        <v/>
      </c>
      <c r="BD165" s="153">
        <f>$C165*INDEX(Curves!$BF$8:$BF$68,BD$4-$B165+1)</f>
        <v/>
      </c>
      <c r="BE165" s="153">
        <f>$C165*INDEX(Curves!$BF$8:$BF$68,BE$4-$B165+1)</f>
        <v/>
      </c>
      <c r="BF165" s="153">
        <f>$C165*INDEX(Curves!$BF$8:$BF$68,BF$4-$B165+1)</f>
        <v/>
      </c>
      <c r="BG165" s="153">
        <f>$C165*INDEX(Curves!$BF$8:$BF$68,BG$4-$B165+1)</f>
        <v/>
      </c>
      <c r="BH165" s="153">
        <f>$C165*INDEX(Curves!$BF$8:$BF$68,BH$4-$B165+1)</f>
        <v/>
      </c>
      <c r="BI165" s="153">
        <f>$C165*INDEX(Curves!$BF$8:$BF$68,BI$4-$B165+1)</f>
        <v/>
      </c>
      <c r="BJ165" s="153">
        <f>$C165*INDEX(Curves!$BF$8:$BF$68,BJ$4-$B165+1)</f>
        <v/>
      </c>
      <c r="BK165" s="153">
        <f>$C165*INDEX(Curves!$BF$8:$BF$68,BK$4-$B165+1)</f>
        <v/>
      </c>
      <c r="BL165" s="153">
        <f>$C165*INDEX(Curves!$BF$8:$BF$68,BL$4-$B165+1)</f>
        <v/>
      </c>
    </row>
    <row r="166">
      <c r="A166" s="147" t="inlineStr">
        <is>
          <t>Cohort month 31</t>
        </is>
      </c>
      <c r="B166" s="147" t="n">
        <v>31</v>
      </c>
      <c r="C166" s="41">
        <f>INDEX(Ops!$E$110:$BL$110,1,$B166)</f>
        <v/>
      </c>
      <c r="AJ166" s="153">
        <f>$C166*INDEX(Curves!$BF$8:$BF$68,AJ$4-$B166+1)</f>
        <v/>
      </c>
      <c r="AK166" s="153">
        <f>$C166*INDEX(Curves!$BF$8:$BF$68,AK$4-$B166+1)</f>
        <v/>
      </c>
      <c r="AL166" s="153">
        <f>$C166*INDEX(Curves!$BF$8:$BF$68,AL$4-$B166+1)</f>
        <v/>
      </c>
      <c r="AM166" s="153">
        <f>$C166*INDEX(Curves!$BF$8:$BF$68,AM$4-$B166+1)</f>
        <v/>
      </c>
      <c r="AN166" s="153">
        <f>$C166*INDEX(Curves!$BF$8:$BF$68,AN$4-$B166+1)</f>
        <v/>
      </c>
      <c r="AO166" s="153">
        <f>$C166*INDEX(Curves!$BF$8:$BF$68,AO$4-$B166+1)</f>
        <v/>
      </c>
      <c r="AP166" s="153">
        <f>$C166*INDEX(Curves!$BF$8:$BF$68,AP$4-$B166+1)</f>
        <v/>
      </c>
      <c r="AQ166" s="153">
        <f>$C166*INDEX(Curves!$BF$8:$BF$68,AQ$4-$B166+1)</f>
        <v/>
      </c>
      <c r="AR166" s="153">
        <f>$C166*INDEX(Curves!$BF$8:$BF$68,AR$4-$B166+1)</f>
        <v/>
      </c>
      <c r="AS166" s="153">
        <f>$C166*INDEX(Curves!$BF$8:$BF$68,AS$4-$B166+1)</f>
        <v/>
      </c>
      <c r="AT166" s="153">
        <f>$C166*INDEX(Curves!$BF$8:$BF$68,AT$4-$B166+1)</f>
        <v/>
      </c>
      <c r="AU166" s="153">
        <f>$C166*INDEX(Curves!$BF$8:$BF$68,AU$4-$B166+1)</f>
        <v/>
      </c>
      <c r="AV166" s="153">
        <f>$C166*INDEX(Curves!$BF$8:$BF$68,AV$4-$B166+1)</f>
        <v/>
      </c>
      <c r="AW166" s="153">
        <f>$C166*INDEX(Curves!$BF$8:$BF$68,AW$4-$B166+1)</f>
        <v/>
      </c>
      <c r="AX166" s="153">
        <f>$C166*INDEX(Curves!$BF$8:$BF$68,AX$4-$B166+1)</f>
        <v/>
      </c>
      <c r="AY166" s="153">
        <f>$C166*INDEX(Curves!$BF$8:$BF$68,AY$4-$B166+1)</f>
        <v/>
      </c>
      <c r="AZ166" s="153">
        <f>$C166*INDEX(Curves!$BF$8:$BF$68,AZ$4-$B166+1)</f>
        <v/>
      </c>
      <c r="BA166" s="153">
        <f>$C166*INDEX(Curves!$BF$8:$BF$68,BA$4-$B166+1)</f>
        <v/>
      </c>
      <c r="BB166" s="153">
        <f>$C166*INDEX(Curves!$BF$8:$BF$68,BB$4-$B166+1)</f>
        <v/>
      </c>
      <c r="BC166" s="153">
        <f>$C166*INDEX(Curves!$BF$8:$BF$68,BC$4-$B166+1)</f>
        <v/>
      </c>
      <c r="BD166" s="153">
        <f>$C166*INDEX(Curves!$BF$8:$BF$68,BD$4-$B166+1)</f>
        <v/>
      </c>
      <c r="BE166" s="153">
        <f>$C166*INDEX(Curves!$BF$8:$BF$68,BE$4-$B166+1)</f>
        <v/>
      </c>
      <c r="BF166" s="153">
        <f>$C166*INDEX(Curves!$BF$8:$BF$68,BF$4-$B166+1)</f>
        <v/>
      </c>
      <c r="BG166" s="153">
        <f>$C166*INDEX(Curves!$BF$8:$BF$68,BG$4-$B166+1)</f>
        <v/>
      </c>
      <c r="BH166" s="153">
        <f>$C166*INDEX(Curves!$BF$8:$BF$68,BH$4-$B166+1)</f>
        <v/>
      </c>
      <c r="BI166" s="153">
        <f>$C166*INDEX(Curves!$BF$8:$BF$68,BI$4-$B166+1)</f>
        <v/>
      </c>
      <c r="BJ166" s="153">
        <f>$C166*INDEX(Curves!$BF$8:$BF$68,BJ$4-$B166+1)</f>
        <v/>
      </c>
      <c r="BK166" s="153">
        <f>$C166*INDEX(Curves!$BF$8:$BF$68,BK$4-$B166+1)</f>
        <v/>
      </c>
      <c r="BL166" s="153">
        <f>$C166*INDEX(Curves!$BF$8:$BF$68,BL$4-$B166+1)</f>
        <v/>
      </c>
    </row>
    <row r="167">
      <c r="A167" s="147" t="inlineStr">
        <is>
          <t>Cohort month 32</t>
        </is>
      </c>
      <c r="B167" s="147" t="n">
        <v>32</v>
      </c>
      <c r="C167" s="41">
        <f>INDEX(Ops!$E$110:$BL$110,1,$B167)</f>
        <v/>
      </c>
      <c r="AK167" s="153">
        <f>$C167*INDEX(Curves!$BF$8:$BF$68,AK$4-$B167+1)</f>
        <v/>
      </c>
      <c r="AL167" s="153">
        <f>$C167*INDEX(Curves!$BF$8:$BF$68,AL$4-$B167+1)</f>
        <v/>
      </c>
      <c r="AM167" s="153">
        <f>$C167*INDEX(Curves!$BF$8:$BF$68,AM$4-$B167+1)</f>
        <v/>
      </c>
      <c r="AN167" s="153">
        <f>$C167*INDEX(Curves!$BF$8:$BF$68,AN$4-$B167+1)</f>
        <v/>
      </c>
      <c r="AO167" s="153">
        <f>$C167*INDEX(Curves!$BF$8:$BF$68,AO$4-$B167+1)</f>
        <v/>
      </c>
      <c r="AP167" s="153">
        <f>$C167*INDEX(Curves!$BF$8:$BF$68,AP$4-$B167+1)</f>
        <v/>
      </c>
      <c r="AQ167" s="153">
        <f>$C167*INDEX(Curves!$BF$8:$BF$68,AQ$4-$B167+1)</f>
        <v/>
      </c>
      <c r="AR167" s="153">
        <f>$C167*INDEX(Curves!$BF$8:$BF$68,AR$4-$B167+1)</f>
        <v/>
      </c>
      <c r="AS167" s="153">
        <f>$C167*INDEX(Curves!$BF$8:$BF$68,AS$4-$B167+1)</f>
        <v/>
      </c>
      <c r="AT167" s="153">
        <f>$C167*INDEX(Curves!$BF$8:$BF$68,AT$4-$B167+1)</f>
        <v/>
      </c>
      <c r="AU167" s="153">
        <f>$C167*INDEX(Curves!$BF$8:$BF$68,AU$4-$B167+1)</f>
        <v/>
      </c>
      <c r="AV167" s="153">
        <f>$C167*INDEX(Curves!$BF$8:$BF$68,AV$4-$B167+1)</f>
        <v/>
      </c>
      <c r="AW167" s="153">
        <f>$C167*INDEX(Curves!$BF$8:$BF$68,AW$4-$B167+1)</f>
        <v/>
      </c>
      <c r="AX167" s="153">
        <f>$C167*INDEX(Curves!$BF$8:$BF$68,AX$4-$B167+1)</f>
        <v/>
      </c>
      <c r="AY167" s="153">
        <f>$C167*INDEX(Curves!$BF$8:$BF$68,AY$4-$B167+1)</f>
        <v/>
      </c>
      <c r="AZ167" s="153">
        <f>$C167*INDEX(Curves!$BF$8:$BF$68,AZ$4-$B167+1)</f>
        <v/>
      </c>
      <c r="BA167" s="153">
        <f>$C167*INDEX(Curves!$BF$8:$BF$68,BA$4-$B167+1)</f>
        <v/>
      </c>
      <c r="BB167" s="153">
        <f>$C167*INDEX(Curves!$BF$8:$BF$68,BB$4-$B167+1)</f>
        <v/>
      </c>
      <c r="BC167" s="153">
        <f>$C167*INDEX(Curves!$BF$8:$BF$68,BC$4-$B167+1)</f>
        <v/>
      </c>
      <c r="BD167" s="153">
        <f>$C167*INDEX(Curves!$BF$8:$BF$68,BD$4-$B167+1)</f>
        <v/>
      </c>
      <c r="BE167" s="153">
        <f>$C167*INDEX(Curves!$BF$8:$BF$68,BE$4-$B167+1)</f>
        <v/>
      </c>
      <c r="BF167" s="153">
        <f>$C167*INDEX(Curves!$BF$8:$BF$68,BF$4-$B167+1)</f>
        <v/>
      </c>
      <c r="BG167" s="153">
        <f>$C167*INDEX(Curves!$BF$8:$BF$68,BG$4-$B167+1)</f>
        <v/>
      </c>
      <c r="BH167" s="153">
        <f>$C167*INDEX(Curves!$BF$8:$BF$68,BH$4-$B167+1)</f>
        <v/>
      </c>
      <c r="BI167" s="153">
        <f>$C167*INDEX(Curves!$BF$8:$BF$68,BI$4-$B167+1)</f>
        <v/>
      </c>
      <c r="BJ167" s="153">
        <f>$C167*INDEX(Curves!$BF$8:$BF$68,BJ$4-$B167+1)</f>
        <v/>
      </c>
      <c r="BK167" s="153">
        <f>$C167*INDEX(Curves!$BF$8:$BF$68,BK$4-$B167+1)</f>
        <v/>
      </c>
      <c r="BL167" s="153">
        <f>$C167*INDEX(Curves!$BF$8:$BF$68,BL$4-$B167+1)</f>
        <v/>
      </c>
    </row>
    <row r="168">
      <c r="A168" s="147" t="inlineStr">
        <is>
          <t>Cohort month 33</t>
        </is>
      </c>
      <c r="B168" s="147" t="n">
        <v>33</v>
      </c>
      <c r="C168" s="41">
        <f>INDEX(Ops!$E$110:$BL$110,1,$B168)</f>
        <v/>
      </c>
      <c r="AL168" s="153">
        <f>$C168*INDEX(Curves!$BF$8:$BF$68,AL$4-$B168+1)</f>
        <v/>
      </c>
      <c r="AM168" s="153">
        <f>$C168*INDEX(Curves!$BF$8:$BF$68,AM$4-$B168+1)</f>
        <v/>
      </c>
      <c r="AN168" s="153">
        <f>$C168*INDEX(Curves!$BF$8:$BF$68,AN$4-$B168+1)</f>
        <v/>
      </c>
      <c r="AO168" s="153">
        <f>$C168*INDEX(Curves!$BF$8:$BF$68,AO$4-$B168+1)</f>
        <v/>
      </c>
      <c r="AP168" s="153">
        <f>$C168*INDEX(Curves!$BF$8:$BF$68,AP$4-$B168+1)</f>
        <v/>
      </c>
      <c r="AQ168" s="153">
        <f>$C168*INDEX(Curves!$BF$8:$BF$68,AQ$4-$B168+1)</f>
        <v/>
      </c>
      <c r="AR168" s="153">
        <f>$C168*INDEX(Curves!$BF$8:$BF$68,AR$4-$B168+1)</f>
        <v/>
      </c>
      <c r="AS168" s="153">
        <f>$C168*INDEX(Curves!$BF$8:$BF$68,AS$4-$B168+1)</f>
        <v/>
      </c>
      <c r="AT168" s="153">
        <f>$C168*INDEX(Curves!$BF$8:$BF$68,AT$4-$B168+1)</f>
        <v/>
      </c>
      <c r="AU168" s="153">
        <f>$C168*INDEX(Curves!$BF$8:$BF$68,AU$4-$B168+1)</f>
        <v/>
      </c>
      <c r="AV168" s="153">
        <f>$C168*INDEX(Curves!$BF$8:$BF$68,AV$4-$B168+1)</f>
        <v/>
      </c>
      <c r="AW168" s="153">
        <f>$C168*INDEX(Curves!$BF$8:$BF$68,AW$4-$B168+1)</f>
        <v/>
      </c>
      <c r="AX168" s="153">
        <f>$C168*INDEX(Curves!$BF$8:$BF$68,AX$4-$B168+1)</f>
        <v/>
      </c>
      <c r="AY168" s="153">
        <f>$C168*INDEX(Curves!$BF$8:$BF$68,AY$4-$B168+1)</f>
        <v/>
      </c>
      <c r="AZ168" s="153">
        <f>$C168*INDEX(Curves!$BF$8:$BF$68,AZ$4-$B168+1)</f>
        <v/>
      </c>
      <c r="BA168" s="153">
        <f>$C168*INDEX(Curves!$BF$8:$BF$68,BA$4-$B168+1)</f>
        <v/>
      </c>
      <c r="BB168" s="153">
        <f>$C168*INDEX(Curves!$BF$8:$BF$68,BB$4-$B168+1)</f>
        <v/>
      </c>
      <c r="BC168" s="153">
        <f>$C168*INDEX(Curves!$BF$8:$BF$68,BC$4-$B168+1)</f>
        <v/>
      </c>
      <c r="BD168" s="153">
        <f>$C168*INDEX(Curves!$BF$8:$BF$68,BD$4-$B168+1)</f>
        <v/>
      </c>
      <c r="BE168" s="153">
        <f>$C168*INDEX(Curves!$BF$8:$BF$68,BE$4-$B168+1)</f>
        <v/>
      </c>
      <c r="BF168" s="153">
        <f>$C168*INDEX(Curves!$BF$8:$BF$68,BF$4-$B168+1)</f>
        <v/>
      </c>
      <c r="BG168" s="153">
        <f>$C168*INDEX(Curves!$BF$8:$BF$68,BG$4-$B168+1)</f>
        <v/>
      </c>
      <c r="BH168" s="153">
        <f>$C168*INDEX(Curves!$BF$8:$BF$68,BH$4-$B168+1)</f>
        <v/>
      </c>
      <c r="BI168" s="153">
        <f>$C168*INDEX(Curves!$BF$8:$BF$68,BI$4-$B168+1)</f>
        <v/>
      </c>
      <c r="BJ168" s="153">
        <f>$C168*INDEX(Curves!$BF$8:$BF$68,BJ$4-$B168+1)</f>
        <v/>
      </c>
      <c r="BK168" s="153">
        <f>$C168*INDEX(Curves!$BF$8:$BF$68,BK$4-$B168+1)</f>
        <v/>
      </c>
      <c r="BL168" s="153">
        <f>$C168*INDEX(Curves!$BF$8:$BF$68,BL$4-$B168+1)</f>
        <v/>
      </c>
    </row>
    <row r="169">
      <c r="A169" s="147" t="inlineStr">
        <is>
          <t>Cohort month 34</t>
        </is>
      </c>
      <c r="B169" s="147" t="n">
        <v>34</v>
      </c>
      <c r="C169" s="41">
        <f>INDEX(Ops!$E$110:$BL$110,1,$B169)</f>
        <v/>
      </c>
      <c r="AM169" s="153">
        <f>$C169*INDEX(Curves!$BF$8:$BF$68,AM$4-$B169+1)</f>
        <v/>
      </c>
      <c r="AN169" s="153">
        <f>$C169*INDEX(Curves!$BF$8:$BF$68,AN$4-$B169+1)</f>
        <v/>
      </c>
      <c r="AO169" s="153">
        <f>$C169*INDEX(Curves!$BF$8:$BF$68,AO$4-$B169+1)</f>
        <v/>
      </c>
      <c r="AP169" s="153">
        <f>$C169*INDEX(Curves!$BF$8:$BF$68,AP$4-$B169+1)</f>
        <v/>
      </c>
      <c r="AQ169" s="153">
        <f>$C169*INDEX(Curves!$BF$8:$BF$68,AQ$4-$B169+1)</f>
        <v/>
      </c>
      <c r="AR169" s="153">
        <f>$C169*INDEX(Curves!$BF$8:$BF$68,AR$4-$B169+1)</f>
        <v/>
      </c>
      <c r="AS169" s="153">
        <f>$C169*INDEX(Curves!$BF$8:$BF$68,AS$4-$B169+1)</f>
        <v/>
      </c>
      <c r="AT169" s="153">
        <f>$C169*INDEX(Curves!$BF$8:$BF$68,AT$4-$B169+1)</f>
        <v/>
      </c>
      <c r="AU169" s="153">
        <f>$C169*INDEX(Curves!$BF$8:$BF$68,AU$4-$B169+1)</f>
        <v/>
      </c>
      <c r="AV169" s="153">
        <f>$C169*INDEX(Curves!$BF$8:$BF$68,AV$4-$B169+1)</f>
        <v/>
      </c>
      <c r="AW169" s="153">
        <f>$C169*INDEX(Curves!$BF$8:$BF$68,AW$4-$B169+1)</f>
        <v/>
      </c>
      <c r="AX169" s="153">
        <f>$C169*INDEX(Curves!$BF$8:$BF$68,AX$4-$B169+1)</f>
        <v/>
      </c>
      <c r="AY169" s="153">
        <f>$C169*INDEX(Curves!$BF$8:$BF$68,AY$4-$B169+1)</f>
        <v/>
      </c>
      <c r="AZ169" s="153">
        <f>$C169*INDEX(Curves!$BF$8:$BF$68,AZ$4-$B169+1)</f>
        <v/>
      </c>
      <c r="BA169" s="153">
        <f>$C169*INDEX(Curves!$BF$8:$BF$68,BA$4-$B169+1)</f>
        <v/>
      </c>
      <c r="BB169" s="153">
        <f>$C169*INDEX(Curves!$BF$8:$BF$68,BB$4-$B169+1)</f>
        <v/>
      </c>
      <c r="BC169" s="153">
        <f>$C169*INDEX(Curves!$BF$8:$BF$68,BC$4-$B169+1)</f>
        <v/>
      </c>
      <c r="BD169" s="153">
        <f>$C169*INDEX(Curves!$BF$8:$BF$68,BD$4-$B169+1)</f>
        <v/>
      </c>
      <c r="BE169" s="153">
        <f>$C169*INDEX(Curves!$BF$8:$BF$68,BE$4-$B169+1)</f>
        <v/>
      </c>
      <c r="BF169" s="153">
        <f>$C169*INDEX(Curves!$BF$8:$BF$68,BF$4-$B169+1)</f>
        <v/>
      </c>
      <c r="BG169" s="153">
        <f>$C169*INDEX(Curves!$BF$8:$BF$68,BG$4-$B169+1)</f>
        <v/>
      </c>
      <c r="BH169" s="153">
        <f>$C169*INDEX(Curves!$BF$8:$BF$68,BH$4-$B169+1)</f>
        <v/>
      </c>
      <c r="BI169" s="153">
        <f>$C169*INDEX(Curves!$BF$8:$BF$68,BI$4-$B169+1)</f>
        <v/>
      </c>
      <c r="BJ169" s="153">
        <f>$C169*INDEX(Curves!$BF$8:$BF$68,BJ$4-$B169+1)</f>
        <v/>
      </c>
      <c r="BK169" s="153">
        <f>$C169*INDEX(Curves!$BF$8:$BF$68,BK$4-$B169+1)</f>
        <v/>
      </c>
      <c r="BL169" s="153">
        <f>$C169*INDEX(Curves!$BF$8:$BF$68,BL$4-$B169+1)</f>
        <v/>
      </c>
    </row>
    <row r="170">
      <c r="A170" s="147" t="inlineStr">
        <is>
          <t>Cohort month 35</t>
        </is>
      </c>
      <c r="B170" s="147" t="n">
        <v>35</v>
      </c>
      <c r="C170" s="41">
        <f>INDEX(Ops!$E$110:$BL$110,1,$B170)</f>
        <v/>
      </c>
      <c r="AN170" s="153">
        <f>$C170*INDEX(Curves!$BF$8:$BF$68,AN$4-$B170+1)</f>
        <v/>
      </c>
      <c r="AO170" s="153">
        <f>$C170*INDEX(Curves!$BF$8:$BF$68,AO$4-$B170+1)</f>
        <v/>
      </c>
      <c r="AP170" s="153">
        <f>$C170*INDEX(Curves!$BF$8:$BF$68,AP$4-$B170+1)</f>
        <v/>
      </c>
      <c r="AQ170" s="153">
        <f>$C170*INDEX(Curves!$BF$8:$BF$68,AQ$4-$B170+1)</f>
        <v/>
      </c>
      <c r="AR170" s="153">
        <f>$C170*INDEX(Curves!$BF$8:$BF$68,AR$4-$B170+1)</f>
        <v/>
      </c>
      <c r="AS170" s="153">
        <f>$C170*INDEX(Curves!$BF$8:$BF$68,AS$4-$B170+1)</f>
        <v/>
      </c>
      <c r="AT170" s="153">
        <f>$C170*INDEX(Curves!$BF$8:$BF$68,AT$4-$B170+1)</f>
        <v/>
      </c>
      <c r="AU170" s="153">
        <f>$C170*INDEX(Curves!$BF$8:$BF$68,AU$4-$B170+1)</f>
        <v/>
      </c>
      <c r="AV170" s="153">
        <f>$C170*INDEX(Curves!$BF$8:$BF$68,AV$4-$B170+1)</f>
        <v/>
      </c>
      <c r="AW170" s="153">
        <f>$C170*INDEX(Curves!$BF$8:$BF$68,AW$4-$B170+1)</f>
        <v/>
      </c>
      <c r="AX170" s="153">
        <f>$C170*INDEX(Curves!$BF$8:$BF$68,AX$4-$B170+1)</f>
        <v/>
      </c>
      <c r="AY170" s="153">
        <f>$C170*INDEX(Curves!$BF$8:$BF$68,AY$4-$B170+1)</f>
        <v/>
      </c>
      <c r="AZ170" s="153">
        <f>$C170*INDEX(Curves!$BF$8:$BF$68,AZ$4-$B170+1)</f>
        <v/>
      </c>
      <c r="BA170" s="153">
        <f>$C170*INDEX(Curves!$BF$8:$BF$68,BA$4-$B170+1)</f>
        <v/>
      </c>
      <c r="BB170" s="153">
        <f>$C170*INDEX(Curves!$BF$8:$BF$68,BB$4-$B170+1)</f>
        <v/>
      </c>
      <c r="BC170" s="153">
        <f>$C170*INDEX(Curves!$BF$8:$BF$68,BC$4-$B170+1)</f>
        <v/>
      </c>
      <c r="BD170" s="153">
        <f>$C170*INDEX(Curves!$BF$8:$BF$68,BD$4-$B170+1)</f>
        <v/>
      </c>
      <c r="BE170" s="153">
        <f>$C170*INDEX(Curves!$BF$8:$BF$68,BE$4-$B170+1)</f>
        <v/>
      </c>
      <c r="BF170" s="153">
        <f>$C170*INDEX(Curves!$BF$8:$BF$68,BF$4-$B170+1)</f>
        <v/>
      </c>
      <c r="BG170" s="153">
        <f>$C170*INDEX(Curves!$BF$8:$BF$68,BG$4-$B170+1)</f>
        <v/>
      </c>
      <c r="BH170" s="153">
        <f>$C170*INDEX(Curves!$BF$8:$BF$68,BH$4-$B170+1)</f>
        <v/>
      </c>
      <c r="BI170" s="153">
        <f>$C170*INDEX(Curves!$BF$8:$BF$68,BI$4-$B170+1)</f>
        <v/>
      </c>
      <c r="BJ170" s="153">
        <f>$C170*INDEX(Curves!$BF$8:$BF$68,BJ$4-$B170+1)</f>
        <v/>
      </c>
      <c r="BK170" s="153">
        <f>$C170*INDEX(Curves!$BF$8:$BF$68,BK$4-$B170+1)</f>
        <v/>
      </c>
      <c r="BL170" s="153">
        <f>$C170*INDEX(Curves!$BF$8:$BF$68,BL$4-$B170+1)</f>
        <v/>
      </c>
    </row>
    <row r="171">
      <c r="A171" s="147" t="inlineStr">
        <is>
          <t>Cohort month 36</t>
        </is>
      </c>
      <c r="B171" s="147" t="n">
        <v>36</v>
      </c>
      <c r="C171" s="41">
        <f>INDEX(Ops!$E$110:$BL$110,1,$B171)</f>
        <v/>
      </c>
      <c r="AO171" s="153">
        <f>$C171*INDEX(Curves!$BF$8:$BF$68,AO$4-$B171+1)</f>
        <v/>
      </c>
      <c r="AP171" s="153">
        <f>$C171*INDEX(Curves!$BF$8:$BF$68,AP$4-$B171+1)</f>
        <v/>
      </c>
      <c r="AQ171" s="153">
        <f>$C171*INDEX(Curves!$BF$8:$BF$68,AQ$4-$B171+1)</f>
        <v/>
      </c>
      <c r="AR171" s="153">
        <f>$C171*INDEX(Curves!$BF$8:$BF$68,AR$4-$B171+1)</f>
        <v/>
      </c>
      <c r="AS171" s="153">
        <f>$C171*INDEX(Curves!$BF$8:$BF$68,AS$4-$B171+1)</f>
        <v/>
      </c>
      <c r="AT171" s="153">
        <f>$C171*INDEX(Curves!$BF$8:$BF$68,AT$4-$B171+1)</f>
        <v/>
      </c>
      <c r="AU171" s="153">
        <f>$C171*INDEX(Curves!$BF$8:$BF$68,AU$4-$B171+1)</f>
        <v/>
      </c>
      <c r="AV171" s="153">
        <f>$C171*INDEX(Curves!$BF$8:$BF$68,AV$4-$B171+1)</f>
        <v/>
      </c>
      <c r="AW171" s="153">
        <f>$C171*INDEX(Curves!$BF$8:$BF$68,AW$4-$B171+1)</f>
        <v/>
      </c>
      <c r="AX171" s="153">
        <f>$C171*INDEX(Curves!$BF$8:$BF$68,AX$4-$B171+1)</f>
        <v/>
      </c>
      <c r="AY171" s="153">
        <f>$C171*INDEX(Curves!$BF$8:$BF$68,AY$4-$B171+1)</f>
        <v/>
      </c>
      <c r="AZ171" s="153">
        <f>$C171*INDEX(Curves!$BF$8:$BF$68,AZ$4-$B171+1)</f>
        <v/>
      </c>
      <c r="BA171" s="153">
        <f>$C171*INDEX(Curves!$BF$8:$BF$68,BA$4-$B171+1)</f>
        <v/>
      </c>
      <c r="BB171" s="153">
        <f>$C171*INDEX(Curves!$BF$8:$BF$68,BB$4-$B171+1)</f>
        <v/>
      </c>
      <c r="BC171" s="153">
        <f>$C171*INDEX(Curves!$BF$8:$BF$68,BC$4-$B171+1)</f>
        <v/>
      </c>
      <c r="BD171" s="153">
        <f>$C171*INDEX(Curves!$BF$8:$BF$68,BD$4-$B171+1)</f>
        <v/>
      </c>
      <c r="BE171" s="153">
        <f>$C171*INDEX(Curves!$BF$8:$BF$68,BE$4-$B171+1)</f>
        <v/>
      </c>
      <c r="BF171" s="153">
        <f>$C171*INDEX(Curves!$BF$8:$BF$68,BF$4-$B171+1)</f>
        <v/>
      </c>
      <c r="BG171" s="153">
        <f>$C171*INDEX(Curves!$BF$8:$BF$68,BG$4-$B171+1)</f>
        <v/>
      </c>
      <c r="BH171" s="153">
        <f>$C171*INDEX(Curves!$BF$8:$BF$68,BH$4-$B171+1)</f>
        <v/>
      </c>
      <c r="BI171" s="153">
        <f>$C171*INDEX(Curves!$BF$8:$BF$68,BI$4-$B171+1)</f>
        <v/>
      </c>
      <c r="BJ171" s="153">
        <f>$C171*INDEX(Curves!$BF$8:$BF$68,BJ$4-$B171+1)</f>
        <v/>
      </c>
      <c r="BK171" s="153">
        <f>$C171*INDEX(Curves!$BF$8:$BF$68,BK$4-$B171+1)</f>
        <v/>
      </c>
      <c r="BL171" s="153">
        <f>$C171*INDEX(Curves!$BF$8:$BF$68,BL$4-$B171+1)</f>
        <v/>
      </c>
    </row>
    <row r="172">
      <c r="A172" s="147" t="inlineStr">
        <is>
          <t>Cohort month 37</t>
        </is>
      </c>
      <c r="B172" s="147" t="n">
        <v>37</v>
      </c>
      <c r="C172" s="41">
        <f>INDEX(Ops!$E$110:$BL$110,1,$B172)</f>
        <v/>
      </c>
      <c r="AP172" s="153">
        <f>$C172*INDEX(Curves!$BF$8:$BF$68,AP$4-$B172+1)</f>
        <v/>
      </c>
      <c r="AQ172" s="153">
        <f>$C172*INDEX(Curves!$BF$8:$BF$68,AQ$4-$B172+1)</f>
        <v/>
      </c>
      <c r="AR172" s="153">
        <f>$C172*INDEX(Curves!$BF$8:$BF$68,AR$4-$B172+1)</f>
        <v/>
      </c>
      <c r="AS172" s="153">
        <f>$C172*INDEX(Curves!$BF$8:$BF$68,AS$4-$B172+1)</f>
        <v/>
      </c>
      <c r="AT172" s="153">
        <f>$C172*INDEX(Curves!$BF$8:$BF$68,AT$4-$B172+1)</f>
        <v/>
      </c>
      <c r="AU172" s="153">
        <f>$C172*INDEX(Curves!$BF$8:$BF$68,AU$4-$B172+1)</f>
        <v/>
      </c>
      <c r="AV172" s="153">
        <f>$C172*INDEX(Curves!$BF$8:$BF$68,AV$4-$B172+1)</f>
        <v/>
      </c>
      <c r="AW172" s="153">
        <f>$C172*INDEX(Curves!$BF$8:$BF$68,AW$4-$B172+1)</f>
        <v/>
      </c>
      <c r="AX172" s="153">
        <f>$C172*INDEX(Curves!$BF$8:$BF$68,AX$4-$B172+1)</f>
        <v/>
      </c>
      <c r="AY172" s="153">
        <f>$C172*INDEX(Curves!$BF$8:$BF$68,AY$4-$B172+1)</f>
        <v/>
      </c>
      <c r="AZ172" s="153">
        <f>$C172*INDEX(Curves!$BF$8:$BF$68,AZ$4-$B172+1)</f>
        <v/>
      </c>
      <c r="BA172" s="153">
        <f>$C172*INDEX(Curves!$BF$8:$BF$68,BA$4-$B172+1)</f>
        <v/>
      </c>
      <c r="BB172" s="153">
        <f>$C172*INDEX(Curves!$BF$8:$BF$68,BB$4-$B172+1)</f>
        <v/>
      </c>
      <c r="BC172" s="153">
        <f>$C172*INDEX(Curves!$BF$8:$BF$68,BC$4-$B172+1)</f>
        <v/>
      </c>
      <c r="BD172" s="153">
        <f>$C172*INDEX(Curves!$BF$8:$BF$68,BD$4-$B172+1)</f>
        <v/>
      </c>
      <c r="BE172" s="153">
        <f>$C172*INDEX(Curves!$BF$8:$BF$68,BE$4-$B172+1)</f>
        <v/>
      </c>
      <c r="BF172" s="153">
        <f>$C172*INDEX(Curves!$BF$8:$BF$68,BF$4-$B172+1)</f>
        <v/>
      </c>
      <c r="BG172" s="153">
        <f>$C172*INDEX(Curves!$BF$8:$BF$68,BG$4-$B172+1)</f>
        <v/>
      </c>
      <c r="BH172" s="153">
        <f>$C172*INDEX(Curves!$BF$8:$BF$68,BH$4-$B172+1)</f>
        <v/>
      </c>
      <c r="BI172" s="153">
        <f>$C172*INDEX(Curves!$BF$8:$BF$68,BI$4-$B172+1)</f>
        <v/>
      </c>
      <c r="BJ172" s="153">
        <f>$C172*INDEX(Curves!$BF$8:$BF$68,BJ$4-$B172+1)</f>
        <v/>
      </c>
      <c r="BK172" s="153">
        <f>$C172*INDEX(Curves!$BF$8:$BF$68,BK$4-$B172+1)</f>
        <v/>
      </c>
      <c r="BL172" s="153">
        <f>$C172*INDEX(Curves!$BF$8:$BF$68,BL$4-$B172+1)</f>
        <v/>
      </c>
    </row>
    <row r="173">
      <c r="A173" s="147" t="inlineStr">
        <is>
          <t>Cohort month 38</t>
        </is>
      </c>
      <c r="B173" s="147" t="n">
        <v>38</v>
      </c>
      <c r="C173" s="41">
        <f>INDEX(Ops!$E$110:$BL$110,1,$B173)</f>
        <v/>
      </c>
      <c r="AQ173" s="153">
        <f>$C173*INDEX(Curves!$BF$8:$BF$68,AQ$4-$B173+1)</f>
        <v/>
      </c>
      <c r="AR173" s="153">
        <f>$C173*INDEX(Curves!$BF$8:$BF$68,AR$4-$B173+1)</f>
        <v/>
      </c>
      <c r="AS173" s="153">
        <f>$C173*INDEX(Curves!$BF$8:$BF$68,AS$4-$B173+1)</f>
        <v/>
      </c>
      <c r="AT173" s="153">
        <f>$C173*INDEX(Curves!$BF$8:$BF$68,AT$4-$B173+1)</f>
        <v/>
      </c>
      <c r="AU173" s="153">
        <f>$C173*INDEX(Curves!$BF$8:$BF$68,AU$4-$B173+1)</f>
        <v/>
      </c>
      <c r="AV173" s="153">
        <f>$C173*INDEX(Curves!$BF$8:$BF$68,AV$4-$B173+1)</f>
        <v/>
      </c>
      <c r="AW173" s="153">
        <f>$C173*INDEX(Curves!$BF$8:$BF$68,AW$4-$B173+1)</f>
        <v/>
      </c>
      <c r="AX173" s="153">
        <f>$C173*INDEX(Curves!$BF$8:$BF$68,AX$4-$B173+1)</f>
        <v/>
      </c>
      <c r="AY173" s="153">
        <f>$C173*INDEX(Curves!$BF$8:$BF$68,AY$4-$B173+1)</f>
        <v/>
      </c>
      <c r="AZ173" s="153">
        <f>$C173*INDEX(Curves!$BF$8:$BF$68,AZ$4-$B173+1)</f>
        <v/>
      </c>
      <c r="BA173" s="153">
        <f>$C173*INDEX(Curves!$BF$8:$BF$68,BA$4-$B173+1)</f>
        <v/>
      </c>
      <c r="BB173" s="153">
        <f>$C173*INDEX(Curves!$BF$8:$BF$68,BB$4-$B173+1)</f>
        <v/>
      </c>
      <c r="BC173" s="153">
        <f>$C173*INDEX(Curves!$BF$8:$BF$68,BC$4-$B173+1)</f>
        <v/>
      </c>
      <c r="BD173" s="153">
        <f>$C173*INDEX(Curves!$BF$8:$BF$68,BD$4-$B173+1)</f>
        <v/>
      </c>
      <c r="BE173" s="153">
        <f>$C173*INDEX(Curves!$BF$8:$BF$68,BE$4-$B173+1)</f>
        <v/>
      </c>
      <c r="BF173" s="153">
        <f>$C173*INDEX(Curves!$BF$8:$BF$68,BF$4-$B173+1)</f>
        <v/>
      </c>
      <c r="BG173" s="153">
        <f>$C173*INDEX(Curves!$BF$8:$BF$68,BG$4-$B173+1)</f>
        <v/>
      </c>
      <c r="BH173" s="153">
        <f>$C173*INDEX(Curves!$BF$8:$BF$68,BH$4-$B173+1)</f>
        <v/>
      </c>
      <c r="BI173" s="153">
        <f>$C173*INDEX(Curves!$BF$8:$BF$68,BI$4-$B173+1)</f>
        <v/>
      </c>
      <c r="BJ173" s="153">
        <f>$C173*INDEX(Curves!$BF$8:$BF$68,BJ$4-$B173+1)</f>
        <v/>
      </c>
      <c r="BK173" s="153">
        <f>$C173*INDEX(Curves!$BF$8:$BF$68,BK$4-$B173+1)</f>
        <v/>
      </c>
      <c r="BL173" s="153">
        <f>$C173*INDEX(Curves!$BF$8:$BF$68,BL$4-$B173+1)</f>
        <v/>
      </c>
    </row>
    <row r="174">
      <c r="A174" s="147" t="inlineStr">
        <is>
          <t>Cohort month 39</t>
        </is>
      </c>
      <c r="B174" s="147" t="n">
        <v>39</v>
      </c>
      <c r="C174" s="41">
        <f>INDEX(Ops!$E$110:$BL$110,1,$B174)</f>
        <v/>
      </c>
      <c r="AR174" s="153">
        <f>$C174*INDEX(Curves!$BF$8:$BF$68,AR$4-$B174+1)</f>
        <v/>
      </c>
      <c r="AS174" s="153">
        <f>$C174*INDEX(Curves!$BF$8:$BF$68,AS$4-$B174+1)</f>
        <v/>
      </c>
      <c r="AT174" s="153">
        <f>$C174*INDEX(Curves!$BF$8:$BF$68,AT$4-$B174+1)</f>
        <v/>
      </c>
      <c r="AU174" s="153">
        <f>$C174*INDEX(Curves!$BF$8:$BF$68,AU$4-$B174+1)</f>
        <v/>
      </c>
      <c r="AV174" s="153">
        <f>$C174*INDEX(Curves!$BF$8:$BF$68,AV$4-$B174+1)</f>
        <v/>
      </c>
      <c r="AW174" s="153">
        <f>$C174*INDEX(Curves!$BF$8:$BF$68,AW$4-$B174+1)</f>
        <v/>
      </c>
      <c r="AX174" s="153">
        <f>$C174*INDEX(Curves!$BF$8:$BF$68,AX$4-$B174+1)</f>
        <v/>
      </c>
      <c r="AY174" s="153">
        <f>$C174*INDEX(Curves!$BF$8:$BF$68,AY$4-$B174+1)</f>
        <v/>
      </c>
      <c r="AZ174" s="153">
        <f>$C174*INDEX(Curves!$BF$8:$BF$68,AZ$4-$B174+1)</f>
        <v/>
      </c>
      <c r="BA174" s="153">
        <f>$C174*INDEX(Curves!$BF$8:$BF$68,BA$4-$B174+1)</f>
        <v/>
      </c>
      <c r="BB174" s="153">
        <f>$C174*INDEX(Curves!$BF$8:$BF$68,BB$4-$B174+1)</f>
        <v/>
      </c>
      <c r="BC174" s="153">
        <f>$C174*INDEX(Curves!$BF$8:$BF$68,BC$4-$B174+1)</f>
        <v/>
      </c>
      <c r="BD174" s="153">
        <f>$C174*INDEX(Curves!$BF$8:$BF$68,BD$4-$B174+1)</f>
        <v/>
      </c>
      <c r="BE174" s="153">
        <f>$C174*INDEX(Curves!$BF$8:$BF$68,BE$4-$B174+1)</f>
        <v/>
      </c>
      <c r="BF174" s="153">
        <f>$C174*INDEX(Curves!$BF$8:$BF$68,BF$4-$B174+1)</f>
        <v/>
      </c>
      <c r="BG174" s="153">
        <f>$C174*INDEX(Curves!$BF$8:$BF$68,BG$4-$B174+1)</f>
        <v/>
      </c>
      <c r="BH174" s="153">
        <f>$C174*INDEX(Curves!$BF$8:$BF$68,BH$4-$B174+1)</f>
        <v/>
      </c>
      <c r="BI174" s="153">
        <f>$C174*INDEX(Curves!$BF$8:$BF$68,BI$4-$B174+1)</f>
        <v/>
      </c>
      <c r="BJ174" s="153">
        <f>$C174*INDEX(Curves!$BF$8:$BF$68,BJ$4-$B174+1)</f>
        <v/>
      </c>
      <c r="BK174" s="153">
        <f>$C174*INDEX(Curves!$BF$8:$BF$68,BK$4-$B174+1)</f>
        <v/>
      </c>
      <c r="BL174" s="153">
        <f>$C174*INDEX(Curves!$BF$8:$BF$68,BL$4-$B174+1)</f>
        <v/>
      </c>
    </row>
    <row r="175">
      <c r="A175" s="147" t="inlineStr">
        <is>
          <t>Cohort month 40</t>
        </is>
      </c>
      <c r="B175" s="147" t="n">
        <v>40</v>
      </c>
      <c r="C175" s="41">
        <f>INDEX(Ops!$E$110:$BL$110,1,$B175)</f>
        <v/>
      </c>
      <c r="AS175" s="153">
        <f>$C175*INDEX(Curves!$BF$8:$BF$68,AS$4-$B175+1)</f>
        <v/>
      </c>
      <c r="AT175" s="153">
        <f>$C175*INDEX(Curves!$BF$8:$BF$68,AT$4-$B175+1)</f>
        <v/>
      </c>
      <c r="AU175" s="153">
        <f>$C175*INDEX(Curves!$BF$8:$BF$68,AU$4-$B175+1)</f>
        <v/>
      </c>
      <c r="AV175" s="153">
        <f>$C175*INDEX(Curves!$BF$8:$BF$68,AV$4-$B175+1)</f>
        <v/>
      </c>
      <c r="AW175" s="153">
        <f>$C175*INDEX(Curves!$BF$8:$BF$68,AW$4-$B175+1)</f>
        <v/>
      </c>
      <c r="AX175" s="153">
        <f>$C175*INDEX(Curves!$BF$8:$BF$68,AX$4-$B175+1)</f>
        <v/>
      </c>
      <c r="AY175" s="153">
        <f>$C175*INDEX(Curves!$BF$8:$BF$68,AY$4-$B175+1)</f>
        <v/>
      </c>
      <c r="AZ175" s="153">
        <f>$C175*INDEX(Curves!$BF$8:$BF$68,AZ$4-$B175+1)</f>
        <v/>
      </c>
      <c r="BA175" s="153">
        <f>$C175*INDEX(Curves!$BF$8:$BF$68,BA$4-$B175+1)</f>
        <v/>
      </c>
      <c r="BB175" s="153">
        <f>$C175*INDEX(Curves!$BF$8:$BF$68,BB$4-$B175+1)</f>
        <v/>
      </c>
      <c r="BC175" s="153">
        <f>$C175*INDEX(Curves!$BF$8:$BF$68,BC$4-$B175+1)</f>
        <v/>
      </c>
      <c r="BD175" s="153">
        <f>$C175*INDEX(Curves!$BF$8:$BF$68,BD$4-$B175+1)</f>
        <v/>
      </c>
      <c r="BE175" s="153">
        <f>$C175*INDEX(Curves!$BF$8:$BF$68,BE$4-$B175+1)</f>
        <v/>
      </c>
      <c r="BF175" s="153">
        <f>$C175*INDEX(Curves!$BF$8:$BF$68,BF$4-$B175+1)</f>
        <v/>
      </c>
      <c r="BG175" s="153">
        <f>$C175*INDEX(Curves!$BF$8:$BF$68,BG$4-$B175+1)</f>
        <v/>
      </c>
      <c r="BH175" s="153">
        <f>$C175*INDEX(Curves!$BF$8:$BF$68,BH$4-$B175+1)</f>
        <v/>
      </c>
      <c r="BI175" s="153">
        <f>$C175*INDEX(Curves!$BF$8:$BF$68,BI$4-$B175+1)</f>
        <v/>
      </c>
      <c r="BJ175" s="153">
        <f>$C175*INDEX(Curves!$BF$8:$BF$68,BJ$4-$B175+1)</f>
        <v/>
      </c>
      <c r="BK175" s="153">
        <f>$C175*INDEX(Curves!$BF$8:$BF$68,BK$4-$B175+1)</f>
        <v/>
      </c>
      <c r="BL175" s="153">
        <f>$C175*INDEX(Curves!$BF$8:$BF$68,BL$4-$B175+1)</f>
        <v/>
      </c>
    </row>
    <row r="176">
      <c r="A176" s="147" t="inlineStr">
        <is>
          <t>Cohort month 41</t>
        </is>
      </c>
      <c r="B176" s="147" t="n">
        <v>41</v>
      </c>
      <c r="C176" s="41">
        <f>INDEX(Ops!$E$110:$BL$110,1,$B176)</f>
        <v/>
      </c>
      <c r="AT176" s="153">
        <f>$C176*INDEX(Curves!$BF$8:$BF$68,AT$4-$B176+1)</f>
        <v/>
      </c>
      <c r="AU176" s="153">
        <f>$C176*INDEX(Curves!$BF$8:$BF$68,AU$4-$B176+1)</f>
        <v/>
      </c>
      <c r="AV176" s="153">
        <f>$C176*INDEX(Curves!$BF$8:$BF$68,AV$4-$B176+1)</f>
        <v/>
      </c>
      <c r="AW176" s="153">
        <f>$C176*INDEX(Curves!$BF$8:$BF$68,AW$4-$B176+1)</f>
        <v/>
      </c>
      <c r="AX176" s="153">
        <f>$C176*INDEX(Curves!$BF$8:$BF$68,AX$4-$B176+1)</f>
        <v/>
      </c>
      <c r="AY176" s="153">
        <f>$C176*INDEX(Curves!$BF$8:$BF$68,AY$4-$B176+1)</f>
        <v/>
      </c>
      <c r="AZ176" s="153">
        <f>$C176*INDEX(Curves!$BF$8:$BF$68,AZ$4-$B176+1)</f>
        <v/>
      </c>
      <c r="BA176" s="153">
        <f>$C176*INDEX(Curves!$BF$8:$BF$68,BA$4-$B176+1)</f>
        <v/>
      </c>
      <c r="BB176" s="153">
        <f>$C176*INDEX(Curves!$BF$8:$BF$68,BB$4-$B176+1)</f>
        <v/>
      </c>
      <c r="BC176" s="153">
        <f>$C176*INDEX(Curves!$BF$8:$BF$68,BC$4-$B176+1)</f>
        <v/>
      </c>
      <c r="BD176" s="153">
        <f>$C176*INDEX(Curves!$BF$8:$BF$68,BD$4-$B176+1)</f>
        <v/>
      </c>
      <c r="BE176" s="153">
        <f>$C176*INDEX(Curves!$BF$8:$BF$68,BE$4-$B176+1)</f>
        <v/>
      </c>
      <c r="BF176" s="153">
        <f>$C176*INDEX(Curves!$BF$8:$BF$68,BF$4-$B176+1)</f>
        <v/>
      </c>
      <c r="BG176" s="153">
        <f>$C176*INDEX(Curves!$BF$8:$BF$68,BG$4-$B176+1)</f>
        <v/>
      </c>
      <c r="BH176" s="153">
        <f>$C176*INDEX(Curves!$BF$8:$BF$68,BH$4-$B176+1)</f>
        <v/>
      </c>
      <c r="BI176" s="153">
        <f>$C176*INDEX(Curves!$BF$8:$BF$68,BI$4-$B176+1)</f>
        <v/>
      </c>
      <c r="BJ176" s="153">
        <f>$C176*INDEX(Curves!$BF$8:$BF$68,BJ$4-$B176+1)</f>
        <v/>
      </c>
      <c r="BK176" s="153">
        <f>$C176*INDEX(Curves!$BF$8:$BF$68,BK$4-$B176+1)</f>
        <v/>
      </c>
      <c r="BL176" s="153">
        <f>$C176*INDEX(Curves!$BF$8:$BF$68,BL$4-$B176+1)</f>
        <v/>
      </c>
    </row>
    <row r="177">
      <c r="A177" s="147" t="inlineStr">
        <is>
          <t>Cohort month 42</t>
        </is>
      </c>
      <c r="B177" s="147" t="n">
        <v>42</v>
      </c>
      <c r="C177" s="41">
        <f>INDEX(Ops!$E$110:$BL$110,1,$B177)</f>
        <v/>
      </c>
      <c r="AU177" s="153">
        <f>$C177*INDEX(Curves!$BF$8:$BF$68,AU$4-$B177+1)</f>
        <v/>
      </c>
      <c r="AV177" s="153">
        <f>$C177*INDEX(Curves!$BF$8:$BF$68,AV$4-$B177+1)</f>
        <v/>
      </c>
      <c r="AW177" s="153">
        <f>$C177*INDEX(Curves!$BF$8:$BF$68,AW$4-$B177+1)</f>
        <v/>
      </c>
      <c r="AX177" s="153">
        <f>$C177*INDEX(Curves!$BF$8:$BF$68,AX$4-$B177+1)</f>
        <v/>
      </c>
      <c r="AY177" s="153">
        <f>$C177*INDEX(Curves!$BF$8:$BF$68,AY$4-$B177+1)</f>
        <v/>
      </c>
      <c r="AZ177" s="153">
        <f>$C177*INDEX(Curves!$BF$8:$BF$68,AZ$4-$B177+1)</f>
        <v/>
      </c>
      <c r="BA177" s="153">
        <f>$C177*INDEX(Curves!$BF$8:$BF$68,BA$4-$B177+1)</f>
        <v/>
      </c>
      <c r="BB177" s="153">
        <f>$C177*INDEX(Curves!$BF$8:$BF$68,BB$4-$B177+1)</f>
        <v/>
      </c>
      <c r="BC177" s="153">
        <f>$C177*INDEX(Curves!$BF$8:$BF$68,BC$4-$B177+1)</f>
        <v/>
      </c>
      <c r="BD177" s="153">
        <f>$C177*INDEX(Curves!$BF$8:$BF$68,BD$4-$B177+1)</f>
        <v/>
      </c>
      <c r="BE177" s="153">
        <f>$C177*INDEX(Curves!$BF$8:$BF$68,BE$4-$B177+1)</f>
        <v/>
      </c>
      <c r="BF177" s="153">
        <f>$C177*INDEX(Curves!$BF$8:$BF$68,BF$4-$B177+1)</f>
        <v/>
      </c>
      <c r="BG177" s="153">
        <f>$C177*INDEX(Curves!$BF$8:$BF$68,BG$4-$B177+1)</f>
        <v/>
      </c>
      <c r="BH177" s="153">
        <f>$C177*INDEX(Curves!$BF$8:$BF$68,BH$4-$B177+1)</f>
        <v/>
      </c>
      <c r="BI177" s="153">
        <f>$C177*INDEX(Curves!$BF$8:$BF$68,BI$4-$B177+1)</f>
        <v/>
      </c>
      <c r="BJ177" s="153">
        <f>$C177*INDEX(Curves!$BF$8:$BF$68,BJ$4-$B177+1)</f>
        <v/>
      </c>
      <c r="BK177" s="153">
        <f>$C177*INDEX(Curves!$BF$8:$BF$68,BK$4-$B177+1)</f>
        <v/>
      </c>
      <c r="BL177" s="153">
        <f>$C177*INDEX(Curves!$BF$8:$BF$68,BL$4-$B177+1)</f>
        <v/>
      </c>
    </row>
    <row r="178">
      <c r="A178" s="147" t="inlineStr">
        <is>
          <t>Cohort month 43</t>
        </is>
      </c>
      <c r="B178" s="147" t="n">
        <v>43</v>
      </c>
      <c r="C178" s="41">
        <f>INDEX(Ops!$E$110:$BL$110,1,$B178)</f>
        <v/>
      </c>
      <c r="AV178" s="153">
        <f>$C178*INDEX(Curves!$BF$8:$BF$68,AV$4-$B178+1)</f>
        <v/>
      </c>
      <c r="AW178" s="153">
        <f>$C178*INDEX(Curves!$BF$8:$BF$68,AW$4-$B178+1)</f>
        <v/>
      </c>
      <c r="AX178" s="153">
        <f>$C178*INDEX(Curves!$BF$8:$BF$68,AX$4-$B178+1)</f>
        <v/>
      </c>
      <c r="AY178" s="153">
        <f>$C178*INDEX(Curves!$BF$8:$BF$68,AY$4-$B178+1)</f>
        <v/>
      </c>
      <c r="AZ178" s="153">
        <f>$C178*INDEX(Curves!$BF$8:$BF$68,AZ$4-$B178+1)</f>
        <v/>
      </c>
      <c r="BA178" s="153">
        <f>$C178*INDEX(Curves!$BF$8:$BF$68,BA$4-$B178+1)</f>
        <v/>
      </c>
      <c r="BB178" s="153">
        <f>$C178*INDEX(Curves!$BF$8:$BF$68,BB$4-$B178+1)</f>
        <v/>
      </c>
      <c r="BC178" s="153">
        <f>$C178*INDEX(Curves!$BF$8:$BF$68,BC$4-$B178+1)</f>
        <v/>
      </c>
      <c r="BD178" s="153">
        <f>$C178*INDEX(Curves!$BF$8:$BF$68,BD$4-$B178+1)</f>
        <v/>
      </c>
      <c r="BE178" s="153">
        <f>$C178*INDEX(Curves!$BF$8:$BF$68,BE$4-$B178+1)</f>
        <v/>
      </c>
      <c r="BF178" s="153">
        <f>$C178*INDEX(Curves!$BF$8:$BF$68,BF$4-$B178+1)</f>
        <v/>
      </c>
      <c r="BG178" s="153">
        <f>$C178*INDEX(Curves!$BF$8:$BF$68,BG$4-$B178+1)</f>
        <v/>
      </c>
      <c r="BH178" s="153">
        <f>$C178*INDEX(Curves!$BF$8:$BF$68,BH$4-$B178+1)</f>
        <v/>
      </c>
      <c r="BI178" s="153">
        <f>$C178*INDEX(Curves!$BF$8:$BF$68,BI$4-$B178+1)</f>
        <v/>
      </c>
      <c r="BJ178" s="153">
        <f>$C178*INDEX(Curves!$BF$8:$BF$68,BJ$4-$B178+1)</f>
        <v/>
      </c>
      <c r="BK178" s="153">
        <f>$C178*INDEX(Curves!$BF$8:$BF$68,BK$4-$B178+1)</f>
        <v/>
      </c>
      <c r="BL178" s="153">
        <f>$C178*INDEX(Curves!$BF$8:$BF$68,BL$4-$B178+1)</f>
        <v/>
      </c>
    </row>
    <row r="179">
      <c r="A179" s="147" t="inlineStr">
        <is>
          <t>Cohort month 44</t>
        </is>
      </c>
      <c r="B179" s="147" t="n">
        <v>44</v>
      </c>
      <c r="C179" s="41">
        <f>INDEX(Ops!$E$110:$BL$110,1,$B179)</f>
        <v/>
      </c>
      <c r="AW179" s="153">
        <f>$C179*INDEX(Curves!$BF$8:$BF$68,AW$4-$B179+1)</f>
        <v/>
      </c>
      <c r="AX179" s="153">
        <f>$C179*INDEX(Curves!$BF$8:$BF$68,AX$4-$B179+1)</f>
        <v/>
      </c>
      <c r="AY179" s="153">
        <f>$C179*INDEX(Curves!$BF$8:$BF$68,AY$4-$B179+1)</f>
        <v/>
      </c>
      <c r="AZ179" s="153">
        <f>$C179*INDEX(Curves!$BF$8:$BF$68,AZ$4-$B179+1)</f>
        <v/>
      </c>
      <c r="BA179" s="153">
        <f>$C179*INDEX(Curves!$BF$8:$BF$68,BA$4-$B179+1)</f>
        <v/>
      </c>
      <c r="BB179" s="153">
        <f>$C179*INDEX(Curves!$BF$8:$BF$68,BB$4-$B179+1)</f>
        <v/>
      </c>
      <c r="BC179" s="153">
        <f>$C179*INDEX(Curves!$BF$8:$BF$68,BC$4-$B179+1)</f>
        <v/>
      </c>
      <c r="BD179" s="153">
        <f>$C179*INDEX(Curves!$BF$8:$BF$68,BD$4-$B179+1)</f>
        <v/>
      </c>
      <c r="BE179" s="153">
        <f>$C179*INDEX(Curves!$BF$8:$BF$68,BE$4-$B179+1)</f>
        <v/>
      </c>
      <c r="BF179" s="153">
        <f>$C179*INDEX(Curves!$BF$8:$BF$68,BF$4-$B179+1)</f>
        <v/>
      </c>
      <c r="BG179" s="153">
        <f>$C179*INDEX(Curves!$BF$8:$BF$68,BG$4-$B179+1)</f>
        <v/>
      </c>
      <c r="BH179" s="153">
        <f>$C179*INDEX(Curves!$BF$8:$BF$68,BH$4-$B179+1)</f>
        <v/>
      </c>
      <c r="BI179" s="153">
        <f>$C179*INDEX(Curves!$BF$8:$BF$68,BI$4-$B179+1)</f>
        <v/>
      </c>
      <c r="BJ179" s="153">
        <f>$C179*INDEX(Curves!$BF$8:$BF$68,BJ$4-$B179+1)</f>
        <v/>
      </c>
      <c r="BK179" s="153">
        <f>$C179*INDEX(Curves!$BF$8:$BF$68,BK$4-$B179+1)</f>
        <v/>
      </c>
      <c r="BL179" s="153">
        <f>$C179*INDEX(Curves!$BF$8:$BF$68,BL$4-$B179+1)</f>
        <v/>
      </c>
    </row>
    <row r="180">
      <c r="A180" s="147" t="inlineStr">
        <is>
          <t>Cohort month 45</t>
        </is>
      </c>
      <c r="B180" s="147" t="n">
        <v>45</v>
      </c>
      <c r="C180" s="41">
        <f>INDEX(Ops!$E$110:$BL$110,1,$B180)</f>
        <v/>
      </c>
      <c r="AX180" s="153">
        <f>$C180*INDEX(Curves!$BF$8:$BF$68,AX$4-$B180+1)</f>
        <v/>
      </c>
      <c r="AY180" s="153">
        <f>$C180*INDEX(Curves!$BF$8:$BF$68,AY$4-$B180+1)</f>
        <v/>
      </c>
      <c r="AZ180" s="153">
        <f>$C180*INDEX(Curves!$BF$8:$BF$68,AZ$4-$B180+1)</f>
        <v/>
      </c>
      <c r="BA180" s="153">
        <f>$C180*INDEX(Curves!$BF$8:$BF$68,BA$4-$B180+1)</f>
        <v/>
      </c>
      <c r="BB180" s="153">
        <f>$C180*INDEX(Curves!$BF$8:$BF$68,BB$4-$B180+1)</f>
        <v/>
      </c>
      <c r="BC180" s="153">
        <f>$C180*INDEX(Curves!$BF$8:$BF$68,BC$4-$B180+1)</f>
        <v/>
      </c>
      <c r="BD180" s="153">
        <f>$C180*INDEX(Curves!$BF$8:$BF$68,BD$4-$B180+1)</f>
        <v/>
      </c>
      <c r="BE180" s="153">
        <f>$C180*INDEX(Curves!$BF$8:$BF$68,BE$4-$B180+1)</f>
        <v/>
      </c>
      <c r="BF180" s="153">
        <f>$C180*INDEX(Curves!$BF$8:$BF$68,BF$4-$B180+1)</f>
        <v/>
      </c>
      <c r="BG180" s="153">
        <f>$C180*INDEX(Curves!$BF$8:$BF$68,BG$4-$B180+1)</f>
        <v/>
      </c>
      <c r="BH180" s="153">
        <f>$C180*INDEX(Curves!$BF$8:$BF$68,BH$4-$B180+1)</f>
        <v/>
      </c>
      <c r="BI180" s="153">
        <f>$C180*INDEX(Curves!$BF$8:$BF$68,BI$4-$B180+1)</f>
        <v/>
      </c>
      <c r="BJ180" s="153">
        <f>$C180*INDEX(Curves!$BF$8:$BF$68,BJ$4-$B180+1)</f>
        <v/>
      </c>
      <c r="BK180" s="153">
        <f>$C180*INDEX(Curves!$BF$8:$BF$68,BK$4-$B180+1)</f>
        <v/>
      </c>
      <c r="BL180" s="153">
        <f>$C180*INDEX(Curves!$BF$8:$BF$68,BL$4-$B180+1)</f>
        <v/>
      </c>
    </row>
    <row r="181">
      <c r="A181" s="147" t="inlineStr">
        <is>
          <t>Cohort month 46</t>
        </is>
      </c>
      <c r="B181" s="147" t="n">
        <v>46</v>
      </c>
      <c r="C181" s="41">
        <f>INDEX(Ops!$E$110:$BL$110,1,$B181)</f>
        <v/>
      </c>
      <c r="AY181" s="153">
        <f>$C181*INDEX(Curves!$BF$8:$BF$68,AY$4-$B181+1)</f>
        <v/>
      </c>
      <c r="AZ181" s="153">
        <f>$C181*INDEX(Curves!$BF$8:$BF$68,AZ$4-$B181+1)</f>
        <v/>
      </c>
      <c r="BA181" s="153">
        <f>$C181*INDEX(Curves!$BF$8:$BF$68,BA$4-$B181+1)</f>
        <v/>
      </c>
      <c r="BB181" s="153">
        <f>$C181*INDEX(Curves!$BF$8:$BF$68,BB$4-$B181+1)</f>
        <v/>
      </c>
      <c r="BC181" s="153">
        <f>$C181*INDEX(Curves!$BF$8:$BF$68,BC$4-$B181+1)</f>
        <v/>
      </c>
      <c r="BD181" s="153">
        <f>$C181*INDEX(Curves!$BF$8:$BF$68,BD$4-$B181+1)</f>
        <v/>
      </c>
      <c r="BE181" s="153">
        <f>$C181*INDEX(Curves!$BF$8:$BF$68,BE$4-$B181+1)</f>
        <v/>
      </c>
      <c r="BF181" s="153">
        <f>$C181*INDEX(Curves!$BF$8:$BF$68,BF$4-$B181+1)</f>
        <v/>
      </c>
      <c r="BG181" s="153">
        <f>$C181*INDEX(Curves!$BF$8:$BF$68,BG$4-$B181+1)</f>
        <v/>
      </c>
      <c r="BH181" s="153">
        <f>$C181*INDEX(Curves!$BF$8:$BF$68,BH$4-$B181+1)</f>
        <v/>
      </c>
      <c r="BI181" s="153">
        <f>$C181*INDEX(Curves!$BF$8:$BF$68,BI$4-$B181+1)</f>
        <v/>
      </c>
      <c r="BJ181" s="153">
        <f>$C181*INDEX(Curves!$BF$8:$BF$68,BJ$4-$B181+1)</f>
        <v/>
      </c>
      <c r="BK181" s="153">
        <f>$C181*INDEX(Curves!$BF$8:$BF$68,BK$4-$B181+1)</f>
        <v/>
      </c>
      <c r="BL181" s="153">
        <f>$C181*INDEX(Curves!$BF$8:$BF$68,BL$4-$B181+1)</f>
        <v/>
      </c>
    </row>
    <row r="182">
      <c r="A182" s="147" t="inlineStr">
        <is>
          <t>Cohort month 47</t>
        </is>
      </c>
      <c r="B182" s="147" t="n">
        <v>47</v>
      </c>
      <c r="C182" s="41">
        <f>INDEX(Ops!$E$110:$BL$110,1,$B182)</f>
        <v/>
      </c>
      <c r="AZ182" s="153">
        <f>$C182*INDEX(Curves!$BF$8:$BF$68,AZ$4-$B182+1)</f>
        <v/>
      </c>
      <c r="BA182" s="153">
        <f>$C182*INDEX(Curves!$BF$8:$BF$68,BA$4-$B182+1)</f>
        <v/>
      </c>
      <c r="BB182" s="153">
        <f>$C182*INDEX(Curves!$BF$8:$BF$68,BB$4-$B182+1)</f>
        <v/>
      </c>
      <c r="BC182" s="153">
        <f>$C182*INDEX(Curves!$BF$8:$BF$68,BC$4-$B182+1)</f>
        <v/>
      </c>
      <c r="BD182" s="153">
        <f>$C182*INDEX(Curves!$BF$8:$BF$68,BD$4-$B182+1)</f>
        <v/>
      </c>
      <c r="BE182" s="153">
        <f>$C182*INDEX(Curves!$BF$8:$BF$68,BE$4-$B182+1)</f>
        <v/>
      </c>
      <c r="BF182" s="153">
        <f>$C182*INDEX(Curves!$BF$8:$BF$68,BF$4-$B182+1)</f>
        <v/>
      </c>
      <c r="BG182" s="153">
        <f>$C182*INDEX(Curves!$BF$8:$BF$68,BG$4-$B182+1)</f>
        <v/>
      </c>
      <c r="BH182" s="153">
        <f>$C182*INDEX(Curves!$BF$8:$BF$68,BH$4-$B182+1)</f>
        <v/>
      </c>
      <c r="BI182" s="153">
        <f>$C182*INDEX(Curves!$BF$8:$BF$68,BI$4-$B182+1)</f>
        <v/>
      </c>
      <c r="BJ182" s="153">
        <f>$C182*INDEX(Curves!$BF$8:$BF$68,BJ$4-$B182+1)</f>
        <v/>
      </c>
      <c r="BK182" s="153">
        <f>$C182*INDEX(Curves!$BF$8:$BF$68,BK$4-$B182+1)</f>
        <v/>
      </c>
      <c r="BL182" s="153">
        <f>$C182*INDEX(Curves!$BF$8:$BF$68,BL$4-$B182+1)</f>
        <v/>
      </c>
    </row>
    <row r="183">
      <c r="A183" s="147" t="inlineStr">
        <is>
          <t>Cohort month 48</t>
        </is>
      </c>
      <c r="B183" s="147" t="n">
        <v>48</v>
      </c>
      <c r="C183" s="41">
        <f>INDEX(Ops!$E$110:$BL$110,1,$B183)</f>
        <v/>
      </c>
      <c r="BA183" s="153">
        <f>$C183*INDEX(Curves!$BF$8:$BF$68,BA$4-$B183+1)</f>
        <v/>
      </c>
      <c r="BB183" s="153">
        <f>$C183*INDEX(Curves!$BF$8:$BF$68,BB$4-$B183+1)</f>
        <v/>
      </c>
      <c r="BC183" s="153">
        <f>$C183*INDEX(Curves!$BF$8:$BF$68,BC$4-$B183+1)</f>
        <v/>
      </c>
      <c r="BD183" s="153">
        <f>$C183*INDEX(Curves!$BF$8:$BF$68,BD$4-$B183+1)</f>
        <v/>
      </c>
      <c r="BE183" s="153">
        <f>$C183*INDEX(Curves!$BF$8:$BF$68,BE$4-$B183+1)</f>
        <v/>
      </c>
      <c r="BF183" s="153">
        <f>$C183*INDEX(Curves!$BF$8:$BF$68,BF$4-$B183+1)</f>
        <v/>
      </c>
      <c r="BG183" s="153">
        <f>$C183*INDEX(Curves!$BF$8:$BF$68,BG$4-$B183+1)</f>
        <v/>
      </c>
      <c r="BH183" s="153">
        <f>$C183*INDEX(Curves!$BF$8:$BF$68,BH$4-$B183+1)</f>
        <v/>
      </c>
      <c r="BI183" s="153">
        <f>$C183*INDEX(Curves!$BF$8:$BF$68,BI$4-$B183+1)</f>
        <v/>
      </c>
      <c r="BJ183" s="153">
        <f>$C183*INDEX(Curves!$BF$8:$BF$68,BJ$4-$B183+1)</f>
        <v/>
      </c>
      <c r="BK183" s="153">
        <f>$C183*INDEX(Curves!$BF$8:$BF$68,BK$4-$B183+1)</f>
        <v/>
      </c>
      <c r="BL183" s="153">
        <f>$C183*INDEX(Curves!$BF$8:$BF$68,BL$4-$B183+1)</f>
        <v/>
      </c>
    </row>
    <row r="184">
      <c r="A184" s="147" t="inlineStr">
        <is>
          <t>Cohort month 49</t>
        </is>
      </c>
      <c r="B184" s="147" t="n">
        <v>49</v>
      </c>
      <c r="C184" s="41">
        <f>INDEX(Ops!$E$110:$BL$110,1,$B184)</f>
        <v/>
      </c>
      <c r="BB184" s="153">
        <f>$C184*INDEX(Curves!$BF$8:$BF$68,BB$4-$B184+1)</f>
        <v/>
      </c>
      <c r="BC184" s="153">
        <f>$C184*INDEX(Curves!$BF$8:$BF$68,BC$4-$B184+1)</f>
        <v/>
      </c>
      <c r="BD184" s="153">
        <f>$C184*INDEX(Curves!$BF$8:$BF$68,BD$4-$B184+1)</f>
        <v/>
      </c>
      <c r="BE184" s="153">
        <f>$C184*INDEX(Curves!$BF$8:$BF$68,BE$4-$B184+1)</f>
        <v/>
      </c>
      <c r="BF184" s="153">
        <f>$C184*INDEX(Curves!$BF$8:$BF$68,BF$4-$B184+1)</f>
        <v/>
      </c>
      <c r="BG184" s="153">
        <f>$C184*INDEX(Curves!$BF$8:$BF$68,BG$4-$B184+1)</f>
        <v/>
      </c>
      <c r="BH184" s="153">
        <f>$C184*INDEX(Curves!$BF$8:$BF$68,BH$4-$B184+1)</f>
        <v/>
      </c>
      <c r="BI184" s="153">
        <f>$C184*INDEX(Curves!$BF$8:$BF$68,BI$4-$B184+1)</f>
        <v/>
      </c>
      <c r="BJ184" s="153">
        <f>$C184*INDEX(Curves!$BF$8:$BF$68,BJ$4-$B184+1)</f>
        <v/>
      </c>
      <c r="BK184" s="153">
        <f>$C184*INDEX(Curves!$BF$8:$BF$68,BK$4-$B184+1)</f>
        <v/>
      </c>
      <c r="BL184" s="153">
        <f>$C184*INDEX(Curves!$BF$8:$BF$68,BL$4-$B184+1)</f>
        <v/>
      </c>
    </row>
    <row r="185">
      <c r="A185" s="147" t="inlineStr">
        <is>
          <t>Cohort month 50</t>
        </is>
      </c>
      <c r="B185" s="147" t="n">
        <v>50</v>
      </c>
      <c r="C185" s="41">
        <f>INDEX(Ops!$E$110:$BL$110,1,$B185)</f>
        <v/>
      </c>
      <c r="BC185" s="153">
        <f>$C185*INDEX(Curves!$BF$8:$BF$68,BC$4-$B185+1)</f>
        <v/>
      </c>
      <c r="BD185" s="153">
        <f>$C185*INDEX(Curves!$BF$8:$BF$68,BD$4-$B185+1)</f>
        <v/>
      </c>
      <c r="BE185" s="153">
        <f>$C185*INDEX(Curves!$BF$8:$BF$68,BE$4-$B185+1)</f>
        <v/>
      </c>
      <c r="BF185" s="153">
        <f>$C185*INDEX(Curves!$BF$8:$BF$68,BF$4-$B185+1)</f>
        <v/>
      </c>
      <c r="BG185" s="153">
        <f>$C185*INDEX(Curves!$BF$8:$BF$68,BG$4-$B185+1)</f>
        <v/>
      </c>
      <c r="BH185" s="153">
        <f>$C185*INDEX(Curves!$BF$8:$BF$68,BH$4-$B185+1)</f>
        <v/>
      </c>
      <c r="BI185" s="153">
        <f>$C185*INDEX(Curves!$BF$8:$BF$68,BI$4-$B185+1)</f>
        <v/>
      </c>
      <c r="BJ185" s="153">
        <f>$C185*INDEX(Curves!$BF$8:$BF$68,BJ$4-$B185+1)</f>
        <v/>
      </c>
      <c r="BK185" s="153">
        <f>$C185*INDEX(Curves!$BF$8:$BF$68,BK$4-$B185+1)</f>
        <v/>
      </c>
      <c r="BL185" s="153">
        <f>$C185*INDEX(Curves!$BF$8:$BF$68,BL$4-$B185+1)</f>
        <v/>
      </c>
    </row>
    <row r="186">
      <c r="A186" s="147" t="inlineStr">
        <is>
          <t>Cohort month 51</t>
        </is>
      </c>
      <c r="B186" s="147" t="n">
        <v>51</v>
      </c>
      <c r="C186" s="41">
        <f>INDEX(Ops!$E$110:$BL$110,1,$B186)</f>
        <v/>
      </c>
      <c r="BD186" s="153">
        <f>$C186*INDEX(Curves!$BF$8:$BF$68,BD$4-$B186+1)</f>
        <v/>
      </c>
      <c r="BE186" s="153">
        <f>$C186*INDEX(Curves!$BF$8:$BF$68,BE$4-$B186+1)</f>
        <v/>
      </c>
      <c r="BF186" s="153">
        <f>$C186*INDEX(Curves!$BF$8:$BF$68,BF$4-$B186+1)</f>
        <v/>
      </c>
      <c r="BG186" s="153">
        <f>$C186*INDEX(Curves!$BF$8:$BF$68,BG$4-$B186+1)</f>
        <v/>
      </c>
      <c r="BH186" s="153">
        <f>$C186*INDEX(Curves!$BF$8:$BF$68,BH$4-$B186+1)</f>
        <v/>
      </c>
      <c r="BI186" s="153">
        <f>$C186*INDEX(Curves!$BF$8:$BF$68,BI$4-$B186+1)</f>
        <v/>
      </c>
      <c r="BJ186" s="153">
        <f>$C186*INDEX(Curves!$BF$8:$BF$68,BJ$4-$B186+1)</f>
        <v/>
      </c>
      <c r="BK186" s="153">
        <f>$C186*INDEX(Curves!$BF$8:$BF$68,BK$4-$B186+1)</f>
        <v/>
      </c>
      <c r="BL186" s="153">
        <f>$C186*INDEX(Curves!$BF$8:$BF$68,BL$4-$B186+1)</f>
        <v/>
      </c>
    </row>
    <row r="187">
      <c r="A187" s="147" t="inlineStr">
        <is>
          <t>Cohort month 52</t>
        </is>
      </c>
      <c r="B187" s="147" t="n">
        <v>52</v>
      </c>
      <c r="C187" s="41">
        <f>INDEX(Ops!$E$110:$BL$110,1,$B187)</f>
        <v/>
      </c>
      <c r="BE187" s="153">
        <f>$C187*INDEX(Curves!$BF$8:$BF$68,BE$4-$B187+1)</f>
        <v/>
      </c>
      <c r="BF187" s="153">
        <f>$C187*INDEX(Curves!$BF$8:$BF$68,BF$4-$B187+1)</f>
        <v/>
      </c>
      <c r="BG187" s="153">
        <f>$C187*INDEX(Curves!$BF$8:$BF$68,BG$4-$B187+1)</f>
        <v/>
      </c>
      <c r="BH187" s="153">
        <f>$C187*INDEX(Curves!$BF$8:$BF$68,BH$4-$B187+1)</f>
        <v/>
      </c>
      <c r="BI187" s="153">
        <f>$C187*INDEX(Curves!$BF$8:$BF$68,BI$4-$B187+1)</f>
        <v/>
      </c>
      <c r="BJ187" s="153">
        <f>$C187*INDEX(Curves!$BF$8:$BF$68,BJ$4-$B187+1)</f>
        <v/>
      </c>
      <c r="BK187" s="153">
        <f>$C187*INDEX(Curves!$BF$8:$BF$68,BK$4-$B187+1)</f>
        <v/>
      </c>
      <c r="BL187" s="153">
        <f>$C187*INDEX(Curves!$BF$8:$BF$68,BL$4-$B187+1)</f>
        <v/>
      </c>
    </row>
    <row r="188">
      <c r="A188" s="147" t="inlineStr">
        <is>
          <t>Cohort month 53</t>
        </is>
      </c>
      <c r="B188" s="147" t="n">
        <v>53</v>
      </c>
      <c r="C188" s="41">
        <f>INDEX(Ops!$E$110:$BL$110,1,$B188)</f>
        <v/>
      </c>
      <c r="BF188" s="153">
        <f>$C188*INDEX(Curves!$BF$8:$BF$68,BF$4-$B188+1)</f>
        <v/>
      </c>
      <c r="BG188" s="153">
        <f>$C188*INDEX(Curves!$BF$8:$BF$68,BG$4-$B188+1)</f>
        <v/>
      </c>
      <c r="BH188" s="153">
        <f>$C188*INDEX(Curves!$BF$8:$BF$68,BH$4-$B188+1)</f>
        <v/>
      </c>
      <c r="BI188" s="153">
        <f>$C188*INDEX(Curves!$BF$8:$BF$68,BI$4-$B188+1)</f>
        <v/>
      </c>
      <c r="BJ188" s="153">
        <f>$C188*INDEX(Curves!$BF$8:$BF$68,BJ$4-$B188+1)</f>
        <v/>
      </c>
      <c r="BK188" s="153">
        <f>$C188*INDEX(Curves!$BF$8:$BF$68,BK$4-$B188+1)</f>
        <v/>
      </c>
      <c r="BL188" s="153">
        <f>$C188*INDEX(Curves!$BF$8:$BF$68,BL$4-$B188+1)</f>
        <v/>
      </c>
    </row>
    <row r="189">
      <c r="A189" s="147" t="inlineStr">
        <is>
          <t>Cohort month 54</t>
        </is>
      </c>
      <c r="B189" s="147" t="n">
        <v>54</v>
      </c>
      <c r="C189" s="41">
        <f>INDEX(Ops!$E$110:$BL$110,1,$B189)</f>
        <v/>
      </c>
      <c r="BG189" s="153">
        <f>$C189*INDEX(Curves!$BF$8:$BF$68,BG$4-$B189+1)</f>
        <v/>
      </c>
      <c r="BH189" s="153">
        <f>$C189*INDEX(Curves!$BF$8:$BF$68,BH$4-$B189+1)</f>
        <v/>
      </c>
      <c r="BI189" s="153">
        <f>$C189*INDEX(Curves!$BF$8:$BF$68,BI$4-$B189+1)</f>
        <v/>
      </c>
      <c r="BJ189" s="153">
        <f>$C189*INDEX(Curves!$BF$8:$BF$68,BJ$4-$B189+1)</f>
        <v/>
      </c>
      <c r="BK189" s="153">
        <f>$C189*INDEX(Curves!$BF$8:$BF$68,BK$4-$B189+1)</f>
        <v/>
      </c>
      <c r="BL189" s="153">
        <f>$C189*INDEX(Curves!$BF$8:$BF$68,BL$4-$B189+1)</f>
        <v/>
      </c>
    </row>
    <row r="190">
      <c r="A190" s="147" t="inlineStr">
        <is>
          <t>Cohort month 55</t>
        </is>
      </c>
      <c r="B190" s="147" t="n">
        <v>55</v>
      </c>
      <c r="C190" s="41">
        <f>INDEX(Ops!$E$110:$BL$110,1,$B190)</f>
        <v/>
      </c>
      <c r="BH190" s="153">
        <f>$C190*INDEX(Curves!$BF$8:$BF$68,BH$4-$B190+1)</f>
        <v/>
      </c>
      <c r="BI190" s="153">
        <f>$C190*INDEX(Curves!$BF$8:$BF$68,BI$4-$B190+1)</f>
        <v/>
      </c>
      <c r="BJ190" s="153">
        <f>$C190*INDEX(Curves!$BF$8:$BF$68,BJ$4-$B190+1)</f>
        <v/>
      </c>
      <c r="BK190" s="153">
        <f>$C190*INDEX(Curves!$BF$8:$BF$68,BK$4-$B190+1)</f>
        <v/>
      </c>
      <c r="BL190" s="153">
        <f>$C190*INDEX(Curves!$BF$8:$BF$68,BL$4-$B190+1)</f>
        <v/>
      </c>
    </row>
    <row r="191">
      <c r="A191" s="147" t="inlineStr">
        <is>
          <t>Cohort month 56</t>
        </is>
      </c>
      <c r="B191" s="147" t="n">
        <v>56</v>
      </c>
      <c r="C191" s="41">
        <f>INDEX(Ops!$E$110:$BL$110,1,$B191)</f>
        <v/>
      </c>
      <c r="BI191" s="153">
        <f>$C191*INDEX(Curves!$BF$8:$BF$68,BI$4-$B191+1)</f>
        <v/>
      </c>
      <c r="BJ191" s="153">
        <f>$C191*INDEX(Curves!$BF$8:$BF$68,BJ$4-$B191+1)</f>
        <v/>
      </c>
      <c r="BK191" s="153">
        <f>$C191*INDEX(Curves!$BF$8:$BF$68,BK$4-$B191+1)</f>
        <v/>
      </c>
      <c r="BL191" s="153">
        <f>$C191*INDEX(Curves!$BF$8:$BF$68,BL$4-$B191+1)</f>
        <v/>
      </c>
    </row>
    <row r="192">
      <c r="A192" s="147" t="inlineStr">
        <is>
          <t>Cohort month 57</t>
        </is>
      </c>
      <c r="B192" s="147" t="n">
        <v>57</v>
      </c>
      <c r="C192" s="41">
        <f>INDEX(Ops!$E$110:$BL$110,1,$B192)</f>
        <v/>
      </c>
      <c r="BJ192" s="153">
        <f>$C192*INDEX(Curves!$BF$8:$BF$68,BJ$4-$B192+1)</f>
        <v/>
      </c>
      <c r="BK192" s="153">
        <f>$C192*INDEX(Curves!$BF$8:$BF$68,BK$4-$B192+1)</f>
        <v/>
      </c>
      <c r="BL192" s="153">
        <f>$C192*INDEX(Curves!$BF$8:$BF$68,BL$4-$B192+1)</f>
        <v/>
      </c>
    </row>
    <row r="193">
      <c r="A193" s="147" t="inlineStr">
        <is>
          <t>Cohort month 58</t>
        </is>
      </c>
      <c r="B193" s="147" t="n">
        <v>58</v>
      </c>
      <c r="C193" s="41">
        <f>INDEX(Ops!$E$110:$BL$110,1,$B193)</f>
        <v/>
      </c>
      <c r="BK193" s="153">
        <f>$C193*INDEX(Curves!$BF$8:$BF$68,BK$4-$B193+1)</f>
        <v/>
      </c>
      <c r="BL193" s="153">
        <f>$C193*INDEX(Curves!$BF$8:$BF$68,BL$4-$B193+1)</f>
        <v/>
      </c>
    </row>
    <row r="194">
      <c r="A194" s="147" t="inlineStr">
        <is>
          <t>Cohort month 59</t>
        </is>
      </c>
      <c r="B194" s="147" t="n">
        <v>59</v>
      </c>
      <c r="C194" s="41">
        <f>INDEX(Ops!$E$110:$BL$110,1,$B194)</f>
        <v/>
      </c>
      <c r="BL194" s="153">
        <f>$C194*INDEX(Curves!$BF$8:$BF$68,BL$4-$B194+1)</f>
        <v/>
      </c>
    </row>
    <row r="195">
      <c r="A195" s="147" t="inlineStr">
        <is>
          <t>Cohort month 60</t>
        </is>
      </c>
      <c r="B195" s="147" t="n">
        <v>60</v>
      </c>
      <c r="C195" s="41">
        <f>INDEX(Ops!$E$110:$BL$110,1,$B195)</f>
        <v/>
      </c>
    </row>
    <row r="196"/>
    <row r="197">
      <c r="A197" s="21" t="inlineStr">
        <is>
          <t>Recoveries by cohort (LCY)</t>
        </is>
      </c>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c r="AA197" s="22" t="n"/>
      <c r="AB197" s="22" t="n"/>
      <c r="AC197" s="22" t="n"/>
      <c r="AD197" s="22" t="n"/>
      <c r="AE197" s="22" t="n"/>
      <c r="AF197" s="22" t="n"/>
      <c r="AG197" s="22" t="n"/>
      <c r="AH197" s="22" t="n"/>
      <c r="AI197" s="22" t="n"/>
      <c r="AJ197" s="22" t="n"/>
      <c r="AK197" s="22" t="n"/>
      <c r="AL197" s="22" t="n"/>
      <c r="AM197" s="22" t="n"/>
      <c r="AN197" s="22" t="n"/>
      <c r="AO197" s="22" t="n"/>
      <c r="AP197" s="22" t="n"/>
      <c r="AQ197" s="22" t="n"/>
      <c r="AR197" s="22" t="n"/>
      <c r="AS197" s="22" t="n"/>
      <c r="AT197" s="22" t="n"/>
      <c r="AU197" s="22" t="n"/>
      <c r="AV197" s="22" t="n"/>
      <c r="AW197" s="22" t="n"/>
      <c r="AX197" s="22" t="n"/>
      <c r="AY197" s="22" t="n"/>
      <c r="AZ197" s="22" t="n"/>
      <c r="BA197" s="22" t="n"/>
      <c r="BB197" s="22" t="n"/>
      <c r="BC197" s="22" t="n"/>
      <c r="BD197" s="22" t="n"/>
      <c r="BE197" s="22" t="n"/>
      <c r="BF197" s="22" t="n"/>
      <c r="BG197" s="22" t="n"/>
      <c r="BH197" s="22" t="n"/>
      <c r="BI197" s="22" t="n"/>
      <c r="BJ197" s="22" t="n"/>
      <c r="BK197" s="22" t="n"/>
      <c r="BL197" s="22" t="n"/>
    </row>
    <row r="198">
      <c r="A198" s="100" t="inlineStr">
        <is>
          <t>Total</t>
        </is>
      </c>
      <c r="B198" s="101" t="inlineStr"/>
      <c r="C198" s="103" t="n"/>
      <c r="D198" s="103" t="n"/>
      <c r="E198" s="104">
        <f>SUM(E199:E258)</f>
        <v/>
      </c>
      <c r="F198" s="104">
        <f>SUM(F199:F258)</f>
        <v/>
      </c>
      <c r="G198" s="104">
        <f>SUM(G199:G258)</f>
        <v/>
      </c>
      <c r="H198" s="104">
        <f>SUM(H199:H258)</f>
        <v/>
      </c>
      <c r="I198" s="104">
        <f>SUM(I199:I258)</f>
        <v/>
      </c>
      <c r="J198" s="104">
        <f>SUM(J199:J258)</f>
        <v/>
      </c>
      <c r="K198" s="104">
        <f>SUM(K199:K258)</f>
        <v/>
      </c>
      <c r="L198" s="104">
        <f>SUM(L199:L258)</f>
        <v/>
      </c>
      <c r="M198" s="104">
        <f>SUM(M199:M258)</f>
        <v/>
      </c>
      <c r="N198" s="104">
        <f>SUM(N199:N258)</f>
        <v/>
      </c>
      <c r="O198" s="104">
        <f>SUM(O199:O258)</f>
        <v/>
      </c>
      <c r="P198" s="104">
        <f>SUM(P199:P258)</f>
        <v/>
      </c>
      <c r="Q198" s="104">
        <f>SUM(Q199:Q258)</f>
        <v/>
      </c>
      <c r="R198" s="104">
        <f>SUM(R199:R258)</f>
        <v/>
      </c>
      <c r="S198" s="104">
        <f>SUM(S199:S258)</f>
        <v/>
      </c>
      <c r="T198" s="104">
        <f>SUM(T199:T258)</f>
        <v/>
      </c>
      <c r="U198" s="104">
        <f>SUM(U199:U258)</f>
        <v/>
      </c>
      <c r="V198" s="104">
        <f>SUM(V199:V258)</f>
        <v/>
      </c>
      <c r="W198" s="104">
        <f>SUM(W199:W258)</f>
        <v/>
      </c>
      <c r="X198" s="104">
        <f>SUM(X199:X258)</f>
        <v/>
      </c>
      <c r="Y198" s="104">
        <f>SUM(Y199:Y258)</f>
        <v/>
      </c>
      <c r="Z198" s="104">
        <f>SUM(Z199:Z258)</f>
        <v/>
      </c>
      <c r="AA198" s="104">
        <f>SUM(AA199:AA258)</f>
        <v/>
      </c>
      <c r="AB198" s="104">
        <f>SUM(AB199:AB258)</f>
        <v/>
      </c>
      <c r="AC198" s="104">
        <f>SUM(AC199:AC258)</f>
        <v/>
      </c>
      <c r="AD198" s="104">
        <f>SUM(AD199:AD258)</f>
        <v/>
      </c>
      <c r="AE198" s="104">
        <f>SUM(AE199:AE258)</f>
        <v/>
      </c>
      <c r="AF198" s="104">
        <f>SUM(AF199:AF258)</f>
        <v/>
      </c>
      <c r="AG198" s="104">
        <f>SUM(AG199:AG258)</f>
        <v/>
      </c>
      <c r="AH198" s="104">
        <f>SUM(AH199:AH258)</f>
        <v/>
      </c>
      <c r="AI198" s="104">
        <f>SUM(AI199:AI258)</f>
        <v/>
      </c>
      <c r="AJ198" s="104">
        <f>SUM(AJ199:AJ258)</f>
        <v/>
      </c>
      <c r="AK198" s="104">
        <f>SUM(AK199:AK258)</f>
        <v/>
      </c>
      <c r="AL198" s="104">
        <f>SUM(AL199:AL258)</f>
        <v/>
      </c>
      <c r="AM198" s="104">
        <f>SUM(AM199:AM258)</f>
        <v/>
      </c>
      <c r="AN198" s="104">
        <f>SUM(AN199:AN258)</f>
        <v/>
      </c>
      <c r="AO198" s="104">
        <f>SUM(AO199:AO258)</f>
        <v/>
      </c>
      <c r="AP198" s="104">
        <f>SUM(AP199:AP258)</f>
        <v/>
      </c>
      <c r="AQ198" s="104">
        <f>SUM(AQ199:AQ258)</f>
        <v/>
      </c>
      <c r="AR198" s="104">
        <f>SUM(AR199:AR258)</f>
        <v/>
      </c>
      <c r="AS198" s="104">
        <f>SUM(AS199:AS258)</f>
        <v/>
      </c>
      <c r="AT198" s="104">
        <f>SUM(AT199:AT258)</f>
        <v/>
      </c>
      <c r="AU198" s="104">
        <f>SUM(AU199:AU258)</f>
        <v/>
      </c>
      <c r="AV198" s="104">
        <f>SUM(AV199:AV258)</f>
        <v/>
      </c>
      <c r="AW198" s="104">
        <f>SUM(AW199:AW258)</f>
        <v/>
      </c>
      <c r="AX198" s="104">
        <f>SUM(AX199:AX258)</f>
        <v/>
      </c>
      <c r="AY198" s="104">
        <f>SUM(AY199:AY258)</f>
        <v/>
      </c>
      <c r="AZ198" s="104">
        <f>SUM(AZ199:AZ258)</f>
        <v/>
      </c>
      <c r="BA198" s="104">
        <f>SUM(BA199:BA258)</f>
        <v/>
      </c>
      <c r="BB198" s="104">
        <f>SUM(BB199:BB258)</f>
        <v/>
      </c>
      <c r="BC198" s="104">
        <f>SUM(BC199:BC258)</f>
        <v/>
      </c>
      <c r="BD198" s="104">
        <f>SUM(BD199:BD258)</f>
        <v/>
      </c>
      <c r="BE198" s="104">
        <f>SUM(BE199:BE258)</f>
        <v/>
      </c>
      <c r="BF198" s="104">
        <f>SUM(BF199:BF258)</f>
        <v/>
      </c>
      <c r="BG198" s="104">
        <f>SUM(BG199:BG258)</f>
        <v/>
      </c>
      <c r="BH198" s="104">
        <f>SUM(BH199:BH258)</f>
        <v/>
      </c>
      <c r="BI198" s="104">
        <f>SUM(BI199:BI258)</f>
        <v/>
      </c>
      <c r="BJ198" s="104">
        <f>SUM(BJ199:BJ258)</f>
        <v/>
      </c>
      <c r="BK198" s="104">
        <f>SUM(BK199:BK258)</f>
        <v/>
      </c>
      <c r="BL198" s="104">
        <f>SUM(BL199:BL258)</f>
        <v/>
      </c>
    </row>
    <row r="199">
      <c r="A199" s="147" t="inlineStr">
        <is>
          <t>Cohort month 1</t>
        </is>
      </c>
      <c r="B199" s="147" t="n">
        <v>1</v>
      </c>
      <c r="C199" s="41">
        <f>INDEX(Ops!$E$110:$BL$110,1,$B199)</f>
        <v/>
      </c>
      <c r="F199" s="153">
        <f>$C199*INDEX(Curves!$BI$8:$BI$68,F$4-$B199+1)</f>
        <v/>
      </c>
      <c r="G199" s="153">
        <f>$C199*INDEX(Curves!$BI$8:$BI$68,G$4-$B199+1)</f>
        <v/>
      </c>
      <c r="H199" s="153">
        <f>$C199*INDEX(Curves!$BI$8:$BI$68,H$4-$B199+1)</f>
        <v/>
      </c>
      <c r="I199" s="153">
        <f>$C199*INDEX(Curves!$BI$8:$BI$68,I$4-$B199+1)</f>
        <v/>
      </c>
      <c r="J199" s="153">
        <f>$C199*INDEX(Curves!$BI$8:$BI$68,J$4-$B199+1)</f>
        <v/>
      </c>
      <c r="K199" s="153">
        <f>$C199*INDEX(Curves!$BI$8:$BI$68,K$4-$B199+1)</f>
        <v/>
      </c>
      <c r="L199" s="153">
        <f>$C199*INDEX(Curves!$BI$8:$BI$68,L$4-$B199+1)</f>
        <v/>
      </c>
      <c r="M199" s="153">
        <f>$C199*INDEX(Curves!$BI$8:$BI$68,M$4-$B199+1)</f>
        <v/>
      </c>
      <c r="N199" s="153">
        <f>$C199*INDEX(Curves!$BI$8:$BI$68,N$4-$B199+1)</f>
        <v/>
      </c>
      <c r="O199" s="153">
        <f>$C199*INDEX(Curves!$BI$8:$BI$68,O$4-$B199+1)</f>
        <v/>
      </c>
      <c r="P199" s="153">
        <f>$C199*INDEX(Curves!$BI$8:$BI$68,P$4-$B199+1)</f>
        <v/>
      </c>
      <c r="Q199" s="153">
        <f>$C199*INDEX(Curves!$BI$8:$BI$68,Q$4-$B199+1)</f>
        <v/>
      </c>
      <c r="R199" s="153">
        <f>$C199*INDEX(Curves!$BI$8:$BI$68,R$4-$B199+1)</f>
        <v/>
      </c>
      <c r="S199" s="153">
        <f>$C199*INDEX(Curves!$BI$8:$BI$68,S$4-$B199+1)</f>
        <v/>
      </c>
      <c r="T199" s="153">
        <f>$C199*INDEX(Curves!$BI$8:$BI$68,T$4-$B199+1)</f>
        <v/>
      </c>
      <c r="U199" s="153">
        <f>$C199*INDEX(Curves!$BI$8:$BI$68,U$4-$B199+1)</f>
        <v/>
      </c>
      <c r="V199" s="153">
        <f>$C199*INDEX(Curves!$BI$8:$BI$68,V$4-$B199+1)</f>
        <v/>
      </c>
      <c r="W199" s="153">
        <f>$C199*INDEX(Curves!$BI$8:$BI$68,W$4-$B199+1)</f>
        <v/>
      </c>
      <c r="X199" s="153">
        <f>$C199*INDEX(Curves!$BI$8:$BI$68,X$4-$B199+1)</f>
        <v/>
      </c>
      <c r="Y199" s="153">
        <f>$C199*INDEX(Curves!$BI$8:$BI$68,Y$4-$B199+1)</f>
        <v/>
      </c>
      <c r="Z199" s="153">
        <f>$C199*INDEX(Curves!$BI$8:$BI$68,Z$4-$B199+1)</f>
        <v/>
      </c>
      <c r="AA199" s="153">
        <f>$C199*INDEX(Curves!$BI$8:$BI$68,AA$4-$B199+1)</f>
        <v/>
      </c>
      <c r="AB199" s="153">
        <f>$C199*INDEX(Curves!$BI$8:$BI$68,AB$4-$B199+1)</f>
        <v/>
      </c>
      <c r="AC199" s="153">
        <f>$C199*INDEX(Curves!$BI$8:$BI$68,AC$4-$B199+1)</f>
        <v/>
      </c>
      <c r="AD199" s="153">
        <f>$C199*INDEX(Curves!$BI$8:$BI$68,AD$4-$B199+1)</f>
        <v/>
      </c>
      <c r="AE199" s="153">
        <f>$C199*INDEX(Curves!$BI$8:$BI$68,AE$4-$B199+1)</f>
        <v/>
      </c>
      <c r="AF199" s="153">
        <f>$C199*INDEX(Curves!$BI$8:$BI$68,AF$4-$B199+1)</f>
        <v/>
      </c>
      <c r="AG199" s="153">
        <f>$C199*INDEX(Curves!$BI$8:$BI$68,AG$4-$B199+1)</f>
        <v/>
      </c>
      <c r="AH199" s="153">
        <f>$C199*INDEX(Curves!$BI$8:$BI$68,AH$4-$B199+1)</f>
        <v/>
      </c>
      <c r="AI199" s="153">
        <f>$C199*INDEX(Curves!$BI$8:$BI$68,AI$4-$B199+1)</f>
        <v/>
      </c>
      <c r="AJ199" s="153">
        <f>$C199*INDEX(Curves!$BI$8:$BI$68,AJ$4-$B199+1)</f>
        <v/>
      </c>
      <c r="AK199" s="153">
        <f>$C199*INDEX(Curves!$BI$8:$BI$68,AK$4-$B199+1)</f>
        <v/>
      </c>
      <c r="AL199" s="153">
        <f>$C199*INDEX(Curves!$BI$8:$BI$68,AL$4-$B199+1)</f>
        <v/>
      </c>
      <c r="AM199" s="153">
        <f>$C199*INDEX(Curves!$BI$8:$BI$68,AM$4-$B199+1)</f>
        <v/>
      </c>
      <c r="AN199" s="153">
        <f>$C199*INDEX(Curves!$BI$8:$BI$68,AN$4-$B199+1)</f>
        <v/>
      </c>
      <c r="AO199" s="153">
        <f>$C199*INDEX(Curves!$BI$8:$BI$68,AO$4-$B199+1)</f>
        <v/>
      </c>
      <c r="AP199" s="153">
        <f>$C199*INDEX(Curves!$BI$8:$BI$68,AP$4-$B199+1)</f>
        <v/>
      </c>
      <c r="AQ199" s="153">
        <f>$C199*INDEX(Curves!$BI$8:$BI$68,AQ$4-$B199+1)</f>
        <v/>
      </c>
      <c r="AR199" s="153">
        <f>$C199*INDEX(Curves!$BI$8:$BI$68,AR$4-$B199+1)</f>
        <v/>
      </c>
      <c r="AS199" s="153">
        <f>$C199*INDEX(Curves!$BI$8:$BI$68,AS$4-$B199+1)</f>
        <v/>
      </c>
      <c r="AT199" s="153">
        <f>$C199*INDEX(Curves!$BI$8:$BI$68,AT$4-$B199+1)</f>
        <v/>
      </c>
      <c r="AU199" s="153">
        <f>$C199*INDEX(Curves!$BI$8:$BI$68,AU$4-$B199+1)</f>
        <v/>
      </c>
      <c r="AV199" s="153">
        <f>$C199*INDEX(Curves!$BI$8:$BI$68,AV$4-$B199+1)</f>
        <v/>
      </c>
      <c r="AW199" s="153">
        <f>$C199*INDEX(Curves!$BI$8:$BI$68,AW$4-$B199+1)</f>
        <v/>
      </c>
      <c r="AX199" s="153">
        <f>$C199*INDEX(Curves!$BI$8:$BI$68,AX$4-$B199+1)</f>
        <v/>
      </c>
      <c r="AY199" s="153">
        <f>$C199*INDEX(Curves!$BI$8:$BI$68,AY$4-$B199+1)</f>
        <v/>
      </c>
      <c r="AZ199" s="153">
        <f>$C199*INDEX(Curves!$BI$8:$BI$68,AZ$4-$B199+1)</f>
        <v/>
      </c>
      <c r="BA199" s="153">
        <f>$C199*INDEX(Curves!$BI$8:$BI$68,BA$4-$B199+1)</f>
        <v/>
      </c>
      <c r="BB199" s="153">
        <f>$C199*INDEX(Curves!$BI$8:$BI$68,BB$4-$B199+1)</f>
        <v/>
      </c>
      <c r="BC199" s="153">
        <f>$C199*INDEX(Curves!$BI$8:$BI$68,BC$4-$B199+1)</f>
        <v/>
      </c>
      <c r="BD199" s="153">
        <f>$C199*INDEX(Curves!$BI$8:$BI$68,BD$4-$B199+1)</f>
        <v/>
      </c>
      <c r="BE199" s="153">
        <f>$C199*INDEX(Curves!$BI$8:$BI$68,BE$4-$B199+1)</f>
        <v/>
      </c>
      <c r="BF199" s="153">
        <f>$C199*INDEX(Curves!$BI$8:$BI$68,BF$4-$B199+1)</f>
        <v/>
      </c>
      <c r="BG199" s="153">
        <f>$C199*INDEX(Curves!$BI$8:$BI$68,BG$4-$B199+1)</f>
        <v/>
      </c>
      <c r="BH199" s="153">
        <f>$C199*INDEX(Curves!$BI$8:$BI$68,BH$4-$B199+1)</f>
        <v/>
      </c>
      <c r="BI199" s="153">
        <f>$C199*INDEX(Curves!$BI$8:$BI$68,BI$4-$B199+1)</f>
        <v/>
      </c>
      <c r="BJ199" s="153">
        <f>$C199*INDEX(Curves!$BI$8:$BI$68,BJ$4-$B199+1)</f>
        <v/>
      </c>
      <c r="BK199" s="153">
        <f>$C199*INDEX(Curves!$BI$8:$BI$68,BK$4-$B199+1)</f>
        <v/>
      </c>
      <c r="BL199" s="153">
        <f>$C199*INDEX(Curves!$BI$8:$BI$68,BL$4-$B199+1)</f>
        <v/>
      </c>
    </row>
    <row r="200">
      <c r="A200" s="147" t="inlineStr">
        <is>
          <t>Cohort month 2</t>
        </is>
      </c>
      <c r="B200" s="147" t="n">
        <v>2</v>
      </c>
      <c r="C200" s="41">
        <f>INDEX(Ops!$E$110:$BL$110,1,$B200)</f>
        <v/>
      </c>
      <c r="G200" s="153">
        <f>$C200*INDEX(Curves!$BI$8:$BI$68,G$4-$B200+1)</f>
        <v/>
      </c>
      <c r="H200" s="153">
        <f>$C200*INDEX(Curves!$BI$8:$BI$68,H$4-$B200+1)</f>
        <v/>
      </c>
      <c r="I200" s="153">
        <f>$C200*INDEX(Curves!$BI$8:$BI$68,I$4-$B200+1)</f>
        <v/>
      </c>
      <c r="J200" s="153">
        <f>$C200*INDEX(Curves!$BI$8:$BI$68,J$4-$B200+1)</f>
        <v/>
      </c>
      <c r="K200" s="153">
        <f>$C200*INDEX(Curves!$BI$8:$BI$68,K$4-$B200+1)</f>
        <v/>
      </c>
      <c r="L200" s="153">
        <f>$C200*INDEX(Curves!$BI$8:$BI$68,L$4-$B200+1)</f>
        <v/>
      </c>
      <c r="M200" s="153">
        <f>$C200*INDEX(Curves!$BI$8:$BI$68,M$4-$B200+1)</f>
        <v/>
      </c>
      <c r="N200" s="153">
        <f>$C200*INDEX(Curves!$BI$8:$BI$68,N$4-$B200+1)</f>
        <v/>
      </c>
      <c r="O200" s="153">
        <f>$C200*INDEX(Curves!$BI$8:$BI$68,O$4-$B200+1)</f>
        <v/>
      </c>
      <c r="P200" s="153">
        <f>$C200*INDEX(Curves!$BI$8:$BI$68,P$4-$B200+1)</f>
        <v/>
      </c>
      <c r="Q200" s="153">
        <f>$C200*INDEX(Curves!$BI$8:$BI$68,Q$4-$B200+1)</f>
        <v/>
      </c>
      <c r="R200" s="153">
        <f>$C200*INDEX(Curves!$BI$8:$BI$68,R$4-$B200+1)</f>
        <v/>
      </c>
      <c r="S200" s="153">
        <f>$C200*INDEX(Curves!$BI$8:$BI$68,S$4-$B200+1)</f>
        <v/>
      </c>
      <c r="T200" s="153">
        <f>$C200*INDEX(Curves!$BI$8:$BI$68,T$4-$B200+1)</f>
        <v/>
      </c>
      <c r="U200" s="153">
        <f>$C200*INDEX(Curves!$BI$8:$BI$68,U$4-$B200+1)</f>
        <v/>
      </c>
      <c r="V200" s="153">
        <f>$C200*INDEX(Curves!$BI$8:$BI$68,V$4-$B200+1)</f>
        <v/>
      </c>
      <c r="W200" s="153">
        <f>$C200*INDEX(Curves!$BI$8:$BI$68,W$4-$B200+1)</f>
        <v/>
      </c>
      <c r="X200" s="153">
        <f>$C200*INDEX(Curves!$BI$8:$BI$68,X$4-$B200+1)</f>
        <v/>
      </c>
      <c r="Y200" s="153">
        <f>$C200*INDEX(Curves!$BI$8:$BI$68,Y$4-$B200+1)</f>
        <v/>
      </c>
      <c r="Z200" s="153">
        <f>$C200*INDEX(Curves!$BI$8:$BI$68,Z$4-$B200+1)</f>
        <v/>
      </c>
      <c r="AA200" s="153">
        <f>$C200*INDEX(Curves!$BI$8:$BI$68,AA$4-$B200+1)</f>
        <v/>
      </c>
      <c r="AB200" s="153">
        <f>$C200*INDEX(Curves!$BI$8:$BI$68,AB$4-$B200+1)</f>
        <v/>
      </c>
      <c r="AC200" s="153">
        <f>$C200*INDEX(Curves!$BI$8:$BI$68,AC$4-$B200+1)</f>
        <v/>
      </c>
      <c r="AD200" s="153">
        <f>$C200*INDEX(Curves!$BI$8:$BI$68,AD$4-$B200+1)</f>
        <v/>
      </c>
      <c r="AE200" s="153">
        <f>$C200*INDEX(Curves!$BI$8:$BI$68,AE$4-$B200+1)</f>
        <v/>
      </c>
      <c r="AF200" s="153">
        <f>$C200*INDEX(Curves!$BI$8:$BI$68,AF$4-$B200+1)</f>
        <v/>
      </c>
      <c r="AG200" s="153">
        <f>$C200*INDEX(Curves!$BI$8:$BI$68,AG$4-$B200+1)</f>
        <v/>
      </c>
      <c r="AH200" s="153">
        <f>$C200*INDEX(Curves!$BI$8:$BI$68,AH$4-$B200+1)</f>
        <v/>
      </c>
      <c r="AI200" s="153">
        <f>$C200*INDEX(Curves!$BI$8:$BI$68,AI$4-$B200+1)</f>
        <v/>
      </c>
      <c r="AJ200" s="153">
        <f>$C200*INDEX(Curves!$BI$8:$BI$68,AJ$4-$B200+1)</f>
        <v/>
      </c>
      <c r="AK200" s="153">
        <f>$C200*INDEX(Curves!$BI$8:$BI$68,AK$4-$B200+1)</f>
        <v/>
      </c>
      <c r="AL200" s="153">
        <f>$C200*INDEX(Curves!$BI$8:$BI$68,AL$4-$B200+1)</f>
        <v/>
      </c>
      <c r="AM200" s="153">
        <f>$C200*INDEX(Curves!$BI$8:$BI$68,AM$4-$B200+1)</f>
        <v/>
      </c>
      <c r="AN200" s="153">
        <f>$C200*INDEX(Curves!$BI$8:$BI$68,AN$4-$B200+1)</f>
        <v/>
      </c>
      <c r="AO200" s="153">
        <f>$C200*INDEX(Curves!$BI$8:$BI$68,AO$4-$B200+1)</f>
        <v/>
      </c>
      <c r="AP200" s="153">
        <f>$C200*INDEX(Curves!$BI$8:$BI$68,AP$4-$B200+1)</f>
        <v/>
      </c>
      <c r="AQ200" s="153">
        <f>$C200*INDEX(Curves!$BI$8:$BI$68,AQ$4-$B200+1)</f>
        <v/>
      </c>
      <c r="AR200" s="153">
        <f>$C200*INDEX(Curves!$BI$8:$BI$68,AR$4-$B200+1)</f>
        <v/>
      </c>
      <c r="AS200" s="153">
        <f>$C200*INDEX(Curves!$BI$8:$BI$68,AS$4-$B200+1)</f>
        <v/>
      </c>
      <c r="AT200" s="153">
        <f>$C200*INDEX(Curves!$BI$8:$BI$68,AT$4-$B200+1)</f>
        <v/>
      </c>
      <c r="AU200" s="153">
        <f>$C200*INDEX(Curves!$BI$8:$BI$68,AU$4-$B200+1)</f>
        <v/>
      </c>
      <c r="AV200" s="153">
        <f>$C200*INDEX(Curves!$BI$8:$BI$68,AV$4-$B200+1)</f>
        <v/>
      </c>
      <c r="AW200" s="153">
        <f>$C200*INDEX(Curves!$BI$8:$BI$68,AW$4-$B200+1)</f>
        <v/>
      </c>
      <c r="AX200" s="153">
        <f>$C200*INDEX(Curves!$BI$8:$BI$68,AX$4-$B200+1)</f>
        <v/>
      </c>
      <c r="AY200" s="153">
        <f>$C200*INDEX(Curves!$BI$8:$BI$68,AY$4-$B200+1)</f>
        <v/>
      </c>
      <c r="AZ200" s="153">
        <f>$C200*INDEX(Curves!$BI$8:$BI$68,AZ$4-$B200+1)</f>
        <v/>
      </c>
      <c r="BA200" s="153">
        <f>$C200*INDEX(Curves!$BI$8:$BI$68,BA$4-$B200+1)</f>
        <v/>
      </c>
      <c r="BB200" s="153">
        <f>$C200*INDEX(Curves!$BI$8:$BI$68,BB$4-$B200+1)</f>
        <v/>
      </c>
      <c r="BC200" s="153">
        <f>$C200*INDEX(Curves!$BI$8:$BI$68,BC$4-$B200+1)</f>
        <v/>
      </c>
      <c r="BD200" s="153">
        <f>$C200*INDEX(Curves!$BI$8:$BI$68,BD$4-$B200+1)</f>
        <v/>
      </c>
      <c r="BE200" s="153">
        <f>$C200*INDEX(Curves!$BI$8:$BI$68,BE$4-$B200+1)</f>
        <v/>
      </c>
      <c r="BF200" s="153">
        <f>$C200*INDEX(Curves!$BI$8:$BI$68,BF$4-$B200+1)</f>
        <v/>
      </c>
      <c r="BG200" s="153">
        <f>$C200*INDEX(Curves!$BI$8:$BI$68,BG$4-$B200+1)</f>
        <v/>
      </c>
      <c r="BH200" s="153">
        <f>$C200*INDEX(Curves!$BI$8:$BI$68,BH$4-$B200+1)</f>
        <v/>
      </c>
      <c r="BI200" s="153">
        <f>$C200*INDEX(Curves!$BI$8:$BI$68,BI$4-$B200+1)</f>
        <v/>
      </c>
      <c r="BJ200" s="153">
        <f>$C200*INDEX(Curves!$BI$8:$BI$68,BJ$4-$B200+1)</f>
        <v/>
      </c>
      <c r="BK200" s="153">
        <f>$C200*INDEX(Curves!$BI$8:$BI$68,BK$4-$B200+1)</f>
        <v/>
      </c>
      <c r="BL200" s="153">
        <f>$C200*INDEX(Curves!$BI$8:$BI$68,BL$4-$B200+1)</f>
        <v/>
      </c>
    </row>
    <row r="201">
      <c r="A201" s="147" t="inlineStr">
        <is>
          <t>Cohort month 3</t>
        </is>
      </c>
      <c r="B201" s="147" t="n">
        <v>3</v>
      </c>
      <c r="C201" s="41">
        <f>INDEX(Ops!$E$110:$BL$110,1,$B201)</f>
        <v/>
      </c>
      <c r="H201" s="153">
        <f>$C201*INDEX(Curves!$BI$8:$BI$68,H$4-$B201+1)</f>
        <v/>
      </c>
      <c r="I201" s="153">
        <f>$C201*INDEX(Curves!$BI$8:$BI$68,I$4-$B201+1)</f>
        <v/>
      </c>
      <c r="J201" s="153">
        <f>$C201*INDEX(Curves!$BI$8:$BI$68,J$4-$B201+1)</f>
        <v/>
      </c>
      <c r="K201" s="153">
        <f>$C201*INDEX(Curves!$BI$8:$BI$68,K$4-$B201+1)</f>
        <v/>
      </c>
      <c r="L201" s="153">
        <f>$C201*INDEX(Curves!$BI$8:$BI$68,L$4-$B201+1)</f>
        <v/>
      </c>
      <c r="M201" s="153">
        <f>$C201*INDEX(Curves!$BI$8:$BI$68,M$4-$B201+1)</f>
        <v/>
      </c>
      <c r="N201" s="153">
        <f>$C201*INDEX(Curves!$BI$8:$BI$68,N$4-$B201+1)</f>
        <v/>
      </c>
      <c r="O201" s="153">
        <f>$C201*INDEX(Curves!$BI$8:$BI$68,O$4-$B201+1)</f>
        <v/>
      </c>
      <c r="P201" s="153">
        <f>$C201*INDEX(Curves!$BI$8:$BI$68,P$4-$B201+1)</f>
        <v/>
      </c>
      <c r="Q201" s="153">
        <f>$C201*INDEX(Curves!$BI$8:$BI$68,Q$4-$B201+1)</f>
        <v/>
      </c>
      <c r="R201" s="153">
        <f>$C201*INDEX(Curves!$BI$8:$BI$68,R$4-$B201+1)</f>
        <v/>
      </c>
      <c r="S201" s="153">
        <f>$C201*INDEX(Curves!$BI$8:$BI$68,S$4-$B201+1)</f>
        <v/>
      </c>
      <c r="T201" s="153">
        <f>$C201*INDEX(Curves!$BI$8:$BI$68,T$4-$B201+1)</f>
        <v/>
      </c>
      <c r="U201" s="153">
        <f>$C201*INDEX(Curves!$BI$8:$BI$68,U$4-$B201+1)</f>
        <v/>
      </c>
      <c r="V201" s="153">
        <f>$C201*INDEX(Curves!$BI$8:$BI$68,V$4-$B201+1)</f>
        <v/>
      </c>
      <c r="W201" s="153">
        <f>$C201*INDEX(Curves!$BI$8:$BI$68,W$4-$B201+1)</f>
        <v/>
      </c>
      <c r="X201" s="153">
        <f>$C201*INDEX(Curves!$BI$8:$BI$68,X$4-$B201+1)</f>
        <v/>
      </c>
      <c r="Y201" s="153">
        <f>$C201*INDEX(Curves!$BI$8:$BI$68,Y$4-$B201+1)</f>
        <v/>
      </c>
      <c r="Z201" s="153">
        <f>$C201*INDEX(Curves!$BI$8:$BI$68,Z$4-$B201+1)</f>
        <v/>
      </c>
      <c r="AA201" s="153">
        <f>$C201*INDEX(Curves!$BI$8:$BI$68,AA$4-$B201+1)</f>
        <v/>
      </c>
      <c r="AB201" s="153">
        <f>$C201*INDEX(Curves!$BI$8:$BI$68,AB$4-$B201+1)</f>
        <v/>
      </c>
      <c r="AC201" s="153">
        <f>$C201*INDEX(Curves!$BI$8:$BI$68,AC$4-$B201+1)</f>
        <v/>
      </c>
      <c r="AD201" s="153">
        <f>$C201*INDEX(Curves!$BI$8:$BI$68,AD$4-$B201+1)</f>
        <v/>
      </c>
      <c r="AE201" s="153">
        <f>$C201*INDEX(Curves!$BI$8:$BI$68,AE$4-$B201+1)</f>
        <v/>
      </c>
      <c r="AF201" s="153">
        <f>$C201*INDEX(Curves!$BI$8:$BI$68,AF$4-$B201+1)</f>
        <v/>
      </c>
      <c r="AG201" s="153">
        <f>$C201*INDEX(Curves!$BI$8:$BI$68,AG$4-$B201+1)</f>
        <v/>
      </c>
      <c r="AH201" s="153">
        <f>$C201*INDEX(Curves!$BI$8:$BI$68,AH$4-$B201+1)</f>
        <v/>
      </c>
      <c r="AI201" s="153">
        <f>$C201*INDEX(Curves!$BI$8:$BI$68,AI$4-$B201+1)</f>
        <v/>
      </c>
      <c r="AJ201" s="153">
        <f>$C201*INDEX(Curves!$BI$8:$BI$68,AJ$4-$B201+1)</f>
        <v/>
      </c>
      <c r="AK201" s="153">
        <f>$C201*INDEX(Curves!$BI$8:$BI$68,AK$4-$B201+1)</f>
        <v/>
      </c>
      <c r="AL201" s="153">
        <f>$C201*INDEX(Curves!$BI$8:$BI$68,AL$4-$B201+1)</f>
        <v/>
      </c>
      <c r="AM201" s="153">
        <f>$C201*INDEX(Curves!$BI$8:$BI$68,AM$4-$B201+1)</f>
        <v/>
      </c>
      <c r="AN201" s="153">
        <f>$C201*INDEX(Curves!$BI$8:$BI$68,AN$4-$B201+1)</f>
        <v/>
      </c>
      <c r="AO201" s="153">
        <f>$C201*INDEX(Curves!$BI$8:$BI$68,AO$4-$B201+1)</f>
        <v/>
      </c>
      <c r="AP201" s="153">
        <f>$C201*INDEX(Curves!$BI$8:$BI$68,AP$4-$B201+1)</f>
        <v/>
      </c>
      <c r="AQ201" s="153">
        <f>$C201*INDEX(Curves!$BI$8:$BI$68,AQ$4-$B201+1)</f>
        <v/>
      </c>
      <c r="AR201" s="153">
        <f>$C201*INDEX(Curves!$BI$8:$BI$68,AR$4-$B201+1)</f>
        <v/>
      </c>
      <c r="AS201" s="153">
        <f>$C201*INDEX(Curves!$BI$8:$BI$68,AS$4-$B201+1)</f>
        <v/>
      </c>
      <c r="AT201" s="153">
        <f>$C201*INDEX(Curves!$BI$8:$BI$68,AT$4-$B201+1)</f>
        <v/>
      </c>
      <c r="AU201" s="153">
        <f>$C201*INDEX(Curves!$BI$8:$BI$68,AU$4-$B201+1)</f>
        <v/>
      </c>
      <c r="AV201" s="153">
        <f>$C201*INDEX(Curves!$BI$8:$BI$68,AV$4-$B201+1)</f>
        <v/>
      </c>
      <c r="AW201" s="153">
        <f>$C201*INDEX(Curves!$BI$8:$BI$68,AW$4-$B201+1)</f>
        <v/>
      </c>
      <c r="AX201" s="153">
        <f>$C201*INDEX(Curves!$BI$8:$BI$68,AX$4-$B201+1)</f>
        <v/>
      </c>
      <c r="AY201" s="153">
        <f>$C201*INDEX(Curves!$BI$8:$BI$68,AY$4-$B201+1)</f>
        <v/>
      </c>
      <c r="AZ201" s="153">
        <f>$C201*INDEX(Curves!$BI$8:$BI$68,AZ$4-$B201+1)</f>
        <v/>
      </c>
      <c r="BA201" s="153">
        <f>$C201*INDEX(Curves!$BI$8:$BI$68,BA$4-$B201+1)</f>
        <v/>
      </c>
      <c r="BB201" s="153">
        <f>$C201*INDEX(Curves!$BI$8:$BI$68,BB$4-$B201+1)</f>
        <v/>
      </c>
      <c r="BC201" s="153">
        <f>$C201*INDEX(Curves!$BI$8:$BI$68,BC$4-$B201+1)</f>
        <v/>
      </c>
      <c r="BD201" s="153">
        <f>$C201*INDEX(Curves!$BI$8:$BI$68,BD$4-$B201+1)</f>
        <v/>
      </c>
      <c r="BE201" s="153">
        <f>$C201*INDEX(Curves!$BI$8:$BI$68,BE$4-$B201+1)</f>
        <v/>
      </c>
      <c r="BF201" s="153">
        <f>$C201*INDEX(Curves!$BI$8:$BI$68,BF$4-$B201+1)</f>
        <v/>
      </c>
      <c r="BG201" s="153">
        <f>$C201*INDEX(Curves!$BI$8:$BI$68,BG$4-$B201+1)</f>
        <v/>
      </c>
      <c r="BH201" s="153">
        <f>$C201*INDEX(Curves!$BI$8:$BI$68,BH$4-$B201+1)</f>
        <v/>
      </c>
      <c r="BI201" s="153">
        <f>$C201*INDEX(Curves!$BI$8:$BI$68,BI$4-$B201+1)</f>
        <v/>
      </c>
      <c r="BJ201" s="153">
        <f>$C201*INDEX(Curves!$BI$8:$BI$68,BJ$4-$B201+1)</f>
        <v/>
      </c>
      <c r="BK201" s="153">
        <f>$C201*INDEX(Curves!$BI$8:$BI$68,BK$4-$B201+1)</f>
        <v/>
      </c>
      <c r="BL201" s="153">
        <f>$C201*INDEX(Curves!$BI$8:$BI$68,BL$4-$B201+1)</f>
        <v/>
      </c>
    </row>
    <row r="202">
      <c r="A202" s="147" t="inlineStr">
        <is>
          <t>Cohort month 4</t>
        </is>
      </c>
      <c r="B202" s="147" t="n">
        <v>4</v>
      </c>
      <c r="C202" s="41">
        <f>INDEX(Ops!$E$110:$BL$110,1,$B202)</f>
        <v/>
      </c>
      <c r="I202" s="153">
        <f>$C202*INDEX(Curves!$BI$8:$BI$68,I$4-$B202+1)</f>
        <v/>
      </c>
      <c r="J202" s="153">
        <f>$C202*INDEX(Curves!$BI$8:$BI$68,J$4-$B202+1)</f>
        <v/>
      </c>
      <c r="K202" s="153">
        <f>$C202*INDEX(Curves!$BI$8:$BI$68,K$4-$B202+1)</f>
        <v/>
      </c>
      <c r="L202" s="153">
        <f>$C202*INDEX(Curves!$BI$8:$BI$68,L$4-$B202+1)</f>
        <v/>
      </c>
      <c r="M202" s="153">
        <f>$C202*INDEX(Curves!$BI$8:$BI$68,M$4-$B202+1)</f>
        <v/>
      </c>
      <c r="N202" s="153">
        <f>$C202*INDEX(Curves!$BI$8:$BI$68,N$4-$B202+1)</f>
        <v/>
      </c>
      <c r="O202" s="153">
        <f>$C202*INDEX(Curves!$BI$8:$BI$68,O$4-$B202+1)</f>
        <v/>
      </c>
      <c r="P202" s="153">
        <f>$C202*INDEX(Curves!$BI$8:$BI$68,P$4-$B202+1)</f>
        <v/>
      </c>
      <c r="Q202" s="153">
        <f>$C202*INDEX(Curves!$BI$8:$BI$68,Q$4-$B202+1)</f>
        <v/>
      </c>
      <c r="R202" s="153">
        <f>$C202*INDEX(Curves!$BI$8:$BI$68,R$4-$B202+1)</f>
        <v/>
      </c>
      <c r="S202" s="153">
        <f>$C202*INDEX(Curves!$BI$8:$BI$68,S$4-$B202+1)</f>
        <v/>
      </c>
      <c r="T202" s="153">
        <f>$C202*INDEX(Curves!$BI$8:$BI$68,T$4-$B202+1)</f>
        <v/>
      </c>
      <c r="U202" s="153">
        <f>$C202*INDEX(Curves!$BI$8:$BI$68,U$4-$B202+1)</f>
        <v/>
      </c>
      <c r="V202" s="153">
        <f>$C202*INDEX(Curves!$BI$8:$BI$68,V$4-$B202+1)</f>
        <v/>
      </c>
      <c r="W202" s="153">
        <f>$C202*INDEX(Curves!$BI$8:$BI$68,W$4-$B202+1)</f>
        <v/>
      </c>
      <c r="X202" s="153">
        <f>$C202*INDEX(Curves!$BI$8:$BI$68,X$4-$B202+1)</f>
        <v/>
      </c>
      <c r="Y202" s="153">
        <f>$C202*INDEX(Curves!$BI$8:$BI$68,Y$4-$B202+1)</f>
        <v/>
      </c>
      <c r="Z202" s="153">
        <f>$C202*INDEX(Curves!$BI$8:$BI$68,Z$4-$B202+1)</f>
        <v/>
      </c>
      <c r="AA202" s="153">
        <f>$C202*INDEX(Curves!$BI$8:$BI$68,AA$4-$B202+1)</f>
        <v/>
      </c>
      <c r="AB202" s="153">
        <f>$C202*INDEX(Curves!$BI$8:$BI$68,AB$4-$B202+1)</f>
        <v/>
      </c>
      <c r="AC202" s="153">
        <f>$C202*INDEX(Curves!$BI$8:$BI$68,AC$4-$B202+1)</f>
        <v/>
      </c>
      <c r="AD202" s="153">
        <f>$C202*INDEX(Curves!$BI$8:$BI$68,AD$4-$B202+1)</f>
        <v/>
      </c>
      <c r="AE202" s="153">
        <f>$C202*INDEX(Curves!$BI$8:$BI$68,AE$4-$B202+1)</f>
        <v/>
      </c>
      <c r="AF202" s="153">
        <f>$C202*INDEX(Curves!$BI$8:$BI$68,AF$4-$B202+1)</f>
        <v/>
      </c>
      <c r="AG202" s="153">
        <f>$C202*INDEX(Curves!$BI$8:$BI$68,AG$4-$B202+1)</f>
        <v/>
      </c>
      <c r="AH202" s="153">
        <f>$C202*INDEX(Curves!$BI$8:$BI$68,AH$4-$B202+1)</f>
        <v/>
      </c>
      <c r="AI202" s="153">
        <f>$C202*INDEX(Curves!$BI$8:$BI$68,AI$4-$B202+1)</f>
        <v/>
      </c>
      <c r="AJ202" s="153">
        <f>$C202*INDEX(Curves!$BI$8:$BI$68,AJ$4-$B202+1)</f>
        <v/>
      </c>
      <c r="AK202" s="153">
        <f>$C202*INDEX(Curves!$BI$8:$BI$68,AK$4-$B202+1)</f>
        <v/>
      </c>
      <c r="AL202" s="153">
        <f>$C202*INDEX(Curves!$BI$8:$BI$68,AL$4-$B202+1)</f>
        <v/>
      </c>
      <c r="AM202" s="153">
        <f>$C202*INDEX(Curves!$BI$8:$BI$68,AM$4-$B202+1)</f>
        <v/>
      </c>
      <c r="AN202" s="153">
        <f>$C202*INDEX(Curves!$BI$8:$BI$68,AN$4-$B202+1)</f>
        <v/>
      </c>
      <c r="AO202" s="153">
        <f>$C202*INDEX(Curves!$BI$8:$BI$68,AO$4-$B202+1)</f>
        <v/>
      </c>
      <c r="AP202" s="153">
        <f>$C202*INDEX(Curves!$BI$8:$BI$68,AP$4-$B202+1)</f>
        <v/>
      </c>
      <c r="AQ202" s="153">
        <f>$C202*INDEX(Curves!$BI$8:$BI$68,AQ$4-$B202+1)</f>
        <v/>
      </c>
      <c r="AR202" s="153">
        <f>$C202*INDEX(Curves!$BI$8:$BI$68,AR$4-$B202+1)</f>
        <v/>
      </c>
      <c r="AS202" s="153">
        <f>$C202*INDEX(Curves!$BI$8:$BI$68,AS$4-$B202+1)</f>
        <v/>
      </c>
      <c r="AT202" s="153">
        <f>$C202*INDEX(Curves!$BI$8:$BI$68,AT$4-$B202+1)</f>
        <v/>
      </c>
      <c r="AU202" s="153">
        <f>$C202*INDEX(Curves!$BI$8:$BI$68,AU$4-$B202+1)</f>
        <v/>
      </c>
      <c r="AV202" s="153">
        <f>$C202*INDEX(Curves!$BI$8:$BI$68,AV$4-$B202+1)</f>
        <v/>
      </c>
      <c r="AW202" s="153">
        <f>$C202*INDEX(Curves!$BI$8:$BI$68,AW$4-$B202+1)</f>
        <v/>
      </c>
      <c r="AX202" s="153">
        <f>$C202*INDEX(Curves!$BI$8:$BI$68,AX$4-$B202+1)</f>
        <v/>
      </c>
      <c r="AY202" s="153">
        <f>$C202*INDEX(Curves!$BI$8:$BI$68,AY$4-$B202+1)</f>
        <v/>
      </c>
      <c r="AZ202" s="153">
        <f>$C202*INDEX(Curves!$BI$8:$BI$68,AZ$4-$B202+1)</f>
        <v/>
      </c>
      <c r="BA202" s="153">
        <f>$C202*INDEX(Curves!$BI$8:$BI$68,BA$4-$B202+1)</f>
        <v/>
      </c>
      <c r="BB202" s="153">
        <f>$C202*INDEX(Curves!$BI$8:$BI$68,BB$4-$B202+1)</f>
        <v/>
      </c>
      <c r="BC202" s="153">
        <f>$C202*INDEX(Curves!$BI$8:$BI$68,BC$4-$B202+1)</f>
        <v/>
      </c>
      <c r="BD202" s="153">
        <f>$C202*INDEX(Curves!$BI$8:$BI$68,BD$4-$B202+1)</f>
        <v/>
      </c>
      <c r="BE202" s="153">
        <f>$C202*INDEX(Curves!$BI$8:$BI$68,BE$4-$B202+1)</f>
        <v/>
      </c>
      <c r="BF202" s="153">
        <f>$C202*INDEX(Curves!$BI$8:$BI$68,BF$4-$B202+1)</f>
        <v/>
      </c>
      <c r="BG202" s="153">
        <f>$C202*INDEX(Curves!$BI$8:$BI$68,BG$4-$B202+1)</f>
        <v/>
      </c>
      <c r="BH202" s="153">
        <f>$C202*INDEX(Curves!$BI$8:$BI$68,BH$4-$B202+1)</f>
        <v/>
      </c>
      <c r="BI202" s="153">
        <f>$C202*INDEX(Curves!$BI$8:$BI$68,BI$4-$B202+1)</f>
        <v/>
      </c>
      <c r="BJ202" s="153">
        <f>$C202*INDEX(Curves!$BI$8:$BI$68,BJ$4-$B202+1)</f>
        <v/>
      </c>
      <c r="BK202" s="153">
        <f>$C202*INDEX(Curves!$BI$8:$BI$68,BK$4-$B202+1)</f>
        <v/>
      </c>
      <c r="BL202" s="153">
        <f>$C202*INDEX(Curves!$BI$8:$BI$68,BL$4-$B202+1)</f>
        <v/>
      </c>
    </row>
    <row r="203">
      <c r="A203" s="147" t="inlineStr">
        <is>
          <t>Cohort month 5</t>
        </is>
      </c>
      <c r="B203" s="147" t="n">
        <v>5</v>
      </c>
      <c r="C203" s="41">
        <f>INDEX(Ops!$E$110:$BL$110,1,$B203)</f>
        <v/>
      </c>
      <c r="J203" s="153">
        <f>$C203*INDEX(Curves!$BI$8:$BI$68,J$4-$B203+1)</f>
        <v/>
      </c>
      <c r="K203" s="153">
        <f>$C203*INDEX(Curves!$BI$8:$BI$68,K$4-$B203+1)</f>
        <v/>
      </c>
      <c r="L203" s="153">
        <f>$C203*INDEX(Curves!$BI$8:$BI$68,L$4-$B203+1)</f>
        <v/>
      </c>
      <c r="M203" s="153">
        <f>$C203*INDEX(Curves!$BI$8:$BI$68,M$4-$B203+1)</f>
        <v/>
      </c>
      <c r="N203" s="153">
        <f>$C203*INDEX(Curves!$BI$8:$BI$68,N$4-$B203+1)</f>
        <v/>
      </c>
      <c r="O203" s="153">
        <f>$C203*INDEX(Curves!$BI$8:$BI$68,O$4-$B203+1)</f>
        <v/>
      </c>
      <c r="P203" s="153">
        <f>$C203*INDEX(Curves!$BI$8:$BI$68,P$4-$B203+1)</f>
        <v/>
      </c>
      <c r="Q203" s="153">
        <f>$C203*INDEX(Curves!$BI$8:$BI$68,Q$4-$B203+1)</f>
        <v/>
      </c>
      <c r="R203" s="153">
        <f>$C203*INDEX(Curves!$BI$8:$BI$68,R$4-$B203+1)</f>
        <v/>
      </c>
      <c r="S203" s="153">
        <f>$C203*INDEX(Curves!$BI$8:$BI$68,S$4-$B203+1)</f>
        <v/>
      </c>
      <c r="T203" s="153">
        <f>$C203*INDEX(Curves!$BI$8:$BI$68,T$4-$B203+1)</f>
        <v/>
      </c>
      <c r="U203" s="153">
        <f>$C203*INDEX(Curves!$BI$8:$BI$68,U$4-$B203+1)</f>
        <v/>
      </c>
      <c r="V203" s="153">
        <f>$C203*INDEX(Curves!$BI$8:$BI$68,V$4-$B203+1)</f>
        <v/>
      </c>
      <c r="W203" s="153">
        <f>$C203*INDEX(Curves!$BI$8:$BI$68,W$4-$B203+1)</f>
        <v/>
      </c>
      <c r="X203" s="153">
        <f>$C203*INDEX(Curves!$BI$8:$BI$68,X$4-$B203+1)</f>
        <v/>
      </c>
      <c r="Y203" s="153">
        <f>$C203*INDEX(Curves!$BI$8:$BI$68,Y$4-$B203+1)</f>
        <v/>
      </c>
      <c r="Z203" s="153">
        <f>$C203*INDEX(Curves!$BI$8:$BI$68,Z$4-$B203+1)</f>
        <v/>
      </c>
      <c r="AA203" s="153">
        <f>$C203*INDEX(Curves!$BI$8:$BI$68,AA$4-$B203+1)</f>
        <v/>
      </c>
      <c r="AB203" s="153">
        <f>$C203*INDEX(Curves!$BI$8:$BI$68,AB$4-$B203+1)</f>
        <v/>
      </c>
      <c r="AC203" s="153">
        <f>$C203*INDEX(Curves!$BI$8:$BI$68,AC$4-$B203+1)</f>
        <v/>
      </c>
      <c r="AD203" s="153">
        <f>$C203*INDEX(Curves!$BI$8:$BI$68,AD$4-$B203+1)</f>
        <v/>
      </c>
      <c r="AE203" s="153">
        <f>$C203*INDEX(Curves!$BI$8:$BI$68,AE$4-$B203+1)</f>
        <v/>
      </c>
      <c r="AF203" s="153">
        <f>$C203*INDEX(Curves!$BI$8:$BI$68,AF$4-$B203+1)</f>
        <v/>
      </c>
      <c r="AG203" s="153">
        <f>$C203*INDEX(Curves!$BI$8:$BI$68,AG$4-$B203+1)</f>
        <v/>
      </c>
      <c r="AH203" s="153">
        <f>$C203*INDEX(Curves!$BI$8:$BI$68,AH$4-$B203+1)</f>
        <v/>
      </c>
      <c r="AI203" s="153">
        <f>$C203*INDEX(Curves!$BI$8:$BI$68,AI$4-$B203+1)</f>
        <v/>
      </c>
      <c r="AJ203" s="153">
        <f>$C203*INDEX(Curves!$BI$8:$BI$68,AJ$4-$B203+1)</f>
        <v/>
      </c>
      <c r="AK203" s="153">
        <f>$C203*INDEX(Curves!$BI$8:$BI$68,AK$4-$B203+1)</f>
        <v/>
      </c>
      <c r="AL203" s="153">
        <f>$C203*INDEX(Curves!$BI$8:$BI$68,AL$4-$B203+1)</f>
        <v/>
      </c>
      <c r="AM203" s="153">
        <f>$C203*INDEX(Curves!$BI$8:$BI$68,AM$4-$B203+1)</f>
        <v/>
      </c>
      <c r="AN203" s="153">
        <f>$C203*INDEX(Curves!$BI$8:$BI$68,AN$4-$B203+1)</f>
        <v/>
      </c>
      <c r="AO203" s="153">
        <f>$C203*INDEX(Curves!$BI$8:$BI$68,AO$4-$B203+1)</f>
        <v/>
      </c>
      <c r="AP203" s="153">
        <f>$C203*INDEX(Curves!$BI$8:$BI$68,AP$4-$B203+1)</f>
        <v/>
      </c>
      <c r="AQ203" s="153">
        <f>$C203*INDEX(Curves!$BI$8:$BI$68,AQ$4-$B203+1)</f>
        <v/>
      </c>
      <c r="AR203" s="153">
        <f>$C203*INDEX(Curves!$BI$8:$BI$68,AR$4-$B203+1)</f>
        <v/>
      </c>
      <c r="AS203" s="153">
        <f>$C203*INDEX(Curves!$BI$8:$BI$68,AS$4-$B203+1)</f>
        <v/>
      </c>
      <c r="AT203" s="153">
        <f>$C203*INDEX(Curves!$BI$8:$BI$68,AT$4-$B203+1)</f>
        <v/>
      </c>
      <c r="AU203" s="153">
        <f>$C203*INDEX(Curves!$BI$8:$BI$68,AU$4-$B203+1)</f>
        <v/>
      </c>
      <c r="AV203" s="153">
        <f>$C203*INDEX(Curves!$BI$8:$BI$68,AV$4-$B203+1)</f>
        <v/>
      </c>
      <c r="AW203" s="153">
        <f>$C203*INDEX(Curves!$BI$8:$BI$68,AW$4-$B203+1)</f>
        <v/>
      </c>
      <c r="AX203" s="153">
        <f>$C203*INDEX(Curves!$BI$8:$BI$68,AX$4-$B203+1)</f>
        <v/>
      </c>
      <c r="AY203" s="153">
        <f>$C203*INDEX(Curves!$BI$8:$BI$68,AY$4-$B203+1)</f>
        <v/>
      </c>
      <c r="AZ203" s="153">
        <f>$C203*INDEX(Curves!$BI$8:$BI$68,AZ$4-$B203+1)</f>
        <v/>
      </c>
      <c r="BA203" s="153">
        <f>$C203*INDEX(Curves!$BI$8:$BI$68,BA$4-$B203+1)</f>
        <v/>
      </c>
      <c r="BB203" s="153">
        <f>$C203*INDEX(Curves!$BI$8:$BI$68,BB$4-$B203+1)</f>
        <v/>
      </c>
      <c r="BC203" s="153">
        <f>$C203*INDEX(Curves!$BI$8:$BI$68,BC$4-$B203+1)</f>
        <v/>
      </c>
      <c r="BD203" s="153">
        <f>$C203*INDEX(Curves!$BI$8:$BI$68,BD$4-$B203+1)</f>
        <v/>
      </c>
      <c r="BE203" s="153">
        <f>$C203*INDEX(Curves!$BI$8:$BI$68,BE$4-$B203+1)</f>
        <v/>
      </c>
      <c r="BF203" s="153">
        <f>$C203*INDEX(Curves!$BI$8:$BI$68,BF$4-$B203+1)</f>
        <v/>
      </c>
      <c r="BG203" s="153">
        <f>$C203*INDEX(Curves!$BI$8:$BI$68,BG$4-$B203+1)</f>
        <v/>
      </c>
      <c r="BH203" s="153">
        <f>$C203*INDEX(Curves!$BI$8:$BI$68,BH$4-$B203+1)</f>
        <v/>
      </c>
      <c r="BI203" s="153">
        <f>$C203*INDEX(Curves!$BI$8:$BI$68,BI$4-$B203+1)</f>
        <v/>
      </c>
      <c r="BJ203" s="153">
        <f>$C203*INDEX(Curves!$BI$8:$BI$68,BJ$4-$B203+1)</f>
        <v/>
      </c>
      <c r="BK203" s="153">
        <f>$C203*INDEX(Curves!$BI$8:$BI$68,BK$4-$B203+1)</f>
        <v/>
      </c>
      <c r="BL203" s="153">
        <f>$C203*INDEX(Curves!$BI$8:$BI$68,BL$4-$B203+1)</f>
        <v/>
      </c>
    </row>
    <row r="204">
      <c r="A204" s="147" t="inlineStr">
        <is>
          <t>Cohort month 6</t>
        </is>
      </c>
      <c r="B204" s="147" t="n">
        <v>6</v>
      </c>
      <c r="C204" s="41">
        <f>INDEX(Ops!$E$110:$BL$110,1,$B204)</f>
        <v/>
      </c>
      <c r="K204" s="153">
        <f>$C204*INDEX(Curves!$BI$8:$BI$68,K$4-$B204+1)</f>
        <v/>
      </c>
      <c r="L204" s="153">
        <f>$C204*INDEX(Curves!$BI$8:$BI$68,L$4-$B204+1)</f>
        <v/>
      </c>
      <c r="M204" s="153">
        <f>$C204*INDEX(Curves!$BI$8:$BI$68,M$4-$B204+1)</f>
        <v/>
      </c>
      <c r="N204" s="153">
        <f>$C204*INDEX(Curves!$BI$8:$BI$68,N$4-$B204+1)</f>
        <v/>
      </c>
      <c r="O204" s="153">
        <f>$C204*INDEX(Curves!$BI$8:$BI$68,O$4-$B204+1)</f>
        <v/>
      </c>
      <c r="P204" s="153">
        <f>$C204*INDEX(Curves!$BI$8:$BI$68,P$4-$B204+1)</f>
        <v/>
      </c>
      <c r="Q204" s="153">
        <f>$C204*INDEX(Curves!$BI$8:$BI$68,Q$4-$B204+1)</f>
        <v/>
      </c>
      <c r="R204" s="153">
        <f>$C204*INDEX(Curves!$BI$8:$BI$68,R$4-$B204+1)</f>
        <v/>
      </c>
      <c r="S204" s="153">
        <f>$C204*INDEX(Curves!$BI$8:$BI$68,S$4-$B204+1)</f>
        <v/>
      </c>
      <c r="T204" s="153">
        <f>$C204*INDEX(Curves!$BI$8:$BI$68,T$4-$B204+1)</f>
        <v/>
      </c>
      <c r="U204" s="153">
        <f>$C204*INDEX(Curves!$BI$8:$BI$68,U$4-$B204+1)</f>
        <v/>
      </c>
      <c r="V204" s="153">
        <f>$C204*INDEX(Curves!$BI$8:$BI$68,V$4-$B204+1)</f>
        <v/>
      </c>
      <c r="W204" s="153">
        <f>$C204*INDEX(Curves!$BI$8:$BI$68,W$4-$B204+1)</f>
        <v/>
      </c>
      <c r="X204" s="153">
        <f>$C204*INDEX(Curves!$BI$8:$BI$68,X$4-$B204+1)</f>
        <v/>
      </c>
      <c r="Y204" s="153">
        <f>$C204*INDEX(Curves!$BI$8:$BI$68,Y$4-$B204+1)</f>
        <v/>
      </c>
      <c r="Z204" s="153">
        <f>$C204*INDEX(Curves!$BI$8:$BI$68,Z$4-$B204+1)</f>
        <v/>
      </c>
      <c r="AA204" s="153">
        <f>$C204*INDEX(Curves!$BI$8:$BI$68,AA$4-$B204+1)</f>
        <v/>
      </c>
      <c r="AB204" s="153">
        <f>$C204*INDEX(Curves!$BI$8:$BI$68,AB$4-$B204+1)</f>
        <v/>
      </c>
      <c r="AC204" s="153">
        <f>$C204*INDEX(Curves!$BI$8:$BI$68,AC$4-$B204+1)</f>
        <v/>
      </c>
      <c r="AD204" s="153">
        <f>$C204*INDEX(Curves!$BI$8:$BI$68,AD$4-$B204+1)</f>
        <v/>
      </c>
      <c r="AE204" s="153">
        <f>$C204*INDEX(Curves!$BI$8:$BI$68,AE$4-$B204+1)</f>
        <v/>
      </c>
      <c r="AF204" s="153">
        <f>$C204*INDEX(Curves!$BI$8:$BI$68,AF$4-$B204+1)</f>
        <v/>
      </c>
      <c r="AG204" s="153">
        <f>$C204*INDEX(Curves!$BI$8:$BI$68,AG$4-$B204+1)</f>
        <v/>
      </c>
      <c r="AH204" s="153">
        <f>$C204*INDEX(Curves!$BI$8:$BI$68,AH$4-$B204+1)</f>
        <v/>
      </c>
      <c r="AI204" s="153">
        <f>$C204*INDEX(Curves!$BI$8:$BI$68,AI$4-$B204+1)</f>
        <v/>
      </c>
      <c r="AJ204" s="153">
        <f>$C204*INDEX(Curves!$BI$8:$BI$68,AJ$4-$B204+1)</f>
        <v/>
      </c>
      <c r="AK204" s="153">
        <f>$C204*INDEX(Curves!$BI$8:$BI$68,AK$4-$B204+1)</f>
        <v/>
      </c>
      <c r="AL204" s="153">
        <f>$C204*INDEX(Curves!$BI$8:$BI$68,AL$4-$B204+1)</f>
        <v/>
      </c>
      <c r="AM204" s="153">
        <f>$C204*INDEX(Curves!$BI$8:$BI$68,AM$4-$B204+1)</f>
        <v/>
      </c>
      <c r="AN204" s="153">
        <f>$C204*INDEX(Curves!$BI$8:$BI$68,AN$4-$B204+1)</f>
        <v/>
      </c>
      <c r="AO204" s="153">
        <f>$C204*INDEX(Curves!$BI$8:$BI$68,AO$4-$B204+1)</f>
        <v/>
      </c>
      <c r="AP204" s="153">
        <f>$C204*INDEX(Curves!$BI$8:$BI$68,AP$4-$B204+1)</f>
        <v/>
      </c>
      <c r="AQ204" s="153">
        <f>$C204*INDEX(Curves!$BI$8:$BI$68,AQ$4-$B204+1)</f>
        <v/>
      </c>
      <c r="AR204" s="153">
        <f>$C204*INDEX(Curves!$BI$8:$BI$68,AR$4-$B204+1)</f>
        <v/>
      </c>
      <c r="AS204" s="153">
        <f>$C204*INDEX(Curves!$BI$8:$BI$68,AS$4-$B204+1)</f>
        <v/>
      </c>
      <c r="AT204" s="153">
        <f>$C204*INDEX(Curves!$BI$8:$BI$68,AT$4-$B204+1)</f>
        <v/>
      </c>
      <c r="AU204" s="153">
        <f>$C204*INDEX(Curves!$BI$8:$BI$68,AU$4-$B204+1)</f>
        <v/>
      </c>
      <c r="AV204" s="153">
        <f>$C204*INDEX(Curves!$BI$8:$BI$68,AV$4-$B204+1)</f>
        <v/>
      </c>
      <c r="AW204" s="153">
        <f>$C204*INDEX(Curves!$BI$8:$BI$68,AW$4-$B204+1)</f>
        <v/>
      </c>
      <c r="AX204" s="153">
        <f>$C204*INDEX(Curves!$BI$8:$BI$68,AX$4-$B204+1)</f>
        <v/>
      </c>
      <c r="AY204" s="153">
        <f>$C204*INDEX(Curves!$BI$8:$BI$68,AY$4-$B204+1)</f>
        <v/>
      </c>
      <c r="AZ204" s="153">
        <f>$C204*INDEX(Curves!$BI$8:$BI$68,AZ$4-$B204+1)</f>
        <v/>
      </c>
      <c r="BA204" s="153">
        <f>$C204*INDEX(Curves!$BI$8:$BI$68,BA$4-$B204+1)</f>
        <v/>
      </c>
      <c r="BB204" s="153">
        <f>$C204*INDEX(Curves!$BI$8:$BI$68,BB$4-$B204+1)</f>
        <v/>
      </c>
      <c r="BC204" s="153">
        <f>$C204*INDEX(Curves!$BI$8:$BI$68,BC$4-$B204+1)</f>
        <v/>
      </c>
      <c r="BD204" s="153">
        <f>$C204*INDEX(Curves!$BI$8:$BI$68,BD$4-$B204+1)</f>
        <v/>
      </c>
      <c r="BE204" s="153">
        <f>$C204*INDEX(Curves!$BI$8:$BI$68,BE$4-$B204+1)</f>
        <v/>
      </c>
      <c r="BF204" s="153">
        <f>$C204*INDEX(Curves!$BI$8:$BI$68,BF$4-$B204+1)</f>
        <v/>
      </c>
      <c r="BG204" s="153">
        <f>$C204*INDEX(Curves!$BI$8:$BI$68,BG$4-$B204+1)</f>
        <v/>
      </c>
      <c r="BH204" s="153">
        <f>$C204*INDEX(Curves!$BI$8:$BI$68,BH$4-$B204+1)</f>
        <v/>
      </c>
      <c r="BI204" s="153">
        <f>$C204*INDEX(Curves!$BI$8:$BI$68,BI$4-$B204+1)</f>
        <v/>
      </c>
      <c r="BJ204" s="153">
        <f>$C204*INDEX(Curves!$BI$8:$BI$68,BJ$4-$B204+1)</f>
        <v/>
      </c>
      <c r="BK204" s="153">
        <f>$C204*INDEX(Curves!$BI$8:$BI$68,BK$4-$B204+1)</f>
        <v/>
      </c>
      <c r="BL204" s="153">
        <f>$C204*INDEX(Curves!$BI$8:$BI$68,BL$4-$B204+1)</f>
        <v/>
      </c>
    </row>
    <row r="205">
      <c r="A205" s="147" t="inlineStr">
        <is>
          <t>Cohort month 7</t>
        </is>
      </c>
      <c r="B205" s="147" t="n">
        <v>7</v>
      </c>
      <c r="C205" s="41">
        <f>INDEX(Ops!$E$110:$BL$110,1,$B205)</f>
        <v/>
      </c>
      <c r="L205" s="153">
        <f>$C205*INDEX(Curves!$BI$8:$BI$68,L$4-$B205+1)</f>
        <v/>
      </c>
      <c r="M205" s="153">
        <f>$C205*INDEX(Curves!$BI$8:$BI$68,M$4-$B205+1)</f>
        <v/>
      </c>
      <c r="N205" s="153">
        <f>$C205*INDEX(Curves!$BI$8:$BI$68,N$4-$B205+1)</f>
        <v/>
      </c>
      <c r="O205" s="153">
        <f>$C205*INDEX(Curves!$BI$8:$BI$68,O$4-$B205+1)</f>
        <v/>
      </c>
      <c r="P205" s="153">
        <f>$C205*INDEX(Curves!$BI$8:$BI$68,P$4-$B205+1)</f>
        <v/>
      </c>
      <c r="Q205" s="153">
        <f>$C205*INDEX(Curves!$BI$8:$BI$68,Q$4-$B205+1)</f>
        <v/>
      </c>
      <c r="R205" s="153">
        <f>$C205*INDEX(Curves!$BI$8:$BI$68,R$4-$B205+1)</f>
        <v/>
      </c>
      <c r="S205" s="153">
        <f>$C205*INDEX(Curves!$BI$8:$BI$68,S$4-$B205+1)</f>
        <v/>
      </c>
      <c r="T205" s="153">
        <f>$C205*INDEX(Curves!$BI$8:$BI$68,T$4-$B205+1)</f>
        <v/>
      </c>
      <c r="U205" s="153">
        <f>$C205*INDEX(Curves!$BI$8:$BI$68,U$4-$B205+1)</f>
        <v/>
      </c>
      <c r="V205" s="153">
        <f>$C205*INDEX(Curves!$BI$8:$BI$68,V$4-$B205+1)</f>
        <v/>
      </c>
      <c r="W205" s="153">
        <f>$C205*INDEX(Curves!$BI$8:$BI$68,W$4-$B205+1)</f>
        <v/>
      </c>
      <c r="X205" s="153">
        <f>$C205*INDEX(Curves!$BI$8:$BI$68,X$4-$B205+1)</f>
        <v/>
      </c>
      <c r="Y205" s="153">
        <f>$C205*INDEX(Curves!$BI$8:$BI$68,Y$4-$B205+1)</f>
        <v/>
      </c>
      <c r="Z205" s="153">
        <f>$C205*INDEX(Curves!$BI$8:$BI$68,Z$4-$B205+1)</f>
        <v/>
      </c>
      <c r="AA205" s="153">
        <f>$C205*INDEX(Curves!$BI$8:$BI$68,AA$4-$B205+1)</f>
        <v/>
      </c>
      <c r="AB205" s="153">
        <f>$C205*INDEX(Curves!$BI$8:$BI$68,AB$4-$B205+1)</f>
        <v/>
      </c>
      <c r="AC205" s="153">
        <f>$C205*INDEX(Curves!$BI$8:$BI$68,AC$4-$B205+1)</f>
        <v/>
      </c>
      <c r="AD205" s="153">
        <f>$C205*INDEX(Curves!$BI$8:$BI$68,AD$4-$B205+1)</f>
        <v/>
      </c>
      <c r="AE205" s="153">
        <f>$C205*INDEX(Curves!$BI$8:$BI$68,AE$4-$B205+1)</f>
        <v/>
      </c>
      <c r="AF205" s="153">
        <f>$C205*INDEX(Curves!$BI$8:$BI$68,AF$4-$B205+1)</f>
        <v/>
      </c>
      <c r="AG205" s="153">
        <f>$C205*INDEX(Curves!$BI$8:$BI$68,AG$4-$B205+1)</f>
        <v/>
      </c>
      <c r="AH205" s="153">
        <f>$C205*INDEX(Curves!$BI$8:$BI$68,AH$4-$B205+1)</f>
        <v/>
      </c>
      <c r="AI205" s="153">
        <f>$C205*INDEX(Curves!$BI$8:$BI$68,AI$4-$B205+1)</f>
        <v/>
      </c>
      <c r="AJ205" s="153">
        <f>$C205*INDEX(Curves!$BI$8:$BI$68,AJ$4-$B205+1)</f>
        <v/>
      </c>
      <c r="AK205" s="153">
        <f>$C205*INDEX(Curves!$BI$8:$BI$68,AK$4-$B205+1)</f>
        <v/>
      </c>
      <c r="AL205" s="153">
        <f>$C205*INDEX(Curves!$BI$8:$BI$68,AL$4-$B205+1)</f>
        <v/>
      </c>
      <c r="AM205" s="153">
        <f>$C205*INDEX(Curves!$BI$8:$BI$68,AM$4-$B205+1)</f>
        <v/>
      </c>
      <c r="AN205" s="153">
        <f>$C205*INDEX(Curves!$BI$8:$BI$68,AN$4-$B205+1)</f>
        <v/>
      </c>
      <c r="AO205" s="153">
        <f>$C205*INDEX(Curves!$BI$8:$BI$68,AO$4-$B205+1)</f>
        <v/>
      </c>
      <c r="AP205" s="153">
        <f>$C205*INDEX(Curves!$BI$8:$BI$68,AP$4-$B205+1)</f>
        <v/>
      </c>
      <c r="AQ205" s="153">
        <f>$C205*INDEX(Curves!$BI$8:$BI$68,AQ$4-$B205+1)</f>
        <v/>
      </c>
      <c r="AR205" s="153">
        <f>$C205*INDEX(Curves!$BI$8:$BI$68,AR$4-$B205+1)</f>
        <v/>
      </c>
      <c r="AS205" s="153">
        <f>$C205*INDEX(Curves!$BI$8:$BI$68,AS$4-$B205+1)</f>
        <v/>
      </c>
      <c r="AT205" s="153">
        <f>$C205*INDEX(Curves!$BI$8:$BI$68,AT$4-$B205+1)</f>
        <v/>
      </c>
      <c r="AU205" s="153">
        <f>$C205*INDEX(Curves!$BI$8:$BI$68,AU$4-$B205+1)</f>
        <v/>
      </c>
      <c r="AV205" s="153">
        <f>$C205*INDEX(Curves!$BI$8:$BI$68,AV$4-$B205+1)</f>
        <v/>
      </c>
      <c r="AW205" s="153">
        <f>$C205*INDEX(Curves!$BI$8:$BI$68,AW$4-$B205+1)</f>
        <v/>
      </c>
      <c r="AX205" s="153">
        <f>$C205*INDEX(Curves!$BI$8:$BI$68,AX$4-$B205+1)</f>
        <v/>
      </c>
      <c r="AY205" s="153">
        <f>$C205*INDEX(Curves!$BI$8:$BI$68,AY$4-$B205+1)</f>
        <v/>
      </c>
      <c r="AZ205" s="153">
        <f>$C205*INDEX(Curves!$BI$8:$BI$68,AZ$4-$B205+1)</f>
        <v/>
      </c>
      <c r="BA205" s="153">
        <f>$C205*INDEX(Curves!$BI$8:$BI$68,BA$4-$B205+1)</f>
        <v/>
      </c>
      <c r="BB205" s="153">
        <f>$C205*INDEX(Curves!$BI$8:$BI$68,BB$4-$B205+1)</f>
        <v/>
      </c>
      <c r="BC205" s="153">
        <f>$C205*INDEX(Curves!$BI$8:$BI$68,BC$4-$B205+1)</f>
        <v/>
      </c>
      <c r="BD205" s="153">
        <f>$C205*INDEX(Curves!$BI$8:$BI$68,BD$4-$B205+1)</f>
        <v/>
      </c>
      <c r="BE205" s="153">
        <f>$C205*INDEX(Curves!$BI$8:$BI$68,BE$4-$B205+1)</f>
        <v/>
      </c>
      <c r="BF205" s="153">
        <f>$C205*INDEX(Curves!$BI$8:$BI$68,BF$4-$B205+1)</f>
        <v/>
      </c>
      <c r="BG205" s="153">
        <f>$C205*INDEX(Curves!$BI$8:$BI$68,BG$4-$B205+1)</f>
        <v/>
      </c>
      <c r="BH205" s="153">
        <f>$C205*INDEX(Curves!$BI$8:$BI$68,BH$4-$B205+1)</f>
        <v/>
      </c>
      <c r="BI205" s="153">
        <f>$C205*INDEX(Curves!$BI$8:$BI$68,BI$4-$B205+1)</f>
        <v/>
      </c>
      <c r="BJ205" s="153">
        <f>$C205*INDEX(Curves!$BI$8:$BI$68,BJ$4-$B205+1)</f>
        <v/>
      </c>
      <c r="BK205" s="153">
        <f>$C205*INDEX(Curves!$BI$8:$BI$68,BK$4-$B205+1)</f>
        <v/>
      </c>
      <c r="BL205" s="153">
        <f>$C205*INDEX(Curves!$BI$8:$BI$68,BL$4-$B205+1)</f>
        <v/>
      </c>
    </row>
    <row r="206">
      <c r="A206" s="147" t="inlineStr">
        <is>
          <t>Cohort month 8</t>
        </is>
      </c>
      <c r="B206" s="147" t="n">
        <v>8</v>
      </c>
      <c r="C206" s="41">
        <f>INDEX(Ops!$E$110:$BL$110,1,$B206)</f>
        <v/>
      </c>
      <c r="M206" s="153">
        <f>$C206*INDEX(Curves!$BI$8:$BI$68,M$4-$B206+1)</f>
        <v/>
      </c>
      <c r="N206" s="153">
        <f>$C206*INDEX(Curves!$BI$8:$BI$68,N$4-$B206+1)</f>
        <v/>
      </c>
      <c r="O206" s="153">
        <f>$C206*INDEX(Curves!$BI$8:$BI$68,O$4-$B206+1)</f>
        <v/>
      </c>
      <c r="P206" s="153">
        <f>$C206*INDEX(Curves!$BI$8:$BI$68,P$4-$B206+1)</f>
        <v/>
      </c>
      <c r="Q206" s="153">
        <f>$C206*INDEX(Curves!$BI$8:$BI$68,Q$4-$B206+1)</f>
        <v/>
      </c>
      <c r="R206" s="153">
        <f>$C206*INDEX(Curves!$BI$8:$BI$68,R$4-$B206+1)</f>
        <v/>
      </c>
      <c r="S206" s="153">
        <f>$C206*INDEX(Curves!$BI$8:$BI$68,S$4-$B206+1)</f>
        <v/>
      </c>
      <c r="T206" s="153">
        <f>$C206*INDEX(Curves!$BI$8:$BI$68,T$4-$B206+1)</f>
        <v/>
      </c>
      <c r="U206" s="153">
        <f>$C206*INDEX(Curves!$BI$8:$BI$68,U$4-$B206+1)</f>
        <v/>
      </c>
      <c r="V206" s="153">
        <f>$C206*INDEX(Curves!$BI$8:$BI$68,V$4-$B206+1)</f>
        <v/>
      </c>
      <c r="W206" s="153">
        <f>$C206*INDEX(Curves!$BI$8:$BI$68,W$4-$B206+1)</f>
        <v/>
      </c>
      <c r="X206" s="153">
        <f>$C206*INDEX(Curves!$BI$8:$BI$68,X$4-$B206+1)</f>
        <v/>
      </c>
      <c r="Y206" s="153">
        <f>$C206*INDEX(Curves!$BI$8:$BI$68,Y$4-$B206+1)</f>
        <v/>
      </c>
      <c r="Z206" s="153">
        <f>$C206*INDEX(Curves!$BI$8:$BI$68,Z$4-$B206+1)</f>
        <v/>
      </c>
      <c r="AA206" s="153">
        <f>$C206*INDEX(Curves!$BI$8:$BI$68,AA$4-$B206+1)</f>
        <v/>
      </c>
      <c r="AB206" s="153">
        <f>$C206*INDEX(Curves!$BI$8:$BI$68,AB$4-$B206+1)</f>
        <v/>
      </c>
      <c r="AC206" s="153">
        <f>$C206*INDEX(Curves!$BI$8:$BI$68,AC$4-$B206+1)</f>
        <v/>
      </c>
      <c r="AD206" s="153">
        <f>$C206*INDEX(Curves!$BI$8:$BI$68,AD$4-$B206+1)</f>
        <v/>
      </c>
      <c r="AE206" s="153">
        <f>$C206*INDEX(Curves!$BI$8:$BI$68,AE$4-$B206+1)</f>
        <v/>
      </c>
      <c r="AF206" s="153">
        <f>$C206*INDEX(Curves!$BI$8:$BI$68,AF$4-$B206+1)</f>
        <v/>
      </c>
      <c r="AG206" s="153">
        <f>$C206*INDEX(Curves!$BI$8:$BI$68,AG$4-$B206+1)</f>
        <v/>
      </c>
      <c r="AH206" s="153">
        <f>$C206*INDEX(Curves!$BI$8:$BI$68,AH$4-$B206+1)</f>
        <v/>
      </c>
      <c r="AI206" s="153">
        <f>$C206*INDEX(Curves!$BI$8:$BI$68,AI$4-$B206+1)</f>
        <v/>
      </c>
      <c r="AJ206" s="153">
        <f>$C206*INDEX(Curves!$BI$8:$BI$68,AJ$4-$B206+1)</f>
        <v/>
      </c>
      <c r="AK206" s="153">
        <f>$C206*INDEX(Curves!$BI$8:$BI$68,AK$4-$B206+1)</f>
        <v/>
      </c>
      <c r="AL206" s="153">
        <f>$C206*INDEX(Curves!$BI$8:$BI$68,AL$4-$B206+1)</f>
        <v/>
      </c>
      <c r="AM206" s="153">
        <f>$C206*INDEX(Curves!$BI$8:$BI$68,AM$4-$B206+1)</f>
        <v/>
      </c>
      <c r="AN206" s="153">
        <f>$C206*INDEX(Curves!$BI$8:$BI$68,AN$4-$B206+1)</f>
        <v/>
      </c>
      <c r="AO206" s="153">
        <f>$C206*INDEX(Curves!$BI$8:$BI$68,AO$4-$B206+1)</f>
        <v/>
      </c>
      <c r="AP206" s="153">
        <f>$C206*INDEX(Curves!$BI$8:$BI$68,AP$4-$B206+1)</f>
        <v/>
      </c>
      <c r="AQ206" s="153">
        <f>$C206*INDEX(Curves!$BI$8:$BI$68,AQ$4-$B206+1)</f>
        <v/>
      </c>
      <c r="AR206" s="153">
        <f>$C206*INDEX(Curves!$BI$8:$BI$68,AR$4-$B206+1)</f>
        <v/>
      </c>
      <c r="AS206" s="153">
        <f>$C206*INDEX(Curves!$BI$8:$BI$68,AS$4-$B206+1)</f>
        <v/>
      </c>
      <c r="AT206" s="153">
        <f>$C206*INDEX(Curves!$BI$8:$BI$68,AT$4-$B206+1)</f>
        <v/>
      </c>
      <c r="AU206" s="153">
        <f>$C206*INDEX(Curves!$BI$8:$BI$68,AU$4-$B206+1)</f>
        <v/>
      </c>
      <c r="AV206" s="153">
        <f>$C206*INDEX(Curves!$BI$8:$BI$68,AV$4-$B206+1)</f>
        <v/>
      </c>
      <c r="AW206" s="153">
        <f>$C206*INDEX(Curves!$BI$8:$BI$68,AW$4-$B206+1)</f>
        <v/>
      </c>
      <c r="AX206" s="153">
        <f>$C206*INDEX(Curves!$BI$8:$BI$68,AX$4-$B206+1)</f>
        <v/>
      </c>
      <c r="AY206" s="153">
        <f>$C206*INDEX(Curves!$BI$8:$BI$68,AY$4-$B206+1)</f>
        <v/>
      </c>
      <c r="AZ206" s="153">
        <f>$C206*INDEX(Curves!$BI$8:$BI$68,AZ$4-$B206+1)</f>
        <v/>
      </c>
      <c r="BA206" s="153">
        <f>$C206*INDEX(Curves!$BI$8:$BI$68,BA$4-$B206+1)</f>
        <v/>
      </c>
      <c r="BB206" s="153">
        <f>$C206*INDEX(Curves!$BI$8:$BI$68,BB$4-$B206+1)</f>
        <v/>
      </c>
      <c r="BC206" s="153">
        <f>$C206*INDEX(Curves!$BI$8:$BI$68,BC$4-$B206+1)</f>
        <v/>
      </c>
      <c r="BD206" s="153">
        <f>$C206*INDEX(Curves!$BI$8:$BI$68,BD$4-$B206+1)</f>
        <v/>
      </c>
      <c r="BE206" s="153">
        <f>$C206*INDEX(Curves!$BI$8:$BI$68,BE$4-$B206+1)</f>
        <v/>
      </c>
      <c r="BF206" s="153">
        <f>$C206*INDEX(Curves!$BI$8:$BI$68,BF$4-$B206+1)</f>
        <v/>
      </c>
      <c r="BG206" s="153">
        <f>$C206*INDEX(Curves!$BI$8:$BI$68,BG$4-$B206+1)</f>
        <v/>
      </c>
      <c r="BH206" s="153">
        <f>$C206*INDEX(Curves!$BI$8:$BI$68,BH$4-$B206+1)</f>
        <v/>
      </c>
      <c r="BI206" s="153">
        <f>$C206*INDEX(Curves!$BI$8:$BI$68,BI$4-$B206+1)</f>
        <v/>
      </c>
      <c r="BJ206" s="153">
        <f>$C206*INDEX(Curves!$BI$8:$BI$68,BJ$4-$B206+1)</f>
        <v/>
      </c>
      <c r="BK206" s="153">
        <f>$C206*INDEX(Curves!$BI$8:$BI$68,BK$4-$B206+1)</f>
        <v/>
      </c>
      <c r="BL206" s="153">
        <f>$C206*INDEX(Curves!$BI$8:$BI$68,BL$4-$B206+1)</f>
        <v/>
      </c>
    </row>
    <row r="207">
      <c r="A207" s="147" t="inlineStr">
        <is>
          <t>Cohort month 9</t>
        </is>
      </c>
      <c r="B207" s="147" t="n">
        <v>9</v>
      </c>
      <c r="C207" s="41">
        <f>INDEX(Ops!$E$110:$BL$110,1,$B207)</f>
        <v/>
      </c>
      <c r="N207" s="153">
        <f>$C207*INDEX(Curves!$BI$8:$BI$68,N$4-$B207+1)</f>
        <v/>
      </c>
      <c r="O207" s="153">
        <f>$C207*INDEX(Curves!$BI$8:$BI$68,O$4-$B207+1)</f>
        <v/>
      </c>
      <c r="P207" s="153">
        <f>$C207*INDEX(Curves!$BI$8:$BI$68,P$4-$B207+1)</f>
        <v/>
      </c>
      <c r="Q207" s="153">
        <f>$C207*INDEX(Curves!$BI$8:$BI$68,Q$4-$B207+1)</f>
        <v/>
      </c>
      <c r="R207" s="153">
        <f>$C207*INDEX(Curves!$BI$8:$BI$68,R$4-$B207+1)</f>
        <v/>
      </c>
      <c r="S207" s="153">
        <f>$C207*INDEX(Curves!$BI$8:$BI$68,S$4-$B207+1)</f>
        <v/>
      </c>
      <c r="T207" s="153">
        <f>$C207*INDEX(Curves!$BI$8:$BI$68,T$4-$B207+1)</f>
        <v/>
      </c>
      <c r="U207" s="153">
        <f>$C207*INDEX(Curves!$BI$8:$BI$68,U$4-$B207+1)</f>
        <v/>
      </c>
      <c r="V207" s="153">
        <f>$C207*INDEX(Curves!$BI$8:$BI$68,V$4-$B207+1)</f>
        <v/>
      </c>
      <c r="W207" s="153">
        <f>$C207*INDEX(Curves!$BI$8:$BI$68,W$4-$B207+1)</f>
        <v/>
      </c>
      <c r="X207" s="153">
        <f>$C207*INDEX(Curves!$BI$8:$BI$68,X$4-$B207+1)</f>
        <v/>
      </c>
      <c r="Y207" s="153">
        <f>$C207*INDEX(Curves!$BI$8:$BI$68,Y$4-$B207+1)</f>
        <v/>
      </c>
      <c r="Z207" s="153">
        <f>$C207*INDEX(Curves!$BI$8:$BI$68,Z$4-$B207+1)</f>
        <v/>
      </c>
      <c r="AA207" s="153">
        <f>$C207*INDEX(Curves!$BI$8:$BI$68,AA$4-$B207+1)</f>
        <v/>
      </c>
      <c r="AB207" s="153">
        <f>$C207*INDEX(Curves!$BI$8:$BI$68,AB$4-$B207+1)</f>
        <v/>
      </c>
      <c r="AC207" s="153">
        <f>$C207*INDEX(Curves!$BI$8:$BI$68,AC$4-$B207+1)</f>
        <v/>
      </c>
      <c r="AD207" s="153">
        <f>$C207*INDEX(Curves!$BI$8:$BI$68,AD$4-$B207+1)</f>
        <v/>
      </c>
      <c r="AE207" s="153">
        <f>$C207*INDEX(Curves!$BI$8:$BI$68,AE$4-$B207+1)</f>
        <v/>
      </c>
      <c r="AF207" s="153">
        <f>$C207*INDEX(Curves!$BI$8:$BI$68,AF$4-$B207+1)</f>
        <v/>
      </c>
      <c r="AG207" s="153">
        <f>$C207*INDEX(Curves!$BI$8:$BI$68,AG$4-$B207+1)</f>
        <v/>
      </c>
      <c r="AH207" s="153">
        <f>$C207*INDEX(Curves!$BI$8:$BI$68,AH$4-$B207+1)</f>
        <v/>
      </c>
      <c r="AI207" s="153">
        <f>$C207*INDEX(Curves!$BI$8:$BI$68,AI$4-$B207+1)</f>
        <v/>
      </c>
      <c r="AJ207" s="153">
        <f>$C207*INDEX(Curves!$BI$8:$BI$68,AJ$4-$B207+1)</f>
        <v/>
      </c>
      <c r="AK207" s="153">
        <f>$C207*INDEX(Curves!$BI$8:$BI$68,AK$4-$B207+1)</f>
        <v/>
      </c>
      <c r="AL207" s="153">
        <f>$C207*INDEX(Curves!$BI$8:$BI$68,AL$4-$B207+1)</f>
        <v/>
      </c>
      <c r="AM207" s="153">
        <f>$C207*INDEX(Curves!$BI$8:$BI$68,AM$4-$B207+1)</f>
        <v/>
      </c>
      <c r="AN207" s="153">
        <f>$C207*INDEX(Curves!$BI$8:$BI$68,AN$4-$B207+1)</f>
        <v/>
      </c>
      <c r="AO207" s="153">
        <f>$C207*INDEX(Curves!$BI$8:$BI$68,AO$4-$B207+1)</f>
        <v/>
      </c>
      <c r="AP207" s="153">
        <f>$C207*INDEX(Curves!$BI$8:$BI$68,AP$4-$B207+1)</f>
        <v/>
      </c>
      <c r="AQ207" s="153">
        <f>$C207*INDEX(Curves!$BI$8:$BI$68,AQ$4-$B207+1)</f>
        <v/>
      </c>
      <c r="AR207" s="153">
        <f>$C207*INDEX(Curves!$BI$8:$BI$68,AR$4-$B207+1)</f>
        <v/>
      </c>
      <c r="AS207" s="153">
        <f>$C207*INDEX(Curves!$BI$8:$BI$68,AS$4-$B207+1)</f>
        <v/>
      </c>
      <c r="AT207" s="153">
        <f>$C207*INDEX(Curves!$BI$8:$BI$68,AT$4-$B207+1)</f>
        <v/>
      </c>
      <c r="AU207" s="153">
        <f>$C207*INDEX(Curves!$BI$8:$BI$68,AU$4-$B207+1)</f>
        <v/>
      </c>
      <c r="AV207" s="153">
        <f>$C207*INDEX(Curves!$BI$8:$BI$68,AV$4-$B207+1)</f>
        <v/>
      </c>
      <c r="AW207" s="153">
        <f>$C207*INDEX(Curves!$BI$8:$BI$68,AW$4-$B207+1)</f>
        <v/>
      </c>
      <c r="AX207" s="153">
        <f>$C207*INDEX(Curves!$BI$8:$BI$68,AX$4-$B207+1)</f>
        <v/>
      </c>
      <c r="AY207" s="153">
        <f>$C207*INDEX(Curves!$BI$8:$BI$68,AY$4-$B207+1)</f>
        <v/>
      </c>
      <c r="AZ207" s="153">
        <f>$C207*INDEX(Curves!$BI$8:$BI$68,AZ$4-$B207+1)</f>
        <v/>
      </c>
      <c r="BA207" s="153">
        <f>$C207*INDEX(Curves!$BI$8:$BI$68,BA$4-$B207+1)</f>
        <v/>
      </c>
      <c r="BB207" s="153">
        <f>$C207*INDEX(Curves!$BI$8:$BI$68,BB$4-$B207+1)</f>
        <v/>
      </c>
      <c r="BC207" s="153">
        <f>$C207*INDEX(Curves!$BI$8:$BI$68,BC$4-$B207+1)</f>
        <v/>
      </c>
      <c r="BD207" s="153">
        <f>$C207*INDEX(Curves!$BI$8:$BI$68,BD$4-$B207+1)</f>
        <v/>
      </c>
      <c r="BE207" s="153">
        <f>$C207*INDEX(Curves!$BI$8:$BI$68,BE$4-$B207+1)</f>
        <v/>
      </c>
      <c r="BF207" s="153">
        <f>$C207*INDEX(Curves!$BI$8:$BI$68,BF$4-$B207+1)</f>
        <v/>
      </c>
      <c r="BG207" s="153">
        <f>$C207*INDEX(Curves!$BI$8:$BI$68,BG$4-$B207+1)</f>
        <v/>
      </c>
      <c r="BH207" s="153">
        <f>$C207*INDEX(Curves!$BI$8:$BI$68,BH$4-$B207+1)</f>
        <v/>
      </c>
      <c r="BI207" s="153">
        <f>$C207*INDEX(Curves!$BI$8:$BI$68,BI$4-$B207+1)</f>
        <v/>
      </c>
      <c r="BJ207" s="153">
        <f>$C207*INDEX(Curves!$BI$8:$BI$68,BJ$4-$B207+1)</f>
        <v/>
      </c>
      <c r="BK207" s="153">
        <f>$C207*INDEX(Curves!$BI$8:$BI$68,BK$4-$B207+1)</f>
        <v/>
      </c>
      <c r="BL207" s="153">
        <f>$C207*INDEX(Curves!$BI$8:$BI$68,BL$4-$B207+1)</f>
        <v/>
      </c>
    </row>
    <row r="208">
      <c r="A208" s="147" t="inlineStr">
        <is>
          <t>Cohort month 10</t>
        </is>
      </c>
      <c r="B208" s="147" t="n">
        <v>10</v>
      </c>
      <c r="C208" s="41">
        <f>INDEX(Ops!$E$110:$BL$110,1,$B208)</f>
        <v/>
      </c>
      <c r="O208" s="153">
        <f>$C208*INDEX(Curves!$BI$8:$BI$68,O$4-$B208+1)</f>
        <v/>
      </c>
      <c r="P208" s="153">
        <f>$C208*INDEX(Curves!$BI$8:$BI$68,P$4-$B208+1)</f>
        <v/>
      </c>
      <c r="Q208" s="153">
        <f>$C208*INDEX(Curves!$BI$8:$BI$68,Q$4-$B208+1)</f>
        <v/>
      </c>
      <c r="R208" s="153">
        <f>$C208*INDEX(Curves!$BI$8:$BI$68,R$4-$B208+1)</f>
        <v/>
      </c>
      <c r="S208" s="153">
        <f>$C208*INDEX(Curves!$BI$8:$BI$68,S$4-$B208+1)</f>
        <v/>
      </c>
      <c r="T208" s="153">
        <f>$C208*INDEX(Curves!$BI$8:$BI$68,T$4-$B208+1)</f>
        <v/>
      </c>
      <c r="U208" s="153">
        <f>$C208*INDEX(Curves!$BI$8:$BI$68,U$4-$B208+1)</f>
        <v/>
      </c>
      <c r="V208" s="153">
        <f>$C208*INDEX(Curves!$BI$8:$BI$68,V$4-$B208+1)</f>
        <v/>
      </c>
      <c r="W208" s="153">
        <f>$C208*INDEX(Curves!$BI$8:$BI$68,W$4-$B208+1)</f>
        <v/>
      </c>
      <c r="X208" s="153">
        <f>$C208*INDEX(Curves!$BI$8:$BI$68,X$4-$B208+1)</f>
        <v/>
      </c>
      <c r="Y208" s="153">
        <f>$C208*INDEX(Curves!$BI$8:$BI$68,Y$4-$B208+1)</f>
        <v/>
      </c>
      <c r="Z208" s="153">
        <f>$C208*INDEX(Curves!$BI$8:$BI$68,Z$4-$B208+1)</f>
        <v/>
      </c>
      <c r="AA208" s="153">
        <f>$C208*INDEX(Curves!$BI$8:$BI$68,AA$4-$B208+1)</f>
        <v/>
      </c>
      <c r="AB208" s="153">
        <f>$C208*INDEX(Curves!$BI$8:$BI$68,AB$4-$B208+1)</f>
        <v/>
      </c>
      <c r="AC208" s="153">
        <f>$C208*INDEX(Curves!$BI$8:$BI$68,AC$4-$B208+1)</f>
        <v/>
      </c>
      <c r="AD208" s="153">
        <f>$C208*INDEX(Curves!$BI$8:$BI$68,AD$4-$B208+1)</f>
        <v/>
      </c>
      <c r="AE208" s="153">
        <f>$C208*INDEX(Curves!$BI$8:$BI$68,AE$4-$B208+1)</f>
        <v/>
      </c>
      <c r="AF208" s="153">
        <f>$C208*INDEX(Curves!$BI$8:$BI$68,AF$4-$B208+1)</f>
        <v/>
      </c>
      <c r="AG208" s="153">
        <f>$C208*INDEX(Curves!$BI$8:$BI$68,AG$4-$B208+1)</f>
        <v/>
      </c>
      <c r="AH208" s="153">
        <f>$C208*INDEX(Curves!$BI$8:$BI$68,AH$4-$B208+1)</f>
        <v/>
      </c>
      <c r="AI208" s="153">
        <f>$C208*INDEX(Curves!$BI$8:$BI$68,AI$4-$B208+1)</f>
        <v/>
      </c>
      <c r="AJ208" s="153">
        <f>$C208*INDEX(Curves!$BI$8:$BI$68,AJ$4-$B208+1)</f>
        <v/>
      </c>
      <c r="AK208" s="153">
        <f>$C208*INDEX(Curves!$BI$8:$BI$68,AK$4-$B208+1)</f>
        <v/>
      </c>
      <c r="AL208" s="153">
        <f>$C208*INDEX(Curves!$BI$8:$BI$68,AL$4-$B208+1)</f>
        <v/>
      </c>
      <c r="AM208" s="153">
        <f>$C208*INDEX(Curves!$BI$8:$BI$68,AM$4-$B208+1)</f>
        <v/>
      </c>
      <c r="AN208" s="153">
        <f>$C208*INDEX(Curves!$BI$8:$BI$68,AN$4-$B208+1)</f>
        <v/>
      </c>
      <c r="AO208" s="153">
        <f>$C208*INDEX(Curves!$BI$8:$BI$68,AO$4-$B208+1)</f>
        <v/>
      </c>
      <c r="AP208" s="153">
        <f>$C208*INDEX(Curves!$BI$8:$BI$68,AP$4-$B208+1)</f>
        <v/>
      </c>
      <c r="AQ208" s="153">
        <f>$C208*INDEX(Curves!$BI$8:$BI$68,AQ$4-$B208+1)</f>
        <v/>
      </c>
      <c r="AR208" s="153">
        <f>$C208*INDEX(Curves!$BI$8:$BI$68,AR$4-$B208+1)</f>
        <v/>
      </c>
      <c r="AS208" s="153">
        <f>$C208*INDEX(Curves!$BI$8:$BI$68,AS$4-$B208+1)</f>
        <v/>
      </c>
      <c r="AT208" s="153">
        <f>$C208*INDEX(Curves!$BI$8:$BI$68,AT$4-$B208+1)</f>
        <v/>
      </c>
      <c r="AU208" s="153">
        <f>$C208*INDEX(Curves!$BI$8:$BI$68,AU$4-$B208+1)</f>
        <v/>
      </c>
      <c r="AV208" s="153">
        <f>$C208*INDEX(Curves!$BI$8:$BI$68,AV$4-$B208+1)</f>
        <v/>
      </c>
      <c r="AW208" s="153">
        <f>$C208*INDEX(Curves!$BI$8:$BI$68,AW$4-$B208+1)</f>
        <v/>
      </c>
      <c r="AX208" s="153">
        <f>$C208*INDEX(Curves!$BI$8:$BI$68,AX$4-$B208+1)</f>
        <v/>
      </c>
      <c r="AY208" s="153">
        <f>$C208*INDEX(Curves!$BI$8:$BI$68,AY$4-$B208+1)</f>
        <v/>
      </c>
      <c r="AZ208" s="153">
        <f>$C208*INDEX(Curves!$BI$8:$BI$68,AZ$4-$B208+1)</f>
        <v/>
      </c>
      <c r="BA208" s="153">
        <f>$C208*INDEX(Curves!$BI$8:$BI$68,BA$4-$B208+1)</f>
        <v/>
      </c>
      <c r="BB208" s="153">
        <f>$C208*INDEX(Curves!$BI$8:$BI$68,BB$4-$B208+1)</f>
        <v/>
      </c>
      <c r="BC208" s="153">
        <f>$C208*INDEX(Curves!$BI$8:$BI$68,BC$4-$B208+1)</f>
        <v/>
      </c>
      <c r="BD208" s="153">
        <f>$C208*INDEX(Curves!$BI$8:$BI$68,BD$4-$B208+1)</f>
        <v/>
      </c>
      <c r="BE208" s="153">
        <f>$C208*INDEX(Curves!$BI$8:$BI$68,BE$4-$B208+1)</f>
        <v/>
      </c>
      <c r="BF208" s="153">
        <f>$C208*INDEX(Curves!$BI$8:$BI$68,BF$4-$B208+1)</f>
        <v/>
      </c>
      <c r="BG208" s="153">
        <f>$C208*INDEX(Curves!$BI$8:$BI$68,BG$4-$B208+1)</f>
        <v/>
      </c>
      <c r="BH208" s="153">
        <f>$C208*INDEX(Curves!$BI$8:$BI$68,BH$4-$B208+1)</f>
        <v/>
      </c>
      <c r="BI208" s="153">
        <f>$C208*INDEX(Curves!$BI$8:$BI$68,BI$4-$B208+1)</f>
        <v/>
      </c>
      <c r="BJ208" s="153">
        <f>$C208*INDEX(Curves!$BI$8:$BI$68,BJ$4-$B208+1)</f>
        <v/>
      </c>
      <c r="BK208" s="153">
        <f>$C208*INDEX(Curves!$BI$8:$BI$68,BK$4-$B208+1)</f>
        <v/>
      </c>
      <c r="BL208" s="153">
        <f>$C208*INDEX(Curves!$BI$8:$BI$68,BL$4-$B208+1)</f>
        <v/>
      </c>
    </row>
    <row r="209">
      <c r="A209" s="147" t="inlineStr">
        <is>
          <t>Cohort month 11</t>
        </is>
      </c>
      <c r="B209" s="147" t="n">
        <v>11</v>
      </c>
      <c r="C209" s="41">
        <f>INDEX(Ops!$E$110:$BL$110,1,$B209)</f>
        <v/>
      </c>
      <c r="P209" s="153">
        <f>$C209*INDEX(Curves!$BI$8:$BI$68,P$4-$B209+1)</f>
        <v/>
      </c>
      <c r="Q209" s="153">
        <f>$C209*INDEX(Curves!$BI$8:$BI$68,Q$4-$B209+1)</f>
        <v/>
      </c>
      <c r="R209" s="153">
        <f>$C209*INDEX(Curves!$BI$8:$BI$68,R$4-$B209+1)</f>
        <v/>
      </c>
      <c r="S209" s="153">
        <f>$C209*INDEX(Curves!$BI$8:$BI$68,S$4-$B209+1)</f>
        <v/>
      </c>
      <c r="T209" s="153">
        <f>$C209*INDEX(Curves!$BI$8:$BI$68,T$4-$B209+1)</f>
        <v/>
      </c>
      <c r="U209" s="153">
        <f>$C209*INDEX(Curves!$BI$8:$BI$68,U$4-$B209+1)</f>
        <v/>
      </c>
      <c r="V209" s="153">
        <f>$C209*INDEX(Curves!$BI$8:$BI$68,V$4-$B209+1)</f>
        <v/>
      </c>
      <c r="W209" s="153">
        <f>$C209*INDEX(Curves!$BI$8:$BI$68,W$4-$B209+1)</f>
        <v/>
      </c>
      <c r="X209" s="153">
        <f>$C209*INDEX(Curves!$BI$8:$BI$68,X$4-$B209+1)</f>
        <v/>
      </c>
      <c r="Y209" s="153">
        <f>$C209*INDEX(Curves!$BI$8:$BI$68,Y$4-$B209+1)</f>
        <v/>
      </c>
      <c r="Z209" s="153">
        <f>$C209*INDEX(Curves!$BI$8:$BI$68,Z$4-$B209+1)</f>
        <v/>
      </c>
      <c r="AA209" s="153">
        <f>$C209*INDEX(Curves!$BI$8:$BI$68,AA$4-$B209+1)</f>
        <v/>
      </c>
      <c r="AB209" s="153">
        <f>$C209*INDEX(Curves!$BI$8:$BI$68,AB$4-$B209+1)</f>
        <v/>
      </c>
      <c r="AC209" s="153">
        <f>$C209*INDEX(Curves!$BI$8:$BI$68,AC$4-$B209+1)</f>
        <v/>
      </c>
      <c r="AD209" s="153">
        <f>$C209*INDEX(Curves!$BI$8:$BI$68,AD$4-$B209+1)</f>
        <v/>
      </c>
      <c r="AE209" s="153">
        <f>$C209*INDEX(Curves!$BI$8:$BI$68,AE$4-$B209+1)</f>
        <v/>
      </c>
      <c r="AF209" s="153">
        <f>$C209*INDEX(Curves!$BI$8:$BI$68,AF$4-$B209+1)</f>
        <v/>
      </c>
      <c r="AG209" s="153">
        <f>$C209*INDEX(Curves!$BI$8:$BI$68,AG$4-$B209+1)</f>
        <v/>
      </c>
      <c r="AH209" s="153">
        <f>$C209*INDEX(Curves!$BI$8:$BI$68,AH$4-$B209+1)</f>
        <v/>
      </c>
      <c r="AI209" s="153">
        <f>$C209*INDEX(Curves!$BI$8:$BI$68,AI$4-$B209+1)</f>
        <v/>
      </c>
      <c r="AJ209" s="153">
        <f>$C209*INDEX(Curves!$BI$8:$BI$68,AJ$4-$B209+1)</f>
        <v/>
      </c>
      <c r="AK209" s="153">
        <f>$C209*INDEX(Curves!$BI$8:$BI$68,AK$4-$B209+1)</f>
        <v/>
      </c>
      <c r="AL209" s="153">
        <f>$C209*INDEX(Curves!$BI$8:$BI$68,AL$4-$B209+1)</f>
        <v/>
      </c>
      <c r="AM209" s="153">
        <f>$C209*INDEX(Curves!$BI$8:$BI$68,AM$4-$B209+1)</f>
        <v/>
      </c>
      <c r="AN209" s="153">
        <f>$C209*INDEX(Curves!$BI$8:$BI$68,AN$4-$B209+1)</f>
        <v/>
      </c>
      <c r="AO209" s="153">
        <f>$C209*INDEX(Curves!$BI$8:$BI$68,AO$4-$B209+1)</f>
        <v/>
      </c>
      <c r="AP209" s="153">
        <f>$C209*INDEX(Curves!$BI$8:$BI$68,AP$4-$B209+1)</f>
        <v/>
      </c>
      <c r="AQ209" s="153">
        <f>$C209*INDEX(Curves!$BI$8:$BI$68,AQ$4-$B209+1)</f>
        <v/>
      </c>
      <c r="AR209" s="153">
        <f>$C209*INDEX(Curves!$BI$8:$BI$68,AR$4-$B209+1)</f>
        <v/>
      </c>
      <c r="AS209" s="153">
        <f>$C209*INDEX(Curves!$BI$8:$BI$68,AS$4-$B209+1)</f>
        <v/>
      </c>
      <c r="AT209" s="153">
        <f>$C209*INDEX(Curves!$BI$8:$BI$68,AT$4-$B209+1)</f>
        <v/>
      </c>
      <c r="AU209" s="153">
        <f>$C209*INDEX(Curves!$BI$8:$BI$68,AU$4-$B209+1)</f>
        <v/>
      </c>
      <c r="AV209" s="153">
        <f>$C209*INDEX(Curves!$BI$8:$BI$68,AV$4-$B209+1)</f>
        <v/>
      </c>
      <c r="AW209" s="153">
        <f>$C209*INDEX(Curves!$BI$8:$BI$68,AW$4-$B209+1)</f>
        <v/>
      </c>
      <c r="AX209" s="153">
        <f>$C209*INDEX(Curves!$BI$8:$BI$68,AX$4-$B209+1)</f>
        <v/>
      </c>
      <c r="AY209" s="153">
        <f>$C209*INDEX(Curves!$BI$8:$BI$68,AY$4-$B209+1)</f>
        <v/>
      </c>
      <c r="AZ209" s="153">
        <f>$C209*INDEX(Curves!$BI$8:$BI$68,AZ$4-$B209+1)</f>
        <v/>
      </c>
      <c r="BA209" s="153">
        <f>$C209*INDEX(Curves!$BI$8:$BI$68,BA$4-$B209+1)</f>
        <v/>
      </c>
      <c r="BB209" s="153">
        <f>$C209*INDEX(Curves!$BI$8:$BI$68,BB$4-$B209+1)</f>
        <v/>
      </c>
      <c r="BC209" s="153">
        <f>$C209*INDEX(Curves!$BI$8:$BI$68,BC$4-$B209+1)</f>
        <v/>
      </c>
      <c r="BD209" s="153">
        <f>$C209*INDEX(Curves!$BI$8:$BI$68,BD$4-$B209+1)</f>
        <v/>
      </c>
      <c r="BE209" s="153">
        <f>$C209*INDEX(Curves!$BI$8:$BI$68,BE$4-$B209+1)</f>
        <v/>
      </c>
      <c r="BF209" s="153">
        <f>$C209*INDEX(Curves!$BI$8:$BI$68,BF$4-$B209+1)</f>
        <v/>
      </c>
      <c r="BG209" s="153">
        <f>$C209*INDEX(Curves!$BI$8:$BI$68,BG$4-$B209+1)</f>
        <v/>
      </c>
      <c r="BH209" s="153">
        <f>$C209*INDEX(Curves!$BI$8:$BI$68,BH$4-$B209+1)</f>
        <v/>
      </c>
      <c r="BI209" s="153">
        <f>$C209*INDEX(Curves!$BI$8:$BI$68,BI$4-$B209+1)</f>
        <v/>
      </c>
      <c r="BJ209" s="153">
        <f>$C209*INDEX(Curves!$BI$8:$BI$68,BJ$4-$B209+1)</f>
        <v/>
      </c>
      <c r="BK209" s="153">
        <f>$C209*INDEX(Curves!$BI$8:$BI$68,BK$4-$B209+1)</f>
        <v/>
      </c>
      <c r="BL209" s="153">
        <f>$C209*INDEX(Curves!$BI$8:$BI$68,BL$4-$B209+1)</f>
        <v/>
      </c>
    </row>
    <row r="210">
      <c r="A210" s="147" t="inlineStr">
        <is>
          <t>Cohort month 12</t>
        </is>
      </c>
      <c r="B210" s="147" t="n">
        <v>12</v>
      </c>
      <c r="C210" s="41">
        <f>INDEX(Ops!$E$110:$BL$110,1,$B210)</f>
        <v/>
      </c>
      <c r="Q210" s="153">
        <f>$C210*INDEX(Curves!$BI$8:$BI$68,Q$4-$B210+1)</f>
        <v/>
      </c>
      <c r="R210" s="153">
        <f>$C210*INDEX(Curves!$BI$8:$BI$68,R$4-$B210+1)</f>
        <v/>
      </c>
      <c r="S210" s="153">
        <f>$C210*INDEX(Curves!$BI$8:$BI$68,S$4-$B210+1)</f>
        <v/>
      </c>
      <c r="T210" s="153">
        <f>$C210*INDEX(Curves!$BI$8:$BI$68,T$4-$B210+1)</f>
        <v/>
      </c>
      <c r="U210" s="153">
        <f>$C210*INDEX(Curves!$BI$8:$BI$68,U$4-$B210+1)</f>
        <v/>
      </c>
      <c r="V210" s="153">
        <f>$C210*INDEX(Curves!$BI$8:$BI$68,V$4-$B210+1)</f>
        <v/>
      </c>
      <c r="W210" s="153">
        <f>$C210*INDEX(Curves!$BI$8:$BI$68,W$4-$B210+1)</f>
        <v/>
      </c>
      <c r="X210" s="153">
        <f>$C210*INDEX(Curves!$BI$8:$BI$68,X$4-$B210+1)</f>
        <v/>
      </c>
      <c r="Y210" s="153">
        <f>$C210*INDEX(Curves!$BI$8:$BI$68,Y$4-$B210+1)</f>
        <v/>
      </c>
      <c r="Z210" s="153">
        <f>$C210*INDEX(Curves!$BI$8:$BI$68,Z$4-$B210+1)</f>
        <v/>
      </c>
      <c r="AA210" s="153">
        <f>$C210*INDEX(Curves!$BI$8:$BI$68,AA$4-$B210+1)</f>
        <v/>
      </c>
      <c r="AB210" s="153">
        <f>$C210*INDEX(Curves!$BI$8:$BI$68,AB$4-$B210+1)</f>
        <v/>
      </c>
      <c r="AC210" s="153">
        <f>$C210*INDEX(Curves!$BI$8:$BI$68,AC$4-$B210+1)</f>
        <v/>
      </c>
      <c r="AD210" s="153">
        <f>$C210*INDEX(Curves!$BI$8:$BI$68,AD$4-$B210+1)</f>
        <v/>
      </c>
      <c r="AE210" s="153">
        <f>$C210*INDEX(Curves!$BI$8:$BI$68,AE$4-$B210+1)</f>
        <v/>
      </c>
      <c r="AF210" s="153">
        <f>$C210*INDEX(Curves!$BI$8:$BI$68,AF$4-$B210+1)</f>
        <v/>
      </c>
      <c r="AG210" s="153">
        <f>$C210*INDEX(Curves!$BI$8:$BI$68,AG$4-$B210+1)</f>
        <v/>
      </c>
      <c r="AH210" s="153">
        <f>$C210*INDEX(Curves!$BI$8:$BI$68,AH$4-$B210+1)</f>
        <v/>
      </c>
      <c r="AI210" s="153">
        <f>$C210*INDEX(Curves!$BI$8:$BI$68,AI$4-$B210+1)</f>
        <v/>
      </c>
      <c r="AJ210" s="153">
        <f>$C210*INDEX(Curves!$BI$8:$BI$68,AJ$4-$B210+1)</f>
        <v/>
      </c>
      <c r="AK210" s="153">
        <f>$C210*INDEX(Curves!$BI$8:$BI$68,AK$4-$B210+1)</f>
        <v/>
      </c>
      <c r="AL210" s="153">
        <f>$C210*INDEX(Curves!$BI$8:$BI$68,AL$4-$B210+1)</f>
        <v/>
      </c>
      <c r="AM210" s="153">
        <f>$C210*INDEX(Curves!$BI$8:$BI$68,AM$4-$B210+1)</f>
        <v/>
      </c>
      <c r="AN210" s="153">
        <f>$C210*INDEX(Curves!$BI$8:$BI$68,AN$4-$B210+1)</f>
        <v/>
      </c>
      <c r="AO210" s="153">
        <f>$C210*INDEX(Curves!$BI$8:$BI$68,AO$4-$B210+1)</f>
        <v/>
      </c>
      <c r="AP210" s="153">
        <f>$C210*INDEX(Curves!$BI$8:$BI$68,AP$4-$B210+1)</f>
        <v/>
      </c>
      <c r="AQ210" s="153">
        <f>$C210*INDEX(Curves!$BI$8:$BI$68,AQ$4-$B210+1)</f>
        <v/>
      </c>
      <c r="AR210" s="153">
        <f>$C210*INDEX(Curves!$BI$8:$BI$68,AR$4-$B210+1)</f>
        <v/>
      </c>
      <c r="AS210" s="153">
        <f>$C210*INDEX(Curves!$BI$8:$BI$68,AS$4-$B210+1)</f>
        <v/>
      </c>
      <c r="AT210" s="153">
        <f>$C210*INDEX(Curves!$BI$8:$BI$68,AT$4-$B210+1)</f>
        <v/>
      </c>
      <c r="AU210" s="153">
        <f>$C210*INDEX(Curves!$BI$8:$BI$68,AU$4-$B210+1)</f>
        <v/>
      </c>
      <c r="AV210" s="153">
        <f>$C210*INDEX(Curves!$BI$8:$BI$68,AV$4-$B210+1)</f>
        <v/>
      </c>
      <c r="AW210" s="153">
        <f>$C210*INDEX(Curves!$BI$8:$BI$68,AW$4-$B210+1)</f>
        <v/>
      </c>
      <c r="AX210" s="153">
        <f>$C210*INDEX(Curves!$BI$8:$BI$68,AX$4-$B210+1)</f>
        <v/>
      </c>
      <c r="AY210" s="153">
        <f>$C210*INDEX(Curves!$BI$8:$BI$68,AY$4-$B210+1)</f>
        <v/>
      </c>
      <c r="AZ210" s="153">
        <f>$C210*INDEX(Curves!$BI$8:$BI$68,AZ$4-$B210+1)</f>
        <v/>
      </c>
      <c r="BA210" s="153">
        <f>$C210*INDEX(Curves!$BI$8:$BI$68,BA$4-$B210+1)</f>
        <v/>
      </c>
      <c r="BB210" s="153">
        <f>$C210*INDEX(Curves!$BI$8:$BI$68,BB$4-$B210+1)</f>
        <v/>
      </c>
      <c r="BC210" s="153">
        <f>$C210*INDEX(Curves!$BI$8:$BI$68,BC$4-$B210+1)</f>
        <v/>
      </c>
      <c r="BD210" s="153">
        <f>$C210*INDEX(Curves!$BI$8:$BI$68,BD$4-$B210+1)</f>
        <v/>
      </c>
      <c r="BE210" s="153">
        <f>$C210*INDEX(Curves!$BI$8:$BI$68,BE$4-$B210+1)</f>
        <v/>
      </c>
      <c r="BF210" s="153">
        <f>$C210*INDEX(Curves!$BI$8:$BI$68,BF$4-$B210+1)</f>
        <v/>
      </c>
      <c r="BG210" s="153">
        <f>$C210*INDEX(Curves!$BI$8:$BI$68,BG$4-$B210+1)</f>
        <v/>
      </c>
      <c r="BH210" s="153">
        <f>$C210*INDEX(Curves!$BI$8:$BI$68,BH$4-$B210+1)</f>
        <v/>
      </c>
      <c r="BI210" s="153">
        <f>$C210*INDEX(Curves!$BI$8:$BI$68,BI$4-$B210+1)</f>
        <v/>
      </c>
      <c r="BJ210" s="153">
        <f>$C210*INDEX(Curves!$BI$8:$BI$68,BJ$4-$B210+1)</f>
        <v/>
      </c>
      <c r="BK210" s="153">
        <f>$C210*INDEX(Curves!$BI$8:$BI$68,BK$4-$B210+1)</f>
        <v/>
      </c>
      <c r="BL210" s="153">
        <f>$C210*INDEX(Curves!$BI$8:$BI$68,BL$4-$B210+1)</f>
        <v/>
      </c>
    </row>
    <row r="211">
      <c r="A211" s="147" t="inlineStr">
        <is>
          <t>Cohort month 13</t>
        </is>
      </c>
      <c r="B211" s="147" t="n">
        <v>13</v>
      </c>
      <c r="C211" s="41">
        <f>INDEX(Ops!$E$110:$BL$110,1,$B211)</f>
        <v/>
      </c>
      <c r="R211" s="153">
        <f>$C211*INDEX(Curves!$BI$8:$BI$68,R$4-$B211+1)</f>
        <v/>
      </c>
      <c r="S211" s="153">
        <f>$C211*INDEX(Curves!$BI$8:$BI$68,S$4-$B211+1)</f>
        <v/>
      </c>
      <c r="T211" s="153">
        <f>$C211*INDEX(Curves!$BI$8:$BI$68,T$4-$B211+1)</f>
        <v/>
      </c>
      <c r="U211" s="153">
        <f>$C211*INDEX(Curves!$BI$8:$BI$68,U$4-$B211+1)</f>
        <v/>
      </c>
      <c r="V211" s="153">
        <f>$C211*INDEX(Curves!$BI$8:$BI$68,V$4-$B211+1)</f>
        <v/>
      </c>
      <c r="W211" s="153">
        <f>$C211*INDEX(Curves!$BI$8:$BI$68,W$4-$B211+1)</f>
        <v/>
      </c>
      <c r="X211" s="153">
        <f>$C211*INDEX(Curves!$BI$8:$BI$68,X$4-$B211+1)</f>
        <v/>
      </c>
      <c r="Y211" s="153">
        <f>$C211*INDEX(Curves!$BI$8:$BI$68,Y$4-$B211+1)</f>
        <v/>
      </c>
      <c r="Z211" s="153">
        <f>$C211*INDEX(Curves!$BI$8:$BI$68,Z$4-$B211+1)</f>
        <v/>
      </c>
      <c r="AA211" s="153">
        <f>$C211*INDEX(Curves!$BI$8:$BI$68,AA$4-$B211+1)</f>
        <v/>
      </c>
      <c r="AB211" s="153">
        <f>$C211*INDEX(Curves!$BI$8:$BI$68,AB$4-$B211+1)</f>
        <v/>
      </c>
      <c r="AC211" s="153">
        <f>$C211*INDEX(Curves!$BI$8:$BI$68,AC$4-$B211+1)</f>
        <v/>
      </c>
      <c r="AD211" s="153">
        <f>$C211*INDEX(Curves!$BI$8:$BI$68,AD$4-$B211+1)</f>
        <v/>
      </c>
      <c r="AE211" s="153">
        <f>$C211*INDEX(Curves!$BI$8:$BI$68,AE$4-$B211+1)</f>
        <v/>
      </c>
      <c r="AF211" s="153">
        <f>$C211*INDEX(Curves!$BI$8:$BI$68,AF$4-$B211+1)</f>
        <v/>
      </c>
      <c r="AG211" s="153">
        <f>$C211*INDEX(Curves!$BI$8:$BI$68,AG$4-$B211+1)</f>
        <v/>
      </c>
      <c r="AH211" s="153">
        <f>$C211*INDEX(Curves!$BI$8:$BI$68,AH$4-$B211+1)</f>
        <v/>
      </c>
      <c r="AI211" s="153">
        <f>$C211*INDEX(Curves!$BI$8:$BI$68,AI$4-$B211+1)</f>
        <v/>
      </c>
      <c r="AJ211" s="153">
        <f>$C211*INDEX(Curves!$BI$8:$BI$68,AJ$4-$B211+1)</f>
        <v/>
      </c>
      <c r="AK211" s="153">
        <f>$C211*INDEX(Curves!$BI$8:$BI$68,AK$4-$B211+1)</f>
        <v/>
      </c>
      <c r="AL211" s="153">
        <f>$C211*INDEX(Curves!$BI$8:$BI$68,AL$4-$B211+1)</f>
        <v/>
      </c>
      <c r="AM211" s="153">
        <f>$C211*INDEX(Curves!$BI$8:$BI$68,AM$4-$B211+1)</f>
        <v/>
      </c>
      <c r="AN211" s="153">
        <f>$C211*INDEX(Curves!$BI$8:$BI$68,AN$4-$B211+1)</f>
        <v/>
      </c>
      <c r="AO211" s="153">
        <f>$C211*INDEX(Curves!$BI$8:$BI$68,AO$4-$B211+1)</f>
        <v/>
      </c>
      <c r="AP211" s="153">
        <f>$C211*INDEX(Curves!$BI$8:$BI$68,AP$4-$B211+1)</f>
        <v/>
      </c>
      <c r="AQ211" s="153">
        <f>$C211*INDEX(Curves!$BI$8:$BI$68,AQ$4-$B211+1)</f>
        <v/>
      </c>
      <c r="AR211" s="153">
        <f>$C211*INDEX(Curves!$BI$8:$BI$68,AR$4-$B211+1)</f>
        <v/>
      </c>
      <c r="AS211" s="153">
        <f>$C211*INDEX(Curves!$BI$8:$BI$68,AS$4-$B211+1)</f>
        <v/>
      </c>
      <c r="AT211" s="153">
        <f>$C211*INDEX(Curves!$BI$8:$BI$68,AT$4-$B211+1)</f>
        <v/>
      </c>
      <c r="AU211" s="153">
        <f>$C211*INDEX(Curves!$BI$8:$BI$68,AU$4-$B211+1)</f>
        <v/>
      </c>
      <c r="AV211" s="153">
        <f>$C211*INDEX(Curves!$BI$8:$BI$68,AV$4-$B211+1)</f>
        <v/>
      </c>
      <c r="AW211" s="153">
        <f>$C211*INDEX(Curves!$BI$8:$BI$68,AW$4-$B211+1)</f>
        <v/>
      </c>
      <c r="AX211" s="153">
        <f>$C211*INDEX(Curves!$BI$8:$BI$68,AX$4-$B211+1)</f>
        <v/>
      </c>
      <c r="AY211" s="153">
        <f>$C211*INDEX(Curves!$BI$8:$BI$68,AY$4-$B211+1)</f>
        <v/>
      </c>
      <c r="AZ211" s="153">
        <f>$C211*INDEX(Curves!$BI$8:$BI$68,AZ$4-$B211+1)</f>
        <v/>
      </c>
      <c r="BA211" s="153">
        <f>$C211*INDEX(Curves!$BI$8:$BI$68,BA$4-$B211+1)</f>
        <v/>
      </c>
      <c r="BB211" s="153">
        <f>$C211*INDEX(Curves!$BI$8:$BI$68,BB$4-$B211+1)</f>
        <v/>
      </c>
      <c r="BC211" s="153">
        <f>$C211*INDEX(Curves!$BI$8:$BI$68,BC$4-$B211+1)</f>
        <v/>
      </c>
      <c r="BD211" s="153">
        <f>$C211*INDEX(Curves!$BI$8:$BI$68,BD$4-$B211+1)</f>
        <v/>
      </c>
      <c r="BE211" s="153">
        <f>$C211*INDEX(Curves!$BI$8:$BI$68,BE$4-$B211+1)</f>
        <v/>
      </c>
      <c r="BF211" s="153">
        <f>$C211*INDEX(Curves!$BI$8:$BI$68,BF$4-$B211+1)</f>
        <v/>
      </c>
      <c r="BG211" s="153">
        <f>$C211*INDEX(Curves!$BI$8:$BI$68,BG$4-$B211+1)</f>
        <v/>
      </c>
      <c r="BH211" s="153">
        <f>$C211*INDEX(Curves!$BI$8:$BI$68,BH$4-$B211+1)</f>
        <v/>
      </c>
      <c r="BI211" s="153">
        <f>$C211*INDEX(Curves!$BI$8:$BI$68,BI$4-$B211+1)</f>
        <v/>
      </c>
      <c r="BJ211" s="153">
        <f>$C211*INDEX(Curves!$BI$8:$BI$68,BJ$4-$B211+1)</f>
        <v/>
      </c>
      <c r="BK211" s="153">
        <f>$C211*INDEX(Curves!$BI$8:$BI$68,BK$4-$B211+1)</f>
        <v/>
      </c>
      <c r="BL211" s="153">
        <f>$C211*INDEX(Curves!$BI$8:$BI$68,BL$4-$B211+1)</f>
        <v/>
      </c>
    </row>
    <row r="212">
      <c r="A212" s="147" t="inlineStr">
        <is>
          <t>Cohort month 14</t>
        </is>
      </c>
      <c r="B212" s="147" t="n">
        <v>14</v>
      </c>
      <c r="C212" s="41">
        <f>INDEX(Ops!$E$110:$BL$110,1,$B212)</f>
        <v/>
      </c>
      <c r="S212" s="153">
        <f>$C212*INDEX(Curves!$BI$8:$BI$68,S$4-$B212+1)</f>
        <v/>
      </c>
      <c r="T212" s="153">
        <f>$C212*INDEX(Curves!$BI$8:$BI$68,T$4-$B212+1)</f>
        <v/>
      </c>
      <c r="U212" s="153">
        <f>$C212*INDEX(Curves!$BI$8:$BI$68,U$4-$B212+1)</f>
        <v/>
      </c>
      <c r="V212" s="153">
        <f>$C212*INDEX(Curves!$BI$8:$BI$68,V$4-$B212+1)</f>
        <v/>
      </c>
      <c r="W212" s="153">
        <f>$C212*INDEX(Curves!$BI$8:$BI$68,W$4-$B212+1)</f>
        <v/>
      </c>
      <c r="X212" s="153">
        <f>$C212*INDEX(Curves!$BI$8:$BI$68,X$4-$B212+1)</f>
        <v/>
      </c>
      <c r="Y212" s="153">
        <f>$C212*INDEX(Curves!$BI$8:$BI$68,Y$4-$B212+1)</f>
        <v/>
      </c>
      <c r="Z212" s="153">
        <f>$C212*INDEX(Curves!$BI$8:$BI$68,Z$4-$B212+1)</f>
        <v/>
      </c>
      <c r="AA212" s="153">
        <f>$C212*INDEX(Curves!$BI$8:$BI$68,AA$4-$B212+1)</f>
        <v/>
      </c>
      <c r="AB212" s="153">
        <f>$C212*INDEX(Curves!$BI$8:$BI$68,AB$4-$B212+1)</f>
        <v/>
      </c>
      <c r="AC212" s="153">
        <f>$C212*INDEX(Curves!$BI$8:$BI$68,AC$4-$B212+1)</f>
        <v/>
      </c>
      <c r="AD212" s="153">
        <f>$C212*INDEX(Curves!$BI$8:$BI$68,AD$4-$B212+1)</f>
        <v/>
      </c>
      <c r="AE212" s="153">
        <f>$C212*INDEX(Curves!$BI$8:$BI$68,AE$4-$B212+1)</f>
        <v/>
      </c>
      <c r="AF212" s="153">
        <f>$C212*INDEX(Curves!$BI$8:$BI$68,AF$4-$B212+1)</f>
        <v/>
      </c>
      <c r="AG212" s="153">
        <f>$C212*INDEX(Curves!$BI$8:$BI$68,AG$4-$B212+1)</f>
        <v/>
      </c>
      <c r="AH212" s="153">
        <f>$C212*INDEX(Curves!$BI$8:$BI$68,AH$4-$B212+1)</f>
        <v/>
      </c>
      <c r="AI212" s="153">
        <f>$C212*INDEX(Curves!$BI$8:$BI$68,AI$4-$B212+1)</f>
        <v/>
      </c>
      <c r="AJ212" s="153">
        <f>$C212*INDEX(Curves!$BI$8:$BI$68,AJ$4-$B212+1)</f>
        <v/>
      </c>
      <c r="AK212" s="153">
        <f>$C212*INDEX(Curves!$BI$8:$BI$68,AK$4-$B212+1)</f>
        <v/>
      </c>
      <c r="AL212" s="153">
        <f>$C212*INDEX(Curves!$BI$8:$BI$68,AL$4-$B212+1)</f>
        <v/>
      </c>
      <c r="AM212" s="153">
        <f>$C212*INDEX(Curves!$BI$8:$BI$68,AM$4-$B212+1)</f>
        <v/>
      </c>
      <c r="AN212" s="153">
        <f>$C212*INDEX(Curves!$BI$8:$BI$68,AN$4-$B212+1)</f>
        <v/>
      </c>
      <c r="AO212" s="153">
        <f>$C212*INDEX(Curves!$BI$8:$BI$68,AO$4-$B212+1)</f>
        <v/>
      </c>
      <c r="AP212" s="153">
        <f>$C212*INDEX(Curves!$BI$8:$BI$68,AP$4-$B212+1)</f>
        <v/>
      </c>
      <c r="AQ212" s="153">
        <f>$C212*INDEX(Curves!$BI$8:$BI$68,AQ$4-$B212+1)</f>
        <v/>
      </c>
      <c r="AR212" s="153">
        <f>$C212*INDEX(Curves!$BI$8:$BI$68,AR$4-$B212+1)</f>
        <v/>
      </c>
      <c r="AS212" s="153">
        <f>$C212*INDEX(Curves!$BI$8:$BI$68,AS$4-$B212+1)</f>
        <v/>
      </c>
      <c r="AT212" s="153">
        <f>$C212*INDEX(Curves!$BI$8:$BI$68,AT$4-$B212+1)</f>
        <v/>
      </c>
      <c r="AU212" s="153">
        <f>$C212*INDEX(Curves!$BI$8:$BI$68,AU$4-$B212+1)</f>
        <v/>
      </c>
      <c r="AV212" s="153">
        <f>$C212*INDEX(Curves!$BI$8:$BI$68,AV$4-$B212+1)</f>
        <v/>
      </c>
      <c r="AW212" s="153">
        <f>$C212*INDEX(Curves!$BI$8:$BI$68,AW$4-$B212+1)</f>
        <v/>
      </c>
      <c r="AX212" s="153">
        <f>$C212*INDEX(Curves!$BI$8:$BI$68,AX$4-$B212+1)</f>
        <v/>
      </c>
      <c r="AY212" s="153">
        <f>$C212*INDEX(Curves!$BI$8:$BI$68,AY$4-$B212+1)</f>
        <v/>
      </c>
      <c r="AZ212" s="153">
        <f>$C212*INDEX(Curves!$BI$8:$BI$68,AZ$4-$B212+1)</f>
        <v/>
      </c>
      <c r="BA212" s="153">
        <f>$C212*INDEX(Curves!$BI$8:$BI$68,BA$4-$B212+1)</f>
        <v/>
      </c>
      <c r="BB212" s="153">
        <f>$C212*INDEX(Curves!$BI$8:$BI$68,BB$4-$B212+1)</f>
        <v/>
      </c>
      <c r="BC212" s="153">
        <f>$C212*INDEX(Curves!$BI$8:$BI$68,BC$4-$B212+1)</f>
        <v/>
      </c>
      <c r="BD212" s="153">
        <f>$C212*INDEX(Curves!$BI$8:$BI$68,BD$4-$B212+1)</f>
        <v/>
      </c>
      <c r="BE212" s="153">
        <f>$C212*INDEX(Curves!$BI$8:$BI$68,BE$4-$B212+1)</f>
        <v/>
      </c>
      <c r="BF212" s="153">
        <f>$C212*INDEX(Curves!$BI$8:$BI$68,BF$4-$B212+1)</f>
        <v/>
      </c>
      <c r="BG212" s="153">
        <f>$C212*INDEX(Curves!$BI$8:$BI$68,BG$4-$B212+1)</f>
        <v/>
      </c>
      <c r="BH212" s="153">
        <f>$C212*INDEX(Curves!$BI$8:$BI$68,BH$4-$B212+1)</f>
        <v/>
      </c>
      <c r="BI212" s="153">
        <f>$C212*INDEX(Curves!$BI$8:$BI$68,BI$4-$B212+1)</f>
        <v/>
      </c>
      <c r="BJ212" s="153">
        <f>$C212*INDEX(Curves!$BI$8:$BI$68,BJ$4-$B212+1)</f>
        <v/>
      </c>
      <c r="BK212" s="153">
        <f>$C212*INDEX(Curves!$BI$8:$BI$68,BK$4-$B212+1)</f>
        <v/>
      </c>
      <c r="BL212" s="153">
        <f>$C212*INDEX(Curves!$BI$8:$BI$68,BL$4-$B212+1)</f>
        <v/>
      </c>
    </row>
    <row r="213">
      <c r="A213" s="147" t="inlineStr">
        <is>
          <t>Cohort month 15</t>
        </is>
      </c>
      <c r="B213" s="147" t="n">
        <v>15</v>
      </c>
      <c r="C213" s="41">
        <f>INDEX(Ops!$E$110:$BL$110,1,$B213)</f>
        <v/>
      </c>
      <c r="T213" s="153">
        <f>$C213*INDEX(Curves!$BI$8:$BI$68,T$4-$B213+1)</f>
        <v/>
      </c>
      <c r="U213" s="153">
        <f>$C213*INDEX(Curves!$BI$8:$BI$68,U$4-$B213+1)</f>
        <v/>
      </c>
      <c r="V213" s="153">
        <f>$C213*INDEX(Curves!$BI$8:$BI$68,V$4-$B213+1)</f>
        <v/>
      </c>
      <c r="W213" s="153">
        <f>$C213*INDEX(Curves!$BI$8:$BI$68,W$4-$B213+1)</f>
        <v/>
      </c>
      <c r="X213" s="153">
        <f>$C213*INDEX(Curves!$BI$8:$BI$68,X$4-$B213+1)</f>
        <v/>
      </c>
      <c r="Y213" s="153">
        <f>$C213*INDEX(Curves!$BI$8:$BI$68,Y$4-$B213+1)</f>
        <v/>
      </c>
      <c r="Z213" s="153">
        <f>$C213*INDEX(Curves!$BI$8:$BI$68,Z$4-$B213+1)</f>
        <v/>
      </c>
      <c r="AA213" s="153">
        <f>$C213*INDEX(Curves!$BI$8:$BI$68,AA$4-$B213+1)</f>
        <v/>
      </c>
      <c r="AB213" s="153">
        <f>$C213*INDEX(Curves!$BI$8:$BI$68,AB$4-$B213+1)</f>
        <v/>
      </c>
      <c r="AC213" s="153">
        <f>$C213*INDEX(Curves!$BI$8:$BI$68,AC$4-$B213+1)</f>
        <v/>
      </c>
      <c r="AD213" s="153">
        <f>$C213*INDEX(Curves!$BI$8:$BI$68,AD$4-$B213+1)</f>
        <v/>
      </c>
      <c r="AE213" s="153">
        <f>$C213*INDEX(Curves!$BI$8:$BI$68,AE$4-$B213+1)</f>
        <v/>
      </c>
      <c r="AF213" s="153">
        <f>$C213*INDEX(Curves!$BI$8:$BI$68,AF$4-$B213+1)</f>
        <v/>
      </c>
      <c r="AG213" s="153">
        <f>$C213*INDEX(Curves!$BI$8:$BI$68,AG$4-$B213+1)</f>
        <v/>
      </c>
      <c r="AH213" s="153">
        <f>$C213*INDEX(Curves!$BI$8:$BI$68,AH$4-$B213+1)</f>
        <v/>
      </c>
      <c r="AI213" s="153">
        <f>$C213*INDEX(Curves!$BI$8:$BI$68,AI$4-$B213+1)</f>
        <v/>
      </c>
      <c r="AJ213" s="153">
        <f>$C213*INDEX(Curves!$BI$8:$BI$68,AJ$4-$B213+1)</f>
        <v/>
      </c>
      <c r="AK213" s="153">
        <f>$C213*INDEX(Curves!$BI$8:$BI$68,AK$4-$B213+1)</f>
        <v/>
      </c>
      <c r="AL213" s="153">
        <f>$C213*INDEX(Curves!$BI$8:$BI$68,AL$4-$B213+1)</f>
        <v/>
      </c>
      <c r="AM213" s="153">
        <f>$C213*INDEX(Curves!$BI$8:$BI$68,AM$4-$B213+1)</f>
        <v/>
      </c>
      <c r="AN213" s="153">
        <f>$C213*INDEX(Curves!$BI$8:$BI$68,AN$4-$B213+1)</f>
        <v/>
      </c>
      <c r="AO213" s="153">
        <f>$C213*INDEX(Curves!$BI$8:$BI$68,AO$4-$B213+1)</f>
        <v/>
      </c>
      <c r="AP213" s="153">
        <f>$C213*INDEX(Curves!$BI$8:$BI$68,AP$4-$B213+1)</f>
        <v/>
      </c>
      <c r="AQ213" s="153">
        <f>$C213*INDEX(Curves!$BI$8:$BI$68,AQ$4-$B213+1)</f>
        <v/>
      </c>
      <c r="AR213" s="153">
        <f>$C213*INDEX(Curves!$BI$8:$BI$68,AR$4-$B213+1)</f>
        <v/>
      </c>
      <c r="AS213" s="153">
        <f>$C213*INDEX(Curves!$BI$8:$BI$68,AS$4-$B213+1)</f>
        <v/>
      </c>
      <c r="AT213" s="153">
        <f>$C213*INDEX(Curves!$BI$8:$BI$68,AT$4-$B213+1)</f>
        <v/>
      </c>
      <c r="AU213" s="153">
        <f>$C213*INDEX(Curves!$BI$8:$BI$68,AU$4-$B213+1)</f>
        <v/>
      </c>
      <c r="AV213" s="153">
        <f>$C213*INDEX(Curves!$BI$8:$BI$68,AV$4-$B213+1)</f>
        <v/>
      </c>
      <c r="AW213" s="153">
        <f>$C213*INDEX(Curves!$BI$8:$BI$68,AW$4-$B213+1)</f>
        <v/>
      </c>
      <c r="AX213" s="153">
        <f>$C213*INDEX(Curves!$BI$8:$BI$68,AX$4-$B213+1)</f>
        <v/>
      </c>
      <c r="AY213" s="153">
        <f>$C213*INDEX(Curves!$BI$8:$BI$68,AY$4-$B213+1)</f>
        <v/>
      </c>
      <c r="AZ213" s="153">
        <f>$C213*INDEX(Curves!$BI$8:$BI$68,AZ$4-$B213+1)</f>
        <v/>
      </c>
      <c r="BA213" s="153">
        <f>$C213*INDEX(Curves!$BI$8:$BI$68,BA$4-$B213+1)</f>
        <v/>
      </c>
      <c r="BB213" s="153">
        <f>$C213*INDEX(Curves!$BI$8:$BI$68,BB$4-$B213+1)</f>
        <v/>
      </c>
      <c r="BC213" s="153">
        <f>$C213*INDEX(Curves!$BI$8:$BI$68,BC$4-$B213+1)</f>
        <v/>
      </c>
      <c r="BD213" s="153">
        <f>$C213*INDEX(Curves!$BI$8:$BI$68,BD$4-$B213+1)</f>
        <v/>
      </c>
      <c r="BE213" s="153">
        <f>$C213*INDEX(Curves!$BI$8:$BI$68,BE$4-$B213+1)</f>
        <v/>
      </c>
      <c r="BF213" s="153">
        <f>$C213*INDEX(Curves!$BI$8:$BI$68,BF$4-$B213+1)</f>
        <v/>
      </c>
      <c r="BG213" s="153">
        <f>$C213*INDEX(Curves!$BI$8:$BI$68,BG$4-$B213+1)</f>
        <v/>
      </c>
      <c r="BH213" s="153">
        <f>$C213*INDEX(Curves!$BI$8:$BI$68,BH$4-$B213+1)</f>
        <v/>
      </c>
      <c r="BI213" s="153">
        <f>$C213*INDEX(Curves!$BI$8:$BI$68,BI$4-$B213+1)</f>
        <v/>
      </c>
      <c r="BJ213" s="153">
        <f>$C213*INDEX(Curves!$BI$8:$BI$68,BJ$4-$B213+1)</f>
        <v/>
      </c>
      <c r="BK213" s="153">
        <f>$C213*INDEX(Curves!$BI$8:$BI$68,BK$4-$B213+1)</f>
        <v/>
      </c>
      <c r="BL213" s="153">
        <f>$C213*INDEX(Curves!$BI$8:$BI$68,BL$4-$B213+1)</f>
        <v/>
      </c>
    </row>
    <row r="214">
      <c r="A214" s="147" t="inlineStr">
        <is>
          <t>Cohort month 16</t>
        </is>
      </c>
      <c r="B214" s="147" t="n">
        <v>16</v>
      </c>
      <c r="C214" s="41">
        <f>INDEX(Ops!$E$110:$BL$110,1,$B214)</f>
        <v/>
      </c>
      <c r="U214" s="153">
        <f>$C214*INDEX(Curves!$BI$8:$BI$68,U$4-$B214+1)</f>
        <v/>
      </c>
      <c r="V214" s="153">
        <f>$C214*INDEX(Curves!$BI$8:$BI$68,V$4-$B214+1)</f>
        <v/>
      </c>
      <c r="W214" s="153">
        <f>$C214*INDEX(Curves!$BI$8:$BI$68,W$4-$B214+1)</f>
        <v/>
      </c>
      <c r="X214" s="153">
        <f>$C214*INDEX(Curves!$BI$8:$BI$68,X$4-$B214+1)</f>
        <v/>
      </c>
      <c r="Y214" s="153">
        <f>$C214*INDEX(Curves!$BI$8:$BI$68,Y$4-$B214+1)</f>
        <v/>
      </c>
      <c r="Z214" s="153">
        <f>$C214*INDEX(Curves!$BI$8:$BI$68,Z$4-$B214+1)</f>
        <v/>
      </c>
      <c r="AA214" s="153">
        <f>$C214*INDEX(Curves!$BI$8:$BI$68,AA$4-$B214+1)</f>
        <v/>
      </c>
      <c r="AB214" s="153">
        <f>$C214*INDEX(Curves!$BI$8:$BI$68,AB$4-$B214+1)</f>
        <v/>
      </c>
      <c r="AC214" s="153">
        <f>$C214*INDEX(Curves!$BI$8:$BI$68,AC$4-$B214+1)</f>
        <v/>
      </c>
      <c r="AD214" s="153">
        <f>$C214*INDEX(Curves!$BI$8:$BI$68,AD$4-$B214+1)</f>
        <v/>
      </c>
      <c r="AE214" s="153">
        <f>$C214*INDEX(Curves!$BI$8:$BI$68,AE$4-$B214+1)</f>
        <v/>
      </c>
      <c r="AF214" s="153">
        <f>$C214*INDEX(Curves!$BI$8:$BI$68,AF$4-$B214+1)</f>
        <v/>
      </c>
      <c r="AG214" s="153">
        <f>$C214*INDEX(Curves!$BI$8:$BI$68,AG$4-$B214+1)</f>
        <v/>
      </c>
      <c r="AH214" s="153">
        <f>$C214*INDEX(Curves!$BI$8:$BI$68,AH$4-$B214+1)</f>
        <v/>
      </c>
      <c r="AI214" s="153">
        <f>$C214*INDEX(Curves!$BI$8:$BI$68,AI$4-$B214+1)</f>
        <v/>
      </c>
      <c r="AJ214" s="153">
        <f>$C214*INDEX(Curves!$BI$8:$BI$68,AJ$4-$B214+1)</f>
        <v/>
      </c>
      <c r="AK214" s="153">
        <f>$C214*INDEX(Curves!$BI$8:$BI$68,AK$4-$B214+1)</f>
        <v/>
      </c>
      <c r="AL214" s="153">
        <f>$C214*INDEX(Curves!$BI$8:$BI$68,AL$4-$B214+1)</f>
        <v/>
      </c>
      <c r="AM214" s="153">
        <f>$C214*INDEX(Curves!$BI$8:$BI$68,AM$4-$B214+1)</f>
        <v/>
      </c>
      <c r="AN214" s="153">
        <f>$C214*INDEX(Curves!$BI$8:$BI$68,AN$4-$B214+1)</f>
        <v/>
      </c>
      <c r="AO214" s="153">
        <f>$C214*INDEX(Curves!$BI$8:$BI$68,AO$4-$B214+1)</f>
        <v/>
      </c>
      <c r="AP214" s="153">
        <f>$C214*INDEX(Curves!$BI$8:$BI$68,AP$4-$B214+1)</f>
        <v/>
      </c>
      <c r="AQ214" s="153">
        <f>$C214*INDEX(Curves!$BI$8:$BI$68,AQ$4-$B214+1)</f>
        <v/>
      </c>
      <c r="AR214" s="153">
        <f>$C214*INDEX(Curves!$BI$8:$BI$68,AR$4-$B214+1)</f>
        <v/>
      </c>
      <c r="AS214" s="153">
        <f>$C214*INDEX(Curves!$BI$8:$BI$68,AS$4-$B214+1)</f>
        <v/>
      </c>
      <c r="AT214" s="153">
        <f>$C214*INDEX(Curves!$BI$8:$BI$68,AT$4-$B214+1)</f>
        <v/>
      </c>
      <c r="AU214" s="153">
        <f>$C214*INDEX(Curves!$BI$8:$BI$68,AU$4-$B214+1)</f>
        <v/>
      </c>
      <c r="AV214" s="153">
        <f>$C214*INDEX(Curves!$BI$8:$BI$68,AV$4-$B214+1)</f>
        <v/>
      </c>
      <c r="AW214" s="153">
        <f>$C214*INDEX(Curves!$BI$8:$BI$68,AW$4-$B214+1)</f>
        <v/>
      </c>
      <c r="AX214" s="153">
        <f>$C214*INDEX(Curves!$BI$8:$BI$68,AX$4-$B214+1)</f>
        <v/>
      </c>
      <c r="AY214" s="153">
        <f>$C214*INDEX(Curves!$BI$8:$BI$68,AY$4-$B214+1)</f>
        <v/>
      </c>
      <c r="AZ214" s="153">
        <f>$C214*INDEX(Curves!$BI$8:$BI$68,AZ$4-$B214+1)</f>
        <v/>
      </c>
      <c r="BA214" s="153">
        <f>$C214*INDEX(Curves!$BI$8:$BI$68,BA$4-$B214+1)</f>
        <v/>
      </c>
      <c r="BB214" s="153">
        <f>$C214*INDEX(Curves!$BI$8:$BI$68,BB$4-$B214+1)</f>
        <v/>
      </c>
      <c r="BC214" s="153">
        <f>$C214*INDEX(Curves!$BI$8:$BI$68,BC$4-$B214+1)</f>
        <v/>
      </c>
      <c r="BD214" s="153">
        <f>$C214*INDEX(Curves!$BI$8:$BI$68,BD$4-$B214+1)</f>
        <v/>
      </c>
      <c r="BE214" s="153">
        <f>$C214*INDEX(Curves!$BI$8:$BI$68,BE$4-$B214+1)</f>
        <v/>
      </c>
      <c r="BF214" s="153">
        <f>$C214*INDEX(Curves!$BI$8:$BI$68,BF$4-$B214+1)</f>
        <v/>
      </c>
      <c r="BG214" s="153">
        <f>$C214*INDEX(Curves!$BI$8:$BI$68,BG$4-$B214+1)</f>
        <v/>
      </c>
      <c r="BH214" s="153">
        <f>$C214*INDEX(Curves!$BI$8:$BI$68,BH$4-$B214+1)</f>
        <v/>
      </c>
      <c r="BI214" s="153">
        <f>$C214*INDEX(Curves!$BI$8:$BI$68,BI$4-$B214+1)</f>
        <v/>
      </c>
      <c r="BJ214" s="153">
        <f>$C214*INDEX(Curves!$BI$8:$BI$68,BJ$4-$B214+1)</f>
        <v/>
      </c>
      <c r="BK214" s="153">
        <f>$C214*INDEX(Curves!$BI$8:$BI$68,BK$4-$B214+1)</f>
        <v/>
      </c>
      <c r="BL214" s="153">
        <f>$C214*INDEX(Curves!$BI$8:$BI$68,BL$4-$B214+1)</f>
        <v/>
      </c>
    </row>
    <row r="215">
      <c r="A215" s="147" t="inlineStr">
        <is>
          <t>Cohort month 17</t>
        </is>
      </c>
      <c r="B215" s="147" t="n">
        <v>17</v>
      </c>
      <c r="C215" s="41">
        <f>INDEX(Ops!$E$110:$BL$110,1,$B215)</f>
        <v/>
      </c>
      <c r="V215" s="153">
        <f>$C215*INDEX(Curves!$BI$8:$BI$68,V$4-$B215+1)</f>
        <v/>
      </c>
      <c r="W215" s="153">
        <f>$C215*INDEX(Curves!$BI$8:$BI$68,W$4-$B215+1)</f>
        <v/>
      </c>
      <c r="X215" s="153">
        <f>$C215*INDEX(Curves!$BI$8:$BI$68,X$4-$B215+1)</f>
        <v/>
      </c>
      <c r="Y215" s="153">
        <f>$C215*INDEX(Curves!$BI$8:$BI$68,Y$4-$B215+1)</f>
        <v/>
      </c>
      <c r="Z215" s="153">
        <f>$C215*INDEX(Curves!$BI$8:$BI$68,Z$4-$B215+1)</f>
        <v/>
      </c>
      <c r="AA215" s="153">
        <f>$C215*INDEX(Curves!$BI$8:$BI$68,AA$4-$B215+1)</f>
        <v/>
      </c>
      <c r="AB215" s="153">
        <f>$C215*INDEX(Curves!$BI$8:$BI$68,AB$4-$B215+1)</f>
        <v/>
      </c>
      <c r="AC215" s="153">
        <f>$C215*INDEX(Curves!$BI$8:$BI$68,AC$4-$B215+1)</f>
        <v/>
      </c>
      <c r="AD215" s="153">
        <f>$C215*INDEX(Curves!$BI$8:$BI$68,AD$4-$B215+1)</f>
        <v/>
      </c>
      <c r="AE215" s="153">
        <f>$C215*INDEX(Curves!$BI$8:$BI$68,AE$4-$B215+1)</f>
        <v/>
      </c>
      <c r="AF215" s="153">
        <f>$C215*INDEX(Curves!$BI$8:$BI$68,AF$4-$B215+1)</f>
        <v/>
      </c>
      <c r="AG215" s="153">
        <f>$C215*INDEX(Curves!$BI$8:$BI$68,AG$4-$B215+1)</f>
        <v/>
      </c>
      <c r="AH215" s="153">
        <f>$C215*INDEX(Curves!$BI$8:$BI$68,AH$4-$B215+1)</f>
        <v/>
      </c>
      <c r="AI215" s="153">
        <f>$C215*INDEX(Curves!$BI$8:$BI$68,AI$4-$B215+1)</f>
        <v/>
      </c>
      <c r="AJ215" s="153">
        <f>$C215*INDEX(Curves!$BI$8:$BI$68,AJ$4-$B215+1)</f>
        <v/>
      </c>
      <c r="AK215" s="153">
        <f>$C215*INDEX(Curves!$BI$8:$BI$68,AK$4-$B215+1)</f>
        <v/>
      </c>
      <c r="AL215" s="153">
        <f>$C215*INDEX(Curves!$BI$8:$BI$68,AL$4-$B215+1)</f>
        <v/>
      </c>
      <c r="AM215" s="153">
        <f>$C215*INDEX(Curves!$BI$8:$BI$68,AM$4-$B215+1)</f>
        <v/>
      </c>
      <c r="AN215" s="153">
        <f>$C215*INDEX(Curves!$BI$8:$BI$68,AN$4-$B215+1)</f>
        <v/>
      </c>
      <c r="AO215" s="153">
        <f>$C215*INDEX(Curves!$BI$8:$BI$68,AO$4-$B215+1)</f>
        <v/>
      </c>
      <c r="AP215" s="153">
        <f>$C215*INDEX(Curves!$BI$8:$BI$68,AP$4-$B215+1)</f>
        <v/>
      </c>
      <c r="AQ215" s="153">
        <f>$C215*INDEX(Curves!$BI$8:$BI$68,AQ$4-$B215+1)</f>
        <v/>
      </c>
      <c r="AR215" s="153">
        <f>$C215*INDEX(Curves!$BI$8:$BI$68,AR$4-$B215+1)</f>
        <v/>
      </c>
      <c r="AS215" s="153">
        <f>$C215*INDEX(Curves!$BI$8:$BI$68,AS$4-$B215+1)</f>
        <v/>
      </c>
      <c r="AT215" s="153">
        <f>$C215*INDEX(Curves!$BI$8:$BI$68,AT$4-$B215+1)</f>
        <v/>
      </c>
      <c r="AU215" s="153">
        <f>$C215*INDEX(Curves!$BI$8:$BI$68,AU$4-$B215+1)</f>
        <v/>
      </c>
      <c r="AV215" s="153">
        <f>$C215*INDEX(Curves!$BI$8:$BI$68,AV$4-$B215+1)</f>
        <v/>
      </c>
      <c r="AW215" s="153">
        <f>$C215*INDEX(Curves!$BI$8:$BI$68,AW$4-$B215+1)</f>
        <v/>
      </c>
      <c r="AX215" s="153">
        <f>$C215*INDEX(Curves!$BI$8:$BI$68,AX$4-$B215+1)</f>
        <v/>
      </c>
      <c r="AY215" s="153">
        <f>$C215*INDEX(Curves!$BI$8:$BI$68,AY$4-$B215+1)</f>
        <v/>
      </c>
      <c r="AZ215" s="153">
        <f>$C215*INDEX(Curves!$BI$8:$BI$68,AZ$4-$B215+1)</f>
        <v/>
      </c>
      <c r="BA215" s="153">
        <f>$C215*INDEX(Curves!$BI$8:$BI$68,BA$4-$B215+1)</f>
        <v/>
      </c>
      <c r="BB215" s="153">
        <f>$C215*INDEX(Curves!$BI$8:$BI$68,BB$4-$B215+1)</f>
        <v/>
      </c>
      <c r="BC215" s="153">
        <f>$C215*INDEX(Curves!$BI$8:$BI$68,BC$4-$B215+1)</f>
        <v/>
      </c>
      <c r="BD215" s="153">
        <f>$C215*INDEX(Curves!$BI$8:$BI$68,BD$4-$B215+1)</f>
        <v/>
      </c>
      <c r="BE215" s="153">
        <f>$C215*INDEX(Curves!$BI$8:$BI$68,BE$4-$B215+1)</f>
        <v/>
      </c>
      <c r="BF215" s="153">
        <f>$C215*INDEX(Curves!$BI$8:$BI$68,BF$4-$B215+1)</f>
        <v/>
      </c>
      <c r="BG215" s="153">
        <f>$C215*INDEX(Curves!$BI$8:$BI$68,BG$4-$B215+1)</f>
        <v/>
      </c>
      <c r="BH215" s="153">
        <f>$C215*INDEX(Curves!$BI$8:$BI$68,BH$4-$B215+1)</f>
        <v/>
      </c>
      <c r="BI215" s="153">
        <f>$C215*INDEX(Curves!$BI$8:$BI$68,BI$4-$B215+1)</f>
        <v/>
      </c>
      <c r="BJ215" s="153">
        <f>$C215*INDEX(Curves!$BI$8:$BI$68,BJ$4-$B215+1)</f>
        <v/>
      </c>
      <c r="BK215" s="153">
        <f>$C215*INDEX(Curves!$BI$8:$BI$68,BK$4-$B215+1)</f>
        <v/>
      </c>
      <c r="BL215" s="153">
        <f>$C215*INDEX(Curves!$BI$8:$BI$68,BL$4-$B215+1)</f>
        <v/>
      </c>
    </row>
    <row r="216">
      <c r="A216" s="147" t="inlineStr">
        <is>
          <t>Cohort month 18</t>
        </is>
      </c>
      <c r="B216" s="147" t="n">
        <v>18</v>
      </c>
      <c r="C216" s="41">
        <f>INDEX(Ops!$E$110:$BL$110,1,$B216)</f>
        <v/>
      </c>
      <c r="W216" s="153">
        <f>$C216*INDEX(Curves!$BI$8:$BI$68,W$4-$B216+1)</f>
        <v/>
      </c>
      <c r="X216" s="153">
        <f>$C216*INDEX(Curves!$BI$8:$BI$68,X$4-$B216+1)</f>
        <v/>
      </c>
      <c r="Y216" s="153">
        <f>$C216*INDEX(Curves!$BI$8:$BI$68,Y$4-$B216+1)</f>
        <v/>
      </c>
      <c r="Z216" s="153">
        <f>$C216*INDEX(Curves!$BI$8:$BI$68,Z$4-$B216+1)</f>
        <v/>
      </c>
      <c r="AA216" s="153">
        <f>$C216*INDEX(Curves!$BI$8:$BI$68,AA$4-$B216+1)</f>
        <v/>
      </c>
      <c r="AB216" s="153">
        <f>$C216*INDEX(Curves!$BI$8:$BI$68,AB$4-$B216+1)</f>
        <v/>
      </c>
      <c r="AC216" s="153">
        <f>$C216*INDEX(Curves!$BI$8:$BI$68,AC$4-$B216+1)</f>
        <v/>
      </c>
      <c r="AD216" s="153">
        <f>$C216*INDEX(Curves!$BI$8:$BI$68,AD$4-$B216+1)</f>
        <v/>
      </c>
      <c r="AE216" s="153">
        <f>$C216*INDEX(Curves!$BI$8:$BI$68,AE$4-$B216+1)</f>
        <v/>
      </c>
      <c r="AF216" s="153">
        <f>$C216*INDEX(Curves!$BI$8:$BI$68,AF$4-$B216+1)</f>
        <v/>
      </c>
      <c r="AG216" s="153">
        <f>$C216*INDEX(Curves!$BI$8:$BI$68,AG$4-$B216+1)</f>
        <v/>
      </c>
      <c r="AH216" s="153">
        <f>$C216*INDEX(Curves!$BI$8:$BI$68,AH$4-$B216+1)</f>
        <v/>
      </c>
      <c r="AI216" s="153">
        <f>$C216*INDEX(Curves!$BI$8:$BI$68,AI$4-$B216+1)</f>
        <v/>
      </c>
      <c r="AJ216" s="153">
        <f>$C216*INDEX(Curves!$BI$8:$BI$68,AJ$4-$B216+1)</f>
        <v/>
      </c>
      <c r="AK216" s="153">
        <f>$C216*INDEX(Curves!$BI$8:$BI$68,AK$4-$B216+1)</f>
        <v/>
      </c>
      <c r="AL216" s="153">
        <f>$C216*INDEX(Curves!$BI$8:$BI$68,AL$4-$B216+1)</f>
        <v/>
      </c>
      <c r="AM216" s="153">
        <f>$C216*INDEX(Curves!$BI$8:$BI$68,AM$4-$B216+1)</f>
        <v/>
      </c>
      <c r="AN216" s="153">
        <f>$C216*INDEX(Curves!$BI$8:$BI$68,AN$4-$B216+1)</f>
        <v/>
      </c>
      <c r="AO216" s="153">
        <f>$C216*INDEX(Curves!$BI$8:$BI$68,AO$4-$B216+1)</f>
        <v/>
      </c>
      <c r="AP216" s="153">
        <f>$C216*INDEX(Curves!$BI$8:$BI$68,AP$4-$B216+1)</f>
        <v/>
      </c>
      <c r="AQ216" s="153">
        <f>$C216*INDEX(Curves!$BI$8:$BI$68,AQ$4-$B216+1)</f>
        <v/>
      </c>
      <c r="AR216" s="153">
        <f>$C216*INDEX(Curves!$BI$8:$BI$68,AR$4-$B216+1)</f>
        <v/>
      </c>
      <c r="AS216" s="153">
        <f>$C216*INDEX(Curves!$BI$8:$BI$68,AS$4-$B216+1)</f>
        <v/>
      </c>
      <c r="AT216" s="153">
        <f>$C216*INDEX(Curves!$BI$8:$BI$68,AT$4-$B216+1)</f>
        <v/>
      </c>
      <c r="AU216" s="153">
        <f>$C216*INDEX(Curves!$BI$8:$BI$68,AU$4-$B216+1)</f>
        <v/>
      </c>
      <c r="AV216" s="153">
        <f>$C216*INDEX(Curves!$BI$8:$BI$68,AV$4-$B216+1)</f>
        <v/>
      </c>
      <c r="AW216" s="153">
        <f>$C216*INDEX(Curves!$BI$8:$BI$68,AW$4-$B216+1)</f>
        <v/>
      </c>
      <c r="AX216" s="153">
        <f>$C216*INDEX(Curves!$BI$8:$BI$68,AX$4-$B216+1)</f>
        <v/>
      </c>
      <c r="AY216" s="153">
        <f>$C216*INDEX(Curves!$BI$8:$BI$68,AY$4-$B216+1)</f>
        <v/>
      </c>
      <c r="AZ216" s="153">
        <f>$C216*INDEX(Curves!$BI$8:$BI$68,AZ$4-$B216+1)</f>
        <v/>
      </c>
      <c r="BA216" s="153">
        <f>$C216*INDEX(Curves!$BI$8:$BI$68,BA$4-$B216+1)</f>
        <v/>
      </c>
      <c r="BB216" s="153">
        <f>$C216*INDEX(Curves!$BI$8:$BI$68,BB$4-$B216+1)</f>
        <v/>
      </c>
      <c r="BC216" s="153">
        <f>$C216*INDEX(Curves!$BI$8:$BI$68,BC$4-$B216+1)</f>
        <v/>
      </c>
      <c r="BD216" s="153">
        <f>$C216*INDEX(Curves!$BI$8:$BI$68,BD$4-$B216+1)</f>
        <v/>
      </c>
      <c r="BE216" s="153">
        <f>$C216*INDEX(Curves!$BI$8:$BI$68,BE$4-$B216+1)</f>
        <v/>
      </c>
      <c r="BF216" s="153">
        <f>$C216*INDEX(Curves!$BI$8:$BI$68,BF$4-$B216+1)</f>
        <v/>
      </c>
      <c r="BG216" s="153">
        <f>$C216*INDEX(Curves!$BI$8:$BI$68,BG$4-$B216+1)</f>
        <v/>
      </c>
      <c r="BH216" s="153">
        <f>$C216*INDEX(Curves!$BI$8:$BI$68,BH$4-$B216+1)</f>
        <v/>
      </c>
      <c r="BI216" s="153">
        <f>$C216*INDEX(Curves!$BI$8:$BI$68,BI$4-$B216+1)</f>
        <v/>
      </c>
      <c r="BJ216" s="153">
        <f>$C216*INDEX(Curves!$BI$8:$BI$68,BJ$4-$B216+1)</f>
        <v/>
      </c>
      <c r="BK216" s="153">
        <f>$C216*INDEX(Curves!$BI$8:$BI$68,BK$4-$B216+1)</f>
        <v/>
      </c>
      <c r="BL216" s="153">
        <f>$C216*INDEX(Curves!$BI$8:$BI$68,BL$4-$B216+1)</f>
        <v/>
      </c>
    </row>
    <row r="217">
      <c r="A217" s="147" t="inlineStr">
        <is>
          <t>Cohort month 19</t>
        </is>
      </c>
      <c r="B217" s="147" t="n">
        <v>19</v>
      </c>
      <c r="C217" s="41">
        <f>INDEX(Ops!$E$110:$BL$110,1,$B217)</f>
        <v/>
      </c>
      <c r="X217" s="153">
        <f>$C217*INDEX(Curves!$BI$8:$BI$68,X$4-$B217+1)</f>
        <v/>
      </c>
      <c r="Y217" s="153">
        <f>$C217*INDEX(Curves!$BI$8:$BI$68,Y$4-$B217+1)</f>
        <v/>
      </c>
      <c r="Z217" s="153">
        <f>$C217*INDEX(Curves!$BI$8:$BI$68,Z$4-$B217+1)</f>
        <v/>
      </c>
      <c r="AA217" s="153">
        <f>$C217*INDEX(Curves!$BI$8:$BI$68,AA$4-$B217+1)</f>
        <v/>
      </c>
      <c r="AB217" s="153">
        <f>$C217*INDEX(Curves!$BI$8:$BI$68,AB$4-$B217+1)</f>
        <v/>
      </c>
      <c r="AC217" s="153">
        <f>$C217*INDEX(Curves!$BI$8:$BI$68,AC$4-$B217+1)</f>
        <v/>
      </c>
      <c r="AD217" s="153">
        <f>$C217*INDEX(Curves!$BI$8:$BI$68,AD$4-$B217+1)</f>
        <v/>
      </c>
      <c r="AE217" s="153">
        <f>$C217*INDEX(Curves!$BI$8:$BI$68,AE$4-$B217+1)</f>
        <v/>
      </c>
      <c r="AF217" s="153">
        <f>$C217*INDEX(Curves!$BI$8:$BI$68,AF$4-$B217+1)</f>
        <v/>
      </c>
      <c r="AG217" s="153">
        <f>$C217*INDEX(Curves!$BI$8:$BI$68,AG$4-$B217+1)</f>
        <v/>
      </c>
      <c r="AH217" s="153">
        <f>$C217*INDEX(Curves!$BI$8:$BI$68,AH$4-$B217+1)</f>
        <v/>
      </c>
      <c r="AI217" s="153">
        <f>$C217*INDEX(Curves!$BI$8:$BI$68,AI$4-$B217+1)</f>
        <v/>
      </c>
      <c r="AJ217" s="153">
        <f>$C217*INDEX(Curves!$BI$8:$BI$68,AJ$4-$B217+1)</f>
        <v/>
      </c>
      <c r="AK217" s="153">
        <f>$C217*INDEX(Curves!$BI$8:$BI$68,AK$4-$B217+1)</f>
        <v/>
      </c>
      <c r="AL217" s="153">
        <f>$C217*INDEX(Curves!$BI$8:$BI$68,AL$4-$B217+1)</f>
        <v/>
      </c>
      <c r="AM217" s="153">
        <f>$C217*INDEX(Curves!$BI$8:$BI$68,AM$4-$B217+1)</f>
        <v/>
      </c>
      <c r="AN217" s="153">
        <f>$C217*INDEX(Curves!$BI$8:$BI$68,AN$4-$B217+1)</f>
        <v/>
      </c>
      <c r="AO217" s="153">
        <f>$C217*INDEX(Curves!$BI$8:$BI$68,AO$4-$B217+1)</f>
        <v/>
      </c>
      <c r="AP217" s="153">
        <f>$C217*INDEX(Curves!$BI$8:$BI$68,AP$4-$B217+1)</f>
        <v/>
      </c>
      <c r="AQ217" s="153">
        <f>$C217*INDEX(Curves!$BI$8:$BI$68,AQ$4-$B217+1)</f>
        <v/>
      </c>
      <c r="AR217" s="153">
        <f>$C217*INDEX(Curves!$BI$8:$BI$68,AR$4-$B217+1)</f>
        <v/>
      </c>
      <c r="AS217" s="153">
        <f>$C217*INDEX(Curves!$BI$8:$BI$68,AS$4-$B217+1)</f>
        <v/>
      </c>
      <c r="AT217" s="153">
        <f>$C217*INDEX(Curves!$BI$8:$BI$68,AT$4-$B217+1)</f>
        <v/>
      </c>
      <c r="AU217" s="153">
        <f>$C217*INDEX(Curves!$BI$8:$BI$68,AU$4-$B217+1)</f>
        <v/>
      </c>
      <c r="AV217" s="153">
        <f>$C217*INDEX(Curves!$BI$8:$BI$68,AV$4-$B217+1)</f>
        <v/>
      </c>
      <c r="AW217" s="153">
        <f>$C217*INDEX(Curves!$BI$8:$BI$68,AW$4-$B217+1)</f>
        <v/>
      </c>
      <c r="AX217" s="153">
        <f>$C217*INDEX(Curves!$BI$8:$BI$68,AX$4-$B217+1)</f>
        <v/>
      </c>
      <c r="AY217" s="153">
        <f>$C217*INDEX(Curves!$BI$8:$BI$68,AY$4-$B217+1)</f>
        <v/>
      </c>
      <c r="AZ217" s="153">
        <f>$C217*INDEX(Curves!$BI$8:$BI$68,AZ$4-$B217+1)</f>
        <v/>
      </c>
      <c r="BA217" s="153">
        <f>$C217*INDEX(Curves!$BI$8:$BI$68,BA$4-$B217+1)</f>
        <v/>
      </c>
      <c r="BB217" s="153">
        <f>$C217*INDEX(Curves!$BI$8:$BI$68,BB$4-$B217+1)</f>
        <v/>
      </c>
      <c r="BC217" s="153">
        <f>$C217*INDEX(Curves!$BI$8:$BI$68,BC$4-$B217+1)</f>
        <v/>
      </c>
      <c r="BD217" s="153">
        <f>$C217*INDEX(Curves!$BI$8:$BI$68,BD$4-$B217+1)</f>
        <v/>
      </c>
      <c r="BE217" s="153">
        <f>$C217*INDEX(Curves!$BI$8:$BI$68,BE$4-$B217+1)</f>
        <v/>
      </c>
      <c r="BF217" s="153">
        <f>$C217*INDEX(Curves!$BI$8:$BI$68,BF$4-$B217+1)</f>
        <v/>
      </c>
      <c r="BG217" s="153">
        <f>$C217*INDEX(Curves!$BI$8:$BI$68,BG$4-$B217+1)</f>
        <v/>
      </c>
      <c r="BH217" s="153">
        <f>$C217*INDEX(Curves!$BI$8:$BI$68,BH$4-$B217+1)</f>
        <v/>
      </c>
      <c r="BI217" s="153">
        <f>$C217*INDEX(Curves!$BI$8:$BI$68,BI$4-$B217+1)</f>
        <v/>
      </c>
      <c r="BJ217" s="153">
        <f>$C217*INDEX(Curves!$BI$8:$BI$68,BJ$4-$B217+1)</f>
        <v/>
      </c>
      <c r="BK217" s="153">
        <f>$C217*INDEX(Curves!$BI$8:$BI$68,BK$4-$B217+1)</f>
        <v/>
      </c>
      <c r="BL217" s="153">
        <f>$C217*INDEX(Curves!$BI$8:$BI$68,BL$4-$B217+1)</f>
        <v/>
      </c>
    </row>
    <row r="218">
      <c r="A218" s="147" t="inlineStr">
        <is>
          <t>Cohort month 20</t>
        </is>
      </c>
      <c r="B218" s="147" t="n">
        <v>20</v>
      </c>
      <c r="C218" s="41">
        <f>INDEX(Ops!$E$110:$BL$110,1,$B218)</f>
        <v/>
      </c>
      <c r="Y218" s="153">
        <f>$C218*INDEX(Curves!$BI$8:$BI$68,Y$4-$B218+1)</f>
        <v/>
      </c>
      <c r="Z218" s="153">
        <f>$C218*INDEX(Curves!$BI$8:$BI$68,Z$4-$B218+1)</f>
        <v/>
      </c>
      <c r="AA218" s="153">
        <f>$C218*INDEX(Curves!$BI$8:$BI$68,AA$4-$B218+1)</f>
        <v/>
      </c>
      <c r="AB218" s="153">
        <f>$C218*INDEX(Curves!$BI$8:$BI$68,AB$4-$B218+1)</f>
        <v/>
      </c>
      <c r="AC218" s="153">
        <f>$C218*INDEX(Curves!$BI$8:$BI$68,AC$4-$B218+1)</f>
        <v/>
      </c>
      <c r="AD218" s="153">
        <f>$C218*INDEX(Curves!$BI$8:$BI$68,AD$4-$B218+1)</f>
        <v/>
      </c>
      <c r="AE218" s="153">
        <f>$C218*INDEX(Curves!$BI$8:$BI$68,AE$4-$B218+1)</f>
        <v/>
      </c>
      <c r="AF218" s="153">
        <f>$C218*INDEX(Curves!$BI$8:$BI$68,AF$4-$B218+1)</f>
        <v/>
      </c>
      <c r="AG218" s="153">
        <f>$C218*INDEX(Curves!$BI$8:$BI$68,AG$4-$B218+1)</f>
        <v/>
      </c>
      <c r="AH218" s="153">
        <f>$C218*INDEX(Curves!$BI$8:$BI$68,AH$4-$B218+1)</f>
        <v/>
      </c>
      <c r="AI218" s="153">
        <f>$C218*INDEX(Curves!$BI$8:$BI$68,AI$4-$B218+1)</f>
        <v/>
      </c>
      <c r="AJ218" s="153">
        <f>$C218*INDEX(Curves!$BI$8:$BI$68,AJ$4-$B218+1)</f>
        <v/>
      </c>
      <c r="AK218" s="153">
        <f>$C218*INDEX(Curves!$BI$8:$BI$68,AK$4-$B218+1)</f>
        <v/>
      </c>
      <c r="AL218" s="153">
        <f>$C218*INDEX(Curves!$BI$8:$BI$68,AL$4-$B218+1)</f>
        <v/>
      </c>
      <c r="AM218" s="153">
        <f>$C218*INDEX(Curves!$BI$8:$BI$68,AM$4-$B218+1)</f>
        <v/>
      </c>
      <c r="AN218" s="153">
        <f>$C218*INDEX(Curves!$BI$8:$BI$68,AN$4-$B218+1)</f>
        <v/>
      </c>
      <c r="AO218" s="153">
        <f>$C218*INDEX(Curves!$BI$8:$BI$68,AO$4-$B218+1)</f>
        <v/>
      </c>
      <c r="AP218" s="153">
        <f>$C218*INDEX(Curves!$BI$8:$BI$68,AP$4-$B218+1)</f>
        <v/>
      </c>
      <c r="AQ218" s="153">
        <f>$C218*INDEX(Curves!$BI$8:$BI$68,AQ$4-$B218+1)</f>
        <v/>
      </c>
      <c r="AR218" s="153">
        <f>$C218*INDEX(Curves!$BI$8:$BI$68,AR$4-$B218+1)</f>
        <v/>
      </c>
      <c r="AS218" s="153">
        <f>$C218*INDEX(Curves!$BI$8:$BI$68,AS$4-$B218+1)</f>
        <v/>
      </c>
      <c r="AT218" s="153">
        <f>$C218*INDEX(Curves!$BI$8:$BI$68,AT$4-$B218+1)</f>
        <v/>
      </c>
      <c r="AU218" s="153">
        <f>$C218*INDEX(Curves!$BI$8:$BI$68,AU$4-$B218+1)</f>
        <v/>
      </c>
      <c r="AV218" s="153">
        <f>$C218*INDEX(Curves!$BI$8:$BI$68,AV$4-$B218+1)</f>
        <v/>
      </c>
      <c r="AW218" s="153">
        <f>$C218*INDEX(Curves!$BI$8:$BI$68,AW$4-$B218+1)</f>
        <v/>
      </c>
      <c r="AX218" s="153">
        <f>$C218*INDEX(Curves!$BI$8:$BI$68,AX$4-$B218+1)</f>
        <v/>
      </c>
      <c r="AY218" s="153">
        <f>$C218*INDEX(Curves!$BI$8:$BI$68,AY$4-$B218+1)</f>
        <v/>
      </c>
      <c r="AZ218" s="153">
        <f>$C218*INDEX(Curves!$BI$8:$BI$68,AZ$4-$B218+1)</f>
        <v/>
      </c>
      <c r="BA218" s="153">
        <f>$C218*INDEX(Curves!$BI$8:$BI$68,BA$4-$B218+1)</f>
        <v/>
      </c>
      <c r="BB218" s="153">
        <f>$C218*INDEX(Curves!$BI$8:$BI$68,BB$4-$B218+1)</f>
        <v/>
      </c>
      <c r="BC218" s="153">
        <f>$C218*INDEX(Curves!$BI$8:$BI$68,BC$4-$B218+1)</f>
        <v/>
      </c>
      <c r="BD218" s="153">
        <f>$C218*INDEX(Curves!$BI$8:$BI$68,BD$4-$B218+1)</f>
        <v/>
      </c>
      <c r="BE218" s="153">
        <f>$C218*INDEX(Curves!$BI$8:$BI$68,BE$4-$B218+1)</f>
        <v/>
      </c>
      <c r="BF218" s="153">
        <f>$C218*INDEX(Curves!$BI$8:$BI$68,BF$4-$B218+1)</f>
        <v/>
      </c>
      <c r="BG218" s="153">
        <f>$C218*INDEX(Curves!$BI$8:$BI$68,BG$4-$B218+1)</f>
        <v/>
      </c>
      <c r="BH218" s="153">
        <f>$C218*INDEX(Curves!$BI$8:$BI$68,BH$4-$B218+1)</f>
        <v/>
      </c>
      <c r="BI218" s="153">
        <f>$C218*INDEX(Curves!$BI$8:$BI$68,BI$4-$B218+1)</f>
        <v/>
      </c>
      <c r="BJ218" s="153">
        <f>$C218*INDEX(Curves!$BI$8:$BI$68,BJ$4-$B218+1)</f>
        <v/>
      </c>
      <c r="BK218" s="153">
        <f>$C218*INDEX(Curves!$BI$8:$BI$68,BK$4-$B218+1)</f>
        <v/>
      </c>
      <c r="BL218" s="153">
        <f>$C218*INDEX(Curves!$BI$8:$BI$68,BL$4-$B218+1)</f>
        <v/>
      </c>
    </row>
    <row r="219">
      <c r="A219" s="147" t="inlineStr">
        <is>
          <t>Cohort month 21</t>
        </is>
      </c>
      <c r="B219" s="147" t="n">
        <v>21</v>
      </c>
      <c r="C219" s="41">
        <f>INDEX(Ops!$E$110:$BL$110,1,$B219)</f>
        <v/>
      </c>
      <c r="Z219" s="153">
        <f>$C219*INDEX(Curves!$BI$8:$BI$68,Z$4-$B219+1)</f>
        <v/>
      </c>
      <c r="AA219" s="153">
        <f>$C219*INDEX(Curves!$BI$8:$BI$68,AA$4-$B219+1)</f>
        <v/>
      </c>
      <c r="AB219" s="153">
        <f>$C219*INDEX(Curves!$BI$8:$BI$68,AB$4-$B219+1)</f>
        <v/>
      </c>
      <c r="AC219" s="153">
        <f>$C219*INDEX(Curves!$BI$8:$BI$68,AC$4-$B219+1)</f>
        <v/>
      </c>
      <c r="AD219" s="153">
        <f>$C219*INDEX(Curves!$BI$8:$BI$68,AD$4-$B219+1)</f>
        <v/>
      </c>
      <c r="AE219" s="153">
        <f>$C219*INDEX(Curves!$BI$8:$BI$68,AE$4-$B219+1)</f>
        <v/>
      </c>
      <c r="AF219" s="153">
        <f>$C219*INDEX(Curves!$BI$8:$BI$68,AF$4-$B219+1)</f>
        <v/>
      </c>
      <c r="AG219" s="153">
        <f>$C219*INDEX(Curves!$BI$8:$BI$68,AG$4-$B219+1)</f>
        <v/>
      </c>
      <c r="AH219" s="153">
        <f>$C219*INDEX(Curves!$BI$8:$BI$68,AH$4-$B219+1)</f>
        <v/>
      </c>
      <c r="AI219" s="153">
        <f>$C219*INDEX(Curves!$BI$8:$BI$68,AI$4-$B219+1)</f>
        <v/>
      </c>
      <c r="AJ219" s="153">
        <f>$C219*INDEX(Curves!$BI$8:$BI$68,AJ$4-$B219+1)</f>
        <v/>
      </c>
      <c r="AK219" s="153">
        <f>$C219*INDEX(Curves!$BI$8:$BI$68,AK$4-$B219+1)</f>
        <v/>
      </c>
      <c r="AL219" s="153">
        <f>$C219*INDEX(Curves!$BI$8:$BI$68,AL$4-$B219+1)</f>
        <v/>
      </c>
      <c r="AM219" s="153">
        <f>$C219*INDEX(Curves!$BI$8:$BI$68,AM$4-$B219+1)</f>
        <v/>
      </c>
      <c r="AN219" s="153">
        <f>$C219*INDEX(Curves!$BI$8:$BI$68,AN$4-$B219+1)</f>
        <v/>
      </c>
      <c r="AO219" s="153">
        <f>$C219*INDEX(Curves!$BI$8:$BI$68,AO$4-$B219+1)</f>
        <v/>
      </c>
      <c r="AP219" s="153">
        <f>$C219*INDEX(Curves!$BI$8:$BI$68,AP$4-$B219+1)</f>
        <v/>
      </c>
      <c r="AQ219" s="153">
        <f>$C219*INDEX(Curves!$BI$8:$BI$68,AQ$4-$B219+1)</f>
        <v/>
      </c>
      <c r="AR219" s="153">
        <f>$C219*INDEX(Curves!$BI$8:$BI$68,AR$4-$B219+1)</f>
        <v/>
      </c>
      <c r="AS219" s="153">
        <f>$C219*INDEX(Curves!$BI$8:$BI$68,AS$4-$B219+1)</f>
        <v/>
      </c>
      <c r="AT219" s="153">
        <f>$C219*INDEX(Curves!$BI$8:$BI$68,AT$4-$B219+1)</f>
        <v/>
      </c>
      <c r="AU219" s="153">
        <f>$C219*INDEX(Curves!$BI$8:$BI$68,AU$4-$B219+1)</f>
        <v/>
      </c>
      <c r="AV219" s="153">
        <f>$C219*INDEX(Curves!$BI$8:$BI$68,AV$4-$B219+1)</f>
        <v/>
      </c>
      <c r="AW219" s="153">
        <f>$C219*INDEX(Curves!$BI$8:$BI$68,AW$4-$B219+1)</f>
        <v/>
      </c>
      <c r="AX219" s="153">
        <f>$C219*INDEX(Curves!$BI$8:$BI$68,AX$4-$B219+1)</f>
        <v/>
      </c>
      <c r="AY219" s="153">
        <f>$C219*INDEX(Curves!$BI$8:$BI$68,AY$4-$B219+1)</f>
        <v/>
      </c>
      <c r="AZ219" s="153">
        <f>$C219*INDEX(Curves!$BI$8:$BI$68,AZ$4-$B219+1)</f>
        <v/>
      </c>
      <c r="BA219" s="153">
        <f>$C219*INDEX(Curves!$BI$8:$BI$68,BA$4-$B219+1)</f>
        <v/>
      </c>
      <c r="BB219" s="153">
        <f>$C219*INDEX(Curves!$BI$8:$BI$68,BB$4-$B219+1)</f>
        <v/>
      </c>
      <c r="BC219" s="153">
        <f>$C219*INDEX(Curves!$BI$8:$BI$68,BC$4-$B219+1)</f>
        <v/>
      </c>
      <c r="BD219" s="153">
        <f>$C219*INDEX(Curves!$BI$8:$BI$68,BD$4-$B219+1)</f>
        <v/>
      </c>
      <c r="BE219" s="153">
        <f>$C219*INDEX(Curves!$BI$8:$BI$68,BE$4-$B219+1)</f>
        <v/>
      </c>
      <c r="BF219" s="153">
        <f>$C219*INDEX(Curves!$BI$8:$BI$68,BF$4-$B219+1)</f>
        <v/>
      </c>
      <c r="BG219" s="153">
        <f>$C219*INDEX(Curves!$BI$8:$BI$68,BG$4-$B219+1)</f>
        <v/>
      </c>
      <c r="BH219" s="153">
        <f>$C219*INDEX(Curves!$BI$8:$BI$68,BH$4-$B219+1)</f>
        <v/>
      </c>
      <c r="BI219" s="153">
        <f>$C219*INDEX(Curves!$BI$8:$BI$68,BI$4-$B219+1)</f>
        <v/>
      </c>
      <c r="BJ219" s="153">
        <f>$C219*INDEX(Curves!$BI$8:$BI$68,BJ$4-$B219+1)</f>
        <v/>
      </c>
      <c r="BK219" s="153">
        <f>$C219*INDEX(Curves!$BI$8:$BI$68,BK$4-$B219+1)</f>
        <v/>
      </c>
      <c r="BL219" s="153">
        <f>$C219*INDEX(Curves!$BI$8:$BI$68,BL$4-$B219+1)</f>
        <v/>
      </c>
    </row>
    <row r="220">
      <c r="A220" s="147" t="inlineStr">
        <is>
          <t>Cohort month 22</t>
        </is>
      </c>
      <c r="B220" s="147" t="n">
        <v>22</v>
      </c>
      <c r="C220" s="41">
        <f>INDEX(Ops!$E$110:$BL$110,1,$B220)</f>
        <v/>
      </c>
      <c r="AA220" s="153">
        <f>$C220*INDEX(Curves!$BI$8:$BI$68,AA$4-$B220+1)</f>
        <v/>
      </c>
      <c r="AB220" s="153">
        <f>$C220*INDEX(Curves!$BI$8:$BI$68,AB$4-$B220+1)</f>
        <v/>
      </c>
      <c r="AC220" s="153">
        <f>$C220*INDEX(Curves!$BI$8:$BI$68,AC$4-$B220+1)</f>
        <v/>
      </c>
      <c r="AD220" s="153">
        <f>$C220*INDEX(Curves!$BI$8:$BI$68,AD$4-$B220+1)</f>
        <v/>
      </c>
      <c r="AE220" s="153">
        <f>$C220*INDEX(Curves!$BI$8:$BI$68,AE$4-$B220+1)</f>
        <v/>
      </c>
      <c r="AF220" s="153">
        <f>$C220*INDEX(Curves!$BI$8:$BI$68,AF$4-$B220+1)</f>
        <v/>
      </c>
      <c r="AG220" s="153">
        <f>$C220*INDEX(Curves!$BI$8:$BI$68,AG$4-$B220+1)</f>
        <v/>
      </c>
      <c r="AH220" s="153">
        <f>$C220*INDEX(Curves!$BI$8:$BI$68,AH$4-$B220+1)</f>
        <v/>
      </c>
      <c r="AI220" s="153">
        <f>$C220*INDEX(Curves!$BI$8:$BI$68,AI$4-$B220+1)</f>
        <v/>
      </c>
      <c r="AJ220" s="153">
        <f>$C220*INDEX(Curves!$BI$8:$BI$68,AJ$4-$B220+1)</f>
        <v/>
      </c>
      <c r="AK220" s="153">
        <f>$C220*INDEX(Curves!$BI$8:$BI$68,AK$4-$B220+1)</f>
        <v/>
      </c>
      <c r="AL220" s="153">
        <f>$C220*INDEX(Curves!$BI$8:$BI$68,AL$4-$B220+1)</f>
        <v/>
      </c>
      <c r="AM220" s="153">
        <f>$C220*INDEX(Curves!$BI$8:$BI$68,AM$4-$B220+1)</f>
        <v/>
      </c>
      <c r="AN220" s="153">
        <f>$C220*INDEX(Curves!$BI$8:$BI$68,AN$4-$B220+1)</f>
        <v/>
      </c>
      <c r="AO220" s="153">
        <f>$C220*INDEX(Curves!$BI$8:$BI$68,AO$4-$B220+1)</f>
        <v/>
      </c>
      <c r="AP220" s="153">
        <f>$C220*INDEX(Curves!$BI$8:$BI$68,AP$4-$B220+1)</f>
        <v/>
      </c>
      <c r="AQ220" s="153">
        <f>$C220*INDEX(Curves!$BI$8:$BI$68,AQ$4-$B220+1)</f>
        <v/>
      </c>
      <c r="AR220" s="153">
        <f>$C220*INDEX(Curves!$BI$8:$BI$68,AR$4-$B220+1)</f>
        <v/>
      </c>
      <c r="AS220" s="153">
        <f>$C220*INDEX(Curves!$BI$8:$BI$68,AS$4-$B220+1)</f>
        <v/>
      </c>
      <c r="AT220" s="153">
        <f>$C220*INDEX(Curves!$BI$8:$BI$68,AT$4-$B220+1)</f>
        <v/>
      </c>
      <c r="AU220" s="153">
        <f>$C220*INDEX(Curves!$BI$8:$BI$68,AU$4-$B220+1)</f>
        <v/>
      </c>
      <c r="AV220" s="153">
        <f>$C220*INDEX(Curves!$BI$8:$BI$68,AV$4-$B220+1)</f>
        <v/>
      </c>
      <c r="AW220" s="153">
        <f>$C220*INDEX(Curves!$BI$8:$BI$68,AW$4-$B220+1)</f>
        <v/>
      </c>
      <c r="AX220" s="153">
        <f>$C220*INDEX(Curves!$BI$8:$BI$68,AX$4-$B220+1)</f>
        <v/>
      </c>
      <c r="AY220" s="153">
        <f>$C220*INDEX(Curves!$BI$8:$BI$68,AY$4-$B220+1)</f>
        <v/>
      </c>
      <c r="AZ220" s="153">
        <f>$C220*INDEX(Curves!$BI$8:$BI$68,AZ$4-$B220+1)</f>
        <v/>
      </c>
      <c r="BA220" s="153">
        <f>$C220*INDEX(Curves!$BI$8:$BI$68,BA$4-$B220+1)</f>
        <v/>
      </c>
      <c r="BB220" s="153">
        <f>$C220*INDEX(Curves!$BI$8:$BI$68,BB$4-$B220+1)</f>
        <v/>
      </c>
      <c r="BC220" s="153">
        <f>$C220*INDEX(Curves!$BI$8:$BI$68,BC$4-$B220+1)</f>
        <v/>
      </c>
      <c r="BD220" s="153">
        <f>$C220*INDEX(Curves!$BI$8:$BI$68,BD$4-$B220+1)</f>
        <v/>
      </c>
      <c r="BE220" s="153">
        <f>$C220*INDEX(Curves!$BI$8:$BI$68,BE$4-$B220+1)</f>
        <v/>
      </c>
      <c r="BF220" s="153">
        <f>$C220*INDEX(Curves!$BI$8:$BI$68,BF$4-$B220+1)</f>
        <v/>
      </c>
      <c r="BG220" s="153">
        <f>$C220*INDEX(Curves!$BI$8:$BI$68,BG$4-$B220+1)</f>
        <v/>
      </c>
      <c r="BH220" s="153">
        <f>$C220*INDEX(Curves!$BI$8:$BI$68,BH$4-$B220+1)</f>
        <v/>
      </c>
      <c r="BI220" s="153">
        <f>$C220*INDEX(Curves!$BI$8:$BI$68,BI$4-$B220+1)</f>
        <v/>
      </c>
      <c r="BJ220" s="153">
        <f>$C220*INDEX(Curves!$BI$8:$BI$68,BJ$4-$B220+1)</f>
        <v/>
      </c>
      <c r="BK220" s="153">
        <f>$C220*INDEX(Curves!$BI$8:$BI$68,BK$4-$B220+1)</f>
        <v/>
      </c>
      <c r="BL220" s="153">
        <f>$C220*INDEX(Curves!$BI$8:$BI$68,BL$4-$B220+1)</f>
        <v/>
      </c>
    </row>
    <row r="221">
      <c r="A221" s="147" t="inlineStr">
        <is>
          <t>Cohort month 23</t>
        </is>
      </c>
      <c r="B221" s="147" t="n">
        <v>23</v>
      </c>
      <c r="C221" s="41">
        <f>INDEX(Ops!$E$110:$BL$110,1,$B221)</f>
        <v/>
      </c>
      <c r="AB221" s="153">
        <f>$C221*INDEX(Curves!$BI$8:$BI$68,AB$4-$B221+1)</f>
        <v/>
      </c>
      <c r="AC221" s="153">
        <f>$C221*INDEX(Curves!$BI$8:$BI$68,AC$4-$B221+1)</f>
        <v/>
      </c>
      <c r="AD221" s="153">
        <f>$C221*INDEX(Curves!$BI$8:$BI$68,AD$4-$B221+1)</f>
        <v/>
      </c>
      <c r="AE221" s="153">
        <f>$C221*INDEX(Curves!$BI$8:$BI$68,AE$4-$B221+1)</f>
        <v/>
      </c>
      <c r="AF221" s="153">
        <f>$C221*INDEX(Curves!$BI$8:$BI$68,AF$4-$B221+1)</f>
        <v/>
      </c>
      <c r="AG221" s="153">
        <f>$C221*INDEX(Curves!$BI$8:$BI$68,AG$4-$B221+1)</f>
        <v/>
      </c>
      <c r="AH221" s="153">
        <f>$C221*INDEX(Curves!$BI$8:$BI$68,AH$4-$B221+1)</f>
        <v/>
      </c>
      <c r="AI221" s="153">
        <f>$C221*INDEX(Curves!$BI$8:$BI$68,AI$4-$B221+1)</f>
        <v/>
      </c>
      <c r="AJ221" s="153">
        <f>$C221*INDEX(Curves!$BI$8:$BI$68,AJ$4-$B221+1)</f>
        <v/>
      </c>
      <c r="AK221" s="153">
        <f>$C221*INDEX(Curves!$BI$8:$BI$68,AK$4-$B221+1)</f>
        <v/>
      </c>
      <c r="AL221" s="153">
        <f>$C221*INDEX(Curves!$BI$8:$BI$68,AL$4-$B221+1)</f>
        <v/>
      </c>
      <c r="AM221" s="153">
        <f>$C221*INDEX(Curves!$BI$8:$BI$68,AM$4-$B221+1)</f>
        <v/>
      </c>
      <c r="AN221" s="153">
        <f>$C221*INDEX(Curves!$BI$8:$BI$68,AN$4-$B221+1)</f>
        <v/>
      </c>
      <c r="AO221" s="153">
        <f>$C221*INDEX(Curves!$BI$8:$BI$68,AO$4-$B221+1)</f>
        <v/>
      </c>
      <c r="AP221" s="153">
        <f>$C221*INDEX(Curves!$BI$8:$BI$68,AP$4-$B221+1)</f>
        <v/>
      </c>
      <c r="AQ221" s="153">
        <f>$C221*INDEX(Curves!$BI$8:$BI$68,AQ$4-$B221+1)</f>
        <v/>
      </c>
      <c r="AR221" s="153">
        <f>$C221*INDEX(Curves!$BI$8:$BI$68,AR$4-$B221+1)</f>
        <v/>
      </c>
      <c r="AS221" s="153">
        <f>$C221*INDEX(Curves!$BI$8:$BI$68,AS$4-$B221+1)</f>
        <v/>
      </c>
      <c r="AT221" s="153">
        <f>$C221*INDEX(Curves!$BI$8:$BI$68,AT$4-$B221+1)</f>
        <v/>
      </c>
      <c r="AU221" s="153">
        <f>$C221*INDEX(Curves!$BI$8:$BI$68,AU$4-$B221+1)</f>
        <v/>
      </c>
      <c r="AV221" s="153">
        <f>$C221*INDEX(Curves!$BI$8:$BI$68,AV$4-$B221+1)</f>
        <v/>
      </c>
      <c r="AW221" s="153">
        <f>$C221*INDEX(Curves!$BI$8:$BI$68,AW$4-$B221+1)</f>
        <v/>
      </c>
      <c r="AX221" s="153">
        <f>$C221*INDEX(Curves!$BI$8:$BI$68,AX$4-$B221+1)</f>
        <v/>
      </c>
      <c r="AY221" s="153">
        <f>$C221*INDEX(Curves!$BI$8:$BI$68,AY$4-$B221+1)</f>
        <v/>
      </c>
      <c r="AZ221" s="153">
        <f>$C221*INDEX(Curves!$BI$8:$BI$68,AZ$4-$B221+1)</f>
        <v/>
      </c>
      <c r="BA221" s="153">
        <f>$C221*INDEX(Curves!$BI$8:$BI$68,BA$4-$B221+1)</f>
        <v/>
      </c>
      <c r="BB221" s="153">
        <f>$C221*INDEX(Curves!$BI$8:$BI$68,BB$4-$B221+1)</f>
        <v/>
      </c>
      <c r="BC221" s="153">
        <f>$C221*INDEX(Curves!$BI$8:$BI$68,BC$4-$B221+1)</f>
        <v/>
      </c>
      <c r="BD221" s="153">
        <f>$C221*INDEX(Curves!$BI$8:$BI$68,BD$4-$B221+1)</f>
        <v/>
      </c>
      <c r="BE221" s="153">
        <f>$C221*INDEX(Curves!$BI$8:$BI$68,BE$4-$B221+1)</f>
        <v/>
      </c>
      <c r="BF221" s="153">
        <f>$C221*INDEX(Curves!$BI$8:$BI$68,BF$4-$B221+1)</f>
        <v/>
      </c>
      <c r="BG221" s="153">
        <f>$C221*INDEX(Curves!$BI$8:$BI$68,BG$4-$B221+1)</f>
        <v/>
      </c>
      <c r="BH221" s="153">
        <f>$C221*INDEX(Curves!$BI$8:$BI$68,BH$4-$B221+1)</f>
        <v/>
      </c>
      <c r="BI221" s="153">
        <f>$C221*INDEX(Curves!$BI$8:$BI$68,BI$4-$B221+1)</f>
        <v/>
      </c>
      <c r="BJ221" s="153">
        <f>$C221*INDEX(Curves!$BI$8:$BI$68,BJ$4-$B221+1)</f>
        <v/>
      </c>
      <c r="BK221" s="153">
        <f>$C221*INDEX(Curves!$BI$8:$BI$68,BK$4-$B221+1)</f>
        <v/>
      </c>
      <c r="BL221" s="153">
        <f>$C221*INDEX(Curves!$BI$8:$BI$68,BL$4-$B221+1)</f>
        <v/>
      </c>
    </row>
    <row r="222">
      <c r="A222" s="147" t="inlineStr">
        <is>
          <t>Cohort month 24</t>
        </is>
      </c>
      <c r="B222" s="147" t="n">
        <v>24</v>
      </c>
      <c r="C222" s="41">
        <f>INDEX(Ops!$E$110:$BL$110,1,$B222)</f>
        <v/>
      </c>
      <c r="AC222" s="153">
        <f>$C222*INDEX(Curves!$BI$8:$BI$68,AC$4-$B222+1)</f>
        <v/>
      </c>
      <c r="AD222" s="153">
        <f>$C222*INDEX(Curves!$BI$8:$BI$68,AD$4-$B222+1)</f>
        <v/>
      </c>
      <c r="AE222" s="153">
        <f>$C222*INDEX(Curves!$BI$8:$BI$68,AE$4-$B222+1)</f>
        <v/>
      </c>
      <c r="AF222" s="153">
        <f>$C222*INDEX(Curves!$BI$8:$BI$68,AF$4-$B222+1)</f>
        <v/>
      </c>
      <c r="AG222" s="153">
        <f>$C222*INDEX(Curves!$BI$8:$BI$68,AG$4-$B222+1)</f>
        <v/>
      </c>
      <c r="AH222" s="153">
        <f>$C222*INDEX(Curves!$BI$8:$BI$68,AH$4-$B222+1)</f>
        <v/>
      </c>
      <c r="AI222" s="153">
        <f>$C222*INDEX(Curves!$BI$8:$BI$68,AI$4-$B222+1)</f>
        <v/>
      </c>
      <c r="AJ222" s="153">
        <f>$C222*INDEX(Curves!$BI$8:$BI$68,AJ$4-$B222+1)</f>
        <v/>
      </c>
      <c r="AK222" s="153">
        <f>$C222*INDEX(Curves!$BI$8:$BI$68,AK$4-$B222+1)</f>
        <v/>
      </c>
      <c r="AL222" s="153">
        <f>$C222*INDEX(Curves!$BI$8:$BI$68,AL$4-$B222+1)</f>
        <v/>
      </c>
      <c r="AM222" s="153">
        <f>$C222*INDEX(Curves!$BI$8:$BI$68,AM$4-$B222+1)</f>
        <v/>
      </c>
      <c r="AN222" s="153">
        <f>$C222*INDEX(Curves!$BI$8:$BI$68,AN$4-$B222+1)</f>
        <v/>
      </c>
      <c r="AO222" s="153">
        <f>$C222*INDEX(Curves!$BI$8:$BI$68,AO$4-$B222+1)</f>
        <v/>
      </c>
      <c r="AP222" s="153">
        <f>$C222*INDEX(Curves!$BI$8:$BI$68,AP$4-$B222+1)</f>
        <v/>
      </c>
      <c r="AQ222" s="153">
        <f>$C222*INDEX(Curves!$BI$8:$BI$68,AQ$4-$B222+1)</f>
        <v/>
      </c>
      <c r="AR222" s="153">
        <f>$C222*INDEX(Curves!$BI$8:$BI$68,AR$4-$B222+1)</f>
        <v/>
      </c>
      <c r="AS222" s="153">
        <f>$C222*INDEX(Curves!$BI$8:$BI$68,AS$4-$B222+1)</f>
        <v/>
      </c>
      <c r="AT222" s="153">
        <f>$C222*INDEX(Curves!$BI$8:$BI$68,AT$4-$B222+1)</f>
        <v/>
      </c>
      <c r="AU222" s="153">
        <f>$C222*INDEX(Curves!$BI$8:$BI$68,AU$4-$B222+1)</f>
        <v/>
      </c>
      <c r="AV222" s="153">
        <f>$C222*INDEX(Curves!$BI$8:$BI$68,AV$4-$B222+1)</f>
        <v/>
      </c>
      <c r="AW222" s="153">
        <f>$C222*INDEX(Curves!$BI$8:$BI$68,AW$4-$B222+1)</f>
        <v/>
      </c>
      <c r="AX222" s="153">
        <f>$C222*INDEX(Curves!$BI$8:$BI$68,AX$4-$B222+1)</f>
        <v/>
      </c>
      <c r="AY222" s="153">
        <f>$C222*INDEX(Curves!$BI$8:$BI$68,AY$4-$B222+1)</f>
        <v/>
      </c>
      <c r="AZ222" s="153">
        <f>$C222*INDEX(Curves!$BI$8:$BI$68,AZ$4-$B222+1)</f>
        <v/>
      </c>
      <c r="BA222" s="153">
        <f>$C222*INDEX(Curves!$BI$8:$BI$68,BA$4-$B222+1)</f>
        <v/>
      </c>
      <c r="BB222" s="153">
        <f>$C222*INDEX(Curves!$BI$8:$BI$68,BB$4-$B222+1)</f>
        <v/>
      </c>
      <c r="BC222" s="153">
        <f>$C222*INDEX(Curves!$BI$8:$BI$68,BC$4-$B222+1)</f>
        <v/>
      </c>
      <c r="BD222" s="153">
        <f>$C222*INDEX(Curves!$BI$8:$BI$68,BD$4-$B222+1)</f>
        <v/>
      </c>
      <c r="BE222" s="153">
        <f>$C222*INDEX(Curves!$BI$8:$BI$68,BE$4-$B222+1)</f>
        <v/>
      </c>
      <c r="BF222" s="153">
        <f>$C222*INDEX(Curves!$BI$8:$BI$68,BF$4-$B222+1)</f>
        <v/>
      </c>
      <c r="BG222" s="153">
        <f>$C222*INDEX(Curves!$BI$8:$BI$68,BG$4-$B222+1)</f>
        <v/>
      </c>
      <c r="BH222" s="153">
        <f>$C222*INDEX(Curves!$BI$8:$BI$68,BH$4-$B222+1)</f>
        <v/>
      </c>
      <c r="BI222" s="153">
        <f>$C222*INDEX(Curves!$BI$8:$BI$68,BI$4-$B222+1)</f>
        <v/>
      </c>
      <c r="BJ222" s="153">
        <f>$C222*INDEX(Curves!$BI$8:$BI$68,BJ$4-$B222+1)</f>
        <v/>
      </c>
      <c r="BK222" s="153">
        <f>$C222*INDEX(Curves!$BI$8:$BI$68,BK$4-$B222+1)</f>
        <v/>
      </c>
      <c r="BL222" s="153">
        <f>$C222*INDEX(Curves!$BI$8:$BI$68,BL$4-$B222+1)</f>
        <v/>
      </c>
    </row>
    <row r="223">
      <c r="A223" s="147" t="inlineStr">
        <is>
          <t>Cohort month 25</t>
        </is>
      </c>
      <c r="B223" s="147" t="n">
        <v>25</v>
      </c>
      <c r="C223" s="41">
        <f>INDEX(Ops!$E$110:$BL$110,1,$B223)</f>
        <v/>
      </c>
      <c r="AD223" s="153">
        <f>$C223*INDEX(Curves!$BI$8:$BI$68,AD$4-$B223+1)</f>
        <v/>
      </c>
      <c r="AE223" s="153">
        <f>$C223*INDEX(Curves!$BI$8:$BI$68,AE$4-$B223+1)</f>
        <v/>
      </c>
      <c r="AF223" s="153">
        <f>$C223*INDEX(Curves!$BI$8:$BI$68,AF$4-$B223+1)</f>
        <v/>
      </c>
      <c r="AG223" s="153">
        <f>$C223*INDEX(Curves!$BI$8:$BI$68,AG$4-$B223+1)</f>
        <v/>
      </c>
      <c r="AH223" s="153">
        <f>$C223*INDEX(Curves!$BI$8:$BI$68,AH$4-$B223+1)</f>
        <v/>
      </c>
      <c r="AI223" s="153">
        <f>$C223*INDEX(Curves!$BI$8:$BI$68,AI$4-$B223+1)</f>
        <v/>
      </c>
      <c r="AJ223" s="153">
        <f>$C223*INDEX(Curves!$BI$8:$BI$68,AJ$4-$B223+1)</f>
        <v/>
      </c>
      <c r="AK223" s="153">
        <f>$C223*INDEX(Curves!$BI$8:$BI$68,AK$4-$B223+1)</f>
        <v/>
      </c>
      <c r="AL223" s="153">
        <f>$C223*INDEX(Curves!$BI$8:$BI$68,AL$4-$B223+1)</f>
        <v/>
      </c>
      <c r="AM223" s="153">
        <f>$C223*INDEX(Curves!$BI$8:$BI$68,AM$4-$B223+1)</f>
        <v/>
      </c>
      <c r="AN223" s="153">
        <f>$C223*INDEX(Curves!$BI$8:$BI$68,AN$4-$B223+1)</f>
        <v/>
      </c>
      <c r="AO223" s="153">
        <f>$C223*INDEX(Curves!$BI$8:$BI$68,AO$4-$B223+1)</f>
        <v/>
      </c>
      <c r="AP223" s="153">
        <f>$C223*INDEX(Curves!$BI$8:$BI$68,AP$4-$B223+1)</f>
        <v/>
      </c>
      <c r="AQ223" s="153">
        <f>$C223*INDEX(Curves!$BI$8:$BI$68,AQ$4-$B223+1)</f>
        <v/>
      </c>
      <c r="AR223" s="153">
        <f>$C223*INDEX(Curves!$BI$8:$BI$68,AR$4-$B223+1)</f>
        <v/>
      </c>
      <c r="AS223" s="153">
        <f>$C223*INDEX(Curves!$BI$8:$BI$68,AS$4-$B223+1)</f>
        <v/>
      </c>
      <c r="AT223" s="153">
        <f>$C223*INDEX(Curves!$BI$8:$BI$68,AT$4-$B223+1)</f>
        <v/>
      </c>
      <c r="AU223" s="153">
        <f>$C223*INDEX(Curves!$BI$8:$BI$68,AU$4-$B223+1)</f>
        <v/>
      </c>
      <c r="AV223" s="153">
        <f>$C223*INDEX(Curves!$BI$8:$BI$68,AV$4-$B223+1)</f>
        <v/>
      </c>
      <c r="AW223" s="153">
        <f>$C223*INDEX(Curves!$BI$8:$BI$68,AW$4-$B223+1)</f>
        <v/>
      </c>
      <c r="AX223" s="153">
        <f>$C223*INDEX(Curves!$BI$8:$BI$68,AX$4-$B223+1)</f>
        <v/>
      </c>
      <c r="AY223" s="153">
        <f>$C223*INDEX(Curves!$BI$8:$BI$68,AY$4-$B223+1)</f>
        <v/>
      </c>
      <c r="AZ223" s="153">
        <f>$C223*INDEX(Curves!$BI$8:$BI$68,AZ$4-$B223+1)</f>
        <v/>
      </c>
      <c r="BA223" s="153">
        <f>$C223*INDEX(Curves!$BI$8:$BI$68,BA$4-$B223+1)</f>
        <v/>
      </c>
      <c r="BB223" s="153">
        <f>$C223*INDEX(Curves!$BI$8:$BI$68,BB$4-$B223+1)</f>
        <v/>
      </c>
      <c r="BC223" s="153">
        <f>$C223*INDEX(Curves!$BI$8:$BI$68,BC$4-$B223+1)</f>
        <v/>
      </c>
      <c r="BD223" s="153">
        <f>$C223*INDEX(Curves!$BI$8:$BI$68,BD$4-$B223+1)</f>
        <v/>
      </c>
      <c r="BE223" s="153">
        <f>$C223*INDEX(Curves!$BI$8:$BI$68,BE$4-$B223+1)</f>
        <v/>
      </c>
      <c r="BF223" s="153">
        <f>$C223*INDEX(Curves!$BI$8:$BI$68,BF$4-$B223+1)</f>
        <v/>
      </c>
      <c r="BG223" s="153">
        <f>$C223*INDEX(Curves!$BI$8:$BI$68,BG$4-$B223+1)</f>
        <v/>
      </c>
      <c r="BH223" s="153">
        <f>$C223*INDEX(Curves!$BI$8:$BI$68,BH$4-$B223+1)</f>
        <v/>
      </c>
      <c r="BI223" s="153">
        <f>$C223*INDEX(Curves!$BI$8:$BI$68,BI$4-$B223+1)</f>
        <v/>
      </c>
      <c r="BJ223" s="153">
        <f>$C223*INDEX(Curves!$BI$8:$BI$68,BJ$4-$B223+1)</f>
        <v/>
      </c>
      <c r="BK223" s="153">
        <f>$C223*INDEX(Curves!$BI$8:$BI$68,BK$4-$B223+1)</f>
        <v/>
      </c>
      <c r="BL223" s="153">
        <f>$C223*INDEX(Curves!$BI$8:$BI$68,BL$4-$B223+1)</f>
        <v/>
      </c>
    </row>
    <row r="224">
      <c r="A224" s="147" t="inlineStr">
        <is>
          <t>Cohort month 26</t>
        </is>
      </c>
      <c r="B224" s="147" t="n">
        <v>26</v>
      </c>
      <c r="C224" s="41">
        <f>INDEX(Ops!$E$110:$BL$110,1,$B224)</f>
        <v/>
      </c>
      <c r="AE224" s="153">
        <f>$C224*INDEX(Curves!$BI$8:$BI$68,AE$4-$B224+1)</f>
        <v/>
      </c>
      <c r="AF224" s="153">
        <f>$C224*INDEX(Curves!$BI$8:$BI$68,AF$4-$B224+1)</f>
        <v/>
      </c>
      <c r="AG224" s="153">
        <f>$C224*INDEX(Curves!$BI$8:$BI$68,AG$4-$B224+1)</f>
        <v/>
      </c>
      <c r="AH224" s="153">
        <f>$C224*INDEX(Curves!$BI$8:$BI$68,AH$4-$B224+1)</f>
        <v/>
      </c>
      <c r="AI224" s="153">
        <f>$C224*INDEX(Curves!$BI$8:$BI$68,AI$4-$B224+1)</f>
        <v/>
      </c>
      <c r="AJ224" s="153">
        <f>$C224*INDEX(Curves!$BI$8:$BI$68,AJ$4-$B224+1)</f>
        <v/>
      </c>
      <c r="AK224" s="153">
        <f>$C224*INDEX(Curves!$BI$8:$BI$68,AK$4-$B224+1)</f>
        <v/>
      </c>
      <c r="AL224" s="153">
        <f>$C224*INDEX(Curves!$BI$8:$BI$68,AL$4-$B224+1)</f>
        <v/>
      </c>
      <c r="AM224" s="153">
        <f>$C224*INDEX(Curves!$BI$8:$BI$68,AM$4-$B224+1)</f>
        <v/>
      </c>
      <c r="AN224" s="153">
        <f>$C224*INDEX(Curves!$BI$8:$BI$68,AN$4-$B224+1)</f>
        <v/>
      </c>
      <c r="AO224" s="153">
        <f>$C224*INDEX(Curves!$BI$8:$BI$68,AO$4-$B224+1)</f>
        <v/>
      </c>
      <c r="AP224" s="153">
        <f>$C224*INDEX(Curves!$BI$8:$BI$68,AP$4-$B224+1)</f>
        <v/>
      </c>
      <c r="AQ224" s="153">
        <f>$C224*INDEX(Curves!$BI$8:$BI$68,AQ$4-$B224+1)</f>
        <v/>
      </c>
      <c r="AR224" s="153">
        <f>$C224*INDEX(Curves!$BI$8:$BI$68,AR$4-$B224+1)</f>
        <v/>
      </c>
      <c r="AS224" s="153">
        <f>$C224*INDEX(Curves!$BI$8:$BI$68,AS$4-$B224+1)</f>
        <v/>
      </c>
      <c r="AT224" s="153">
        <f>$C224*INDEX(Curves!$BI$8:$BI$68,AT$4-$B224+1)</f>
        <v/>
      </c>
      <c r="AU224" s="153">
        <f>$C224*INDEX(Curves!$BI$8:$BI$68,AU$4-$B224+1)</f>
        <v/>
      </c>
      <c r="AV224" s="153">
        <f>$C224*INDEX(Curves!$BI$8:$BI$68,AV$4-$B224+1)</f>
        <v/>
      </c>
      <c r="AW224" s="153">
        <f>$C224*INDEX(Curves!$BI$8:$BI$68,AW$4-$B224+1)</f>
        <v/>
      </c>
      <c r="AX224" s="153">
        <f>$C224*INDEX(Curves!$BI$8:$BI$68,AX$4-$B224+1)</f>
        <v/>
      </c>
      <c r="AY224" s="153">
        <f>$C224*INDEX(Curves!$BI$8:$BI$68,AY$4-$B224+1)</f>
        <v/>
      </c>
      <c r="AZ224" s="153">
        <f>$C224*INDEX(Curves!$BI$8:$BI$68,AZ$4-$B224+1)</f>
        <v/>
      </c>
      <c r="BA224" s="153">
        <f>$C224*INDEX(Curves!$BI$8:$BI$68,BA$4-$B224+1)</f>
        <v/>
      </c>
      <c r="BB224" s="153">
        <f>$C224*INDEX(Curves!$BI$8:$BI$68,BB$4-$B224+1)</f>
        <v/>
      </c>
      <c r="BC224" s="153">
        <f>$C224*INDEX(Curves!$BI$8:$BI$68,BC$4-$B224+1)</f>
        <v/>
      </c>
      <c r="BD224" s="153">
        <f>$C224*INDEX(Curves!$BI$8:$BI$68,BD$4-$B224+1)</f>
        <v/>
      </c>
      <c r="BE224" s="153">
        <f>$C224*INDEX(Curves!$BI$8:$BI$68,BE$4-$B224+1)</f>
        <v/>
      </c>
      <c r="BF224" s="153">
        <f>$C224*INDEX(Curves!$BI$8:$BI$68,BF$4-$B224+1)</f>
        <v/>
      </c>
      <c r="BG224" s="153">
        <f>$C224*INDEX(Curves!$BI$8:$BI$68,BG$4-$B224+1)</f>
        <v/>
      </c>
      <c r="BH224" s="153">
        <f>$C224*INDEX(Curves!$BI$8:$BI$68,BH$4-$B224+1)</f>
        <v/>
      </c>
      <c r="BI224" s="153">
        <f>$C224*INDEX(Curves!$BI$8:$BI$68,BI$4-$B224+1)</f>
        <v/>
      </c>
      <c r="BJ224" s="153">
        <f>$C224*INDEX(Curves!$BI$8:$BI$68,BJ$4-$B224+1)</f>
        <v/>
      </c>
      <c r="BK224" s="153">
        <f>$C224*INDEX(Curves!$BI$8:$BI$68,BK$4-$B224+1)</f>
        <v/>
      </c>
      <c r="BL224" s="153">
        <f>$C224*INDEX(Curves!$BI$8:$BI$68,BL$4-$B224+1)</f>
        <v/>
      </c>
    </row>
    <row r="225">
      <c r="A225" s="147" t="inlineStr">
        <is>
          <t>Cohort month 27</t>
        </is>
      </c>
      <c r="B225" s="147" t="n">
        <v>27</v>
      </c>
      <c r="C225" s="41">
        <f>INDEX(Ops!$E$110:$BL$110,1,$B225)</f>
        <v/>
      </c>
      <c r="AF225" s="153">
        <f>$C225*INDEX(Curves!$BI$8:$BI$68,AF$4-$B225+1)</f>
        <v/>
      </c>
      <c r="AG225" s="153">
        <f>$C225*INDEX(Curves!$BI$8:$BI$68,AG$4-$B225+1)</f>
        <v/>
      </c>
      <c r="AH225" s="153">
        <f>$C225*INDEX(Curves!$BI$8:$BI$68,AH$4-$B225+1)</f>
        <v/>
      </c>
      <c r="AI225" s="153">
        <f>$C225*INDEX(Curves!$BI$8:$BI$68,AI$4-$B225+1)</f>
        <v/>
      </c>
      <c r="AJ225" s="153">
        <f>$C225*INDEX(Curves!$BI$8:$BI$68,AJ$4-$B225+1)</f>
        <v/>
      </c>
      <c r="AK225" s="153">
        <f>$C225*INDEX(Curves!$BI$8:$BI$68,AK$4-$B225+1)</f>
        <v/>
      </c>
      <c r="AL225" s="153">
        <f>$C225*INDEX(Curves!$BI$8:$BI$68,AL$4-$B225+1)</f>
        <v/>
      </c>
      <c r="AM225" s="153">
        <f>$C225*INDEX(Curves!$BI$8:$BI$68,AM$4-$B225+1)</f>
        <v/>
      </c>
      <c r="AN225" s="153">
        <f>$C225*INDEX(Curves!$BI$8:$BI$68,AN$4-$B225+1)</f>
        <v/>
      </c>
      <c r="AO225" s="153">
        <f>$C225*INDEX(Curves!$BI$8:$BI$68,AO$4-$B225+1)</f>
        <v/>
      </c>
      <c r="AP225" s="153">
        <f>$C225*INDEX(Curves!$BI$8:$BI$68,AP$4-$B225+1)</f>
        <v/>
      </c>
      <c r="AQ225" s="153">
        <f>$C225*INDEX(Curves!$BI$8:$BI$68,AQ$4-$B225+1)</f>
        <v/>
      </c>
      <c r="AR225" s="153">
        <f>$C225*INDEX(Curves!$BI$8:$BI$68,AR$4-$B225+1)</f>
        <v/>
      </c>
      <c r="AS225" s="153">
        <f>$C225*INDEX(Curves!$BI$8:$BI$68,AS$4-$B225+1)</f>
        <v/>
      </c>
      <c r="AT225" s="153">
        <f>$C225*INDEX(Curves!$BI$8:$BI$68,AT$4-$B225+1)</f>
        <v/>
      </c>
      <c r="AU225" s="153">
        <f>$C225*INDEX(Curves!$BI$8:$BI$68,AU$4-$B225+1)</f>
        <v/>
      </c>
      <c r="AV225" s="153">
        <f>$C225*INDEX(Curves!$BI$8:$BI$68,AV$4-$B225+1)</f>
        <v/>
      </c>
      <c r="AW225" s="153">
        <f>$C225*INDEX(Curves!$BI$8:$BI$68,AW$4-$B225+1)</f>
        <v/>
      </c>
      <c r="AX225" s="153">
        <f>$C225*INDEX(Curves!$BI$8:$BI$68,AX$4-$B225+1)</f>
        <v/>
      </c>
      <c r="AY225" s="153">
        <f>$C225*INDEX(Curves!$BI$8:$BI$68,AY$4-$B225+1)</f>
        <v/>
      </c>
      <c r="AZ225" s="153">
        <f>$C225*INDEX(Curves!$BI$8:$BI$68,AZ$4-$B225+1)</f>
        <v/>
      </c>
      <c r="BA225" s="153">
        <f>$C225*INDEX(Curves!$BI$8:$BI$68,BA$4-$B225+1)</f>
        <v/>
      </c>
      <c r="BB225" s="153">
        <f>$C225*INDEX(Curves!$BI$8:$BI$68,BB$4-$B225+1)</f>
        <v/>
      </c>
      <c r="BC225" s="153">
        <f>$C225*INDEX(Curves!$BI$8:$BI$68,BC$4-$B225+1)</f>
        <v/>
      </c>
      <c r="BD225" s="153">
        <f>$C225*INDEX(Curves!$BI$8:$BI$68,BD$4-$B225+1)</f>
        <v/>
      </c>
      <c r="BE225" s="153">
        <f>$C225*INDEX(Curves!$BI$8:$BI$68,BE$4-$B225+1)</f>
        <v/>
      </c>
      <c r="BF225" s="153">
        <f>$C225*INDEX(Curves!$BI$8:$BI$68,BF$4-$B225+1)</f>
        <v/>
      </c>
      <c r="BG225" s="153">
        <f>$C225*INDEX(Curves!$BI$8:$BI$68,BG$4-$B225+1)</f>
        <v/>
      </c>
      <c r="BH225" s="153">
        <f>$C225*INDEX(Curves!$BI$8:$BI$68,BH$4-$B225+1)</f>
        <v/>
      </c>
      <c r="BI225" s="153">
        <f>$C225*INDEX(Curves!$BI$8:$BI$68,BI$4-$B225+1)</f>
        <v/>
      </c>
      <c r="BJ225" s="153">
        <f>$C225*INDEX(Curves!$BI$8:$BI$68,BJ$4-$B225+1)</f>
        <v/>
      </c>
      <c r="BK225" s="153">
        <f>$C225*INDEX(Curves!$BI$8:$BI$68,BK$4-$B225+1)</f>
        <v/>
      </c>
      <c r="BL225" s="153">
        <f>$C225*INDEX(Curves!$BI$8:$BI$68,BL$4-$B225+1)</f>
        <v/>
      </c>
    </row>
    <row r="226">
      <c r="A226" s="147" t="inlineStr">
        <is>
          <t>Cohort month 28</t>
        </is>
      </c>
      <c r="B226" s="147" t="n">
        <v>28</v>
      </c>
      <c r="C226" s="41">
        <f>INDEX(Ops!$E$110:$BL$110,1,$B226)</f>
        <v/>
      </c>
      <c r="AG226" s="153">
        <f>$C226*INDEX(Curves!$BI$8:$BI$68,AG$4-$B226+1)</f>
        <v/>
      </c>
      <c r="AH226" s="153">
        <f>$C226*INDEX(Curves!$BI$8:$BI$68,AH$4-$B226+1)</f>
        <v/>
      </c>
      <c r="AI226" s="153">
        <f>$C226*INDEX(Curves!$BI$8:$BI$68,AI$4-$B226+1)</f>
        <v/>
      </c>
      <c r="AJ226" s="153">
        <f>$C226*INDEX(Curves!$BI$8:$BI$68,AJ$4-$B226+1)</f>
        <v/>
      </c>
      <c r="AK226" s="153">
        <f>$C226*INDEX(Curves!$BI$8:$BI$68,AK$4-$B226+1)</f>
        <v/>
      </c>
      <c r="AL226" s="153">
        <f>$C226*INDEX(Curves!$BI$8:$BI$68,AL$4-$B226+1)</f>
        <v/>
      </c>
      <c r="AM226" s="153">
        <f>$C226*INDEX(Curves!$BI$8:$BI$68,AM$4-$B226+1)</f>
        <v/>
      </c>
      <c r="AN226" s="153">
        <f>$C226*INDEX(Curves!$BI$8:$BI$68,AN$4-$B226+1)</f>
        <v/>
      </c>
      <c r="AO226" s="153">
        <f>$C226*INDEX(Curves!$BI$8:$BI$68,AO$4-$B226+1)</f>
        <v/>
      </c>
      <c r="AP226" s="153">
        <f>$C226*INDEX(Curves!$BI$8:$BI$68,AP$4-$B226+1)</f>
        <v/>
      </c>
      <c r="AQ226" s="153">
        <f>$C226*INDEX(Curves!$BI$8:$BI$68,AQ$4-$B226+1)</f>
        <v/>
      </c>
      <c r="AR226" s="153">
        <f>$C226*INDEX(Curves!$BI$8:$BI$68,AR$4-$B226+1)</f>
        <v/>
      </c>
      <c r="AS226" s="153">
        <f>$C226*INDEX(Curves!$BI$8:$BI$68,AS$4-$B226+1)</f>
        <v/>
      </c>
      <c r="AT226" s="153">
        <f>$C226*INDEX(Curves!$BI$8:$BI$68,AT$4-$B226+1)</f>
        <v/>
      </c>
      <c r="AU226" s="153">
        <f>$C226*INDEX(Curves!$BI$8:$BI$68,AU$4-$B226+1)</f>
        <v/>
      </c>
      <c r="AV226" s="153">
        <f>$C226*INDEX(Curves!$BI$8:$BI$68,AV$4-$B226+1)</f>
        <v/>
      </c>
      <c r="AW226" s="153">
        <f>$C226*INDEX(Curves!$BI$8:$BI$68,AW$4-$B226+1)</f>
        <v/>
      </c>
      <c r="AX226" s="153">
        <f>$C226*INDEX(Curves!$BI$8:$BI$68,AX$4-$B226+1)</f>
        <v/>
      </c>
      <c r="AY226" s="153">
        <f>$C226*INDEX(Curves!$BI$8:$BI$68,AY$4-$B226+1)</f>
        <v/>
      </c>
      <c r="AZ226" s="153">
        <f>$C226*INDEX(Curves!$BI$8:$BI$68,AZ$4-$B226+1)</f>
        <v/>
      </c>
      <c r="BA226" s="153">
        <f>$C226*INDEX(Curves!$BI$8:$BI$68,BA$4-$B226+1)</f>
        <v/>
      </c>
      <c r="BB226" s="153">
        <f>$C226*INDEX(Curves!$BI$8:$BI$68,BB$4-$B226+1)</f>
        <v/>
      </c>
      <c r="BC226" s="153">
        <f>$C226*INDEX(Curves!$BI$8:$BI$68,BC$4-$B226+1)</f>
        <v/>
      </c>
      <c r="BD226" s="153">
        <f>$C226*INDEX(Curves!$BI$8:$BI$68,BD$4-$B226+1)</f>
        <v/>
      </c>
      <c r="BE226" s="153">
        <f>$C226*INDEX(Curves!$BI$8:$BI$68,BE$4-$B226+1)</f>
        <v/>
      </c>
      <c r="BF226" s="153">
        <f>$C226*INDEX(Curves!$BI$8:$BI$68,BF$4-$B226+1)</f>
        <v/>
      </c>
      <c r="BG226" s="153">
        <f>$C226*INDEX(Curves!$BI$8:$BI$68,BG$4-$B226+1)</f>
        <v/>
      </c>
      <c r="BH226" s="153">
        <f>$C226*INDEX(Curves!$BI$8:$BI$68,BH$4-$B226+1)</f>
        <v/>
      </c>
      <c r="BI226" s="153">
        <f>$C226*INDEX(Curves!$BI$8:$BI$68,BI$4-$B226+1)</f>
        <v/>
      </c>
      <c r="BJ226" s="153">
        <f>$C226*INDEX(Curves!$BI$8:$BI$68,BJ$4-$B226+1)</f>
        <v/>
      </c>
      <c r="BK226" s="153">
        <f>$C226*INDEX(Curves!$BI$8:$BI$68,BK$4-$B226+1)</f>
        <v/>
      </c>
      <c r="BL226" s="153">
        <f>$C226*INDEX(Curves!$BI$8:$BI$68,BL$4-$B226+1)</f>
        <v/>
      </c>
    </row>
    <row r="227">
      <c r="A227" s="147" t="inlineStr">
        <is>
          <t>Cohort month 29</t>
        </is>
      </c>
      <c r="B227" s="147" t="n">
        <v>29</v>
      </c>
      <c r="C227" s="41">
        <f>INDEX(Ops!$E$110:$BL$110,1,$B227)</f>
        <v/>
      </c>
      <c r="AH227" s="153">
        <f>$C227*INDEX(Curves!$BI$8:$BI$68,AH$4-$B227+1)</f>
        <v/>
      </c>
      <c r="AI227" s="153">
        <f>$C227*INDEX(Curves!$BI$8:$BI$68,AI$4-$B227+1)</f>
        <v/>
      </c>
      <c r="AJ227" s="153">
        <f>$C227*INDEX(Curves!$BI$8:$BI$68,AJ$4-$B227+1)</f>
        <v/>
      </c>
      <c r="AK227" s="153">
        <f>$C227*INDEX(Curves!$BI$8:$BI$68,AK$4-$B227+1)</f>
        <v/>
      </c>
      <c r="AL227" s="153">
        <f>$C227*INDEX(Curves!$BI$8:$BI$68,AL$4-$B227+1)</f>
        <v/>
      </c>
      <c r="AM227" s="153">
        <f>$C227*INDEX(Curves!$BI$8:$BI$68,AM$4-$B227+1)</f>
        <v/>
      </c>
      <c r="AN227" s="153">
        <f>$C227*INDEX(Curves!$BI$8:$BI$68,AN$4-$B227+1)</f>
        <v/>
      </c>
      <c r="AO227" s="153">
        <f>$C227*INDEX(Curves!$BI$8:$BI$68,AO$4-$B227+1)</f>
        <v/>
      </c>
      <c r="AP227" s="153">
        <f>$C227*INDEX(Curves!$BI$8:$BI$68,AP$4-$B227+1)</f>
        <v/>
      </c>
      <c r="AQ227" s="153">
        <f>$C227*INDEX(Curves!$BI$8:$BI$68,AQ$4-$B227+1)</f>
        <v/>
      </c>
      <c r="AR227" s="153">
        <f>$C227*INDEX(Curves!$BI$8:$BI$68,AR$4-$B227+1)</f>
        <v/>
      </c>
      <c r="AS227" s="153">
        <f>$C227*INDEX(Curves!$BI$8:$BI$68,AS$4-$B227+1)</f>
        <v/>
      </c>
      <c r="AT227" s="153">
        <f>$C227*INDEX(Curves!$BI$8:$BI$68,AT$4-$B227+1)</f>
        <v/>
      </c>
      <c r="AU227" s="153">
        <f>$C227*INDEX(Curves!$BI$8:$BI$68,AU$4-$B227+1)</f>
        <v/>
      </c>
      <c r="AV227" s="153">
        <f>$C227*INDEX(Curves!$BI$8:$BI$68,AV$4-$B227+1)</f>
        <v/>
      </c>
      <c r="AW227" s="153">
        <f>$C227*INDEX(Curves!$BI$8:$BI$68,AW$4-$B227+1)</f>
        <v/>
      </c>
      <c r="AX227" s="153">
        <f>$C227*INDEX(Curves!$BI$8:$BI$68,AX$4-$B227+1)</f>
        <v/>
      </c>
      <c r="AY227" s="153">
        <f>$C227*INDEX(Curves!$BI$8:$BI$68,AY$4-$B227+1)</f>
        <v/>
      </c>
      <c r="AZ227" s="153">
        <f>$C227*INDEX(Curves!$BI$8:$BI$68,AZ$4-$B227+1)</f>
        <v/>
      </c>
      <c r="BA227" s="153">
        <f>$C227*INDEX(Curves!$BI$8:$BI$68,BA$4-$B227+1)</f>
        <v/>
      </c>
      <c r="BB227" s="153">
        <f>$C227*INDEX(Curves!$BI$8:$BI$68,BB$4-$B227+1)</f>
        <v/>
      </c>
      <c r="BC227" s="153">
        <f>$C227*INDEX(Curves!$BI$8:$BI$68,BC$4-$B227+1)</f>
        <v/>
      </c>
      <c r="BD227" s="153">
        <f>$C227*INDEX(Curves!$BI$8:$BI$68,BD$4-$B227+1)</f>
        <v/>
      </c>
      <c r="BE227" s="153">
        <f>$C227*INDEX(Curves!$BI$8:$BI$68,BE$4-$B227+1)</f>
        <v/>
      </c>
      <c r="BF227" s="153">
        <f>$C227*INDEX(Curves!$BI$8:$BI$68,BF$4-$B227+1)</f>
        <v/>
      </c>
      <c r="BG227" s="153">
        <f>$C227*INDEX(Curves!$BI$8:$BI$68,BG$4-$B227+1)</f>
        <v/>
      </c>
      <c r="BH227" s="153">
        <f>$C227*INDEX(Curves!$BI$8:$BI$68,BH$4-$B227+1)</f>
        <v/>
      </c>
      <c r="BI227" s="153">
        <f>$C227*INDEX(Curves!$BI$8:$BI$68,BI$4-$B227+1)</f>
        <v/>
      </c>
      <c r="BJ227" s="153">
        <f>$C227*INDEX(Curves!$BI$8:$BI$68,BJ$4-$B227+1)</f>
        <v/>
      </c>
      <c r="BK227" s="153">
        <f>$C227*INDEX(Curves!$BI$8:$BI$68,BK$4-$B227+1)</f>
        <v/>
      </c>
      <c r="BL227" s="153">
        <f>$C227*INDEX(Curves!$BI$8:$BI$68,BL$4-$B227+1)</f>
        <v/>
      </c>
    </row>
    <row r="228">
      <c r="A228" s="147" t="inlineStr">
        <is>
          <t>Cohort month 30</t>
        </is>
      </c>
      <c r="B228" s="147" t="n">
        <v>30</v>
      </c>
      <c r="C228" s="41">
        <f>INDEX(Ops!$E$110:$BL$110,1,$B228)</f>
        <v/>
      </c>
      <c r="AI228" s="153">
        <f>$C228*INDEX(Curves!$BI$8:$BI$68,AI$4-$B228+1)</f>
        <v/>
      </c>
      <c r="AJ228" s="153">
        <f>$C228*INDEX(Curves!$BI$8:$BI$68,AJ$4-$B228+1)</f>
        <v/>
      </c>
      <c r="AK228" s="153">
        <f>$C228*INDEX(Curves!$BI$8:$BI$68,AK$4-$B228+1)</f>
        <v/>
      </c>
      <c r="AL228" s="153">
        <f>$C228*INDEX(Curves!$BI$8:$BI$68,AL$4-$B228+1)</f>
        <v/>
      </c>
      <c r="AM228" s="153">
        <f>$C228*INDEX(Curves!$BI$8:$BI$68,AM$4-$B228+1)</f>
        <v/>
      </c>
      <c r="AN228" s="153">
        <f>$C228*INDEX(Curves!$BI$8:$BI$68,AN$4-$B228+1)</f>
        <v/>
      </c>
      <c r="AO228" s="153">
        <f>$C228*INDEX(Curves!$BI$8:$BI$68,AO$4-$B228+1)</f>
        <v/>
      </c>
      <c r="AP228" s="153">
        <f>$C228*INDEX(Curves!$BI$8:$BI$68,AP$4-$B228+1)</f>
        <v/>
      </c>
      <c r="AQ228" s="153">
        <f>$C228*INDEX(Curves!$BI$8:$BI$68,AQ$4-$B228+1)</f>
        <v/>
      </c>
      <c r="AR228" s="153">
        <f>$C228*INDEX(Curves!$BI$8:$BI$68,AR$4-$B228+1)</f>
        <v/>
      </c>
      <c r="AS228" s="153">
        <f>$C228*INDEX(Curves!$BI$8:$BI$68,AS$4-$B228+1)</f>
        <v/>
      </c>
      <c r="AT228" s="153">
        <f>$C228*INDEX(Curves!$BI$8:$BI$68,AT$4-$B228+1)</f>
        <v/>
      </c>
      <c r="AU228" s="153">
        <f>$C228*INDEX(Curves!$BI$8:$BI$68,AU$4-$B228+1)</f>
        <v/>
      </c>
      <c r="AV228" s="153">
        <f>$C228*INDEX(Curves!$BI$8:$BI$68,AV$4-$B228+1)</f>
        <v/>
      </c>
      <c r="AW228" s="153">
        <f>$C228*INDEX(Curves!$BI$8:$BI$68,AW$4-$B228+1)</f>
        <v/>
      </c>
      <c r="AX228" s="153">
        <f>$C228*INDEX(Curves!$BI$8:$BI$68,AX$4-$B228+1)</f>
        <v/>
      </c>
      <c r="AY228" s="153">
        <f>$C228*INDEX(Curves!$BI$8:$BI$68,AY$4-$B228+1)</f>
        <v/>
      </c>
      <c r="AZ228" s="153">
        <f>$C228*INDEX(Curves!$BI$8:$BI$68,AZ$4-$B228+1)</f>
        <v/>
      </c>
      <c r="BA228" s="153">
        <f>$C228*INDEX(Curves!$BI$8:$BI$68,BA$4-$B228+1)</f>
        <v/>
      </c>
      <c r="BB228" s="153">
        <f>$C228*INDEX(Curves!$BI$8:$BI$68,BB$4-$B228+1)</f>
        <v/>
      </c>
      <c r="BC228" s="153">
        <f>$C228*INDEX(Curves!$BI$8:$BI$68,BC$4-$B228+1)</f>
        <v/>
      </c>
      <c r="BD228" s="153">
        <f>$C228*INDEX(Curves!$BI$8:$BI$68,BD$4-$B228+1)</f>
        <v/>
      </c>
      <c r="BE228" s="153">
        <f>$C228*INDEX(Curves!$BI$8:$BI$68,BE$4-$B228+1)</f>
        <v/>
      </c>
      <c r="BF228" s="153">
        <f>$C228*INDEX(Curves!$BI$8:$BI$68,BF$4-$B228+1)</f>
        <v/>
      </c>
      <c r="BG228" s="153">
        <f>$C228*INDEX(Curves!$BI$8:$BI$68,BG$4-$B228+1)</f>
        <v/>
      </c>
      <c r="BH228" s="153">
        <f>$C228*INDEX(Curves!$BI$8:$BI$68,BH$4-$B228+1)</f>
        <v/>
      </c>
      <c r="BI228" s="153">
        <f>$C228*INDEX(Curves!$BI$8:$BI$68,BI$4-$B228+1)</f>
        <v/>
      </c>
      <c r="BJ228" s="153">
        <f>$C228*INDEX(Curves!$BI$8:$BI$68,BJ$4-$B228+1)</f>
        <v/>
      </c>
      <c r="BK228" s="153">
        <f>$C228*INDEX(Curves!$BI$8:$BI$68,BK$4-$B228+1)</f>
        <v/>
      </c>
      <c r="BL228" s="153">
        <f>$C228*INDEX(Curves!$BI$8:$BI$68,BL$4-$B228+1)</f>
        <v/>
      </c>
    </row>
    <row r="229">
      <c r="A229" s="147" t="inlineStr">
        <is>
          <t>Cohort month 31</t>
        </is>
      </c>
      <c r="B229" s="147" t="n">
        <v>31</v>
      </c>
      <c r="C229" s="41">
        <f>INDEX(Ops!$E$110:$BL$110,1,$B229)</f>
        <v/>
      </c>
      <c r="AJ229" s="153">
        <f>$C229*INDEX(Curves!$BI$8:$BI$68,AJ$4-$B229+1)</f>
        <v/>
      </c>
      <c r="AK229" s="153">
        <f>$C229*INDEX(Curves!$BI$8:$BI$68,AK$4-$B229+1)</f>
        <v/>
      </c>
      <c r="AL229" s="153">
        <f>$C229*INDEX(Curves!$BI$8:$BI$68,AL$4-$B229+1)</f>
        <v/>
      </c>
      <c r="AM229" s="153">
        <f>$C229*INDEX(Curves!$BI$8:$BI$68,AM$4-$B229+1)</f>
        <v/>
      </c>
      <c r="AN229" s="153">
        <f>$C229*INDEX(Curves!$BI$8:$BI$68,AN$4-$B229+1)</f>
        <v/>
      </c>
      <c r="AO229" s="153">
        <f>$C229*INDEX(Curves!$BI$8:$BI$68,AO$4-$B229+1)</f>
        <v/>
      </c>
      <c r="AP229" s="153">
        <f>$C229*INDEX(Curves!$BI$8:$BI$68,AP$4-$B229+1)</f>
        <v/>
      </c>
      <c r="AQ229" s="153">
        <f>$C229*INDEX(Curves!$BI$8:$BI$68,AQ$4-$B229+1)</f>
        <v/>
      </c>
      <c r="AR229" s="153">
        <f>$C229*INDEX(Curves!$BI$8:$BI$68,AR$4-$B229+1)</f>
        <v/>
      </c>
      <c r="AS229" s="153">
        <f>$C229*INDEX(Curves!$BI$8:$BI$68,AS$4-$B229+1)</f>
        <v/>
      </c>
      <c r="AT229" s="153">
        <f>$C229*INDEX(Curves!$BI$8:$BI$68,AT$4-$B229+1)</f>
        <v/>
      </c>
      <c r="AU229" s="153">
        <f>$C229*INDEX(Curves!$BI$8:$BI$68,AU$4-$B229+1)</f>
        <v/>
      </c>
      <c r="AV229" s="153">
        <f>$C229*INDEX(Curves!$BI$8:$BI$68,AV$4-$B229+1)</f>
        <v/>
      </c>
      <c r="AW229" s="153">
        <f>$C229*INDEX(Curves!$BI$8:$BI$68,AW$4-$B229+1)</f>
        <v/>
      </c>
      <c r="AX229" s="153">
        <f>$C229*INDEX(Curves!$BI$8:$BI$68,AX$4-$B229+1)</f>
        <v/>
      </c>
      <c r="AY229" s="153">
        <f>$C229*INDEX(Curves!$BI$8:$BI$68,AY$4-$B229+1)</f>
        <v/>
      </c>
      <c r="AZ229" s="153">
        <f>$C229*INDEX(Curves!$BI$8:$BI$68,AZ$4-$B229+1)</f>
        <v/>
      </c>
      <c r="BA229" s="153">
        <f>$C229*INDEX(Curves!$BI$8:$BI$68,BA$4-$B229+1)</f>
        <v/>
      </c>
      <c r="BB229" s="153">
        <f>$C229*INDEX(Curves!$BI$8:$BI$68,BB$4-$B229+1)</f>
        <v/>
      </c>
      <c r="BC229" s="153">
        <f>$C229*INDEX(Curves!$BI$8:$BI$68,BC$4-$B229+1)</f>
        <v/>
      </c>
      <c r="BD229" s="153">
        <f>$C229*INDEX(Curves!$BI$8:$BI$68,BD$4-$B229+1)</f>
        <v/>
      </c>
      <c r="BE229" s="153">
        <f>$C229*INDEX(Curves!$BI$8:$BI$68,BE$4-$B229+1)</f>
        <v/>
      </c>
      <c r="BF229" s="153">
        <f>$C229*INDEX(Curves!$BI$8:$BI$68,BF$4-$B229+1)</f>
        <v/>
      </c>
      <c r="BG229" s="153">
        <f>$C229*INDEX(Curves!$BI$8:$BI$68,BG$4-$B229+1)</f>
        <v/>
      </c>
      <c r="BH229" s="153">
        <f>$C229*INDEX(Curves!$BI$8:$BI$68,BH$4-$B229+1)</f>
        <v/>
      </c>
      <c r="BI229" s="153">
        <f>$C229*INDEX(Curves!$BI$8:$BI$68,BI$4-$B229+1)</f>
        <v/>
      </c>
      <c r="BJ229" s="153">
        <f>$C229*INDEX(Curves!$BI$8:$BI$68,BJ$4-$B229+1)</f>
        <v/>
      </c>
      <c r="BK229" s="153">
        <f>$C229*INDEX(Curves!$BI$8:$BI$68,BK$4-$B229+1)</f>
        <v/>
      </c>
      <c r="BL229" s="153">
        <f>$C229*INDEX(Curves!$BI$8:$BI$68,BL$4-$B229+1)</f>
        <v/>
      </c>
    </row>
    <row r="230">
      <c r="A230" s="147" t="inlineStr">
        <is>
          <t>Cohort month 32</t>
        </is>
      </c>
      <c r="B230" s="147" t="n">
        <v>32</v>
      </c>
      <c r="C230" s="41">
        <f>INDEX(Ops!$E$110:$BL$110,1,$B230)</f>
        <v/>
      </c>
      <c r="AK230" s="153">
        <f>$C230*INDEX(Curves!$BI$8:$BI$68,AK$4-$B230+1)</f>
        <v/>
      </c>
      <c r="AL230" s="153">
        <f>$C230*INDEX(Curves!$BI$8:$BI$68,AL$4-$B230+1)</f>
        <v/>
      </c>
      <c r="AM230" s="153">
        <f>$C230*INDEX(Curves!$BI$8:$BI$68,AM$4-$B230+1)</f>
        <v/>
      </c>
      <c r="AN230" s="153">
        <f>$C230*INDEX(Curves!$BI$8:$BI$68,AN$4-$B230+1)</f>
        <v/>
      </c>
      <c r="AO230" s="153">
        <f>$C230*INDEX(Curves!$BI$8:$BI$68,AO$4-$B230+1)</f>
        <v/>
      </c>
      <c r="AP230" s="153">
        <f>$C230*INDEX(Curves!$BI$8:$BI$68,AP$4-$B230+1)</f>
        <v/>
      </c>
      <c r="AQ230" s="153">
        <f>$C230*INDEX(Curves!$BI$8:$BI$68,AQ$4-$B230+1)</f>
        <v/>
      </c>
      <c r="AR230" s="153">
        <f>$C230*INDEX(Curves!$BI$8:$BI$68,AR$4-$B230+1)</f>
        <v/>
      </c>
      <c r="AS230" s="153">
        <f>$C230*INDEX(Curves!$BI$8:$BI$68,AS$4-$B230+1)</f>
        <v/>
      </c>
      <c r="AT230" s="153">
        <f>$C230*INDEX(Curves!$BI$8:$BI$68,AT$4-$B230+1)</f>
        <v/>
      </c>
      <c r="AU230" s="153">
        <f>$C230*INDEX(Curves!$BI$8:$BI$68,AU$4-$B230+1)</f>
        <v/>
      </c>
      <c r="AV230" s="153">
        <f>$C230*INDEX(Curves!$BI$8:$BI$68,AV$4-$B230+1)</f>
        <v/>
      </c>
      <c r="AW230" s="153">
        <f>$C230*INDEX(Curves!$BI$8:$BI$68,AW$4-$B230+1)</f>
        <v/>
      </c>
      <c r="AX230" s="153">
        <f>$C230*INDEX(Curves!$BI$8:$BI$68,AX$4-$B230+1)</f>
        <v/>
      </c>
      <c r="AY230" s="153">
        <f>$C230*INDEX(Curves!$BI$8:$BI$68,AY$4-$B230+1)</f>
        <v/>
      </c>
      <c r="AZ230" s="153">
        <f>$C230*INDEX(Curves!$BI$8:$BI$68,AZ$4-$B230+1)</f>
        <v/>
      </c>
      <c r="BA230" s="153">
        <f>$C230*INDEX(Curves!$BI$8:$BI$68,BA$4-$B230+1)</f>
        <v/>
      </c>
      <c r="BB230" s="153">
        <f>$C230*INDEX(Curves!$BI$8:$BI$68,BB$4-$B230+1)</f>
        <v/>
      </c>
      <c r="BC230" s="153">
        <f>$C230*INDEX(Curves!$BI$8:$BI$68,BC$4-$B230+1)</f>
        <v/>
      </c>
      <c r="BD230" s="153">
        <f>$C230*INDEX(Curves!$BI$8:$BI$68,BD$4-$B230+1)</f>
        <v/>
      </c>
      <c r="BE230" s="153">
        <f>$C230*INDEX(Curves!$BI$8:$BI$68,BE$4-$B230+1)</f>
        <v/>
      </c>
      <c r="BF230" s="153">
        <f>$C230*INDEX(Curves!$BI$8:$BI$68,BF$4-$B230+1)</f>
        <v/>
      </c>
      <c r="BG230" s="153">
        <f>$C230*INDEX(Curves!$BI$8:$BI$68,BG$4-$B230+1)</f>
        <v/>
      </c>
      <c r="BH230" s="153">
        <f>$C230*INDEX(Curves!$BI$8:$BI$68,BH$4-$B230+1)</f>
        <v/>
      </c>
      <c r="BI230" s="153">
        <f>$C230*INDEX(Curves!$BI$8:$BI$68,BI$4-$B230+1)</f>
        <v/>
      </c>
      <c r="BJ230" s="153">
        <f>$C230*INDEX(Curves!$BI$8:$BI$68,BJ$4-$B230+1)</f>
        <v/>
      </c>
      <c r="BK230" s="153">
        <f>$C230*INDEX(Curves!$BI$8:$BI$68,BK$4-$B230+1)</f>
        <v/>
      </c>
      <c r="BL230" s="153">
        <f>$C230*INDEX(Curves!$BI$8:$BI$68,BL$4-$B230+1)</f>
        <v/>
      </c>
    </row>
    <row r="231">
      <c r="A231" s="147" t="inlineStr">
        <is>
          <t>Cohort month 33</t>
        </is>
      </c>
      <c r="B231" s="147" t="n">
        <v>33</v>
      </c>
      <c r="C231" s="41">
        <f>INDEX(Ops!$E$110:$BL$110,1,$B231)</f>
        <v/>
      </c>
      <c r="AL231" s="153">
        <f>$C231*INDEX(Curves!$BI$8:$BI$68,AL$4-$B231+1)</f>
        <v/>
      </c>
      <c r="AM231" s="153">
        <f>$C231*INDEX(Curves!$BI$8:$BI$68,AM$4-$B231+1)</f>
        <v/>
      </c>
      <c r="AN231" s="153">
        <f>$C231*INDEX(Curves!$BI$8:$BI$68,AN$4-$B231+1)</f>
        <v/>
      </c>
      <c r="AO231" s="153">
        <f>$C231*INDEX(Curves!$BI$8:$BI$68,AO$4-$B231+1)</f>
        <v/>
      </c>
      <c r="AP231" s="153">
        <f>$C231*INDEX(Curves!$BI$8:$BI$68,AP$4-$B231+1)</f>
        <v/>
      </c>
      <c r="AQ231" s="153">
        <f>$C231*INDEX(Curves!$BI$8:$BI$68,AQ$4-$B231+1)</f>
        <v/>
      </c>
      <c r="AR231" s="153">
        <f>$C231*INDEX(Curves!$BI$8:$BI$68,AR$4-$B231+1)</f>
        <v/>
      </c>
      <c r="AS231" s="153">
        <f>$C231*INDEX(Curves!$BI$8:$BI$68,AS$4-$B231+1)</f>
        <v/>
      </c>
      <c r="AT231" s="153">
        <f>$C231*INDEX(Curves!$BI$8:$BI$68,AT$4-$B231+1)</f>
        <v/>
      </c>
      <c r="AU231" s="153">
        <f>$C231*INDEX(Curves!$BI$8:$BI$68,AU$4-$B231+1)</f>
        <v/>
      </c>
      <c r="AV231" s="153">
        <f>$C231*INDEX(Curves!$BI$8:$BI$68,AV$4-$B231+1)</f>
        <v/>
      </c>
      <c r="AW231" s="153">
        <f>$C231*INDEX(Curves!$BI$8:$BI$68,AW$4-$B231+1)</f>
        <v/>
      </c>
      <c r="AX231" s="153">
        <f>$C231*INDEX(Curves!$BI$8:$BI$68,AX$4-$B231+1)</f>
        <v/>
      </c>
      <c r="AY231" s="153">
        <f>$C231*INDEX(Curves!$BI$8:$BI$68,AY$4-$B231+1)</f>
        <v/>
      </c>
      <c r="AZ231" s="153">
        <f>$C231*INDEX(Curves!$BI$8:$BI$68,AZ$4-$B231+1)</f>
        <v/>
      </c>
      <c r="BA231" s="153">
        <f>$C231*INDEX(Curves!$BI$8:$BI$68,BA$4-$B231+1)</f>
        <v/>
      </c>
      <c r="BB231" s="153">
        <f>$C231*INDEX(Curves!$BI$8:$BI$68,BB$4-$B231+1)</f>
        <v/>
      </c>
      <c r="BC231" s="153">
        <f>$C231*INDEX(Curves!$BI$8:$BI$68,BC$4-$B231+1)</f>
        <v/>
      </c>
      <c r="BD231" s="153">
        <f>$C231*INDEX(Curves!$BI$8:$BI$68,BD$4-$B231+1)</f>
        <v/>
      </c>
      <c r="BE231" s="153">
        <f>$C231*INDEX(Curves!$BI$8:$BI$68,BE$4-$B231+1)</f>
        <v/>
      </c>
      <c r="BF231" s="153">
        <f>$C231*INDEX(Curves!$BI$8:$BI$68,BF$4-$B231+1)</f>
        <v/>
      </c>
      <c r="BG231" s="153">
        <f>$C231*INDEX(Curves!$BI$8:$BI$68,BG$4-$B231+1)</f>
        <v/>
      </c>
      <c r="BH231" s="153">
        <f>$C231*INDEX(Curves!$BI$8:$BI$68,BH$4-$B231+1)</f>
        <v/>
      </c>
      <c r="BI231" s="153">
        <f>$C231*INDEX(Curves!$BI$8:$BI$68,BI$4-$B231+1)</f>
        <v/>
      </c>
      <c r="BJ231" s="153">
        <f>$C231*INDEX(Curves!$BI$8:$BI$68,BJ$4-$B231+1)</f>
        <v/>
      </c>
      <c r="BK231" s="153">
        <f>$C231*INDEX(Curves!$BI$8:$BI$68,BK$4-$B231+1)</f>
        <v/>
      </c>
      <c r="BL231" s="153">
        <f>$C231*INDEX(Curves!$BI$8:$BI$68,BL$4-$B231+1)</f>
        <v/>
      </c>
    </row>
    <row r="232">
      <c r="A232" s="147" t="inlineStr">
        <is>
          <t>Cohort month 34</t>
        </is>
      </c>
      <c r="B232" s="147" t="n">
        <v>34</v>
      </c>
      <c r="C232" s="41">
        <f>INDEX(Ops!$E$110:$BL$110,1,$B232)</f>
        <v/>
      </c>
      <c r="AM232" s="153">
        <f>$C232*INDEX(Curves!$BI$8:$BI$68,AM$4-$B232+1)</f>
        <v/>
      </c>
      <c r="AN232" s="153">
        <f>$C232*INDEX(Curves!$BI$8:$BI$68,AN$4-$B232+1)</f>
        <v/>
      </c>
      <c r="AO232" s="153">
        <f>$C232*INDEX(Curves!$BI$8:$BI$68,AO$4-$B232+1)</f>
        <v/>
      </c>
      <c r="AP232" s="153">
        <f>$C232*INDEX(Curves!$BI$8:$BI$68,AP$4-$B232+1)</f>
        <v/>
      </c>
      <c r="AQ232" s="153">
        <f>$C232*INDEX(Curves!$BI$8:$BI$68,AQ$4-$B232+1)</f>
        <v/>
      </c>
      <c r="AR232" s="153">
        <f>$C232*INDEX(Curves!$BI$8:$BI$68,AR$4-$B232+1)</f>
        <v/>
      </c>
      <c r="AS232" s="153">
        <f>$C232*INDEX(Curves!$BI$8:$BI$68,AS$4-$B232+1)</f>
        <v/>
      </c>
      <c r="AT232" s="153">
        <f>$C232*INDEX(Curves!$BI$8:$BI$68,AT$4-$B232+1)</f>
        <v/>
      </c>
      <c r="AU232" s="153">
        <f>$C232*INDEX(Curves!$BI$8:$BI$68,AU$4-$B232+1)</f>
        <v/>
      </c>
      <c r="AV232" s="153">
        <f>$C232*INDEX(Curves!$BI$8:$BI$68,AV$4-$B232+1)</f>
        <v/>
      </c>
      <c r="AW232" s="153">
        <f>$C232*INDEX(Curves!$BI$8:$BI$68,AW$4-$B232+1)</f>
        <v/>
      </c>
      <c r="AX232" s="153">
        <f>$C232*INDEX(Curves!$BI$8:$BI$68,AX$4-$B232+1)</f>
        <v/>
      </c>
      <c r="AY232" s="153">
        <f>$C232*INDEX(Curves!$BI$8:$BI$68,AY$4-$B232+1)</f>
        <v/>
      </c>
      <c r="AZ232" s="153">
        <f>$C232*INDEX(Curves!$BI$8:$BI$68,AZ$4-$B232+1)</f>
        <v/>
      </c>
      <c r="BA232" s="153">
        <f>$C232*INDEX(Curves!$BI$8:$BI$68,BA$4-$B232+1)</f>
        <v/>
      </c>
      <c r="BB232" s="153">
        <f>$C232*INDEX(Curves!$BI$8:$BI$68,BB$4-$B232+1)</f>
        <v/>
      </c>
      <c r="BC232" s="153">
        <f>$C232*INDEX(Curves!$BI$8:$BI$68,BC$4-$B232+1)</f>
        <v/>
      </c>
      <c r="BD232" s="153">
        <f>$C232*INDEX(Curves!$BI$8:$BI$68,BD$4-$B232+1)</f>
        <v/>
      </c>
      <c r="BE232" s="153">
        <f>$C232*INDEX(Curves!$BI$8:$BI$68,BE$4-$B232+1)</f>
        <v/>
      </c>
      <c r="BF232" s="153">
        <f>$C232*INDEX(Curves!$BI$8:$BI$68,BF$4-$B232+1)</f>
        <v/>
      </c>
      <c r="BG232" s="153">
        <f>$C232*INDEX(Curves!$BI$8:$BI$68,BG$4-$B232+1)</f>
        <v/>
      </c>
      <c r="BH232" s="153">
        <f>$C232*INDEX(Curves!$BI$8:$BI$68,BH$4-$B232+1)</f>
        <v/>
      </c>
      <c r="BI232" s="153">
        <f>$C232*INDEX(Curves!$BI$8:$BI$68,BI$4-$B232+1)</f>
        <v/>
      </c>
      <c r="BJ232" s="153">
        <f>$C232*INDEX(Curves!$BI$8:$BI$68,BJ$4-$B232+1)</f>
        <v/>
      </c>
      <c r="BK232" s="153">
        <f>$C232*INDEX(Curves!$BI$8:$BI$68,BK$4-$B232+1)</f>
        <v/>
      </c>
      <c r="BL232" s="153">
        <f>$C232*INDEX(Curves!$BI$8:$BI$68,BL$4-$B232+1)</f>
        <v/>
      </c>
    </row>
    <row r="233">
      <c r="A233" s="147" t="inlineStr">
        <is>
          <t>Cohort month 35</t>
        </is>
      </c>
      <c r="B233" s="147" t="n">
        <v>35</v>
      </c>
      <c r="C233" s="41">
        <f>INDEX(Ops!$E$110:$BL$110,1,$B233)</f>
        <v/>
      </c>
      <c r="AN233" s="153">
        <f>$C233*INDEX(Curves!$BI$8:$BI$68,AN$4-$B233+1)</f>
        <v/>
      </c>
      <c r="AO233" s="153">
        <f>$C233*INDEX(Curves!$BI$8:$BI$68,AO$4-$B233+1)</f>
        <v/>
      </c>
      <c r="AP233" s="153">
        <f>$C233*INDEX(Curves!$BI$8:$BI$68,AP$4-$B233+1)</f>
        <v/>
      </c>
      <c r="AQ233" s="153">
        <f>$C233*INDEX(Curves!$BI$8:$BI$68,AQ$4-$B233+1)</f>
        <v/>
      </c>
      <c r="AR233" s="153">
        <f>$C233*INDEX(Curves!$BI$8:$BI$68,AR$4-$B233+1)</f>
        <v/>
      </c>
      <c r="AS233" s="153">
        <f>$C233*INDEX(Curves!$BI$8:$BI$68,AS$4-$B233+1)</f>
        <v/>
      </c>
      <c r="AT233" s="153">
        <f>$C233*INDEX(Curves!$BI$8:$BI$68,AT$4-$B233+1)</f>
        <v/>
      </c>
      <c r="AU233" s="153">
        <f>$C233*INDEX(Curves!$BI$8:$BI$68,AU$4-$B233+1)</f>
        <v/>
      </c>
      <c r="AV233" s="153">
        <f>$C233*INDEX(Curves!$BI$8:$BI$68,AV$4-$B233+1)</f>
        <v/>
      </c>
      <c r="AW233" s="153">
        <f>$C233*INDEX(Curves!$BI$8:$BI$68,AW$4-$B233+1)</f>
        <v/>
      </c>
      <c r="AX233" s="153">
        <f>$C233*INDEX(Curves!$BI$8:$BI$68,AX$4-$B233+1)</f>
        <v/>
      </c>
      <c r="AY233" s="153">
        <f>$C233*INDEX(Curves!$BI$8:$BI$68,AY$4-$B233+1)</f>
        <v/>
      </c>
      <c r="AZ233" s="153">
        <f>$C233*INDEX(Curves!$BI$8:$BI$68,AZ$4-$B233+1)</f>
        <v/>
      </c>
      <c r="BA233" s="153">
        <f>$C233*INDEX(Curves!$BI$8:$BI$68,BA$4-$B233+1)</f>
        <v/>
      </c>
      <c r="BB233" s="153">
        <f>$C233*INDEX(Curves!$BI$8:$BI$68,BB$4-$B233+1)</f>
        <v/>
      </c>
      <c r="BC233" s="153">
        <f>$C233*INDEX(Curves!$BI$8:$BI$68,BC$4-$B233+1)</f>
        <v/>
      </c>
      <c r="BD233" s="153">
        <f>$C233*INDEX(Curves!$BI$8:$BI$68,BD$4-$B233+1)</f>
        <v/>
      </c>
      <c r="BE233" s="153">
        <f>$C233*INDEX(Curves!$BI$8:$BI$68,BE$4-$B233+1)</f>
        <v/>
      </c>
      <c r="BF233" s="153">
        <f>$C233*INDEX(Curves!$BI$8:$BI$68,BF$4-$B233+1)</f>
        <v/>
      </c>
      <c r="BG233" s="153">
        <f>$C233*INDEX(Curves!$BI$8:$BI$68,BG$4-$B233+1)</f>
        <v/>
      </c>
      <c r="BH233" s="153">
        <f>$C233*INDEX(Curves!$BI$8:$BI$68,BH$4-$B233+1)</f>
        <v/>
      </c>
      <c r="BI233" s="153">
        <f>$C233*INDEX(Curves!$BI$8:$BI$68,BI$4-$B233+1)</f>
        <v/>
      </c>
      <c r="BJ233" s="153">
        <f>$C233*INDEX(Curves!$BI$8:$BI$68,BJ$4-$B233+1)</f>
        <v/>
      </c>
      <c r="BK233" s="153">
        <f>$C233*INDEX(Curves!$BI$8:$BI$68,BK$4-$B233+1)</f>
        <v/>
      </c>
      <c r="BL233" s="153">
        <f>$C233*INDEX(Curves!$BI$8:$BI$68,BL$4-$B233+1)</f>
        <v/>
      </c>
    </row>
    <row r="234">
      <c r="A234" s="147" t="inlineStr">
        <is>
          <t>Cohort month 36</t>
        </is>
      </c>
      <c r="B234" s="147" t="n">
        <v>36</v>
      </c>
      <c r="C234" s="41">
        <f>INDEX(Ops!$E$110:$BL$110,1,$B234)</f>
        <v/>
      </c>
      <c r="AO234" s="153">
        <f>$C234*INDEX(Curves!$BI$8:$BI$68,AO$4-$B234+1)</f>
        <v/>
      </c>
      <c r="AP234" s="153">
        <f>$C234*INDEX(Curves!$BI$8:$BI$68,AP$4-$B234+1)</f>
        <v/>
      </c>
      <c r="AQ234" s="153">
        <f>$C234*INDEX(Curves!$BI$8:$BI$68,AQ$4-$B234+1)</f>
        <v/>
      </c>
      <c r="AR234" s="153">
        <f>$C234*INDEX(Curves!$BI$8:$BI$68,AR$4-$B234+1)</f>
        <v/>
      </c>
      <c r="AS234" s="153">
        <f>$C234*INDEX(Curves!$BI$8:$BI$68,AS$4-$B234+1)</f>
        <v/>
      </c>
      <c r="AT234" s="153">
        <f>$C234*INDEX(Curves!$BI$8:$BI$68,AT$4-$B234+1)</f>
        <v/>
      </c>
      <c r="AU234" s="153">
        <f>$C234*INDEX(Curves!$BI$8:$BI$68,AU$4-$B234+1)</f>
        <v/>
      </c>
      <c r="AV234" s="153">
        <f>$C234*INDEX(Curves!$BI$8:$BI$68,AV$4-$B234+1)</f>
        <v/>
      </c>
      <c r="AW234" s="153">
        <f>$C234*INDEX(Curves!$BI$8:$BI$68,AW$4-$B234+1)</f>
        <v/>
      </c>
      <c r="AX234" s="153">
        <f>$C234*INDEX(Curves!$BI$8:$BI$68,AX$4-$B234+1)</f>
        <v/>
      </c>
      <c r="AY234" s="153">
        <f>$C234*INDEX(Curves!$BI$8:$BI$68,AY$4-$B234+1)</f>
        <v/>
      </c>
      <c r="AZ234" s="153">
        <f>$C234*INDEX(Curves!$BI$8:$BI$68,AZ$4-$B234+1)</f>
        <v/>
      </c>
      <c r="BA234" s="153">
        <f>$C234*INDEX(Curves!$BI$8:$BI$68,BA$4-$B234+1)</f>
        <v/>
      </c>
      <c r="BB234" s="153">
        <f>$C234*INDEX(Curves!$BI$8:$BI$68,BB$4-$B234+1)</f>
        <v/>
      </c>
      <c r="BC234" s="153">
        <f>$C234*INDEX(Curves!$BI$8:$BI$68,BC$4-$B234+1)</f>
        <v/>
      </c>
      <c r="BD234" s="153">
        <f>$C234*INDEX(Curves!$BI$8:$BI$68,BD$4-$B234+1)</f>
        <v/>
      </c>
      <c r="BE234" s="153">
        <f>$C234*INDEX(Curves!$BI$8:$BI$68,BE$4-$B234+1)</f>
        <v/>
      </c>
      <c r="BF234" s="153">
        <f>$C234*INDEX(Curves!$BI$8:$BI$68,BF$4-$B234+1)</f>
        <v/>
      </c>
      <c r="BG234" s="153">
        <f>$C234*INDEX(Curves!$BI$8:$BI$68,BG$4-$B234+1)</f>
        <v/>
      </c>
      <c r="BH234" s="153">
        <f>$C234*INDEX(Curves!$BI$8:$BI$68,BH$4-$B234+1)</f>
        <v/>
      </c>
      <c r="BI234" s="153">
        <f>$C234*INDEX(Curves!$BI$8:$BI$68,BI$4-$B234+1)</f>
        <v/>
      </c>
      <c r="BJ234" s="153">
        <f>$C234*INDEX(Curves!$BI$8:$BI$68,BJ$4-$B234+1)</f>
        <v/>
      </c>
      <c r="BK234" s="153">
        <f>$C234*INDEX(Curves!$BI$8:$BI$68,BK$4-$B234+1)</f>
        <v/>
      </c>
      <c r="BL234" s="153">
        <f>$C234*INDEX(Curves!$BI$8:$BI$68,BL$4-$B234+1)</f>
        <v/>
      </c>
    </row>
    <row r="235">
      <c r="A235" s="147" t="inlineStr">
        <is>
          <t>Cohort month 37</t>
        </is>
      </c>
      <c r="B235" s="147" t="n">
        <v>37</v>
      </c>
      <c r="C235" s="41">
        <f>INDEX(Ops!$E$110:$BL$110,1,$B235)</f>
        <v/>
      </c>
      <c r="AP235" s="153">
        <f>$C235*INDEX(Curves!$BI$8:$BI$68,AP$4-$B235+1)</f>
        <v/>
      </c>
      <c r="AQ235" s="153">
        <f>$C235*INDEX(Curves!$BI$8:$BI$68,AQ$4-$B235+1)</f>
        <v/>
      </c>
      <c r="AR235" s="153">
        <f>$C235*INDEX(Curves!$BI$8:$BI$68,AR$4-$B235+1)</f>
        <v/>
      </c>
      <c r="AS235" s="153">
        <f>$C235*INDEX(Curves!$BI$8:$BI$68,AS$4-$B235+1)</f>
        <v/>
      </c>
      <c r="AT235" s="153">
        <f>$C235*INDEX(Curves!$BI$8:$BI$68,AT$4-$B235+1)</f>
        <v/>
      </c>
      <c r="AU235" s="153">
        <f>$C235*INDEX(Curves!$BI$8:$BI$68,AU$4-$B235+1)</f>
        <v/>
      </c>
      <c r="AV235" s="153">
        <f>$C235*INDEX(Curves!$BI$8:$BI$68,AV$4-$B235+1)</f>
        <v/>
      </c>
      <c r="AW235" s="153">
        <f>$C235*INDEX(Curves!$BI$8:$BI$68,AW$4-$B235+1)</f>
        <v/>
      </c>
      <c r="AX235" s="153">
        <f>$C235*INDEX(Curves!$BI$8:$BI$68,AX$4-$B235+1)</f>
        <v/>
      </c>
      <c r="AY235" s="153">
        <f>$C235*INDEX(Curves!$BI$8:$BI$68,AY$4-$B235+1)</f>
        <v/>
      </c>
      <c r="AZ235" s="153">
        <f>$C235*INDEX(Curves!$BI$8:$BI$68,AZ$4-$B235+1)</f>
        <v/>
      </c>
      <c r="BA235" s="153">
        <f>$C235*INDEX(Curves!$BI$8:$BI$68,BA$4-$B235+1)</f>
        <v/>
      </c>
      <c r="BB235" s="153">
        <f>$C235*INDEX(Curves!$BI$8:$BI$68,BB$4-$B235+1)</f>
        <v/>
      </c>
      <c r="BC235" s="153">
        <f>$C235*INDEX(Curves!$BI$8:$BI$68,BC$4-$B235+1)</f>
        <v/>
      </c>
      <c r="BD235" s="153">
        <f>$C235*INDEX(Curves!$BI$8:$BI$68,BD$4-$B235+1)</f>
        <v/>
      </c>
      <c r="BE235" s="153">
        <f>$C235*INDEX(Curves!$BI$8:$BI$68,BE$4-$B235+1)</f>
        <v/>
      </c>
      <c r="BF235" s="153">
        <f>$C235*INDEX(Curves!$BI$8:$BI$68,BF$4-$B235+1)</f>
        <v/>
      </c>
      <c r="BG235" s="153">
        <f>$C235*INDEX(Curves!$BI$8:$BI$68,BG$4-$B235+1)</f>
        <v/>
      </c>
      <c r="BH235" s="153">
        <f>$C235*INDEX(Curves!$BI$8:$BI$68,BH$4-$B235+1)</f>
        <v/>
      </c>
      <c r="BI235" s="153">
        <f>$C235*INDEX(Curves!$BI$8:$BI$68,BI$4-$B235+1)</f>
        <v/>
      </c>
      <c r="BJ235" s="153">
        <f>$C235*INDEX(Curves!$BI$8:$BI$68,BJ$4-$B235+1)</f>
        <v/>
      </c>
      <c r="BK235" s="153">
        <f>$C235*INDEX(Curves!$BI$8:$BI$68,BK$4-$B235+1)</f>
        <v/>
      </c>
      <c r="BL235" s="153">
        <f>$C235*INDEX(Curves!$BI$8:$BI$68,BL$4-$B235+1)</f>
        <v/>
      </c>
    </row>
    <row r="236">
      <c r="A236" s="147" t="inlineStr">
        <is>
          <t>Cohort month 38</t>
        </is>
      </c>
      <c r="B236" s="147" t="n">
        <v>38</v>
      </c>
      <c r="C236" s="41">
        <f>INDEX(Ops!$E$110:$BL$110,1,$B236)</f>
        <v/>
      </c>
      <c r="AQ236" s="153">
        <f>$C236*INDEX(Curves!$BI$8:$BI$68,AQ$4-$B236+1)</f>
        <v/>
      </c>
      <c r="AR236" s="153">
        <f>$C236*INDEX(Curves!$BI$8:$BI$68,AR$4-$B236+1)</f>
        <v/>
      </c>
      <c r="AS236" s="153">
        <f>$C236*INDEX(Curves!$BI$8:$BI$68,AS$4-$B236+1)</f>
        <v/>
      </c>
      <c r="AT236" s="153">
        <f>$C236*INDEX(Curves!$BI$8:$BI$68,AT$4-$B236+1)</f>
        <v/>
      </c>
      <c r="AU236" s="153">
        <f>$C236*INDEX(Curves!$BI$8:$BI$68,AU$4-$B236+1)</f>
        <v/>
      </c>
      <c r="AV236" s="153">
        <f>$C236*INDEX(Curves!$BI$8:$BI$68,AV$4-$B236+1)</f>
        <v/>
      </c>
      <c r="AW236" s="153">
        <f>$C236*INDEX(Curves!$BI$8:$BI$68,AW$4-$B236+1)</f>
        <v/>
      </c>
      <c r="AX236" s="153">
        <f>$C236*INDEX(Curves!$BI$8:$BI$68,AX$4-$B236+1)</f>
        <v/>
      </c>
      <c r="AY236" s="153">
        <f>$C236*INDEX(Curves!$BI$8:$BI$68,AY$4-$B236+1)</f>
        <v/>
      </c>
      <c r="AZ236" s="153">
        <f>$C236*INDEX(Curves!$BI$8:$BI$68,AZ$4-$B236+1)</f>
        <v/>
      </c>
      <c r="BA236" s="153">
        <f>$C236*INDEX(Curves!$BI$8:$BI$68,BA$4-$B236+1)</f>
        <v/>
      </c>
      <c r="BB236" s="153">
        <f>$C236*INDEX(Curves!$BI$8:$BI$68,BB$4-$B236+1)</f>
        <v/>
      </c>
      <c r="BC236" s="153">
        <f>$C236*INDEX(Curves!$BI$8:$BI$68,BC$4-$B236+1)</f>
        <v/>
      </c>
      <c r="BD236" s="153">
        <f>$C236*INDEX(Curves!$BI$8:$BI$68,BD$4-$B236+1)</f>
        <v/>
      </c>
      <c r="BE236" s="153">
        <f>$C236*INDEX(Curves!$BI$8:$BI$68,BE$4-$B236+1)</f>
        <v/>
      </c>
      <c r="BF236" s="153">
        <f>$C236*INDEX(Curves!$BI$8:$BI$68,BF$4-$B236+1)</f>
        <v/>
      </c>
      <c r="BG236" s="153">
        <f>$C236*INDEX(Curves!$BI$8:$BI$68,BG$4-$B236+1)</f>
        <v/>
      </c>
      <c r="BH236" s="153">
        <f>$C236*INDEX(Curves!$BI$8:$BI$68,BH$4-$B236+1)</f>
        <v/>
      </c>
      <c r="BI236" s="153">
        <f>$C236*INDEX(Curves!$BI$8:$BI$68,BI$4-$B236+1)</f>
        <v/>
      </c>
      <c r="BJ236" s="153">
        <f>$C236*INDEX(Curves!$BI$8:$BI$68,BJ$4-$B236+1)</f>
        <v/>
      </c>
      <c r="BK236" s="153">
        <f>$C236*INDEX(Curves!$BI$8:$BI$68,BK$4-$B236+1)</f>
        <v/>
      </c>
      <c r="BL236" s="153">
        <f>$C236*INDEX(Curves!$BI$8:$BI$68,BL$4-$B236+1)</f>
        <v/>
      </c>
    </row>
    <row r="237">
      <c r="A237" s="147" t="inlineStr">
        <is>
          <t>Cohort month 39</t>
        </is>
      </c>
      <c r="B237" s="147" t="n">
        <v>39</v>
      </c>
      <c r="C237" s="41">
        <f>INDEX(Ops!$E$110:$BL$110,1,$B237)</f>
        <v/>
      </c>
      <c r="AR237" s="153">
        <f>$C237*INDEX(Curves!$BI$8:$BI$68,AR$4-$B237+1)</f>
        <v/>
      </c>
      <c r="AS237" s="153">
        <f>$C237*INDEX(Curves!$BI$8:$BI$68,AS$4-$B237+1)</f>
        <v/>
      </c>
      <c r="AT237" s="153">
        <f>$C237*INDEX(Curves!$BI$8:$BI$68,AT$4-$B237+1)</f>
        <v/>
      </c>
      <c r="AU237" s="153">
        <f>$C237*INDEX(Curves!$BI$8:$BI$68,AU$4-$B237+1)</f>
        <v/>
      </c>
      <c r="AV237" s="153">
        <f>$C237*INDEX(Curves!$BI$8:$BI$68,AV$4-$B237+1)</f>
        <v/>
      </c>
      <c r="AW237" s="153">
        <f>$C237*INDEX(Curves!$BI$8:$BI$68,AW$4-$B237+1)</f>
        <v/>
      </c>
      <c r="AX237" s="153">
        <f>$C237*INDEX(Curves!$BI$8:$BI$68,AX$4-$B237+1)</f>
        <v/>
      </c>
      <c r="AY237" s="153">
        <f>$C237*INDEX(Curves!$BI$8:$BI$68,AY$4-$B237+1)</f>
        <v/>
      </c>
      <c r="AZ237" s="153">
        <f>$C237*INDEX(Curves!$BI$8:$BI$68,AZ$4-$B237+1)</f>
        <v/>
      </c>
      <c r="BA237" s="153">
        <f>$C237*INDEX(Curves!$BI$8:$BI$68,BA$4-$B237+1)</f>
        <v/>
      </c>
      <c r="BB237" s="153">
        <f>$C237*INDEX(Curves!$BI$8:$BI$68,BB$4-$B237+1)</f>
        <v/>
      </c>
      <c r="BC237" s="153">
        <f>$C237*INDEX(Curves!$BI$8:$BI$68,BC$4-$B237+1)</f>
        <v/>
      </c>
      <c r="BD237" s="153">
        <f>$C237*INDEX(Curves!$BI$8:$BI$68,BD$4-$B237+1)</f>
        <v/>
      </c>
      <c r="BE237" s="153">
        <f>$C237*INDEX(Curves!$BI$8:$BI$68,BE$4-$B237+1)</f>
        <v/>
      </c>
      <c r="BF237" s="153">
        <f>$C237*INDEX(Curves!$BI$8:$BI$68,BF$4-$B237+1)</f>
        <v/>
      </c>
      <c r="BG237" s="153">
        <f>$C237*INDEX(Curves!$BI$8:$BI$68,BG$4-$B237+1)</f>
        <v/>
      </c>
      <c r="BH237" s="153">
        <f>$C237*INDEX(Curves!$BI$8:$BI$68,BH$4-$B237+1)</f>
        <v/>
      </c>
      <c r="BI237" s="153">
        <f>$C237*INDEX(Curves!$BI$8:$BI$68,BI$4-$B237+1)</f>
        <v/>
      </c>
      <c r="BJ237" s="153">
        <f>$C237*INDEX(Curves!$BI$8:$BI$68,BJ$4-$B237+1)</f>
        <v/>
      </c>
      <c r="BK237" s="153">
        <f>$C237*INDEX(Curves!$BI$8:$BI$68,BK$4-$B237+1)</f>
        <v/>
      </c>
      <c r="BL237" s="153">
        <f>$C237*INDEX(Curves!$BI$8:$BI$68,BL$4-$B237+1)</f>
        <v/>
      </c>
    </row>
    <row r="238">
      <c r="A238" s="147" t="inlineStr">
        <is>
          <t>Cohort month 40</t>
        </is>
      </c>
      <c r="B238" s="147" t="n">
        <v>40</v>
      </c>
      <c r="C238" s="41">
        <f>INDEX(Ops!$E$110:$BL$110,1,$B238)</f>
        <v/>
      </c>
      <c r="AS238" s="153">
        <f>$C238*INDEX(Curves!$BI$8:$BI$68,AS$4-$B238+1)</f>
        <v/>
      </c>
      <c r="AT238" s="153">
        <f>$C238*INDEX(Curves!$BI$8:$BI$68,AT$4-$B238+1)</f>
        <v/>
      </c>
      <c r="AU238" s="153">
        <f>$C238*INDEX(Curves!$BI$8:$BI$68,AU$4-$B238+1)</f>
        <v/>
      </c>
      <c r="AV238" s="153">
        <f>$C238*INDEX(Curves!$BI$8:$BI$68,AV$4-$B238+1)</f>
        <v/>
      </c>
      <c r="AW238" s="153">
        <f>$C238*INDEX(Curves!$BI$8:$BI$68,AW$4-$B238+1)</f>
        <v/>
      </c>
      <c r="AX238" s="153">
        <f>$C238*INDEX(Curves!$BI$8:$BI$68,AX$4-$B238+1)</f>
        <v/>
      </c>
      <c r="AY238" s="153">
        <f>$C238*INDEX(Curves!$BI$8:$BI$68,AY$4-$B238+1)</f>
        <v/>
      </c>
      <c r="AZ238" s="153">
        <f>$C238*INDEX(Curves!$BI$8:$BI$68,AZ$4-$B238+1)</f>
        <v/>
      </c>
      <c r="BA238" s="153">
        <f>$C238*INDEX(Curves!$BI$8:$BI$68,BA$4-$B238+1)</f>
        <v/>
      </c>
      <c r="BB238" s="153">
        <f>$C238*INDEX(Curves!$BI$8:$BI$68,BB$4-$B238+1)</f>
        <v/>
      </c>
      <c r="BC238" s="153">
        <f>$C238*INDEX(Curves!$BI$8:$BI$68,BC$4-$B238+1)</f>
        <v/>
      </c>
      <c r="BD238" s="153">
        <f>$C238*INDEX(Curves!$BI$8:$BI$68,BD$4-$B238+1)</f>
        <v/>
      </c>
      <c r="BE238" s="153">
        <f>$C238*INDEX(Curves!$BI$8:$BI$68,BE$4-$B238+1)</f>
        <v/>
      </c>
      <c r="BF238" s="153">
        <f>$C238*INDEX(Curves!$BI$8:$BI$68,BF$4-$B238+1)</f>
        <v/>
      </c>
      <c r="BG238" s="153">
        <f>$C238*INDEX(Curves!$BI$8:$BI$68,BG$4-$B238+1)</f>
        <v/>
      </c>
      <c r="BH238" s="153">
        <f>$C238*INDEX(Curves!$BI$8:$BI$68,BH$4-$B238+1)</f>
        <v/>
      </c>
      <c r="BI238" s="153">
        <f>$C238*INDEX(Curves!$BI$8:$BI$68,BI$4-$B238+1)</f>
        <v/>
      </c>
      <c r="BJ238" s="153">
        <f>$C238*INDEX(Curves!$BI$8:$BI$68,BJ$4-$B238+1)</f>
        <v/>
      </c>
      <c r="BK238" s="153">
        <f>$C238*INDEX(Curves!$BI$8:$BI$68,BK$4-$B238+1)</f>
        <v/>
      </c>
      <c r="BL238" s="153">
        <f>$C238*INDEX(Curves!$BI$8:$BI$68,BL$4-$B238+1)</f>
        <v/>
      </c>
    </row>
    <row r="239">
      <c r="A239" s="147" t="inlineStr">
        <is>
          <t>Cohort month 41</t>
        </is>
      </c>
      <c r="B239" s="147" t="n">
        <v>41</v>
      </c>
      <c r="C239" s="41">
        <f>INDEX(Ops!$E$110:$BL$110,1,$B239)</f>
        <v/>
      </c>
      <c r="AT239" s="153">
        <f>$C239*INDEX(Curves!$BI$8:$BI$68,AT$4-$B239+1)</f>
        <v/>
      </c>
      <c r="AU239" s="153">
        <f>$C239*INDEX(Curves!$BI$8:$BI$68,AU$4-$B239+1)</f>
        <v/>
      </c>
      <c r="AV239" s="153">
        <f>$C239*INDEX(Curves!$BI$8:$BI$68,AV$4-$B239+1)</f>
        <v/>
      </c>
      <c r="AW239" s="153">
        <f>$C239*INDEX(Curves!$BI$8:$BI$68,AW$4-$B239+1)</f>
        <v/>
      </c>
      <c r="AX239" s="153">
        <f>$C239*INDEX(Curves!$BI$8:$BI$68,AX$4-$B239+1)</f>
        <v/>
      </c>
      <c r="AY239" s="153">
        <f>$C239*INDEX(Curves!$BI$8:$BI$68,AY$4-$B239+1)</f>
        <v/>
      </c>
      <c r="AZ239" s="153">
        <f>$C239*INDEX(Curves!$BI$8:$BI$68,AZ$4-$B239+1)</f>
        <v/>
      </c>
      <c r="BA239" s="153">
        <f>$C239*INDEX(Curves!$BI$8:$BI$68,BA$4-$B239+1)</f>
        <v/>
      </c>
      <c r="BB239" s="153">
        <f>$C239*INDEX(Curves!$BI$8:$BI$68,BB$4-$B239+1)</f>
        <v/>
      </c>
      <c r="BC239" s="153">
        <f>$C239*INDEX(Curves!$BI$8:$BI$68,BC$4-$B239+1)</f>
        <v/>
      </c>
      <c r="BD239" s="153">
        <f>$C239*INDEX(Curves!$BI$8:$BI$68,BD$4-$B239+1)</f>
        <v/>
      </c>
      <c r="BE239" s="153">
        <f>$C239*INDEX(Curves!$BI$8:$BI$68,BE$4-$B239+1)</f>
        <v/>
      </c>
      <c r="BF239" s="153">
        <f>$C239*INDEX(Curves!$BI$8:$BI$68,BF$4-$B239+1)</f>
        <v/>
      </c>
      <c r="BG239" s="153">
        <f>$C239*INDEX(Curves!$BI$8:$BI$68,BG$4-$B239+1)</f>
        <v/>
      </c>
      <c r="BH239" s="153">
        <f>$C239*INDEX(Curves!$BI$8:$BI$68,BH$4-$B239+1)</f>
        <v/>
      </c>
      <c r="BI239" s="153">
        <f>$C239*INDEX(Curves!$BI$8:$BI$68,BI$4-$B239+1)</f>
        <v/>
      </c>
      <c r="BJ239" s="153">
        <f>$C239*INDEX(Curves!$BI$8:$BI$68,BJ$4-$B239+1)</f>
        <v/>
      </c>
      <c r="BK239" s="153">
        <f>$C239*INDEX(Curves!$BI$8:$BI$68,BK$4-$B239+1)</f>
        <v/>
      </c>
      <c r="BL239" s="153">
        <f>$C239*INDEX(Curves!$BI$8:$BI$68,BL$4-$B239+1)</f>
        <v/>
      </c>
    </row>
    <row r="240">
      <c r="A240" s="147" t="inlineStr">
        <is>
          <t>Cohort month 42</t>
        </is>
      </c>
      <c r="B240" s="147" t="n">
        <v>42</v>
      </c>
      <c r="C240" s="41">
        <f>INDEX(Ops!$E$110:$BL$110,1,$B240)</f>
        <v/>
      </c>
      <c r="AU240" s="153">
        <f>$C240*INDEX(Curves!$BI$8:$BI$68,AU$4-$B240+1)</f>
        <v/>
      </c>
      <c r="AV240" s="153">
        <f>$C240*INDEX(Curves!$BI$8:$BI$68,AV$4-$B240+1)</f>
        <v/>
      </c>
      <c r="AW240" s="153">
        <f>$C240*INDEX(Curves!$BI$8:$BI$68,AW$4-$B240+1)</f>
        <v/>
      </c>
      <c r="AX240" s="153">
        <f>$C240*INDEX(Curves!$BI$8:$BI$68,AX$4-$B240+1)</f>
        <v/>
      </c>
      <c r="AY240" s="153">
        <f>$C240*INDEX(Curves!$BI$8:$BI$68,AY$4-$B240+1)</f>
        <v/>
      </c>
      <c r="AZ240" s="153">
        <f>$C240*INDEX(Curves!$BI$8:$BI$68,AZ$4-$B240+1)</f>
        <v/>
      </c>
      <c r="BA240" s="153">
        <f>$C240*INDEX(Curves!$BI$8:$BI$68,BA$4-$B240+1)</f>
        <v/>
      </c>
      <c r="BB240" s="153">
        <f>$C240*INDEX(Curves!$BI$8:$BI$68,BB$4-$B240+1)</f>
        <v/>
      </c>
      <c r="BC240" s="153">
        <f>$C240*INDEX(Curves!$BI$8:$BI$68,BC$4-$B240+1)</f>
        <v/>
      </c>
      <c r="BD240" s="153">
        <f>$C240*INDEX(Curves!$BI$8:$BI$68,BD$4-$B240+1)</f>
        <v/>
      </c>
      <c r="BE240" s="153">
        <f>$C240*INDEX(Curves!$BI$8:$BI$68,BE$4-$B240+1)</f>
        <v/>
      </c>
      <c r="BF240" s="153">
        <f>$C240*INDEX(Curves!$BI$8:$BI$68,BF$4-$B240+1)</f>
        <v/>
      </c>
      <c r="BG240" s="153">
        <f>$C240*INDEX(Curves!$BI$8:$BI$68,BG$4-$B240+1)</f>
        <v/>
      </c>
      <c r="BH240" s="153">
        <f>$C240*INDEX(Curves!$BI$8:$BI$68,BH$4-$B240+1)</f>
        <v/>
      </c>
      <c r="BI240" s="153">
        <f>$C240*INDEX(Curves!$BI$8:$BI$68,BI$4-$B240+1)</f>
        <v/>
      </c>
      <c r="BJ240" s="153">
        <f>$C240*INDEX(Curves!$BI$8:$BI$68,BJ$4-$B240+1)</f>
        <v/>
      </c>
      <c r="BK240" s="153">
        <f>$C240*INDEX(Curves!$BI$8:$BI$68,BK$4-$B240+1)</f>
        <v/>
      </c>
      <c r="BL240" s="153">
        <f>$C240*INDEX(Curves!$BI$8:$BI$68,BL$4-$B240+1)</f>
        <v/>
      </c>
    </row>
    <row r="241">
      <c r="A241" s="147" t="inlineStr">
        <is>
          <t>Cohort month 43</t>
        </is>
      </c>
      <c r="B241" s="147" t="n">
        <v>43</v>
      </c>
      <c r="C241" s="41">
        <f>INDEX(Ops!$E$110:$BL$110,1,$B241)</f>
        <v/>
      </c>
      <c r="AV241" s="153">
        <f>$C241*INDEX(Curves!$BI$8:$BI$68,AV$4-$B241+1)</f>
        <v/>
      </c>
      <c r="AW241" s="153">
        <f>$C241*INDEX(Curves!$BI$8:$BI$68,AW$4-$B241+1)</f>
        <v/>
      </c>
      <c r="AX241" s="153">
        <f>$C241*INDEX(Curves!$BI$8:$BI$68,AX$4-$B241+1)</f>
        <v/>
      </c>
      <c r="AY241" s="153">
        <f>$C241*INDEX(Curves!$BI$8:$BI$68,AY$4-$B241+1)</f>
        <v/>
      </c>
      <c r="AZ241" s="153">
        <f>$C241*INDEX(Curves!$BI$8:$BI$68,AZ$4-$B241+1)</f>
        <v/>
      </c>
      <c r="BA241" s="153">
        <f>$C241*INDEX(Curves!$BI$8:$BI$68,BA$4-$B241+1)</f>
        <v/>
      </c>
      <c r="BB241" s="153">
        <f>$C241*INDEX(Curves!$BI$8:$BI$68,BB$4-$B241+1)</f>
        <v/>
      </c>
      <c r="BC241" s="153">
        <f>$C241*INDEX(Curves!$BI$8:$BI$68,BC$4-$B241+1)</f>
        <v/>
      </c>
      <c r="BD241" s="153">
        <f>$C241*INDEX(Curves!$BI$8:$BI$68,BD$4-$B241+1)</f>
        <v/>
      </c>
      <c r="BE241" s="153">
        <f>$C241*INDEX(Curves!$BI$8:$BI$68,BE$4-$B241+1)</f>
        <v/>
      </c>
      <c r="BF241" s="153">
        <f>$C241*INDEX(Curves!$BI$8:$BI$68,BF$4-$B241+1)</f>
        <v/>
      </c>
      <c r="BG241" s="153">
        <f>$C241*INDEX(Curves!$BI$8:$BI$68,BG$4-$B241+1)</f>
        <v/>
      </c>
      <c r="BH241" s="153">
        <f>$C241*INDEX(Curves!$BI$8:$BI$68,BH$4-$B241+1)</f>
        <v/>
      </c>
      <c r="BI241" s="153">
        <f>$C241*INDEX(Curves!$BI$8:$BI$68,BI$4-$B241+1)</f>
        <v/>
      </c>
      <c r="BJ241" s="153">
        <f>$C241*INDEX(Curves!$BI$8:$BI$68,BJ$4-$B241+1)</f>
        <v/>
      </c>
      <c r="BK241" s="153">
        <f>$C241*INDEX(Curves!$BI$8:$BI$68,BK$4-$B241+1)</f>
        <v/>
      </c>
      <c r="BL241" s="153">
        <f>$C241*INDEX(Curves!$BI$8:$BI$68,BL$4-$B241+1)</f>
        <v/>
      </c>
    </row>
    <row r="242">
      <c r="A242" s="147" t="inlineStr">
        <is>
          <t>Cohort month 44</t>
        </is>
      </c>
      <c r="B242" s="147" t="n">
        <v>44</v>
      </c>
      <c r="C242" s="41">
        <f>INDEX(Ops!$E$110:$BL$110,1,$B242)</f>
        <v/>
      </c>
      <c r="AW242" s="153">
        <f>$C242*INDEX(Curves!$BI$8:$BI$68,AW$4-$B242+1)</f>
        <v/>
      </c>
      <c r="AX242" s="153">
        <f>$C242*INDEX(Curves!$BI$8:$BI$68,AX$4-$B242+1)</f>
        <v/>
      </c>
      <c r="AY242" s="153">
        <f>$C242*INDEX(Curves!$BI$8:$BI$68,AY$4-$B242+1)</f>
        <v/>
      </c>
      <c r="AZ242" s="153">
        <f>$C242*INDEX(Curves!$BI$8:$BI$68,AZ$4-$B242+1)</f>
        <v/>
      </c>
      <c r="BA242" s="153">
        <f>$C242*INDEX(Curves!$BI$8:$BI$68,BA$4-$B242+1)</f>
        <v/>
      </c>
      <c r="BB242" s="153">
        <f>$C242*INDEX(Curves!$BI$8:$BI$68,BB$4-$B242+1)</f>
        <v/>
      </c>
      <c r="BC242" s="153">
        <f>$C242*INDEX(Curves!$BI$8:$BI$68,BC$4-$B242+1)</f>
        <v/>
      </c>
      <c r="BD242" s="153">
        <f>$C242*INDEX(Curves!$BI$8:$BI$68,BD$4-$B242+1)</f>
        <v/>
      </c>
      <c r="BE242" s="153">
        <f>$C242*INDEX(Curves!$BI$8:$BI$68,BE$4-$B242+1)</f>
        <v/>
      </c>
      <c r="BF242" s="153">
        <f>$C242*INDEX(Curves!$BI$8:$BI$68,BF$4-$B242+1)</f>
        <v/>
      </c>
      <c r="BG242" s="153">
        <f>$C242*INDEX(Curves!$BI$8:$BI$68,BG$4-$B242+1)</f>
        <v/>
      </c>
      <c r="BH242" s="153">
        <f>$C242*INDEX(Curves!$BI$8:$BI$68,BH$4-$B242+1)</f>
        <v/>
      </c>
      <c r="BI242" s="153">
        <f>$C242*INDEX(Curves!$BI$8:$BI$68,BI$4-$B242+1)</f>
        <v/>
      </c>
      <c r="BJ242" s="153">
        <f>$C242*INDEX(Curves!$BI$8:$BI$68,BJ$4-$B242+1)</f>
        <v/>
      </c>
      <c r="BK242" s="153">
        <f>$C242*INDEX(Curves!$BI$8:$BI$68,BK$4-$B242+1)</f>
        <v/>
      </c>
      <c r="BL242" s="153">
        <f>$C242*INDEX(Curves!$BI$8:$BI$68,BL$4-$B242+1)</f>
        <v/>
      </c>
    </row>
    <row r="243">
      <c r="A243" s="147" t="inlineStr">
        <is>
          <t>Cohort month 45</t>
        </is>
      </c>
      <c r="B243" s="147" t="n">
        <v>45</v>
      </c>
      <c r="C243" s="41">
        <f>INDEX(Ops!$E$110:$BL$110,1,$B243)</f>
        <v/>
      </c>
      <c r="AX243" s="153">
        <f>$C243*INDEX(Curves!$BI$8:$BI$68,AX$4-$B243+1)</f>
        <v/>
      </c>
      <c r="AY243" s="153">
        <f>$C243*INDEX(Curves!$BI$8:$BI$68,AY$4-$B243+1)</f>
        <v/>
      </c>
      <c r="AZ243" s="153">
        <f>$C243*INDEX(Curves!$BI$8:$BI$68,AZ$4-$B243+1)</f>
        <v/>
      </c>
      <c r="BA243" s="153">
        <f>$C243*INDEX(Curves!$BI$8:$BI$68,BA$4-$B243+1)</f>
        <v/>
      </c>
      <c r="BB243" s="153">
        <f>$C243*INDEX(Curves!$BI$8:$BI$68,BB$4-$B243+1)</f>
        <v/>
      </c>
      <c r="BC243" s="153">
        <f>$C243*INDEX(Curves!$BI$8:$BI$68,BC$4-$B243+1)</f>
        <v/>
      </c>
      <c r="BD243" s="153">
        <f>$C243*INDEX(Curves!$BI$8:$BI$68,BD$4-$B243+1)</f>
        <v/>
      </c>
      <c r="BE243" s="153">
        <f>$C243*INDEX(Curves!$BI$8:$BI$68,BE$4-$B243+1)</f>
        <v/>
      </c>
      <c r="BF243" s="153">
        <f>$C243*INDEX(Curves!$BI$8:$BI$68,BF$4-$B243+1)</f>
        <v/>
      </c>
      <c r="BG243" s="153">
        <f>$C243*INDEX(Curves!$BI$8:$BI$68,BG$4-$B243+1)</f>
        <v/>
      </c>
      <c r="BH243" s="153">
        <f>$C243*INDEX(Curves!$BI$8:$BI$68,BH$4-$B243+1)</f>
        <v/>
      </c>
      <c r="BI243" s="153">
        <f>$C243*INDEX(Curves!$BI$8:$BI$68,BI$4-$B243+1)</f>
        <v/>
      </c>
      <c r="BJ243" s="153">
        <f>$C243*INDEX(Curves!$BI$8:$BI$68,BJ$4-$B243+1)</f>
        <v/>
      </c>
      <c r="BK243" s="153">
        <f>$C243*INDEX(Curves!$BI$8:$BI$68,BK$4-$B243+1)</f>
        <v/>
      </c>
      <c r="BL243" s="153">
        <f>$C243*INDEX(Curves!$BI$8:$BI$68,BL$4-$B243+1)</f>
        <v/>
      </c>
    </row>
    <row r="244">
      <c r="A244" s="147" t="inlineStr">
        <is>
          <t>Cohort month 46</t>
        </is>
      </c>
      <c r="B244" s="147" t="n">
        <v>46</v>
      </c>
      <c r="C244" s="41">
        <f>INDEX(Ops!$E$110:$BL$110,1,$B244)</f>
        <v/>
      </c>
      <c r="AY244" s="153">
        <f>$C244*INDEX(Curves!$BI$8:$BI$68,AY$4-$B244+1)</f>
        <v/>
      </c>
      <c r="AZ244" s="153">
        <f>$C244*INDEX(Curves!$BI$8:$BI$68,AZ$4-$B244+1)</f>
        <v/>
      </c>
      <c r="BA244" s="153">
        <f>$C244*INDEX(Curves!$BI$8:$BI$68,BA$4-$B244+1)</f>
        <v/>
      </c>
      <c r="BB244" s="153">
        <f>$C244*INDEX(Curves!$BI$8:$BI$68,BB$4-$B244+1)</f>
        <v/>
      </c>
      <c r="BC244" s="153">
        <f>$C244*INDEX(Curves!$BI$8:$BI$68,BC$4-$B244+1)</f>
        <v/>
      </c>
      <c r="BD244" s="153">
        <f>$C244*INDEX(Curves!$BI$8:$BI$68,BD$4-$B244+1)</f>
        <v/>
      </c>
      <c r="BE244" s="153">
        <f>$C244*INDEX(Curves!$BI$8:$BI$68,BE$4-$B244+1)</f>
        <v/>
      </c>
      <c r="BF244" s="153">
        <f>$C244*INDEX(Curves!$BI$8:$BI$68,BF$4-$B244+1)</f>
        <v/>
      </c>
      <c r="BG244" s="153">
        <f>$C244*INDEX(Curves!$BI$8:$BI$68,BG$4-$B244+1)</f>
        <v/>
      </c>
      <c r="BH244" s="153">
        <f>$C244*INDEX(Curves!$BI$8:$BI$68,BH$4-$B244+1)</f>
        <v/>
      </c>
      <c r="BI244" s="153">
        <f>$C244*INDEX(Curves!$BI$8:$BI$68,BI$4-$B244+1)</f>
        <v/>
      </c>
      <c r="BJ244" s="153">
        <f>$C244*INDEX(Curves!$BI$8:$BI$68,BJ$4-$B244+1)</f>
        <v/>
      </c>
      <c r="BK244" s="153">
        <f>$C244*INDEX(Curves!$BI$8:$BI$68,BK$4-$B244+1)</f>
        <v/>
      </c>
      <c r="BL244" s="153">
        <f>$C244*INDEX(Curves!$BI$8:$BI$68,BL$4-$B244+1)</f>
        <v/>
      </c>
    </row>
    <row r="245">
      <c r="A245" s="147" t="inlineStr">
        <is>
          <t>Cohort month 47</t>
        </is>
      </c>
      <c r="B245" s="147" t="n">
        <v>47</v>
      </c>
      <c r="C245" s="41">
        <f>INDEX(Ops!$E$110:$BL$110,1,$B245)</f>
        <v/>
      </c>
      <c r="AZ245" s="153">
        <f>$C245*INDEX(Curves!$BI$8:$BI$68,AZ$4-$B245+1)</f>
        <v/>
      </c>
      <c r="BA245" s="153">
        <f>$C245*INDEX(Curves!$BI$8:$BI$68,BA$4-$B245+1)</f>
        <v/>
      </c>
      <c r="BB245" s="153">
        <f>$C245*INDEX(Curves!$BI$8:$BI$68,BB$4-$B245+1)</f>
        <v/>
      </c>
      <c r="BC245" s="153">
        <f>$C245*INDEX(Curves!$BI$8:$BI$68,BC$4-$B245+1)</f>
        <v/>
      </c>
      <c r="BD245" s="153">
        <f>$C245*INDEX(Curves!$BI$8:$BI$68,BD$4-$B245+1)</f>
        <v/>
      </c>
      <c r="BE245" s="153">
        <f>$C245*INDEX(Curves!$BI$8:$BI$68,BE$4-$B245+1)</f>
        <v/>
      </c>
      <c r="BF245" s="153">
        <f>$C245*INDEX(Curves!$BI$8:$BI$68,BF$4-$B245+1)</f>
        <v/>
      </c>
      <c r="BG245" s="153">
        <f>$C245*INDEX(Curves!$BI$8:$BI$68,BG$4-$B245+1)</f>
        <v/>
      </c>
      <c r="BH245" s="153">
        <f>$C245*INDEX(Curves!$BI$8:$BI$68,BH$4-$B245+1)</f>
        <v/>
      </c>
      <c r="BI245" s="153">
        <f>$C245*INDEX(Curves!$BI$8:$BI$68,BI$4-$B245+1)</f>
        <v/>
      </c>
      <c r="BJ245" s="153">
        <f>$C245*INDEX(Curves!$BI$8:$BI$68,BJ$4-$B245+1)</f>
        <v/>
      </c>
      <c r="BK245" s="153">
        <f>$C245*INDEX(Curves!$BI$8:$BI$68,BK$4-$B245+1)</f>
        <v/>
      </c>
      <c r="BL245" s="153">
        <f>$C245*INDEX(Curves!$BI$8:$BI$68,BL$4-$B245+1)</f>
        <v/>
      </c>
    </row>
    <row r="246">
      <c r="A246" s="147" t="inlineStr">
        <is>
          <t>Cohort month 48</t>
        </is>
      </c>
      <c r="B246" s="147" t="n">
        <v>48</v>
      </c>
      <c r="C246" s="41">
        <f>INDEX(Ops!$E$110:$BL$110,1,$B246)</f>
        <v/>
      </c>
      <c r="BA246" s="153">
        <f>$C246*INDEX(Curves!$BI$8:$BI$68,BA$4-$B246+1)</f>
        <v/>
      </c>
      <c r="BB246" s="153">
        <f>$C246*INDEX(Curves!$BI$8:$BI$68,BB$4-$B246+1)</f>
        <v/>
      </c>
      <c r="BC246" s="153">
        <f>$C246*INDEX(Curves!$BI$8:$BI$68,BC$4-$B246+1)</f>
        <v/>
      </c>
      <c r="BD246" s="153">
        <f>$C246*INDEX(Curves!$BI$8:$BI$68,BD$4-$B246+1)</f>
        <v/>
      </c>
      <c r="BE246" s="153">
        <f>$C246*INDEX(Curves!$BI$8:$BI$68,BE$4-$B246+1)</f>
        <v/>
      </c>
      <c r="BF246" s="153">
        <f>$C246*INDEX(Curves!$BI$8:$BI$68,BF$4-$B246+1)</f>
        <v/>
      </c>
      <c r="BG246" s="153">
        <f>$C246*INDEX(Curves!$BI$8:$BI$68,BG$4-$B246+1)</f>
        <v/>
      </c>
      <c r="BH246" s="153">
        <f>$C246*INDEX(Curves!$BI$8:$BI$68,BH$4-$B246+1)</f>
        <v/>
      </c>
      <c r="BI246" s="153">
        <f>$C246*INDEX(Curves!$BI$8:$BI$68,BI$4-$B246+1)</f>
        <v/>
      </c>
      <c r="BJ246" s="153">
        <f>$C246*INDEX(Curves!$BI$8:$BI$68,BJ$4-$B246+1)</f>
        <v/>
      </c>
      <c r="BK246" s="153">
        <f>$C246*INDEX(Curves!$BI$8:$BI$68,BK$4-$B246+1)</f>
        <v/>
      </c>
      <c r="BL246" s="153">
        <f>$C246*INDEX(Curves!$BI$8:$BI$68,BL$4-$B246+1)</f>
        <v/>
      </c>
    </row>
    <row r="247">
      <c r="A247" s="147" t="inlineStr">
        <is>
          <t>Cohort month 49</t>
        </is>
      </c>
      <c r="B247" s="147" t="n">
        <v>49</v>
      </c>
      <c r="C247" s="41">
        <f>INDEX(Ops!$E$110:$BL$110,1,$B247)</f>
        <v/>
      </c>
      <c r="BB247" s="153">
        <f>$C247*INDEX(Curves!$BI$8:$BI$68,BB$4-$B247+1)</f>
        <v/>
      </c>
      <c r="BC247" s="153">
        <f>$C247*INDEX(Curves!$BI$8:$BI$68,BC$4-$B247+1)</f>
        <v/>
      </c>
      <c r="BD247" s="153">
        <f>$C247*INDEX(Curves!$BI$8:$BI$68,BD$4-$B247+1)</f>
        <v/>
      </c>
      <c r="BE247" s="153">
        <f>$C247*INDEX(Curves!$BI$8:$BI$68,BE$4-$B247+1)</f>
        <v/>
      </c>
      <c r="BF247" s="153">
        <f>$C247*INDEX(Curves!$BI$8:$BI$68,BF$4-$B247+1)</f>
        <v/>
      </c>
      <c r="BG247" s="153">
        <f>$C247*INDEX(Curves!$BI$8:$BI$68,BG$4-$B247+1)</f>
        <v/>
      </c>
      <c r="BH247" s="153">
        <f>$C247*INDEX(Curves!$BI$8:$BI$68,BH$4-$B247+1)</f>
        <v/>
      </c>
      <c r="BI247" s="153">
        <f>$C247*INDEX(Curves!$BI$8:$BI$68,BI$4-$B247+1)</f>
        <v/>
      </c>
      <c r="BJ247" s="153">
        <f>$C247*INDEX(Curves!$BI$8:$BI$68,BJ$4-$B247+1)</f>
        <v/>
      </c>
      <c r="BK247" s="153">
        <f>$C247*INDEX(Curves!$BI$8:$BI$68,BK$4-$B247+1)</f>
        <v/>
      </c>
      <c r="BL247" s="153">
        <f>$C247*INDEX(Curves!$BI$8:$BI$68,BL$4-$B247+1)</f>
        <v/>
      </c>
    </row>
    <row r="248">
      <c r="A248" s="147" t="inlineStr">
        <is>
          <t>Cohort month 50</t>
        </is>
      </c>
      <c r="B248" s="147" t="n">
        <v>50</v>
      </c>
      <c r="C248" s="41">
        <f>INDEX(Ops!$E$110:$BL$110,1,$B248)</f>
        <v/>
      </c>
      <c r="BC248" s="153">
        <f>$C248*INDEX(Curves!$BI$8:$BI$68,BC$4-$B248+1)</f>
        <v/>
      </c>
      <c r="BD248" s="153">
        <f>$C248*INDEX(Curves!$BI$8:$BI$68,BD$4-$B248+1)</f>
        <v/>
      </c>
      <c r="BE248" s="153">
        <f>$C248*INDEX(Curves!$BI$8:$BI$68,BE$4-$B248+1)</f>
        <v/>
      </c>
      <c r="BF248" s="153">
        <f>$C248*INDEX(Curves!$BI$8:$BI$68,BF$4-$B248+1)</f>
        <v/>
      </c>
      <c r="BG248" s="153">
        <f>$C248*INDEX(Curves!$BI$8:$BI$68,BG$4-$B248+1)</f>
        <v/>
      </c>
      <c r="BH248" s="153">
        <f>$C248*INDEX(Curves!$BI$8:$BI$68,BH$4-$B248+1)</f>
        <v/>
      </c>
      <c r="BI248" s="153">
        <f>$C248*INDEX(Curves!$BI$8:$BI$68,BI$4-$B248+1)</f>
        <v/>
      </c>
      <c r="BJ248" s="153">
        <f>$C248*INDEX(Curves!$BI$8:$BI$68,BJ$4-$B248+1)</f>
        <v/>
      </c>
      <c r="BK248" s="153">
        <f>$C248*INDEX(Curves!$BI$8:$BI$68,BK$4-$B248+1)</f>
        <v/>
      </c>
      <c r="BL248" s="153">
        <f>$C248*INDEX(Curves!$BI$8:$BI$68,BL$4-$B248+1)</f>
        <v/>
      </c>
    </row>
    <row r="249">
      <c r="A249" s="147" t="inlineStr">
        <is>
          <t>Cohort month 51</t>
        </is>
      </c>
      <c r="B249" s="147" t="n">
        <v>51</v>
      </c>
      <c r="C249" s="41">
        <f>INDEX(Ops!$E$110:$BL$110,1,$B249)</f>
        <v/>
      </c>
      <c r="BD249" s="153">
        <f>$C249*INDEX(Curves!$BI$8:$BI$68,BD$4-$B249+1)</f>
        <v/>
      </c>
      <c r="BE249" s="153">
        <f>$C249*INDEX(Curves!$BI$8:$BI$68,BE$4-$B249+1)</f>
        <v/>
      </c>
      <c r="BF249" s="153">
        <f>$C249*INDEX(Curves!$BI$8:$BI$68,BF$4-$B249+1)</f>
        <v/>
      </c>
      <c r="BG249" s="153">
        <f>$C249*INDEX(Curves!$BI$8:$BI$68,BG$4-$B249+1)</f>
        <v/>
      </c>
      <c r="BH249" s="153">
        <f>$C249*INDEX(Curves!$BI$8:$BI$68,BH$4-$B249+1)</f>
        <v/>
      </c>
      <c r="BI249" s="153">
        <f>$C249*INDEX(Curves!$BI$8:$BI$68,BI$4-$B249+1)</f>
        <v/>
      </c>
      <c r="BJ249" s="153">
        <f>$C249*INDEX(Curves!$BI$8:$BI$68,BJ$4-$B249+1)</f>
        <v/>
      </c>
      <c r="BK249" s="153">
        <f>$C249*INDEX(Curves!$BI$8:$BI$68,BK$4-$B249+1)</f>
        <v/>
      </c>
      <c r="BL249" s="153">
        <f>$C249*INDEX(Curves!$BI$8:$BI$68,BL$4-$B249+1)</f>
        <v/>
      </c>
    </row>
    <row r="250">
      <c r="A250" s="147" t="inlineStr">
        <is>
          <t>Cohort month 52</t>
        </is>
      </c>
      <c r="B250" s="147" t="n">
        <v>52</v>
      </c>
      <c r="C250" s="41">
        <f>INDEX(Ops!$E$110:$BL$110,1,$B250)</f>
        <v/>
      </c>
      <c r="BE250" s="153">
        <f>$C250*INDEX(Curves!$BI$8:$BI$68,BE$4-$B250+1)</f>
        <v/>
      </c>
      <c r="BF250" s="153">
        <f>$C250*INDEX(Curves!$BI$8:$BI$68,BF$4-$B250+1)</f>
        <v/>
      </c>
      <c r="BG250" s="153">
        <f>$C250*INDEX(Curves!$BI$8:$BI$68,BG$4-$B250+1)</f>
        <v/>
      </c>
      <c r="BH250" s="153">
        <f>$C250*INDEX(Curves!$BI$8:$BI$68,BH$4-$B250+1)</f>
        <v/>
      </c>
      <c r="BI250" s="153">
        <f>$C250*INDEX(Curves!$BI$8:$BI$68,BI$4-$B250+1)</f>
        <v/>
      </c>
      <c r="BJ250" s="153">
        <f>$C250*INDEX(Curves!$BI$8:$BI$68,BJ$4-$B250+1)</f>
        <v/>
      </c>
      <c r="BK250" s="153">
        <f>$C250*INDEX(Curves!$BI$8:$BI$68,BK$4-$B250+1)</f>
        <v/>
      </c>
      <c r="BL250" s="153">
        <f>$C250*INDEX(Curves!$BI$8:$BI$68,BL$4-$B250+1)</f>
        <v/>
      </c>
    </row>
    <row r="251">
      <c r="A251" s="147" t="inlineStr">
        <is>
          <t>Cohort month 53</t>
        </is>
      </c>
      <c r="B251" s="147" t="n">
        <v>53</v>
      </c>
      <c r="C251" s="41">
        <f>INDEX(Ops!$E$110:$BL$110,1,$B251)</f>
        <v/>
      </c>
      <c r="BF251" s="153">
        <f>$C251*INDEX(Curves!$BI$8:$BI$68,BF$4-$B251+1)</f>
        <v/>
      </c>
      <c r="BG251" s="153">
        <f>$C251*INDEX(Curves!$BI$8:$BI$68,BG$4-$B251+1)</f>
        <v/>
      </c>
      <c r="BH251" s="153">
        <f>$C251*INDEX(Curves!$BI$8:$BI$68,BH$4-$B251+1)</f>
        <v/>
      </c>
      <c r="BI251" s="153">
        <f>$C251*INDEX(Curves!$BI$8:$BI$68,BI$4-$B251+1)</f>
        <v/>
      </c>
      <c r="BJ251" s="153">
        <f>$C251*INDEX(Curves!$BI$8:$BI$68,BJ$4-$B251+1)</f>
        <v/>
      </c>
      <c r="BK251" s="153">
        <f>$C251*INDEX(Curves!$BI$8:$BI$68,BK$4-$B251+1)</f>
        <v/>
      </c>
      <c r="BL251" s="153">
        <f>$C251*INDEX(Curves!$BI$8:$BI$68,BL$4-$B251+1)</f>
        <v/>
      </c>
    </row>
    <row r="252">
      <c r="A252" s="147" t="inlineStr">
        <is>
          <t>Cohort month 54</t>
        </is>
      </c>
      <c r="B252" s="147" t="n">
        <v>54</v>
      </c>
      <c r="C252" s="41">
        <f>INDEX(Ops!$E$110:$BL$110,1,$B252)</f>
        <v/>
      </c>
      <c r="BG252" s="153">
        <f>$C252*INDEX(Curves!$BI$8:$BI$68,BG$4-$B252+1)</f>
        <v/>
      </c>
      <c r="BH252" s="153">
        <f>$C252*INDEX(Curves!$BI$8:$BI$68,BH$4-$B252+1)</f>
        <v/>
      </c>
      <c r="BI252" s="153">
        <f>$C252*INDEX(Curves!$BI$8:$BI$68,BI$4-$B252+1)</f>
        <v/>
      </c>
      <c r="BJ252" s="153">
        <f>$C252*INDEX(Curves!$BI$8:$BI$68,BJ$4-$B252+1)</f>
        <v/>
      </c>
      <c r="BK252" s="153">
        <f>$C252*INDEX(Curves!$BI$8:$BI$68,BK$4-$B252+1)</f>
        <v/>
      </c>
      <c r="BL252" s="153">
        <f>$C252*INDEX(Curves!$BI$8:$BI$68,BL$4-$B252+1)</f>
        <v/>
      </c>
    </row>
    <row r="253">
      <c r="A253" s="147" t="inlineStr">
        <is>
          <t>Cohort month 55</t>
        </is>
      </c>
      <c r="B253" s="147" t="n">
        <v>55</v>
      </c>
      <c r="C253" s="41">
        <f>INDEX(Ops!$E$110:$BL$110,1,$B253)</f>
        <v/>
      </c>
      <c r="BH253" s="153">
        <f>$C253*INDEX(Curves!$BI$8:$BI$68,BH$4-$B253+1)</f>
        <v/>
      </c>
      <c r="BI253" s="153">
        <f>$C253*INDEX(Curves!$BI$8:$BI$68,BI$4-$B253+1)</f>
        <v/>
      </c>
      <c r="BJ253" s="153">
        <f>$C253*INDEX(Curves!$BI$8:$BI$68,BJ$4-$B253+1)</f>
        <v/>
      </c>
      <c r="BK253" s="153">
        <f>$C253*INDEX(Curves!$BI$8:$BI$68,BK$4-$B253+1)</f>
        <v/>
      </c>
      <c r="BL253" s="153">
        <f>$C253*INDEX(Curves!$BI$8:$BI$68,BL$4-$B253+1)</f>
        <v/>
      </c>
    </row>
    <row r="254">
      <c r="A254" s="147" t="inlineStr">
        <is>
          <t>Cohort month 56</t>
        </is>
      </c>
      <c r="B254" s="147" t="n">
        <v>56</v>
      </c>
      <c r="C254" s="41">
        <f>INDEX(Ops!$E$110:$BL$110,1,$B254)</f>
        <v/>
      </c>
      <c r="BI254" s="153">
        <f>$C254*INDEX(Curves!$BI$8:$BI$68,BI$4-$B254+1)</f>
        <v/>
      </c>
      <c r="BJ254" s="153">
        <f>$C254*INDEX(Curves!$BI$8:$BI$68,BJ$4-$B254+1)</f>
        <v/>
      </c>
      <c r="BK254" s="153">
        <f>$C254*INDEX(Curves!$BI$8:$BI$68,BK$4-$B254+1)</f>
        <v/>
      </c>
      <c r="BL254" s="153">
        <f>$C254*INDEX(Curves!$BI$8:$BI$68,BL$4-$B254+1)</f>
        <v/>
      </c>
    </row>
    <row r="255">
      <c r="A255" s="147" t="inlineStr">
        <is>
          <t>Cohort month 57</t>
        </is>
      </c>
      <c r="B255" s="147" t="n">
        <v>57</v>
      </c>
      <c r="C255" s="41">
        <f>INDEX(Ops!$E$110:$BL$110,1,$B255)</f>
        <v/>
      </c>
      <c r="BJ255" s="153">
        <f>$C255*INDEX(Curves!$BI$8:$BI$68,BJ$4-$B255+1)</f>
        <v/>
      </c>
      <c r="BK255" s="153">
        <f>$C255*INDEX(Curves!$BI$8:$BI$68,BK$4-$B255+1)</f>
        <v/>
      </c>
      <c r="BL255" s="153">
        <f>$C255*INDEX(Curves!$BI$8:$BI$68,BL$4-$B255+1)</f>
        <v/>
      </c>
    </row>
    <row r="256">
      <c r="A256" s="147" t="inlineStr">
        <is>
          <t>Cohort month 58</t>
        </is>
      </c>
      <c r="B256" s="147" t="n">
        <v>58</v>
      </c>
      <c r="C256" s="41">
        <f>INDEX(Ops!$E$110:$BL$110,1,$B256)</f>
        <v/>
      </c>
      <c r="BK256" s="153">
        <f>$C256*INDEX(Curves!$BI$8:$BI$68,BK$4-$B256+1)</f>
        <v/>
      </c>
      <c r="BL256" s="153">
        <f>$C256*INDEX(Curves!$BI$8:$BI$68,BL$4-$B256+1)</f>
        <v/>
      </c>
    </row>
    <row r="257">
      <c r="A257" s="147" t="inlineStr">
        <is>
          <t>Cohort month 59</t>
        </is>
      </c>
      <c r="B257" s="147" t="n">
        <v>59</v>
      </c>
      <c r="C257" s="41">
        <f>INDEX(Ops!$E$110:$BL$110,1,$B257)</f>
        <v/>
      </c>
      <c r="BL257" s="153">
        <f>$C257*INDEX(Curves!$BI$8:$BI$68,BL$4-$B257+1)</f>
        <v/>
      </c>
    </row>
    <row r="258">
      <c r="A258" s="147" t="inlineStr">
        <is>
          <t>Cohort month 60</t>
        </is>
      </c>
      <c r="B258" s="147" t="n">
        <v>60</v>
      </c>
      <c r="C258" s="41">
        <f>INDEX(Ops!$E$110:$BL$110,1,$B258)</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43.xml><?xml version="1.0" encoding="utf-8"?>
<worksheet xmlns="http://schemas.openxmlformats.org/spreadsheetml/2006/main">
  <sheetPr>
    <tabColor rgb="000000FF"/>
    <outlinePr summaryBelow="1" summaryRight="1"/>
    <pageSetUpPr fitToPage="1"/>
  </sheetPr>
  <dimension ref="A1:T323"/>
  <sheetViews>
    <sheetView showGridLines="0" workbookViewId="0">
      <pane xSplit="1" ySplit="7" topLeftCell="B8"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40" customWidth="1" min="20" max="20"/>
  </cols>
  <sheetData>
    <row r="1">
      <c r="A1" s="17" t="inlineStr">
        <is>
          <t>Credit input: actual company portfolio data (monthly, by tier)</t>
        </is>
      </c>
    </row>
    <row r="2">
      <c r="A2" s="18" t="inlineStr">
        <is>
          <t>[ACTUAL]  Paste ERP / servicing-system exports here. Used when Credit_Assumptions data mode = 2 (Actual). Leave blank in Proxy mode.</t>
        </is>
      </c>
    </row>
    <row r="3"/>
    <row r="4">
      <c r="A4" s="18" t="inlineStr">
        <is>
          <t>Stocks (balances, DPD buckets, default EAD) at period end; flows (originations, repossessions, proceeds, costs, cures, write-offs, collections, due, unlocks) for the month. LCY. Buckets must reconcile to gross receivables (Checks).</t>
        </is>
      </c>
    </row>
    <row r="5"/>
    <row r="6">
      <c r="A6" s="111" t="inlineStr">
        <is>
          <t>Tier 1: Pico solar kit</t>
        </is>
      </c>
    </row>
    <row r="7" ht="42" customHeight="1">
      <c r="A7" s="40" t="inlineStr">
        <is>
          <t>Obs #</t>
        </is>
      </c>
      <c r="B7" s="40" t="inlineStr">
        <is>
          <t>Period end</t>
        </is>
      </c>
      <c r="C7" s="40" t="inlineStr">
        <is>
          <t>Originations (units)</t>
        </is>
      </c>
      <c r="D7" s="40" t="inlineStr">
        <is>
          <t>Gross receivables</t>
        </is>
      </c>
      <c r="E7" s="40" t="inlineStr">
        <is>
          <t>Current</t>
        </is>
      </c>
      <c r="F7" s="40" t="inlineStr">
        <is>
          <t>1-30 DPD</t>
        </is>
      </c>
      <c r="G7" s="40" t="inlineStr">
        <is>
          <t>31-60 DPD</t>
        </is>
      </c>
      <c r="H7" s="40" t="inlineStr">
        <is>
          <t>61-90 DPD</t>
        </is>
      </c>
      <c r="I7" s="40" t="inlineStr">
        <is>
          <t>91-180 DPD</t>
        </is>
      </c>
      <c r="J7" s="40" t="inlineStr">
        <is>
          <t>180+ DPD</t>
        </is>
      </c>
      <c r="K7" s="40" t="inlineStr">
        <is>
          <t>Default EAD (stock beyond default definition)</t>
        </is>
      </c>
      <c r="L7" s="40" t="inlineStr">
        <is>
          <t>Repossessions (units)</t>
        </is>
      </c>
      <c r="M7" s="40" t="inlineStr">
        <is>
          <t>Gross resale proceeds</t>
        </is>
      </c>
      <c r="N7" s="40" t="inlineStr">
        <is>
          <t>Recovery costs</t>
        </is>
      </c>
      <c r="O7" s="40" t="inlineStr">
        <is>
          <t>Cures (accounts)</t>
        </is>
      </c>
      <c r="P7" s="40" t="inlineStr">
        <is>
          <t>Write-offs</t>
        </is>
      </c>
      <c r="Q7" s="40" t="inlineStr">
        <is>
          <t>Collections</t>
        </is>
      </c>
      <c r="R7" s="40" t="inlineStr">
        <is>
          <t>Instalments due</t>
        </is>
      </c>
      <c r="S7" s="40" t="inlineStr">
        <is>
          <t>Ownership events (unlocks)</t>
        </is>
      </c>
      <c r="T7" s="40" t="inlineStr">
        <is>
          <t>Notes</t>
        </is>
      </c>
    </row>
    <row r="8">
      <c r="A8" s="23" t="n">
        <v>1</v>
      </c>
      <c r="B8" s="154" t="n"/>
      <c r="C8" s="155" t="n"/>
      <c r="D8" s="155" t="n"/>
      <c r="E8" s="155" t="n"/>
      <c r="F8" s="155" t="n"/>
      <c r="G8" s="155" t="n"/>
      <c r="H8" s="155" t="n"/>
      <c r="I8" s="155" t="n"/>
      <c r="J8" s="155" t="n"/>
      <c r="K8" s="155" t="n"/>
      <c r="L8" s="155" t="n"/>
      <c r="M8" s="155" t="n"/>
      <c r="N8" s="155" t="n"/>
      <c r="O8" s="155" t="n"/>
      <c r="P8" s="155" t="n"/>
      <c r="Q8" s="155" t="n"/>
      <c r="R8" s="155" t="n"/>
      <c r="S8" s="155" t="n"/>
      <c r="T8" s="156" t="n"/>
    </row>
    <row r="9">
      <c r="A9" s="23" t="n">
        <v>2</v>
      </c>
      <c r="B9" s="154" t="n"/>
      <c r="C9" s="155" t="n"/>
      <c r="D9" s="155" t="n"/>
      <c r="E9" s="155" t="n"/>
      <c r="F9" s="155" t="n"/>
      <c r="G9" s="155" t="n"/>
      <c r="H9" s="155" t="n"/>
      <c r="I9" s="155" t="n"/>
      <c r="J9" s="155" t="n"/>
      <c r="K9" s="155" t="n"/>
      <c r="L9" s="155" t="n"/>
      <c r="M9" s="155" t="n"/>
      <c r="N9" s="155" t="n"/>
      <c r="O9" s="155" t="n"/>
      <c r="P9" s="155" t="n"/>
      <c r="Q9" s="155" t="n"/>
      <c r="R9" s="155" t="n"/>
      <c r="S9" s="155" t="n"/>
      <c r="T9" s="156" t="n"/>
    </row>
    <row r="10">
      <c r="A10" s="23" t="n">
        <v>3</v>
      </c>
      <c r="B10" s="154" t="n"/>
      <c r="C10" s="155" t="n"/>
      <c r="D10" s="155" t="n"/>
      <c r="E10" s="155" t="n"/>
      <c r="F10" s="155" t="n"/>
      <c r="G10" s="155" t="n"/>
      <c r="H10" s="155" t="n"/>
      <c r="I10" s="155" t="n"/>
      <c r="J10" s="155" t="n"/>
      <c r="K10" s="155" t="n"/>
      <c r="L10" s="155" t="n"/>
      <c r="M10" s="155" t="n"/>
      <c r="N10" s="155" t="n"/>
      <c r="O10" s="155" t="n"/>
      <c r="P10" s="155" t="n"/>
      <c r="Q10" s="155" t="n"/>
      <c r="R10" s="155" t="n"/>
      <c r="S10" s="155" t="n"/>
      <c r="T10" s="156" t="n"/>
    </row>
    <row r="11">
      <c r="A11" s="23" t="n">
        <v>4</v>
      </c>
      <c r="B11" s="154" t="n"/>
      <c r="C11" s="155" t="n"/>
      <c r="D11" s="155" t="n"/>
      <c r="E11" s="155" t="n"/>
      <c r="F11" s="155" t="n"/>
      <c r="G11" s="155" t="n"/>
      <c r="H11" s="155" t="n"/>
      <c r="I11" s="155" t="n"/>
      <c r="J11" s="155" t="n"/>
      <c r="K11" s="155" t="n"/>
      <c r="L11" s="155" t="n"/>
      <c r="M11" s="155" t="n"/>
      <c r="N11" s="155" t="n"/>
      <c r="O11" s="155" t="n"/>
      <c r="P11" s="155" t="n"/>
      <c r="Q11" s="155" t="n"/>
      <c r="R11" s="155" t="n"/>
      <c r="S11" s="155" t="n"/>
      <c r="T11" s="156" t="n"/>
    </row>
    <row r="12">
      <c r="A12" s="23" t="n">
        <v>5</v>
      </c>
      <c r="B12" s="154" t="n"/>
      <c r="C12" s="155" t="n"/>
      <c r="D12" s="155" t="n"/>
      <c r="E12" s="155" t="n"/>
      <c r="F12" s="155" t="n"/>
      <c r="G12" s="155" t="n"/>
      <c r="H12" s="155" t="n"/>
      <c r="I12" s="155" t="n"/>
      <c r="J12" s="155" t="n"/>
      <c r="K12" s="155" t="n"/>
      <c r="L12" s="155" t="n"/>
      <c r="M12" s="155" t="n"/>
      <c r="N12" s="155" t="n"/>
      <c r="O12" s="155" t="n"/>
      <c r="P12" s="155" t="n"/>
      <c r="Q12" s="155" t="n"/>
      <c r="R12" s="155" t="n"/>
      <c r="S12" s="155" t="n"/>
      <c r="T12" s="156" t="n"/>
    </row>
    <row r="13">
      <c r="A13" s="23" t="n">
        <v>6</v>
      </c>
      <c r="B13" s="154" t="n"/>
      <c r="C13" s="155" t="n"/>
      <c r="D13" s="155" t="n"/>
      <c r="E13" s="155" t="n"/>
      <c r="F13" s="155" t="n"/>
      <c r="G13" s="155" t="n"/>
      <c r="H13" s="155" t="n"/>
      <c r="I13" s="155" t="n"/>
      <c r="J13" s="155" t="n"/>
      <c r="K13" s="155" t="n"/>
      <c r="L13" s="155" t="n"/>
      <c r="M13" s="155" t="n"/>
      <c r="N13" s="155" t="n"/>
      <c r="O13" s="155" t="n"/>
      <c r="P13" s="155" t="n"/>
      <c r="Q13" s="155" t="n"/>
      <c r="R13" s="155" t="n"/>
      <c r="S13" s="155" t="n"/>
      <c r="T13" s="156" t="n"/>
    </row>
    <row r="14">
      <c r="A14" s="23" t="n">
        <v>7</v>
      </c>
      <c r="B14" s="154" t="n"/>
      <c r="C14" s="155" t="n"/>
      <c r="D14" s="155" t="n"/>
      <c r="E14" s="155" t="n"/>
      <c r="F14" s="155" t="n"/>
      <c r="G14" s="155" t="n"/>
      <c r="H14" s="155" t="n"/>
      <c r="I14" s="155" t="n"/>
      <c r="J14" s="155" t="n"/>
      <c r="K14" s="155" t="n"/>
      <c r="L14" s="155" t="n"/>
      <c r="M14" s="155" t="n"/>
      <c r="N14" s="155" t="n"/>
      <c r="O14" s="155" t="n"/>
      <c r="P14" s="155" t="n"/>
      <c r="Q14" s="155" t="n"/>
      <c r="R14" s="155" t="n"/>
      <c r="S14" s="155" t="n"/>
      <c r="T14" s="156" t="n"/>
    </row>
    <row r="15">
      <c r="A15" s="23" t="n">
        <v>8</v>
      </c>
      <c r="B15" s="154" t="n"/>
      <c r="C15" s="155" t="n"/>
      <c r="D15" s="155" t="n"/>
      <c r="E15" s="155" t="n"/>
      <c r="F15" s="155" t="n"/>
      <c r="G15" s="155" t="n"/>
      <c r="H15" s="155" t="n"/>
      <c r="I15" s="155" t="n"/>
      <c r="J15" s="155" t="n"/>
      <c r="K15" s="155" t="n"/>
      <c r="L15" s="155" t="n"/>
      <c r="M15" s="155" t="n"/>
      <c r="N15" s="155" t="n"/>
      <c r="O15" s="155" t="n"/>
      <c r="P15" s="155" t="n"/>
      <c r="Q15" s="155" t="n"/>
      <c r="R15" s="155" t="n"/>
      <c r="S15" s="155" t="n"/>
      <c r="T15" s="156" t="n"/>
    </row>
    <row r="16">
      <c r="A16" s="23" t="n">
        <v>9</v>
      </c>
      <c r="B16" s="154" t="n"/>
      <c r="C16" s="155" t="n"/>
      <c r="D16" s="155" t="n"/>
      <c r="E16" s="155" t="n"/>
      <c r="F16" s="155" t="n"/>
      <c r="G16" s="155" t="n"/>
      <c r="H16" s="155" t="n"/>
      <c r="I16" s="155" t="n"/>
      <c r="J16" s="155" t="n"/>
      <c r="K16" s="155" t="n"/>
      <c r="L16" s="155" t="n"/>
      <c r="M16" s="155" t="n"/>
      <c r="N16" s="155" t="n"/>
      <c r="O16" s="155" t="n"/>
      <c r="P16" s="155" t="n"/>
      <c r="Q16" s="155" t="n"/>
      <c r="R16" s="155" t="n"/>
      <c r="S16" s="155" t="n"/>
      <c r="T16" s="156" t="n"/>
    </row>
    <row r="17">
      <c r="A17" s="23" t="n">
        <v>10</v>
      </c>
      <c r="B17" s="154" t="n"/>
      <c r="C17" s="155" t="n"/>
      <c r="D17" s="155" t="n"/>
      <c r="E17" s="155" t="n"/>
      <c r="F17" s="155" t="n"/>
      <c r="G17" s="155" t="n"/>
      <c r="H17" s="155" t="n"/>
      <c r="I17" s="155" t="n"/>
      <c r="J17" s="155" t="n"/>
      <c r="K17" s="155" t="n"/>
      <c r="L17" s="155" t="n"/>
      <c r="M17" s="155" t="n"/>
      <c r="N17" s="155" t="n"/>
      <c r="O17" s="155" t="n"/>
      <c r="P17" s="155" t="n"/>
      <c r="Q17" s="155" t="n"/>
      <c r="R17" s="155" t="n"/>
      <c r="S17" s="155" t="n"/>
      <c r="T17" s="156" t="n"/>
    </row>
    <row r="18">
      <c r="A18" s="23" t="n">
        <v>11</v>
      </c>
      <c r="B18" s="154" t="n"/>
      <c r="C18" s="155" t="n"/>
      <c r="D18" s="155" t="n"/>
      <c r="E18" s="155" t="n"/>
      <c r="F18" s="155" t="n"/>
      <c r="G18" s="155" t="n"/>
      <c r="H18" s="155" t="n"/>
      <c r="I18" s="155" t="n"/>
      <c r="J18" s="155" t="n"/>
      <c r="K18" s="155" t="n"/>
      <c r="L18" s="155" t="n"/>
      <c r="M18" s="155" t="n"/>
      <c r="N18" s="155" t="n"/>
      <c r="O18" s="155" t="n"/>
      <c r="P18" s="155" t="n"/>
      <c r="Q18" s="155" t="n"/>
      <c r="R18" s="155" t="n"/>
      <c r="S18" s="155" t="n"/>
      <c r="T18" s="156" t="n"/>
    </row>
    <row r="19">
      <c r="A19" s="23" t="n">
        <v>12</v>
      </c>
      <c r="B19" s="154" t="n"/>
      <c r="C19" s="155" t="n"/>
      <c r="D19" s="155" t="n"/>
      <c r="E19" s="155" t="n"/>
      <c r="F19" s="155" t="n"/>
      <c r="G19" s="155" t="n"/>
      <c r="H19" s="155" t="n"/>
      <c r="I19" s="155" t="n"/>
      <c r="J19" s="155" t="n"/>
      <c r="K19" s="155" t="n"/>
      <c r="L19" s="155" t="n"/>
      <c r="M19" s="155" t="n"/>
      <c r="N19" s="155" t="n"/>
      <c r="O19" s="155" t="n"/>
      <c r="P19" s="155" t="n"/>
      <c r="Q19" s="155" t="n"/>
      <c r="R19" s="155" t="n"/>
      <c r="S19" s="155" t="n"/>
      <c r="T19" s="156" t="n"/>
    </row>
    <row r="20">
      <c r="A20" s="23" t="n">
        <v>13</v>
      </c>
      <c r="B20" s="154" t="n"/>
      <c r="C20" s="155" t="n"/>
      <c r="D20" s="155" t="n"/>
      <c r="E20" s="155" t="n"/>
      <c r="F20" s="155" t="n"/>
      <c r="G20" s="155" t="n"/>
      <c r="H20" s="155" t="n"/>
      <c r="I20" s="155" t="n"/>
      <c r="J20" s="155" t="n"/>
      <c r="K20" s="155" t="n"/>
      <c r="L20" s="155" t="n"/>
      <c r="M20" s="155" t="n"/>
      <c r="N20" s="155" t="n"/>
      <c r="O20" s="155" t="n"/>
      <c r="P20" s="155" t="n"/>
      <c r="Q20" s="155" t="n"/>
      <c r="R20" s="155" t="n"/>
      <c r="S20" s="155" t="n"/>
      <c r="T20" s="156" t="n"/>
    </row>
    <row r="21">
      <c r="A21" s="23" t="n">
        <v>14</v>
      </c>
      <c r="B21" s="154" t="n"/>
      <c r="C21" s="155" t="n"/>
      <c r="D21" s="155" t="n"/>
      <c r="E21" s="155" t="n"/>
      <c r="F21" s="155" t="n"/>
      <c r="G21" s="155" t="n"/>
      <c r="H21" s="155" t="n"/>
      <c r="I21" s="155" t="n"/>
      <c r="J21" s="155" t="n"/>
      <c r="K21" s="155" t="n"/>
      <c r="L21" s="155" t="n"/>
      <c r="M21" s="155" t="n"/>
      <c r="N21" s="155" t="n"/>
      <c r="O21" s="155" t="n"/>
      <c r="P21" s="155" t="n"/>
      <c r="Q21" s="155" t="n"/>
      <c r="R21" s="155" t="n"/>
      <c r="S21" s="155" t="n"/>
      <c r="T21" s="156" t="n"/>
    </row>
    <row r="22">
      <c r="A22" s="23" t="n">
        <v>15</v>
      </c>
      <c r="B22" s="154" t="n"/>
      <c r="C22" s="155" t="n"/>
      <c r="D22" s="155" t="n"/>
      <c r="E22" s="155" t="n"/>
      <c r="F22" s="155" t="n"/>
      <c r="G22" s="155" t="n"/>
      <c r="H22" s="155" t="n"/>
      <c r="I22" s="155" t="n"/>
      <c r="J22" s="155" t="n"/>
      <c r="K22" s="155" t="n"/>
      <c r="L22" s="155" t="n"/>
      <c r="M22" s="155" t="n"/>
      <c r="N22" s="155" t="n"/>
      <c r="O22" s="155" t="n"/>
      <c r="P22" s="155" t="n"/>
      <c r="Q22" s="155" t="n"/>
      <c r="R22" s="155" t="n"/>
      <c r="S22" s="155" t="n"/>
      <c r="T22" s="156" t="n"/>
    </row>
    <row r="23">
      <c r="A23" s="23" t="n">
        <v>16</v>
      </c>
      <c r="B23" s="154" t="n"/>
      <c r="C23" s="155" t="n"/>
      <c r="D23" s="155" t="n"/>
      <c r="E23" s="155" t="n"/>
      <c r="F23" s="155" t="n"/>
      <c r="G23" s="155" t="n"/>
      <c r="H23" s="155" t="n"/>
      <c r="I23" s="155" t="n"/>
      <c r="J23" s="155" t="n"/>
      <c r="K23" s="155" t="n"/>
      <c r="L23" s="155" t="n"/>
      <c r="M23" s="155" t="n"/>
      <c r="N23" s="155" t="n"/>
      <c r="O23" s="155" t="n"/>
      <c r="P23" s="155" t="n"/>
      <c r="Q23" s="155" t="n"/>
      <c r="R23" s="155" t="n"/>
      <c r="S23" s="155" t="n"/>
      <c r="T23" s="156" t="n"/>
    </row>
    <row r="24">
      <c r="A24" s="23" t="n">
        <v>17</v>
      </c>
      <c r="B24" s="154" t="n"/>
      <c r="C24" s="155" t="n"/>
      <c r="D24" s="155" t="n"/>
      <c r="E24" s="155" t="n"/>
      <c r="F24" s="155" t="n"/>
      <c r="G24" s="155" t="n"/>
      <c r="H24" s="155" t="n"/>
      <c r="I24" s="155" t="n"/>
      <c r="J24" s="155" t="n"/>
      <c r="K24" s="155" t="n"/>
      <c r="L24" s="155" t="n"/>
      <c r="M24" s="155" t="n"/>
      <c r="N24" s="155" t="n"/>
      <c r="O24" s="155" t="n"/>
      <c r="P24" s="155" t="n"/>
      <c r="Q24" s="155" t="n"/>
      <c r="R24" s="155" t="n"/>
      <c r="S24" s="155" t="n"/>
      <c r="T24" s="156" t="n"/>
    </row>
    <row r="25">
      <c r="A25" s="23" t="n">
        <v>18</v>
      </c>
      <c r="B25" s="154" t="n"/>
      <c r="C25" s="155" t="n"/>
      <c r="D25" s="155" t="n"/>
      <c r="E25" s="155" t="n"/>
      <c r="F25" s="155" t="n"/>
      <c r="G25" s="155" t="n"/>
      <c r="H25" s="155" t="n"/>
      <c r="I25" s="155" t="n"/>
      <c r="J25" s="155" t="n"/>
      <c r="K25" s="155" t="n"/>
      <c r="L25" s="155" t="n"/>
      <c r="M25" s="155" t="n"/>
      <c r="N25" s="155" t="n"/>
      <c r="O25" s="155" t="n"/>
      <c r="P25" s="155" t="n"/>
      <c r="Q25" s="155" t="n"/>
      <c r="R25" s="155" t="n"/>
      <c r="S25" s="155" t="n"/>
      <c r="T25" s="156" t="n"/>
    </row>
    <row r="26">
      <c r="A26" s="23" t="n">
        <v>19</v>
      </c>
      <c r="B26" s="154" t="n"/>
      <c r="C26" s="155" t="n"/>
      <c r="D26" s="155" t="n"/>
      <c r="E26" s="155" t="n"/>
      <c r="F26" s="155" t="n"/>
      <c r="G26" s="155" t="n"/>
      <c r="H26" s="155" t="n"/>
      <c r="I26" s="155" t="n"/>
      <c r="J26" s="155" t="n"/>
      <c r="K26" s="155" t="n"/>
      <c r="L26" s="155" t="n"/>
      <c r="M26" s="155" t="n"/>
      <c r="N26" s="155" t="n"/>
      <c r="O26" s="155" t="n"/>
      <c r="P26" s="155" t="n"/>
      <c r="Q26" s="155" t="n"/>
      <c r="R26" s="155" t="n"/>
      <c r="S26" s="155" t="n"/>
      <c r="T26" s="156" t="n"/>
    </row>
    <row r="27">
      <c r="A27" s="23" t="n">
        <v>20</v>
      </c>
      <c r="B27" s="154" t="n"/>
      <c r="C27" s="155" t="n"/>
      <c r="D27" s="155" t="n"/>
      <c r="E27" s="155" t="n"/>
      <c r="F27" s="155" t="n"/>
      <c r="G27" s="155" t="n"/>
      <c r="H27" s="155" t="n"/>
      <c r="I27" s="155" t="n"/>
      <c r="J27" s="155" t="n"/>
      <c r="K27" s="155" t="n"/>
      <c r="L27" s="155" t="n"/>
      <c r="M27" s="155" t="n"/>
      <c r="N27" s="155" t="n"/>
      <c r="O27" s="155" t="n"/>
      <c r="P27" s="155" t="n"/>
      <c r="Q27" s="155" t="n"/>
      <c r="R27" s="155" t="n"/>
      <c r="S27" s="155" t="n"/>
      <c r="T27" s="156" t="n"/>
    </row>
    <row r="28">
      <c r="A28" s="23" t="n">
        <v>21</v>
      </c>
      <c r="B28" s="154" t="n"/>
      <c r="C28" s="155" t="n"/>
      <c r="D28" s="155" t="n"/>
      <c r="E28" s="155" t="n"/>
      <c r="F28" s="155" t="n"/>
      <c r="G28" s="155" t="n"/>
      <c r="H28" s="155" t="n"/>
      <c r="I28" s="155" t="n"/>
      <c r="J28" s="155" t="n"/>
      <c r="K28" s="155" t="n"/>
      <c r="L28" s="155" t="n"/>
      <c r="M28" s="155" t="n"/>
      <c r="N28" s="155" t="n"/>
      <c r="O28" s="155" t="n"/>
      <c r="P28" s="155" t="n"/>
      <c r="Q28" s="155" t="n"/>
      <c r="R28" s="155" t="n"/>
      <c r="S28" s="155" t="n"/>
      <c r="T28" s="156" t="n"/>
    </row>
    <row r="29">
      <c r="A29" s="23" t="n">
        <v>22</v>
      </c>
      <c r="B29" s="154" t="n"/>
      <c r="C29" s="155" t="n"/>
      <c r="D29" s="155" t="n"/>
      <c r="E29" s="155" t="n"/>
      <c r="F29" s="155" t="n"/>
      <c r="G29" s="155" t="n"/>
      <c r="H29" s="155" t="n"/>
      <c r="I29" s="155" t="n"/>
      <c r="J29" s="155" t="n"/>
      <c r="K29" s="155" t="n"/>
      <c r="L29" s="155" t="n"/>
      <c r="M29" s="155" t="n"/>
      <c r="N29" s="155" t="n"/>
      <c r="O29" s="155" t="n"/>
      <c r="P29" s="155" t="n"/>
      <c r="Q29" s="155" t="n"/>
      <c r="R29" s="155" t="n"/>
      <c r="S29" s="155" t="n"/>
      <c r="T29" s="156" t="n"/>
    </row>
    <row r="30">
      <c r="A30" s="23" t="n">
        <v>23</v>
      </c>
      <c r="B30" s="154" t="n"/>
      <c r="C30" s="155" t="n"/>
      <c r="D30" s="155" t="n"/>
      <c r="E30" s="155" t="n"/>
      <c r="F30" s="155" t="n"/>
      <c r="G30" s="155" t="n"/>
      <c r="H30" s="155" t="n"/>
      <c r="I30" s="155" t="n"/>
      <c r="J30" s="155" t="n"/>
      <c r="K30" s="155" t="n"/>
      <c r="L30" s="155" t="n"/>
      <c r="M30" s="155" t="n"/>
      <c r="N30" s="155" t="n"/>
      <c r="O30" s="155" t="n"/>
      <c r="P30" s="155" t="n"/>
      <c r="Q30" s="155" t="n"/>
      <c r="R30" s="155" t="n"/>
      <c r="S30" s="155" t="n"/>
      <c r="T30" s="156" t="n"/>
    </row>
    <row r="31">
      <c r="A31" s="23" t="n">
        <v>24</v>
      </c>
      <c r="B31" s="154" t="n"/>
      <c r="C31" s="155" t="n"/>
      <c r="D31" s="155" t="n"/>
      <c r="E31" s="155" t="n"/>
      <c r="F31" s="155" t="n"/>
      <c r="G31" s="155" t="n"/>
      <c r="H31" s="155" t="n"/>
      <c r="I31" s="155" t="n"/>
      <c r="J31" s="155" t="n"/>
      <c r="K31" s="155" t="n"/>
      <c r="L31" s="155" t="n"/>
      <c r="M31" s="155" t="n"/>
      <c r="N31" s="155" t="n"/>
      <c r="O31" s="155" t="n"/>
      <c r="P31" s="155" t="n"/>
      <c r="Q31" s="155" t="n"/>
      <c r="R31" s="155" t="n"/>
      <c r="S31" s="155" t="n"/>
      <c r="T31" s="156" t="n"/>
    </row>
    <row r="32">
      <c r="A32" s="23" t="n">
        <v>25</v>
      </c>
      <c r="B32" s="154" t="n"/>
      <c r="C32" s="155" t="n"/>
      <c r="D32" s="155" t="n"/>
      <c r="E32" s="155" t="n"/>
      <c r="F32" s="155" t="n"/>
      <c r="G32" s="155" t="n"/>
      <c r="H32" s="155" t="n"/>
      <c r="I32" s="155" t="n"/>
      <c r="J32" s="155" t="n"/>
      <c r="K32" s="155" t="n"/>
      <c r="L32" s="155" t="n"/>
      <c r="M32" s="155" t="n"/>
      <c r="N32" s="155" t="n"/>
      <c r="O32" s="155" t="n"/>
      <c r="P32" s="155" t="n"/>
      <c r="Q32" s="155" t="n"/>
      <c r="R32" s="155" t="n"/>
      <c r="S32" s="155" t="n"/>
      <c r="T32" s="156" t="n"/>
    </row>
    <row r="33">
      <c r="A33" s="23" t="n">
        <v>26</v>
      </c>
      <c r="B33" s="154" t="n"/>
      <c r="C33" s="155" t="n"/>
      <c r="D33" s="155" t="n"/>
      <c r="E33" s="155" t="n"/>
      <c r="F33" s="155" t="n"/>
      <c r="G33" s="155" t="n"/>
      <c r="H33" s="155" t="n"/>
      <c r="I33" s="155" t="n"/>
      <c r="J33" s="155" t="n"/>
      <c r="K33" s="155" t="n"/>
      <c r="L33" s="155" t="n"/>
      <c r="M33" s="155" t="n"/>
      <c r="N33" s="155" t="n"/>
      <c r="O33" s="155" t="n"/>
      <c r="P33" s="155" t="n"/>
      <c r="Q33" s="155" t="n"/>
      <c r="R33" s="155" t="n"/>
      <c r="S33" s="155" t="n"/>
      <c r="T33" s="156" t="n"/>
    </row>
    <row r="34">
      <c r="A34" s="23" t="n">
        <v>27</v>
      </c>
      <c r="B34" s="154" t="n"/>
      <c r="C34" s="155" t="n"/>
      <c r="D34" s="155" t="n"/>
      <c r="E34" s="155" t="n"/>
      <c r="F34" s="155" t="n"/>
      <c r="G34" s="155" t="n"/>
      <c r="H34" s="155" t="n"/>
      <c r="I34" s="155" t="n"/>
      <c r="J34" s="155" t="n"/>
      <c r="K34" s="155" t="n"/>
      <c r="L34" s="155" t="n"/>
      <c r="M34" s="155" t="n"/>
      <c r="N34" s="155" t="n"/>
      <c r="O34" s="155" t="n"/>
      <c r="P34" s="155" t="n"/>
      <c r="Q34" s="155" t="n"/>
      <c r="R34" s="155" t="n"/>
      <c r="S34" s="155" t="n"/>
      <c r="T34" s="156" t="n"/>
    </row>
    <row r="35">
      <c r="A35" s="23" t="n">
        <v>28</v>
      </c>
      <c r="B35" s="154" t="n"/>
      <c r="C35" s="155" t="n"/>
      <c r="D35" s="155" t="n"/>
      <c r="E35" s="155" t="n"/>
      <c r="F35" s="155" t="n"/>
      <c r="G35" s="155" t="n"/>
      <c r="H35" s="155" t="n"/>
      <c r="I35" s="155" t="n"/>
      <c r="J35" s="155" t="n"/>
      <c r="K35" s="155" t="n"/>
      <c r="L35" s="155" t="n"/>
      <c r="M35" s="155" t="n"/>
      <c r="N35" s="155" t="n"/>
      <c r="O35" s="155" t="n"/>
      <c r="P35" s="155" t="n"/>
      <c r="Q35" s="155" t="n"/>
      <c r="R35" s="155" t="n"/>
      <c r="S35" s="155" t="n"/>
      <c r="T35" s="156" t="n"/>
    </row>
    <row r="36">
      <c r="A36" s="23" t="n">
        <v>29</v>
      </c>
      <c r="B36" s="154" t="n"/>
      <c r="C36" s="155" t="n"/>
      <c r="D36" s="155" t="n"/>
      <c r="E36" s="155" t="n"/>
      <c r="F36" s="155" t="n"/>
      <c r="G36" s="155" t="n"/>
      <c r="H36" s="155" t="n"/>
      <c r="I36" s="155" t="n"/>
      <c r="J36" s="155" t="n"/>
      <c r="K36" s="155" t="n"/>
      <c r="L36" s="155" t="n"/>
      <c r="M36" s="155" t="n"/>
      <c r="N36" s="155" t="n"/>
      <c r="O36" s="155" t="n"/>
      <c r="P36" s="155" t="n"/>
      <c r="Q36" s="155" t="n"/>
      <c r="R36" s="155" t="n"/>
      <c r="S36" s="155" t="n"/>
      <c r="T36" s="156" t="n"/>
    </row>
    <row r="37">
      <c r="A37" s="23" t="n">
        <v>30</v>
      </c>
      <c r="B37" s="154" t="n"/>
      <c r="C37" s="155" t="n"/>
      <c r="D37" s="155" t="n"/>
      <c r="E37" s="155" t="n"/>
      <c r="F37" s="155" t="n"/>
      <c r="G37" s="155" t="n"/>
      <c r="H37" s="155" t="n"/>
      <c r="I37" s="155" t="n"/>
      <c r="J37" s="155" t="n"/>
      <c r="K37" s="155" t="n"/>
      <c r="L37" s="155" t="n"/>
      <c r="M37" s="155" t="n"/>
      <c r="N37" s="155" t="n"/>
      <c r="O37" s="155" t="n"/>
      <c r="P37" s="155" t="n"/>
      <c r="Q37" s="155" t="n"/>
      <c r="R37" s="155" t="n"/>
      <c r="S37" s="155" t="n"/>
      <c r="T37" s="156" t="n"/>
    </row>
    <row r="38">
      <c r="A38" s="23" t="n">
        <v>31</v>
      </c>
      <c r="B38" s="154" t="n"/>
      <c r="C38" s="155" t="n"/>
      <c r="D38" s="155" t="n"/>
      <c r="E38" s="155" t="n"/>
      <c r="F38" s="155" t="n"/>
      <c r="G38" s="155" t="n"/>
      <c r="H38" s="155" t="n"/>
      <c r="I38" s="155" t="n"/>
      <c r="J38" s="155" t="n"/>
      <c r="K38" s="155" t="n"/>
      <c r="L38" s="155" t="n"/>
      <c r="M38" s="155" t="n"/>
      <c r="N38" s="155" t="n"/>
      <c r="O38" s="155" t="n"/>
      <c r="P38" s="155" t="n"/>
      <c r="Q38" s="155" t="n"/>
      <c r="R38" s="155" t="n"/>
      <c r="S38" s="155" t="n"/>
      <c r="T38" s="156" t="n"/>
    </row>
    <row r="39">
      <c r="A39" s="23" t="n">
        <v>32</v>
      </c>
      <c r="B39" s="154" t="n"/>
      <c r="C39" s="155" t="n"/>
      <c r="D39" s="155" t="n"/>
      <c r="E39" s="155" t="n"/>
      <c r="F39" s="155" t="n"/>
      <c r="G39" s="155" t="n"/>
      <c r="H39" s="155" t="n"/>
      <c r="I39" s="155" t="n"/>
      <c r="J39" s="155" t="n"/>
      <c r="K39" s="155" t="n"/>
      <c r="L39" s="155" t="n"/>
      <c r="M39" s="155" t="n"/>
      <c r="N39" s="155" t="n"/>
      <c r="O39" s="155" t="n"/>
      <c r="P39" s="155" t="n"/>
      <c r="Q39" s="155" t="n"/>
      <c r="R39" s="155" t="n"/>
      <c r="S39" s="155" t="n"/>
      <c r="T39" s="156" t="n"/>
    </row>
    <row r="40">
      <c r="A40" s="23" t="n">
        <v>33</v>
      </c>
      <c r="B40" s="154" t="n"/>
      <c r="C40" s="155" t="n"/>
      <c r="D40" s="155" t="n"/>
      <c r="E40" s="155" t="n"/>
      <c r="F40" s="155" t="n"/>
      <c r="G40" s="155" t="n"/>
      <c r="H40" s="155" t="n"/>
      <c r="I40" s="155" t="n"/>
      <c r="J40" s="155" t="n"/>
      <c r="K40" s="155" t="n"/>
      <c r="L40" s="155" t="n"/>
      <c r="M40" s="155" t="n"/>
      <c r="N40" s="155" t="n"/>
      <c r="O40" s="155" t="n"/>
      <c r="P40" s="155" t="n"/>
      <c r="Q40" s="155" t="n"/>
      <c r="R40" s="155" t="n"/>
      <c r="S40" s="155" t="n"/>
      <c r="T40" s="156" t="n"/>
    </row>
    <row r="41">
      <c r="A41" s="23" t="n">
        <v>34</v>
      </c>
      <c r="B41" s="154" t="n"/>
      <c r="C41" s="155" t="n"/>
      <c r="D41" s="155" t="n"/>
      <c r="E41" s="155" t="n"/>
      <c r="F41" s="155" t="n"/>
      <c r="G41" s="155" t="n"/>
      <c r="H41" s="155" t="n"/>
      <c r="I41" s="155" t="n"/>
      <c r="J41" s="155" t="n"/>
      <c r="K41" s="155" t="n"/>
      <c r="L41" s="155" t="n"/>
      <c r="M41" s="155" t="n"/>
      <c r="N41" s="155" t="n"/>
      <c r="O41" s="155" t="n"/>
      <c r="P41" s="155" t="n"/>
      <c r="Q41" s="155" t="n"/>
      <c r="R41" s="155" t="n"/>
      <c r="S41" s="155" t="n"/>
      <c r="T41" s="156" t="n"/>
    </row>
    <row r="42">
      <c r="A42" s="23" t="n">
        <v>35</v>
      </c>
      <c r="B42" s="154" t="n"/>
      <c r="C42" s="155" t="n"/>
      <c r="D42" s="155" t="n"/>
      <c r="E42" s="155" t="n"/>
      <c r="F42" s="155" t="n"/>
      <c r="G42" s="155" t="n"/>
      <c r="H42" s="155" t="n"/>
      <c r="I42" s="155" t="n"/>
      <c r="J42" s="155" t="n"/>
      <c r="K42" s="155" t="n"/>
      <c r="L42" s="155" t="n"/>
      <c r="M42" s="155" t="n"/>
      <c r="N42" s="155" t="n"/>
      <c r="O42" s="155" t="n"/>
      <c r="P42" s="155" t="n"/>
      <c r="Q42" s="155" t="n"/>
      <c r="R42" s="155" t="n"/>
      <c r="S42" s="155" t="n"/>
      <c r="T42" s="156" t="n"/>
    </row>
    <row r="43">
      <c r="A43" s="23" t="n">
        <v>36</v>
      </c>
      <c r="B43" s="154" t="n"/>
      <c r="C43" s="155" t="n"/>
      <c r="D43" s="155" t="n"/>
      <c r="E43" s="155" t="n"/>
      <c r="F43" s="155" t="n"/>
      <c r="G43" s="155" t="n"/>
      <c r="H43" s="155" t="n"/>
      <c r="I43" s="155" t="n"/>
      <c r="J43" s="155" t="n"/>
      <c r="K43" s="155" t="n"/>
      <c r="L43" s="155" t="n"/>
      <c r="M43" s="155" t="n"/>
      <c r="N43" s="155" t="n"/>
      <c r="O43" s="155" t="n"/>
      <c r="P43" s="155" t="n"/>
      <c r="Q43" s="155" t="n"/>
      <c r="R43" s="155" t="n"/>
      <c r="S43" s="155" t="n"/>
      <c r="T43" s="156" t="n"/>
    </row>
    <row r="44">
      <c r="A44" s="23" t="n">
        <v>37</v>
      </c>
      <c r="B44" s="154" t="n"/>
      <c r="C44" s="155" t="n"/>
      <c r="D44" s="155" t="n"/>
      <c r="E44" s="155" t="n"/>
      <c r="F44" s="155" t="n"/>
      <c r="G44" s="155" t="n"/>
      <c r="H44" s="155" t="n"/>
      <c r="I44" s="155" t="n"/>
      <c r="J44" s="155" t="n"/>
      <c r="K44" s="155" t="n"/>
      <c r="L44" s="155" t="n"/>
      <c r="M44" s="155" t="n"/>
      <c r="N44" s="155" t="n"/>
      <c r="O44" s="155" t="n"/>
      <c r="P44" s="155" t="n"/>
      <c r="Q44" s="155" t="n"/>
      <c r="R44" s="155" t="n"/>
      <c r="S44" s="155" t="n"/>
      <c r="T44" s="156" t="n"/>
    </row>
    <row r="45">
      <c r="A45" s="23" t="n">
        <v>38</v>
      </c>
      <c r="B45" s="154" t="n"/>
      <c r="C45" s="155" t="n"/>
      <c r="D45" s="155" t="n"/>
      <c r="E45" s="155" t="n"/>
      <c r="F45" s="155" t="n"/>
      <c r="G45" s="155" t="n"/>
      <c r="H45" s="155" t="n"/>
      <c r="I45" s="155" t="n"/>
      <c r="J45" s="155" t="n"/>
      <c r="K45" s="155" t="n"/>
      <c r="L45" s="155" t="n"/>
      <c r="M45" s="155" t="n"/>
      <c r="N45" s="155" t="n"/>
      <c r="O45" s="155" t="n"/>
      <c r="P45" s="155" t="n"/>
      <c r="Q45" s="155" t="n"/>
      <c r="R45" s="155" t="n"/>
      <c r="S45" s="155" t="n"/>
      <c r="T45" s="156" t="n"/>
    </row>
    <row r="46">
      <c r="A46" s="23" t="n">
        <v>39</v>
      </c>
      <c r="B46" s="154" t="n"/>
      <c r="C46" s="155" t="n"/>
      <c r="D46" s="155" t="n"/>
      <c r="E46" s="155" t="n"/>
      <c r="F46" s="155" t="n"/>
      <c r="G46" s="155" t="n"/>
      <c r="H46" s="155" t="n"/>
      <c r="I46" s="155" t="n"/>
      <c r="J46" s="155" t="n"/>
      <c r="K46" s="155" t="n"/>
      <c r="L46" s="155" t="n"/>
      <c r="M46" s="155" t="n"/>
      <c r="N46" s="155" t="n"/>
      <c r="O46" s="155" t="n"/>
      <c r="P46" s="155" t="n"/>
      <c r="Q46" s="155" t="n"/>
      <c r="R46" s="155" t="n"/>
      <c r="S46" s="155" t="n"/>
      <c r="T46" s="156" t="n"/>
    </row>
    <row r="47">
      <c r="A47" s="23" t="n">
        <v>40</v>
      </c>
      <c r="B47" s="154" t="n"/>
      <c r="C47" s="155" t="n"/>
      <c r="D47" s="155" t="n"/>
      <c r="E47" s="155" t="n"/>
      <c r="F47" s="155" t="n"/>
      <c r="G47" s="155" t="n"/>
      <c r="H47" s="155" t="n"/>
      <c r="I47" s="155" t="n"/>
      <c r="J47" s="155" t="n"/>
      <c r="K47" s="155" t="n"/>
      <c r="L47" s="155" t="n"/>
      <c r="M47" s="155" t="n"/>
      <c r="N47" s="155" t="n"/>
      <c r="O47" s="155" t="n"/>
      <c r="P47" s="155" t="n"/>
      <c r="Q47" s="155" t="n"/>
      <c r="R47" s="155" t="n"/>
      <c r="S47" s="155" t="n"/>
      <c r="T47" s="156" t="n"/>
    </row>
    <row r="48">
      <c r="A48" s="23" t="n">
        <v>41</v>
      </c>
      <c r="B48" s="154" t="n"/>
      <c r="C48" s="155" t="n"/>
      <c r="D48" s="155" t="n"/>
      <c r="E48" s="155" t="n"/>
      <c r="F48" s="155" t="n"/>
      <c r="G48" s="155" t="n"/>
      <c r="H48" s="155" t="n"/>
      <c r="I48" s="155" t="n"/>
      <c r="J48" s="155" t="n"/>
      <c r="K48" s="155" t="n"/>
      <c r="L48" s="155" t="n"/>
      <c r="M48" s="155" t="n"/>
      <c r="N48" s="155" t="n"/>
      <c r="O48" s="155" t="n"/>
      <c r="P48" s="155" t="n"/>
      <c r="Q48" s="155" t="n"/>
      <c r="R48" s="155" t="n"/>
      <c r="S48" s="155" t="n"/>
      <c r="T48" s="156" t="n"/>
    </row>
    <row r="49">
      <c r="A49" s="23" t="n">
        <v>42</v>
      </c>
      <c r="B49" s="154" t="n"/>
      <c r="C49" s="155" t="n"/>
      <c r="D49" s="155" t="n"/>
      <c r="E49" s="155" t="n"/>
      <c r="F49" s="155" t="n"/>
      <c r="G49" s="155" t="n"/>
      <c r="H49" s="155" t="n"/>
      <c r="I49" s="155" t="n"/>
      <c r="J49" s="155" t="n"/>
      <c r="K49" s="155" t="n"/>
      <c r="L49" s="155" t="n"/>
      <c r="M49" s="155" t="n"/>
      <c r="N49" s="155" t="n"/>
      <c r="O49" s="155" t="n"/>
      <c r="P49" s="155" t="n"/>
      <c r="Q49" s="155" t="n"/>
      <c r="R49" s="155" t="n"/>
      <c r="S49" s="155" t="n"/>
      <c r="T49" s="156" t="n"/>
    </row>
    <row r="50">
      <c r="A50" s="23" t="n">
        <v>43</v>
      </c>
      <c r="B50" s="154" t="n"/>
      <c r="C50" s="155" t="n"/>
      <c r="D50" s="155" t="n"/>
      <c r="E50" s="155" t="n"/>
      <c r="F50" s="155" t="n"/>
      <c r="G50" s="155" t="n"/>
      <c r="H50" s="155" t="n"/>
      <c r="I50" s="155" t="n"/>
      <c r="J50" s="155" t="n"/>
      <c r="K50" s="155" t="n"/>
      <c r="L50" s="155" t="n"/>
      <c r="M50" s="155" t="n"/>
      <c r="N50" s="155" t="n"/>
      <c r="O50" s="155" t="n"/>
      <c r="P50" s="155" t="n"/>
      <c r="Q50" s="155" t="n"/>
      <c r="R50" s="155" t="n"/>
      <c r="S50" s="155" t="n"/>
      <c r="T50" s="156" t="n"/>
    </row>
    <row r="51">
      <c r="A51" s="23" t="n">
        <v>44</v>
      </c>
      <c r="B51" s="154" t="n"/>
      <c r="C51" s="155" t="n"/>
      <c r="D51" s="155" t="n"/>
      <c r="E51" s="155" t="n"/>
      <c r="F51" s="155" t="n"/>
      <c r="G51" s="155" t="n"/>
      <c r="H51" s="155" t="n"/>
      <c r="I51" s="155" t="n"/>
      <c r="J51" s="155" t="n"/>
      <c r="K51" s="155" t="n"/>
      <c r="L51" s="155" t="n"/>
      <c r="M51" s="155" t="n"/>
      <c r="N51" s="155" t="n"/>
      <c r="O51" s="155" t="n"/>
      <c r="P51" s="155" t="n"/>
      <c r="Q51" s="155" t="n"/>
      <c r="R51" s="155" t="n"/>
      <c r="S51" s="155" t="n"/>
      <c r="T51" s="156" t="n"/>
    </row>
    <row r="52">
      <c r="A52" s="23" t="n">
        <v>45</v>
      </c>
      <c r="B52" s="154" t="n"/>
      <c r="C52" s="155" t="n"/>
      <c r="D52" s="155" t="n"/>
      <c r="E52" s="155" t="n"/>
      <c r="F52" s="155" t="n"/>
      <c r="G52" s="155" t="n"/>
      <c r="H52" s="155" t="n"/>
      <c r="I52" s="155" t="n"/>
      <c r="J52" s="155" t="n"/>
      <c r="K52" s="155" t="n"/>
      <c r="L52" s="155" t="n"/>
      <c r="M52" s="155" t="n"/>
      <c r="N52" s="155" t="n"/>
      <c r="O52" s="155" t="n"/>
      <c r="P52" s="155" t="n"/>
      <c r="Q52" s="155" t="n"/>
      <c r="R52" s="155" t="n"/>
      <c r="S52" s="155" t="n"/>
      <c r="T52" s="156" t="n"/>
    </row>
    <row r="53">
      <c r="A53" s="23" t="n">
        <v>46</v>
      </c>
      <c r="B53" s="154" t="n"/>
      <c r="C53" s="155" t="n"/>
      <c r="D53" s="155" t="n"/>
      <c r="E53" s="155" t="n"/>
      <c r="F53" s="155" t="n"/>
      <c r="G53" s="155" t="n"/>
      <c r="H53" s="155" t="n"/>
      <c r="I53" s="155" t="n"/>
      <c r="J53" s="155" t="n"/>
      <c r="K53" s="155" t="n"/>
      <c r="L53" s="155" t="n"/>
      <c r="M53" s="155" t="n"/>
      <c r="N53" s="155" t="n"/>
      <c r="O53" s="155" t="n"/>
      <c r="P53" s="155" t="n"/>
      <c r="Q53" s="155" t="n"/>
      <c r="R53" s="155" t="n"/>
      <c r="S53" s="155" t="n"/>
      <c r="T53" s="156" t="n"/>
    </row>
    <row r="54">
      <c r="A54" s="23" t="n">
        <v>47</v>
      </c>
      <c r="B54" s="154" t="n"/>
      <c r="C54" s="155" t="n"/>
      <c r="D54" s="155" t="n"/>
      <c r="E54" s="155" t="n"/>
      <c r="F54" s="155" t="n"/>
      <c r="G54" s="155" t="n"/>
      <c r="H54" s="155" t="n"/>
      <c r="I54" s="155" t="n"/>
      <c r="J54" s="155" t="n"/>
      <c r="K54" s="155" t="n"/>
      <c r="L54" s="155" t="n"/>
      <c r="M54" s="155" t="n"/>
      <c r="N54" s="155" t="n"/>
      <c r="O54" s="155" t="n"/>
      <c r="P54" s="155" t="n"/>
      <c r="Q54" s="155" t="n"/>
      <c r="R54" s="155" t="n"/>
      <c r="S54" s="155" t="n"/>
      <c r="T54" s="156" t="n"/>
    </row>
    <row r="55">
      <c r="A55" s="23" t="n">
        <v>48</v>
      </c>
      <c r="B55" s="154" t="n"/>
      <c r="C55" s="155" t="n"/>
      <c r="D55" s="155" t="n"/>
      <c r="E55" s="155" t="n"/>
      <c r="F55" s="155" t="n"/>
      <c r="G55" s="155" t="n"/>
      <c r="H55" s="155" t="n"/>
      <c r="I55" s="155" t="n"/>
      <c r="J55" s="155" t="n"/>
      <c r="K55" s="155" t="n"/>
      <c r="L55" s="155" t="n"/>
      <c r="M55" s="155" t="n"/>
      <c r="N55" s="155" t="n"/>
      <c r="O55" s="155" t="n"/>
      <c r="P55" s="155" t="n"/>
      <c r="Q55" s="155" t="n"/>
      <c r="R55" s="155" t="n"/>
      <c r="S55" s="155" t="n"/>
      <c r="T55" s="156" t="n"/>
    </row>
    <row r="56">
      <c r="A56" s="23" t="n">
        <v>49</v>
      </c>
      <c r="B56" s="154" t="n"/>
      <c r="C56" s="155" t="n"/>
      <c r="D56" s="155" t="n"/>
      <c r="E56" s="155" t="n"/>
      <c r="F56" s="155" t="n"/>
      <c r="G56" s="155" t="n"/>
      <c r="H56" s="155" t="n"/>
      <c r="I56" s="155" t="n"/>
      <c r="J56" s="155" t="n"/>
      <c r="K56" s="155" t="n"/>
      <c r="L56" s="155" t="n"/>
      <c r="M56" s="155" t="n"/>
      <c r="N56" s="155" t="n"/>
      <c r="O56" s="155" t="n"/>
      <c r="P56" s="155" t="n"/>
      <c r="Q56" s="155" t="n"/>
      <c r="R56" s="155" t="n"/>
      <c r="S56" s="155" t="n"/>
      <c r="T56" s="156" t="n"/>
    </row>
    <row r="57">
      <c r="A57" s="23" t="n">
        <v>50</v>
      </c>
      <c r="B57" s="154" t="n"/>
      <c r="C57" s="155" t="n"/>
      <c r="D57" s="155" t="n"/>
      <c r="E57" s="155" t="n"/>
      <c r="F57" s="155" t="n"/>
      <c r="G57" s="155" t="n"/>
      <c r="H57" s="155" t="n"/>
      <c r="I57" s="155" t="n"/>
      <c r="J57" s="155" t="n"/>
      <c r="K57" s="155" t="n"/>
      <c r="L57" s="155" t="n"/>
      <c r="M57" s="155" t="n"/>
      <c r="N57" s="155" t="n"/>
      <c r="O57" s="155" t="n"/>
      <c r="P57" s="155" t="n"/>
      <c r="Q57" s="155" t="n"/>
      <c r="R57" s="155" t="n"/>
      <c r="S57" s="155" t="n"/>
      <c r="T57" s="156" t="n"/>
    </row>
    <row r="58">
      <c r="A58" s="23" t="n">
        <v>51</v>
      </c>
      <c r="B58" s="154" t="n"/>
      <c r="C58" s="155" t="n"/>
      <c r="D58" s="155" t="n"/>
      <c r="E58" s="155" t="n"/>
      <c r="F58" s="155" t="n"/>
      <c r="G58" s="155" t="n"/>
      <c r="H58" s="155" t="n"/>
      <c r="I58" s="155" t="n"/>
      <c r="J58" s="155" t="n"/>
      <c r="K58" s="155" t="n"/>
      <c r="L58" s="155" t="n"/>
      <c r="M58" s="155" t="n"/>
      <c r="N58" s="155" t="n"/>
      <c r="O58" s="155" t="n"/>
      <c r="P58" s="155" t="n"/>
      <c r="Q58" s="155" t="n"/>
      <c r="R58" s="155" t="n"/>
      <c r="S58" s="155" t="n"/>
      <c r="T58" s="156" t="n"/>
    </row>
    <row r="59">
      <c r="A59" s="23" t="n">
        <v>52</v>
      </c>
      <c r="B59" s="154" t="n"/>
      <c r="C59" s="155" t="n"/>
      <c r="D59" s="155" t="n"/>
      <c r="E59" s="155" t="n"/>
      <c r="F59" s="155" t="n"/>
      <c r="G59" s="155" t="n"/>
      <c r="H59" s="155" t="n"/>
      <c r="I59" s="155" t="n"/>
      <c r="J59" s="155" t="n"/>
      <c r="K59" s="155" t="n"/>
      <c r="L59" s="155" t="n"/>
      <c r="M59" s="155" t="n"/>
      <c r="N59" s="155" t="n"/>
      <c r="O59" s="155" t="n"/>
      <c r="P59" s="155" t="n"/>
      <c r="Q59" s="155" t="n"/>
      <c r="R59" s="155" t="n"/>
      <c r="S59" s="155" t="n"/>
      <c r="T59" s="156" t="n"/>
    </row>
    <row r="60">
      <c r="A60" s="23" t="n">
        <v>53</v>
      </c>
      <c r="B60" s="154" t="n"/>
      <c r="C60" s="155" t="n"/>
      <c r="D60" s="155" t="n"/>
      <c r="E60" s="155" t="n"/>
      <c r="F60" s="155" t="n"/>
      <c r="G60" s="155" t="n"/>
      <c r="H60" s="155" t="n"/>
      <c r="I60" s="155" t="n"/>
      <c r="J60" s="155" t="n"/>
      <c r="K60" s="155" t="n"/>
      <c r="L60" s="155" t="n"/>
      <c r="M60" s="155" t="n"/>
      <c r="N60" s="155" t="n"/>
      <c r="O60" s="155" t="n"/>
      <c r="P60" s="155" t="n"/>
      <c r="Q60" s="155" t="n"/>
      <c r="R60" s="155" t="n"/>
      <c r="S60" s="155" t="n"/>
      <c r="T60" s="156" t="n"/>
    </row>
    <row r="61">
      <c r="A61" s="23" t="n">
        <v>54</v>
      </c>
      <c r="B61" s="154" t="n"/>
      <c r="C61" s="155" t="n"/>
      <c r="D61" s="155" t="n"/>
      <c r="E61" s="155" t="n"/>
      <c r="F61" s="155" t="n"/>
      <c r="G61" s="155" t="n"/>
      <c r="H61" s="155" t="n"/>
      <c r="I61" s="155" t="n"/>
      <c r="J61" s="155" t="n"/>
      <c r="K61" s="155" t="n"/>
      <c r="L61" s="155" t="n"/>
      <c r="M61" s="155" t="n"/>
      <c r="N61" s="155" t="n"/>
      <c r="O61" s="155" t="n"/>
      <c r="P61" s="155" t="n"/>
      <c r="Q61" s="155" t="n"/>
      <c r="R61" s="155" t="n"/>
      <c r="S61" s="155" t="n"/>
      <c r="T61" s="156" t="n"/>
    </row>
    <row r="62">
      <c r="A62" s="23" t="n">
        <v>55</v>
      </c>
      <c r="B62" s="154" t="n"/>
      <c r="C62" s="155" t="n"/>
      <c r="D62" s="155" t="n"/>
      <c r="E62" s="155" t="n"/>
      <c r="F62" s="155" t="n"/>
      <c r="G62" s="155" t="n"/>
      <c r="H62" s="155" t="n"/>
      <c r="I62" s="155" t="n"/>
      <c r="J62" s="155" t="n"/>
      <c r="K62" s="155" t="n"/>
      <c r="L62" s="155" t="n"/>
      <c r="M62" s="155" t="n"/>
      <c r="N62" s="155" t="n"/>
      <c r="O62" s="155" t="n"/>
      <c r="P62" s="155" t="n"/>
      <c r="Q62" s="155" t="n"/>
      <c r="R62" s="155" t="n"/>
      <c r="S62" s="155" t="n"/>
      <c r="T62" s="156" t="n"/>
    </row>
    <row r="63">
      <c r="A63" s="23" t="n">
        <v>56</v>
      </c>
      <c r="B63" s="154" t="n"/>
      <c r="C63" s="155" t="n"/>
      <c r="D63" s="155" t="n"/>
      <c r="E63" s="155" t="n"/>
      <c r="F63" s="155" t="n"/>
      <c r="G63" s="155" t="n"/>
      <c r="H63" s="155" t="n"/>
      <c r="I63" s="155" t="n"/>
      <c r="J63" s="155" t="n"/>
      <c r="K63" s="155" t="n"/>
      <c r="L63" s="155" t="n"/>
      <c r="M63" s="155" t="n"/>
      <c r="N63" s="155" t="n"/>
      <c r="O63" s="155" t="n"/>
      <c r="P63" s="155" t="n"/>
      <c r="Q63" s="155" t="n"/>
      <c r="R63" s="155" t="n"/>
      <c r="S63" s="155" t="n"/>
      <c r="T63" s="156" t="n"/>
    </row>
    <row r="64">
      <c r="A64" s="23" t="n">
        <v>57</v>
      </c>
      <c r="B64" s="154" t="n"/>
      <c r="C64" s="155" t="n"/>
      <c r="D64" s="155" t="n"/>
      <c r="E64" s="155" t="n"/>
      <c r="F64" s="155" t="n"/>
      <c r="G64" s="155" t="n"/>
      <c r="H64" s="155" t="n"/>
      <c r="I64" s="155" t="n"/>
      <c r="J64" s="155" t="n"/>
      <c r="K64" s="155" t="n"/>
      <c r="L64" s="155" t="n"/>
      <c r="M64" s="155" t="n"/>
      <c r="N64" s="155" t="n"/>
      <c r="O64" s="155" t="n"/>
      <c r="P64" s="155" t="n"/>
      <c r="Q64" s="155" t="n"/>
      <c r="R64" s="155" t="n"/>
      <c r="S64" s="155" t="n"/>
      <c r="T64" s="156" t="n"/>
    </row>
    <row r="65">
      <c r="A65" s="23" t="n">
        <v>58</v>
      </c>
      <c r="B65" s="154" t="n"/>
      <c r="C65" s="155" t="n"/>
      <c r="D65" s="155" t="n"/>
      <c r="E65" s="155" t="n"/>
      <c r="F65" s="155" t="n"/>
      <c r="G65" s="155" t="n"/>
      <c r="H65" s="155" t="n"/>
      <c r="I65" s="155" t="n"/>
      <c r="J65" s="155" t="n"/>
      <c r="K65" s="155" t="n"/>
      <c r="L65" s="155" t="n"/>
      <c r="M65" s="155" t="n"/>
      <c r="N65" s="155" t="n"/>
      <c r="O65" s="155" t="n"/>
      <c r="P65" s="155" t="n"/>
      <c r="Q65" s="155" t="n"/>
      <c r="R65" s="155" t="n"/>
      <c r="S65" s="155" t="n"/>
      <c r="T65" s="156" t="n"/>
    </row>
    <row r="66">
      <c r="A66" s="23" t="n">
        <v>59</v>
      </c>
      <c r="B66" s="154" t="n"/>
      <c r="C66" s="155" t="n"/>
      <c r="D66" s="155" t="n"/>
      <c r="E66" s="155" t="n"/>
      <c r="F66" s="155" t="n"/>
      <c r="G66" s="155" t="n"/>
      <c r="H66" s="155" t="n"/>
      <c r="I66" s="155" t="n"/>
      <c r="J66" s="155" t="n"/>
      <c r="K66" s="155" t="n"/>
      <c r="L66" s="155" t="n"/>
      <c r="M66" s="155" t="n"/>
      <c r="N66" s="155" t="n"/>
      <c r="O66" s="155" t="n"/>
      <c r="P66" s="155" t="n"/>
      <c r="Q66" s="155" t="n"/>
      <c r="R66" s="155" t="n"/>
      <c r="S66" s="155" t="n"/>
      <c r="T66" s="156" t="n"/>
    </row>
    <row r="67">
      <c r="A67" s="23" t="n">
        <v>60</v>
      </c>
      <c r="B67" s="154" t="n"/>
      <c r="C67" s="155" t="n"/>
      <c r="D67" s="155" t="n"/>
      <c r="E67" s="155" t="n"/>
      <c r="F67" s="155" t="n"/>
      <c r="G67" s="155" t="n"/>
      <c r="H67" s="155" t="n"/>
      <c r="I67" s="155" t="n"/>
      <c r="J67" s="155" t="n"/>
      <c r="K67" s="155" t="n"/>
      <c r="L67" s="155" t="n"/>
      <c r="M67" s="155" t="n"/>
      <c r="N67" s="155" t="n"/>
      <c r="O67" s="155" t="n"/>
      <c r="P67" s="155" t="n"/>
      <c r="Q67" s="155" t="n"/>
      <c r="R67" s="155" t="n"/>
      <c r="S67" s="155" t="n"/>
      <c r="T67" s="156" t="n"/>
    </row>
    <row r="68"/>
    <row r="69"/>
    <row r="70">
      <c r="A70" s="111" t="inlineStr">
        <is>
          <t>Tier 2: SHS with TV</t>
        </is>
      </c>
    </row>
    <row r="71" ht="42" customHeight="1">
      <c r="A71" s="40" t="inlineStr">
        <is>
          <t>Obs #</t>
        </is>
      </c>
      <c r="B71" s="40" t="inlineStr">
        <is>
          <t>Period end</t>
        </is>
      </c>
      <c r="C71" s="40" t="inlineStr">
        <is>
          <t>Originations (units)</t>
        </is>
      </c>
      <c r="D71" s="40" t="inlineStr">
        <is>
          <t>Gross receivables</t>
        </is>
      </c>
      <c r="E71" s="40" t="inlineStr">
        <is>
          <t>Current</t>
        </is>
      </c>
      <c r="F71" s="40" t="inlineStr">
        <is>
          <t>1-30 DPD</t>
        </is>
      </c>
      <c r="G71" s="40" t="inlineStr">
        <is>
          <t>31-60 DPD</t>
        </is>
      </c>
      <c r="H71" s="40" t="inlineStr">
        <is>
          <t>61-90 DPD</t>
        </is>
      </c>
      <c r="I71" s="40" t="inlineStr">
        <is>
          <t>91-180 DPD</t>
        </is>
      </c>
      <c r="J71" s="40" t="inlineStr">
        <is>
          <t>180+ DPD</t>
        </is>
      </c>
      <c r="K71" s="40" t="inlineStr">
        <is>
          <t>Default EAD (stock beyond default definition)</t>
        </is>
      </c>
      <c r="L71" s="40" t="inlineStr">
        <is>
          <t>Repossessions (units)</t>
        </is>
      </c>
      <c r="M71" s="40" t="inlineStr">
        <is>
          <t>Gross resale proceeds</t>
        </is>
      </c>
      <c r="N71" s="40" t="inlineStr">
        <is>
          <t>Recovery costs</t>
        </is>
      </c>
      <c r="O71" s="40" t="inlineStr">
        <is>
          <t>Cures (accounts)</t>
        </is>
      </c>
      <c r="P71" s="40" t="inlineStr">
        <is>
          <t>Write-offs</t>
        </is>
      </c>
      <c r="Q71" s="40" t="inlineStr">
        <is>
          <t>Collections</t>
        </is>
      </c>
      <c r="R71" s="40" t="inlineStr">
        <is>
          <t>Instalments due</t>
        </is>
      </c>
      <c r="S71" s="40" t="inlineStr">
        <is>
          <t>Ownership events (unlocks)</t>
        </is>
      </c>
      <c r="T71" s="40" t="inlineStr">
        <is>
          <t>Notes</t>
        </is>
      </c>
    </row>
    <row r="72">
      <c r="A72" s="23" t="n">
        <v>1</v>
      </c>
      <c r="B72" s="154" t="n"/>
      <c r="C72" s="155" t="n"/>
      <c r="D72" s="155" t="n"/>
      <c r="E72" s="155" t="n"/>
      <c r="F72" s="155" t="n"/>
      <c r="G72" s="155" t="n"/>
      <c r="H72" s="155" t="n"/>
      <c r="I72" s="155" t="n"/>
      <c r="J72" s="155" t="n"/>
      <c r="K72" s="155" t="n"/>
      <c r="L72" s="155" t="n"/>
      <c r="M72" s="155" t="n"/>
      <c r="N72" s="155" t="n"/>
      <c r="O72" s="155" t="n"/>
      <c r="P72" s="155" t="n"/>
      <c r="Q72" s="155" t="n"/>
      <c r="R72" s="155" t="n"/>
      <c r="S72" s="155" t="n"/>
      <c r="T72" s="156" t="n"/>
    </row>
    <row r="73">
      <c r="A73" s="23" t="n">
        <v>2</v>
      </c>
      <c r="B73" s="154" t="n"/>
      <c r="C73" s="155" t="n"/>
      <c r="D73" s="155" t="n"/>
      <c r="E73" s="155" t="n"/>
      <c r="F73" s="155" t="n"/>
      <c r="G73" s="155" t="n"/>
      <c r="H73" s="155" t="n"/>
      <c r="I73" s="155" t="n"/>
      <c r="J73" s="155" t="n"/>
      <c r="K73" s="155" t="n"/>
      <c r="L73" s="155" t="n"/>
      <c r="M73" s="155" t="n"/>
      <c r="N73" s="155" t="n"/>
      <c r="O73" s="155" t="n"/>
      <c r="P73" s="155" t="n"/>
      <c r="Q73" s="155" t="n"/>
      <c r="R73" s="155" t="n"/>
      <c r="S73" s="155" t="n"/>
      <c r="T73" s="156" t="n"/>
    </row>
    <row r="74">
      <c r="A74" s="23" t="n">
        <v>3</v>
      </c>
      <c r="B74" s="154" t="n"/>
      <c r="C74" s="155" t="n"/>
      <c r="D74" s="155" t="n"/>
      <c r="E74" s="155" t="n"/>
      <c r="F74" s="155" t="n"/>
      <c r="G74" s="155" t="n"/>
      <c r="H74" s="155" t="n"/>
      <c r="I74" s="155" t="n"/>
      <c r="J74" s="155" t="n"/>
      <c r="K74" s="155" t="n"/>
      <c r="L74" s="155" t="n"/>
      <c r="M74" s="155" t="n"/>
      <c r="N74" s="155" t="n"/>
      <c r="O74" s="155" t="n"/>
      <c r="P74" s="155" t="n"/>
      <c r="Q74" s="155" t="n"/>
      <c r="R74" s="155" t="n"/>
      <c r="S74" s="155" t="n"/>
      <c r="T74" s="156" t="n"/>
    </row>
    <row r="75">
      <c r="A75" s="23" t="n">
        <v>4</v>
      </c>
      <c r="B75" s="154" t="n"/>
      <c r="C75" s="155" t="n"/>
      <c r="D75" s="155" t="n"/>
      <c r="E75" s="155" t="n"/>
      <c r="F75" s="155" t="n"/>
      <c r="G75" s="155" t="n"/>
      <c r="H75" s="155" t="n"/>
      <c r="I75" s="155" t="n"/>
      <c r="J75" s="155" t="n"/>
      <c r="K75" s="155" t="n"/>
      <c r="L75" s="155" t="n"/>
      <c r="M75" s="155" t="n"/>
      <c r="N75" s="155" t="n"/>
      <c r="O75" s="155" t="n"/>
      <c r="P75" s="155" t="n"/>
      <c r="Q75" s="155" t="n"/>
      <c r="R75" s="155" t="n"/>
      <c r="S75" s="155" t="n"/>
      <c r="T75" s="156" t="n"/>
    </row>
    <row r="76">
      <c r="A76" s="23" t="n">
        <v>5</v>
      </c>
      <c r="B76" s="154" t="n"/>
      <c r="C76" s="155" t="n"/>
      <c r="D76" s="155" t="n"/>
      <c r="E76" s="155" t="n"/>
      <c r="F76" s="155" t="n"/>
      <c r="G76" s="155" t="n"/>
      <c r="H76" s="155" t="n"/>
      <c r="I76" s="155" t="n"/>
      <c r="J76" s="155" t="n"/>
      <c r="K76" s="155" t="n"/>
      <c r="L76" s="155" t="n"/>
      <c r="M76" s="155" t="n"/>
      <c r="N76" s="155" t="n"/>
      <c r="O76" s="155" t="n"/>
      <c r="P76" s="155" t="n"/>
      <c r="Q76" s="155" t="n"/>
      <c r="R76" s="155" t="n"/>
      <c r="S76" s="155" t="n"/>
      <c r="T76" s="156" t="n"/>
    </row>
    <row r="77">
      <c r="A77" s="23" t="n">
        <v>6</v>
      </c>
      <c r="B77" s="154" t="n"/>
      <c r="C77" s="155" t="n"/>
      <c r="D77" s="155" t="n"/>
      <c r="E77" s="155" t="n"/>
      <c r="F77" s="155" t="n"/>
      <c r="G77" s="155" t="n"/>
      <c r="H77" s="155" t="n"/>
      <c r="I77" s="155" t="n"/>
      <c r="J77" s="155" t="n"/>
      <c r="K77" s="155" t="n"/>
      <c r="L77" s="155" t="n"/>
      <c r="M77" s="155" t="n"/>
      <c r="N77" s="155" t="n"/>
      <c r="O77" s="155" t="n"/>
      <c r="P77" s="155" t="n"/>
      <c r="Q77" s="155" t="n"/>
      <c r="R77" s="155" t="n"/>
      <c r="S77" s="155" t="n"/>
      <c r="T77" s="156" t="n"/>
    </row>
    <row r="78">
      <c r="A78" s="23" t="n">
        <v>7</v>
      </c>
      <c r="B78" s="154" t="n"/>
      <c r="C78" s="155" t="n"/>
      <c r="D78" s="155" t="n"/>
      <c r="E78" s="155" t="n"/>
      <c r="F78" s="155" t="n"/>
      <c r="G78" s="155" t="n"/>
      <c r="H78" s="155" t="n"/>
      <c r="I78" s="155" t="n"/>
      <c r="J78" s="155" t="n"/>
      <c r="K78" s="155" t="n"/>
      <c r="L78" s="155" t="n"/>
      <c r="M78" s="155" t="n"/>
      <c r="N78" s="155" t="n"/>
      <c r="O78" s="155" t="n"/>
      <c r="P78" s="155" t="n"/>
      <c r="Q78" s="155" t="n"/>
      <c r="R78" s="155" t="n"/>
      <c r="S78" s="155" t="n"/>
      <c r="T78" s="156" t="n"/>
    </row>
    <row r="79">
      <c r="A79" s="23" t="n">
        <v>8</v>
      </c>
      <c r="B79" s="154" t="n"/>
      <c r="C79" s="155" t="n"/>
      <c r="D79" s="155" t="n"/>
      <c r="E79" s="155" t="n"/>
      <c r="F79" s="155" t="n"/>
      <c r="G79" s="155" t="n"/>
      <c r="H79" s="155" t="n"/>
      <c r="I79" s="155" t="n"/>
      <c r="J79" s="155" t="n"/>
      <c r="K79" s="155" t="n"/>
      <c r="L79" s="155" t="n"/>
      <c r="M79" s="155" t="n"/>
      <c r="N79" s="155" t="n"/>
      <c r="O79" s="155" t="n"/>
      <c r="P79" s="155" t="n"/>
      <c r="Q79" s="155" t="n"/>
      <c r="R79" s="155" t="n"/>
      <c r="S79" s="155" t="n"/>
      <c r="T79" s="156" t="n"/>
    </row>
    <row r="80">
      <c r="A80" s="23" t="n">
        <v>9</v>
      </c>
      <c r="B80" s="154" t="n"/>
      <c r="C80" s="155" t="n"/>
      <c r="D80" s="155" t="n"/>
      <c r="E80" s="155" t="n"/>
      <c r="F80" s="155" t="n"/>
      <c r="G80" s="155" t="n"/>
      <c r="H80" s="155" t="n"/>
      <c r="I80" s="155" t="n"/>
      <c r="J80" s="155" t="n"/>
      <c r="K80" s="155" t="n"/>
      <c r="L80" s="155" t="n"/>
      <c r="M80" s="155" t="n"/>
      <c r="N80" s="155" t="n"/>
      <c r="O80" s="155" t="n"/>
      <c r="P80" s="155" t="n"/>
      <c r="Q80" s="155" t="n"/>
      <c r="R80" s="155" t="n"/>
      <c r="S80" s="155" t="n"/>
      <c r="T80" s="156" t="n"/>
    </row>
    <row r="81">
      <c r="A81" s="23" t="n">
        <v>10</v>
      </c>
      <c r="B81" s="154" t="n"/>
      <c r="C81" s="155" t="n"/>
      <c r="D81" s="155" t="n"/>
      <c r="E81" s="155" t="n"/>
      <c r="F81" s="155" t="n"/>
      <c r="G81" s="155" t="n"/>
      <c r="H81" s="155" t="n"/>
      <c r="I81" s="155" t="n"/>
      <c r="J81" s="155" t="n"/>
      <c r="K81" s="155" t="n"/>
      <c r="L81" s="155" t="n"/>
      <c r="M81" s="155" t="n"/>
      <c r="N81" s="155" t="n"/>
      <c r="O81" s="155" t="n"/>
      <c r="P81" s="155" t="n"/>
      <c r="Q81" s="155" t="n"/>
      <c r="R81" s="155" t="n"/>
      <c r="S81" s="155" t="n"/>
      <c r="T81" s="156" t="n"/>
    </row>
    <row r="82">
      <c r="A82" s="23" t="n">
        <v>11</v>
      </c>
      <c r="B82" s="154" t="n"/>
      <c r="C82" s="155" t="n"/>
      <c r="D82" s="155" t="n"/>
      <c r="E82" s="155" t="n"/>
      <c r="F82" s="155" t="n"/>
      <c r="G82" s="155" t="n"/>
      <c r="H82" s="155" t="n"/>
      <c r="I82" s="155" t="n"/>
      <c r="J82" s="155" t="n"/>
      <c r="K82" s="155" t="n"/>
      <c r="L82" s="155" t="n"/>
      <c r="M82" s="155" t="n"/>
      <c r="N82" s="155" t="n"/>
      <c r="O82" s="155" t="n"/>
      <c r="P82" s="155" t="n"/>
      <c r="Q82" s="155" t="n"/>
      <c r="R82" s="155" t="n"/>
      <c r="S82" s="155" t="n"/>
      <c r="T82" s="156" t="n"/>
    </row>
    <row r="83">
      <c r="A83" s="23" t="n">
        <v>12</v>
      </c>
      <c r="B83" s="154" t="n"/>
      <c r="C83" s="155" t="n"/>
      <c r="D83" s="155" t="n"/>
      <c r="E83" s="155" t="n"/>
      <c r="F83" s="155" t="n"/>
      <c r="G83" s="155" t="n"/>
      <c r="H83" s="155" t="n"/>
      <c r="I83" s="155" t="n"/>
      <c r="J83" s="155" t="n"/>
      <c r="K83" s="155" t="n"/>
      <c r="L83" s="155" t="n"/>
      <c r="M83" s="155" t="n"/>
      <c r="N83" s="155" t="n"/>
      <c r="O83" s="155" t="n"/>
      <c r="P83" s="155" t="n"/>
      <c r="Q83" s="155" t="n"/>
      <c r="R83" s="155" t="n"/>
      <c r="S83" s="155" t="n"/>
      <c r="T83" s="156" t="n"/>
    </row>
    <row r="84">
      <c r="A84" s="23" t="n">
        <v>13</v>
      </c>
      <c r="B84" s="154" t="n"/>
      <c r="C84" s="155" t="n"/>
      <c r="D84" s="155" t="n"/>
      <c r="E84" s="155" t="n"/>
      <c r="F84" s="155" t="n"/>
      <c r="G84" s="155" t="n"/>
      <c r="H84" s="155" t="n"/>
      <c r="I84" s="155" t="n"/>
      <c r="J84" s="155" t="n"/>
      <c r="K84" s="155" t="n"/>
      <c r="L84" s="155" t="n"/>
      <c r="M84" s="155" t="n"/>
      <c r="N84" s="155" t="n"/>
      <c r="O84" s="155" t="n"/>
      <c r="P84" s="155" t="n"/>
      <c r="Q84" s="155" t="n"/>
      <c r="R84" s="155" t="n"/>
      <c r="S84" s="155" t="n"/>
      <c r="T84" s="156" t="n"/>
    </row>
    <row r="85">
      <c r="A85" s="23" t="n">
        <v>14</v>
      </c>
      <c r="B85" s="154" t="n"/>
      <c r="C85" s="155" t="n"/>
      <c r="D85" s="155" t="n"/>
      <c r="E85" s="155" t="n"/>
      <c r="F85" s="155" t="n"/>
      <c r="G85" s="155" t="n"/>
      <c r="H85" s="155" t="n"/>
      <c r="I85" s="155" t="n"/>
      <c r="J85" s="155" t="n"/>
      <c r="K85" s="155" t="n"/>
      <c r="L85" s="155" t="n"/>
      <c r="M85" s="155" t="n"/>
      <c r="N85" s="155" t="n"/>
      <c r="O85" s="155" t="n"/>
      <c r="P85" s="155" t="n"/>
      <c r="Q85" s="155" t="n"/>
      <c r="R85" s="155" t="n"/>
      <c r="S85" s="155" t="n"/>
      <c r="T85" s="156" t="n"/>
    </row>
    <row r="86">
      <c r="A86" s="23" t="n">
        <v>15</v>
      </c>
      <c r="B86" s="154" t="n"/>
      <c r="C86" s="155" t="n"/>
      <c r="D86" s="155" t="n"/>
      <c r="E86" s="155" t="n"/>
      <c r="F86" s="155" t="n"/>
      <c r="G86" s="155" t="n"/>
      <c r="H86" s="155" t="n"/>
      <c r="I86" s="155" t="n"/>
      <c r="J86" s="155" t="n"/>
      <c r="K86" s="155" t="n"/>
      <c r="L86" s="155" t="n"/>
      <c r="M86" s="155" t="n"/>
      <c r="N86" s="155" t="n"/>
      <c r="O86" s="155" t="n"/>
      <c r="P86" s="155" t="n"/>
      <c r="Q86" s="155" t="n"/>
      <c r="R86" s="155" t="n"/>
      <c r="S86" s="155" t="n"/>
      <c r="T86" s="156" t="n"/>
    </row>
    <row r="87">
      <c r="A87" s="23" t="n">
        <v>16</v>
      </c>
      <c r="B87" s="154" t="n"/>
      <c r="C87" s="155" t="n"/>
      <c r="D87" s="155" t="n"/>
      <c r="E87" s="155" t="n"/>
      <c r="F87" s="155" t="n"/>
      <c r="G87" s="155" t="n"/>
      <c r="H87" s="155" t="n"/>
      <c r="I87" s="155" t="n"/>
      <c r="J87" s="155" t="n"/>
      <c r="K87" s="155" t="n"/>
      <c r="L87" s="155" t="n"/>
      <c r="M87" s="155" t="n"/>
      <c r="N87" s="155" t="n"/>
      <c r="O87" s="155" t="n"/>
      <c r="P87" s="155" t="n"/>
      <c r="Q87" s="155" t="n"/>
      <c r="R87" s="155" t="n"/>
      <c r="S87" s="155" t="n"/>
      <c r="T87" s="156" t="n"/>
    </row>
    <row r="88">
      <c r="A88" s="23" t="n">
        <v>17</v>
      </c>
      <c r="B88" s="154" t="n"/>
      <c r="C88" s="155" t="n"/>
      <c r="D88" s="155" t="n"/>
      <c r="E88" s="155" t="n"/>
      <c r="F88" s="155" t="n"/>
      <c r="G88" s="155" t="n"/>
      <c r="H88" s="155" t="n"/>
      <c r="I88" s="155" t="n"/>
      <c r="J88" s="155" t="n"/>
      <c r="K88" s="155" t="n"/>
      <c r="L88" s="155" t="n"/>
      <c r="M88" s="155" t="n"/>
      <c r="N88" s="155" t="n"/>
      <c r="O88" s="155" t="n"/>
      <c r="P88" s="155" t="n"/>
      <c r="Q88" s="155" t="n"/>
      <c r="R88" s="155" t="n"/>
      <c r="S88" s="155" t="n"/>
      <c r="T88" s="156" t="n"/>
    </row>
    <row r="89">
      <c r="A89" s="23" t="n">
        <v>18</v>
      </c>
      <c r="B89" s="154" t="n"/>
      <c r="C89" s="155" t="n"/>
      <c r="D89" s="155" t="n"/>
      <c r="E89" s="155" t="n"/>
      <c r="F89" s="155" t="n"/>
      <c r="G89" s="155" t="n"/>
      <c r="H89" s="155" t="n"/>
      <c r="I89" s="155" t="n"/>
      <c r="J89" s="155" t="n"/>
      <c r="K89" s="155" t="n"/>
      <c r="L89" s="155" t="n"/>
      <c r="M89" s="155" t="n"/>
      <c r="N89" s="155" t="n"/>
      <c r="O89" s="155" t="n"/>
      <c r="P89" s="155" t="n"/>
      <c r="Q89" s="155" t="n"/>
      <c r="R89" s="155" t="n"/>
      <c r="S89" s="155" t="n"/>
      <c r="T89" s="156" t="n"/>
    </row>
    <row r="90">
      <c r="A90" s="23" t="n">
        <v>19</v>
      </c>
      <c r="B90" s="154" t="n"/>
      <c r="C90" s="155" t="n"/>
      <c r="D90" s="155" t="n"/>
      <c r="E90" s="155" t="n"/>
      <c r="F90" s="155" t="n"/>
      <c r="G90" s="155" t="n"/>
      <c r="H90" s="155" t="n"/>
      <c r="I90" s="155" t="n"/>
      <c r="J90" s="155" t="n"/>
      <c r="K90" s="155" t="n"/>
      <c r="L90" s="155" t="n"/>
      <c r="M90" s="155" t="n"/>
      <c r="N90" s="155" t="n"/>
      <c r="O90" s="155" t="n"/>
      <c r="P90" s="155" t="n"/>
      <c r="Q90" s="155" t="n"/>
      <c r="R90" s="155" t="n"/>
      <c r="S90" s="155" t="n"/>
      <c r="T90" s="156" t="n"/>
    </row>
    <row r="91">
      <c r="A91" s="23" t="n">
        <v>20</v>
      </c>
      <c r="B91" s="154" t="n"/>
      <c r="C91" s="155" t="n"/>
      <c r="D91" s="155" t="n"/>
      <c r="E91" s="155" t="n"/>
      <c r="F91" s="155" t="n"/>
      <c r="G91" s="155" t="n"/>
      <c r="H91" s="155" t="n"/>
      <c r="I91" s="155" t="n"/>
      <c r="J91" s="155" t="n"/>
      <c r="K91" s="155" t="n"/>
      <c r="L91" s="155" t="n"/>
      <c r="M91" s="155" t="n"/>
      <c r="N91" s="155" t="n"/>
      <c r="O91" s="155" t="n"/>
      <c r="P91" s="155" t="n"/>
      <c r="Q91" s="155" t="n"/>
      <c r="R91" s="155" t="n"/>
      <c r="S91" s="155" t="n"/>
      <c r="T91" s="156" t="n"/>
    </row>
    <row r="92">
      <c r="A92" s="23" t="n">
        <v>21</v>
      </c>
      <c r="B92" s="154" t="n"/>
      <c r="C92" s="155" t="n"/>
      <c r="D92" s="155" t="n"/>
      <c r="E92" s="155" t="n"/>
      <c r="F92" s="155" t="n"/>
      <c r="G92" s="155" t="n"/>
      <c r="H92" s="155" t="n"/>
      <c r="I92" s="155" t="n"/>
      <c r="J92" s="155" t="n"/>
      <c r="K92" s="155" t="n"/>
      <c r="L92" s="155" t="n"/>
      <c r="M92" s="155" t="n"/>
      <c r="N92" s="155" t="n"/>
      <c r="O92" s="155" t="n"/>
      <c r="P92" s="155" t="n"/>
      <c r="Q92" s="155" t="n"/>
      <c r="R92" s="155" t="n"/>
      <c r="S92" s="155" t="n"/>
      <c r="T92" s="156" t="n"/>
    </row>
    <row r="93">
      <c r="A93" s="23" t="n">
        <v>22</v>
      </c>
      <c r="B93" s="154" t="n"/>
      <c r="C93" s="155" t="n"/>
      <c r="D93" s="155" t="n"/>
      <c r="E93" s="155" t="n"/>
      <c r="F93" s="155" t="n"/>
      <c r="G93" s="155" t="n"/>
      <c r="H93" s="155" t="n"/>
      <c r="I93" s="155" t="n"/>
      <c r="J93" s="155" t="n"/>
      <c r="K93" s="155" t="n"/>
      <c r="L93" s="155" t="n"/>
      <c r="M93" s="155" t="n"/>
      <c r="N93" s="155" t="n"/>
      <c r="O93" s="155" t="n"/>
      <c r="P93" s="155" t="n"/>
      <c r="Q93" s="155" t="n"/>
      <c r="R93" s="155" t="n"/>
      <c r="S93" s="155" t="n"/>
      <c r="T93" s="156" t="n"/>
    </row>
    <row r="94">
      <c r="A94" s="23" t="n">
        <v>23</v>
      </c>
      <c r="B94" s="154" t="n"/>
      <c r="C94" s="155" t="n"/>
      <c r="D94" s="155" t="n"/>
      <c r="E94" s="155" t="n"/>
      <c r="F94" s="155" t="n"/>
      <c r="G94" s="155" t="n"/>
      <c r="H94" s="155" t="n"/>
      <c r="I94" s="155" t="n"/>
      <c r="J94" s="155" t="n"/>
      <c r="K94" s="155" t="n"/>
      <c r="L94" s="155" t="n"/>
      <c r="M94" s="155" t="n"/>
      <c r="N94" s="155" t="n"/>
      <c r="O94" s="155" t="n"/>
      <c r="P94" s="155" t="n"/>
      <c r="Q94" s="155" t="n"/>
      <c r="R94" s="155" t="n"/>
      <c r="S94" s="155" t="n"/>
      <c r="T94" s="156" t="n"/>
    </row>
    <row r="95">
      <c r="A95" s="23" t="n">
        <v>24</v>
      </c>
      <c r="B95" s="154" t="n"/>
      <c r="C95" s="155" t="n"/>
      <c r="D95" s="155" t="n"/>
      <c r="E95" s="155" t="n"/>
      <c r="F95" s="155" t="n"/>
      <c r="G95" s="155" t="n"/>
      <c r="H95" s="155" t="n"/>
      <c r="I95" s="155" t="n"/>
      <c r="J95" s="155" t="n"/>
      <c r="K95" s="155" t="n"/>
      <c r="L95" s="155" t="n"/>
      <c r="M95" s="155" t="n"/>
      <c r="N95" s="155" t="n"/>
      <c r="O95" s="155" t="n"/>
      <c r="P95" s="155" t="n"/>
      <c r="Q95" s="155" t="n"/>
      <c r="R95" s="155" t="n"/>
      <c r="S95" s="155" t="n"/>
      <c r="T95" s="156" t="n"/>
    </row>
    <row r="96">
      <c r="A96" s="23" t="n">
        <v>25</v>
      </c>
      <c r="B96" s="154" t="n"/>
      <c r="C96" s="155" t="n"/>
      <c r="D96" s="155" t="n"/>
      <c r="E96" s="155" t="n"/>
      <c r="F96" s="155" t="n"/>
      <c r="G96" s="155" t="n"/>
      <c r="H96" s="155" t="n"/>
      <c r="I96" s="155" t="n"/>
      <c r="J96" s="155" t="n"/>
      <c r="K96" s="155" t="n"/>
      <c r="L96" s="155" t="n"/>
      <c r="M96" s="155" t="n"/>
      <c r="N96" s="155" t="n"/>
      <c r="O96" s="155" t="n"/>
      <c r="P96" s="155" t="n"/>
      <c r="Q96" s="155" t="n"/>
      <c r="R96" s="155" t="n"/>
      <c r="S96" s="155" t="n"/>
      <c r="T96" s="156" t="n"/>
    </row>
    <row r="97">
      <c r="A97" s="23" t="n">
        <v>26</v>
      </c>
      <c r="B97" s="154" t="n"/>
      <c r="C97" s="155" t="n"/>
      <c r="D97" s="155" t="n"/>
      <c r="E97" s="155" t="n"/>
      <c r="F97" s="155" t="n"/>
      <c r="G97" s="155" t="n"/>
      <c r="H97" s="155" t="n"/>
      <c r="I97" s="155" t="n"/>
      <c r="J97" s="155" t="n"/>
      <c r="K97" s="155" t="n"/>
      <c r="L97" s="155" t="n"/>
      <c r="M97" s="155" t="n"/>
      <c r="N97" s="155" t="n"/>
      <c r="O97" s="155" t="n"/>
      <c r="P97" s="155" t="n"/>
      <c r="Q97" s="155" t="n"/>
      <c r="R97" s="155" t="n"/>
      <c r="S97" s="155" t="n"/>
      <c r="T97" s="156" t="n"/>
    </row>
    <row r="98">
      <c r="A98" s="23" t="n">
        <v>27</v>
      </c>
      <c r="B98" s="154" t="n"/>
      <c r="C98" s="155" t="n"/>
      <c r="D98" s="155" t="n"/>
      <c r="E98" s="155" t="n"/>
      <c r="F98" s="155" t="n"/>
      <c r="G98" s="155" t="n"/>
      <c r="H98" s="155" t="n"/>
      <c r="I98" s="155" t="n"/>
      <c r="J98" s="155" t="n"/>
      <c r="K98" s="155" t="n"/>
      <c r="L98" s="155" t="n"/>
      <c r="M98" s="155" t="n"/>
      <c r="N98" s="155" t="n"/>
      <c r="O98" s="155" t="n"/>
      <c r="P98" s="155" t="n"/>
      <c r="Q98" s="155" t="n"/>
      <c r="R98" s="155" t="n"/>
      <c r="S98" s="155" t="n"/>
      <c r="T98" s="156" t="n"/>
    </row>
    <row r="99">
      <c r="A99" s="23" t="n">
        <v>28</v>
      </c>
      <c r="B99" s="154" t="n"/>
      <c r="C99" s="155" t="n"/>
      <c r="D99" s="155" t="n"/>
      <c r="E99" s="155" t="n"/>
      <c r="F99" s="155" t="n"/>
      <c r="G99" s="155" t="n"/>
      <c r="H99" s="155" t="n"/>
      <c r="I99" s="155" t="n"/>
      <c r="J99" s="155" t="n"/>
      <c r="K99" s="155" t="n"/>
      <c r="L99" s="155" t="n"/>
      <c r="M99" s="155" t="n"/>
      <c r="N99" s="155" t="n"/>
      <c r="O99" s="155" t="n"/>
      <c r="P99" s="155" t="n"/>
      <c r="Q99" s="155" t="n"/>
      <c r="R99" s="155" t="n"/>
      <c r="S99" s="155" t="n"/>
      <c r="T99" s="156" t="n"/>
    </row>
    <row r="100">
      <c r="A100" s="23" t="n">
        <v>29</v>
      </c>
      <c r="B100" s="154" t="n"/>
      <c r="C100" s="155" t="n"/>
      <c r="D100" s="155" t="n"/>
      <c r="E100" s="155" t="n"/>
      <c r="F100" s="155" t="n"/>
      <c r="G100" s="155" t="n"/>
      <c r="H100" s="155" t="n"/>
      <c r="I100" s="155" t="n"/>
      <c r="J100" s="155" t="n"/>
      <c r="K100" s="155" t="n"/>
      <c r="L100" s="155" t="n"/>
      <c r="M100" s="155" t="n"/>
      <c r="N100" s="155" t="n"/>
      <c r="O100" s="155" t="n"/>
      <c r="P100" s="155" t="n"/>
      <c r="Q100" s="155" t="n"/>
      <c r="R100" s="155" t="n"/>
      <c r="S100" s="155" t="n"/>
      <c r="T100" s="156" t="n"/>
    </row>
    <row r="101">
      <c r="A101" s="23" t="n">
        <v>30</v>
      </c>
      <c r="B101" s="154" t="n"/>
      <c r="C101" s="155" t="n"/>
      <c r="D101" s="155" t="n"/>
      <c r="E101" s="155" t="n"/>
      <c r="F101" s="155" t="n"/>
      <c r="G101" s="155" t="n"/>
      <c r="H101" s="155" t="n"/>
      <c r="I101" s="155" t="n"/>
      <c r="J101" s="155" t="n"/>
      <c r="K101" s="155" t="n"/>
      <c r="L101" s="155" t="n"/>
      <c r="M101" s="155" t="n"/>
      <c r="N101" s="155" t="n"/>
      <c r="O101" s="155" t="n"/>
      <c r="P101" s="155" t="n"/>
      <c r="Q101" s="155" t="n"/>
      <c r="R101" s="155" t="n"/>
      <c r="S101" s="155" t="n"/>
      <c r="T101" s="156" t="n"/>
    </row>
    <row r="102">
      <c r="A102" s="23" t="n">
        <v>31</v>
      </c>
      <c r="B102" s="154" t="n"/>
      <c r="C102" s="155" t="n"/>
      <c r="D102" s="155" t="n"/>
      <c r="E102" s="155" t="n"/>
      <c r="F102" s="155" t="n"/>
      <c r="G102" s="155" t="n"/>
      <c r="H102" s="155" t="n"/>
      <c r="I102" s="155" t="n"/>
      <c r="J102" s="155" t="n"/>
      <c r="K102" s="155" t="n"/>
      <c r="L102" s="155" t="n"/>
      <c r="M102" s="155" t="n"/>
      <c r="N102" s="155" t="n"/>
      <c r="O102" s="155" t="n"/>
      <c r="P102" s="155" t="n"/>
      <c r="Q102" s="155" t="n"/>
      <c r="R102" s="155" t="n"/>
      <c r="S102" s="155" t="n"/>
      <c r="T102" s="156" t="n"/>
    </row>
    <row r="103">
      <c r="A103" s="23" t="n">
        <v>32</v>
      </c>
      <c r="B103" s="154" t="n"/>
      <c r="C103" s="155" t="n"/>
      <c r="D103" s="155" t="n"/>
      <c r="E103" s="155" t="n"/>
      <c r="F103" s="155" t="n"/>
      <c r="G103" s="155" t="n"/>
      <c r="H103" s="155" t="n"/>
      <c r="I103" s="155" t="n"/>
      <c r="J103" s="155" t="n"/>
      <c r="K103" s="155" t="n"/>
      <c r="L103" s="155" t="n"/>
      <c r="M103" s="155" t="n"/>
      <c r="N103" s="155" t="n"/>
      <c r="O103" s="155" t="n"/>
      <c r="P103" s="155" t="n"/>
      <c r="Q103" s="155" t="n"/>
      <c r="R103" s="155" t="n"/>
      <c r="S103" s="155" t="n"/>
      <c r="T103" s="156" t="n"/>
    </row>
    <row r="104">
      <c r="A104" s="23" t="n">
        <v>33</v>
      </c>
      <c r="B104" s="154" t="n"/>
      <c r="C104" s="155" t="n"/>
      <c r="D104" s="155" t="n"/>
      <c r="E104" s="155" t="n"/>
      <c r="F104" s="155" t="n"/>
      <c r="G104" s="155" t="n"/>
      <c r="H104" s="155" t="n"/>
      <c r="I104" s="155" t="n"/>
      <c r="J104" s="155" t="n"/>
      <c r="K104" s="155" t="n"/>
      <c r="L104" s="155" t="n"/>
      <c r="M104" s="155" t="n"/>
      <c r="N104" s="155" t="n"/>
      <c r="O104" s="155" t="n"/>
      <c r="P104" s="155" t="n"/>
      <c r="Q104" s="155" t="n"/>
      <c r="R104" s="155" t="n"/>
      <c r="S104" s="155" t="n"/>
      <c r="T104" s="156" t="n"/>
    </row>
    <row r="105">
      <c r="A105" s="23" t="n">
        <v>34</v>
      </c>
      <c r="B105" s="154" t="n"/>
      <c r="C105" s="155" t="n"/>
      <c r="D105" s="155" t="n"/>
      <c r="E105" s="155" t="n"/>
      <c r="F105" s="155" t="n"/>
      <c r="G105" s="155" t="n"/>
      <c r="H105" s="155" t="n"/>
      <c r="I105" s="155" t="n"/>
      <c r="J105" s="155" t="n"/>
      <c r="K105" s="155" t="n"/>
      <c r="L105" s="155" t="n"/>
      <c r="M105" s="155" t="n"/>
      <c r="N105" s="155" t="n"/>
      <c r="O105" s="155" t="n"/>
      <c r="P105" s="155" t="n"/>
      <c r="Q105" s="155" t="n"/>
      <c r="R105" s="155" t="n"/>
      <c r="S105" s="155" t="n"/>
      <c r="T105" s="156" t="n"/>
    </row>
    <row r="106">
      <c r="A106" s="23" t="n">
        <v>35</v>
      </c>
      <c r="B106" s="154" t="n"/>
      <c r="C106" s="155" t="n"/>
      <c r="D106" s="155" t="n"/>
      <c r="E106" s="155" t="n"/>
      <c r="F106" s="155" t="n"/>
      <c r="G106" s="155" t="n"/>
      <c r="H106" s="155" t="n"/>
      <c r="I106" s="155" t="n"/>
      <c r="J106" s="155" t="n"/>
      <c r="K106" s="155" t="n"/>
      <c r="L106" s="155" t="n"/>
      <c r="M106" s="155" t="n"/>
      <c r="N106" s="155" t="n"/>
      <c r="O106" s="155" t="n"/>
      <c r="P106" s="155" t="n"/>
      <c r="Q106" s="155" t="n"/>
      <c r="R106" s="155" t="n"/>
      <c r="S106" s="155" t="n"/>
      <c r="T106" s="156" t="n"/>
    </row>
    <row r="107">
      <c r="A107" s="23" t="n">
        <v>36</v>
      </c>
      <c r="B107" s="154" t="n"/>
      <c r="C107" s="155" t="n"/>
      <c r="D107" s="155" t="n"/>
      <c r="E107" s="155" t="n"/>
      <c r="F107" s="155" t="n"/>
      <c r="G107" s="155" t="n"/>
      <c r="H107" s="155" t="n"/>
      <c r="I107" s="155" t="n"/>
      <c r="J107" s="155" t="n"/>
      <c r="K107" s="155" t="n"/>
      <c r="L107" s="155" t="n"/>
      <c r="M107" s="155" t="n"/>
      <c r="N107" s="155" t="n"/>
      <c r="O107" s="155" t="n"/>
      <c r="P107" s="155" t="n"/>
      <c r="Q107" s="155" t="n"/>
      <c r="R107" s="155" t="n"/>
      <c r="S107" s="155" t="n"/>
      <c r="T107" s="156" t="n"/>
    </row>
    <row r="108">
      <c r="A108" s="23" t="n">
        <v>37</v>
      </c>
      <c r="B108" s="154" t="n"/>
      <c r="C108" s="155" t="n"/>
      <c r="D108" s="155" t="n"/>
      <c r="E108" s="155" t="n"/>
      <c r="F108" s="155" t="n"/>
      <c r="G108" s="155" t="n"/>
      <c r="H108" s="155" t="n"/>
      <c r="I108" s="155" t="n"/>
      <c r="J108" s="155" t="n"/>
      <c r="K108" s="155" t="n"/>
      <c r="L108" s="155" t="n"/>
      <c r="M108" s="155" t="n"/>
      <c r="N108" s="155" t="n"/>
      <c r="O108" s="155" t="n"/>
      <c r="P108" s="155" t="n"/>
      <c r="Q108" s="155" t="n"/>
      <c r="R108" s="155" t="n"/>
      <c r="S108" s="155" t="n"/>
      <c r="T108" s="156" t="n"/>
    </row>
    <row r="109">
      <c r="A109" s="23" t="n">
        <v>38</v>
      </c>
      <c r="B109" s="154" t="n"/>
      <c r="C109" s="155" t="n"/>
      <c r="D109" s="155" t="n"/>
      <c r="E109" s="155" t="n"/>
      <c r="F109" s="155" t="n"/>
      <c r="G109" s="155" t="n"/>
      <c r="H109" s="155" t="n"/>
      <c r="I109" s="155" t="n"/>
      <c r="J109" s="155" t="n"/>
      <c r="K109" s="155" t="n"/>
      <c r="L109" s="155" t="n"/>
      <c r="M109" s="155" t="n"/>
      <c r="N109" s="155" t="n"/>
      <c r="O109" s="155" t="n"/>
      <c r="P109" s="155" t="n"/>
      <c r="Q109" s="155" t="n"/>
      <c r="R109" s="155" t="n"/>
      <c r="S109" s="155" t="n"/>
      <c r="T109" s="156" t="n"/>
    </row>
    <row r="110">
      <c r="A110" s="23" t="n">
        <v>39</v>
      </c>
      <c r="B110" s="154" t="n"/>
      <c r="C110" s="155" t="n"/>
      <c r="D110" s="155" t="n"/>
      <c r="E110" s="155" t="n"/>
      <c r="F110" s="155" t="n"/>
      <c r="G110" s="155" t="n"/>
      <c r="H110" s="155" t="n"/>
      <c r="I110" s="155" t="n"/>
      <c r="J110" s="155" t="n"/>
      <c r="K110" s="155" t="n"/>
      <c r="L110" s="155" t="n"/>
      <c r="M110" s="155" t="n"/>
      <c r="N110" s="155" t="n"/>
      <c r="O110" s="155" t="n"/>
      <c r="P110" s="155" t="n"/>
      <c r="Q110" s="155" t="n"/>
      <c r="R110" s="155" t="n"/>
      <c r="S110" s="155" t="n"/>
      <c r="T110" s="156" t="n"/>
    </row>
    <row r="111">
      <c r="A111" s="23" t="n">
        <v>40</v>
      </c>
      <c r="B111" s="154" t="n"/>
      <c r="C111" s="155" t="n"/>
      <c r="D111" s="155" t="n"/>
      <c r="E111" s="155" t="n"/>
      <c r="F111" s="155" t="n"/>
      <c r="G111" s="155" t="n"/>
      <c r="H111" s="155" t="n"/>
      <c r="I111" s="155" t="n"/>
      <c r="J111" s="155" t="n"/>
      <c r="K111" s="155" t="n"/>
      <c r="L111" s="155" t="n"/>
      <c r="M111" s="155" t="n"/>
      <c r="N111" s="155" t="n"/>
      <c r="O111" s="155" t="n"/>
      <c r="P111" s="155" t="n"/>
      <c r="Q111" s="155" t="n"/>
      <c r="R111" s="155" t="n"/>
      <c r="S111" s="155" t="n"/>
      <c r="T111" s="156" t="n"/>
    </row>
    <row r="112">
      <c r="A112" s="23" t="n">
        <v>41</v>
      </c>
      <c r="B112" s="154" t="n"/>
      <c r="C112" s="155" t="n"/>
      <c r="D112" s="155" t="n"/>
      <c r="E112" s="155" t="n"/>
      <c r="F112" s="155" t="n"/>
      <c r="G112" s="155" t="n"/>
      <c r="H112" s="155" t="n"/>
      <c r="I112" s="155" t="n"/>
      <c r="J112" s="155" t="n"/>
      <c r="K112" s="155" t="n"/>
      <c r="L112" s="155" t="n"/>
      <c r="M112" s="155" t="n"/>
      <c r="N112" s="155" t="n"/>
      <c r="O112" s="155" t="n"/>
      <c r="P112" s="155" t="n"/>
      <c r="Q112" s="155" t="n"/>
      <c r="R112" s="155" t="n"/>
      <c r="S112" s="155" t="n"/>
      <c r="T112" s="156" t="n"/>
    </row>
    <row r="113">
      <c r="A113" s="23" t="n">
        <v>42</v>
      </c>
      <c r="B113" s="154" t="n"/>
      <c r="C113" s="155" t="n"/>
      <c r="D113" s="155" t="n"/>
      <c r="E113" s="155" t="n"/>
      <c r="F113" s="155" t="n"/>
      <c r="G113" s="155" t="n"/>
      <c r="H113" s="155" t="n"/>
      <c r="I113" s="155" t="n"/>
      <c r="J113" s="155" t="n"/>
      <c r="K113" s="155" t="n"/>
      <c r="L113" s="155" t="n"/>
      <c r="M113" s="155" t="n"/>
      <c r="N113" s="155" t="n"/>
      <c r="O113" s="155" t="n"/>
      <c r="P113" s="155" t="n"/>
      <c r="Q113" s="155" t="n"/>
      <c r="R113" s="155" t="n"/>
      <c r="S113" s="155" t="n"/>
      <c r="T113" s="156" t="n"/>
    </row>
    <row r="114">
      <c r="A114" s="23" t="n">
        <v>43</v>
      </c>
      <c r="B114" s="154" t="n"/>
      <c r="C114" s="155" t="n"/>
      <c r="D114" s="155" t="n"/>
      <c r="E114" s="155" t="n"/>
      <c r="F114" s="155" t="n"/>
      <c r="G114" s="155" t="n"/>
      <c r="H114" s="155" t="n"/>
      <c r="I114" s="155" t="n"/>
      <c r="J114" s="155" t="n"/>
      <c r="K114" s="155" t="n"/>
      <c r="L114" s="155" t="n"/>
      <c r="M114" s="155" t="n"/>
      <c r="N114" s="155" t="n"/>
      <c r="O114" s="155" t="n"/>
      <c r="P114" s="155" t="n"/>
      <c r="Q114" s="155" t="n"/>
      <c r="R114" s="155" t="n"/>
      <c r="S114" s="155" t="n"/>
      <c r="T114" s="156" t="n"/>
    </row>
    <row r="115">
      <c r="A115" s="23" t="n">
        <v>44</v>
      </c>
      <c r="B115" s="154" t="n"/>
      <c r="C115" s="155" t="n"/>
      <c r="D115" s="155" t="n"/>
      <c r="E115" s="155" t="n"/>
      <c r="F115" s="155" t="n"/>
      <c r="G115" s="155" t="n"/>
      <c r="H115" s="155" t="n"/>
      <c r="I115" s="155" t="n"/>
      <c r="J115" s="155" t="n"/>
      <c r="K115" s="155" t="n"/>
      <c r="L115" s="155" t="n"/>
      <c r="M115" s="155" t="n"/>
      <c r="N115" s="155" t="n"/>
      <c r="O115" s="155" t="n"/>
      <c r="P115" s="155" t="n"/>
      <c r="Q115" s="155" t="n"/>
      <c r="R115" s="155" t="n"/>
      <c r="S115" s="155" t="n"/>
      <c r="T115" s="156" t="n"/>
    </row>
    <row r="116">
      <c r="A116" s="23" t="n">
        <v>45</v>
      </c>
      <c r="B116" s="154" t="n"/>
      <c r="C116" s="155" t="n"/>
      <c r="D116" s="155" t="n"/>
      <c r="E116" s="155" t="n"/>
      <c r="F116" s="155" t="n"/>
      <c r="G116" s="155" t="n"/>
      <c r="H116" s="155" t="n"/>
      <c r="I116" s="155" t="n"/>
      <c r="J116" s="155" t="n"/>
      <c r="K116" s="155" t="n"/>
      <c r="L116" s="155" t="n"/>
      <c r="M116" s="155" t="n"/>
      <c r="N116" s="155" t="n"/>
      <c r="O116" s="155" t="n"/>
      <c r="P116" s="155" t="n"/>
      <c r="Q116" s="155" t="n"/>
      <c r="R116" s="155" t="n"/>
      <c r="S116" s="155" t="n"/>
      <c r="T116" s="156" t="n"/>
    </row>
    <row r="117">
      <c r="A117" s="23" t="n">
        <v>46</v>
      </c>
      <c r="B117" s="154" t="n"/>
      <c r="C117" s="155" t="n"/>
      <c r="D117" s="155" t="n"/>
      <c r="E117" s="155" t="n"/>
      <c r="F117" s="155" t="n"/>
      <c r="G117" s="155" t="n"/>
      <c r="H117" s="155" t="n"/>
      <c r="I117" s="155" t="n"/>
      <c r="J117" s="155" t="n"/>
      <c r="K117" s="155" t="n"/>
      <c r="L117" s="155" t="n"/>
      <c r="M117" s="155" t="n"/>
      <c r="N117" s="155" t="n"/>
      <c r="O117" s="155" t="n"/>
      <c r="P117" s="155" t="n"/>
      <c r="Q117" s="155" t="n"/>
      <c r="R117" s="155" t="n"/>
      <c r="S117" s="155" t="n"/>
      <c r="T117" s="156" t="n"/>
    </row>
    <row r="118">
      <c r="A118" s="23" t="n">
        <v>47</v>
      </c>
      <c r="B118" s="154" t="n"/>
      <c r="C118" s="155" t="n"/>
      <c r="D118" s="155" t="n"/>
      <c r="E118" s="155" t="n"/>
      <c r="F118" s="155" t="n"/>
      <c r="G118" s="155" t="n"/>
      <c r="H118" s="155" t="n"/>
      <c r="I118" s="155" t="n"/>
      <c r="J118" s="155" t="n"/>
      <c r="K118" s="155" t="n"/>
      <c r="L118" s="155" t="n"/>
      <c r="M118" s="155" t="n"/>
      <c r="N118" s="155" t="n"/>
      <c r="O118" s="155" t="n"/>
      <c r="P118" s="155" t="n"/>
      <c r="Q118" s="155" t="n"/>
      <c r="R118" s="155" t="n"/>
      <c r="S118" s="155" t="n"/>
      <c r="T118" s="156" t="n"/>
    </row>
    <row r="119">
      <c r="A119" s="23" t="n">
        <v>48</v>
      </c>
      <c r="B119" s="154" t="n"/>
      <c r="C119" s="155" t="n"/>
      <c r="D119" s="155" t="n"/>
      <c r="E119" s="155" t="n"/>
      <c r="F119" s="155" t="n"/>
      <c r="G119" s="155" t="n"/>
      <c r="H119" s="155" t="n"/>
      <c r="I119" s="155" t="n"/>
      <c r="J119" s="155" t="n"/>
      <c r="K119" s="155" t="n"/>
      <c r="L119" s="155" t="n"/>
      <c r="M119" s="155" t="n"/>
      <c r="N119" s="155" t="n"/>
      <c r="O119" s="155" t="n"/>
      <c r="P119" s="155" t="n"/>
      <c r="Q119" s="155" t="n"/>
      <c r="R119" s="155" t="n"/>
      <c r="S119" s="155" t="n"/>
      <c r="T119" s="156" t="n"/>
    </row>
    <row r="120">
      <c r="A120" s="23" t="n">
        <v>49</v>
      </c>
      <c r="B120" s="154" t="n"/>
      <c r="C120" s="155" t="n"/>
      <c r="D120" s="155" t="n"/>
      <c r="E120" s="155" t="n"/>
      <c r="F120" s="155" t="n"/>
      <c r="G120" s="155" t="n"/>
      <c r="H120" s="155" t="n"/>
      <c r="I120" s="155" t="n"/>
      <c r="J120" s="155" t="n"/>
      <c r="K120" s="155" t="n"/>
      <c r="L120" s="155" t="n"/>
      <c r="M120" s="155" t="n"/>
      <c r="N120" s="155" t="n"/>
      <c r="O120" s="155" t="n"/>
      <c r="P120" s="155" t="n"/>
      <c r="Q120" s="155" t="n"/>
      <c r="R120" s="155" t="n"/>
      <c r="S120" s="155" t="n"/>
      <c r="T120" s="156" t="n"/>
    </row>
    <row r="121">
      <c r="A121" s="23" t="n">
        <v>50</v>
      </c>
      <c r="B121" s="154" t="n"/>
      <c r="C121" s="155" t="n"/>
      <c r="D121" s="155" t="n"/>
      <c r="E121" s="155" t="n"/>
      <c r="F121" s="155" t="n"/>
      <c r="G121" s="155" t="n"/>
      <c r="H121" s="155" t="n"/>
      <c r="I121" s="155" t="n"/>
      <c r="J121" s="155" t="n"/>
      <c r="K121" s="155" t="n"/>
      <c r="L121" s="155" t="n"/>
      <c r="M121" s="155" t="n"/>
      <c r="N121" s="155" t="n"/>
      <c r="O121" s="155" t="n"/>
      <c r="P121" s="155" t="n"/>
      <c r="Q121" s="155" t="n"/>
      <c r="R121" s="155" t="n"/>
      <c r="S121" s="155" t="n"/>
      <c r="T121" s="156" t="n"/>
    </row>
    <row r="122">
      <c r="A122" s="23" t="n">
        <v>51</v>
      </c>
      <c r="B122" s="154" t="n"/>
      <c r="C122" s="155" t="n"/>
      <c r="D122" s="155" t="n"/>
      <c r="E122" s="155" t="n"/>
      <c r="F122" s="155" t="n"/>
      <c r="G122" s="155" t="n"/>
      <c r="H122" s="155" t="n"/>
      <c r="I122" s="155" t="n"/>
      <c r="J122" s="155" t="n"/>
      <c r="K122" s="155" t="n"/>
      <c r="L122" s="155" t="n"/>
      <c r="M122" s="155" t="n"/>
      <c r="N122" s="155" t="n"/>
      <c r="O122" s="155" t="n"/>
      <c r="P122" s="155" t="n"/>
      <c r="Q122" s="155" t="n"/>
      <c r="R122" s="155" t="n"/>
      <c r="S122" s="155" t="n"/>
      <c r="T122" s="156" t="n"/>
    </row>
    <row r="123">
      <c r="A123" s="23" t="n">
        <v>52</v>
      </c>
      <c r="B123" s="154" t="n"/>
      <c r="C123" s="155" t="n"/>
      <c r="D123" s="155" t="n"/>
      <c r="E123" s="155" t="n"/>
      <c r="F123" s="155" t="n"/>
      <c r="G123" s="155" t="n"/>
      <c r="H123" s="155" t="n"/>
      <c r="I123" s="155" t="n"/>
      <c r="J123" s="155" t="n"/>
      <c r="K123" s="155" t="n"/>
      <c r="L123" s="155" t="n"/>
      <c r="M123" s="155" t="n"/>
      <c r="N123" s="155" t="n"/>
      <c r="O123" s="155" t="n"/>
      <c r="P123" s="155" t="n"/>
      <c r="Q123" s="155" t="n"/>
      <c r="R123" s="155" t="n"/>
      <c r="S123" s="155" t="n"/>
      <c r="T123" s="156" t="n"/>
    </row>
    <row r="124">
      <c r="A124" s="23" t="n">
        <v>53</v>
      </c>
      <c r="B124" s="154" t="n"/>
      <c r="C124" s="155" t="n"/>
      <c r="D124" s="155" t="n"/>
      <c r="E124" s="155" t="n"/>
      <c r="F124" s="155" t="n"/>
      <c r="G124" s="155" t="n"/>
      <c r="H124" s="155" t="n"/>
      <c r="I124" s="155" t="n"/>
      <c r="J124" s="155" t="n"/>
      <c r="K124" s="155" t="n"/>
      <c r="L124" s="155" t="n"/>
      <c r="M124" s="155" t="n"/>
      <c r="N124" s="155" t="n"/>
      <c r="O124" s="155" t="n"/>
      <c r="P124" s="155" t="n"/>
      <c r="Q124" s="155" t="n"/>
      <c r="R124" s="155" t="n"/>
      <c r="S124" s="155" t="n"/>
      <c r="T124" s="156" t="n"/>
    </row>
    <row r="125">
      <c r="A125" s="23" t="n">
        <v>54</v>
      </c>
      <c r="B125" s="154" t="n"/>
      <c r="C125" s="155" t="n"/>
      <c r="D125" s="155" t="n"/>
      <c r="E125" s="155" t="n"/>
      <c r="F125" s="155" t="n"/>
      <c r="G125" s="155" t="n"/>
      <c r="H125" s="155" t="n"/>
      <c r="I125" s="155" t="n"/>
      <c r="J125" s="155" t="n"/>
      <c r="K125" s="155" t="n"/>
      <c r="L125" s="155" t="n"/>
      <c r="M125" s="155" t="n"/>
      <c r="N125" s="155" t="n"/>
      <c r="O125" s="155" t="n"/>
      <c r="P125" s="155" t="n"/>
      <c r="Q125" s="155" t="n"/>
      <c r="R125" s="155" t="n"/>
      <c r="S125" s="155" t="n"/>
      <c r="T125" s="156" t="n"/>
    </row>
    <row r="126">
      <c r="A126" s="23" t="n">
        <v>55</v>
      </c>
      <c r="B126" s="154" t="n"/>
      <c r="C126" s="155" t="n"/>
      <c r="D126" s="155" t="n"/>
      <c r="E126" s="155" t="n"/>
      <c r="F126" s="155" t="n"/>
      <c r="G126" s="155" t="n"/>
      <c r="H126" s="155" t="n"/>
      <c r="I126" s="155" t="n"/>
      <c r="J126" s="155" t="n"/>
      <c r="K126" s="155" t="n"/>
      <c r="L126" s="155" t="n"/>
      <c r="M126" s="155" t="n"/>
      <c r="N126" s="155" t="n"/>
      <c r="O126" s="155" t="n"/>
      <c r="P126" s="155" t="n"/>
      <c r="Q126" s="155" t="n"/>
      <c r="R126" s="155" t="n"/>
      <c r="S126" s="155" t="n"/>
      <c r="T126" s="156" t="n"/>
    </row>
    <row r="127">
      <c r="A127" s="23" t="n">
        <v>56</v>
      </c>
      <c r="B127" s="154" t="n"/>
      <c r="C127" s="155" t="n"/>
      <c r="D127" s="155" t="n"/>
      <c r="E127" s="155" t="n"/>
      <c r="F127" s="155" t="n"/>
      <c r="G127" s="155" t="n"/>
      <c r="H127" s="155" t="n"/>
      <c r="I127" s="155" t="n"/>
      <c r="J127" s="155" t="n"/>
      <c r="K127" s="155" t="n"/>
      <c r="L127" s="155" t="n"/>
      <c r="M127" s="155" t="n"/>
      <c r="N127" s="155" t="n"/>
      <c r="O127" s="155" t="n"/>
      <c r="P127" s="155" t="n"/>
      <c r="Q127" s="155" t="n"/>
      <c r="R127" s="155" t="n"/>
      <c r="S127" s="155" t="n"/>
      <c r="T127" s="156" t="n"/>
    </row>
    <row r="128">
      <c r="A128" s="23" t="n">
        <v>57</v>
      </c>
      <c r="B128" s="154" t="n"/>
      <c r="C128" s="155" t="n"/>
      <c r="D128" s="155" t="n"/>
      <c r="E128" s="155" t="n"/>
      <c r="F128" s="155" t="n"/>
      <c r="G128" s="155" t="n"/>
      <c r="H128" s="155" t="n"/>
      <c r="I128" s="155" t="n"/>
      <c r="J128" s="155" t="n"/>
      <c r="K128" s="155" t="n"/>
      <c r="L128" s="155" t="n"/>
      <c r="M128" s="155" t="n"/>
      <c r="N128" s="155" t="n"/>
      <c r="O128" s="155" t="n"/>
      <c r="P128" s="155" t="n"/>
      <c r="Q128" s="155" t="n"/>
      <c r="R128" s="155" t="n"/>
      <c r="S128" s="155" t="n"/>
      <c r="T128" s="156" t="n"/>
    </row>
    <row r="129">
      <c r="A129" s="23" t="n">
        <v>58</v>
      </c>
      <c r="B129" s="154" t="n"/>
      <c r="C129" s="155" t="n"/>
      <c r="D129" s="155" t="n"/>
      <c r="E129" s="155" t="n"/>
      <c r="F129" s="155" t="n"/>
      <c r="G129" s="155" t="n"/>
      <c r="H129" s="155" t="n"/>
      <c r="I129" s="155" t="n"/>
      <c r="J129" s="155" t="n"/>
      <c r="K129" s="155" t="n"/>
      <c r="L129" s="155" t="n"/>
      <c r="M129" s="155" t="n"/>
      <c r="N129" s="155" t="n"/>
      <c r="O129" s="155" t="n"/>
      <c r="P129" s="155" t="n"/>
      <c r="Q129" s="155" t="n"/>
      <c r="R129" s="155" t="n"/>
      <c r="S129" s="155" t="n"/>
      <c r="T129" s="156" t="n"/>
    </row>
    <row r="130">
      <c r="A130" s="23" t="n">
        <v>59</v>
      </c>
      <c r="B130" s="154" t="n"/>
      <c r="C130" s="155" t="n"/>
      <c r="D130" s="155" t="n"/>
      <c r="E130" s="155" t="n"/>
      <c r="F130" s="155" t="n"/>
      <c r="G130" s="155" t="n"/>
      <c r="H130" s="155" t="n"/>
      <c r="I130" s="155" t="n"/>
      <c r="J130" s="155" t="n"/>
      <c r="K130" s="155" t="n"/>
      <c r="L130" s="155" t="n"/>
      <c r="M130" s="155" t="n"/>
      <c r="N130" s="155" t="n"/>
      <c r="O130" s="155" t="n"/>
      <c r="P130" s="155" t="n"/>
      <c r="Q130" s="155" t="n"/>
      <c r="R130" s="155" t="n"/>
      <c r="S130" s="155" t="n"/>
      <c r="T130" s="156" t="n"/>
    </row>
    <row r="131">
      <c r="A131" s="23" t="n">
        <v>60</v>
      </c>
      <c r="B131" s="154" t="n"/>
      <c r="C131" s="155" t="n"/>
      <c r="D131" s="155" t="n"/>
      <c r="E131" s="155" t="n"/>
      <c r="F131" s="155" t="n"/>
      <c r="G131" s="155" t="n"/>
      <c r="H131" s="155" t="n"/>
      <c r="I131" s="155" t="n"/>
      <c r="J131" s="155" t="n"/>
      <c r="K131" s="155" t="n"/>
      <c r="L131" s="155" t="n"/>
      <c r="M131" s="155" t="n"/>
      <c r="N131" s="155" t="n"/>
      <c r="O131" s="155" t="n"/>
      <c r="P131" s="155" t="n"/>
      <c r="Q131" s="155" t="n"/>
      <c r="R131" s="155" t="n"/>
      <c r="S131" s="155" t="n"/>
      <c r="T131" s="156" t="n"/>
    </row>
    <row r="132"/>
    <row r="133"/>
    <row r="134">
      <c r="A134" s="111" t="inlineStr">
        <is>
          <t>Tier 3: Large SHS + DC fridge</t>
        </is>
      </c>
    </row>
    <row r="135" ht="42" customHeight="1">
      <c r="A135" s="40" t="inlineStr">
        <is>
          <t>Obs #</t>
        </is>
      </c>
      <c r="B135" s="40" t="inlineStr">
        <is>
          <t>Period end</t>
        </is>
      </c>
      <c r="C135" s="40" t="inlineStr">
        <is>
          <t>Originations (units)</t>
        </is>
      </c>
      <c r="D135" s="40" t="inlineStr">
        <is>
          <t>Gross receivables</t>
        </is>
      </c>
      <c r="E135" s="40" t="inlineStr">
        <is>
          <t>Current</t>
        </is>
      </c>
      <c r="F135" s="40" t="inlineStr">
        <is>
          <t>1-30 DPD</t>
        </is>
      </c>
      <c r="G135" s="40" t="inlineStr">
        <is>
          <t>31-60 DPD</t>
        </is>
      </c>
      <c r="H135" s="40" t="inlineStr">
        <is>
          <t>61-90 DPD</t>
        </is>
      </c>
      <c r="I135" s="40" t="inlineStr">
        <is>
          <t>91-180 DPD</t>
        </is>
      </c>
      <c r="J135" s="40" t="inlineStr">
        <is>
          <t>180+ DPD</t>
        </is>
      </c>
      <c r="K135" s="40" t="inlineStr">
        <is>
          <t>Default EAD (stock beyond default definition)</t>
        </is>
      </c>
      <c r="L135" s="40" t="inlineStr">
        <is>
          <t>Repossessions (units)</t>
        </is>
      </c>
      <c r="M135" s="40" t="inlineStr">
        <is>
          <t>Gross resale proceeds</t>
        </is>
      </c>
      <c r="N135" s="40" t="inlineStr">
        <is>
          <t>Recovery costs</t>
        </is>
      </c>
      <c r="O135" s="40" t="inlineStr">
        <is>
          <t>Cures (accounts)</t>
        </is>
      </c>
      <c r="P135" s="40" t="inlineStr">
        <is>
          <t>Write-offs</t>
        </is>
      </c>
      <c r="Q135" s="40" t="inlineStr">
        <is>
          <t>Collections</t>
        </is>
      </c>
      <c r="R135" s="40" t="inlineStr">
        <is>
          <t>Instalments due</t>
        </is>
      </c>
      <c r="S135" s="40" t="inlineStr">
        <is>
          <t>Ownership events (unlocks)</t>
        </is>
      </c>
      <c r="T135" s="40" t="inlineStr">
        <is>
          <t>Notes</t>
        </is>
      </c>
    </row>
    <row r="136">
      <c r="A136" s="23" t="n">
        <v>1</v>
      </c>
      <c r="B136" s="154" t="n"/>
      <c r="C136" s="155" t="n"/>
      <c r="D136" s="155" t="n"/>
      <c r="E136" s="155" t="n"/>
      <c r="F136" s="155" t="n"/>
      <c r="G136" s="155" t="n"/>
      <c r="H136" s="155" t="n"/>
      <c r="I136" s="155" t="n"/>
      <c r="J136" s="155" t="n"/>
      <c r="K136" s="155" t="n"/>
      <c r="L136" s="155" t="n"/>
      <c r="M136" s="155" t="n"/>
      <c r="N136" s="155" t="n"/>
      <c r="O136" s="155" t="n"/>
      <c r="P136" s="155" t="n"/>
      <c r="Q136" s="155" t="n"/>
      <c r="R136" s="155" t="n"/>
      <c r="S136" s="155" t="n"/>
      <c r="T136" s="156" t="n"/>
    </row>
    <row r="137">
      <c r="A137" s="23" t="n">
        <v>2</v>
      </c>
      <c r="B137" s="154" t="n"/>
      <c r="C137" s="155" t="n"/>
      <c r="D137" s="155" t="n"/>
      <c r="E137" s="155" t="n"/>
      <c r="F137" s="155" t="n"/>
      <c r="G137" s="155" t="n"/>
      <c r="H137" s="155" t="n"/>
      <c r="I137" s="155" t="n"/>
      <c r="J137" s="155" t="n"/>
      <c r="K137" s="155" t="n"/>
      <c r="L137" s="155" t="n"/>
      <c r="M137" s="155" t="n"/>
      <c r="N137" s="155" t="n"/>
      <c r="O137" s="155" t="n"/>
      <c r="P137" s="155" t="n"/>
      <c r="Q137" s="155" t="n"/>
      <c r="R137" s="155" t="n"/>
      <c r="S137" s="155" t="n"/>
      <c r="T137" s="156" t="n"/>
    </row>
    <row r="138">
      <c r="A138" s="23" t="n">
        <v>3</v>
      </c>
      <c r="B138" s="154" t="n"/>
      <c r="C138" s="155" t="n"/>
      <c r="D138" s="155" t="n"/>
      <c r="E138" s="155" t="n"/>
      <c r="F138" s="155" t="n"/>
      <c r="G138" s="155" t="n"/>
      <c r="H138" s="155" t="n"/>
      <c r="I138" s="155" t="n"/>
      <c r="J138" s="155" t="n"/>
      <c r="K138" s="155" t="n"/>
      <c r="L138" s="155" t="n"/>
      <c r="M138" s="155" t="n"/>
      <c r="N138" s="155" t="n"/>
      <c r="O138" s="155" t="n"/>
      <c r="P138" s="155" t="n"/>
      <c r="Q138" s="155" t="n"/>
      <c r="R138" s="155" t="n"/>
      <c r="S138" s="155" t="n"/>
      <c r="T138" s="156" t="n"/>
    </row>
    <row r="139">
      <c r="A139" s="23" t="n">
        <v>4</v>
      </c>
      <c r="B139" s="154" t="n"/>
      <c r="C139" s="155" t="n"/>
      <c r="D139" s="155" t="n"/>
      <c r="E139" s="155" t="n"/>
      <c r="F139" s="155" t="n"/>
      <c r="G139" s="155" t="n"/>
      <c r="H139" s="155" t="n"/>
      <c r="I139" s="155" t="n"/>
      <c r="J139" s="155" t="n"/>
      <c r="K139" s="155" t="n"/>
      <c r="L139" s="155" t="n"/>
      <c r="M139" s="155" t="n"/>
      <c r="N139" s="155" t="n"/>
      <c r="O139" s="155" t="n"/>
      <c r="P139" s="155" t="n"/>
      <c r="Q139" s="155" t="n"/>
      <c r="R139" s="155" t="n"/>
      <c r="S139" s="155" t="n"/>
      <c r="T139" s="156" t="n"/>
    </row>
    <row r="140">
      <c r="A140" s="23" t="n">
        <v>5</v>
      </c>
      <c r="B140" s="154" t="n"/>
      <c r="C140" s="155" t="n"/>
      <c r="D140" s="155" t="n"/>
      <c r="E140" s="155" t="n"/>
      <c r="F140" s="155" t="n"/>
      <c r="G140" s="155" t="n"/>
      <c r="H140" s="155" t="n"/>
      <c r="I140" s="155" t="n"/>
      <c r="J140" s="155" t="n"/>
      <c r="K140" s="155" t="n"/>
      <c r="L140" s="155" t="n"/>
      <c r="M140" s="155" t="n"/>
      <c r="N140" s="155" t="n"/>
      <c r="O140" s="155" t="n"/>
      <c r="P140" s="155" t="n"/>
      <c r="Q140" s="155" t="n"/>
      <c r="R140" s="155" t="n"/>
      <c r="S140" s="155" t="n"/>
      <c r="T140" s="156" t="n"/>
    </row>
    <row r="141">
      <c r="A141" s="23" t="n">
        <v>6</v>
      </c>
      <c r="B141" s="154" t="n"/>
      <c r="C141" s="155" t="n"/>
      <c r="D141" s="155" t="n"/>
      <c r="E141" s="155" t="n"/>
      <c r="F141" s="155" t="n"/>
      <c r="G141" s="155" t="n"/>
      <c r="H141" s="155" t="n"/>
      <c r="I141" s="155" t="n"/>
      <c r="J141" s="155" t="n"/>
      <c r="K141" s="155" t="n"/>
      <c r="L141" s="155" t="n"/>
      <c r="M141" s="155" t="n"/>
      <c r="N141" s="155" t="n"/>
      <c r="O141" s="155" t="n"/>
      <c r="P141" s="155" t="n"/>
      <c r="Q141" s="155" t="n"/>
      <c r="R141" s="155" t="n"/>
      <c r="S141" s="155" t="n"/>
      <c r="T141" s="156" t="n"/>
    </row>
    <row r="142">
      <c r="A142" s="23" t="n">
        <v>7</v>
      </c>
      <c r="B142" s="154" t="n"/>
      <c r="C142" s="155" t="n"/>
      <c r="D142" s="155" t="n"/>
      <c r="E142" s="155" t="n"/>
      <c r="F142" s="155" t="n"/>
      <c r="G142" s="155" t="n"/>
      <c r="H142" s="155" t="n"/>
      <c r="I142" s="155" t="n"/>
      <c r="J142" s="155" t="n"/>
      <c r="K142" s="155" t="n"/>
      <c r="L142" s="155" t="n"/>
      <c r="M142" s="155" t="n"/>
      <c r="N142" s="155" t="n"/>
      <c r="O142" s="155" t="n"/>
      <c r="P142" s="155" t="n"/>
      <c r="Q142" s="155" t="n"/>
      <c r="R142" s="155" t="n"/>
      <c r="S142" s="155" t="n"/>
      <c r="T142" s="156" t="n"/>
    </row>
    <row r="143">
      <c r="A143" s="23" t="n">
        <v>8</v>
      </c>
      <c r="B143" s="154" t="n"/>
      <c r="C143" s="155" t="n"/>
      <c r="D143" s="155" t="n"/>
      <c r="E143" s="155" t="n"/>
      <c r="F143" s="155" t="n"/>
      <c r="G143" s="155" t="n"/>
      <c r="H143" s="155" t="n"/>
      <c r="I143" s="155" t="n"/>
      <c r="J143" s="155" t="n"/>
      <c r="K143" s="155" t="n"/>
      <c r="L143" s="155" t="n"/>
      <c r="M143" s="155" t="n"/>
      <c r="N143" s="155" t="n"/>
      <c r="O143" s="155" t="n"/>
      <c r="P143" s="155" t="n"/>
      <c r="Q143" s="155" t="n"/>
      <c r="R143" s="155" t="n"/>
      <c r="S143" s="155" t="n"/>
      <c r="T143" s="156" t="n"/>
    </row>
    <row r="144">
      <c r="A144" s="23" t="n">
        <v>9</v>
      </c>
      <c r="B144" s="154" t="n"/>
      <c r="C144" s="155" t="n"/>
      <c r="D144" s="155" t="n"/>
      <c r="E144" s="155" t="n"/>
      <c r="F144" s="155" t="n"/>
      <c r="G144" s="155" t="n"/>
      <c r="H144" s="155" t="n"/>
      <c r="I144" s="155" t="n"/>
      <c r="J144" s="155" t="n"/>
      <c r="K144" s="155" t="n"/>
      <c r="L144" s="155" t="n"/>
      <c r="M144" s="155" t="n"/>
      <c r="N144" s="155" t="n"/>
      <c r="O144" s="155" t="n"/>
      <c r="P144" s="155" t="n"/>
      <c r="Q144" s="155" t="n"/>
      <c r="R144" s="155" t="n"/>
      <c r="S144" s="155" t="n"/>
      <c r="T144" s="156" t="n"/>
    </row>
    <row r="145">
      <c r="A145" s="23" t="n">
        <v>10</v>
      </c>
      <c r="B145" s="154" t="n"/>
      <c r="C145" s="155" t="n"/>
      <c r="D145" s="155" t="n"/>
      <c r="E145" s="155" t="n"/>
      <c r="F145" s="155" t="n"/>
      <c r="G145" s="155" t="n"/>
      <c r="H145" s="155" t="n"/>
      <c r="I145" s="155" t="n"/>
      <c r="J145" s="155" t="n"/>
      <c r="K145" s="155" t="n"/>
      <c r="L145" s="155" t="n"/>
      <c r="M145" s="155" t="n"/>
      <c r="N145" s="155" t="n"/>
      <c r="O145" s="155" t="n"/>
      <c r="P145" s="155" t="n"/>
      <c r="Q145" s="155" t="n"/>
      <c r="R145" s="155" t="n"/>
      <c r="S145" s="155" t="n"/>
      <c r="T145" s="156" t="n"/>
    </row>
    <row r="146">
      <c r="A146" s="23" t="n">
        <v>11</v>
      </c>
      <c r="B146" s="154" t="n"/>
      <c r="C146" s="155" t="n"/>
      <c r="D146" s="155" t="n"/>
      <c r="E146" s="155" t="n"/>
      <c r="F146" s="155" t="n"/>
      <c r="G146" s="155" t="n"/>
      <c r="H146" s="155" t="n"/>
      <c r="I146" s="155" t="n"/>
      <c r="J146" s="155" t="n"/>
      <c r="K146" s="155" t="n"/>
      <c r="L146" s="155" t="n"/>
      <c r="M146" s="155" t="n"/>
      <c r="N146" s="155" t="n"/>
      <c r="O146" s="155" t="n"/>
      <c r="P146" s="155" t="n"/>
      <c r="Q146" s="155" t="n"/>
      <c r="R146" s="155" t="n"/>
      <c r="S146" s="155" t="n"/>
      <c r="T146" s="156" t="n"/>
    </row>
    <row r="147">
      <c r="A147" s="23" t="n">
        <v>12</v>
      </c>
      <c r="B147" s="154" t="n"/>
      <c r="C147" s="155" t="n"/>
      <c r="D147" s="155" t="n"/>
      <c r="E147" s="155" t="n"/>
      <c r="F147" s="155" t="n"/>
      <c r="G147" s="155" t="n"/>
      <c r="H147" s="155" t="n"/>
      <c r="I147" s="155" t="n"/>
      <c r="J147" s="155" t="n"/>
      <c r="K147" s="155" t="n"/>
      <c r="L147" s="155" t="n"/>
      <c r="M147" s="155" t="n"/>
      <c r="N147" s="155" t="n"/>
      <c r="O147" s="155" t="n"/>
      <c r="P147" s="155" t="n"/>
      <c r="Q147" s="155" t="n"/>
      <c r="R147" s="155" t="n"/>
      <c r="S147" s="155" t="n"/>
      <c r="T147" s="156" t="n"/>
    </row>
    <row r="148">
      <c r="A148" s="23" t="n">
        <v>13</v>
      </c>
      <c r="B148" s="154" t="n"/>
      <c r="C148" s="155" t="n"/>
      <c r="D148" s="155" t="n"/>
      <c r="E148" s="155" t="n"/>
      <c r="F148" s="155" t="n"/>
      <c r="G148" s="155" t="n"/>
      <c r="H148" s="155" t="n"/>
      <c r="I148" s="155" t="n"/>
      <c r="J148" s="155" t="n"/>
      <c r="K148" s="155" t="n"/>
      <c r="L148" s="155" t="n"/>
      <c r="M148" s="155" t="n"/>
      <c r="N148" s="155" t="n"/>
      <c r="O148" s="155" t="n"/>
      <c r="P148" s="155" t="n"/>
      <c r="Q148" s="155" t="n"/>
      <c r="R148" s="155" t="n"/>
      <c r="S148" s="155" t="n"/>
      <c r="T148" s="156" t="n"/>
    </row>
    <row r="149">
      <c r="A149" s="23" t="n">
        <v>14</v>
      </c>
      <c r="B149" s="154" t="n"/>
      <c r="C149" s="155" t="n"/>
      <c r="D149" s="155" t="n"/>
      <c r="E149" s="155" t="n"/>
      <c r="F149" s="155" t="n"/>
      <c r="G149" s="155" t="n"/>
      <c r="H149" s="155" t="n"/>
      <c r="I149" s="155" t="n"/>
      <c r="J149" s="155" t="n"/>
      <c r="K149" s="155" t="n"/>
      <c r="L149" s="155" t="n"/>
      <c r="M149" s="155" t="n"/>
      <c r="N149" s="155" t="n"/>
      <c r="O149" s="155" t="n"/>
      <c r="P149" s="155" t="n"/>
      <c r="Q149" s="155" t="n"/>
      <c r="R149" s="155" t="n"/>
      <c r="S149" s="155" t="n"/>
      <c r="T149" s="156" t="n"/>
    </row>
    <row r="150">
      <c r="A150" s="23" t="n">
        <v>15</v>
      </c>
      <c r="B150" s="154" t="n"/>
      <c r="C150" s="155" t="n"/>
      <c r="D150" s="155" t="n"/>
      <c r="E150" s="155" t="n"/>
      <c r="F150" s="155" t="n"/>
      <c r="G150" s="155" t="n"/>
      <c r="H150" s="155" t="n"/>
      <c r="I150" s="155" t="n"/>
      <c r="J150" s="155" t="n"/>
      <c r="K150" s="155" t="n"/>
      <c r="L150" s="155" t="n"/>
      <c r="M150" s="155" t="n"/>
      <c r="N150" s="155" t="n"/>
      <c r="O150" s="155" t="n"/>
      <c r="P150" s="155" t="n"/>
      <c r="Q150" s="155" t="n"/>
      <c r="R150" s="155" t="n"/>
      <c r="S150" s="155" t="n"/>
      <c r="T150" s="156" t="n"/>
    </row>
    <row r="151">
      <c r="A151" s="23" t="n">
        <v>16</v>
      </c>
      <c r="B151" s="154" t="n"/>
      <c r="C151" s="155" t="n"/>
      <c r="D151" s="155" t="n"/>
      <c r="E151" s="155" t="n"/>
      <c r="F151" s="155" t="n"/>
      <c r="G151" s="155" t="n"/>
      <c r="H151" s="155" t="n"/>
      <c r="I151" s="155" t="n"/>
      <c r="J151" s="155" t="n"/>
      <c r="K151" s="155" t="n"/>
      <c r="L151" s="155" t="n"/>
      <c r="M151" s="155" t="n"/>
      <c r="N151" s="155" t="n"/>
      <c r="O151" s="155" t="n"/>
      <c r="P151" s="155" t="n"/>
      <c r="Q151" s="155" t="n"/>
      <c r="R151" s="155" t="n"/>
      <c r="S151" s="155" t="n"/>
      <c r="T151" s="156" t="n"/>
    </row>
    <row r="152">
      <c r="A152" s="23" t="n">
        <v>17</v>
      </c>
      <c r="B152" s="154" t="n"/>
      <c r="C152" s="155" t="n"/>
      <c r="D152" s="155" t="n"/>
      <c r="E152" s="155" t="n"/>
      <c r="F152" s="155" t="n"/>
      <c r="G152" s="155" t="n"/>
      <c r="H152" s="155" t="n"/>
      <c r="I152" s="155" t="n"/>
      <c r="J152" s="155" t="n"/>
      <c r="K152" s="155" t="n"/>
      <c r="L152" s="155" t="n"/>
      <c r="M152" s="155" t="n"/>
      <c r="N152" s="155" t="n"/>
      <c r="O152" s="155" t="n"/>
      <c r="P152" s="155" t="n"/>
      <c r="Q152" s="155" t="n"/>
      <c r="R152" s="155" t="n"/>
      <c r="S152" s="155" t="n"/>
      <c r="T152" s="156" t="n"/>
    </row>
    <row r="153">
      <c r="A153" s="23" t="n">
        <v>18</v>
      </c>
      <c r="B153" s="154" t="n"/>
      <c r="C153" s="155" t="n"/>
      <c r="D153" s="155" t="n"/>
      <c r="E153" s="155" t="n"/>
      <c r="F153" s="155" t="n"/>
      <c r="G153" s="155" t="n"/>
      <c r="H153" s="155" t="n"/>
      <c r="I153" s="155" t="n"/>
      <c r="J153" s="155" t="n"/>
      <c r="K153" s="155" t="n"/>
      <c r="L153" s="155" t="n"/>
      <c r="M153" s="155" t="n"/>
      <c r="N153" s="155" t="n"/>
      <c r="O153" s="155" t="n"/>
      <c r="P153" s="155" t="n"/>
      <c r="Q153" s="155" t="n"/>
      <c r="R153" s="155" t="n"/>
      <c r="S153" s="155" t="n"/>
      <c r="T153" s="156" t="n"/>
    </row>
    <row r="154">
      <c r="A154" s="23" t="n">
        <v>19</v>
      </c>
      <c r="B154" s="154" t="n"/>
      <c r="C154" s="155" t="n"/>
      <c r="D154" s="155" t="n"/>
      <c r="E154" s="155" t="n"/>
      <c r="F154" s="155" t="n"/>
      <c r="G154" s="155" t="n"/>
      <c r="H154" s="155" t="n"/>
      <c r="I154" s="155" t="n"/>
      <c r="J154" s="155" t="n"/>
      <c r="K154" s="155" t="n"/>
      <c r="L154" s="155" t="n"/>
      <c r="M154" s="155" t="n"/>
      <c r="N154" s="155" t="n"/>
      <c r="O154" s="155" t="n"/>
      <c r="P154" s="155" t="n"/>
      <c r="Q154" s="155" t="n"/>
      <c r="R154" s="155" t="n"/>
      <c r="S154" s="155" t="n"/>
      <c r="T154" s="156" t="n"/>
    </row>
    <row r="155">
      <c r="A155" s="23" t="n">
        <v>20</v>
      </c>
      <c r="B155" s="154" t="n"/>
      <c r="C155" s="155" t="n"/>
      <c r="D155" s="155" t="n"/>
      <c r="E155" s="155" t="n"/>
      <c r="F155" s="155" t="n"/>
      <c r="G155" s="155" t="n"/>
      <c r="H155" s="155" t="n"/>
      <c r="I155" s="155" t="n"/>
      <c r="J155" s="155" t="n"/>
      <c r="K155" s="155" t="n"/>
      <c r="L155" s="155" t="n"/>
      <c r="M155" s="155" t="n"/>
      <c r="N155" s="155" t="n"/>
      <c r="O155" s="155" t="n"/>
      <c r="P155" s="155" t="n"/>
      <c r="Q155" s="155" t="n"/>
      <c r="R155" s="155" t="n"/>
      <c r="S155" s="155" t="n"/>
      <c r="T155" s="156" t="n"/>
    </row>
    <row r="156">
      <c r="A156" s="23" t="n">
        <v>21</v>
      </c>
      <c r="B156" s="154" t="n"/>
      <c r="C156" s="155" t="n"/>
      <c r="D156" s="155" t="n"/>
      <c r="E156" s="155" t="n"/>
      <c r="F156" s="155" t="n"/>
      <c r="G156" s="155" t="n"/>
      <c r="H156" s="155" t="n"/>
      <c r="I156" s="155" t="n"/>
      <c r="J156" s="155" t="n"/>
      <c r="K156" s="155" t="n"/>
      <c r="L156" s="155" t="n"/>
      <c r="M156" s="155" t="n"/>
      <c r="N156" s="155" t="n"/>
      <c r="O156" s="155" t="n"/>
      <c r="P156" s="155" t="n"/>
      <c r="Q156" s="155" t="n"/>
      <c r="R156" s="155" t="n"/>
      <c r="S156" s="155" t="n"/>
      <c r="T156" s="156" t="n"/>
    </row>
    <row r="157">
      <c r="A157" s="23" t="n">
        <v>22</v>
      </c>
      <c r="B157" s="154" t="n"/>
      <c r="C157" s="155" t="n"/>
      <c r="D157" s="155" t="n"/>
      <c r="E157" s="155" t="n"/>
      <c r="F157" s="155" t="n"/>
      <c r="G157" s="155" t="n"/>
      <c r="H157" s="155" t="n"/>
      <c r="I157" s="155" t="n"/>
      <c r="J157" s="155" t="n"/>
      <c r="K157" s="155" t="n"/>
      <c r="L157" s="155" t="n"/>
      <c r="M157" s="155" t="n"/>
      <c r="N157" s="155" t="n"/>
      <c r="O157" s="155" t="n"/>
      <c r="P157" s="155" t="n"/>
      <c r="Q157" s="155" t="n"/>
      <c r="R157" s="155" t="n"/>
      <c r="S157" s="155" t="n"/>
      <c r="T157" s="156" t="n"/>
    </row>
    <row r="158">
      <c r="A158" s="23" t="n">
        <v>23</v>
      </c>
      <c r="B158" s="154" t="n"/>
      <c r="C158" s="155" t="n"/>
      <c r="D158" s="155" t="n"/>
      <c r="E158" s="155" t="n"/>
      <c r="F158" s="155" t="n"/>
      <c r="G158" s="155" t="n"/>
      <c r="H158" s="155" t="n"/>
      <c r="I158" s="155" t="n"/>
      <c r="J158" s="155" t="n"/>
      <c r="K158" s="155" t="n"/>
      <c r="L158" s="155" t="n"/>
      <c r="M158" s="155" t="n"/>
      <c r="N158" s="155" t="n"/>
      <c r="O158" s="155" t="n"/>
      <c r="P158" s="155" t="n"/>
      <c r="Q158" s="155" t="n"/>
      <c r="R158" s="155" t="n"/>
      <c r="S158" s="155" t="n"/>
      <c r="T158" s="156" t="n"/>
    </row>
    <row r="159">
      <c r="A159" s="23" t="n">
        <v>24</v>
      </c>
      <c r="B159" s="154" t="n"/>
      <c r="C159" s="155" t="n"/>
      <c r="D159" s="155" t="n"/>
      <c r="E159" s="155" t="n"/>
      <c r="F159" s="155" t="n"/>
      <c r="G159" s="155" t="n"/>
      <c r="H159" s="155" t="n"/>
      <c r="I159" s="155" t="n"/>
      <c r="J159" s="155" t="n"/>
      <c r="K159" s="155" t="n"/>
      <c r="L159" s="155" t="n"/>
      <c r="M159" s="155" t="n"/>
      <c r="N159" s="155" t="n"/>
      <c r="O159" s="155" t="n"/>
      <c r="P159" s="155" t="n"/>
      <c r="Q159" s="155" t="n"/>
      <c r="R159" s="155" t="n"/>
      <c r="S159" s="155" t="n"/>
      <c r="T159" s="156" t="n"/>
    </row>
    <row r="160">
      <c r="A160" s="23" t="n">
        <v>25</v>
      </c>
      <c r="B160" s="154" t="n"/>
      <c r="C160" s="155" t="n"/>
      <c r="D160" s="155" t="n"/>
      <c r="E160" s="155" t="n"/>
      <c r="F160" s="155" t="n"/>
      <c r="G160" s="155" t="n"/>
      <c r="H160" s="155" t="n"/>
      <c r="I160" s="155" t="n"/>
      <c r="J160" s="155" t="n"/>
      <c r="K160" s="155" t="n"/>
      <c r="L160" s="155" t="n"/>
      <c r="M160" s="155" t="n"/>
      <c r="N160" s="155" t="n"/>
      <c r="O160" s="155" t="n"/>
      <c r="P160" s="155" t="n"/>
      <c r="Q160" s="155" t="n"/>
      <c r="R160" s="155" t="n"/>
      <c r="S160" s="155" t="n"/>
      <c r="T160" s="156" t="n"/>
    </row>
    <row r="161">
      <c r="A161" s="23" t="n">
        <v>26</v>
      </c>
      <c r="B161" s="154" t="n"/>
      <c r="C161" s="155" t="n"/>
      <c r="D161" s="155" t="n"/>
      <c r="E161" s="155" t="n"/>
      <c r="F161" s="155" t="n"/>
      <c r="G161" s="155" t="n"/>
      <c r="H161" s="155" t="n"/>
      <c r="I161" s="155" t="n"/>
      <c r="J161" s="155" t="n"/>
      <c r="K161" s="155" t="n"/>
      <c r="L161" s="155" t="n"/>
      <c r="M161" s="155" t="n"/>
      <c r="N161" s="155" t="n"/>
      <c r="O161" s="155" t="n"/>
      <c r="P161" s="155" t="n"/>
      <c r="Q161" s="155" t="n"/>
      <c r="R161" s="155" t="n"/>
      <c r="S161" s="155" t="n"/>
      <c r="T161" s="156" t="n"/>
    </row>
    <row r="162">
      <c r="A162" s="23" t="n">
        <v>27</v>
      </c>
      <c r="B162" s="154" t="n"/>
      <c r="C162" s="155" t="n"/>
      <c r="D162" s="155" t="n"/>
      <c r="E162" s="155" t="n"/>
      <c r="F162" s="155" t="n"/>
      <c r="G162" s="155" t="n"/>
      <c r="H162" s="155" t="n"/>
      <c r="I162" s="155" t="n"/>
      <c r="J162" s="155" t="n"/>
      <c r="K162" s="155" t="n"/>
      <c r="L162" s="155" t="n"/>
      <c r="M162" s="155" t="n"/>
      <c r="N162" s="155" t="n"/>
      <c r="O162" s="155" t="n"/>
      <c r="P162" s="155" t="n"/>
      <c r="Q162" s="155" t="n"/>
      <c r="R162" s="155" t="n"/>
      <c r="S162" s="155" t="n"/>
      <c r="T162" s="156" t="n"/>
    </row>
    <row r="163">
      <c r="A163" s="23" t="n">
        <v>28</v>
      </c>
      <c r="B163" s="154" t="n"/>
      <c r="C163" s="155" t="n"/>
      <c r="D163" s="155" t="n"/>
      <c r="E163" s="155" t="n"/>
      <c r="F163" s="155" t="n"/>
      <c r="G163" s="155" t="n"/>
      <c r="H163" s="155" t="n"/>
      <c r="I163" s="155" t="n"/>
      <c r="J163" s="155" t="n"/>
      <c r="K163" s="155" t="n"/>
      <c r="L163" s="155" t="n"/>
      <c r="M163" s="155" t="n"/>
      <c r="N163" s="155" t="n"/>
      <c r="O163" s="155" t="n"/>
      <c r="P163" s="155" t="n"/>
      <c r="Q163" s="155" t="n"/>
      <c r="R163" s="155" t="n"/>
      <c r="S163" s="155" t="n"/>
      <c r="T163" s="156" t="n"/>
    </row>
    <row r="164">
      <c r="A164" s="23" t="n">
        <v>29</v>
      </c>
      <c r="B164" s="154" t="n"/>
      <c r="C164" s="155" t="n"/>
      <c r="D164" s="155" t="n"/>
      <c r="E164" s="155" t="n"/>
      <c r="F164" s="155" t="n"/>
      <c r="G164" s="155" t="n"/>
      <c r="H164" s="155" t="n"/>
      <c r="I164" s="155" t="n"/>
      <c r="J164" s="155" t="n"/>
      <c r="K164" s="155" t="n"/>
      <c r="L164" s="155" t="n"/>
      <c r="M164" s="155" t="n"/>
      <c r="N164" s="155" t="n"/>
      <c r="O164" s="155" t="n"/>
      <c r="P164" s="155" t="n"/>
      <c r="Q164" s="155" t="n"/>
      <c r="R164" s="155" t="n"/>
      <c r="S164" s="155" t="n"/>
      <c r="T164" s="156" t="n"/>
    </row>
    <row r="165">
      <c r="A165" s="23" t="n">
        <v>30</v>
      </c>
      <c r="B165" s="154" t="n"/>
      <c r="C165" s="155" t="n"/>
      <c r="D165" s="155" t="n"/>
      <c r="E165" s="155" t="n"/>
      <c r="F165" s="155" t="n"/>
      <c r="G165" s="155" t="n"/>
      <c r="H165" s="155" t="n"/>
      <c r="I165" s="155" t="n"/>
      <c r="J165" s="155" t="n"/>
      <c r="K165" s="155" t="n"/>
      <c r="L165" s="155" t="n"/>
      <c r="M165" s="155" t="n"/>
      <c r="N165" s="155" t="n"/>
      <c r="O165" s="155" t="n"/>
      <c r="P165" s="155" t="n"/>
      <c r="Q165" s="155" t="n"/>
      <c r="R165" s="155" t="n"/>
      <c r="S165" s="155" t="n"/>
      <c r="T165" s="156" t="n"/>
    </row>
    <row r="166">
      <c r="A166" s="23" t="n">
        <v>31</v>
      </c>
      <c r="B166" s="154" t="n"/>
      <c r="C166" s="155" t="n"/>
      <c r="D166" s="155" t="n"/>
      <c r="E166" s="155" t="n"/>
      <c r="F166" s="155" t="n"/>
      <c r="G166" s="155" t="n"/>
      <c r="H166" s="155" t="n"/>
      <c r="I166" s="155" t="n"/>
      <c r="J166" s="155" t="n"/>
      <c r="K166" s="155" t="n"/>
      <c r="L166" s="155" t="n"/>
      <c r="M166" s="155" t="n"/>
      <c r="N166" s="155" t="n"/>
      <c r="O166" s="155" t="n"/>
      <c r="P166" s="155" t="n"/>
      <c r="Q166" s="155" t="n"/>
      <c r="R166" s="155" t="n"/>
      <c r="S166" s="155" t="n"/>
      <c r="T166" s="156" t="n"/>
    </row>
    <row r="167">
      <c r="A167" s="23" t="n">
        <v>32</v>
      </c>
      <c r="B167" s="154" t="n"/>
      <c r="C167" s="155" t="n"/>
      <c r="D167" s="155" t="n"/>
      <c r="E167" s="155" t="n"/>
      <c r="F167" s="155" t="n"/>
      <c r="G167" s="155" t="n"/>
      <c r="H167" s="155" t="n"/>
      <c r="I167" s="155" t="n"/>
      <c r="J167" s="155" t="n"/>
      <c r="K167" s="155" t="n"/>
      <c r="L167" s="155" t="n"/>
      <c r="M167" s="155" t="n"/>
      <c r="N167" s="155" t="n"/>
      <c r="O167" s="155" t="n"/>
      <c r="P167" s="155" t="n"/>
      <c r="Q167" s="155" t="n"/>
      <c r="R167" s="155" t="n"/>
      <c r="S167" s="155" t="n"/>
      <c r="T167" s="156" t="n"/>
    </row>
    <row r="168">
      <c r="A168" s="23" t="n">
        <v>33</v>
      </c>
      <c r="B168" s="154" t="n"/>
      <c r="C168" s="155" t="n"/>
      <c r="D168" s="155" t="n"/>
      <c r="E168" s="155" t="n"/>
      <c r="F168" s="155" t="n"/>
      <c r="G168" s="155" t="n"/>
      <c r="H168" s="155" t="n"/>
      <c r="I168" s="155" t="n"/>
      <c r="J168" s="155" t="n"/>
      <c r="K168" s="155" t="n"/>
      <c r="L168" s="155" t="n"/>
      <c r="M168" s="155" t="n"/>
      <c r="N168" s="155" t="n"/>
      <c r="O168" s="155" t="n"/>
      <c r="P168" s="155" t="n"/>
      <c r="Q168" s="155" t="n"/>
      <c r="R168" s="155" t="n"/>
      <c r="S168" s="155" t="n"/>
      <c r="T168" s="156" t="n"/>
    </row>
    <row r="169">
      <c r="A169" s="23" t="n">
        <v>34</v>
      </c>
      <c r="B169" s="154" t="n"/>
      <c r="C169" s="155" t="n"/>
      <c r="D169" s="155" t="n"/>
      <c r="E169" s="155" t="n"/>
      <c r="F169" s="155" t="n"/>
      <c r="G169" s="155" t="n"/>
      <c r="H169" s="155" t="n"/>
      <c r="I169" s="155" t="n"/>
      <c r="J169" s="155" t="n"/>
      <c r="K169" s="155" t="n"/>
      <c r="L169" s="155" t="n"/>
      <c r="M169" s="155" t="n"/>
      <c r="N169" s="155" t="n"/>
      <c r="O169" s="155" t="n"/>
      <c r="P169" s="155" t="n"/>
      <c r="Q169" s="155" t="n"/>
      <c r="R169" s="155" t="n"/>
      <c r="S169" s="155" t="n"/>
      <c r="T169" s="156" t="n"/>
    </row>
    <row r="170">
      <c r="A170" s="23" t="n">
        <v>35</v>
      </c>
      <c r="B170" s="154" t="n"/>
      <c r="C170" s="155" t="n"/>
      <c r="D170" s="155" t="n"/>
      <c r="E170" s="155" t="n"/>
      <c r="F170" s="155" t="n"/>
      <c r="G170" s="155" t="n"/>
      <c r="H170" s="155" t="n"/>
      <c r="I170" s="155" t="n"/>
      <c r="J170" s="155" t="n"/>
      <c r="K170" s="155" t="n"/>
      <c r="L170" s="155" t="n"/>
      <c r="M170" s="155" t="n"/>
      <c r="N170" s="155" t="n"/>
      <c r="O170" s="155" t="n"/>
      <c r="P170" s="155" t="n"/>
      <c r="Q170" s="155" t="n"/>
      <c r="R170" s="155" t="n"/>
      <c r="S170" s="155" t="n"/>
      <c r="T170" s="156" t="n"/>
    </row>
    <row r="171">
      <c r="A171" s="23" t="n">
        <v>36</v>
      </c>
      <c r="B171" s="154" t="n"/>
      <c r="C171" s="155" t="n"/>
      <c r="D171" s="155" t="n"/>
      <c r="E171" s="155" t="n"/>
      <c r="F171" s="155" t="n"/>
      <c r="G171" s="155" t="n"/>
      <c r="H171" s="155" t="n"/>
      <c r="I171" s="155" t="n"/>
      <c r="J171" s="155" t="n"/>
      <c r="K171" s="155" t="n"/>
      <c r="L171" s="155" t="n"/>
      <c r="M171" s="155" t="n"/>
      <c r="N171" s="155" t="n"/>
      <c r="O171" s="155" t="n"/>
      <c r="P171" s="155" t="n"/>
      <c r="Q171" s="155" t="n"/>
      <c r="R171" s="155" t="n"/>
      <c r="S171" s="155" t="n"/>
      <c r="T171" s="156" t="n"/>
    </row>
    <row r="172">
      <c r="A172" s="23" t="n">
        <v>37</v>
      </c>
      <c r="B172" s="154" t="n"/>
      <c r="C172" s="155" t="n"/>
      <c r="D172" s="155" t="n"/>
      <c r="E172" s="155" t="n"/>
      <c r="F172" s="155" t="n"/>
      <c r="G172" s="155" t="n"/>
      <c r="H172" s="155" t="n"/>
      <c r="I172" s="155" t="n"/>
      <c r="J172" s="155" t="n"/>
      <c r="K172" s="155" t="n"/>
      <c r="L172" s="155" t="n"/>
      <c r="M172" s="155" t="n"/>
      <c r="N172" s="155" t="n"/>
      <c r="O172" s="155" t="n"/>
      <c r="P172" s="155" t="n"/>
      <c r="Q172" s="155" t="n"/>
      <c r="R172" s="155" t="n"/>
      <c r="S172" s="155" t="n"/>
      <c r="T172" s="156" t="n"/>
    </row>
    <row r="173">
      <c r="A173" s="23" t="n">
        <v>38</v>
      </c>
      <c r="B173" s="154" t="n"/>
      <c r="C173" s="155" t="n"/>
      <c r="D173" s="155" t="n"/>
      <c r="E173" s="155" t="n"/>
      <c r="F173" s="155" t="n"/>
      <c r="G173" s="155" t="n"/>
      <c r="H173" s="155" t="n"/>
      <c r="I173" s="155" t="n"/>
      <c r="J173" s="155" t="n"/>
      <c r="K173" s="155" t="n"/>
      <c r="L173" s="155" t="n"/>
      <c r="M173" s="155" t="n"/>
      <c r="N173" s="155" t="n"/>
      <c r="O173" s="155" t="n"/>
      <c r="P173" s="155" t="n"/>
      <c r="Q173" s="155" t="n"/>
      <c r="R173" s="155" t="n"/>
      <c r="S173" s="155" t="n"/>
      <c r="T173" s="156" t="n"/>
    </row>
    <row r="174">
      <c r="A174" s="23" t="n">
        <v>39</v>
      </c>
      <c r="B174" s="154" t="n"/>
      <c r="C174" s="155" t="n"/>
      <c r="D174" s="155" t="n"/>
      <c r="E174" s="155" t="n"/>
      <c r="F174" s="155" t="n"/>
      <c r="G174" s="155" t="n"/>
      <c r="H174" s="155" t="n"/>
      <c r="I174" s="155" t="n"/>
      <c r="J174" s="155" t="n"/>
      <c r="K174" s="155" t="n"/>
      <c r="L174" s="155" t="n"/>
      <c r="M174" s="155" t="n"/>
      <c r="N174" s="155" t="n"/>
      <c r="O174" s="155" t="n"/>
      <c r="P174" s="155" t="n"/>
      <c r="Q174" s="155" t="n"/>
      <c r="R174" s="155" t="n"/>
      <c r="S174" s="155" t="n"/>
      <c r="T174" s="156" t="n"/>
    </row>
    <row r="175">
      <c r="A175" s="23" t="n">
        <v>40</v>
      </c>
      <c r="B175" s="154" t="n"/>
      <c r="C175" s="155" t="n"/>
      <c r="D175" s="155" t="n"/>
      <c r="E175" s="155" t="n"/>
      <c r="F175" s="155" t="n"/>
      <c r="G175" s="155" t="n"/>
      <c r="H175" s="155" t="n"/>
      <c r="I175" s="155" t="n"/>
      <c r="J175" s="155" t="n"/>
      <c r="K175" s="155" t="n"/>
      <c r="L175" s="155" t="n"/>
      <c r="M175" s="155" t="n"/>
      <c r="N175" s="155" t="n"/>
      <c r="O175" s="155" t="n"/>
      <c r="P175" s="155" t="n"/>
      <c r="Q175" s="155" t="n"/>
      <c r="R175" s="155" t="n"/>
      <c r="S175" s="155" t="n"/>
      <c r="T175" s="156" t="n"/>
    </row>
    <row r="176">
      <c r="A176" s="23" t="n">
        <v>41</v>
      </c>
      <c r="B176" s="154" t="n"/>
      <c r="C176" s="155" t="n"/>
      <c r="D176" s="155" t="n"/>
      <c r="E176" s="155" t="n"/>
      <c r="F176" s="155" t="n"/>
      <c r="G176" s="155" t="n"/>
      <c r="H176" s="155" t="n"/>
      <c r="I176" s="155" t="n"/>
      <c r="J176" s="155" t="n"/>
      <c r="K176" s="155" t="n"/>
      <c r="L176" s="155" t="n"/>
      <c r="M176" s="155" t="n"/>
      <c r="N176" s="155" t="n"/>
      <c r="O176" s="155" t="n"/>
      <c r="P176" s="155" t="n"/>
      <c r="Q176" s="155" t="n"/>
      <c r="R176" s="155" t="n"/>
      <c r="S176" s="155" t="n"/>
      <c r="T176" s="156" t="n"/>
    </row>
    <row r="177">
      <c r="A177" s="23" t="n">
        <v>42</v>
      </c>
      <c r="B177" s="154" t="n"/>
      <c r="C177" s="155" t="n"/>
      <c r="D177" s="155" t="n"/>
      <c r="E177" s="155" t="n"/>
      <c r="F177" s="155" t="n"/>
      <c r="G177" s="155" t="n"/>
      <c r="H177" s="155" t="n"/>
      <c r="I177" s="155" t="n"/>
      <c r="J177" s="155" t="n"/>
      <c r="K177" s="155" t="n"/>
      <c r="L177" s="155" t="n"/>
      <c r="M177" s="155" t="n"/>
      <c r="N177" s="155" t="n"/>
      <c r="O177" s="155" t="n"/>
      <c r="P177" s="155" t="n"/>
      <c r="Q177" s="155" t="n"/>
      <c r="R177" s="155" t="n"/>
      <c r="S177" s="155" t="n"/>
      <c r="T177" s="156" t="n"/>
    </row>
    <row r="178">
      <c r="A178" s="23" t="n">
        <v>43</v>
      </c>
      <c r="B178" s="154" t="n"/>
      <c r="C178" s="155" t="n"/>
      <c r="D178" s="155" t="n"/>
      <c r="E178" s="155" t="n"/>
      <c r="F178" s="155" t="n"/>
      <c r="G178" s="155" t="n"/>
      <c r="H178" s="155" t="n"/>
      <c r="I178" s="155" t="n"/>
      <c r="J178" s="155" t="n"/>
      <c r="K178" s="155" t="n"/>
      <c r="L178" s="155" t="n"/>
      <c r="M178" s="155" t="n"/>
      <c r="N178" s="155" t="n"/>
      <c r="O178" s="155" t="n"/>
      <c r="P178" s="155" t="n"/>
      <c r="Q178" s="155" t="n"/>
      <c r="R178" s="155" t="n"/>
      <c r="S178" s="155" t="n"/>
      <c r="T178" s="156" t="n"/>
    </row>
    <row r="179">
      <c r="A179" s="23" t="n">
        <v>44</v>
      </c>
      <c r="B179" s="154" t="n"/>
      <c r="C179" s="155" t="n"/>
      <c r="D179" s="155" t="n"/>
      <c r="E179" s="155" t="n"/>
      <c r="F179" s="155" t="n"/>
      <c r="G179" s="155" t="n"/>
      <c r="H179" s="155" t="n"/>
      <c r="I179" s="155" t="n"/>
      <c r="J179" s="155" t="n"/>
      <c r="K179" s="155" t="n"/>
      <c r="L179" s="155" t="n"/>
      <c r="M179" s="155" t="n"/>
      <c r="N179" s="155" t="n"/>
      <c r="O179" s="155" t="n"/>
      <c r="P179" s="155" t="n"/>
      <c r="Q179" s="155" t="n"/>
      <c r="R179" s="155" t="n"/>
      <c r="S179" s="155" t="n"/>
      <c r="T179" s="156" t="n"/>
    </row>
    <row r="180">
      <c r="A180" s="23" t="n">
        <v>45</v>
      </c>
      <c r="B180" s="154" t="n"/>
      <c r="C180" s="155" t="n"/>
      <c r="D180" s="155" t="n"/>
      <c r="E180" s="155" t="n"/>
      <c r="F180" s="155" t="n"/>
      <c r="G180" s="155" t="n"/>
      <c r="H180" s="155" t="n"/>
      <c r="I180" s="155" t="n"/>
      <c r="J180" s="155" t="n"/>
      <c r="K180" s="155" t="n"/>
      <c r="L180" s="155" t="n"/>
      <c r="M180" s="155" t="n"/>
      <c r="N180" s="155" t="n"/>
      <c r="O180" s="155" t="n"/>
      <c r="P180" s="155" t="n"/>
      <c r="Q180" s="155" t="n"/>
      <c r="R180" s="155" t="n"/>
      <c r="S180" s="155" t="n"/>
      <c r="T180" s="156" t="n"/>
    </row>
    <row r="181">
      <c r="A181" s="23" t="n">
        <v>46</v>
      </c>
      <c r="B181" s="154" t="n"/>
      <c r="C181" s="155" t="n"/>
      <c r="D181" s="155" t="n"/>
      <c r="E181" s="155" t="n"/>
      <c r="F181" s="155" t="n"/>
      <c r="G181" s="155" t="n"/>
      <c r="H181" s="155" t="n"/>
      <c r="I181" s="155" t="n"/>
      <c r="J181" s="155" t="n"/>
      <c r="K181" s="155" t="n"/>
      <c r="L181" s="155" t="n"/>
      <c r="M181" s="155" t="n"/>
      <c r="N181" s="155" t="n"/>
      <c r="O181" s="155" t="n"/>
      <c r="P181" s="155" t="n"/>
      <c r="Q181" s="155" t="n"/>
      <c r="R181" s="155" t="n"/>
      <c r="S181" s="155" t="n"/>
      <c r="T181" s="156" t="n"/>
    </row>
    <row r="182">
      <c r="A182" s="23" t="n">
        <v>47</v>
      </c>
      <c r="B182" s="154" t="n"/>
      <c r="C182" s="155" t="n"/>
      <c r="D182" s="155" t="n"/>
      <c r="E182" s="155" t="n"/>
      <c r="F182" s="155" t="n"/>
      <c r="G182" s="155" t="n"/>
      <c r="H182" s="155" t="n"/>
      <c r="I182" s="155" t="n"/>
      <c r="J182" s="155" t="n"/>
      <c r="K182" s="155" t="n"/>
      <c r="L182" s="155" t="n"/>
      <c r="M182" s="155" t="n"/>
      <c r="N182" s="155" t="n"/>
      <c r="O182" s="155" t="n"/>
      <c r="P182" s="155" t="n"/>
      <c r="Q182" s="155" t="n"/>
      <c r="R182" s="155" t="n"/>
      <c r="S182" s="155" t="n"/>
      <c r="T182" s="156" t="n"/>
    </row>
    <row r="183">
      <c r="A183" s="23" t="n">
        <v>48</v>
      </c>
      <c r="B183" s="154" t="n"/>
      <c r="C183" s="155" t="n"/>
      <c r="D183" s="155" t="n"/>
      <c r="E183" s="155" t="n"/>
      <c r="F183" s="155" t="n"/>
      <c r="G183" s="155" t="n"/>
      <c r="H183" s="155" t="n"/>
      <c r="I183" s="155" t="n"/>
      <c r="J183" s="155" t="n"/>
      <c r="K183" s="155" t="n"/>
      <c r="L183" s="155" t="n"/>
      <c r="M183" s="155" t="n"/>
      <c r="N183" s="155" t="n"/>
      <c r="O183" s="155" t="n"/>
      <c r="P183" s="155" t="n"/>
      <c r="Q183" s="155" t="n"/>
      <c r="R183" s="155" t="n"/>
      <c r="S183" s="155" t="n"/>
      <c r="T183" s="156" t="n"/>
    </row>
    <row r="184">
      <c r="A184" s="23" t="n">
        <v>49</v>
      </c>
      <c r="B184" s="154" t="n"/>
      <c r="C184" s="155" t="n"/>
      <c r="D184" s="155" t="n"/>
      <c r="E184" s="155" t="n"/>
      <c r="F184" s="155" t="n"/>
      <c r="G184" s="155" t="n"/>
      <c r="H184" s="155" t="n"/>
      <c r="I184" s="155" t="n"/>
      <c r="J184" s="155" t="n"/>
      <c r="K184" s="155" t="n"/>
      <c r="L184" s="155" t="n"/>
      <c r="M184" s="155" t="n"/>
      <c r="N184" s="155" t="n"/>
      <c r="O184" s="155" t="n"/>
      <c r="P184" s="155" t="n"/>
      <c r="Q184" s="155" t="n"/>
      <c r="R184" s="155" t="n"/>
      <c r="S184" s="155" t="n"/>
      <c r="T184" s="156" t="n"/>
    </row>
    <row r="185">
      <c r="A185" s="23" t="n">
        <v>50</v>
      </c>
      <c r="B185" s="154" t="n"/>
      <c r="C185" s="155" t="n"/>
      <c r="D185" s="155" t="n"/>
      <c r="E185" s="155" t="n"/>
      <c r="F185" s="155" t="n"/>
      <c r="G185" s="155" t="n"/>
      <c r="H185" s="155" t="n"/>
      <c r="I185" s="155" t="n"/>
      <c r="J185" s="155" t="n"/>
      <c r="K185" s="155" t="n"/>
      <c r="L185" s="155" t="n"/>
      <c r="M185" s="155" t="n"/>
      <c r="N185" s="155" t="n"/>
      <c r="O185" s="155" t="n"/>
      <c r="P185" s="155" t="n"/>
      <c r="Q185" s="155" t="n"/>
      <c r="R185" s="155" t="n"/>
      <c r="S185" s="155" t="n"/>
      <c r="T185" s="156" t="n"/>
    </row>
    <row r="186">
      <c r="A186" s="23" t="n">
        <v>51</v>
      </c>
      <c r="B186" s="154" t="n"/>
      <c r="C186" s="155" t="n"/>
      <c r="D186" s="155" t="n"/>
      <c r="E186" s="155" t="n"/>
      <c r="F186" s="155" t="n"/>
      <c r="G186" s="155" t="n"/>
      <c r="H186" s="155" t="n"/>
      <c r="I186" s="155" t="n"/>
      <c r="J186" s="155" t="n"/>
      <c r="K186" s="155" t="n"/>
      <c r="L186" s="155" t="n"/>
      <c r="M186" s="155" t="n"/>
      <c r="N186" s="155" t="n"/>
      <c r="O186" s="155" t="n"/>
      <c r="P186" s="155" t="n"/>
      <c r="Q186" s="155" t="n"/>
      <c r="R186" s="155" t="n"/>
      <c r="S186" s="155" t="n"/>
      <c r="T186" s="156" t="n"/>
    </row>
    <row r="187">
      <c r="A187" s="23" t="n">
        <v>52</v>
      </c>
      <c r="B187" s="154" t="n"/>
      <c r="C187" s="155" t="n"/>
      <c r="D187" s="155" t="n"/>
      <c r="E187" s="155" t="n"/>
      <c r="F187" s="155" t="n"/>
      <c r="G187" s="155" t="n"/>
      <c r="H187" s="155" t="n"/>
      <c r="I187" s="155" t="n"/>
      <c r="J187" s="155" t="n"/>
      <c r="K187" s="155" t="n"/>
      <c r="L187" s="155" t="n"/>
      <c r="M187" s="155" t="n"/>
      <c r="N187" s="155" t="n"/>
      <c r="O187" s="155" t="n"/>
      <c r="P187" s="155" t="n"/>
      <c r="Q187" s="155" t="n"/>
      <c r="R187" s="155" t="n"/>
      <c r="S187" s="155" t="n"/>
      <c r="T187" s="156" t="n"/>
    </row>
    <row r="188">
      <c r="A188" s="23" t="n">
        <v>53</v>
      </c>
      <c r="B188" s="154" t="n"/>
      <c r="C188" s="155" t="n"/>
      <c r="D188" s="155" t="n"/>
      <c r="E188" s="155" t="n"/>
      <c r="F188" s="155" t="n"/>
      <c r="G188" s="155" t="n"/>
      <c r="H188" s="155" t="n"/>
      <c r="I188" s="155" t="n"/>
      <c r="J188" s="155" t="n"/>
      <c r="K188" s="155" t="n"/>
      <c r="L188" s="155" t="n"/>
      <c r="M188" s="155" t="n"/>
      <c r="N188" s="155" t="n"/>
      <c r="O188" s="155" t="n"/>
      <c r="P188" s="155" t="n"/>
      <c r="Q188" s="155" t="n"/>
      <c r="R188" s="155" t="n"/>
      <c r="S188" s="155" t="n"/>
      <c r="T188" s="156" t="n"/>
    </row>
    <row r="189">
      <c r="A189" s="23" t="n">
        <v>54</v>
      </c>
      <c r="B189" s="154" t="n"/>
      <c r="C189" s="155" t="n"/>
      <c r="D189" s="155" t="n"/>
      <c r="E189" s="155" t="n"/>
      <c r="F189" s="155" t="n"/>
      <c r="G189" s="155" t="n"/>
      <c r="H189" s="155" t="n"/>
      <c r="I189" s="155" t="n"/>
      <c r="J189" s="155" t="n"/>
      <c r="K189" s="155" t="n"/>
      <c r="L189" s="155" t="n"/>
      <c r="M189" s="155" t="n"/>
      <c r="N189" s="155" t="n"/>
      <c r="O189" s="155" t="n"/>
      <c r="P189" s="155" t="n"/>
      <c r="Q189" s="155" t="n"/>
      <c r="R189" s="155" t="n"/>
      <c r="S189" s="155" t="n"/>
      <c r="T189" s="156" t="n"/>
    </row>
    <row r="190">
      <c r="A190" s="23" t="n">
        <v>55</v>
      </c>
      <c r="B190" s="154" t="n"/>
      <c r="C190" s="155" t="n"/>
      <c r="D190" s="155" t="n"/>
      <c r="E190" s="155" t="n"/>
      <c r="F190" s="155" t="n"/>
      <c r="G190" s="155" t="n"/>
      <c r="H190" s="155" t="n"/>
      <c r="I190" s="155" t="n"/>
      <c r="J190" s="155" t="n"/>
      <c r="K190" s="155" t="n"/>
      <c r="L190" s="155" t="n"/>
      <c r="M190" s="155" t="n"/>
      <c r="N190" s="155" t="n"/>
      <c r="O190" s="155" t="n"/>
      <c r="P190" s="155" t="n"/>
      <c r="Q190" s="155" t="n"/>
      <c r="R190" s="155" t="n"/>
      <c r="S190" s="155" t="n"/>
      <c r="T190" s="156" t="n"/>
    </row>
    <row r="191">
      <c r="A191" s="23" t="n">
        <v>56</v>
      </c>
      <c r="B191" s="154" t="n"/>
      <c r="C191" s="155" t="n"/>
      <c r="D191" s="155" t="n"/>
      <c r="E191" s="155" t="n"/>
      <c r="F191" s="155" t="n"/>
      <c r="G191" s="155" t="n"/>
      <c r="H191" s="155" t="n"/>
      <c r="I191" s="155" t="n"/>
      <c r="J191" s="155" t="n"/>
      <c r="K191" s="155" t="n"/>
      <c r="L191" s="155" t="n"/>
      <c r="M191" s="155" t="n"/>
      <c r="N191" s="155" t="n"/>
      <c r="O191" s="155" t="n"/>
      <c r="P191" s="155" t="n"/>
      <c r="Q191" s="155" t="n"/>
      <c r="R191" s="155" t="n"/>
      <c r="S191" s="155" t="n"/>
      <c r="T191" s="156" t="n"/>
    </row>
    <row r="192">
      <c r="A192" s="23" t="n">
        <v>57</v>
      </c>
      <c r="B192" s="154" t="n"/>
      <c r="C192" s="155" t="n"/>
      <c r="D192" s="155" t="n"/>
      <c r="E192" s="155" t="n"/>
      <c r="F192" s="155" t="n"/>
      <c r="G192" s="155" t="n"/>
      <c r="H192" s="155" t="n"/>
      <c r="I192" s="155" t="n"/>
      <c r="J192" s="155" t="n"/>
      <c r="K192" s="155" t="n"/>
      <c r="L192" s="155" t="n"/>
      <c r="M192" s="155" t="n"/>
      <c r="N192" s="155" t="n"/>
      <c r="O192" s="155" t="n"/>
      <c r="P192" s="155" t="n"/>
      <c r="Q192" s="155" t="n"/>
      <c r="R192" s="155" t="n"/>
      <c r="S192" s="155" t="n"/>
      <c r="T192" s="156" t="n"/>
    </row>
    <row r="193">
      <c r="A193" s="23" t="n">
        <v>58</v>
      </c>
      <c r="B193" s="154" t="n"/>
      <c r="C193" s="155" t="n"/>
      <c r="D193" s="155" t="n"/>
      <c r="E193" s="155" t="n"/>
      <c r="F193" s="155" t="n"/>
      <c r="G193" s="155" t="n"/>
      <c r="H193" s="155" t="n"/>
      <c r="I193" s="155" t="n"/>
      <c r="J193" s="155" t="n"/>
      <c r="K193" s="155" t="n"/>
      <c r="L193" s="155" t="n"/>
      <c r="M193" s="155" t="n"/>
      <c r="N193" s="155" t="n"/>
      <c r="O193" s="155" t="n"/>
      <c r="P193" s="155" t="n"/>
      <c r="Q193" s="155" t="n"/>
      <c r="R193" s="155" t="n"/>
      <c r="S193" s="155" t="n"/>
      <c r="T193" s="156" t="n"/>
    </row>
    <row r="194">
      <c r="A194" s="23" t="n">
        <v>59</v>
      </c>
      <c r="B194" s="154" t="n"/>
      <c r="C194" s="155" t="n"/>
      <c r="D194" s="155" t="n"/>
      <c r="E194" s="155" t="n"/>
      <c r="F194" s="155" t="n"/>
      <c r="G194" s="155" t="n"/>
      <c r="H194" s="155" t="n"/>
      <c r="I194" s="155" t="n"/>
      <c r="J194" s="155" t="n"/>
      <c r="K194" s="155" t="n"/>
      <c r="L194" s="155" t="n"/>
      <c r="M194" s="155" t="n"/>
      <c r="N194" s="155" t="n"/>
      <c r="O194" s="155" t="n"/>
      <c r="P194" s="155" t="n"/>
      <c r="Q194" s="155" t="n"/>
      <c r="R194" s="155" t="n"/>
      <c r="S194" s="155" t="n"/>
      <c r="T194" s="156" t="n"/>
    </row>
    <row r="195">
      <c r="A195" s="23" t="n">
        <v>60</v>
      </c>
      <c r="B195" s="154" t="n"/>
      <c r="C195" s="155" t="n"/>
      <c r="D195" s="155" t="n"/>
      <c r="E195" s="155" t="n"/>
      <c r="F195" s="155" t="n"/>
      <c r="G195" s="155" t="n"/>
      <c r="H195" s="155" t="n"/>
      <c r="I195" s="155" t="n"/>
      <c r="J195" s="155" t="n"/>
      <c r="K195" s="155" t="n"/>
      <c r="L195" s="155" t="n"/>
      <c r="M195" s="155" t="n"/>
      <c r="N195" s="155" t="n"/>
      <c r="O195" s="155" t="n"/>
      <c r="P195" s="155" t="n"/>
      <c r="Q195" s="155" t="n"/>
      <c r="R195" s="155" t="n"/>
      <c r="S195" s="155" t="n"/>
      <c r="T195" s="156" t="n"/>
    </row>
    <row r="196"/>
    <row r="197"/>
    <row r="198">
      <c r="A198" s="111" t="inlineStr">
        <is>
          <t>Tier 4: Solar inverter + lithium (~1.2 kWp / 5 kWh)</t>
        </is>
      </c>
    </row>
    <row r="199" ht="42" customHeight="1">
      <c r="A199" s="40" t="inlineStr">
        <is>
          <t>Obs #</t>
        </is>
      </c>
      <c r="B199" s="40" t="inlineStr">
        <is>
          <t>Period end</t>
        </is>
      </c>
      <c r="C199" s="40" t="inlineStr">
        <is>
          <t>Originations (units)</t>
        </is>
      </c>
      <c r="D199" s="40" t="inlineStr">
        <is>
          <t>Gross receivables</t>
        </is>
      </c>
      <c r="E199" s="40" t="inlineStr">
        <is>
          <t>Current</t>
        </is>
      </c>
      <c r="F199" s="40" t="inlineStr">
        <is>
          <t>1-30 DPD</t>
        </is>
      </c>
      <c r="G199" s="40" t="inlineStr">
        <is>
          <t>31-60 DPD</t>
        </is>
      </c>
      <c r="H199" s="40" t="inlineStr">
        <is>
          <t>61-90 DPD</t>
        </is>
      </c>
      <c r="I199" s="40" t="inlineStr">
        <is>
          <t>91-180 DPD</t>
        </is>
      </c>
      <c r="J199" s="40" t="inlineStr">
        <is>
          <t>180+ DPD</t>
        </is>
      </c>
      <c r="K199" s="40" t="inlineStr">
        <is>
          <t>Default EAD (stock beyond default definition)</t>
        </is>
      </c>
      <c r="L199" s="40" t="inlineStr">
        <is>
          <t>Repossessions (units)</t>
        </is>
      </c>
      <c r="M199" s="40" t="inlineStr">
        <is>
          <t>Gross resale proceeds</t>
        </is>
      </c>
      <c r="N199" s="40" t="inlineStr">
        <is>
          <t>Recovery costs</t>
        </is>
      </c>
      <c r="O199" s="40" t="inlineStr">
        <is>
          <t>Cures (accounts)</t>
        </is>
      </c>
      <c r="P199" s="40" t="inlineStr">
        <is>
          <t>Write-offs</t>
        </is>
      </c>
      <c r="Q199" s="40" t="inlineStr">
        <is>
          <t>Collections</t>
        </is>
      </c>
      <c r="R199" s="40" t="inlineStr">
        <is>
          <t>Instalments due</t>
        </is>
      </c>
      <c r="S199" s="40" t="inlineStr">
        <is>
          <t>Ownership events (unlocks)</t>
        </is>
      </c>
      <c r="T199" s="40" t="inlineStr">
        <is>
          <t>Notes</t>
        </is>
      </c>
    </row>
    <row r="200">
      <c r="A200" s="23" t="n">
        <v>1</v>
      </c>
      <c r="B200" s="154" t="n"/>
      <c r="C200" s="155" t="n"/>
      <c r="D200" s="155" t="n"/>
      <c r="E200" s="155" t="n"/>
      <c r="F200" s="155" t="n"/>
      <c r="G200" s="155" t="n"/>
      <c r="H200" s="155" t="n"/>
      <c r="I200" s="155" t="n"/>
      <c r="J200" s="155" t="n"/>
      <c r="K200" s="155" t="n"/>
      <c r="L200" s="155" t="n"/>
      <c r="M200" s="155" t="n"/>
      <c r="N200" s="155" t="n"/>
      <c r="O200" s="155" t="n"/>
      <c r="P200" s="155" t="n"/>
      <c r="Q200" s="155" t="n"/>
      <c r="R200" s="155" t="n"/>
      <c r="S200" s="155" t="n"/>
      <c r="T200" s="156" t="n"/>
    </row>
    <row r="201">
      <c r="A201" s="23" t="n">
        <v>2</v>
      </c>
      <c r="B201" s="154" t="n"/>
      <c r="C201" s="155" t="n"/>
      <c r="D201" s="155" t="n"/>
      <c r="E201" s="155" t="n"/>
      <c r="F201" s="155" t="n"/>
      <c r="G201" s="155" t="n"/>
      <c r="H201" s="155" t="n"/>
      <c r="I201" s="155" t="n"/>
      <c r="J201" s="155" t="n"/>
      <c r="K201" s="155" t="n"/>
      <c r="L201" s="155" t="n"/>
      <c r="M201" s="155" t="n"/>
      <c r="N201" s="155" t="n"/>
      <c r="O201" s="155" t="n"/>
      <c r="P201" s="155" t="n"/>
      <c r="Q201" s="155" t="n"/>
      <c r="R201" s="155" t="n"/>
      <c r="S201" s="155" t="n"/>
      <c r="T201" s="156" t="n"/>
    </row>
    <row r="202">
      <c r="A202" s="23" t="n">
        <v>3</v>
      </c>
      <c r="B202" s="154" t="n"/>
      <c r="C202" s="155" t="n"/>
      <c r="D202" s="155" t="n"/>
      <c r="E202" s="155" t="n"/>
      <c r="F202" s="155" t="n"/>
      <c r="G202" s="155" t="n"/>
      <c r="H202" s="155" t="n"/>
      <c r="I202" s="155" t="n"/>
      <c r="J202" s="155" t="n"/>
      <c r="K202" s="155" t="n"/>
      <c r="L202" s="155" t="n"/>
      <c r="M202" s="155" t="n"/>
      <c r="N202" s="155" t="n"/>
      <c r="O202" s="155" t="n"/>
      <c r="P202" s="155" t="n"/>
      <c r="Q202" s="155" t="n"/>
      <c r="R202" s="155" t="n"/>
      <c r="S202" s="155" t="n"/>
      <c r="T202" s="156" t="n"/>
    </row>
    <row r="203">
      <c r="A203" s="23" t="n">
        <v>4</v>
      </c>
      <c r="B203" s="154" t="n"/>
      <c r="C203" s="155" t="n"/>
      <c r="D203" s="155" t="n"/>
      <c r="E203" s="155" t="n"/>
      <c r="F203" s="155" t="n"/>
      <c r="G203" s="155" t="n"/>
      <c r="H203" s="155" t="n"/>
      <c r="I203" s="155" t="n"/>
      <c r="J203" s="155" t="n"/>
      <c r="K203" s="155" t="n"/>
      <c r="L203" s="155" t="n"/>
      <c r="M203" s="155" t="n"/>
      <c r="N203" s="155" t="n"/>
      <c r="O203" s="155" t="n"/>
      <c r="P203" s="155" t="n"/>
      <c r="Q203" s="155" t="n"/>
      <c r="R203" s="155" t="n"/>
      <c r="S203" s="155" t="n"/>
      <c r="T203" s="156" t="n"/>
    </row>
    <row r="204">
      <c r="A204" s="23" t="n">
        <v>5</v>
      </c>
      <c r="B204" s="154" t="n"/>
      <c r="C204" s="155" t="n"/>
      <c r="D204" s="155" t="n"/>
      <c r="E204" s="155" t="n"/>
      <c r="F204" s="155" t="n"/>
      <c r="G204" s="155" t="n"/>
      <c r="H204" s="155" t="n"/>
      <c r="I204" s="155" t="n"/>
      <c r="J204" s="155" t="n"/>
      <c r="K204" s="155" t="n"/>
      <c r="L204" s="155" t="n"/>
      <c r="M204" s="155" t="n"/>
      <c r="N204" s="155" t="n"/>
      <c r="O204" s="155" t="n"/>
      <c r="P204" s="155" t="n"/>
      <c r="Q204" s="155" t="n"/>
      <c r="R204" s="155" t="n"/>
      <c r="S204" s="155" t="n"/>
      <c r="T204" s="156" t="n"/>
    </row>
    <row r="205">
      <c r="A205" s="23" t="n">
        <v>6</v>
      </c>
      <c r="B205" s="154" t="n"/>
      <c r="C205" s="155" t="n"/>
      <c r="D205" s="155" t="n"/>
      <c r="E205" s="155" t="n"/>
      <c r="F205" s="155" t="n"/>
      <c r="G205" s="155" t="n"/>
      <c r="H205" s="155" t="n"/>
      <c r="I205" s="155" t="n"/>
      <c r="J205" s="155" t="n"/>
      <c r="K205" s="155" t="n"/>
      <c r="L205" s="155" t="n"/>
      <c r="M205" s="155" t="n"/>
      <c r="N205" s="155" t="n"/>
      <c r="O205" s="155" t="n"/>
      <c r="P205" s="155" t="n"/>
      <c r="Q205" s="155" t="n"/>
      <c r="R205" s="155" t="n"/>
      <c r="S205" s="155" t="n"/>
      <c r="T205" s="156" t="n"/>
    </row>
    <row r="206">
      <c r="A206" s="23" t="n">
        <v>7</v>
      </c>
      <c r="B206" s="154" t="n"/>
      <c r="C206" s="155" t="n"/>
      <c r="D206" s="155" t="n"/>
      <c r="E206" s="155" t="n"/>
      <c r="F206" s="155" t="n"/>
      <c r="G206" s="155" t="n"/>
      <c r="H206" s="155" t="n"/>
      <c r="I206" s="155" t="n"/>
      <c r="J206" s="155" t="n"/>
      <c r="K206" s="155" t="n"/>
      <c r="L206" s="155" t="n"/>
      <c r="M206" s="155" t="n"/>
      <c r="N206" s="155" t="n"/>
      <c r="O206" s="155" t="n"/>
      <c r="P206" s="155" t="n"/>
      <c r="Q206" s="155" t="n"/>
      <c r="R206" s="155" t="n"/>
      <c r="S206" s="155" t="n"/>
      <c r="T206" s="156" t="n"/>
    </row>
    <row r="207">
      <c r="A207" s="23" t="n">
        <v>8</v>
      </c>
      <c r="B207" s="154" t="n"/>
      <c r="C207" s="155" t="n"/>
      <c r="D207" s="155" t="n"/>
      <c r="E207" s="155" t="n"/>
      <c r="F207" s="155" t="n"/>
      <c r="G207" s="155" t="n"/>
      <c r="H207" s="155" t="n"/>
      <c r="I207" s="155" t="n"/>
      <c r="J207" s="155" t="n"/>
      <c r="K207" s="155" t="n"/>
      <c r="L207" s="155" t="n"/>
      <c r="M207" s="155" t="n"/>
      <c r="N207" s="155" t="n"/>
      <c r="O207" s="155" t="n"/>
      <c r="P207" s="155" t="n"/>
      <c r="Q207" s="155" t="n"/>
      <c r="R207" s="155" t="n"/>
      <c r="S207" s="155" t="n"/>
      <c r="T207" s="156" t="n"/>
    </row>
    <row r="208">
      <c r="A208" s="23" t="n">
        <v>9</v>
      </c>
      <c r="B208" s="154" t="n"/>
      <c r="C208" s="155" t="n"/>
      <c r="D208" s="155" t="n"/>
      <c r="E208" s="155" t="n"/>
      <c r="F208" s="155" t="n"/>
      <c r="G208" s="155" t="n"/>
      <c r="H208" s="155" t="n"/>
      <c r="I208" s="155" t="n"/>
      <c r="J208" s="155" t="n"/>
      <c r="K208" s="155" t="n"/>
      <c r="L208" s="155" t="n"/>
      <c r="M208" s="155" t="n"/>
      <c r="N208" s="155" t="n"/>
      <c r="O208" s="155" t="n"/>
      <c r="P208" s="155" t="n"/>
      <c r="Q208" s="155" t="n"/>
      <c r="R208" s="155" t="n"/>
      <c r="S208" s="155" t="n"/>
      <c r="T208" s="156" t="n"/>
    </row>
    <row r="209">
      <c r="A209" s="23" t="n">
        <v>10</v>
      </c>
      <c r="B209" s="154" t="n"/>
      <c r="C209" s="155" t="n"/>
      <c r="D209" s="155" t="n"/>
      <c r="E209" s="155" t="n"/>
      <c r="F209" s="155" t="n"/>
      <c r="G209" s="155" t="n"/>
      <c r="H209" s="155" t="n"/>
      <c r="I209" s="155" t="n"/>
      <c r="J209" s="155" t="n"/>
      <c r="K209" s="155" t="n"/>
      <c r="L209" s="155" t="n"/>
      <c r="M209" s="155" t="n"/>
      <c r="N209" s="155" t="n"/>
      <c r="O209" s="155" t="n"/>
      <c r="P209" s="155" t="n"/>
      <c r="Q209" s="155" t="n"/>
      <c r="R209" s="155" t="n"/>
      <c r="S209" s="155" t="n"/>
      <c r="T209" s="156" t="n"/>
    </row>
    <row r="210">
      <c r="A210" s="23" t="n">
        <v>11</v>
      </c>
      <c r="B210" s="154" t="n"/>
      <c r="C210" s="155" t="n"/>
      <c r="D210" s="155" t="n"/>
      <c r="E210" s="155" t="n"/>
      <c r="F210" s="155" t="n"/>
      <c r="G210" s="155" t="n"/>
      <c r="H210" s="155" t="n"/>
      <c r="I210" s="155" t="n"/>
      <c r="J210" s="155" t="n"/>
      <c r="K210" s="155" t="n"/>
      <c r="L210" s="155" t="n"/>
      <c r="M210" s="155" t="n"/>
      <c r="N210" s="155" t="n"/>
      <c r="O210" s="155" t="n"/>
      <c r="P210" s="155" t="n"/>
      <c r="Q210" s="155" t="n"/>
      <c r="R210" s="155" t="n"/>
      <c r="S210" s="155" t="n"/>
      <c r="T210" s="156" t="n"/>
    </row>
    <row r="211">
      <c r="A211" s="23" t="n">
        <v>12</v>
      </c>
      <c r="B211" s="154" t="n"/>
      <c r="C211" s="155" t="n"/>
      <c r="D211" s="155" t="n"/>
      <c r="E211" s="155" t="n"/>
      <c r="F211" s="155" t="n"/>
      <c r="G211" s="155" t="n"/>
      <c r="H211" s="155" t="n"/>
      <c r="I211" s="155" t="n"/>
      <c r="J211" s="155" t="n"/>
      <c r="K211" s="155" t="n"/>
      <c r="L211" s="155" t="n"/>
      <c r="M211" s="155" t="n"/>
      <c r="N211" s="155" t="n"/>
      <c r="O211" s="155" t="n"/>
      <c r="P211" s="155" t="n"/>
      <c r="Q211" s="155" t="n"/>
      <c r="R211" s="155" t="n"/>
      <c r="S211" s="155" t="n"/>
      <c r="T211" s="156" t="n"/>
    </row>
    <row r="212">
      <c r="A212" s="23" t="n">
        <v>13</v>
      </c>
      <c r="B212" s="154" t="n"/>
      <c r="C212" s="155" t="n"/>
      <c r="D212" s="155" t="n"/>
      <c r="E212" s="155" t="n"/>
      <c r="F212" s="155" t="n"/>
      <c r="G212" s="155" t="n"/>
      <c r="H212" s="155" t="n"/>
      <c r="I212" s="155" t="n"/>
      <c r="J212" s="155" t="n"/>
      <c r="K212" s="155" t="n"/>
      <c r="L212" s="155" t="n"/>
      <c r="M212" s="155" t="n"/>
      <c r="N212" s="155" t="n"/>
      <c r="O212" s="155" t="n"/>
      <c r="P212" s="155" t="n"/>
      <c r="Q212" s="155" t="n"/>
      <c r="R212" s="155" t="n"/>
      <c r="S212" s="155" t="n"/>
      <c r="T212" s="156" t="n"/>
    </row>
    <row r="213">
      <c r="A213" s="23" t="n">
        <v>14</v>
      </c>
      <c r="B213" s="154" t="n"/>
      <c r="C213" s="155" t="n"/>
      <c r="D213" s="155" t="n"/>
      <c r="E213" s="155" t="n"/>
      <c r="F213" s="155" t="n"/>
      <c r="G213" s="155" t="n"/>
      <c r="H213" s="155" t="n"/>
      <c r="I213" s="155" t="n"/>
      <c r="J213" s="155" t="n"/>
      <c r="K213" s="155" t="n"/>
      <c r="L213" s="155" t="n"/>
      <c r="M213" s="155" t="n"/>
      <c r="N213" s="155" t="n"/>
      <c r="O213" s="155" t="n"/>
      <c r="P213" s="155" t="n"/>
      <c r="Q213" s="155" t="n"/>
      <c r="R213" s="155" t="n"/>
      <c r="S213" s="155" t="n"/>
      <c r="T213" s="156" t="n"/>
    </row>
    <row r="214">
      <c r="A214" s="23" t="n">
        <v>15</v>
      </c>
      <c r="B214" s="154" t="n"/>
      <c r="C214" s="155" t="n"/>
      <c r="D214" s="155" t="n"/>
      <c r="E214" s="155" t="n"/>
      <c r="F214" s="155" t="n"/>
      <c r="G214" s="155" t="n"/>
      <c r="H214" s="155" t="n"/>
      <c r="I214" s="155" t="n"/>
      <c r="J214" s="155" t="n"/>
      <c r="K214" s="155" t="n"/>
      <c r="L214" s="155" t="n"/>
      <c r="M214" s="155" t="n"/>
      <c r="N214" s="155" t="n"/>
      <c r="O214" s="155" t="n"/>
      <c r="P214" s="155" t="n"/>
      <c r="Q214" s="155" t="n"/>
      <c r="R214" s="155" t="n"/>
      <c r="S214" s="155" t="n"/>
      <c r="T214" s="156" t="n"/>
    </row>
    <row r="215">
      <c r="A215" s="23" t="n">
        <v>16</v>
      </c>
      <c r="B215" s="154" t="n"/>
      <c r="C215" s="155" t="n"/>
      <c r="D215" s="155" t="n"/>
      <c r="E215" s="155" t="n"/>
      <c r="F215" s="155" t="n"/>
      <c r="G215" s="155" t="n"/>
      <c r="H215" s="155" t="n"/>
      <c r="I215" s="155" t="n"/>
      <c r="J215" s="155" t="n"/>
      <c r="K215" s="155" t="n"/>
      <c r="L215" s="155" t="n"/>
      <c r="M215" s="155" t="n"/>
      <c r="N215" s="155" t="n"/>
      <c r="O215" s="155" t="n"/>
      <c r="P215" s="155" t="n"/>
      <c r="Q215" s="155" t="n"/>
      <c r="R215" s="155" t="n"/>
      <c r="S215" s="155" t="n"/>
      <c r="T215" s="156" t="n"/>
    </row>
    <row r="216">
      <c r="A216" s="23" t="n">
        <v>17</v>
      </c>
      <c r="B216" s="154" t="n"/>
      <c r="C216" s="155" t="n"/>
      <c r="D216" s="155" t="n"/>
      <c r="E216" s="155" t="n"/>
      <c r="F216" s="155" t="n"/>
      <c r="G216" s="155" t="n"/>
      <c r="H216" s="155" t="n"/>
      <c r="I216" s="155" t="n"/>
      <c r="J216" s="155" t="n"/>
      <c r="K216" s="155" t="n"/>
      <c r="L216" s="155" t="n"/>
      <c r="M216" s="155" t="n"/>
      <c r="N216" s="155" t="n"/>
      <c r="O216" s="155" t="n"/>
      <c r="P216" s="155" t="n"/>
      <c r="Q216" s="155" t="n"/>
      <c r="R216" s="155" t="n"/>
      <c r="S216" s="155" t="n"/>
      <c r="T216" s="156" t="n"/>
    </row>
    <row r="217">
      <c r="A217" s="23" t="n">
        <v>18</v>
      </c>
      <c r="B217" s="154" t="n"/>
      <c r="C217" s="155" t="n"/>
      <c r="D217" s="155" t="n"/>
      <c r="E217" s="155" t="n"/>
      <c r="F217" s="155" t="n"/>
      <c r="G217" s="155" t="n"/>
      <c r="H217" s="155" t="n"/>
      <c r="I217" s="155" t="n"/>
      <c r="J217" s="155" t="n"/>
      <c r="K217" s="155" t="n"/>
      <c r="L217" s="155" t="n"/>
      <c r="M217" s="155" t="n"/>
      <c r="N217" s="155" t="n"/>
      <c r="O217" s="155" t="n"/>
      <c r="P217" s="155" t="n"/>
      <c r="Q217" s="155" t="n"/>
      <c r="R217" s="155" t="n"/>
      <c r="S217" s="155" t="n"/>
      <c r="T217" s="156" t="n"/>
    </row>
    <row r="218">
      <c r="A218" s="23" t="n">
        <v>19</v>
      </c>
      <c r="B218" s="154" t="n"/>
      <c r="C218" s="155" t="n"/>
      <c r="D218" s="155" t="n"/>
      <c r="E218" s="155" t="n"/>
      <c r="F218" s="155" t="n"/>
      <c r="G218" s="155" t="n"/>
      <c r="H218" s="155" t="n"/>
      <c r="I218" s="155" t="n"/>
      <c r="J218" s="155" t="n"/>
      <c r="K218" s="155" t="n"/>
      <c r="L218" s="155" t="n"/>
      <c r="M218" s="155" t="n"/>
      <c r="N218" s="155" t="n"/>
      <c r="O218" s="155" t="n"/>
      <c r="P218" s="155" t="n"/>
      <c r="Q218" s="155" t="n"/>
      <c r="R218" s="155" t="n"/>
      <c r="S218" s="155" t="n"/>
      <c r="T218" s="156" t="n"/>
    </row>
    <row r="219">
      <c r="A219" s="23" t="n">
        <v>20</v>
      </c>
      <c r="B219" s="154" t="n"/>
      <c r="C219" s="155" t="n"/>
      <c r="D219" s="155" t="n"/>
      <c r="E219" s="155" t="n"/>
      <c r="F219" s="155" t="n"/>
      <c r="G219" s="155" t="n"/>
      <c r="H219" s="155" t="n"/>
      <c r="I219" s="155" t="n"/>
      <c r="J219" s="155" t="n"/>
      <c r="K219" s="155" t="n"/>
      <c r="L219" s="155" t="n"/>
      <c r="M219" s="155" t="n"/>
      <c r="N219" s="155" t="n"/>
      <c r="O219" s="155" t="n"/>
      <c r="P219" s="155" t="n"/>
      <c r="Q219" s="155" t="n"/>
      <c r="R219" s="155" t="n"/>
      <c r="S219" s="155" t="n"/>
      <c r="T219" s="156" t="n"/>
    </row>
    <row r="220">
      <c r="A220" s="23" t="n">
        <v>21</v>
      </c>
      <c r="B220" s="154" t="n"/>
      <c r="C220" s="155" t="n"/>
      <c r="D220" s="155" t="n"/>
      <c r="E220" s="155" t="n"/>
      <c r="F220" s="155" t="n"/>
      <c r="G220" s="155" t="n"/>
      <c r="H220" s="155" t="n"/>
      <c r="I220" s="155" t="n"/>
      <c r="J220" s="155" t="n"/>
      <c r="K220" s="155" t="n"/>
      <c r="L220" s="155" t="n"/>
      <c r="M220" s="155" t="n"/>
      <c r="N220" s="155" t="n"/>
      <c r="O220" s="155" t="n"/>
      <c r="P220" s="155" t="n"/>
      <c r="Q220" s="155" t="n"/>
      <c r="R220" s="155" t="n"/>
      <c r="S220" s="155" t="n"/>
      <c r="T220" s="156" t="n"/>
    </row>
    <row r="221">
      <c r="A221" s="23" t="n">
        <v>22</v>
      </c>
      <c r="B221" s="154" t="n"/>
      <c r="C221" s="155" t="n"/>
      <c r="D221" s="155" t="n"/>
      <c r="E221" s="155" t="n"/>
      <c r="F221" s="155" t="n"/>
      <c r="G221" s="155" t="n"/>
      <c r="H221" s="155" t="n"/>
      <c r="I221" s="155" t="n"/>
      <c r="J221" s="155" t="n"/>
      <c r="K221" s="155" t="n"/>
      <c r="L221" s="155" t="n"/>
      <c r="M221" s="155" t="n"/>
      <c r="N221" s="155" t="n"/>
      <c r="O221" s="155" t="n"/>
      <c r="P221" s="155" t="n"/>
      <c r="Q221" s="155" t="n"/>
      <c r="R221" s="155" t="n"/>
      <c r="S221" s="155" t="n"/>
      <c r="T221" s="156" t="n"/>
    </row>
    <row r="222">
      <c r="A222" s="23" t="n">
        <v>23</v>
      </c>
      <c r="B222" s="154" t="n"/>
      <c r="C222" s="155" t="n"/>
      <c r="D222" s="155" t="n"/>
      <c r="E222" s="155" t="n"/>
      <c r="F222" s="155" t="n"/>
      <c r="G222" s="155" t="n"/>
      <c r="H222" s="155" t="n"/>
      <c r="I222" s="155" t="n"/>
      <c r="J222" s="155" t="n"/>
      <c r="K222" s="155" t="n"/>
      <c r="L222" s="155" t="n"/>
      <c r="M222" s="155" t="n"/>
      <c r="N222" s="155" t="n"/>
      <c r="O222" s="155" t="n"/>
      <c r="P222" s="155" t="n"/>
      <c r="Q222" s="155" t="n"/>
      <c r="R222" s="155" t="n"/>
      <c r="S222" s="155" t="n"/>
      <c r="T222" s="156" t="n"/>
    </row>
    <row r="223">
      <c r="A223" s="23" t="n">
        <v>24</v>
      </c>
      <c r="B223" s="154" t="n"/>
      <c r="C223" s="155" t="n"/>
      <c r="D223" s="155" t="n"/>
      <c r="E223" s="155" t="n"/>
      <c r="F223" s="155" t="n"/>
      <c r="G223" s="155" t="n"/>
      <c r="H223" s="155" t="n"/>
      <c r="I223" s="155" t="n"/>
      <c r="J223" s="155" t="n"/>
      <c r="K223" s="155" t="n"/>
      <c r="L223" s="155" t="n"/>
      <c r="M223" s="155" t="n"/>
      <c r="N223" s="155" t="n"/>
      <c r="O223" s="155" t="n"/>
      <c r="P223" s="155" t="n"/>
      <c r="Q223" s="155" t="n"/>
      <c r="R223" s="155" t="n"/>
      <c r="S223" s="155" t="n"/>
      <c r="T223" s="156" t="n"/>
    </row>
    <row r="224">
      <c r="A224" s="23" t="n">
        <v>25</v>
      </c>
      <c r="B224" s="154" t="n"/>
      <c r="C224" s="155" t="n"/>
      <c r="D224" s="155" t="n"/>
      <c r="E224" s="155" t="n"/>
      <c r="F224" s="155" t="n"/>
      <c r="G224" s="155" t="n"/>
      <c r="H224" s="155" t="n"/>
      <c r="I224" s="155" t="n"/>
      <c r="J224" s="155" t="n"/>
      <c r="K224" s="155" t="n"/>
      <c r="L224" s="155" t="n"/>
      <c r="M224" s="155" t="n"/>
      <c r="N224" s="155" t="n"/>
      <c r="O224" s="155" t="n"/>
      <c r="P224" s="155" t="n"/>
      <c r="Q224" s="155" t="n"/>
      <c r="R224" s="155" t="n"/>
      <c r="S224" s="155" t="n"/>
      <c r="T224" s="156" t="n"/>
    </row>
    <row r="225">
      <c r="A225" s="23" t="n">
        <v>26</v>
      </c>
      <c r="B225" s="154" t="n"/>
      <c r="C225" s="155" t="n"/>
      <c r="D225" s="155" t="n"/>
      <c r="E225" s="155" t="n"/>
      <c r="F225" s="155" t="n"/>
      <c r="G225" s="155" t="n"/>
      <c r="H225" s="155" t="n"/>
      <c r="I225" s="155" t="n"/>
      <c r="J225" s="155" t="n"/>
      <c r="K225" s="155" t="n"/>
      <c r="L225" s="155" t="n"/>
      <c r="M225" s="155" t="n"/>
      <c r="N225" s="155" t="n"/>
      <c r="O225" s="155" t="n"/>
      <c r="P225" s="155" t="n"/>
      <c r="Q225" s="155" t="n"/>
      <c r="R225" s="155" t="n"/>
      <c r="S225" s="155" t="n"/>
      <c r="T225" s="156" t="n"/>
    </row>
    <row r="226">
      <c r="A226" s="23" t="n">
        <v>27</v>
      </c>
      <c r="B226" s="154" t="n"/>
      <c r="C226" s="155" t="n"/>
      <c r="D226" s="155" t="n"/>
      <c r="E226" s="155" t="n"/>
      <c r="F226" s="155" t="n"/>
      <c r="G226" s="155" t="n"/>
      <c r="H226" s="155" t="n"/>
      <c r="I226" s="155" t="n"/>
      <c r="J226" s="155" t="n"/>
      <c r="K226" s="155" t="n"/>
      <c r="L226" s="155" t="n"/>
      <c r="M226" s="155" t="n"/>
      <c r="N226" s="155" t="n"/>
      <c r="O226" s="155" t="n"/>
      <c r="P226" s="155" t="n"/>
      <c r="Q226" s="155" t="n"/>
      <c r="R226" s="155" t="n"/>
      <c r="S226" s="155" t="n"/>
      <c r="T226" s="156" t="n"/>
    </row>
    <row r="227">
      <c r="A227" s="23" t="n">
        <v>28</v>
      </c>
      <c r="B227" s="154" t="n"/>
      <c r="C227" s="155" t="n"/>
      <c r="D227" s="155" t="n"/>
      <c r="E227" s="155" t="n"/>
      <c r="F227" s="155" t="n"/>
      <c r="G227" s="155" t="n"/>
      <c r="H227" s="155" t="n"/>
      <c r="I227" s="155" t="n"/>
      <c r="J227" s="155" t="n"/>
      <c r="K227" s="155" t="n"/>
      <c r="L227" s="155" t="n"/>
      <c r="M227" s="155" t="n"/>
      <c r="N227" s="155" t="n"/>
      <c r="O227" s="155" t="n"/>
      <c r="P227" s="155" t="n"/>
      <c r="Q227" s="155" t="n"/>
      <c r="R227" s="155" t="n"/>
      <c r="S227" s="155" t="n"/>
      <c r="T227" s="156" t="n"/>
    </row>
    <row r="228">
      <c r="A228" s="23" t="n">
        <v>29</v>
      </c>
      <c r="B228" s="154" t="n"/>
      <c r="C228" s="155" t="n"/>
      <c r="D228" s="155" t="n"/>
      <c r="E228" s="155" t="n"/>
      <c r="F228" s="155" t="n"/>
      <c r="G228" s="155" t="n"/>
      <c r="H228" s="155" t="n"/>
      <c r="I228" s="155" t="n"/>
      <c r="J228" s="155" t="n"/>
      <c r="K228" s="155" t="n"/>
      <c r="L228" s="155" t="n"/>
      <c r="M228" s="155" t="n"/>
      <c r="N228" s="155" t="n"/>
      <c r="O228" s="155" t="n"/>
      <c r="P228" s="155" t="n"/>
      <c r="Q228" s="155" t="n"/>
      <c r="R228" s="155" t="n"/>
      <c r="S228" s="155" t="n"/>
      <c r="T228" s="156" t="n"/>
    </row>
    <row r="229">
      <c r="A229" s="23" t="n">
        <v>30</v>
      </c>
      <c r="B229" s="154" t="n"/>
      <c r="C229" s="155" t="n"/>
      <c r="D229" s="155" t="n"/>
      <c r="E229" s="155" t="n"/>
      <c r="F229" s="155" t="n"/>
      <c r="G229" s="155" t="n"/>
      <c r="H229" s="155" t="n"/>
      <c r="I229" s="155" t="n"/>
      <c r="J229" s="155" t="n"/>
      <c r="K229" s="155" t="n"/>
      <c r="L229" s="155" t="n"/>
      <c r="M229" s="155" t="n"/>
      <c r="N229" s="155" t="n"/>
      <c r="O229" s="155" t="n"/>
      <c r="P229" s="155" t="n"/>
      <c r="Q229" s="155" t="n"/>
      <c r="R229" s="155" t="n"/>
      <c r="S229" s="155" t="n"/>
      <c r="T229" s="156" t="n"/>
    </row>
    <row r="230">
      <c r="A230" s="23" t="n">
        <v>31</v>
      </c>
      <c r="B230" s="154" t="n"/>
      <c r="C230" s="155" t="n"/>
      <c r="D230" s="155" t="n"/>
      <c r="E230" s="155" t="n"/>
      <c r="F230" s="155" t="n"/>
      <c r="G230" s="155" t="n"/>
      <c r="H230" s="155" t="n"/>
      <c r="I230" s="155" t="n"/>
      <c r="J230" s="155" t="n"/>
      <c r="K230" s="155" t="n"/>
      <c r="L230" s="155" t="n"/>
      <c r="M230" s="155" t="n"/>
      <c r="N230" s="155" t="n"/>
      <c r="O230" s="155" t="n"/>
      <c r="P230" s="155" t="n"/>
      <c r="Q230" s="155" t="n"/>
      <c r="R230" s="155" t="n"/>
      <c r="S230" s="155" t="n"/>
      <c r="T230" s="156" t="n"/>
    </row>
    <row r="231">
      <c r="A231" s="23" t="n">
        <v>32</v>
      </c>
      <c r="B231" s="154" t="n"/>
      <c r="C231" s="155" t="n"/>
      <c r="D231" s="155" t="n"/>
      <c r="E231" s="155" t="n"/>
      <c r="F231" s="155" t="n"/>
      <c r="G231" s="155" t="n"/>
      <c r="H231" s="155" t="n"/>
      <c r="I231" s="155" t="n"/>
      <c r="J231" s="155" t="n"/>
      <c r="K231" s="155" t="n"/>
      <c r="L231" s="155" t="n"/>
      <c r="M231" s="155" t="n"/>
      <c r="N231" s="155" t="n"/>
      <c r="O231" s="155" t="n"/>
      <c r="P231" s="155" t="n"/>
      <c r="Q231" s="155" t="n"/>
      <c r="R231" s="155" t="n"/>
      <c r="S231" s="155" t="n"/>
      <c r="T231" s="156" t="n"/>
    </row>
    <row r="232">
      <c r="A232" s="23" t="n">
        <v>33</v>
      </c>
      <c r="B232" s="154" t="n"/>
      <c r="C232" s="155" t="n"/>
      <c r="D232" s="155" t="n"/>
      <c r="E232" s="155" t="n"/>
      <c r="F232" s="155" t="n"/>
      <c r="G232" s="155" t="n"/>
      <c r="H232" s="155" t="n"/>
      <c r="I232" s="155" t="n"/>
      <c r="J232" s="155" t="n"/>
      <c r="K232" s="155" t="n"/>
      <c r="L232" s="155" t="n"/>
      <c r="M232" s="155" t="n"/>
      <c r="N232" s="155" t="n"/>
      <c r="O232" s="155" t="n"/>
      <c r="P232" s="155" t="n"/>
      <c r="Q232" s="155" t="n"/>
      <c r="R232" s="155" t="n"/>
      <c r="S232" s="155" t="n"/>
      <c r="T232" s="156" t="n"/>
    </row>
    <row r="233">
      <c r="A233" s="23" t="n">
        <v>34</v>
      </c>
      <c r="B233" s="154" t="n"/>
      <c r="C233" s="155" t="n"/>
      <c r="D233" s="155" t="n"/>
      <c r="E233" s="155" t="n"/>
      <c r="F233" s="155" t="n"/>
      <c r="G233" s="155" t="n"/>
      <c r="H233" s="155" t="n"/>
      <c r="I233" s="155" t="n"/>
      <c r="J233" s="155" t="n"/>
      <c r="K233" s="155" t="n"/>
      <c r="L233" s="155" t="n"/>
      <c r="M233" s="155" t="n"/>
      <c r="N233" s="155" t="n"/>
      <c r="O233" s="155" t="n"/>
      <c r="P233" s="155" t="n"/>
      <c r="Q233" s="155" t="n"/>
      <c r="R233" s="155" t="n"/>
      <c r="S233" s="155" t="n"/>
      <c r="T233" s="156" t="n"/>
    </row>
    <row r="234">
      <c r="A234" s="23" t="n">
        <v>35</v>
      </c>
      <c r="B234" s="154" t="n"/>
      <c r="C234" s="155" t="n"/>
      <c r="D234" s="155" t="n"/>
      <c r="E234" s="155" t="n"/>
      <c r="F234" s="155" t="n"/>
      <c r="G234" s="155" t="n"/>
      <c r="H234" s="155" t="n"/>
      <c r="I234" s="155" t="n"/>
      <c r="J234" s="155" t="n"/>
      <c r="K234" s="155" t="n"/>
      <c r="L234" s="155" t="n"/>
      <c r="M234" s="155" t="n"/>
      <c r="N234" s="155" t="n"/>
      <c r="O234" s="155" t="n"/>
      <c r="P234" s="155" t="n"/>
      <c r="Q234" s="155" t="n"/>
      <c r="R234" s="155" t="n"/>
      <c r="S234" s="155" t="n"/>
      <c r="T234" s="156" t="n"/>
    </row>
    <row r="235">
      <c r="A235" s="23" t="n">
        <v>36</v>
      </c>
      <c r="B235" s="154" t="n"/>
      <c r="C235" s="155" t="n"/>
      <c r="D235" s="155" t="n"/>
      <c r="E235" s="155" t="n"/>
      <c r="F235" s="155" t="n"/>
      <c r="G235" s="155" t="n"/>
      <c r="H235" s="155" t="n"/>
      <c r="I235" s="155" t="n"/>
      <c r="J235" s="155" t="n"/>
      <c r="K235" s="155" t="n"/>
      <c r="L235" s="155" t="n"/>
      <c r="M235" s="155" t="n"/>
      <c r="N235" s="155" t="n"/>
      <c r="O235" s="155" t="n"/>
      <c r="P235" s="155" t="n"/>
      <c r="Q235" s="155" t="n"/>
      <c r="R235" s="155" t="n"/>
      <c r="S235" s="155" t="n"/>
      <c r="T235" s="156" t="n"/>
    </row>
    <row r="236">
      <c r="A236" s="23" t="n">
        <v>37</v>
      </c>
      <c r="B236" s="154" t="n"/>
      <c r="C236" s="155" t="n"/>
      <c r="D236" s="155" t="n"/>
      <c r="E236" s="155" t="n"/>
      <c r="F236" s="155" t="n"/>
      <c r="G236" s="155" t="n"/>
      <c r="H236" s="155" t="n"/>
      <c r="I236" s="155" t="n"/>
      <c r="J236" s="155" t="n"/>
      <c r="K236" s="155" t="n"/>
      <c r="L236" s="155" t="n"/>
      <c r="M236" s="155" t="n"/>
      <c r="N236" s="155" t="n"/>
      <c r="O236" s="155" t="n"/>
      <c r="P236" s="155" t="n"/>
      <c r="Q236" s="155" t="n"/>
      <c r="R236" s="155" t="n"/>
      <c r="S236" s="155" t="n"/>
      <c r="T236" s="156" t="n"/>
    </row>
    <row r="237">
      <c r="A237" s="23" t="n">
        <v>38</v>
      </c>
      <c r="B237" s="154" t="n"/>
      <c r="C237" s="155" t="n"/>
      <c r="D237" s="155" t="n"/>
      <c r="E237" s="155" t="n"/>
      <c r="F237" s="155" t="n"/>
      <c r="G237" s="155" t="n"/>
      <c r="H237" s="155" t="n"/>
      <c r="I237" s="155" t="n"/>
      <c r="J237" s="155" t="n"/>
      <c r="K237" s="155" t="n"/>
      <c r="L237" s="155" t="n"/>
      <c r="M237" s="155" t="n"/>
      <c r="N237" s="155" t="n"/>
      <c r="O237" s="155" t="n"/>
      <c r="P237" s="155" t="n"/>
      <c r="Q237" s="155" t="n"/>
      <c r="R237" s="155" t="n"/>
      <c r="S237" s="155" t="n"/>
      <c r="T237" s="156" t="n"/>
    </row>
    <row r="238">
      <c r="A238" s="23" t="n">
        <v>39</v>
      </c>
      <c r="B238" s="154" t="n"/>
      <c r="C238" s="155" t="n"/>
      <c r="D238" s="155" t="n"/>
      <c r="E238" s="155" t="n"/>
      <c r="F238" s="155" t="n"/>
      <c r="G238" s="155" t="n"/>
      <c r="H238" s="155" t="n"/>
      <c r="I238" s="155" t="n"/>
      <c r="J238" s="155" t="n"/>
      <c r="K238" s="155" t="n"/>
      <c r="L238" s="155" t="n"/>
      <c r="M238" s="155" t="n"/>
      <c r="N238" s="155" t="n"/>
      <c r="O238" s="155" t="n"/>
      <c r="P238" s="155" t="n"/>
      <c r="Q238" s="155" t="n"/>
      <c r="R238" s="155" t="n"/>
      <c r="S238" s="155" t="n"/>
      <c r="T238" s="156" t="n"/>
    </row>
    <row r="239">
      <c r="A239" s="23" t="n">
        <v>40</v>
      </c>
      <c r="B239" s="154" t="n"/>
      <c r="C239" s="155" t="n"/>
      <c r="D239" s="155" t="n"/>
      <c r="E239" s="155" t="n"/>
      <c r="F239" s="155" t="n"/>
      <c r="G239" s="155" t="n"/>
      <c r="H239" s="155" t="n"/>
      <c r="I239" s="155" t="n"/>
      <c r="J239" s="155" t="n"/>
      <c r="K239" s="155" t="n"/>
      <c r="L239" s="155" t="n"/>
      <c r="M239" s="155" t="n"/>
      <c r="N239" s="155" t="n"/>
      <c r="O239" s="155" t="n"/>
      <c r="P239" s="155" t="n"/>
      <c r="Q239" s="155" t="n"/>
      <c r="R239" s="155" t="n"/>
      <c r="S239" s="155" t="n"/>
      <c r="T239" s="156" t="n"/>
    </row>
    <row r="240">
      <c r="A240" s="23" t="n">
        <v>41</v>
      </c>
      <c r="B240" s="154" t="n"/>
      <c r="C240" s="155" t="n"/>
      <c r="D240" s="155" t="n"/>
      <c r="E240" s="155" t="n"/>
      <c r="F240" s="155" t="n"/>
      <c r="G240" s="155" t="n"/>
      <c r="H240" s="155" t="n"/>
      <c r="I240" s="155" t="n"/>
      <c r="J240" s="155" t="n"/>
      <c r="K240" s="155" t="n"/>
      <c r="L240" s="155" t="n"/>
      <c r="M240" s="155" t="n"/>
      <c r="N240" s="155" t="n"/>
      <c r="O240" s="155" t="n"/>
      <c r="P240" s="155" t="n"/>
      <c r="Q240" s="155" t="n"/>
      <c r="R240" s="155" t="n"/>
      <c r="S240" s="155" t="n"/>
      <c r="T240" s="156" t="n"/>
    </row>
    <row r="241">
      <c r="A241" s="23" t="n">
        <v>42</v>
      </c>
      <c r="B241" s="154" t="n"/>
      <c r="C241" s="155" t="n"/>
      <c r="D241" s="155" t="n"/>
      <c r="E241" s="155" t="n"/>
      <c r="F241" s="155" t="n"/>
      <c r="G241" s="155" t="n"/>
      <c r="H241" s="155" t="n"/>
      <c r="I241" s="155" t="n"/>
      <c r="J241" s="155" t="n"/>
      <c r="K241" s="155" t="n"/>
      <c r="L241" s="155" t="n"/>
      <c r="M241" s="155" t="n"/>
      <c r="N241" s="155" t="n"/>
      <c r="O241" s="155" t="n"/>
      <c r="P241" s="155" t="n"/>
      <c r="Q241" s="155" t="n"/>
      <c r="R241" s="155" t="n"/>
      <c r="S241" s="155" t="n"/>
      <c r="T241" s="156" t="n"/>
    </row>
    <row r="242">
      <c r="A242" s="23" t="n">
        <v>43</v>
      </c>
      <c r="B242" s="154" t="n"/>
      <c r="C242" s="155" t="n"/>
      <c r="D242" s="155" t="n"/>
      <c r="E242" s="155" t="n"/>
      <c r="F242" s="155" t="n"/>
      <c r="G242" s="155" t="n"/>
      <c r="H242" s="155" t="n"/>
      <c r="I242" s="155" t="n"/>
      <c r="J242" s="155" t="n"/>
      <c r="K242" s="155" t="n"/>
      <c r="L242" s="155" t="n"/>
      <c r="M242" s="155" t="n"/>
      <c r="N242" s="155" t="n"/>
      <c r="O242" s="155" t="n"/>
      <c r="P242" s="155" t="n"/>
      <c r="Q242" s="155" t="n"/>
      <c r="R242" s="155" t="n"/>
      <c r="S242" s="155" t="n"/>
      <c r="T242" s="156" t="n"/>
    </row>
    <row r="243">
      <c r="A243" s="23" t="n">
        <v>44</v>
      </c>
      <c r="B243" s="154" t="n"/>
      <c r="C243" s="155" t="n"/>
      <c r="D243" s="155" t="n"/>
      <c r="E243" s="155" t="n"/>
      <c r="F243" s="155" t="n"/>
      <c r="G243" s="155" t="n"/>
      <c r="H243" s="155" t="n"/>
      <c r="I243" s="155" t="n"/>
      <c r="J243" s="155" t="n"/>
      <c r="K243" s="155" t="n"/>
      <c r="L243" s="155" t="n"/>
      <c r="M243" s="155" t="n"/>
      <c r="N243" s="155" t="n"/>
      <c r="O243" s="155" t="n"/>
      <c r="P243" s="155" t="n"/>
      <c r="Q243" s="155" t="n"/>
      <c r="R243" s="155" t="n"/>
      <c r="S243" s="155" t="n"/>
      <c r="T243" s="156" t="n"/>
    </row>
    <row r="244">
      <c r="A244" s="23" t="n">
        <v>45</v>
      </c>
      <c r="B244" s="154" t="n"/>
      <c r="C244" s="155" t="n"/>
      <c r="D244" s="155" t="n"/>
      <c r="E244" s="155" t="n"/>
      <c r="F244" s="155" t="n"/>
      <c r="G244" s="155" t="n"/>
      <c r="H244" s="155" t="n"/>
      <c r="I244" s="155" t="n"/>
      <c r="J244" s="155" t="n"/>
      <c r="K244" s="155" t="n"/>
      <c r="L244" s="155" t="n"/>
      <c r="M244" s="155" t="n"/>
      <c r="N244" s="155" t="n"/>
      <c r="O244" s="155" t="n"/>
      <c r="P244" s="155" t="n"/>
      <c r="Q244" s="155" t="n"/>
      <c r="R244" s="155" t="n"/>
      <c r="S244" s="155" t="n"/>
      <c r="T244" s="156" t="n"/>
    </row>
    <row r="245">
      <c r="A245" s="23" t="n">
        <v>46</v>
      </c>
      <c r="B245" s="154" t="n"/>
      <c r="C245" s="155" t="n"/>
      <c r="D245" s="155" t="n"/>
      <c r="E245" s="155" t="n"/>
      <c r="F245" s="155" t="n"/>
      <c r="G245" s="155" t="n"/>
      <c r="H245" s="155" t="n"/>
      <c r="I245" s="155" t="n"/>
      <c r="J245" s="155" t="n"/>
      <c r="K245" s="155" t="n"/>
      <c r="L245" s="155" t="n"/>
      <c r="M245" s="155" t="n"/>
      <c r="N245" s="155" t="n"/>
      <c r="O245" s="155" t="n"/>
      <c r="P245" s="155" t="n"/>
      <c r="Q245" s="155" t="n"/>
      <c r="R245" s="155" t="n"/>
      <c r="S245" s="155" t="n"/>
      <c r="T245" s="156" t="n"/>
    </row>
    <row r="246">
      <c r="A246" s="23" t="n">
        <v>47</v>
      </c>
      <c r="B246" s="154" t="n"/>
      <c r="C246" s="155" t="n"/>
      <c r="D246" s="155" t="n"/>
      <c r="E246" s="155" t="n"/>
      <c r="F246" s="155" t="n"/>
      <c r="G246" s="155" t="n"/>
      <c r="H246" s="155" t="n"/>
      <c r="I246" s="155" t="n"/>
      <c r="J246" s="155" t="n"/>
      <c r="K246" s="155" t="n"/>
      <c r="L246" s="155" t="n"/>
      <c r="M246" s="155" t="n"/>
      <c r="N246" s="155" t="n"/>
      <c r="O246" s="155" t="n"/>
      <c r="P246" s="155" t="n"/>
      <c r="Q246" s="155" t="n"/>
      <c r="R246" s="155" t="n"/>
      <c r="S246" s="155" t="n"/>
      <c r="T246" s="156" t="n"/>
    </row>
    <row r="247">
      <c r="A247" s="23" t="n">
        <v>48</v>
      </c>
      <c r="B247" s="154" t="n"/>
      <c r="C247" s="155" t="n"/>
      <c r="D247" s="155" t="n"/>
      <c r="E247" s="155" t="n"/>
      <c r="F247" s="155" t="n"/>
      <c r="G247" s="155" t="n"/>
      <c r="H247" s="155" t="n"/>
      <c r="I247" s="155" t="n"/>
      <c r="J247" s="155" t="n"/>
      <c r="K247" s="155" t="n"/>
      <c r="L247" s="155" t="n"/>
      <c r="M247" s="155" t="n"/>
      <c r="N247" s="155" t="n"/>
      <c r="O247" s="155" t="n"/>
      <c r="P247" s="155" t="n"/>
      <c r="Q247" s="155" t="n"/>
      <c r="R247" s="155" t="n"/>
      <c r="S247" s="155" t="n"/>
      <c r="T247" s="156" t="n"/>
    </row>
    <row r="248">
      <c r="A248" s="23" t="n">
        <v>49</v>
      </c>
      <c r="B248" s="154" t="n"/>
      <c r="C248" s="155" t="n"/>
      <c r="D248" s="155" t="n"/>
      <c r="E248" s="155" t="n"/>
      <c r="F248" s="155" t="n"/>
      <c r="G248" s="155" t="n"/>
      <c r="H248" s="155" t="n"/>
      <c r="I248" s="155" t="n"/>
      <c r="J248" s="155" t="n"/>
      <c r="K248" s="155" t="n"/>
      <c r="L248" s="155" t="n"/>
      <c r="M248" s="155" t="n"/>
      <c r="N248" s="155" t="n"/>
      <c r="O248" s="155" t="n"/>
      <c r="P248" s="155" t="n"/>
      <c r="Q248" s="155" t="n"/>
      <c r="R248" s="155" t="n"/>
      <c r="S248" s="155" t="n"/>
      <c r="T248" s="156" t="n"/>
    </row>
    <row r="249">
      <c r="A249" s="23" t="n">
        <v>50</v>
      </c>
      <c r="B249" s="154" t="n"/>
      <c r="C249" s="155" t="n"/>
      <c r="D249" s="155" t="n"/>
      <c r="E249" s="155" t="n"/>
      <c r="F249" s="155" t="n"/>
      <c r="G249" s="155" t="n"/>
      <c r="H249" s="155" t="n"/>
      <c r="I249" s="155" t="n"/>
      <c r="J249" s="155" t="n"/>
      <c r="K249" s="155" t="n"/>
      <c r="L249" s="155" t="n"/>
      <c r="M249" s="155" t="n"/>
      <c r="N249" s="155" t="n"/>
      <c r="O249" s="155" t="n"/>
      <c r="P249" s="155" t="n"/>
      <c r="Q249" s="155" t="n"/>
      <c r="R249" s="155" t="n"/>
      <c r="S249" s="155" t="n"/>
      <c r="T249" s="156" t="n"/>
    </row>
    <row r="250">
      <c r="A250" s="23" t="n">
        <v>51</v>
      </c>
      <c r="B250" s="154" t="n"/>
      <c r="C250" s="155" t="n"/>
      <c r="D250" s="155" t="n"/>
      <c r="E250" s="155" t="n"/>
      <c r="F250" s="155" t="n"/>
      <c r="G250" s="155" t="n"/>
      <c r="H250" s="155" t="n"/>
      <c r="I250" s="155" t="n"/>
      <c r="J250" s="155" t="n"/>
      <c r="K250" s="155" t="n"/>
      <c r="L250" s="155" t="n"/>
      <c r="M250" s="155" t="n"/>
      <c r="N250" s="155" t="n"/>
      <c r="O250" s="155" t="n"/>
      <c r="P250" s="155" t="n"/>
      <c r="Q250" s="155" t="n"/>
      <c r="R250" s="155" t="n"/>
      <c r="S250" s="155" t="n"/>
      <c r="T250" s="156" t="n"/>
    </row>
    <row r="251">
      <c r="A251" s="23" t="n">
        <v>52</v>
      </c>
      <c r="B251" s="154" t="n"/>
      <c r="C251" s="155" t="n"/>
      <c r="D251" s="155" t="n"/>
      <c r="E251" s="155" t="n"/>
      <c r="F251" s="155" t="n"/>
      <c r="G251" s="155" t="n"/>
      <c r="H251" s="155" t="n"/>
      <c r="I251" s="155" t="n"/>
      <c r="J251" s="155" t="n"/>
      <c r="K251" s="155" t="n"/>
      <c r="L251" s="155" t="n"/>
      <c r="M251" s="155" t="n"/>
      <c r="N251" s="155" t="n"/>
      <c r="O251" s="155" t="n"/>
      <c r="P251" s="155" t="n"/>
      <c r="Q251" s="155" t="n"/>
      <c r="R251" s="155" t="n"/>
      <c r="S251" s="155" t="n"/>
      <c r="T251" s="156" t="n"/>
    </row>
    <row r="252">
      <c r="A252" s="23" t="n">
        <v>53</v>
      </c>
      <c r="B252" s="154" t="n"/>
      <c r="C252" s="155" t="n"/>
      <c r="D252" s="155" t="n"/>
      <c r="E252" s="155" t="n"/>
      <c r="F252" s="155" t="n"/>
      <c r="G252" s="155" t="n"/>
      <c r="H252" s="155" t="n"/>
      <c r="I252" s="155" t="n"/>
      <c r="J252" s="155" t="n"/>
      <c r="K252" s="155" t="n"/>
      <c r="L252" s="155" t="n"/>
      <c r="M252" s="155" t="n"/>
      <c r="N252" s="155" t="n"/>
      <c r="O252" s="155" t="n"/>
      <c r="P252" s="155" t="n"/>
      <c r="Q252" s="155" t="n"/>
      <c r="R252" s="155" t="n"/>
      <c r="S252" s="155" t="n"/>
      <c r="T252" s="156" t="n"/>
    </row>
    <row r="253">
      <c r="A253" s="23" t="n">
        <v>54</v>
      </c>
      <c r="B253" s="154" t="n"/>
      <c r="C253" s="155" t="n"/>
      <c r="D253" s="155" t="n"/>
      <c r="E253" s="155" t="n"/>
      <c r="F253" s="155" t="n"/>
      <c r="G253" s="155" t="n"/>
      <c r="H253" s="155" t="n"/>
      <c r="I253" s="155" t="n"/>
      <c r="J253" s="155" t="n"/>
      <c r="K253" s="155" t="n"/>
      <c r="L253" s="155" t="n"/>
      <c r="M253" s="155" t="n"/>
      <c r="N253" s="155" t="n"/>
      <c r="O253" s="155" t="n"/>
      <c r="P253" s="155" t="n"/>
      <c r="Q253" s="155" t="n"/>
      <c r="R253" s="155" t="n"/>
      <c r="S253" s="155" t="n"/>
      <c r="T253" s="156" t="n"/>
    </row>
    <row r="254">
      <c r="A254" s="23" t="n">
        <v>55</v>
      </c>
      <c r="B254" s="154" t="n"/>
      <c r="C254" s="155" t="n"/>
      <c r="D254" s="155" t="n"/>
      <c r="E254" s="155" t="n"/>
      <c r="F254" s="155" t="n"/>
      <c r="G254" s="155" t="n"/>
      <c r="H254" s="155" t="n"/>
      <c r="I254" s="155" t="n"/>
      <c r="J254" s="155" t="n"/>
      <c r="K254" s="155" t="n"/>
      <c r="L254" s="155" t="n"/>
      <c r="M254" s="155" t="n"/>
      <c r="N254" s="155" t="n"/>
      <c r="O254" s="155" t="n"/>
      <c r="P254" s="155" t="n"/>
      <c r="Q254" s="155" t="n"/>
      <c r="R254" s="155" t="n"/>
      <c r="S254" s="155" t="n"/>
      <c r="T254" s="156" t="n"/>
    </row>
    <row r="255">
      <c r="A255" s="23" t="n">
        <v>56</v>
      </c>
      <c r="B255" s="154" t="n"/>
      <c r="C255" s="155" t="n"/>
      <c r="D255" s="155" t="n"/>
      <c r="E255" s="155" t="n"/>
      <c r="F255" s="155" t="n"/>
      <c r="G255" s="155" t="n"/>
      <c r="H255" s="155" t="n"/>
      <c r="I255" s="155" t="n"/>
      <c r="J255" s="155" t="n"/>
      <c r="K255" s="155" t="n"/>
      <c r="L255" s="155" t="n"/>
      <c r="M255" s="155" t="n"/>
      <c r="N255" s="155" t="n"/>
      <c r="O255" s="155" t="n"/>
      <c r="P255" s="155" t="n"/>
      <c r="Q255" s="155" t="n"/>
      <c r="R255" s="155" t="n"/>
      <c r="S255" s="155" t="n"/>
      <c r="T255" s="156" t="n"/>
    </row>
    <row r="256">
      <c r="A256" s="23" t="n">
        <v>57</v>
      </c>
      <c r="B256" s="154" t="n"/>
      <c r="C256" s="155" t="n"/>
      <c r="D256" s="155" t="n"/>
      <c r="E256" s="155" t="n"/>
      <c r="F256" s="155" t="n"/>
      <c r="G256" s="155" t="n"/>
      <c r="H256" s="155" t="n"/>
      <c r="I256" s="155" t="n"/>
      <c r="J256" s="155" t="n"/>
      <c r="K256" s="155" t="n"/>
      <c r="L256" s="155" t="n"/>
      <c r="M256" s="155" t="n"/>
      <c r="N256" s="155" t="n"/>
      <c r="O256" s="155" t="n"/>
      <c r="P256" s="155" t="n"/>
      <c r="Q256" s="155" t="n"/>
      <c r="R256" s="155" t="n"/>
      <c r="S256" s="155" t="n"/>
      <c r="T256" s="156" t="n"/>
    </row>
    <row r="257">
      <c r="A257" s="23" t="n">
        <v>58</v>
      </c>
      <c r="B257" s="154" t="n"/>
      <c r="C257" s="155" t="n"/>
      <c r="D257" s="155" t="n"/>
      <c r="E257" s="155" t="n"/>
      <c r="F257" s="155" t="n"/>
      <c r="G257" s="155" t="n"/>
      <c r="H257" s="155" t="n"/>
      <c r="I257" s="155" t="n"/>
      <c r="J257" s="155" t="n"/>
      <c r="K257" s="155" t="n"/>
      <c r="L257" s="155" t="n"/>
      <c r="M257" s="155" t="n"/>
      <c r="N257" s="155" t="n"/>
      <c r="O257" s="155" t="n"/>
      <c r="P257" s="155" t="n"/>
      <c r="Q257" s="155" t="n"/>
      <c r="R257" s="155" t="n"/>
      <c r="S257" s="155" t="n"/>
      <c r="T257" s="156" t="n"/>
    </row>
    <row r="258">
      <c r="A258" s="23" t="n">
        <v>59</v>
      </c>
      <c r="B258" s="154" t="n"/>
      <c r="C258" s="155" t="n"/>
      <c r="D258" s="155" t="n"/>
      <c r="E258" s="155" t="n"/>
      <c r="F258" s="155" t="n"/>
      <c r="G258" s="155" t="n"/>
      <c r="H258" s="155" t="n"/>
      <c r="I258" s="155" t="n"/>
      <c r="J258" s="155" t="n"/>
      <c r="K258" s="155" t="n"/>
      <c r="L258" s="155" t="n"/>
      <c r="M258" s="155" t="n"/>
      <c r="N258" s="155" t="n"/>
      <c r="O258" s="155" t="n"/>
      <c r="P258" s="155" t="n"/>
      <c r="Q258" s="155" t="n"/>
      <c r="R258" s="155" t="n"/>
      <c r="S258" s="155" t="n"/>
      <c r="T258" s="156" t="n"/>
    </row>
    <row r="259">
      <c r="A259" s="23" t="n">
        <v>60</v>
      </c>
      <c r="B259" s="154" t="n"/>
      <c r="C259" s="155" t="n"/>
      <c r="D259" s="155" t="n"/>
      <c r="E259" s="155" t="n"/>
      <c r="F259" s="155" t="n"/>
      <c r="G259" s="155" t="n"/>
      <c r="H259" s="155" t="n"/>
      <c r="I259" s="155" t="n"/>
      <c r="J259" s="155" t="n"/>
      <c r="K259" s="155" t="n"/>
      <c r="L259" s="155" t="n"/>
      <c r="M259" s="155" t="n"/>
      <c r="N259" s="155" t="n"/>
      <c r="O259" s="155" t="n"/>
      <c r="P259" s="155" t="n"/>
      <c r="Q259" s="155" t="n"/>
      <c r="R259" s="155" t="n"/>
      <c r="S259" s="155" t="n"/>
      <c r="T259" s="156" t="n"/>
    </row>
    <row r="260"/>
    <row r="261"/>
    <row r="262">
      <c r="A262" s="111" t="inlineStr">
        <is>
          <t>Tier 5: Solar inverter + lithium (~3 kWp / 10 kWh)</t>
        </is>
      </c>
    </row>
    <row r="263" ht="42" customHeight="1">
      <c r="A263" s="40" t="inlineStr">
        <is>
          <t>Obs #</t>
        </is>
      </c>
      <c r="B263" s="40" t="inlineStr">
        <is>
          <t>Period end</t>
        </is>
      </c>
      <c r="C263" s="40" t="inlineStr">
        <is>
          <t>Originations (units)</t>
        </is>
      </c>
      <c r="D263" s="40" t="inlineStr">
        <is>
          <t>Gross receivables</t>
        </is>
      </c>
      <c r="E263" s="40" t="inlineStr">
        <is>
          <t>Current</t>
        </is>
      </c>
      <c r="F263" s="40" t="inlineStr">
        <is>
          <t>1-30 DPD</t>
        </is>
      </c>
      <c r="G263" s="40" t="inlineStr">
        <is>
          <t>31-60 DPD</t>
        </is>
      </c>
      <c r="H263" s="40" t="inlineStr">
        <is>
          <t>61-90 DPD</t>
        </is>
      </c>
      <c r="I263" s="40" t="inlineStr">
        <is>
          <t>91-180 DPD</t>
        </is>
      </c>
      <c r="J263" s="40" t="inlineStr">
        <is>
          <t>180+ DPD</t>
        </is>
      </c>
      <c r="K263" s="40" t="inlineStr">
        <is>
          <t>Default EAD (stock beyond default definition)</t>
        </is>
      </c>
      <c r="L263" s="40" t="inlineStr">
        <is>
          <t>Repossessions (units)</t>
        </is>
      </c>
      <c r="M263" s="40" t="inlineStr">
        <is>
          <t>Gross resale proceeds</t>
        </is>
      </c>
      <c r="N263" s="40" t="inlineStr">
        <is>
          <t>Recovery costs</t>
        </is>
      </c>
      <c r="O263" s="40" t="inlineStr">
        <is>
          <t>Cures (accounts)</t>
        </is>
      </c>
      <c r="P263" s="40" t="inlineStr">
        <is>
          <t>Write-offs</t>
        </is>
      </c>
      <c r="Q263" s="40" t="inlineStr">
        <is>
          <t>Collections</t>
        </is>
      </c>
      <c r="R263" s="40" t="inlineStr">
        <is>
          <t>Instalments due</t>
        </is>
      </c>
      <c r="S263" s="40" t="inlineStr">
        <is>
          <t>Ownership events (unlocks)</t>
        </is>
      </c>
      <c r="T263" s="40" t="inlineStr">
        <is>
          <t>Notes</t>
        </is>
      </c>
    </row>
    <row r="264">
      <c r="A264" s="23" t="n">
        <v>1</v>
      </c>
      <c r="B264" s="154" t="n"/>
      <c r="C264" s="155" t="n"/>
      <c r="D264" s="155" t="n"/>
      <c r="E264" s="155" t="n"/>
      <c r="F264" s="155" t="n"/>
      <c r="G264" s="155" t="n"/>
      <c r="H264" s="155" t="n"/>
      <c r="I264" s="155" t="n"/>
      <c r="J264" s="155" t="n"/>
      <c r="K264" s="155" t="n"/>
      <c r="L264" s="155" t="n"/>
      <c r="M264" s="155" t="n"/>
      <c r="N264" s="155" t="n"/>
      <c r="O264" s="155" t="n"/>
      <c r="P264" s="155" t="n"/>
      <c r="Q264" s="155" t="n"/>
      <c r="R264" s="155" t="n"/>
      <c r="S264" s="155" t="n"/>
      <c r="T264" s="156" t="n"/>
    </row>
    <row r="265">
      <c r="A265" s="23" t="n">
        <v>2</v>
      </c>
      <c r="B265" s="154" t="n"/>
      <c r="C265" s="155" t="n"/>
      <c r="D265" s="155" t="n"/>
      <c r="E265" s="155" t="n"/>
      <c r="F265" s="155" t="n"/>
      <c r="G265" s="155" t="n"/>
      <c r="H265" s="155" t="n"/>
      <c r="I265" s="155" t="n"/>
      <c r="J265" s="155" t="n"/>
      <c r="K265" s="155" t="n"/>
      <c r="L265" s="155" t="n"/>
      <c r="M265" s="155" t="n"/>
      <c r="N265" s="155" t="n"/>
      <c r="O265" s="155" t="n"/>
      <c r="P265" s="155" t="n"/>
      <c r="Q265" s="155" t="n"/>
      <c r="R265" s="155" t="n"/>
      <c r="S265" s="155" t="n"/>
      <c r="T265" s="156" t="n"/>
    </row>
    <row r="266">
      <c r="A266" s="23" t="n">
        <v>3</v>
      </c>
      <c r="B266" s="154" t="n"/>
      <c r="C266" s="155" t="n"/>
      <c r="D266" s="155" t="n"/>
      <c r="E266" s="155" t="n"/>
      <c r="F266" s="155" t="n"/>
      <c r="G266" s="155" t="n"/>
      <c r="H266" s="155" t="n"/>
      <c r="I266" s="155" t="n"/>
      <c r="J266" s="155" t="n"/>
      <c r="K266" s="155" t="n"/>
      <c r="L266" s="155" t="n"/>
      <c r="M266" s="155" t="n"/>
      <c r="N266" s="155" t="n"/>
      <c r="O266" s="155" t="n"/>
      <c r="P266" s="155" t="n"/>
      <c r="Q266" s="155" t="n"/>
      <c r="R266" s="155" t="n"/>
      <c r="S266" s="155" t="n"/>
      <c r="T266" s="156" t="n"/>
    </row>
    <row r="267">
      <c r="A267" s="23" t="n">
        <v>4</v>
      </c>
      <c r="B267" s="154" t="n"/>
      <c r="C267" s="155" t="n"/>
      <c r="D267" s="155" t="n"/>
      <c r="E267" s="155" t="n"/>
      <c r="F267" s="155" t="n"/>
      <c r="G267" s="155" t="n"/>
      <c r="H267" s="155" t="n"/>
      <c r="I267" s="155" t="n"/>
      <c r="J267" s="155" t="n"/>
      <c r="K267" s="155" t="n"/>
      <c r="L267" s="155" t="n"/>
      <c r="M267" s="155" t="n"/>
      <c r="N267" s="155" t="n"/>
      <c r="O267" s="155" t="n"/>
      <c r="P267" s="155" t="n"/>
      <c r="Q267" s="155" t="n"/>
      <c r="R267" s="155" t="n"/>
      <c r="S267" s="155" t="n"/>
      <c r="T267" s="156" t="n"/>
    </row>
    <row r="268">
      <c r="A268" s="23" t="n">
        <v>5</v>
      </c>
      <c r="B268" s="154" t="n"/>
      <c r="C268" s="155" t="n"/>
      <c r="D268" s="155" t="n"/>
      <c r="E268" s="155" t="n"/>
      <c r="F268" s="155" t="n"/>
      <c r="G268" s="155" t="n"/>
      <c r="H268" s="155" t="n"/>
      <c r="I268" s="155" t="n"/>
      <c r="J268" s="155" t="n"/>
      <c r="K268" s="155" t="n"/>
      <c r="L268" s="155" t="n"/>
      <c r="M268" s="155" t="n"/>
      <c r="N268" s="155" t="n"/>
      <c r="O268" s="155" t="n"/>
      <c r="P268" s="155" t="n"/>
      <c r="Q268" s="155" t="n"/>
      <c r="R268" s="155" t="n"/>
      <c r="S268" s="155" t="n"/>
      <c r="T268" s="156" t="n"/>
    </row>
    <row r="269">
      <c r="A269" s="23" t="n">
        <v>6</v>
      </c>
      <c r="B269" s="154" t="n"/>
      <c r="C269" s="155" t="n"/>
      <c r="D269" s="155" t="n"/>
      <c r="E269" s="155" t="n"/>
      <c r="F269" s="155" t="n"/>
      <c r="G269" s="155" t="n"/>
      <c r="H269" s="155" t="n"/>
      <c r="I269" s="155" t="n"/>
      <c r="J269" s="155" t="n"/>
      <c r="K269" s="155" t="n"/>
      <c r="L269" s="155" t="n"/>
      <c r="M269" s="155" t="n"/>
      <c r="N269" s="155" t="n"/>
      <c r="O269" s="155" t="n"/>
      <c r="P269" s="155" t="n"/>
      <c r="Q269" s="155" t="n"/>
      <c r="R269" s="155" t="n"/>
      <c r="S269" s="155" t="n"/>
      <c r="T269" s="156" t="n"/>
    </row>
    <row r="270">
      <c r="A270" s="23" t="n">
        <v>7</v>
      </c>
      <c r="B270" s="154" t="n"/>
      <c r="C270" s="155" t="n"/>
      <c r="D270" s="155" t="n"/>
      <c r="E270" s="155" t="n"/>
      <c r="F270" s="155" t="n"/>
      <c r="G270" s="155" t="n"/>
      <c r="H270" s="155" t="n"/>
      <c r="I270" s="155" t="n"/>
      <c r="J270" s="155" t="n"/>
      <c r="K270" s="155" t="n"/>
      <c r="L270" s="155" t="n"/>
      <c r="M270" s="155" t="n"/>
      <c r="N270" s="155" t="n"/>
      <c r="O270" s="155" t="n"/>
      <c r="P270" s="155" t="n"/>
      <c r="Q270" s="155" t="n"/>
      <c r="R270" s="155" t="n"/>
      <c r="S270" s="155" t="n"/>
      <c r="T270" s="156" t="n"/>
    </row>
    <row r="271">
      <c r="A271" s="23" t="n">
        <v>8</v>
      </c>
      <c r="B271" s="154" t="n"/>
      <c r="C271" s="155" t="n"/>
      <c r="D271" s="155" t="n"/>
      <c r="E271" s="155" t="n"/>
      <c r="F271" s="155" t="n"/>
      <c r="G271" s="155" t="n"/>
      <c r="H271" s="155" t="n"/>
      <c r="I271" s="155" t="n"/>
      <c r="J271" s="155" t="n"/>
      <c r="K271" s="155" t="n"/>
      <c r="L271" s="155" t="n"/>
      <c r="M271" s="155" t="n"/>
      <c r="N271" s="155" t="n"/>
      <c r="O271" s="155" t="n"/>
      <c r="P271" s="155" t="n"/>
      <c r="Q271" s="155" t="n"/>
      <c r="R271" s="155" t="n"/>
      <c r="S271" s="155" t="n"/>
      <c r="T271" s="156" t="n"/>
    </row>
    <row r="272">
      <c r="A272" s="23" t="n">
        <v>9</v>
      </c>
      <c r="B272" s="154" t="n"/>
      <c r="C272" s="155" t="n"/>
      <c r="D272" s="155" t="n"/>
      <c r="E272" s="155" t="n"/>
      <c r="F272" s="155" t="n"/>
      <c r="G272" s="155" t="n"/>
      <c r="H272" s="155" t="n"/>
      <c r="I272" s="155" t="n"/>
      <c r="J272" s="155" t="n"/>
      <c r="K272" s="155" t="n"/>
      <c r="L272" s="155" t="n"/>
      <c r="M272" s="155" t="n"/>
      <c r="N272" s="155" t="n"/>
      <c r="O272" s="155" t="n"/>
      <c r="P272" s="155" t="n"/>
      <c r="Q272" s="155" t="n"/>
      <c r="R272" s="155" t="n"/>
      <c r="S272" s="155" t="n"/>
      <c r="T272" s="156" t="n"/>
    </row>
    <row r="273">
      <c r="A273" s="23" t="n">
        <v>10</v>
      </c>
      <c r="B273" s="154" t="n"/>
      <c r="C273" s="155" t="n"/>
      <c r="D273" s="155" t="n"/>
      <c r="E273" s="155" t="n"/>
      <c r="F273" s="155" t="n"/>
      <c r="G273" s="155" t="n"/>
      <c r="H273" s="155" t="n"/>
      <c r="I273" s="155" t="n"/>
      <c r="J273" s="155" t="n"/>
      <c r="K273" s="155" t="n"/>
      <c r="L273" s="155" t="n"/>
      <c r="M273" s="155" t="n"/>
      <c r="N273" s="155" t="n"/>
      <c r="O273" s="155" t="n"/>
      <c r="P273" s="155" t="n"/>
      <c r="Q273" s="155" t="n"/>
      <c r="R273" s="155" t="n"/>
      <c r="S273" s="155" t="n"/>
      <c r="T273" s="156" t="n"/>
    </row>
    <row r="274">
      <c r="A274" s="23" t="n">
        <v>11</v>
      </c>
      <c r="B274" s="154" t="n"/>
      <c r="C274" s="155" t="n"/>
      <c r="D274" s="155" t="n"/>
      <c r="E274" s="155" t="n"/>
      <c r="F274" s="155" t="n"/>
      <c r="G274" s="155" t="n"/>
      <c r="H274" s="155" t="n"/>
      <c r="I274" s="155" t="n"/>
      <c r="J274" s="155" t="n"/>
      <c r="K274" s="155" t="n"/>
      <c r="L274" s="155" t="n"/>
      <c r="M274" s="155" t="n"/>
      <c r="N274" s="155" t="n"/>
      <c r="O274" s="155" t="n"/>
      <c r="P274" s="155" t="n"/>
      <c r="Q274" s="155" t="n"/>
      <c r="R274" s="155" t="n"/>
      <c r="S274" s="155" t="n"/>
      <c r="T274" s="156" t="n"/>
    </row>
    <row r="275">
      <c r="A275" s="23" t="n">
        <v>12</v>
      </c>
      <c r="B275" s="154" t="n"/>
      <c r="C275" s="155" t="n"/>
      <c r="D275" s="155" t="n"/>
      <c r="E275" s="155" t="n"/>
      <c r="F275" s="155" t="n"/>
      <c r="G275" s="155" t="n"/>
      <c r="H275" s="155" t="n"/>
      <c r="I275" s="155" t="n"/>
      <c r="J275" s="155" t="n"/>
      <c r="K275" s="155" t="n"/>
      <c r="L275" s="155" t="n"/>
      <c r="M275" s="155" t="n"/>
      <c r="N275" s="155" t="n"/>
      <c r="O275" s="155" t="n"/>
      <c r="P275" s="155" t="n"/>
      <c r="Q275" s="155" t="n"/>
      <c r="R275" s="155" t="n"/>
      <c r="S275" s="155" t="n"/>
      <c r="T275" s="156" t="n"/>
    </row>
    <row r="276">
      <c r="A276" s="23" t="n">
        <v>13</v>
      </c>
      <c r="B276" s="154" t="n"/>
      <c r="C276" s="155" t="n"/>
      <c r="D276" s="155" t="n"/>
      <c r="E276" s="155" t="n"/>
      <c r="F276" s="155" t="n"/>
      <c r="G276" s="155" t="n"/>
      <c r="H276" s="155" t="n"/>
      <c r="I276" s="155" t="n"/>
      <c r="J276" s="155" t="n"/>
      <c r="K276" s="155" t="n"/>
      <c r="L276" s="155" t="n"/>
      <c r="M276" s="155" t="n"/>
      <c r="N276" s="155" t="n"/>
      <c r="O276" s="155" t="n"/>
      <c r="P276" s="155" t="n"/>
      <c r="Q276" s="155" t="n"/>
      <c r="R276" s="155" t="n"/>
      <c r="S276" s="155" t="n"/>
      <c r="T276" s="156" t="n"/>
    </row>
    <row r="277">
      <c r="A277" s="23" t="n">
        <v>14</v>
      </c>
      <c r="B277" s="154" t="n"/>
      <c r="C277" s="155" t="n"/>
      <c r="D277" s="155" t="n"/>
      <c r="E277" s="155" t="n"/>
      <c r="F277" s="155" t="n"/>
      <c r="G277" s="155" t="n"/>
      <c r="H277" s="155" t="n"/>
      <c r="I277" s="155" t="n"/>
      <c r="J277" s="155" t="n"/>
      <c r="K277" s="155" t="n"/>
      <c r="L277" s="155" t="n"/>
      <c r="M277" s="155" t="n"/>
      <c r="N277" s="155" t="n"/>
      <c r="O277" s="155" t="n"/>
      <c r="P277" s="155" t="n"/>
      <c r="Q277" s="155" t="n"/>
      <c r="R277" s="155" t="n"/>
      <c r="S277" s="155" t="n"/>
      <c r="T277" s="156" t="n"/>
    </row>
    <row r="278">
      <c r="A278" s="23" t="n">
        <v>15</v>
      </c>
      <c r="B278" s="154" t="n"/>
      <c r="C278" s="155" t="n"/>
      <c r="D278" s="155" t="n"/>
      <c r="E278" s="155" t="n"/>
      <c r="F278" s="155" t="n"/>
      <c r="G278" s="155" t="n"/>
      <c r="H278" s="155" t="n"/>
      <c r="I278" s="155" t="n"/>
      <c r="J278" s="155" t="n"/>
      <c r="K278" s="155" t="n"/>
      <c r="L278" s="155" t="n"/>
      <c r="M278" s="155" t="n"/>
      <c r="N278" s="155" t="n"/>
      <c r="O278" s="155" t="n"/>
      <c r="P278" s="155" t="n"/>
      <c r="Q278" s="155" t="n"/>
      <c r="R278" s="155" t="n"/>
      <c r="S278" s="155" t="n"/>
      <c r="T278" s="156" t="n"/>
    </row>
    <row r="279">
      <c r="A279" s="23" t="n">
        <v>16</v>
      </c>
      <c r="B279" s="154" t="n"/>
      <c r="C279" s="155" t="n"/>
      <c r="D279" s="155" t="n"/>
      <c r="E279" s="155" t="n"/>
      <c r="F279" s="155" t="n"/>
      <c r="G279" s="155" t="n"/>
      <c r="H279" s="155" t="n"/>
      <c r="I279" s="155" t="n"/>
      <c r="J279" s="155" t="n"/>
      <c r="K279" s="155" t="n"/>
      <c r="L279" s="155" t="n"/>
      <c r="M279" s="155" t="n"/>
      <c r="N279" s="155" t="n"/>
      <c r="O279" s="155" t="n"/>
      <c r="P279" s="155" t="n"/>
      <c r="Q279" s="155" t="n"/>
      <c r="R279" s="155" t="n"/>
      <c r="S279" s="155" t="n"/>
      <c r="T279" s="156" t="n"/>
    </row>
    <row r="280">
      <c r="A280" s="23" t="n">
        <v>17</v>
      </c>
      <c r="B280" s="154" t="n"/>
      <c r="C280" s="155" t="n"/>
      <c r="D280" s="155" t="n"/>
      <c r="E280" s="155" t="n"/>
      <c r="F280" s="155" t="n"/>
      <c r="G280" s="155" t="n"/>
      <c r="H280" s="155" t="n"/>
      <c r="I280" s="155" t="n"/>
      <c r="J280" s="155" t="n"/>
      <c r="K280" s="155" t="n"/>
      <c r="L280" s="155" t="n"/>
      <c r="M280" s="155" t="n"/>
      <c r="N280" s="155" t="n"/>
      <c r="O280" s="155" t="n"/>
      <c r="P280" s="155" t="n"/>
      <c r="Q280" s="155" t="n"/>
      <c r="R280" s="155" t="n"/>
      <c r="S280" s="155" t="n"/>
      <c r="T280" s="156" t="n"/>
    </row>
    <row r="281">
      <c r="A281" s="23" t="n">
        <v>18</v>
      </c>
      <c r="B281" s="154" t="n"/>
      <c r="C281" s="155" t="n"/>
      <c r="D281" s="155" t="n"/>
      <c r="E281" s="155" t="n"/>
      <c r="F281" s="155" t="n"/>
      <c r="G281" s="155" t="n"/>
      <c r="H281" s="155" t="n"/>
      <c r="I281" s="155" t="n"/>
      <c r="J281" s="155" t="n"/>
      <c r="K281" s="155" t="n"/>
      <c r="L281" s="155" t="n"/>
      <c r="M281" s="155" t="n"/>
      <c r="N281" s="155" t="n"/>
      <c r="O281" s="155" t="n"/>
      <c r="P281" s="155" t="n"/>
      <c r="Q281" s="155" t="n"/>
      <c r="R281" s="155" t="n"/>
      <c r="S281" s="155" t="n"/>
      <c r="T281" s="156" t="n"/>
    </row>
    <row r="282">
      <c r="A282" s="23" t="n">
        <v>19</v>
      </c>
      <c r="B282" s="154" t="n"/>
      <c r="C282" s="155" t="n"/>
      <c r="D282" s="155" t="n"/>
      <c r="E282" s="155" t="n"/>
      <c r="F282" s="155" t="n"/>
      <c r="G282" s="155" t="n"/>
      <c r="H282" s="155" t="n"/>
      <c r="I282" s="155" t="n"/>
      <c r="J282" s="155" t="n"/>
      <c r="K282" s="155" t="n"/>
      <c r="L282" s="155" t="n"/>
      <c r="M282" s="155" t="n"/>
      <c r="N282" s="155" t="n"/>
      <c r="O282" s="155" t="n"/>
      <c r="P282" s="155" t="n"/>
      <c r="Q282" s="155" t="n"/>
      <c r="R282" s="155" t="n"/>
      <c r="S282" s="155" t="n"/>
      <c r="T282" s="156" t="n"/>
    </row>
    <row r="283">
      <c r="A283" s="23" t="n">
        <v>20</v>
      </c>
      <c r="B283" s="154" t="n"/>
      <c r="C283" s="155" t="n"/>
      <c r="D283" s="155" t="n"/>
      <c r="E283" s="155" t="n"/>
      <c r="F283" s="155" t="n"/>
      <c r="G283" s="155" t="n"/>
      <c r="H283" s="155" t="n"/>
      <c r="I283" s="155" t="n"/>
      <c r="J283" s="155" t="n"/>
      <c r="K283" s="155" t="n"/>
      <c r="L283" s="155" t="n"/>
      <c r="M283" s="155" t="n"/>
      <c r="N283" s="155" t="n"/>
      <c r="O283" s="155" t="n"/>
      <c r="P283" s="155" t="n"/>
      <c r="Q283" s="155" t="n"/>
      <c r="R283" s="155" t="n"/>
      <c r="S283" s="155" t="n"/>
      <c r="T283" s="156" t="n"/>
    </row>
    <row r="284">
      <c r="A284" s="23" t="n">
        <v>21</v>
      </c>
      <c r="B284" s="154" t="n"/>
      <c r="C284" s="155" t="n"/>
      <c r="D284" s="155" t="n"/>
      <c r="E284" s="155" t="n"/>
      <c r="F284" s="155" t="n"/>
      <c r="G284" s="155" t="n"/>
      <c r="H284" s="155" t="n"/>
      <c r="I284" s="155" t="n"/>
      <c r="J284" s="155" t="n"/>
      <c r="K284" s="155" t="n"/>
      <c r="L284" s="155" t="n"/>
      <c r="M284" s="155" t="n"/>
      <c r="N284" s="155" t="n"/>
      <c r="O284" s="155" t="n"/>
      <c r="P284" s="155" t="n"/>
      <c r="Q284" s="155" t="n"/>
      <c r="R284" s="155" t="n"/>
      <c r="S284" s="155" t="n"/>
      <c r="T284" s="156" t="n"/>
    </row>
    <row r="285">
      <c r="A285" s="23" t="n">
        <v>22</v>
      </c>
      <c r="B285" s="154" t="n"/>
      <c r="C285" s="155" t="n"/>
      <c r="D285" s="155" t="n"/>
      <c r="E285" s="155" t="n"/>
      <c r="F285" s="155" t="n"/>
      <c r="G285" s="155" t="n"/>
      <c r="H285" s="155" t="n"/>
      <c r="I285" s="155" t="n"/>
      <c r="J285" s="155" t="n"/>
      <c r="K285" s="155" t="n"/>
      <c r="L285" s="155" t="n"/>
      <c r="M285" s="155" t="n"/>
      <c r="N285" s="155" t="n"/>
      <c r="O285" s="155" t="n"/>
      <c r="P285" s="155" t="n"/>
      <c r="Q285" s="155" t="n"/>
      <c r="R285" s="155" t="n"/>
      <c r="S285" s="155" t="n"/>
      <c r="T285" s="156" t="n"/>
    </row>
    <row r="286">
      <c r="A286" s="23" t="n">
        <v>23</v>
      </c>
      <c r="B286" s="154" t="n"/>
      <c r="C286" s="155" t="n"/>
      <c r="D286" s="155" t="n"/>
      <c r="E286" s="155" t="n"/>
      <c r="F286" s="155" t="n"/>
      <c r="G286" s="155" t="n"/>
      <c r="H286" s="155" t="n"/>
      <c r="I286" s="155" t="n"/>
      <c r="J286" s="155" t="n"/>
      <c r="K286" s="155" t="n"/>
      <c r="L286" s="155" t="n"/>
      <c r="M286" s="155" t="n"/>
      <c r="N286" s="155" t="n"/>
      <c r="O286" s="155" t="n"/>
      <c r="P286" s="155" t="n"/>
      <c r="Q286" s="155" t="n"/>
      <c r="R286" s="155" t="n"/>
      <c r="S286" s="155" t="n"/>
      <c r="T286" s="156" t="n"/>
    </row>
    <row r="287">
      <c r="A287" s="23" t="n">
        <v>24</v>
      </c>
      <c r="B287" s="154" t="n"/>
      <c r="C287" s="155" t="n"/>
      <c r="D287" s="155" t="n"/>
      <c r="E287" s="155" t="n"/>
      <c r="F287" s="155" t="n"/>
      <c r="G287" s="155" t="n"/>
      <c r="H287" s="155" t="n"/>
      <c r="I287" s="155" t="n"/>
      <c r="J287" s="155" t="n"/>
      <c r="K287" s="155" t="n"/>
      <c r="L287" s="155" t="n"/>
      <c r="M287" s="155" t="n"/>
      <c r="N287" s="155" t="n"/>
      <c r="O287" s="155" t="n"/>
      <c r="P287" s="155" t="n"/>
      <c r="Q287" s="155" t="n"/>
      <c r="R287" s="155" t="n"/>
      <c r="S287" s="155" t="n"/>
      <c r="T287" s="156" t="n"/>
    </row>
    <row r="288">
      <c r="A288" s="23" t="n">
        <v>25</v>
      </c>
      <c r="B288" s="154" t="n"/>
      <c r="C288" s="155" t="n"/>
      <c r="D288" s="155" t="n"/>
      <c r="E288" s="155" t="n"/>
      <c r="F288" s="155" t="n"/>
      <c r="G288" s="155" t="n"/>
      <c r="H288" s="155" t="n"/>
      <c r="I288" s="155" t="n"/>
      <c r="J288" s="155" t="n"/>
      <c r="K288" s="155" t="n"/>
      <c r="L288" s="155" t="n"/>
      <c r="M288" s="155" t="n"/>
      <c r="N288" s="155" t="n"/>
      <c r="O288" s="155" t="n"/>
      <c r="P288" s="155" t="n"/>
      <c r="Q288" s="155" t="n"/>
      <c r="R288" s="155" t="n"/>
      <c r="S288" s="155" t="n"/>
      <c r="T288" s="156" t="n"/>
    </row>
    <row r="289">
      <c r="A289" s="23" t="n">
        <v>26</v>
      </c>
      <c r="B289" s="154" t="n"/>
      <c r="C289" s="155" t="n"/>
      <c r="D289" s="155" t="n"/>
      <c r="E289" s="155" t="n"/>
      <c r="F289" s="155" t="n"/>
      <c r="G289" s="155" t="n"/>
      <c r="H289" s="155" t="n"/>
      <c r="I289" s="155" t="n"/>
      <c r="J289" s="155" t="n"/>
      <c r="K289" s="155" t="n"/>
      <c r="L289" s="155" t="n"/>
      <c r="M289" s="155" t="n"/>
      <c r="N289" s="155" t="n"/>
      <c r="O289" s="155" t="n"/>
      <c r="P289" s="155" t="n"/>
      <c r="Q289" s="155" t="n"/>
      <c r="R289" s="155" t="n"/>
      <c r="S289" s="155" t="n"/>
      <c r="T289" s="156" t="n"/>
    </row>
    <row r="290">
      <c r="A290" s="23" t="n">
        <v>27</v>
      </c>
      <c r="B290" s="154" t="n"/>
      <c r="C290" s="155" t="n"/>
      <c r="D290" s="155" t="n"/>
      <c r="E290" s="155" t="n"/>
      <c r="F290" s="155" t="n"/>
      <c r="G290" s="155" t="n"/>
      <c r="H290" s="155" t="n"/>
      <c r="I290" s="155" t="n"/>
      <c r="J290" s="155" t="n"/>
      <c r="K290" s="155" t="n"/>
      <c r="L290" s="155" t="n"/>
      <c r="M290" s="155" t="n"/>
      <c r="N290" s="155" t="n"/>
      <c r="O290" s="155" t="n"/>
      <c r="P290" s="155" t="n"/>
      <c r="Q290" s="155" t="n"/>
      <c r="R290" s="155" t="n"/>
      <c r="S290" s="155" t="n"/>
      <c r="T290" s="156" t="n"/>
    </row>
    <row r="291">
      <c r="A291" s="23" t="n">
        <v>28</v>
      </c>
      <c r="B291" s="154" t="n"/>
      <c r="C291" s="155" t="n"/>
      <c r="D291" s="155" t="n"/>
      <c r="E291" s="155" t="n"/>
      <c r="F291" s="155" t="n"/>
      <c r="G291" s="155" t="n"/>
      <c r="H291" s="155" t="n"/>
      <c r="I291" s="155" t="n"/>
      <c r="J291" s="155" t="n"/>
      <c r="K291" s="155" t="n"/>
      <c r="L291" s="155" t="n"/>
      <c r="M291" s="155" t="n"/>
      <c r="N291" s="155" t="n"/>
      <c r="O291" s="155" t="n"/>
      <c r="P291" s="155" t="n"/>
      <c r="Q291" s="155" t="n"/>
      <c r="R291" s="155" t="n"/>
      <c r="S291" s="155" t="n"/>
      <c r="T291" s="156" t="n"/>
    </row>
    <row r="292">
      <c r="A292" s="23" t="n">
        <v>29</v>
      </c>
      <c r="B292" s="154" t="n"/>
      <c r="C292" s="155" t="n"/>
      <c r="D292" s="155" t="n"/>
      <c r="E292" s="155" t="n"/>
      <c r="F292" s="155" t="n"/>
      <c r="G292" s="155" t="n"/>
      <c r="H292" s="155" t="n"/>
      <c r="I292" s="155" t="n"/>
      <c r="J292" s="155" t="n"/>
      <c r="K292" s="155" t="n"/>
      <c r="L292" s="155" t="n"/>
      <c r="M292" s="155" t="n"/>
      <c r="N292" s="155" t="n"/>
      <c r="O292" s="155" t="n"/>
      <c r="P292" s="155" t="n"/>
      <c r="Q292" s="155" t="n"/>
      <c r="R292" s="155" t="n"/>
      <c r="S292" s="155" t="n"/>
      <c r="T292" s="156" t="n"/>
    </row>
    <row r="293">
      <c r="A293" s="23" t="n">
        <v>30</v>
      </c>
      <c r="B293" s="154" t="n"/>
      <c r="C293" s="155" t="n"/>
      <c r="D293" s="155" t="n"/>
      <c r="E293" s="155" t="n"/>
      <c r="F293" s="155" t="n"/>
      <c r="G293" s="155" t="n"/>
      <c r="H293" s="155" t="n"/>
      <c r="I293" s="155" t="n"/>
      <c r="J293" s="155" t="n"/>
      <c r="K293" s="155" t="n"/>
      <c r="L293" s="155" t="n"/>
      <c r="M293" s="155" t="n"/>
      <c r="N293" s="155" t="n"/>
      <c r="O293" s="155" t="n"/>
      <c r="P293" s="155" t="n"/>
      <c r="Q293" s="155" t="n"/>
      <c r="R293" s="155" t="n"/>
      <c r="S293" s="155" t="n"/>
      <c r="T293" s="156" t="n"/>
    </row>
    <row r="294">
      <c r="A294" s="23" t="n">
        <v>31</v>
      </c>
      <c r="B294" s="154" t="n"/>
      <c r="C294" s="155" t="n"/>
      <c r="D294" s="155" t="n"/>
      <c r="E294" s="155" t="n"/>
      <c r="F294" s="155" t="n"/>
      <c r="G294" s="155" t="n"/>
      <c r="H294" s="155" t="n"/>
      <c r="I294" s="155" t="n"/>
      <c r="J294" s="155" t="n"/>
      <c r="K294" s="155" t="n"/>
      <c r="L294" s="155" t="n"/>
      <c r="M294" s="155" t="n"/>
      <c r="N294" s="155" t="n"/>
      <c r="O294" s="155" t="n"/>
      <c r="P294" s="155" t="n"/>
      <c r="Q294" s="155" t="n"/>
      <c r="R294" s="155" t="n"/>
      <c r="S294" s="155" t="n"/>
      <c r="T294" s="156" t="n"/>
    </row>
    <row r="295">
      <c r="A295" s="23" t="n">
        <v>32</v>
      </c>
      <c r="B295" s="154" t="n"/>
      <c r="C295" s="155" t="n"/>
      <c r="D295" s="155" t="n"/>
      <c r="E295" s="155" t="n"/>
      <c r="F295" s="155" t="n"/>
      <c r="G295" s="155" t="n"/>
      <c r="H295" s="155" t="n"/>
      <c r="I295" s="155" t="n"/>
      <c r="J295" s="155" t="n"/>
      <c r="K295" s="155" t="n"/>
      <c r="L295" s="155" t="n"/>
      <c r="M295" s="155" t="n"/>
      <c r="N295" s="155" t="n"/>
      <c r="O295" s="155" t="n"/>
      <c r="P295" s="155" t="n"/>
      <c r="Q295" s="155" t="n"/>
      <c r="R295" s="155" t="n"/>
      <c r="S295" s="155" t="n"/>
      <c r="T295" s="156" t="n"/>
    </row>
    <row r="296">
      <c r="A296" s="23" t="n">
        <v>33</v>
      </c>
      <c r="B296" s="154" t="n"/>
      <c r="C296" s="155" t="n"/>
      <c r="D296" s="155" t="n"/>
      <c r="E296" s="155" t="n"/>
      <c r="F296" s="155" t="n"/>
      <c r="G296" s="155" t="n"/>
      <c r="H296" s="155" t="n"/>
      <c r="I296" s="155" t="n"/>
      <c r="J296" s="155" t="n"/>
      <c r="K296" s="155" t="n"/>
      <c r="L296" s="155" t="n"/>
      <c r="M296" s="155" t="n"/>
      <c r="N296" s="155" t="n"/>
      <c r="O296" s="155" t="n"/>
      <c r="P296" s="155" t="n"/>
      <c r="Q296" s="155" t="n"/>
      <c r="R296" s="155" t="n"/>
      <c r="S296" s="155" t="n"/>
      <c r="T296" s="156" t="n"/>
    </row>
    <row r="297">
      <c r="A297" s="23" t="n">
        <v>34</v>
      </c>
      <c r="B297" s="154" t="n"/>
      <c r="C297" s="155" t="n"/>
      <c r="D297" s="155" t="n"/>
      <c r="E297" s="155" t="n"/>
      <c r="F297" s="155" t="n"/>
      <c r="G297" s="155" t="n"/>
      <c r="H297" s="155" t="n"/>
      <c r="I297" s="155" t="n"/>
      <c r="J297" s="155" t="n"/>
      <c r="K297" s="155" t="n"/>
      <c r="L297" s="155" t="n"/>
      <c r="M297" s="155" t="n"/>
      <c r="N297" s="155" t="n"/>
      <c r="O297" s="155" t="n"/>
      <c r="P297" s="155" t="n"/>
      <c r="Q297" s="155" t="n"/>
      <c r="R297" s="155" t="n"/>
      <c r="S297" s="155" t="n"/>
      <c r="T297" s="156" t="n"/>
    </row>
    <row r="298">
      <c r="A298" s="23" t="n">
        <v>35</v>
      </c>
      <c r="B298" s="154" t="n"/>
      <c r="C298" s="155" t="n"/>
      <c r="D298" s="155" t="n"/>
      <c r="E298" s="155" t="n"/>
      <c r="F298" s="155" t="n"/>
      <c r="G298" s="155" t="n"/>
      <c r="H298" s="155" t="n"/>
      <c r="I298" s="155" t="n"/>
      <c r="J298" s="155" t="n"/>
      <c r="K298" s="155" t="n"/>
      <c r="L298" s="155" t="n"/>
      <c r="M298" s="155" t="n"/>
      <c r="N298" s="155" t="n"/>
      <c r="O298" s="155" t="n"/>
      <c r="P298" s="155" t="n"/>
      <c r="Q298" s="155" t="n"/>
      <c r="R298" s="155" t="n"/>
      <c r="S298" s="155" t="n"/>
      <c r="T298" s="156" t="n"/>
    </row>
    <row r="299">
      <c r="A299" s="23" t="n">
        <v>36</v>
      </c>
      <c r="B299" s="154" t="n"/>
      <c r="C299" s="155" t="n"/>
      <c r="D299" s="155" t="n"/>
      <c r="E299" s="155" t="n"/>
      <c r="F299" s="155" t="n"/>
      <c r="G299" s="155" t="n"/>
      <c r="H299" s="155" t="n"/>
      <c r="I299" s="155" t="n"/>
      <c r="J299" s="155" t="n"/>
      <c r="K299" s="155" t="n"/>
      <c r="L299" s="155" t="n"/>
      <c r="M299" s="155" t="n"/>
      <c r="N299" s="155" t="n"/>
      <c r="O299" s="155" t="n"/>
      <c r="P299" s="155" t="n"/>
      <c r="Q299" s="155" t="n"/>
      <c r="R299" s="155" t="n"/>
      <c r="S299" s="155" t="n"/>
      <c r="T299" s="156" t="n"/>
    </row>
    <row r="300">
      <c r="A300" s="23" t="n">
        <v>37</v>
      </c>
      <c r="B300" s="154" t="n"/>
      <c r="C300" s="155" t="n"/>
      <c r="D300" s="155" t="n"/>
      <c r="E300" s="155" t="n"/>
      <c r="F300" s="155" t="n"/>
      <c r="G300" s="155" t="n"/>
      <c r="H300" s="155" t="n"/>
      <c r="I300" s="155" t="n"/>
      <c r="J300" s="155" t="n"/>
      <c r="K300" s="155" t="n"/>
      <c r="L300" s="155" t="n"/>
      <c r="M300" s="155" t="n"/>
      <c r="N300" s="155" t="n"/>
      <c r="O300" s="155" t="n"/>
      <c r="P300" s="155" t="n"/>
      <c r="Q300" s="155" t="n"/>
      <c r="R300" s="155" t="n"/>
      <c r="S300" s="155" t="n"/>
      <c r="T300" s="156" t="n"/>
    </row>
    <row r="301">
      <c r="A301" s="23" t="n">
        <v>38</v>
      </c>
      <c r="B301" s="154" t="n"/>
      <c r="C301" s="155" t="n"/>
      <c r="D301" s="155" t="n"/>
      <c r="E301" s="155" t="n"/>
      <c r="F301" s="155" t="n"/>
      <c r="G301" s="155" t="n"/>
      <c r="H301" s="155" t="n"/>
      <c r="I301" s="155" t="n"/>
      <c r="J301" s="155" t="n"/>
      <c r="K301" s="155" t="n"/>
      <c r="L301" s="155" t="n"/>
      <c r="M301" s="155" t="n"/>
      <c r="N301" s="155" t="n"/>
      <c r="O301" s="155" t="n"/>
      <c r="P301" s="155" t="n"/>
      <c r="Q301" s="155" t="n"/>
      <c r="R301" s="155" t="n"/>
      <c r="S301" s="155" t="n"/>
      <c r="T301" s="156" t="n"/>
    </row>
    <row r="302">
      <c r="A302" s="23" t="n">
        <v>39</v>
      </c>
      <c r="B302" s="154" t="n"/>
      <c r="C302" s="155" t="n"/>
      <c r="D302" s="155" t="n"/>
      <c r="E302" s="155" t="n"/>
      <c r="F302" s="155" t="n"/>
      <c r="G302" s="155" t="n"/>
      <c r="H302" s="155" t="n"/>
      <c r="I302" s="155" t="n"/>
      <c r="J302" s="155" t="n"/>
      <c r="K302" s="155" t="n"/>
      <c r="L302" s="155" t="n"/>
      <c r="M302" s="155" t="n"/>
      <c r="N302" s="155" t="n"/>
      <c r="O302" s="155" t="n"/>
      <c r="P302" s="155" t="n"/>
      <c r="Q302" s="155" t="n"/>
      <c r="R302" s="155" t="n"/>
      <c r="S302" s="155" t="n"/>
      <c r="T302" s="156" t="n"/>
    </row>
    <row r="303">
      <c r="A303" s="23" t="n">
        <v>40</v>
      </c>
      <c r="B303" s="154" t="n"/>
      <c r="C303" s="155" t="n"/>
      <c r="D303" s="155" t="n"/>
      <c r="E303" s="155" t="n"/>
      <c r="F303" s="155" t="n"/>
      <c r="G303" s="155" t="n"/>
      <c r="H303" s="155" t="n"/>
      <c r="I303" s="155" t="n"/>
      <c r="J303" s="155" t="n"/>
      <c r="K303" s="155" t="n"/>
      <c r="L303" s="155" t="n"/>
      <c r="M303" s="155" t="n"/>
      <c r="N303" s="155" t="n"/>
      <c r="O303" s="155" t="n"/>
      <c r="P303" s="155" t="n"/>
      <c r="Q303" s="155" t="n"/>
      <c r="R303" s="155" t="n"/>
      <c r="S303" s="155" t="n"/>
      <c r="T303" s="156" t="n"/>
    </row>
    <row r="304">
      <c r="A304" s="23" t="n">
        <v>41</v>
      </c>
      <c r="B304" s="154" t="n"/>
      <c r="C304" s="155" t="n"/>
      <c r="D304" s="155" t="n"/>
      <c r="E304" s="155" t="n"/>
      <c r="F304" s="155" t="n"/>
      <c r="G304" s="155" t="n"/>
      <c r="H304" s="155" t="n"/>
      <c r="I304" s="155" t="n"/>
      <c r="J304" s="155" t="n"/>
      <c r="K304" s="155" t="n"/>
      <c r="L304" s="155" t="n"/>
      <c r="M304" s="155" t="n"/>
      <c r="N304" s="155" t="n"/>
      <c r="O304" s="155" t="n"/>
      <c r="P304" s="155" t="n"/>
      <c r="Q304" s="155" t="n"/>
      <c r="R304" s="155" t="n"/>
      <c r="S304" s="155" t="n"/>
      <c r="T304" s="156" t="n"/>
    </row>
    <row r="305">
      <c r="A305" s="23" t="n">
        <v>42</v>
      </c>
      <c r="B305" s="154" t="n"/>
      <c r="C305" s="155" t="n"/>
      <c r="D305" s="155" t="n"/>
      <c r="E305" s="155" t="n"/>
      <c r="F305" s="155" t="n"/>
      <c r="G305" s="155" t="n"/>
      <c r="H305" s="155" t="n"/>
      <c r="I305" s="155" t="n"/>
      <c r="J305" s="155" t="n"/>
      <c r="K305" s="155" t="n"/>
      <c r="L305" s="155" t="n"/>
      <c r="M305" s="155" t="n"/>
      <c r="N305" s="155" t="n"/>
      <c r="O305" s="155" t="n"/>
      <c r="P305" s="155" t="n"/>
      <c r="Q305" s="155" t="n"/>
      <c r="R305" s="155" t="n"/>
      <c r="S305" s="155" t="n"/>
      <c r="T305" s="156" t="n"/>
    </row>
    <row r="306">
      <c r="A306" s="23" t="n">
        <v>43</v>
      </c>
      <c r="B306" s="154" t="n"/>
      <c r="C306" s="155" t="n"/>
      <c r="D306" s="155" t="n"/>
      <c r="E306" s="155" t="n"/>
      <c r="F306" s="155" t="n"/>
      <c r="G306" s="155" t="n"/>
      <c r="H306" s="155" t="n"/>
      <c r="I306" s="155" t="n"/>
      <c r="J306" s="155" t="n"/>
      <c r="K306" s="155" t="n"/>
      <c r="L306" s="155" t="n"/>
      <c r="M306" s="155" t="n"/>
      <c r="N306" s="155" t="n"/>
      <c r="O306" s="155" t="n"/>
      <c r="P306" s="155" t="n"/>
      <c r="Q306" s="155" t="n"/>
      <c r="R306" s="155" t="n"/>
      <c r="S306" s="155" t="n"/>
      <c r="T306" s="156" t="n"/>
    </row>
    <row r="307">
      <c r="A307" s="23" t="n">
        <v>44</v>
      </c>
      <c r="B307" s="154" t="n"/>
      <c r="C307" s="155" t="n"/>
      <c r="D307" s="155" t="n"/>
      <c r="E307" s="155" t="n"/>
      <c r="F307" s="155" t="n"/>
      <c r="G307" s="155" t="n"/>
      <c r="H307" s="155" t="n"/>
      <c r="I307" s="155" t="n"/>
      <c r="J307" s="155" t="n"/>
      <c r="K307" s="155" t="n"/>
      <c r="L307" s="155" t="n"/>
      <c r="M307" s="155" t="n"/>
      <c r="N307" s="155" t="n"/>
      <c r="O307" s="155" t="n"/>
      <c r="P307" s="155" t="n"/>
      <c r="Q307" s="155" t="n"/>
      <c r="R307" s="155" t="n"/>
      <c r="S307" s="155" t="n"/>
      <c r="T307" s="156" t="n"/>
    </row>
    <row r="308">
      <c r="A308" s="23" t="n">
        <v>45</v>
      </c>
      <c r="B308" s="154" t="n"/>
      <c r="C308" s="155" t="n"/>
      <c r="D308" s="155" t="n"/>
      <c r="E308" s="155" t="n"/>
      <c r="F308" s="155" t="n"/>
      <c r="G308" s="155" t="n"/>
      <c r="H308" s="155" t="n"/>
      <c r="I308" s="155" t="n"/>
      <c r="J308" s="155" t="n"/>
      <c r="K308" s="155" t="n"/>
      <c r="L308" s="155" t="n"/>
      <c r="M308" s="155" t="n"/>
      <c r="N308" s="155" t="n"/>
      <c r="O308" s="155" t="n"/>
      <c r="P308" s="155" t="n"/>
      <c r="Q308" s="155" t="n"/>
      <c r="R308" s="155" t="n"/>
      <c r="S308" s="155" t="n"/>
      <c r="T308" s="156" t="n"/>
    </row>
    <row r="309">
      <c r="A309" s="23" t="n">
        <v>46</v>
      </c>
      <c r="B309" s="154" t="n"/>
      <c r="C309" s="155" t="n"/>
      <c r="D309" s="155" t="n"/>
      <c r="E309" s="155" t="n"/>
      <c r="F309" s="155" t="n"/>
      <c r="G309" s="155" t="n"/>
      <c r="H309" s="155" t="n"/>
      <c r="I309" s="155" t="n"/>
      <c r="J309" s="155" t="n"/>
      <c r="K309" s="155" t="n"/>
      <c r="L309" s="155" t="n"/>
      <c r="M309" s="155" t="n"/>
      <c r="N309" s="155" t="n"/>
      <c r="O309" s="155" t="n"/>
      <c r="P309" s="155" t="n"/>
      <c r="Q309" s="155" t="n"/>
      <c r="R309" s="155" t="n"/>
      <c r="S309" s="155" t="n"/>
      <c r="T309" s="156" t="n"/>
    </row>
    <row r="310">
      <c r="A310" s="23" t="n">
        <v>47</v>
      </c>
      <c r="B310" s="154" t="n"/>
      <c r="C310" s="155" t="n"/>
      <c r="D310" s="155" t="n"/>
      <c r="E310" s="155" t="n"/>
      <c r="F310" s="155" t="n"/>
      <c r="G310" s="155" t="n"/>
      <c r="H310" s="155" t="n"/>
      <c r="I310" s="155" t="n"/>
      <c r="J310" s="155" t="n"/>
      <c r="K310" s="155" t="n"/>
      <c r="L310" s="155" t="n"/>
      <c r="M310" s="155" t="n"/>
      <c r="N310" s="155" t="n"/>
      <c r="O310" s="155" t="n"/>
      <c r="P310" s="155" t="n"/>
      <c r="Q310" s="155" t="n"/>
      <c r="R310" s="155" t="n"/>
      <c r="S310" s="155" t="n"/>
      <c r="T310" s="156" t="n"/>
    </row>
    <row r="311">
      <c r="A311" s="23" t="n">
        <v>48</v>
      </c>
      <c r="B311" s="154" t="n"/>
      <c r="C311" s="155" t="n"/>
      <c r="D311" s="155" t="n"/>
      <c r="E311" s="155" t="n"/>
      <c r="F311" s="155" t="n"/>
      <c r="G311" s="155" t="n"/>
      <c r="H311" s="155" t="n"/>
      <c r="I311" s="155" t="n"/>
      <c r="J311" s="155" t="n"/>
      <c r="K311" s="155" t="n"/>
      <c r="L311" s="155" t="n"/>
      <c r="M311" s="155" t="n"/>
      <c r="N311" s="155" t="n"/>
      <c r="O311" s="155" t="n"/>
      <c r="P311" s="155" t="n"/>
      <c r="Q311" s="155" t="n"/>
      <c r="R311" s="155" t="n"/>
      <c r="S311" s="155" t="n"/>
      <c r="T311" s="156" t="n"/>
    </row>
    <row r="312">
      <c r="A312" s="23" t="n">
        <v>49</v>
      </c>
      <c r="B312" s="154" t="n"/>
      <c r="C312" s="155" t="n"/>
      <c r="D312" s="155" t="n"/>
      <c r="E312" s="155" t="n"/>
      <c r="F312" s="155" t="n"/>
      <c r="G312" s="155" t="n"/>
      <c r="H312" s="155" t="n"/>
      <c r="I312" s="155" t="n"/>
      <c r="J312" s="155" t="n"/>
      <c r="K312" s="155" t="n"/>
      <c r="L312" s="155" t="n"/>
      <c r="M312" s="155" t="n"/>
      <c r="N312" s="155" t="n"/>
      <c r="O312" s="155" t="n"/>
      <c r="P312" s="155" t="n"/>
      <c r="Q312" s="155" t="n"/>
      <c r="R312" s="155" t="n"/>
      <c r="S312" s="155" t="n"/>
      <c r="T312" s="156" t="n"/>
    </row>
    <row r="313">
      <c r="A313" s="23" t="n">
        <v>50</v>
      </c>
      <c r="B313" s="154" t="n"/>
      <c r="C313" s="155" t="n"/>
      <c r="D313" s="155" t="n"/>
      <c r="E313" s="155" t="n"/>
      <c r="F313" s="155" t="n"/>
      <c r="G313" s="155" t="n"/>
      <c r="H313" s="155" t="n"/>
      <c r="I313" s="155" t="n"/>
      <c r="J313" s="155" t="n"/>
      <c r="K313" s="155" t="n"/>
      <c r="L313" s="155" t="n"/>
      <c r="M313" s="155" t="n"/>
      <c r="N313" s="155" t="n"/>
      <c r="O313" s="155" t="n"/>
      <c r="P313" s="155" t="n"/>
      <c r="Q313" s="155" t="n"/>
      <c r="R313" s="155" t="n"/>
      <c r="S313" s="155" t="n"/>
      <c r="T313" s="156" t="n"/>
    </row>
    <row r="314">
      <c r="A314" s="23" t="n">
        <v>51</v>
      </c>
      <c r="B314" s="154" t="n"/>
      <c r="C314" s="155" t="n"/>
      <c r="D314" s="155" t="n"/>
      <c r="E314" s="155" t="n"/>
      <c r="F314" s="155" t="n"/>
      <c r="G314" s="155" t="n"/>
      <c r="H314" s="155" t="n"/>
      <c r="I314" s="155" t="n"/>
      <c r="J314" s="155" t="n"/>
      <c r="K314" s="155" t="n"/>
      <c r="L314" s="155" t="n"/>
      <c r="M314" s="155" t="n"/>
      <c r="N314" s="155" t="n"/>
      <c r="O314" s="155" t="n"/>
      <c r="P314" s="155" t="n"/>
      <c r="Q314" s="155" t="n"/>
      <c r="R314" s="155" t="n"/>
      <c r="S314" s="155" t="n"/>
      <c r="T314" s="156" t="n"/>
    </row>
    <row r="315">
      <c r="A315" s="23" t="n">
        <v>52</v>
      </c>
      <c r="B315" s="154" t="n"/>
      <c r="C315" s="155" t="n"/>
      <c r="D315" s="155" t="n"/>
      <c r="E315" s="155" t="n"/>
      <c r="F315" s="155" t="n"/>
      <c r="G315" s="155" t="n"/>
      <c r="H315" s="155" t="n"/>
      <c r="I315" s="155" t="n"/>
      <c r="J315" s="155" t="n"/>
      <c r="K315" s="155" t="n"/>
      <c r="L315" s="155" t="n"/>
      <c r="M315" s="155" t="n"/>
      <c r="N315" s="155" t="n"/>
      <c r="O315" s="155" t="n"/>
      <c r="P315" s="155" t="n"/>
      <c r="Q315" s="155" t="n"/>
      <c r="R315" s="155" t="n"/>
      <c r="S315" s="155" t="n"/>
      <c r="T315" s="156" t="n"/>
    </row>
    <row r="316">
      <c r="A316" s="23" t="n">
        <v>53</v>
      </c>
      <c r="B316" s="154" t="n"/>
      <c r="C316" s="155" t="n"/>
      <c r="D316" s="155" t="n"/>
      <c r="E316" s="155" t="n"/>
      <c r="F316" s="155" t="n"/>
      <c r="G316" s="155" t="n"/>
      <c r="H316" s="155" t="n"/>
      <c r="I316" s="155" t="n"/>
      <c r="J316" s="155" t="n"/>
      <c r="K316" s="155" t="n"/>
      <c r="L316" s="155" t="n"/>
      <c r="M316" s="155" t="n"/>
      <c r="N316" s="155" t="n"/>
      <c r="O316" s="155" t="n"/>
      <c r="P316" s="155" t="n"/>
      <c r="Q316" s="155" t="n"/>
      <c r="R316" s="155" t="n"/>
      <c r="S316" s="155" t="n"/>
      <c r="T316" s="156" t="n"/>
    </row>
    <row r="317">
      <c r="A317" s="23" t="n">
        <v>54</v>
      </c>
      <c r="B317" s="154" t="n"/>
      <c r="C317" s="155" t="n"/>
      <c r="D317" s="155" t="n"/>
      <c r="E317" s="155" t="n"/>
      <c r="F317" s="155" t="n"/>
      <c r="G317" s="155" t="n"/>
      <c r="H317" s="155" t="n"/>
      <c r="I317" s="155" t="n"/>
      <c r="J317" s="155" t="n"/>
      <c r="K317" s="155" t="n"/>
      <c r="L317" s="155" t="n"/>
      <c r="M317" s="155" t="n"/>
      <c r="N317" s="155" t="n"/>
      <c r="O317" s="155" t="n"/>
      <c r="P317" s="155" t="n"/>
      <c r="Q317" s="155" t="n"/>
      <c r="R317" s="155" t="n"/>
      <c r="S317" s="155" t="n"/>
      <c r="T317" s="156" t="n"/>
    </row>
    <row r="318">
      <c r="A318" s="23" t="n">
        <v>55</v>
      </c>
      <c r="B318" s="154" t="n"/>
      <c r="C318" s="155" t="n"/>
      <c r="D318" s="155" t="n"/>
      <c r="E318" s="155" t="n"/>
      <c r="F318" s="155" t="n"/>
      <c r="G318" s="155" t="n"/>
      <c r="H318" s="155" t="n"/>
      <c r="I318" s="155" t="n"/>
      <c r="J318" s="155" t="n"/>
      <c r="K318" s="155" t="n"/>
      <c r="L318" s="155" t="n"/>
      <c r="M318" s="155" t="n"/>
      <c r="N318" s="155" t="n"/>
      <c r="O318" s="155" t="n"/>
      <c r="P318" s="155" t="n"/>
      <c r="Q318" s="155" t="n"/>
      <c r="R318" s="155" t="n"/>
      <c r="S318" s="155" t="n"/>
      <c r="T318" s="156" t="n"/>
    </row>
    <row r="319">
      <c r="A319" s="23" t="n">
        <v>56</v>
      </c>
      <c r="B319" s="154" t="n"/>
      <c r="C319" s="155" t="n"/>
      <c r="D319" s="155" t="n"/>
      <c r="E319" s="155" t="n"/>
      <c r="F319" s="155" t="n"/>
      <c r="G319" s="155" t="n"/>
      <c r="H319" s="155" t="n"/>
      <c r="I319" s="155" t="n"/>
      <c r="J319" s="155" t="n"/>
      <c r="K319" s="155" t="n"/>
      <c r="L319" s="155" t="n"/>
      <c r="M319" s="155" t="n"/>
      <c r="N319" s="155" t="n"/>
      <c r="O319" s="155" t="n"/>
      <c r="P319" s="155" t="n"/>
      <c r="Q319" s="155" t="n"/>
      <c r="R319" s="155" t="n"/>
      <c r="S319" s="155" t="n"/>
      <c r="T319" s="156" t="n"/>
    </row>
    <row r="320">
      <c r="A320" s="23" t="n">
        <v>57</v>
      </c>
      <c r="B320" s="154" t="n"/>
      <c r="C320" s="155" t="n"/>
      <c r="D320" s="155" t="n"/>
      <c r="E320" s="155" t="n"/>
      <c r="F320" s="155" t="n"/>
      <c r="G320" s="155" t="n"/>
      <c r="H320" s="155" t="n"/>
      <c r="I320" s="155" t="n"/>
      <c r="J320" s="155" t="n"/>
      <c r="K320" s="155" t="n"/>
      <c r="L320" s="155" t="n"/>
      <c r="M320" s="155" t="n"/>
      <c r="N320" s="155" t="n"/>
      <c r="O320" s="155" t="n"/>
      <c r="P320" s="155" t="n"/>
      <c r="Q320" s="155" t="n"/>
      <c r="R320" s="155" t="n"/>
      <c r="S320" s="155" t="n"/>
      <c r="T320" s="156" t="n"/>
    </row>
    <row r="321">
      <c r="A321" s="23" t="n">
        <v>58</v>
      </c>
      <c r="B321" s="154" t="n"/>
      <c r="C321" s="155" t="n"/>
      <c r="D321" s="155" t="n"/>
      <c r="E321" s="155" t="n"/>
      <c r="F321" s="155" t="n"/>
      <c r="G321" s="155" t="n"/>
      <c r="H321" s="155" t="n"/>
      <c r="I321" s="155" t="n"/>
      <c r="J321" s="155" t="n"/>
      <c r="K321" s="155" t="n"/>
      <c r="L321" s="155" t="n"/>
      <c r="M321" s="155" t="n"/>
      <c r="N321" s="155" t="n"/>
      <c r="O321" s="155" t="n"/>
      <c r="P321" s="155" t="n"/>
      <c r="Q321" s="155" t="n"/>
      <c r="R321" s="155" t="n"/>
      <c r="S321" s="155" t="n"/>
      <c r="T321" s="156" t="n"/>
    </row>
    <row r="322">
      <c r="A322" s="23" t="n">
        <v>59</v>
      </c>
      <c r="B322" s="154" t="n"/>
      <c r="C322" s="155" t="n"/>
      <c r="D322" s="155" t="n"/>
      <c r="E322" s="155" t="n"/>
      <c r="F322" s="155" t="n"/>
      <c r="G322" s="155" t="n"/>
      <c r="H322" s="155" t="n"/>
      <c r="I322" s="155" t="n"/>
      <c r="J322" s="155" t="n"/>
      <c r="K322" s="155" t="n"/>
      <c r="L322" s="155" t="n"/>
      <c r="M322" s="155" t="n"/>
      <c r="N322" s="155" t="n"/>
      <c r="O322" s="155" t="n"/>
      <c r="P322" s="155" t="n"/>
      <c r="Q322" s="155" t="n"/>
      <c r="R322" s="155" t="n"/>
      <c r="S322" s="155" t="n"/>
      <c r="T322" s="156" t="n"/>
    </row>
    <row r="323">
      <c r="A323" s="23" t="n">
        <v>60</v>
      </c>
      <c r="B323" s="154" t="n"/>
      <c r="C323" s="155" t="n"/>
      <c r="D323" s="155" t="n"/>
      <c r="E323" s="155" t="n"/>
      <c r="F323" s="155" t="n"/>
      <c r="G323" s="155" t="n"/>
      <c r="H323" s="155" t="n"/>
      <c r="I323" s="155" t="n"/>
      <c r="J323" s="155" t="n"/>
      <c r="K323" s="155" t="n"/>
      <c r="L323" s="155" t="n"/>
      <c r="M323" s="155" t="n"/>
      <c r="N323" s="155" t="n"/>
      <c r="O323" s="155" t="n"/>
      <c r="P323" s="155" t="n"/>
      <c r="Q323" s="155" t="n"/>
      <c r="R323" s="155" t="n"/>
      <c r="S323" s="155" t="n"/>
      <c r="T323" s="156" t="n"/>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44.xml><?xml version="1.0" encoding="utf-8"?>
<worksheet xmlns="http://schemas.openxmlformats.org/spreadsheetml/2006/main">
  <sheetPr>
    <tabColor rgb="000000FF"/>
    <outlinePr summaryBelow="1" summaryRight="1"/>
    <pageSetUpPr fitToPage="1"/>
  </sheetPr>
  <dimension ref="A1:BK328"/>
  <sheetViews>
    <sheetView showGridLines="0" workbookViewId="0">
      <pane xSplit="3" ySplit="8" topLeftCell="D9"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16" customWidth="1" min="3" max="3"/>
    <col width="14" customWidth="1" min="62" max="62"/>
    <col width="14" customWidth="1" min="63" max="63"/>
  </cols>
  <sheetData>
    <row r="1">
      <c r="A1" s="17" t="inlineStr">
        <is>
          <t>Vintage input: actual cohort observations (5 tiers x 60 cohorts)</t>
        </is>
      </c>
    </row>
    <row r="2">
      <c r="A2" s="18" t="inlineStr">
        <is>
          <t>[ACTUAL]  Mode per cohort: 1 = Proxy (model curves), 2 = Actual (row data). Cumulative values at checkpoints M3...M60, LCY.</t>
        </is>
      </c>
    </row>
    <row r="3"/>
    <row r="4"/>
    <row r="5"/>
    <row r="6">
      <c r="A6" s="111" t="inlineStr">
        <is>
          <t>Tier 1: Pico solar kit</t>
        </is>
      </c>
    </row>
    <row r="7">
      <c r="D7" s="151" t="inlineStr">
        <is>
          <t>Cumulative collections</t>
        </is>
      </c>
      <c r="L7" s="151" t="inlineStr">
        <is>
          <t>Cumulative instalments due</t>
        </is>
      </c>
      <c r="T7" s="151" t="inlineStr">
        <is>
          <t>30+ DPD exposure (arrears incl. written off + outstanding)</t>
        </is>
      </c>
      <c r="AB7" s="151" t="inlineStr">
        <is>
          <t>90+ DPD exposure (arrears incl. written off + outstanding)</t>
        </is>
      </c>
      <c r="AJ7" s="151" t="inlineStr">
        <is>
          <t>180+ default exposure (cumulative)</t>
        </is>
      </c>
      <c r="AR7" s="151" t="inlineStr">
        <is>
          <t>Cumulative recoveries (net)</t>
        </is>
      </c>
      <c r="AZ7" s="151" t="inlineStr">
        <is>
          <t>Active accounts</t>
        </is>
      </c>
    </row>
    <row r="8">
      <c r="A8" s="40" t="inlineStr">
        <is>
          <t>Cohort #</t>
        </is>
      </c>
      <c r="B8" s="40" t="inlineStr">
        <is>
          <t>Mode</t>
        </is>
      </c>
      <c r="C8" s="40" t="inlineStr">
        <is>
          <t>Units originated</t>
        </is>
      </c>
      <c r="D8" s="40" t="inlineStr">
        <is>
          <t>M3</t>
        </is>
      </c>
      <c r="E8" s="40" t="inlineStr">
        <is>
          <t>M6</t>
        </is>
      </c>
      <c r="F8" s="40" t="inlineStr">
        <is>
          <t>M12</t>
        </is>
      </c>
      <c r="G8" s="40" t="inlineStr">
        <is>
          <t>M18</t>
        </is>
      </c>
      <c r="H8" s="40" t="inlineStr">
        <is>
          <t>M24</t>
        </is>
      </c>
      <c r="I8" s="40" t="inlineStr">
        <is>
          <t>M36</t>
        </is>
      </c>
      <c r="J8" s="40" t="inlineStr">
        <is>
          <t>M48</t>
        </is>
      </c>
      <c r="K8" s="40" t="inlineStr">
        <is>
          <t>M60</t>
        </is>
      </c>
      <c r="L8" s="40" t="inlineStr">
        <is>
          <t>M3</t>
        </is>
      </c>
      <c r="M8" s="40" t="inlineStr">
        <is>
          <t>M6</t>
        </is>
      </c>
      <c r="N8" s="40" t="inlineStr">
        <is>
          <t>M12</t>
        </is>
      </c>
      <c r="O8" s="40" t="inlineStr">
        <is>
          <t>M18</t>
        </is>
      </c>
      <c r="P8" s="40" t="inlineStr">
        <is>
          <t>M24</t>
        </is>
      </c>
      <c r="Q8" s="40" t="inlineStr">
        <is>
          <t>M36</t>
        </is>
      </c>
      <c r="R8" s="40" t="inlineStr">
        <is>
          <t>M48</t>
        </is>
      </c>
      <c r="S8" s="40" t="inlineStr">
        <is>
          <t>M60</t>
        </is>
      </c>
      <c r="T8" s="40" t="inlineStr">
        <is>
          <t>M3</t>
        </is>
      </c>
      <c r="U8" s="40" t="inlineStr">
        <is>
          <t>M6</t>
        </is>
      </c>
      <c r="V8" s="40" t="inlineStr">
        <is>
          <t>M12</t>
        </is>
      </c>
      <c r="W8" s="40" t="inlineStr">
        <is>
          <t>M18</t>
        </is>
      </c>
      <c r="X8" s="40" t="inlineStr">
        <is>
          <t>M24</t>
        </is>
      </c>
      <c r="Y8" s="40" t="inlineStr">
        <is>
          <t>M36</t>
        </is>
      </c>
      <c r="Z8" s="40" t="inlineStr">
        <is>
          <t>M48</t>
        </is>
      </c>
      <c r="AA8" s="40" t="inlineStr">
        <is>
          <t>M60</t>
        </is>
      </c>
      <c r="AB8" s="40" t="inlineStr">
        <is>
          <t>M3</t>
        </is>
      </c>
      <c r="AC8" s="40" t="inlineStr">
        <is>
          <t>M6</t>
        </is>
      </c>
      <c r="AD8" s="40" t="inlineStr">
        <is>
          <t>M12</t>
        </is>
      </c>
      <c r="AE8" s="40" t="inlineStr">
        <is>
          <t>M18</t>
        </is>
      </c>
      <c r="AF8" s="40" t="inlineStr">
        <is>
          <t>M24</t>
        </is>
      </c>
      <c r="AG8" s="40" t="inlineStr">
        <is>
          <t>M36</t>
        </is>
      </c>
      <c r="AH8" s="40" t="inlineStr">
        <is>
          <t>M48</t>
        </is>
      </c>
      <c r="AI8" s="40" t="inlineStr">
        <is>
          <t>M60</t>
        </is>
      </c>
      <c r="AJ8" s="40" t="inlineStr">
        <is>
          <t>M3</t>
        </is>
      </c>
      <c r="AK8" s="40" t="inlineStr">
        <is>
          <t>M6</t>
        </is>
      </c>
      <c r="AL8" s="40" t="inlineStr">
        <is>
          <t>M12</t>
        </is>
      </c>
      <c r="AM8" s="40" t="inlineStr">
        <is>
          <t>M18</t>
        </is>
      </c>
      <c r="AN8" s="40" t="inlineStr">
        <is>
          <t>M24</t>
        </is>
      </c>
      <c r="AO8" s="40" t="inlineStr">
        <is>
          <t>M36</t>
        </is>
      </c>
      <c r="AP8" s="40" t="inlineStr">
        <is>
          <t>M48</t>
        </is>
      </c>
      <c r="AQ8" s="40" t="inlineStr">
        <is>
          <t>M60</t>
        </is>
      </c>
      <c r="AR8" s="40" t="inlineStr">
        <is>
          <t>M3</t>
        </is>
      </c>
      <c r="AS8" s="40" t="inlineStr">
        <is>
          <t>M6</t>
        </is>
      </c>
      <c r="AT8" s="40" t="inlineStr">
        <is>
          <t>M12</t>
        </is>
      </c>
      <c r="AU8" s="40" t="inlineStr">
        <is>
          <t>M18</t>
        </is>
      </c>
      <c r="AV8" s="40" t="inlineStr">
        <is>
          <t>M24</t>
        </is>
      </c>
      <c r="AW8" s="40" t="inlineStr">
        <is>
          <t>M36</t>
        </is>
      </c>
      <c r="AX8" s="40" t="inlineStr">
        <is>
          <t>M48</t>
        </is>
      </c>
      <c r="AY8" s="40" t="inlineStr">
        <is>
          <t>M60</t>
        </is>
      </c>
      <c r="AZ8" s="40" t="inlineStr">
        <is>
          <t>M3</t>
        </is>
      </c>
      <c r="BA8" s="40" t="inlineStr">
        <is>
          <t>M6</t>
        </is>
      </c>
      <c r="BB8" s="40" t="inlineStr">
        <is>
          <t>M12</t>
        </is>
      </c>
      <c r="BC8" s="40" t="inlineStr">
        <is>
          <t>M18</t>
        </is>
      </c>
      <c r="BD8" s="40" t="inlineStr">
        <is>
          <t>M24</t>
        </is>
      </c>
      <c r="BE8" s="40" t="inlineStr">
        <is>
          <t>M36</t>
        </is>
      </c>
      <c r="BF8" s="40" t="inlineStr">
        <is>
          <t>M48</t>
        </is>
      </c>
      <c r="BG8" s="40" t="inlineStr">
        <is>
          <t>M60</t>
        </is>
      </c>
      <c r="BH8" s="40" t="inlineStr">
        <is>
          <t>Ownership at 2x (%)</t>
        </is>
      </c>
      <c r="BI8" s="40" t="inlineStr">
        <is>
          <t>Notes</t>
        </is>
      </c>
      <c r="BJ8" s="40" t="inlineStr">
        <is>
          <t>Check: collections, units (0 = OK)</t>
        </is>
      </c>
      <c r="BK8" s="40" t="inlineStr">
        <is>
          <t>Check: instalments due (0 = OK)</t>
        </is>
      </c>
    </row>
    <row r="9">
      <c r="A9" s="23" t="n">
        <v>1</v>
      </c>
      <c r="B9" s="75" t="n">
        <v>1</v>
      </c>
      <c r="C9" s="157" t="n"/>
      <c r="D9" s="157" t="n"/>
      <c r="E9" s="157" t="n"/>
      <c r="F9" s="157" t="n"/>
      <c r="G9" s="157" t="n"/>
      <c r="H9" s="157" t="n"/>
      <c r="I9" s="157" t="n"/>
      <c r="J9" s="157" t="n"/>
      <c r="K9" s="157" t="n"/>
      <c r="L9" s="157" t="n"/>
      <c r="M9" s="157" t="n"/>
      <c r="N9" s="157" t="n"/>
      <c r="O9" s="157" t="n"/>
      <c r="P9" s="157" t="n"/>
      <c r="Q9" s="157" t="n"/>
      <c r="R9" s="157" t="n"/>
      <c r="S9" s="157" t="n"/>
      <c r="T9" s="157" t="n"/>
      <c r="U9" s="157" t="n"/>
      <c r="V9" s="157" t="n"/>
      <c r="W9" s="157" t="n"/>
      <c r="X9" s="157" t="n"/>
      <c r="Y9" s="157" t="n"/>
      <c r="Z9" s="157" t="n"/>
      <c r="AA9" s="157" t="n"/>
      <c r="AB9" s="157" t="n"/>
      <c r="AC9" s="157" t="n"/>
      <c r="AD9" s="157" t="n"/>
      <c r="AE9" s="157" t="n"/>
      <c r="AF9" s="157" t="n"/>
      <c r="AG9" s="157" t="n"/>
      <c r="AH9" s="157" t="n"/>
      <c r="AI9" s="157" t="n"/>
      <c r="AJ9" s="157" t="n"/>
      <c r="AK9" s="157" t="n"/>
      <c r="AL9" s="157" t="n"/>
      <c r="AM9" s="157" t="n"/>
      <c r="AN9" s="157" t="n"/>
      <c r="AO9" s="157" t="n"/>
      <c r="AP9" s="157" t="n"/>
      <c r="AQ9" s="157" t="n"/>
      <c r="AR9" s="157" t="n"/>
      <c r="AS9" s="157" t="n"/>
      <c r="AT9" s="157" t="n"/>
      <c r="AU9" s="157" t="n"/>
      <c r="AV9" s="157" t="n"/>
      <c r="AW9" s="157" t="n"/>
      <c r="AX9" s="157" t="n"/>
      <c r="AY9" s="157" t="n"/>
      <c r="AZ9" s="157" t="n"/>
      <c r="BA9" s="157" t="n"/>
      <c r="BB9" s="157" t="n"/>
      <c r="BC9" s="157" t="n"/>
      <c r="BD9" s="157" t="n"/>
      <c r="BE9" s="157" t="n"/>
      <c r="BF9" s="157" t="n"/>
      <c r="BG9" s="157" t="n"/>
      <c r="BH9" s="158" t="n"/>
      <c r="BI9" s="159" t="n"/>
      <c r="BJ9" s="23">
        <f>IFERROR(ISNUMBER(E9)*IF(ISNUMBER(D9),--(E9&lt;D9-0.5),1)+ISNUMBER(F9)*IF(ISNUMBER(E9),--(F9&lt;E9-0.5),1)+ISNUMBER(G9)*IF(ISNUMBER(F9),--(G9&lt;F9-0.5),1)+ISNUMBER(H9)*IF(ISNUMBER(G9),--(H9&lt;G9-0.5),1)+ISNUMBER(I9)*IF(ISNUMBER(H9),--(I9&lt;H9-0.5),1)+ISNUMBER(J9)*IF(ISNUMBER(I9),--(J9&lt;I9-0.5),1)+ISNUMBER(K9)*IF(ISNUMBER(J9),--(K9&lt;J9-0.5),1)+IF(AND(ISNUMBER(C9),C9&lt;0),1,0),1)</f>
        <v/>
      </c>
      <c r="BK9" s="23">
        <f>IFERROR(ISNUMBER(M9)*IF(ISNUMBER(L9),--(M9&lt;L9-0.5),1)+ISNUMBER(N9)*IF(ISNUMBER(M9),--(N9&lt;M9-0.5),1)+ISNUMBER(O9)*IF(ISNUMBER(N9),--(O9&lt;N9-0.5),1)+ISNUMBER(P9)*IF(ISNUMBER(O9),--(P9&lt;O9-0.5),1)+ISNUMBER(Q9)*IF(ISNUMBER(P9),--(Q9&lt;P9-0.5),1)+ISNUMBER(R9)*IF(ISNUMBER(Q9),--(R9&lt;Q9-0.5),1)+ISNUMBER(S9)*IF(ISNUMBER(R9),--(S9&lt;R9-0.5),1),1)</f>
        <v/>
      </c>
    </row>
    <row r="10">
      <c r="A10" s="23" t="n">
        <v>2</v>
      </c>
      <c r="B10" s="75" t="n">
        <v>1</v>
      </c>
      <c r="C10" s="157" t="n"/>
      <c r="D10" s="157" t="n"/>
      <c r="E10" s="157" t="n"/>
      <c r="F10" s="157" t="n"/>
      <c r="G10" s="157" t="n"/>
      <c r="H10" s="157" t="n"/>
      <c r="I10" s="157" t="n"/>
      <c r="J10" s="157" t="n"/>
      <c r="K10" s="157" t="n"/>
      <c r="L10" s="157" t="n"/>
      <c r="M10" s="157" t="n"/>
      <c r="N10" s="157" t="n"/>
      <c r="O10" s="157" t="n"/>
      <c r="P10" s="157" t="n"/>
      <c r="Q10" s="157" t="n"/>
      <c r="R10" s="157" t="n"/>
      <c r="S10" s="157" t="n"/>
      <c r="T10" s="157" t="n"/>
      <c r="U10" s="157" t="n"/>
      <c r="V10" s="157" t="n"/>
      <c r="W10" s="157" t="n"/>
      <c r="X10" s="157" t="n"/>
      <c r="Y10" s="157" t="n"/>
      <c r="Z10" s="157" t="n"/>
      <c r="AA10" s="157" t="n"/>
      <c r="AB10" s="157" t="n"/>
      <c r="AC10" s="157" t="n"/>
      <c r="AD10" s="157" t="n"/>
      <c r="AE10" s="157" t="n"/>
      <c r="AF10" s="157" t="n"/>
      <c r="AG10" s="157" t="n"/>
      <c r="AH10" s="157" t="n"/>
      <c r="AI10" s="157" t="n"/>
      <c r="AJ10" s="157" t="n"/>
      <c r="AK10" s="157" t="n"/>
      <c r="AL10" s="157" t="n"/>
      <c r="AM10" s="157" t="n"/>
      <c r="AN10" s="157" t="n"/>
      <c r="AO10" s="157" t="n"/>
      <c r="AP10" s="157" t="n"/>
      <c r="AQ10" s="157" t="n"/>
      <c r="AR10" s="157" t="n"/>
      <c r="AS10" s="157" t="n"/>
      <c r="AT10" s="157" t="n"/>
      <c r="AU10" s="157" t="n"/>
      <c r="AV10" s="157" t="n"/>
      <c r="AW10" s="157" t="n"/>
      <c r="AX10" s="157" t="n"/>
      <c r="AY10" s="157" t="n"/>
      <c r="AZ10" s="157" t="n"/>
      <c r="BA10" s="157" t="n"/>
      <c r="BB10" s="157" t="n"/>
      <c r="BC10" s="157" t="n"/>
      <c r="BD10" s="157" t="n"/>
      <c r="BE10" s="157" t="n"/>
      <c r="BF10" s="157" t="n"/>
      <c r="BG10" s="157" t="n"/>
      <c r="BH10" s="158" t="n"/>
      <c r="BI10" s="159" t="n"/>
      <c r="BJ10" s="23">
        <f>IFERROR(ISNUMBER(E10)*IF(ISNUMBER(D10),--(E10&lt;D10-0.5),1)+ISNUMBER(F10)*IF(ISNUMBER(E10),--(F10&lt;E10-0.5),1)+ISNUMBER(G10)*IF(ISNUMBER(F10),--(G10&lt;F10-0.5),1)+ISNUMBER(H10)*IF(ISNUMBER(G10),--(H10&lt;G10-0.5),1)+ISNUMBER(I10)*IF(ISNUMBER(H10),--(I10&lt;H10-0.5),1)+ISNUMBER(J10)*IF(ISNUMBER(I10),--(J10&lt;I10-0.5),1)+ISNUMBER(K10)*IF(ISNUMBER(J10),--(K10&lt;J10-0.5),1)+IF(AND(ISNUMBER(C10),C10&lt;0),1,0),1)</f>
        <v/>
      </c>
      <c r="BK10" s="23">
        <f>IFERROR(ISNUMBER(M10)*IF(ISNUMBER(L10),--(M10&lt;L10-0.5),1)+ISNUMBER(N10)*IF(ISNUMBER(M10),--(N10&lt;M10-0.5),1)+ISNUMBER(O10)*IF(ISNUMBER(N10),--(O10&lt;N10-0.5),1)+ISNUMBER(P10)*IF(ISNUMBER(O10),--(P10&lt;O10-0.5),1)+ISNUMBER(Q10)*IF(ISNUMBER(P10),--(Q10&lt;P10-0.5),1)+ISNUMBER(R10)*IF(ISNUMBER(Q10),--(R10&lt;Q10-0.5),1)+ISNUMBER(S10)*IF(ISNUMBER(R10),--(S10&lt;R10-0.5),1),1)</f>
        <v/>
      </c>
    </row>
    <row r="11">
      <c r="A11" s="23" t="n">
        <v>3</v>
      </c>
      <c r="B11" s="75" t="n">
        <v>1</v>
      </c>
      <c r="C11" s="157" t="n"/>
      <c r="D11" s="157" t="n"/>
      <c r="E11" s="157" t="n"/>
      <c r="F11" s="157" t="n"/>
      <c r="G11" s="157" t="n"/>
      <c r="H11" s="157" t="n"/>
      <c r="I11" s="157" t="n"/>
      <c r="J11" s="157" t="n"/>
      <c r="K11" s="157" t="n"/>
      <c r="L11" s="157" t="n"/>
      <c r="M11" s="157" t="n"/>
      <c r="N11" s="157" t="n"/>
      <c r="O11" s="157" t="n"/>
      <c r="P11" s="157" t="n"/>
      <c r="Q11" s="157" t="n"/>
      <c r="R11" s="157" t="n"/>
      <c r="S11" s="157" t="n"/>
      <c r="T11" s="157" t="n"/>
      <c r="U11" s="157" t="n"/>
      <c r="V11" s="157" t="n"/>
      <c r="W11" s="157" t="n"/>
      <c r="X11" s="157" t="n"/>
      <c r="Y11" s="157" t="n"/>
      <c r="Z11" s="157" t="n"/>
      <c r="AA11" s="157" t="n"/>
      <c r="AB11" s="157" t="n"/>
      <c r="AC11" s="157" t="n"/>
      <c r="AD11" s="157" t="n"/>
      <c r="AE11" s="157" t="n"/>
      <c r="AF11" s="157" t="n"/>
      <c r="AG11" s="157" t="n"/>
      <c r="AH11" s="157" t="n"/>
      <c r="AI11" s="157" t="n"/>
      <c r="AJ11" s="157" t="n"/>
      <c r="AK11" s="157" t="n"/>
      <c r="AL11" s="157" t="n"/>
      <c r="AM11" s="157" t="n"/>
      <c r="AN11" s="157" t="n"/>
      <c r="AO11" s="157" t="n"/>
      <c r="AP11" s="157" t="n"/>
      <c r="AQ11" s="157" t="n"/>
      <c r="AR11" s="157" t="n"/>
      <c r="AS11" s="157" t="n"/>
      <c r="AT11" s="157" t="n"/>
      <c r="AU11" s="157" t="n"/>
      <c r="AV11" s="157" t="n"/>
      <c r="AW11" s="157" t="n"/>
      <c r="AX11" s="157" t="n"/>
      <c r="AY11" s="157" t="n"/>
      <c r="AZ11" s="157" t="n"/>
      <c r="BA11" s="157" t="n"/>
      <c r="BB11" s="157" t="n"/>
      <c r="BC11" s="157" t="n"/>
      <c r="BD11" s="157" t="n"/>
      <c r="BE11" s="157" t="n"/>
      <c r="BF11" s="157" t="n"/>
      <c r="BG11" s="157" t="n"/>
      <c r="BH11" s="158" t="n"/>
      <c r="BI11" s="159" t="n"/>
      <c r="BJ11" s="23">
        <f>IFERROR(ISNUMBER(E11)*IF(ISNUMBER(D11),--(E11&lt;D11-0.5),1)+ISNUMBER(F11)*IF(ISNUMBER(E11),--(F11&lt;E11-0.5),1)+ISNUMBER(G11)*IF(ISNUMBER(F11),--(G11&lt;F11-0.5),1)+ISNUMBER(H11)*IF(ISNUMBER(G11),--(H11&lt;G11-0.5),1)+ISNUMBER(I11)*IF(ISNUMBER(H11),--(I11&lt;H11-0.5),1)+ISNUMBER(J11)*IF(ISNUMBER(I11),--(J11&lt;I11-0.5),1)+ISNUMBER(K11)*IF(ISNUMBER(J11),--(K11&lt;J11-0.5),1)+IF(AND(ISNUMBER(C11),C11&lt;0),1,0),1)</f>
        <v/>
      </c>
      <c r="BK11" s="23">
        <f>IFERROR(ISNUMBER(M11)*IF(ISNUMBER(L11),--(M11&lt;L11-0.5),1)+ISNUMBER(N11)*IF(ISNUMBER(M11),--(N11&lt;M11-0.5),1)+ISNUMBER(O11)*IF(ISNUMBER(N11),--(O11&lt;N11-0.5),1)+ISNUMBER(P11)*IF(ISNUMBER(O11),--(P11&lt;O11-0.5),1)+ISNUMBER(Q11)*IF(ISNUMBER(P11),--(Q11&lt;P11-0.5),1)+ISNUMBER(R11)*IF(ISNUMBER(Q11),--(R11&lt;Q11-0.5),1)+ISNUMBER(S11)*IF(ISNUMBER(R11),--(S11&lt;R11-0.5),1),1)</f>
        <v/>
      </c>
    </row>
    <row r="12">
      <c r="A12" s="23" t="n">
        <v>4</v>
      </c>
      <c r="B12" s="75" t="n">
        <v>1</v>
      </c>
      <c r="C12" s="157" t="n"/>
      <c r="D12" s="157" t="n"/>
      <c r="E12" s="157" t="n"/>
      <c r="F12" s="157" t="n"/>
      <c r="G12" s="157" t="n"/>
      <c r="H12" s="157" t="n"/>
      <c r="I12" s="157" t="n"/>
      <c r="J12" s="157" t="n"/>
      <c r="K12" s="157" t="n"/>
      <c r="L12" s="157" t="n"/>
      <c r="M12" s="157" t="n"/>
      <c r="N12" s="157" t="n"/>
      <c r="O12" s="157" t="n"/>
      <c r="P12" s="157" t="n"/>
      <c r="Q12" s="157" t="n"/>
      <c r="R12" s="157" t="n"/>
      <c r="S12" s="157" t="n"/>
      <c r="T12" s="157" t="n"/>
      <c r="U12" s="157" t="n"/>
      <c r="V12" s="157" t="n"/>
      <c r="W12" s="157" t="n"/>
      <c r="X12" s="157" t="n"/>
      <c r="Y12" s="157" t="n"/>
      <c r="Z12" s="157" t="n"/>
      <c r="AA12" s="157" t="n"/>
      <c r="AB12" s="157" t="n"/>
      <c r="AC12" s="157" t="n"/>
      <c r="AD12" s="157" t="n"/>
      <c r="AE12" s="157" t="n"/>
      <c r="AF12" s="157" t="n"/>
      <c r="AG12" s="157" t="n"/>
      <c r="AH12" s="157" t="n"/>
      <c r="AI12" s="157" t="n"/>
      <c r="AJ12" s="157" t="n"/>
      <c r="AK12" s="157" t="n"/>
      <c r="AL12" s="157" t="n"/>
      <c r="AM12" s="157" t="n"/>
      <c r="AN12" s="157" t="n"/>
      <c r="AO12" s="157" t="n"/>
      <c r="AP12" s="157" t="n"/>
      <c r="AQ12" s="157" t="n"/>
      <c r="AR12" s="157" t="n"/>
      <c r="AS12" s="157" t="n"/>
      <c r="AT12" s="157" t="n"/>
      <c r="AU12" s="157" t="n"/>
      <c r="AV12" s="157" t="n"/>
      <c r="AW12" s="157" t="n"/>
      <c r="AX12" s="157" t="n"/>
      <c r="AY12" s="157" t="n"/>
      <c r="AZ12" s="157" t="n"/>
      <c r="BA12" s="157" t="n"/>
      <c r="BB12" s="157" t="n"/>
      <c r="BC12" s="157" t="n"/>
      <c r="BD12" s="157" t="n"/>
      <c r="BE12" s="157" t="n"/>
      <c r="BF12" s="157" t="n"/>
      <c r="BG12" s="157" t="n"/>
      <c r="BH12" s="158" t="n"/>
      <c r="BI12" s="159" t="n"/>
      <c r="BJ12" s="23">
        <f>IFERROR(ISNUMBER(E12)*IF(ISNUMBER(D12),--(E12&lt;D12-0.5),1)+ISNUMBER(F12)*IF(ISNUMBER(E12),--(F12&lt;E12-0.5),1)+ISNUMBER(G12)*IF(ISNUMBER(F12),--(G12&lt;F12-0.5),1)+ISNUMBER(H12)*IF(ISNUMBER(G12),--(H12&lt;G12-0.5),1)+ISNUMBER(I12)*IF(ISNUMBER(H12),--(I12&lt;H12-0.5),1)+ISNUMBER(J12)*IF(ISNUMBER(I12),--(J12&lt;I12-0.5),1)+ISNUMBER(K12)*IF(ISNUMBER(J12),--(K12&lt;J12-0.5),1)+IF(AND(ISNUMBER(C12),C12&lt;0),1,0),1)</f>
        <v/>
      </c>
      <c r="BK12" s="23">
        <f>IFERROR(ISNUMBER(M12)*IF(ISNUMBER(L12),--(M12&lt;L12-0.5),1)+ISNUMBER(N12)*IF(ISNUMBER(M12),--(N12&lt;M12-0.5),1)+ISNUMBER(O12)*IF(ISNUMBER(N12),--(O12&lt;N12-0.5),1)+ISNUMBER(P12)*IF(ISNUMBER(O12),--(P12&lt;O12-0.5),1)+ISNUMBER(Q12)*IF(ISNUMBER(P12),--(Q12&lt;P12-0.5),1)+ISNUMBER(R12)*IF(ISNUMBER(Q12),--(R12&lt;Q12-0.5),1)+ISNUMBER(S12)*IF(ISNUMBER(R12),--(S12&lt;R12-0.5),1),1)</f>
        <v/>
      </c>
    </row>
    <row r="13">
      <c r="A13" s="23" t="n">
        <v>5</v>
      </c>
      <c r="B13" s="75" t="n">
        <v>1</v>
      </c>
      <c r="C13" s="157" t="n"/>
      <c r="D13" s="157" t="n"/>
      <c r="E13" s="157" t="n"/>
      <c r="F13" s="157" t="n"/>
      <c r="G13" s="157" t="n"/>
      <c r="H13" s="157" t="n"/>
      <c r="I13" s="157" t="n"/>
      <c r="J13" s="157" t="n"/>
      <c r="K13" s="157" t="n"/>
      <c r="L13" s="157" t="n"/>
      <c r="M13" s="157" t="n"/>
      <c r="N13" s="157" t="n"/>
      <c r="O13" s="157" t="n"/>
      <c r="P13" s="157" t="n"/>
      <c r="Q13" s="157" t="n"/>
      <c r="R13" s="157" t="n"/>
      <c r="S13" s="157" t="n"/>
      <c r="T13" s="157" t="n"/>
      <c r="U13" s="157" t="n"/>
      <c r="V13" s="157" t="n"/>
      <c r="W13" s="157" t="n"/>
      <c r="X13" s="157" t="n"/>
      <c r="Y13" s="157" t="n"/>
      <c r="Z13" s="157" t="n"/>
      <c r="AA13" s="157" t="n"/>
      <c r="AB13" s="157" t="n"/>
      <c r="AC13" s="157" t="n"/>
      <c r="AD13" s="157" t="n"/>
      <c r="AE13" s="157" t="n"/>
      <c r="AF13" s="157" t="n"/>
      <c r="AG13" s="157" t="n"/>
      <c r="AH13" s="157" t="n"/>
      <c r="AI13" s="157" t="n"/>
      <c r="AJ13" s="157" t="n"/>
      <c r="AK13" s="157" t="n"/>
      <c r="AL13" s="157" t="n"/>
      <c r="AM13" s="157" t="n"/>
      <c r="AN13" s="157" t="n"/>
      <c r="AO13" s="157" t="n"/>
      <c r="AP13" s="157" t="n"/>
      <c r="AQ13" s="157" t="n"/>
      <c r="AR13" s="157" t="n"/>
      <c r="AS13" s="157" t="n"/>
      <c r="AT13" s="157" t="n"/>
      <c r="AU13" s="157" t="n"/>
      <c r="AV13" s="157" t="n"/>
      <c r="AW13" s="157" t="n"/>
      <c r="AX13" s="157" t="n"/>
      <c r="AY13" s="157" t="n"/>
      <c r="AZ13" s="157" t="n"/>
      <c r="BA13" s="157" t="n"/>
      <c r="BB13" s="157" t="n"/>
      <c r="BC13" s="157" t="n"/>
      <c r="BD13" s="157" t="n"/>
      <c r="BE13" s="157" t="n"/>
      <c r="BF13" s="157" t="n"/>
      <c r="BG13" s="157" t="n"/>
      <c r="BH13" s="158" t="n"/>
      <c r="BI13" s="159" t="n"/>
      <c r="BJ13" s="23">
        <f>IFERROR(ISNUMBER(E13)*IF(ISNUMBER(D13),--(E13&lt;D13-0.5),1)+ISNUMBER(F13)*IF(ISNUMBER(E13),--(F13&lt;E13-0.5),1)+ISNUMBER(G13)*IF(ISNUMBER(F13),--(G13&lt;F13-0.5),1)+ISNUMBER(H13)*IF(ISNUMBER(G13),--(H13&lt;G13-0.5),1)+ISNUMBER(I13)*IF(ISNUMBER(H13),--(I13&lt;H13-0.5),1)+ISNUMBER(J13)*IF(ISNUMBER(I13),--(J13&lt;I13-0.5),1)+ISNUMBER(K13)*IF(ISNUMBER(J13),--(K13&lt;J13-0.5),1)+IF(AND(ISNUMBER(C13),C13&lt;0),1,0),1)</f>
        <v/>
      </c>
      <c r="BK13" s="23">
        <f>IFERROR(ISNUMBER(M13)*IF(ISNUMBER(L13),--(M13&lt;L13-0.5),1)+ISNUMBER(N13)*IF(ISNUMBER(M13),--(N13&lt;M13-0.5),1)+ISNUMBER(O13)*IF(ISNUMBER(N13),--(O13&lt;N13-0.5),1)+ISNUMBER(P13)*IF(ISNUMBER(O13),--(P13&lt;O13-0.5),1)+ISNUMBER(Q13)*IF(ISNUMBER(P13),--(Q13&lt;P13-0.5),1)+ISNUMBER(R13)*IF(ISNUMBER(Q13),--(R13&lt;Q13-0.5),1)+ISNUMBER(S13)*IF(ISNUMBER(R13),--(S13&lt;R13-0.5),1),1)</f>
        <v/>
      </c>
    </row>
    <row r="14">
      <c r="A14" s="23" t="n">
        <v>6</v>
      </c>
      <c r="B14" s="75" t="n">
        <v>1</v>
      </c>
      <c r="C14" s="157" t="n"/>
      <c r="D14" s="157" t="n"/>
      <c r="E14" s="157" t="n"/>
      <c r="F14" s="157" t="n"/>
      <c r="G14" s="157" t="n"/>
      <c r="H14" s="157" t="n"/>
      <c r="I14" s="157" t="n"/>
      <c r="J14" s="157" t="n"/>
      <c r="K14" s="157" t="n"/>
      <c r="L14" s="157" t="n"/>
      <c r="M14" s="157" t="n"/>
      <c r="N14" s="157" t="n"/>
      <c r="O14" s="157" t="n"/>
      <c r="P14" s="157" t="n"/>
      <c r="Q14" s="157" t="n"/>
      <c r="R14" s="157" t="n"/>
      <c r="S14" s="157" t="n"/>
      <c r="T14" s="157" t="n"/>
      <c r="U14" s="157" t="n"/>
      <c r="V14" s="157" t="n"/>
      <c r="W14" s="157" t="n"/>
      <c r="X14" s="157" t="n"/>
      <c r="Y14" s="157" t="n"/>
      <c r="Z14" s="157" t="n"/>
      <c r="AA14" s="157" t="n"/>
      <c r="AB14" s="157" t="n"/>
      <c r="AC14" s="157" t="n"/>
      <c r="AD14" s="157" t="n"/>
      <c r="AE14" s="157" t="n"/>
      <c r="AF14" s="157" t="n"/>
      <c r="AG14" s="157" t="n"/>
      <c r="AH14" s="157" t="n"/>
      <c r="AI14" s="157" t="n"/>
      <c r="AJ14" s="157" t="n"/>
      <c r="AK14" s="157" t="n"/>
      <c r="AL14" s="157" t="n"/>
      <c r="AM14" s="157" t="n"/>
      <c r="AN14" s="157" t="n"/>
      <c r="AO14" s="157" t="n"/>
      <c r="AP14" s="157" t="n"/>
      <c r="AQ14" s="157" t="n"/>
      <c r="AR14" s="157" t="n"/>
      <c r="AS14" s="157" t="n"/>
      <c r="AT14" s="157" t="n"/>
      <c r="AU14" s="157" t="n"/>
      <c r="AV14" s="157" t="n"/>
      <c r="AW14" s="157" t="n"/>
      <c r="AX14" s="157" t="n"/>
      <c r="AY14" s="157" t="n"/>
      <c r="AZ14" s="157" t="n"/>
      <c r="BA14" s="157" t="n"/>
      <c r="BB14" s="157" t="n"/>
      <c r="BC14" s="157" t="n"/>
      <c r="BD14" s="157" t="n"/>
      <c r="BE14" s="157" t="n"/>
      <c r="BF14" s="157" t="n"/>
      <c r="BG14" s="157" t="n"/>
      <c r="BH14" s="158" t="n"/>
      <c r="BI14" s="159" t="n"/>
      <c r="BJ14" s="23">
        <f>IFERROR(ISNUMBER(E14)*IF(ISNUMBER(D14),--(E14&lt;D14-0.5),1)+ISNUMBER(F14)*IF(ISNUMBER(E14),--(F14&lt;E14-0.5),1)+ISNUMBER(G14)*IF(ISNUMBER(F14),--(G14&lt;F14-0.5),1)+ISNUMBER(H14)*IF(ISNUMBER(G14),--(H14&lt;G14-0.5),1)+ISNUMBER(I14)*IF(ISNUMBER(H14),--(I14&lt;H14-0.5),1)+ISNUMBER(J14)*IF(ISNUMBER(I14),--(J14&lt;I14-0.5),1)+ISNUMBER(K14)*IF(ISNUMBER(J14),--(K14&lt;J14-0.5),1)+IF(AND(ISNUMBER(C14),C14&lt;0),1,0),1)</f>
        <v/>
      </c>
      <c r="BK14" s="23">
        <f>IFERROR(ISNUMBER(M14)*IF(ISNUMBER(L14),--(M14&lt;L14-0.5),1)+ISNUMBER(N14)*IF(ISNUMBER(M14),--(N14&lt;M14-0.5),1)+ISNUMBER(O14)*IF(ISNUMBER(N14),--(O14&lt;N14-0.5),1)+ISNUMBER(P14)*IF(ISNUMBER(O14),--(P14&lt;O14-0.5),1)+ISNUMBER(Q14)*IF(ISNUMBER(P14),--(Q14&lt;P14-0.5),1)+ISNUMBER(R14)*IF(ISNUMBER(Q14),--(R14&lt;Q14-0.5),1)+ISNUMBER(S14)*IF(ISNUMBER(R14),--(S14&lt;R14-0.5),1),1)</f>
        <v/>
      </c>
    </row>
    <row r="15">
      <c r="A15" s="23" t="n">
        <v>7</v>
      </c>
      <c r="B15" s="75" t="n">
        <v>1</v>
      </c>
      <c r="C15" s="157" t="n"/>
      <c r="D15" s="157" t="n"/>
      <c r="E15" s="157" t="n"/>
      <c r="F15" s="157" t="n"/>
      <c r="G15" s="157" t="n"/>
      <c r="H15" s="157" t="n"/>
      <c r="I15" s="157" t="n"/>
      <c r="J15" s="157" t="n"/>
      <c r="K15" s="157" t="n"/>
      <c r="L15" s="157" t="n"/>
      <c r="M15" s="157" t="n"/>
      <c r="N15" s="157" t="n"/>
      <c r="O15" s="157" t="n"/>
      <c r="P15" s="157" t="n"/>
      <c r="Q15" s="157" t="n"/>
      <c r="R15" s="157" t="n"/>
      <c r="S15" s="157" t="n"/>
      <c r="T15" s="157" t="n"/>
      <c r="U15" s="157" t="n"/>
      <c r="V15" s="157" t="n"/>
      <c r="W15" s="157" t="n"/>
      <c r="X15" s="157" t="n"/>
      <c r="Y15" s="157" t="n"/>
      <c r="Z15" s="157" t="n"/>
      <c r="AA15" s="157" t="n"/>
      <c r="AB15" s="157" t="n"/>
      <c r="AC15" s="157" t="n"/>
      <c r="AD15" s="157" t="n"/>
      <c r="AE15" s="157" t="n"/>
      <c r="AF15" s="157" t="n"/>
      <c r="AG15" s="157" t="n"/>
      <c r="AH15" s="157" t="n"/>
      <c r="AI15" s="157" t="n"/>
      <c r="AJ15" s="157" t="n"/>
      <c r="AK15" s="157" t="n"/>
      <c r="AL15" s="157" t="n"/>
      <c r="AM15" s="157" t="n"/>
      <c r="AN15" s="157" t="n"/>
      <c r="AO15" s="157" t="n"/>
      <c r="AP15" s="157" t="n"/>
      <c r="AQ15" s="157" t="n"/>
      <c r="AR15" s="157" t="n"/>
      <c r="AS15" s="157" t="n"/>
      <c r="AT15" s="157" t="n"/>
      <c r="AU15" s="157" t="n"/>
      <c r="AV15" s="157" t="n"/>
      <c r="AW15" s="157" t="n"/>
      <c r="AX15" s="157" t="n"/>
      <c r="AY15" s="157" t="n"/>
      <c r="AZ15" s="157" t="n"/>
      <c r="BA15" s="157" t="n"/>
      <c r="BB15" s="157" t="n"/>
      <c r="BC15" s="157" t="n"/>
      <c r="BD15" s="157" t="n"/>
      <c r="BE15" s="157" t="n"/>
      <c r="BF15" s="157" t="n"/>
      <c r="BG15" s="157" t="n"/>
      <c r="BH15" s="158" t="n"/>
      <c r="BI15" s="159" t="n"/>
      <c r="BJ15" s="23">
        <f>IFERROR(ISNUMBER(E15)*IF(ISNUMBER(D15),--(E15&lt;D15-0.5),1)+ISNUMBER(F15)*IF(ISNUMBER(E15),--(F15&lt;E15-0.5),1)+ISNUMBER(G15)*IF(ISNUMBER(F15),--(G15&lt;F15-0.5),1)+ISNUMBER(H15)*IF(ISNUMBER(G15),--(H15&lt;G15-0.5),1)+ISNUMBER(I15)*IF(ISNUMBER(H15),--(I15&lt;H15-0.5),1)+ISNUMBER(J15)*IF(ISNUMBER(I15),--(J15&lt;I15-0.5),1)+ISNUMBER(K15)*IF(ISNUMBER(J15),--(K15&lt;J15-0.5),1)+IF(AND(ISNUMBER(C15),C15&lt;0),1,0),1)</f>
        <v/>
      </c>
      <c r="BK15" s="23">
        <f>IFERROR(ISNUMBER(M15)*IF(ISNUMBER(L15),--(M15&lt;L15-0.5),1)+ISNUMBER(N15)*IF(ISNUMBER(M15),--(N15&lt;M15-0.5),1)+ISNUMBER(O15)*IF(ISNUMBER(N15),--(O15&lt;N15-0.5),1)+ISNUMBER(P15)*IF(ISNUMBER(O15),--(P15&lt;O15-0.5),1)+ISNUMBER(Q15)*IF(ISNUMBER(P15),--(Q15&lt;P15-0.5),1)+ISNUMBER(R15)*IF(ISNUMBER(Q15),--(R15&lt;Q15-0.5),1)+ISNUMBER(S15)*IF(ISNUMBER(R15),--(S15&lt;R15-0.5),1),1)</f>
        <v/>
      </c>
    </row>
    <row r="16">
      <c r="A16" s="23" t="n">
        <v>8</v>
      </c>
      <c r="B16" s="75" t="n">
        <v>1</v>
      </c>
      <c r="C16" s="157" t="n"/>
      <c r="D16" s="157" t="n"/>
      <c r="E16" s="157" t="n"/>
      <c r="F16" s="157" t="n"/>
      <c r="G16" s="157" t="n"/>
      <c r="H16" s="157" t="n"/>
      <c r="I16" s="157" t="n"/>
      <c r="J16" s="157" t="n"/>
      <c r="K16" s="157" t="n"/>
      <c r="L16" s="157" t="n"/>
      <c r="M16" s="157" t="n"/>
      <c r="N16" s="157" t="n"/>
      <c r="O16" s="157" t="n"/>
      <c r="P16" s="157" t="n"/>
      <c r="Q16" s="157" t="n"/>
      <c r="R16" s="157" t="n"/>
      <c r="S16" s="157" t="n"/>
      <c r="T16" s="157" t="n"/>
      <c r="U16" s="157" t="n"/>
      <c r="V16" s="157" t="n"/>
      <c r="W16" s="157" t="n"/>
      <c r="X16" s="157" t="n"/>
      <c r="Y16" s="157" t="n"/>
      <c r="Z16" s="157" t="n"/>
      <c r="AA16" s="157" t="n"/>
      <c r="AB16" s="157" t="n"/>
      <c r="AC16" s="157" t="n"/>
      <c r="AD16" s="157" t="n"/>
      <c r="AE16" s="157" t="n"/>
      <c r="AF16" s="157" t="n"/>
      <c r="AG16" s="157" t="n"/>
      <c r="AH16" s="157" t="n"/>
      <c r="AI16" s="157" t="n"/>
      <c r="AJ16" s="157" t="n"/>
      <c r="AK16" s="157" t="n"/>
      <c r="AL16" s="157" t="n"/>
      <c r="AM16" s="157" t="n"/>
      <c r="AN16" s="157" t="n"/>
      <c r="AO16" s="157" t="n"/>
      <c r="AP16" s="157" t="n"/>
      <c r="AQ16" s="157" t="n"/>
      <c r="AR16" s="157" t="n"/>
      <c r="AS16" s="157" t="n"/>
      <c r="AT16" s="157" t="n"/>
      <c r="AU16" s="157" t="n"/>
      <c r="AV16" s="157" t="n"/>
      <c r="AW16" s="157" t="n"/>
      <c r="AX16" s="157" t="n"/>
      <c r="AY16" s="157" t="n"/>
      <c r="AZ16" s="157" t="n"/>
      <c r="BA16" s="157" t="n"/>
      <c r="BB16" s="157" t="n"/>
      <c r="BC16" s="157" t="n"/>
      <c r="BD16" s="157" t="n"/>
      <c r="BE16" s="157" t="n"/>
      <c r="BF16" s="157" t="n"/>
      <c r="BG16" s="157" t="n"/>
      <c r="BH16" s="158" t="n"/>
      <c r="BI16" s="159" t="n"/>
      <c r="BJ16" s="23">
        <f>IFERROR(ISNUMBER(E16)*IF(ISNUMBER(D16),--(E16&lt;D16-0.5),1)+ISNUMBER(F16)*IF(ISNUMBER(E16),--(F16&lt;E16-0.5),1)+ISNUMBER(G16)*IF(ISNUMBER(F16),--(G16&lt;F16-0.5),1)+ISNUMBER(H16)*IF(ISNUMBER(G16),--(H16&lt;G16-0.5),1)+ISNUMBER(I16)*IF(ISNUMBER(H16),--(I16&lt;H16-0.5),1)+ISNUMBER(J16)*IF(ISNUMBER(I16),--(J16&lt;I16-0.5),1)+ISNUMBER(K16)*IF(ISNUMBER(J16),--(K16&lt;J16-0.5),1)+IF(AND(ISNUMBER(C16),C16&lt;0),1,0),1)</f>
        <v/>
      </c>
      <c r="BK16" s="23">
        <f>IFERROR(ISNUMBER(M16)*IF(ISNUMBER(L16),--(M16&lt;L16-0.5),1)+ISNUMBER(N16)*IF(ISNUMBER(M16),--(N16&lt;M16-0.5),1)+ISNUMBER(O16)*IF(ISNUMBER(N16),--(O16&lt;N16-0.5),1)+ISNUMBER(P16)*IF(ISNUMBER(O16),--(P16&lt;O16-0.5),1)+ISNUMBER(Q16)*IF(ISNUMBER(P16),--(Q16&lt;P16-0.5),1)+ISNUMBER(R16)*IF(ISNUMBER(Q16),--(R16&lt;Q16-0.5),1)+ISNUMBER(S16)*IF(ISNUMBER(R16),--(S16&lt;R16-0.5),1),1)</f>
        <v/>
      </c>
    </row>
    <row r="17">
      <c r="A17" s="23" t="n">
        <v>9</v>
      </c>
      <c r="B17" s="75" t="n">
        <v>1</v>
      </c>
      <c r="C17" s="157" t="n"/>
      <c r="D17" s="157" t="n"/>
      <c r="E17" s="157" t="n"/>
      <c r="F17" s="157" t="n"/>
      <c r="G17" s="157" t="n"/>
      <c r="H17" s="157" t="n"/>
      <c r="I17" s="157" t="n"/>
      <c r="J17" s="157" t="n"/>
      <c r="K17" s="157" t="n"/>
      <c r="L17" s="157" t="n"/>
      <c r="M17" s="157" t="n"/>
      <c r="N17" s="157" t="n"/>
      <c r="O17" s="157" t="n"/>
      <c r="P17" s="157" t="n"/>
      <c r="Q17" s="157" t="n"/>
      <c r="R17" s="157" t="n"/>
      <c r="S17" s="157" t="n"/>
      <c r="T17" s="157" t="n"/>
      <c r="U17" s="157" t="n"/>
      <c r="V17" s="157" t="n"/>
      <c r="W17" s="157" t="n"/>
      <c r="X17" s="157" t="n"/>
      <c r="Y17" s="157" t="n"/>
      <c r="Z17" s="157" t="n"/>
      <c r="AA17" s="157" t="n"/>
      <c r="AB17" s="157" t="n"/>
      <c r="AC17" s="157" t="n"/>
      <c r="AD17" s="157" t="n"/>
      <c r="AE17" s="157" t="n"/>
      <c r="AF17" s="157" t="n"/>
      <c r="AG17" s="157" t="n"/>
      <c r="AH17" s="157" t="n"/>
      <c r="AI17" s="157" t="n"/>
      <c r="AJ17" s="157" t="n"/>
      <c r="AK17" s="157" t="n"/>
      <c r="AL17" s="157" t="n"/>
      <c r="AM17" s="157" t="n"/>
      <c r="AN17" s="157" t="n"/>
      <c r="AO17" s="157" t="n"/>
      <c r="AP17" s="157" t="n"/>
      <c r="AQ17" s="157" t="n"/>
      <c r="AR17" s="157" t="n"/>
      <c r="AS17" s="157" t="n"/>
      <c r="AT17" s="157" t="n"/>
      <c r="AU17" s="157" t="n"/>
      <c r="AV17" s="157" t="n"/>
      <c r="AW17" s="157" t="n"/>
      <c r="AX17" s="157" t="n"/>
      <c r="AY17" s="157" t="n"/>
      <c r="AZ17" s="157" t="n"/>
      <c r="BA17" s="157" t="n"/>
      <c r="BB17" s="157" t="n"/>
      <c r="BC17" s="157" t="n"/>
      <c r="BD17" s="157" t="n"/>
      <c r="BE17" s="157" t="n"/>
      <c r="BF17" s="157" t="n"/>
      <c r="BG17" s="157" t="n"/>
      <c r="BH17" s="158" t="n"/>
      <c r="BI17" s="159" t="n"/>
      <c r="BJ17" s="23">
        <f>IFERROR(ISNUMBER(E17)*IF(ISNUMBER(D17),--(E17&lt;D17-0.5),1)+ISNUMBER(F17)*IF(ISNUMBER(E17),--(F17&lt;E17-0.5),1)+ISNUMBER(G17)*IF(ISNUMBER(F17),--(G17&lt;F17-0.5),1)+ISNUMBER(H17)*IF(ISNUMBER(G17),--(H17&lt;G17-0.5),1)+ISNUMBER(I17)*IF(ISNUMBER(H17),--(I17&lt;H17-0.5),1)+ISNUMBER(J17)*IF(ISNUMBER(I17),--(J17&lt;I17-0.5),1)+ISNUMBER(K17)*IF(ISNUMBER(J17),--(K17&lt;J17-0.5),1)+IF(AND(ISNUMBER(C17),C17&lt;0),1,0),1)</f>
        <v/>
      </c>
      <c r="BK17" s="23">
        <f>IFERROR(ISNUMBER(M17)*IF(ISNUMBER(L17),--(M17&lt;L17-0.5),1)+ISNUMBER(N17)*IF(ISNUMBER(M17),--(N17&lt;M17-0.5),1)+ISNUMBER(O17)*IF(ISNUMBER(N17),--(O17&lt;N17-0.5),1)+ISNUMBER(P17)*IF(ISNUMBER(O17),--(P17&lt;O17-0.5),1)+ISNUMBER(Q17)*IF(ISNUMBER(P17),--(Q17&lt;P17-0.5),1)+ISNUMBER(R17)*IF(ISNUMBER(Q17),--(R17&lt;Q17-0.5),1)+ISNUMBER(S17)*IF(ISNUMBER(R17),--(S17&lt;R17-0.5),1),1)</f>
        <v/>
      </c>
    </row>
    <row r="18">
      <c r="A18" s="23" t="n">
        <v>10</v>
      </c>
      <c r="B18" s="75" t="n">
        <v>1</v>
      </c>
      <c r="C18" s="157" t="n"/>
      <c r="D18" s="157" t="n"/>
      <c r="E18" s="157" t="n"/>
      <c r="F18" s="157" t="n"/>
      <c r="G18" s="157" t="n"/>
      <c r="H18" s="157" t="n"/>
      <c r="I18" s="157" t="n"/>
      <c r="J18" s="157" t="n"/>
      <c r="K18" s="157" t="n"/>
      <c r="L18" s="157" t="n"/>
      <c r="M18" s="157" t="n"/>
      <c r="N18" s="157" t="n"/>
      <c r="O18" s="157" t="n"/>
      <c r="P18" s="157" t="n"/>
      <c r="Q18" s="157" t="n"/>
      <c r="R18" s="157" t="n"/>
      <c r="S18" s="157" t="n"/>
      <c r="T18" s="157" t="n"/>
      <c r="U18" s="157" t="n"/>
      <c r="V18" s="157" t="n"/>
      <c r="W18" s="157" t="n"/>
      <c r="X18" s="157" t="n"/>
      <c r="Y18" s="157" t="n"/>
      <c r="Z18" s="157" t="n"/>
      <c r="AA18" s="157" t="n"/>
      <c r="AB18" s="157" t="n"/>
      <c r="AC18" s="157" t="n"/>
      <c r="AD18" s="157" t="n"/>
      <c r="AE18" s="157" t="n"/>
      <c r="AF18" s="157" t="n"/>
      <c r="AG18" s="157" t="n"/>
      <c r="AH18" s="157" t="n"/>
      <c r="AI18" s="157" t="n"/>
      <c r="AJ18" s="157" t="n"/>
      <c r="AK18" s="157" t="n"/>
      <c r="AL18" s="157" t="n"/>
      <c r="AM18" s="157" t="n"/>
      <c r="AN18" s="157" t="n"/>
      <c r="AO18" s="157" t="n"/>
      <c r="AP18" s="157" t="n"/>
      <c r="AQ18" s="157" t="n"/>
      <c r="AR18" s="157" t="n"/>
      <c r="AS18" s="157" t="n"/>
      <c r="AT18" s="157" t="n"/>
      <c r="AU18" s="157" t="n"/>
      <c r="AV18" s="157" t="n"/>
      <c r="AW18" s="157" t="n"/>
      <c r="AX18" s="157" t="n"/>
      <c r="AY18" s="157" t="n"/>
      <c r="AZ18" s="157" t="n"/>
      <c r="BA18" s="157" t="n"/>
      <c r="BB18" s="157" t="n"/>
      <c r="BC18" s="157" t="n"/>
      <c r="BD18" s="157" t="n"/>
      <c r="BE18" s="157" t="n"/>
      <c r="BF18" s="157" t="n"/>
      <c r="BG18" s="157" t="n"/>
      <c r="BH18" s="158" t="n"/>
      <c r="BI18" s="159" t="n"/>
      <c r="BJ18" s="23">
        <f>IFERROR(ISNUMBER(E18)*IF(ISNUMBER(D18),--(E18&lt;D18-0.5),1)+ISNUMBER(F18)*IF(ISNUMBER(E18),--(F18&lt;E18-0.5),1)+ISNUMBER(G18)*IF(ISNUMBER(F18),--(G18&lt;F18-0.5),1)+ISNUMBER(H18)*IF(ISNUMBER(G18),--(H18&lt;G18-0.5),1)+ISNUMBER(I18)*IF(ISNUMBER(H18),--(I18&lt;H18-0.5),1)+ISNUMBER(J18)*IF(ISNUMBER(I18),--(J18&lt;I18-0.5),1)+ISNUMBER(K18)*IF(ISNUMBER(J18),--(K18&lt;J18-0.5),1)+IF(AND(ISNUMBER(C18),C18&lt;0),1,0),1)</f>
        <v/>
      </c>
      <c r="BK18" s="23">
        <f>IFERROR(ISNUMBER(M18)*IF(ISNUMBER(L18),--(M18&lt;L18-0.5),1)+ISNUMBER(N18)*IF(ISNUMBER(M18),--(N18&lt;M18-0.5),1)+ISNUMBER(O18)*IF(ISNUMBER(N18),--(O18&lt;N18-0.5),1)+ISNUMBER(P18)*IF(ISNUMBER(O18),--(P18&lt;O18-0.5),1)+ISNUMBER(Q18)*IF(ISNUMBER(P18),--(Q18&lt;P18-0.5),1)+ISNUMBER(R18)*IF(ISNUMBER(Q18),--(R18&lt;Q18-0.5),1)+ISNUMBER(S18)*IF(ISNUMBER(R18),--(S18&lt;R18-0.5),1),1)</f>
        <v/>
      </c>
    </row>
    <row r="19">
      <c r="A19" s="23" t="n">
        <v>11</v>
      </c>
      <c r="B19" s="75" t="n">
        <v>1</v>
      </c>
      <c r="C19" s="157" t="n"/>
      <c r="D19" s="157" t="n"/>
      <c r="E19" s="157" t="n"/>
      <c r="F19" s="157" t="n"/>
      <c r="G19" s="157" t="n"/>
      <c r="H19" s="157" t="n"/>
      <c r="I19" s="157" t="n"/>
      <c r="J19" s="157" t="n"/>
      <c r="K19" s="157" t="n"/>
      <c r="L19" s="157" t="n"/>
      <c r="M19" s="157" t="n"/>
      <c r="N19" s="157" t="n"/>
      <c r="O19" s="157" t="n"/>
      <c r="P19" s="157" t="n"/>
      <c r="Q19" s="157" t="n"/>
      <c r="R19" s="157" t="n"/>
      <c r="S19" s="157" t="n"/>
      <c r="T19" s="157" t="n"/>
      <c r="U19" s="157" t="n"/>
      <c r="V19" s="157" t="n"/>
      <c r="W19" s="157" t="n"/>
      <c r="X19" s="157" t="n"/>
      <c r="Y19" s="157" t="n"/>
      <c r="Z19" s="157" t="n"/>
      <c r="AA19" s="157" t="n"/>
      <c r="AB19" s="157" t="n"/>
      <c r="AC19" s="157" t="n"/>
      <c r="AD19" s="157" t="n"/>
      <c r="AE19" s="157" t="n"/>
      <c r="AF19" s="157" t="n"/>
      <c r="AG19" s="157" t="n"/>
      <c r="AH19" s="157" t="n"/>
      <c r="AI19" s="157" t="n"/>
      <c r="AJ19" s="157" t="n"/>
      <c r="AK19" s="157" t="n"/>
      <c r="AL19" s="157" t="n"/>
      <c r="AM19" s="157" t="n"/>
      <c r="AN19" s="157" t="n"/>
      <c r="AO19" s="157" t="n"/>
      <c r="AP19" s="157" t="n"/>
      <c r="AQ19" s="157" t="n"/>
      <c r="AR19" s="157" t="n"/>
      <c r="AS19" s="157" t="n"/>
      <c r="AT19" s="157" t="n"/>
      <c r="AU19" s="157" t="n"/>
      <c r="AV19" s="157" t="n"/>
      <c r="AW19" s="157" t="n"/>
      <c r="AX19" s="157" t="n"/>
      <c r="AY19" s="157" t="n"/>
      <c r="AZ19" s="157" t="n"/>
      <c r="BA19" s="157" t="n"/>
      <c r="BB19" s="157" t="n"/>
      <c r="BC19" s="157" t="n"/>
      <c r="BD19" s="157" t="n"/>
      <c r="BE19" s="157" t="n"/>
      <c r="BF19" s="157" t="n"/>
      <c r="BG19" s="157" t="n"/>
      <c r="BH19" s="158" t="n"/>
      <c r="BI19" s="159" t="n"/>
      <c r="BJ19" s="23">
        <f>IFERROR(ISNUMBER(E19)*IF(ISNUMBER(D19),--(E19&lt;D19-0.5),1)+ISNUMBER(F19)*IF(ISNUMBER(E19),--(F19&lt;E19-0.5),1)+ISNUMBER(G19)*IF(ISNUMBER(F19),--(G19&lt;F19-0.5),1)+ISNUMBER(H19)*IF(ISNUMBER(G19),--(H19&lt;G19-0.5),1)+ISNUMBER(I19)*IF(ISNUMBER(H19),--(I19&lt;H19-0.5),1)+ISNUMBER(J19)*IF(ISNUMBER(I19),--(J19&lt;I19-0.5),1)+ISNUMBER(K19)*IF(ISNUMBER(J19),--(K19&lt;J19-0.5),1)+IF(AND(ISNUMBER(C19),C19&lt;0),1,0),1)</f>
        <v/>
      </c>
      <c r="BK19" s="23">
        <f>IFERROR(ISNUMBER(M19)*IF(ISNUMBER(L19),--(M19&lt;L19-0.5),1)+ISNUMBER(N19)*IF(ISNUMBER(M19),--(N19&lt;M19-0.5),1)+ISNUMBER(O19)*IF(ISNUMBER(N19),--(O19&lt;N19-0.5),1)+ISNUMBER(P19)*IF(ISNUMBER(O19),--(P19&lt;O19-0.5),1)+ISNUMBER(Q19)*IF(ISNUMBER(P19),--(Q19&lt;P19-0.5),1)+ISNUMBER(R19)*IF(ISNUMBER(Q19),--(R19&lt;Q19-0.5),1)+ISNUMBER(S19)*IF(ISNUMBER(R19),--(S19&lt;R19-0.5),1),1)</f>
        <v/>
      </c>
    </row>
    <row r="20">
      <c r="A20" s="23" t="n">
        <v>12</v>
      </c>
      <c r="B20" s="75" t="n">
        <v>1</v>
      </c>
      <c r="C20" s="157" t="n"/>
      <c r="D20" s="157" t="n"/>
      <c r="E20" s="157" t="n"/>
      <c r="F20" s="157" t="n"/>
      <c r="G20" s="157" t="n"/>
      <c r="H20" s="157" t="n"/>
      <c r="I20" s="157" t="n"/>
      <c r="J20" s="157" t="n"/>
      <c r="K20" s="157" t="n"/>
      <c r="L20" s="157" t="n"/>
      <c r="M20" s="157" t="n"/>
      <c r="N20" s="157" t="n"/>
      <c r="O20" s="157" t="n"/>
      <c r="P20" s="157" t="n"/>
      <c r="Q20" s="157" t="n"/>
      <c r="R20" s="157" t="n"/>
      <c r="S20" s="157" t="n"/>
      <c r="T20" s="157" t="n"/>
      <c r="U20" s="157" t="n"/>
      <c r="V20" s="157" t="n"/>
      <c r="W20" s="157" t="n"/>
      <c r="X20" s="157" t="n"/>
      <c r="Y20" s="157" t="n"/>
      <c r="Z20" s="157" t="n"/>
      <c r="AA20" s="157" t="n"/>
      <c r="AB20" s="157" t="n"/>
      <c r="AC20" s="157" t="n"/>
      <c r="AD20" s="157" t="n"/>
      <c r="AE20" s="157" t="n"/>
      <c r="AF20" s="157" t="n"/>
      <c r="AG20" s="157" t="n"/>
      <c r="AH20" s="157" t="n"/>
      <c r="AI20" s="157" t="n"/>
      <c r="AJ20" s="157" t="n"/>
      <c r="AK20" s="157" t="n"/>
      <c r="AL20" s="157" t="n"/>
      <c r="AM20" s="157" t="n"/>
      <c r="AN20" s="157" t="n"/>
      <c r="AO20" s="157" t="n"/>
      <c r="AP20" s="157" t="n"/>
      <c r="AQ20" s="157" t="n"/>
      <c r="AR20" s="157" t="n"/>
      <c r="AS20" s="157" t="n"/>
      <c r="AT20" s="157" t="n"/>
      <c r="AU20" s="157" t="n"/>
      <c r="AV20" s="157" t="n"/>
      <c r="AW20" s="157" t="n"/>
      <c r="AX20" s="157" t="n"/>
      <c r="AY20" s="157" t="n"/>
      <c r="AZ20" s="157" t="n"/>
      <c r="BA20" s="157" t="n"/>
      <c r="BB20" s="157" t="n"/>
      <c r="BC20" s="157" t="n"/>
      <c r="BD20" s="157" t="n"/>
      <c r="BE20" s="157" t="n"/>
      <c r="BF20" s="157" t="n"/>
      <c r="BG20" s="157" t="n"/>
      <c r="BH20" s="158" t="n"/>
      <c r="BI20" s="159" t="n"/>
      <c r="BJ20" s="23">
        <f>IFERROR(ISNUMBER(E20)*IF(ISNUMBER(D20),--(E20&lt;D20-0.5),1)+ISNUMBER(F20)*IF(ISNUMBER(E20),--(F20&lt;E20-0.5),1)+ISNUMBER(G20)*IF(ISNUMBER(F20),--(G20&lt;F20-0.5),1)+ISNUMBER(H20)*IF(ISNUMBER(G20),--(H20&lt;G20-0.5),1)+ISNUMBER(I20)*IF(ISNUMBER(H20),--(I20&lt;H20-0.5),1)+ISNUMBER(J20)*IF(ISNUMBER(I20),--(J20&lt;I20-0.5),1)+ISNUMBER(K20)*IF(ISNUMBER(J20),--(K20&lt;J20-0.5),1)+IF(AND(ISNUMBER(C20),C20&lt;0),1,0),1)</f>
        <v/>
      </c>
      <c r="BK20" s="23">
        <f>IFERROR(ISNUMBER(M20)*IF(ISNUMBER(L20),--(M20&lt;L20-0.5),1)+ISNUMBER(N20)*IF(ISNUMBER(M20),--(N20&lt;M20-0.5),1)+ISNUMBER(O20)*IF(ISNUMBER(N20),--(O20&lt;N20-0.5),1)+ISNUMBER(P20)*IF(ISNUMBER(O20),--(P20&lt;O20-0.5),1)+ISNUMBER(Q20)*IF(ISNUMBER(P20),--(Q20&lt;P20-0.5),1)+ISNUMBER(R20)*IF(ISNUMBER(Q20),--(R20&lt;Q20-0.5),1)+ISNUMBER(S20)*IF(ISNUMBER(R20),--(S20&lt;R20-0.5),1),1)</f>
        <v/>
      </c>
    </row>
    <row r="21">
      <c r="A21" s="23" t="n">
        <v>13</v>
      </c>
      <c r="B21" s="75" t="n">
        <v>1</v>
      </c>
      <c r="C21" s="157" t="n"/>
      <c r="D21" s="157" t="n"/>
      <c r="E21" s="157" t="n"/>
      <c r="F21" s="157" t="n"/>
      <c r="G21" s="157" t="n"/>
      <c r="H21" s="157" t="n"/>
      <c r="I21" s="157" t="n"/>
      <c r="J21" s="157" t="n"/>
      <c r="K21" s="157" t="n"/>
      <c r="L21" s="157" t="n"/>
      <c r="M21" s="157" t="n"/>
      <c r="N21" s="157" t="n"/>
      <c r="O21" s="157" t="n"/>
      <c r="P21" s="157" t="n"/>
      <c r="Q21" s="157" t="n"/>
      <c r="R21" s="157" t="n"/>
      <c r="S21" s="157" t="n"/>
      <c r="T21" s="157" t="n"/>
      <c r="U21" s="157" t="n"/>
      <c r="V21" s="157" t="n"/>
      <c r="W21" s="157" t="n"/>
      <c r="X21" s="157" t="n"/>
      <c r="Y21" s="157" t="n"/>
      <c r="Z21" s="157" t="n"/>
      <c r="AA21" s="157" t="n"/>
      <c r="AB21" s="157" t="n"/>
      <c r="AC21" s="157" t="n"/>
      <c r="AD21" s="157" t="n"/>
      <c r="AE21" s="157" t="n"/>
      <c r="AF21" s="157" t="n"/>
      <c r="AG21" s="157" t="n"/>
      <c r="AH21" s="157" t="n"/>
      <c r="AI21" s="157" t="n"/>
      <c r="AJ21" s="157" t="n"/>
      <c r="AK21" s="157" t="n"/>
      <c r="AL21" s="157" t="n"/>
      <c r="AM21" s="157" t="n"/>
      <c r="AN21" s="157" t="n"/>
      <c r="AO21" s="157" t="n"/>
      <c r="AP21" s="157" t="n"/>
      <c r="AQ21" s="157" t="n"/>
      <c r="AR21" s="157" t="n"/>
      <c r="AS21" s="157" t="n"/>
      <c r="AT21" s="157" t="n"/>
      <c r="AU21" s="157" t="n"/>
      <c r="AV21" s="157" t="n"/>
      <c r="AW21" s="157" t="n"/>
      <c r="AX21" s="157" t="n"/>
      <c r="AY21" s="157" t="n"/>
      <c r="AZ21" s="157" t="n"/>
      <c r="BA21" s="157" t="n"/>
      <c r="BB21" s="157" t="n"/>
      <c r="BC21" s="157" t="n"/>
      <c r="BD21" s="157" t="n"/>
      <c r="BE21" s="157" t="n"/>
      <c r="BF21" s="157" t="n"/>
      <c r="BG21" s="157" t="n"/>
      <c r="BH21" s="158" t="n"/>
      <c r="BI21" s="159" t="n"/>
      <c r="BJ21" s="23">
        <f>IFERROR(ISNUMBER(E21)*IF(ISNUMBER(D21),--(E21&lt;D21-0.5),1)+ISNUMBER(F21)*IF(ISNUMBER(E21),--(F21&lt;E21-0.5),1)+ISNUMBER(G21)*IF(ISNUMBER(F21),--(G21&lt;F21-0.5),1)+ISNUMBER(H21)*IF(ISNUMBER(G21),--(H21&lt;G21-0.5),1)+ISNUMBER(I21)*IF(ISNUMBER(H21),--(I21&lt;H21-0.5),1)+ISNUMBER(J21)*IF(ISNUMBER(I21),--(J21&lt;I21-0.5),1)+ISNUMBER(K21)*IF(ISNUMBER(J21),--(K21&lt;J21-0.5),1)+IF(AND(ISNUMBER(C21),C21&lt;0),1,0),1)</f>
        <v/>
      </c>
      <c r="BK21" s="23">
        <f>IFERROR(ISNUMBER(M21)*IF(ISNUMBER(L21),--(M21&lt;L21-0.5),1)+ISNUMBER(N21)*IF(ISNUMBER(M21),--(N21&lt;M21-0.5),1)+ISNUMBER(O21)*IF(ISNUMBER(N21),--(O21&lt;N21-0.5),1)+ISNUMBER(P21)*IF(ISNUMBER(O21),--(P21&lt;O21-0.5),1)+ISNUMBER(Q21)*IF(ISNUMBER(P21),--(Q21&lt;P21-0.5),1)+ISNUMBER(R21)*IF(ISNUMBER(Q21),--(R21&lt;Q21-0.5),1)+ISNUMBER(S21)*IF(ISNUMBER(R21),--(S21&lt;R21-0.5),1),1)</f>
        <v/>
      </c>
    </row>
    <row r="22">
      <c r="A22" s="23" t="n">
        <v>14</v>
      </c>
      <c r="B22" s="75" t="n">
        <v>1</v>
      </c>
      <c r="C22" s="157" t="n"/>
      <c r="D22" s="157" t="n"/>
      <c r="E22" s="157" t="n"/>
      <c r="F22" s="157" t="n"/>
      <c r="G22" s="157" t="n"/>
      <c r="H22" s="157" t="n"/>
      <c r="I22" s="157" t="n"/>
      <c r="J22" s="157" t="n"/>
      <c r="K22" s="157" t="n"/>
      <c r="L22" s="157" t="n"/>
      <c r="M22" s="157" t="n"/>
      <c r="N22" s="157" t="n"/>
      <c r="O22" s="157" t="n"/>
      <c r="P22" s="157" t="n"/>
      <c r="Q22" s="157" t="n"/>
      <c r="R22" s="157" t="n"/>
      <c r="S22" s="157" t="n"/>
      <c r="T22" s="157" t="n"/>
      <c r="U22" s="157" t="n"/>
      <c r="V22" s="157" t="n"/>
      <c r="W22" s="157" t="n"/>
      <c r="X22" s="157" t="n"/>
      <c r="Y22" s="157" t="n"/>
      <c r="Z22" s="157" t="n"/>
      <c r="AA22" s="157" t="n"/>
      <c r="AB22" s="157" t="n"/>
      <c r="AC22" s="157" t="n"/>
      <c r="AD22" s="157" t="n"/>
      <c r="AE22" s="157" t="n"/>
      <c r="AF22" s="157" t="n"/>
      <c r="AG22" s="157" t="n"/>
      <c r="AH22" s="157" t="n"/>
      <c r="AI22" s="157" t="n"/>
      <c r="AJ22" s="157" t="n"/>
      <c r="AK22" s="157" t="n"/>
      <c r="AL22" s="157" t="n"/>
      <c r="AM22" s="157" t="n"/>
      <c r="AN22" s="157" t="n"/>
      <c r="AO22" s="157" t="n"/>
      <c r="AP22" s="157" t="n"/>
      <c r="AQ22" s="157" t="n"/>
      <c r="AR22" s="157" t="n"/>
      <c r="AS22" s="157" t="n"/>
      <c r="AT22" s="157" t="n"/>
      <c r="AU22" s="157" t="n"/>
      <c r="AV22" s="157" t="n"/>
      <c r="AW22" s="157" t="n"/>
      <c r="AX22" s="157" t="n"/>
      <c r="AY22" s="157" t="n"/>
      <c r="AZ22" s="157" t="n"/>
      <c r="BA22" s="157" t="n"/>
      <c r="BB22" s="157" t="n"/>
      <c r="BC22" s="157" t="n"/>
      <c r="BD22" s="157" t="n"/>
      <c r="BE22" s="157" t="n"/>
      <c r="BF22" s="157" t="n"/>
      <c r="BG22" s="157" t="n"/>
      <c r="BH22" s="158" t="n"/>
      <c r="BI22" s="159" t="n"/>
      <c r="BJ22" s="23">
        <f>IFERROR(ISNUMBER(E22)*IF(ISNUMBER(D22),--(E22&lt;D22-0.5),1)+ISNUMBER(F22)*IF(ISNUMBER(E22),--(F22&lt;E22-0.5),1)+ISNUMBER(G22)*IF(ISNUMBER(F22),--(G22&lt;F22-0.5),1)+ISNUMBER(H22)*IF(ISNUMBER(G22),--(H22&lt;G22-0.5),1)+ISNUMBER(I22)*IF(ISNUMBER(H22),--(I22&lt;H22-0.5),1)+ISNUMBER(J22)*IF(ISNUMBER(I22),--(J22&lt;I22-0.5),1)+ISNUMBER(K22)*IF(ISNUMBER(J22),--(K22&lt;J22-0.5),1)+IF(AND(ISNUMBER(C22),C22&lt;0),1,0),1)</f>
        <v/>
      </c>
      <c r="BK22" s="23">
        <f>IFERROR(ISNUMBER(M22)*IF(ISNUMBER(L22),--(M22&lt;L22-0.5),1)+ISNUMBER(N22)*IF(ISNUMBER(M22),--(N22&lt;M22-0.5),1)+ISNUMBER(O22)*IF(ISNUMBER(N22),--(O22&lt;N22-0.5),1)+ISNUMBER(P22)*IF(ISNUMBER(O22),--(P22&lt;O22-0.5),1)+ISNUMBER(Q22)*IF(ISNUMBER(P22),--(Q22&lt;P22-0.5),1)+ISNUMBER(R22)*IF(ISNUMBER(Q22),--(R22&lt;Q22-0.5),1)+ISNUMBER(S22)*IF(ISNUMBER(R22),--(S22&lt;R22-0.5),1),1)</f>
        <v/>
      </c>
    </row>
    <row r="23">
      <c r="A23" s="23" t="n">
        <v>15</v>
      </c>
      <c r="B23" s="75" t="n">
        <v>1</v>
      </c>
      <c r="C23" s="157" t="n"/>
      <c r="D23" s="157" t="n"/>
      <c r="E23" s="157" t="n"/>
      <c r="F23" s="157" t="n"/>
      <c r="G23" s="157" t="n"/>
      <c r="H23" s="157" t="n"/>
      <c r="I23" s="157" t="n"/>
      <c r="J23" s="157" t="n"/>
      <c r="K23" s="157" t="n"/>
      <c r="L23" s="157" t="n"/>
      <c r="M23" s="157" t="n"/>
      <c r="N23" s="157" t="n"/>
      <c r="O23" s="157" t="n"/>
      <c r="P23" s="157" t="n"/>
      <c r="Q23" s="157" t="n"/>
      <c r="R23" s="157" t="n"/>
      <c r="S23" s="157" t="n"/>
      <c r="T23" s="157" t="n"/>
      <c r="U23" s="157" t="n"/>
      <c r="V23" s="157" t="n"/>
      <c r="W23" s="157" t="n"/>
      <c r="X23" s="157" t="n"/>
      <c r="Y23" s="157" t="n"/>
      <c r="Z23" s="157" t="n"/>
      <c r="AA23" s="157" t="n"/>
      <c r="AB23" s="157" t="n"/>
      <c r="AC23" s="157" t="n"/>
      <c r="AD23" s="157" t="n"/>
      <c r="AE23" s="157" t="n"/>
      <c r="AF23" s="157" t="n"/>
      <c r="AG23" s="157" t="n"/>
      <c r="AH23" s="157" t="n"/>
      <c r="AI23" s="157" t="n"/>
      <c r="AJ23" s="157" t="n"/>
      <c r="AK23" s="157" t="n"/>
      <c r="AL23" s="157" t="n"/>
      <c r="AM23" s="157" t="n"/>
      <c r="AN23" s="157" t="n"/>
      <c r="AO23" s="157" t="n"/>
      <c r="AP23" s="157" t="n"/>
      <c r="AQ23" s="157" t="n"/>
      <c r="AR23" s="157" t="n"/>
      <c r="AS23" s="157" t="n"/>
      <c r="AT23" s="157" t="n"/>
      <c r="AU23" s="157" t="n"/>
      <c r="AV23" s="157" t="n"/>
      <c r="AW23" s="157" t="n"/>
      <c r="AX23" s="157" t="n"/>
      <c r="AY23" s="157" t="n"/>
      <c r="AZ23" s="157" t="n"/>
      <c r="BA23" s="157" t="n"/>
      <c r="BB23" s="157" t="n"/>
      <c r="BC23" s="157" t="n"/>
      <c r="BD23" s="157" t="n"/>
      <c r="BE23" s="157" t="n"/>
      <c r="BF23" s="157" t="n"/>
      <c r="BG23" s="157" t="n"/>
      <c r="BH23" s="158" t="n"/>
      <c r="BI23" s="159" t="n"/>
      <c r="BJ23" s="23">
        <f>IFERROR(ISNUMBER(E23)*IF(ISNUMBER(D23),--(E23&lt;D23-0.5),1)+ISNUMBER(F23)*IF(ISNUMBER(E23),--(F23&lt;E23-0.5),1)+ISNUMBER(G23)*IF(ISNUMBER(F23),--(G23&lt;F23-0.5),1)+ISNUMBER(H23)*IF(ISNUMBER(G23),--(H23&lt;G23-0.5),1)+ISNUMBER(I23)*IF(ISNUMBER(H23),--(I23&lt;H23-0.5),1)+ISNUMBER(J23)*IF(ISNUMBER(I23),--(J23&lt;I23-0.5),1)+ISNUMBER(K23)*IF(ISNUMBER(J23),--(K23&lt;J23-0.5),1)+IF(AND(ISNUMBER(C23),C23&lt;0),1,0),1)</f>
        <v/>
      </c>
      <c r="BK23" s="23">
        <f>IFERROR(ISNUMBER(M23)*IF(ISNUMBER(L23),--(M23&lt;L23-0.5),1)+ISNUMBER(N23)*IF(ISNUMBER(M23),--(N23&lt;M23-0.5),1)+ISNUMBER(O23)*IF(ISNUMBER(N23),--(O23&lt;N23-0.5),1)+ISNUMBER(P23)*IF(ISNUMBER(O23),--(P23&lt;O23-0.5),1)+ISNUMBER(Q23)*IF(ISNUMBER(P23),--(Q23&lt;P23-0.5),1)+ISNUMBER(R23)*IF(ISNUMBER(Q23),--(R23&lt;Q23-0.5),1)+ISNUMBER(S23)*IF(ISNUMBER(R23),--(S23&lt;R23-0.5),1),1)</f>
        <v/>
      </c>
    </row>
    <row r="24">
      <c r="A24" s="23" t="n">
        <v>16</v>
      </c>
      <c r="B24" s="75" t="n">
        <v>1</v>
      </c>
      <c r="C24" s="157" t="n"/>
      <c r="D24" s="157" t="n"/>
      <c r="E24" s="157" t="n"/>
      <c r="F24" s="157" t="n"/>
      <c r="G24" s="157" t="n"/>
      <c r="H24" s="157" t="n"/>
      <c r="I24" s="157" t="n"/>
      <c r="J24" s="157" t="n"/>
      <c r="K24" s="157" t="n"/>
      <c r="L24" s="157" t="n"/>
      <c r="M24" s="157" t="n"/>
      <c r="N24" s="157" t="n"/>
      <c r="O24" s="157" t="n"/>
      <c r="P24" s="157" t="n"/>
      <c r="Q24" s="157" t="n"/>
      <c r="R24" s="157" t="n"/>
      <c r="S24" s="157" t="n"/>
      <c r="T24" s="157" t="n"/>
      <c r="U24" s="157" t="n"/>
      <c r="V24" s="157" t="n"/>
      <c r="W24" s="157" t="n"/>
      <c r="X24" s="157" t="n"/>
      <c r="Y24" s="157" t="n"/>
      <c r="Z24" s="157" t="n"/>
      <c r="AA24" s="157" t="n"/>
      <c r="AB24" s="157" t="n"/>
      <c r="AC24" s="157" t="n"/>
      <c r="AD24" s="157" t="n"/>
      <c r="AE24" s="157" t="n"/>
      <c r="AF24" s="157" t="n"/>
      <c r="AG24" s="157" t="n"/>
      <c r="AH24" s="157" t="n"/>
      <c r="AI24" s="157" t="n"/>
      <c r="AJ24" s="157" t="n"/>
      <c r="AK24" s="157" t="n"/>
      <c r="AL24" s="157" t="n"/>
      <c r="AM24" s="157" t="n"/>
      <c r="AN24" s="157" t="n"/>
      <c r="AO24" s="157" t="n"/>
      <c r="AP24" s="157" t="n"/>
      <c r="AQ24" s="157" t="n"/>
      <c r="AR24" s="157" t="n"/>
      <c r="AS24" s="157" t="n"/>
      <c r="AT24" s="157" t="n"/>
      <c r="AU24" s="157" t="n"/>
      <c r="AV24" s="157" t="n"/>
      <c r="AW24" s="157" t="n"/>
      <c r="AX24" s="157" t="n"/>
      <c r="AY24" s="157" t="n"/>
      <c r="AZ24" s="157" t="n"/>
      <c r="BA24" s="157" t="n"/>
      <c r="BB24" s="157" t="n"/>
      <c r="BC24" s="157" t="n"/>
      <c r="BD24" s="157" t="n"/>
      <c r="BE24" s="157" t="n"/>
      <c r="BF24" s="157" t="n"/>
      <c r="BG24" s="157" t="n"/>
      <c r="BH24" s="158" t="n"/>
      <c r="BI24" s="159" t="n"/>
      <c r="BJ24" s="23">
        <f>IFERROR(ISNUMBER(E24)*IF(ISNUMBER(D24),--(E24&lt;D24-0.5),1)+ISNUMBER(F24)*IF(ISNUMBER(E24),--(F24&lt;E24-0.5),1)+ISNUMBER(G24)*IF(ISNUMBER(F24),--(G24&lt;F24-0.5),1)+ISNUMBER(H24)*IF(ISNUMBER(G24),--(H24&lt;G24-0.5),1)+ISNUMBER(I24)*IF(ISNUMBER(H24),--(I24&lt;H24-0.5),1)+ISNUMBER(J24)*IF(ISNUMBER(I24),--(J24&lt;I24-0.5),1)+ISNUMBER(K24)*IF(ISNUMBER(J24),--(K24&lt;J24-0.5),1)+IF(AND(ISNUMBER(C24),C24&lt;0),1,0),1)</f>
        <v/>
      </c>
      <c r="BK24" s="23">
        <f>IFERROR(ISNUMBER(M24)*IF(ISNUMBER(L24),--(M24&lt;L24-0.5),1)+ISNUMBER(N24)*IF(ISNUMBER(M24),--(N24&lt;M24-0.5),1)+ISNUMBER(O24)*IF(ISNUMBER(N24),--(O24&lt;N24-0.5),1)+ISNUMBER(P24)*IF(ISNUMBER(O24),--(P24&lt;O24-0.5),1)+ISNUMBER(Q24)*IF(ISNUMBER(P24),--(Q24&lt;P24-0.5),1)+ISNUMBER(R24)*IF(ISNUMBER(Q24),--(R24&lt;Q24-0.5),1)+ISNUMBER(S24)*IF(ISNUMBER(R24),--(S24&lt;R24-0.5),1),1)</f>
        <v/>
      </c>
    </row>
    <row r="25">
      <c r="A25" s="23" t="n">
        <v>17</v>
      </c>
      <c r="B25" s="75" t="n">
        <v>1</v>
      </c>
      <c r="C25" s="157" t="n"/>
      <c r="D25" s="157" t="n"/>
      <c r="E25" s="157" t="n"/>
      <c r="F25" s="157" t="n"/>
      <c r="G25" s="157" t="n"/>
      <c r="H25" s="157" t="n"/>
      <c r="I25" s="157" t="n"/>
      <c r="J25" s="157" t="n"/>
      <c r="K25" s="157" t="n"/>
      <c r="L25" s="157" t="n"/>
      <c r="M25" s="157" t="n"/>
      <c r="N25" s="157" t="n"/>
      <c r="O25" s="157" t="n"/>
      <c r="P25" s="157" t="n"/>
      <c r="Q25" s="157" t="n"/>
      <c r="R25" s="157" t="n"/>
      <c r="S25" s="157" t="n"/>
      <c r="T25" s="157" t="n"/>
      <c r="U25" s="157" t="n"/>
      <c r="V25" s="157" t="n"/>
      <c r="W25" s="157" t="n"/>
      <c r="X25" s="157" t="n"/>
      <c r="Y25" s="157" t="n"/>
      <c r="Z25" s="157" t="n"/>
      <c r="AA25" s="157" t="n"/>
      <c r="AB25" s="157" t="n"/>
      <c r="AC25" s="157" t="n"/>
      <c r="AD25" s="157" t="n"/>
      <c r="AE25" s="157" t="n"/>
      <c r="AF25" s="157" t="n"/>
      <c r="AG25" s="157" t="n"/>
      <c r="AH25" s="157" t="n"/>
      <c r="AI25" s="157" t="n"/>
      <c r="AJ25" s="157" t="n"/>
      <c r="AK25" s="157" t="n"/>
      <c r="AL25" s="157" t="n"/>
      <c r="AM25" s="157" t="n"/>
      <c r="AN25" s="157" t="n"/>
      <c r="AO25" s="157" t="n"/>
      <c r="AP25" s="157" t="n"/>
      <c r="AQ25" s="157" t="n"/>
      <c r="AR25" s="157" t="n"/>
      <c r="AS25" s="157" t="n"/>
      <c r="AT25" s="157" t="n"/>
      <c r="AU25" s="157" t="n"/>
      <c r="AV25" s="157" t="n"/>
      <c r="AW25" s="157" t="n"/>
      <c r="AX25" s="157" t="n"/>
      <c r="AY25" s="157" t="n"/>
      <c r="AZ25" s="157" t="n"/>
      <c r="BA25" s="157" t="n"/>
      <c r="BB25" s="157" t="n"/>
      <c r="BC25" s="157" t="n"/>
      <c r="BD25" s="157" t="n"/>
      <c r="BE25" s="157" t="n"/>
      <c r="BF25" s="157" t="n"/>
      <c r="BG25" s="157" t="n"/>
      <c r="BH25" s="158" t="n"/>
      <c r="BI25" s="159" t="n"/>
      <c r="BJ25" s="23">
        <f>IFERROR(ISNUMBER(E25)*IF(ISNUMBER(D25),--(E25&lt;D25-0.5),1)+ISNUMBER(F25)*IF(ISNUMBER(E25),--(F25&lt;E25-0.5),1)+ISNUMBER(G25)*IF(ISNUMBER(F25),--(G25&lt;F25-0.5),1)+ISNUMBER(H25)*IF(ISNUMBER(G25),--(H25&lt;G25-0.5),1)+ISNUMBER(I25)*IF(ISNUMBER(H25),--(I25&lt;H25-0.5),1)+ISNUMBER(J25)*IF(ISNUMBER(I25),--(J25&lt;I25-0.5),1)+ISNUMBER(K25)*IF(ISNUMBER(J25),--(K25&lt;J25-0.5),1)+IF(AND(ISNUMBER(C25),C25&lt;0),1,0),1)</f>
        <v/>
      </c>
      <c r="BK25" s="23">
        <f>IFERROR(ISNUMBER(M25)*IF(ISNUMBER(L25),--(M25&lt;L25-0.5),1)+ISNUMBER(N25)*IF(ISNUMBER(M25),--(N25&lt;M25-0.5),1)+ISNUMBER(O25)*IF(ISNUMBER(N25),--(O25&lt;N25-0.5),1)+ISNUMBER(P25)*IF(ISNUMBER(O25),--(P25&lt;O25-0.5),1)+ISNUMBER(Q25)*IF(ISNUMBER(P25),--(Q25&lt;P25-0.5),1)+ISNUMBER(R25)*IF(ISNUMBER(Q25),--(R25&lt;Q25-0.5),1)+ISNUMBER(S25)*IF(ISNUMBER(R25),--(S25&lt;R25-0.5),1),1)</f>
        <v/>
      </c>
    </row>
    <row r="26">
      <c r="A26" s="23" t="n">
        <v>18</v>
      </c>
      <c r="B26" s="75" t="n">
        <v>1</v>
      </c>
      <c r="C26" s="157" t="n"/>
      <c r="D26" s="157" t="n"/>
      <c r="E26" s="157" t="n"/>
      <c r="F26" s="157" t="n"/>
      <c r="G26" s="157" t="n"/>
      <c r="H26" s="157" t="n"/>
      <c r="I26" s="157" t="n"/>
      <c r="J26" s="157" t="n"/>
      <c r="K26" s="157" t="n"/>
      <c r="L26" s="157" t="n"/>
      <c r="M26" s="157" t="n"/>
      <c r="N26" s="157" t="n"/>
      <c r="O26" s="157" t="n"/>
      <c r="P26" s="157" t="n"/>
      <c r="Q26" s="157" t="n"/>
      <c r="R26" s="157" t="n"/>
      <c r="S26" s="157" t="n"/>
      <c r="T26" s="157" t="n"/>
      <c r="U26" s="157" t="n"/>
      <c r="V26" s="157" t="n"/>
      <c r="W26" s="157" t="n"/>
      <c r="X26" s="157" t="n"/>
      <c r="Y26" s="157" t="n"/>
      <c r="Z26" s="157" t="n"/>
      <c r="AA26" s="157" t="n"/>
      <c r="AB26" s="157" t="n"/>
      <c r="AC26" s="157" t="n"/>
      <c r="AD26" s="157" t="n"/>
      <c r="AE26" s="157" t="n"/>
      <c r="AF26" s="157" t="n"/>
      <c r="AG26" s="157" t="n"/>
      <c r="AH26" s="157" t="n"/>
      <c r="AI26" s="157" t="n"/>
      <c r="AJ26" s="157" t="n"/>
      <c r="AK26" s="157" t="n"/>
      <c r="AL26" s="157" t="n"/>
      <c r="AM26" s="157" t="n"/>
      <c r="AN26" s="157" t="n"/>
      <c r="AO26" s="157" t="n"/>
      <c r="AP26" s="157" t="n"/>
      <c r="AQ26" s="157" t="n"/>
      <c r="AR26" s="157" t="n"/>
      <c r="AS26" s="157" t="n"/>
      <c r="AT26" s="157" t="n"/>
      <c r="AU26" s="157" t="n"/>
      <c r="AV26" s="157" t="n"/>
      <c r="AW26" s="157" t="n"/>
      <c r="AX26" s="157" t="n"/>
      <c r="AY26" s="157" t="n"/>
      <c r="AZ26" s="157" t="n"/>
      <c r="BA26" s="157" t="n"/>
      <c r="BB26" s="157" t="n"/>
      <c r="BC26" s="157" t="n"/>
      <c r="BD26" s="157" t="n"/>
      <c r="BE26" s="157" t="n"/>
      <c r="BF26" s="157" t="n"/>
      <c r="BG26" s="157" t="n"/>
      <c r="BH26" s="158" t="n"/>
      <c r="BI26" s="159" t="n"/>
      <c r="BJ26" s="23">
        <f>IFERROR(ISNUMBER(E26)*IF(ISNUMBER(D26),--(E26&lt;D26-0.5),1)+ISNUMBER(F26)*IF(ISNUMBER(E26),--(F26&lt;E26-0.5),1)+ISNUMBER(G26)*IF(ISNUMBER(F26),--(G26&lt;F26-0.5),1)+ISNUMBER(H26)*IF(ISNUMBER(G26),--(H26&lt;G26-0.5),1)+ISNUMBER(I26)*IF(ISNUMBER(H26),--(I26&lt;H26-0.5),1)+ISNUMBER(J26)*IF(ISNUMBER(I26),--(J26&lt;I26-0.5),1)+ISNUMBER(K26)*IF(ISNUMBER(J26),--(K26&lt;J26-0.5),1)+IF(AND(ISNUMBER(C26),C26&lt;0),1,0),1)</f>
        <v/>
      </c>
      <c r="BK26" s="23">
        <f>IFERROR(ISNUMBER(M26)*IF(ISNUMBER(L26),--(M26&lt;L26-0.5),1)+ISNUMBER(N26)*IF(ISNUMBER(M26),--(N26&lt;M26-0.5),1)+ISNUMBER(O26)*IF(ISNUMBER(N26),--(O26&lt;N26-0.5),1)+ISNUMBER(P26)*IF(ISNUMBER(O26),--(P26&lt;O26-0.5),1)+ISNUMBER(Q26)*IF(ISNUMBER(P26),--(Q26&lt;P26-0.5),1)+ISNUMBER(R26)*IF(ISNUMBER(Q26),--(R26&lt;Q26-0.5),1)+ISNUMBER(S26)*IF(ISNUMBER(R26),--(S26&lt;R26-0.5),1),1)</f>
        <v/>
      </c>
    </row>
    <row r="27">
      <c r="A27" s="23" t="n">
        <v>19</v>
      </c>
      <c r="B27" s="75" t="n">
        <v>1</v>
      </c>
      <c r="C27" s="157" t="n"/>
      <c r="D27" s="157" t="n"/>
      <c r="E27" s="157" t="n"/>
      <c r="F27" s="157" t="n"/>
      <c r="G27" s="157" t="n"/>
      <c r="H27" s="157" t="n"/>
      <c r="I27" s="157" t="n"/>
      <c r="J27" s="157" t="n"/>
      <c r="K27" s="157" t="n"/>
      <c r="L27" s="157" t="n"/>
      <c r="M27" s="157" t="n"/>
      <c r="N27" s="157" t="n"/>
      <c r="O27" s="157" t="n"/>
      <c r="P27" s="157" t="n"/>
      <c r="Q27" s="157" t="n"/>
      <c r="R27" s="157" t="n"/>
      <c r="S27" s="157" t="n"/>
      <c r="T27" s="157" t="n"/>
      <c r="U27" s="157" t="n"/>
      <c r="V27" s="157" t="n"/>
      <c r="W27" s="157" t="n"/>
      <c r="X27" s="157" t="n"/>
      <c r="Y27" s="157" t="n"/>
      <c r="Z27" s="157" t="n"/>
      <c r="AA27" s="157" t="n"/>
      <c r="AB27" s="157" t="n"/>
      <c r="AC27" s="157" t="n"/>
      <c r="AD27" s="157" t="n"/>
      <c r="AE27" s="157" t="n"/>
      <c r="AF27" s="157" t="n"/>
      <c r="AG27" s="157" t="n"/>
      <c r="AH27" s="157" t="n"/>
      <c r="AI27" s="157" t="n"/>
      <c r="AJ27" s="157" t="n"/>
      <c r="AK27" s="157" t="n"/>
      <c r="AL27" s="157" t="n"/>
      <c r="AM27" s="157" t="n"/>
      <c r="AN27" s="157" t="n"/>
      <c r="AO27" s="157" t="n"/>
      <c r="AP27" s="157" t="n"/>
      <c r="AQ27" s="157" t="n"/>
      <c r="AR27" s="157" t="n"/>
      <c r="AS27" s="157" t="n"/>
      <c r="AT27" s="157" t="n"/>
      <c r="AU27" s="157" t="n"/>
      <c r="AV27" s="157" t="n"/>
      <c r="AW27" s="157" t="n"/>
      <c r="AX27" s="157" t="n"/>
      <c r="AY27" s="157" t="n"/>
      <c r="AZ27" s="157" t="n"/>
      <c r="BA27" s="157" t="n"/>
      <c r="BB27" s="157" t="n"/>
      <c r="BC27" s="157" t="n"/>
      <c r="BD27" s="157" t="n"/>
      <c r="BE27" s="157" t="n"/>
      <c r="BF27" s="157" t="n"/>
      <c r="BG27" s="157" t="n"/>
      <c r="BH27" s="158" t="n"/>
      <c r="BI27" s="159" t="n"/>
      <c r="BJ27" s="23">
        <f>IFERROR(ISNUMBER(E27)*IF(ISNUMBER(D27),--(E27&lt;D27-0.5),1)+ISNUMBER(F27)*IF(ISNUMBER(E27),--(F27&lt;E27-0.5),1)+ISNUMBER(G27)*IF(ISNUMBER(F27),--(G27&lt;F27-0.5),1)+ISNUMBER(H27)*IF(ISNUMBER(G27),--(H27&lt;G27-0.5),1)+ISNUMBER(I27)*IF(ISNUMBER(H27),--(I27&lt;H27-0.5),1)+ISNUMBER(J27)*IF(ISNUMBER(I27),--(J27&lt;I27-0.5),1)+ISNUMBER(K27)*IF(ISNUMBER(J27),--(K27&lt;J27-0.5),1)+IF(AND(ISNUMBER(C27),C27&lt;0),1,0),1)</f>
        <v/>
      </c>
      <c r="BK27" s="23">
        <f>IFERROR(ISNUMBER(M27)*IF(ISNUMBER(L27),--(M27&lt;L27-0.5),1)+ISNUMBER(N27)*IF(ISNUMBER(M27),--(N27&lt;M27-0.5),1)+ISNUMBER(O27)*IF(ISNUMBER(N27),--(O27&lt;N27-0.5),1)+ISNUMBER(P27)*IF(ISNUMBER(O27),--(P27&lt;O27-0.5),1)+ISNUMBER(Q27)*IF(ISNUMBER(P27),--(Q27&lt;P27-0.5),1)+ISNUMBER(R27)*IF(ISNUMBER(Q27),--(R27&lt;Q27-0.5),1)+ISNUMBER(S27)*IF(ISNUMBER(R27),--(S27&lt;R27-0.5),1),1)</f>
        <v/>
      </c>
    </row>
    <row r="28">
      <c r="A28" s="23" t="n">
        <v>20</v>
      </c>
      <c r="B28" s="75" t="n">
        <v>1</v>
      </c>
      <c r="C28" s="157" t="n"/>
      <c r="D28" s="157" t="n"/>
      <c r="E28" s="157" t="n"/>
      <c r="F28" s="157" t="n"/>
      <c r="G28" s="157" t="n"/>
      <c r="H28" s="157" t="n"/>
      <c r="I28" s="157" t="n"/>
      <c r="J28" s="157" t="n"/>
      <c r="K28" s="157" t="n"/>
      <c r="L28" s="157" t="n"/>
      <c r="M28" s="157" t="n"/>
      <c r="N28" s="157" t="n"/>
      <c r="O28" s="157" t="n"/>
      <c r="P28" s="157" t="n"/>
      <c r="Q28" s="157" t="n"/>
      <c r="R28" s="157" t="n"/>
      <c r="S28" s="157" t="n"/>
      <c r="T28" s="157" t="n"/>
      <c r="U28" s="157" t="n"/>
      <c r="V28" s="157" t="n"/>
      <c r="W28" s="157" t="n"/>
      <c r="X28" s="157" t="n"/>
      <c r="Y28" s="157" t="n"/>
      <c r="Z28" s="157" t="n"/>
      <c r="AA28" s="157" t="n"/>
      <c r="AB28" s="157" t="n"/>
      <c r="AC28" s="157" t="n"/>
      <c r="AD28" s="157" t="n"/>
      <c r="AE28" s="157" t="n"/>
      <c r="AF28" s="157" t="n"/>
      <c r="AG28" s="157" t="n"/>
      <c r="AH28" s="157" t="n"/>
      <c r="AI28" s="157" t="n"/>
      <c r="AJ28" s="157" t="n"/>
      <c r="AK28" s="157" t="n"/>
      <c r="AL28" s="157" t="n"/>
      <c r="AM28" s="157" t="n"/>
      <c r="AN28" s="157" t="n"/>
      <c r="AO28" s="157" t="n"/>
      <c r="AP28" s="157" t="n"/>
      <c r="AQ28" s="157" t="n"/>
      <c r="AR28" s="157" t="n"/>
      <c r="AS28" s="157" t="n"/>
      <c r="AT28" s="157" t="n"/>
      <c r="AU28" s="157" t="n"/>
      <c r="AV28" s="157" t="n"/>
      <c r="AW28" s="157" t="n"/>
      <c r="AX28" s="157" t="n"/>
      <c r="AY28" s="157" t="n"/>
      <c r="AZ28" s="157" t="n"/>
      <c r="BA28" s="157" t="n"/>
      <c r="BB28" s="157" t="n"/>
      <c r="BC28" s="157" t="n"/>
      <c r="BD28" s="157" t="n"/>
      <c r="BE28" s="157" t="n"/>
      <c r="BF28" s="157" t="n"/>
      <c r="BG28" s="157" t="n"/>
      <c r="BH28" s="158" t="n"/>
      <c r="BI28" s="159" t="n"/>
      <c r="BJ28" s="23">
        <f>IFERROR(ISNUMBER(E28)*IF(ISNUMBER(D28),--(E28&lt;D28-0.5),1)+ISNUMBER(F28)*IF(ISNUMBER(E28),--(F28&lt;E28-0.5),1)+ISNUMBER(G28)*IF(ISNUMBER(F28),--(G28&lt;F28-0.5),1)+ISNUMBER(H28)*IF(ISNUMBER(G28),--(H28&lt;G28-0.5),1)+ISNUMBER(I28)*IF(ISNUMBER(H28),--(I28&lt;H28-0.5),1)+ISNUMBER(J28)*IF(ISNUMBER(I28),--(J28&lt;I28-0.5),1)+ISNUMBER(K28)*IF(ISNUMBER(J28),--(K28&lt;J28-0.5),1)+IF(AND(ISNUMBER(C28),C28&lt;0),1,0),1)</f>
        <v/>
      </c>
      <c r="BK28" s="23">
        <f>IFERROR(ISNUMBER(M28)*IF(ISNUMBER(L28),--(M28&lt;L28-0.5),1)+ISNUMBER(N28)*IF(ISNUMBER(M28),--(N28&lt;M28-0.5),1)+ISNUMBER(O28)*IF(ISNUMBER(N28),--(O28&lt;N28-0.5),1)+ISNUMBER(P28)*IF(ISNUMBER(O28),--(P28&lt;O28-0.5),1)+ISNUMBER(Q28)*IF(ISNUMBER(P28),--(Q28&lt;P28-0.5),1)+ISNUMBER(R28)*IF(ISNUMBER(Q28),--(R28&lt;Q28-0.5),1)+ISNUMBER(S28)*IF(ISNUMBER(R28),--(S28&lt;R28-0.5),1),1)</f>
        <v/>
      </c>
    </row>
    <row r="29">
      <c r="A29" s="23" t="n">
        <v>21</v>
      </c>
      <c r="B29" s="75" t="n">
        <v>1</v>
      </c>
      <c r="C29" s="157" t="n"/>
      <c r="D29" s="157" t="n"/>
      <c r="E29" s="157" t="n"/>
      <c r="F29" s="157" t="n"/>
      <c r="G29" s="157" t="n"/>
      <c r="H29" s="157" t="n"/>
      <c r="I29" s="157" t="n"/>
      <c r="J29" s="157" t="n"/>
      <c r="K29" s="157" t="n"/>
      <c r="L29" s="157" t="n"/>
      <c r="M29" s="157" t="n"/>
      <c r="N29" s="157" t="n"/>
      <c r="O29" s="157" t="n"/>
      <c r="P29" s="157" t="n"/>
      <c r="Q29" s="157" t="n"/>
      <c r="R29" s="157" t="n"/>
      <c r="S29" s="157" t="n"/>
      <c r="T29" s="157" t="n"/>
      <c r="U29" s="157" t="n"/>
      <c r="V29" s="157" t="n"/>
      <c r="W29" s="157" t="n"/>
      <c r="X29" s="157" t="n"/>
      <c r="Y29" s="157" t="n"/>
      <c r="Z29" s="157" t="n"/>
      <c r="AA29" s="157" t="n"/>
      <c r="AB29" s="157" t="n"/>
      <c r="AC29" s="157" t="n"/>
      <c r="AD29" s="157" t="n"/>
      <c r="AE29" s="157" t="n"/>
      <c r="AF29" s="157" t="n"/>
      <c r="AG29" s="157" t="n"/>
      <c r="AH29" s="157" t="n"/>
      <c r="AI29" s="157" t="n"/>
      <c r="AJ29" s="157" t="n"/>
      <c r="AK29" s="157" t="n"/>
      <c r="AL29" s="157" t="n"/>
      <c r="AM29" s="157" t="n"/>
      <c r="AN29" s="157" t="n"/>
      <c r="AO29" s="157" t="n"/>
      <c r="AP29" s="157" t="n"/>
      <c r="AQ29" s="157" t="n"/>
      <c r="AR29" s="157" t="n"/>
      <c r="AS29" s="157" t="n"/>
      <c r="AT29" s="157" t="n"/>
      <c r="AU29" s="157" t="n"/>
      <c r="AV29" s="157" t="n"/>
      <c r="AW29" s="157" t="n"/>
      <c r="AX29" s="157" t="n"/>
      <c r="AY29" s="157" t="n"/>
      <c r="AZ29" s="157" t="n"/>
      <c r="BA29" s="157" t="n"/>
      <c r="BB29" s="157" t="n"/>
      <c r="BC29" s="157" t="n"/>
      <c r="BD29" s="157" t="n"/>
      <c r="BE29" s="157" t="n"/>
      <c r="BF29" s="157" t="n"/>
      <c r="BG29" s="157" t="n"/>
      <c r="BH29" s="158" t="n"/>
      <c r="BI29" s="159" t="n"/>
      <c r="BJ29" s="23">
        <f>IFERROR(ISNUMBER(E29)*IF(ISNUMBER(D29),--(E29&lt;D29-0.5),1)+ISNUMBER(F29)*IF(ISNUMBER(E29),--(F29&lt;E29-0.5),1)+ISNUMBER(G29)*IF(ISNUMBER(F29),--(G29&lt;F29-0.5),1)+ISNUMBER(H29)*IF(ISNUMBER(G29),--(H29&lt;G29-0.5),1)+ISNUMBER(I29)*IF(ISNUMBER(H29),--(I29&lt;H29-0.5),1)+ISNUMBER(J29)*IF(ISNUMBER(I29),--(J29&lt;I29-0.5),1)+ISNUMBER(K29)*IF(ISNUMBER(J29),--(K29&lt;J29-0.5),1)+IF(AND(ISNUMBER(C29),C29&lt;0),1,0),1)</f>
        <v/>
      </c>
      <c r="BK29" s="23">
        <f>IFERROR(ISNUMBER(M29)*IF(ISNUMBER(L29),--(M29&lt;L29-0.5),1)+ISNUMBER(N29)*IF(ISNUMBER(M29),--(N29&lt;M29-0.5),1)+ISNUMBER(O29)*IF(ISNUMBER(N29),--(O29&lt;N29-0.5),1)+ISNUMBER(P29)*IF(ISNUMBER(O29),--(P29&lt;O29-0.5),1)+ISNUMBER(Q29)*IF(ISNUMBER(P29),--(Q29&lt;P29-0.5),1)+ISNUMBER(R29)*IF(ISNUMBER(Q29),--(R29&lt;Q29-0.5),1)+ISNUMBER(S29)*IF(ISNUMBER(R29),--(S29&lt;R29-0.5),1),1)</f>
        <v/>
      </c>
    </row>
    <row r="30">
      <c r="A30" s="23" t="n">
        <v>22</v>
      </c>
      <c r="B30" s="75" t="n">
        <v>1</v>
      </c>
      <c r="C30" s="157" t="n"/>
      <c r="D30" s="157" t="n"/>
      <c r="E30" s="157" t="n"/>
      <c r="F30" s="157" t="n"/>
      <c r="G30" s="157" t="n"/>
      <c r="H30" s="157" t="n"/>
      <c r="I30" s="157" t="n"/>
      <c r="J30" s="157" t="n"/>
      <c r="K30" s="157" t="n"/>
      <c r="L30" s="157" t="n"/>
      <c r="M30" s="157" t="n"/>
      <c r="N30" s="157" t="n"/>
      <c r="O30" s="157" t="n"/>
      <c r="P30" s="157" t="n"/>
      <c r="Q30" s="157" t="n"/>
      <c r="R30" s="157" t="n"/>
      <c r="S30" s="157" t="n"/>
      <c r="T30" s="157" t="n"/>
      <c r="U30" s="157" t="n"/>
      <c r="V30" s="157" t="n"/>
      <c r="W30" s="157" t="n"/>
      <c r="X30" s="157" t="n"/>
      <c r="Y30" s="157" t="n"/>
      <c r="Z30" s="157" t="n"/>
      <c r="AA30" s="157" t="n"/>
      <c r="AB30" s="157" t="n"/>
      <c r="AC30" s="157" t="n"/>
      <c r="AD30" s="157" t="n"/>
      <c r="AE30" s="157" t="n"/>
      <c r="AF30" s="157" t="n"/>
      <c r="AG30" s="157" t="n"/>
      <c r="AH30" s="157" t="n"/>
      <c r="AI30" s="157" t="n"/>
      <c r="AJ30" s="157" t="n"/>
      <c r="AK30" s="157" t="n"/>
      <c r="AL30" s="157" t="n"/>
      <c r="AM30" s="157" t="n"/>
      <c r="AN30" s="157" t="n"/>
      <c r="AO30" s="157" t="n"/>
      <c r="AP30" s="157" t="n"/>
      <c r="AQ30" s="157" t="n"/>
      <c r="AR30" s="157" t="n"/>
      <c r="AS30" s="157" t="n"/>
      <c r="AT30" s="157" t="n"/>
      <c r="AU30" s="157" t="n"/>
      <c r="AV30" s="157" t="n"/>
      <c r="AW30" s="157" t="n"/>
      <c r="AX30" s="157" t="n"/>
      <c r="AY30" s="157" t="n"/>
      <c r="AZ30" s="157" t="n"/>
      <c r="BA30" s="157" t="n"/>
      <c r="BB30" s="157" t="n"/>
      <c r="BC30" s="157" t="n"/>
      <c r="BD30" s="157" t="n"/>
      <c r="BE30" s="157" t="n"/>
      <c r="BF30" s="157" t="n"/>
      <c r="BG30" s="157" t="n"/>
      <c r="BH30" s="158" t="n"/>
      <c r="BI30" s="159" t="n"/>
      <c r="BJ30" s="23">
        <f>IFERROR(ISNUMBER(E30)*IF(ISNUMBER(D30),--(E30&lt;D30-0.5),1)+ISNUMBER(F30)*IF(ISNUMBER(E30),--(F30&lt;E30-0.5),1)+ISNUMBER(G30)*IF(ISNUMBER(F30),--(G30&lt;F30-0.5),1)+ISNUMBER(H30)*IF(ISNUMBER(G30),--(H30&lt;G30-0.5),1)+ISNUMBER(I30)*IF(ISNUMBER(H30),--(I30&lt;H30-0.5),1)+ISNUMBER(J30)*IF(ISNUMBER(I30),--(J30&lt;I30-0.5),1)+ISNUMBER(K30)*IF(ISNUMBER(J30),--(K30&lt;J30-0.5),1)+IF(AND(ISNUMBER(C30),C30&lt;0),1,0),1)</f>
        <v/>
      </c>
      <c r="BK30" s="23">
        <f>IFERROR(ISNUMBER(M30)*IF(ISNUMBER(L30),--(M30&lt;L30-0.5),1)+ISNUMBER(N30)*IF(ISNUMBER(M30),--(N30&lt;M30-0.5),1)+ISNUMBER(O30)*IF(ISNUMBER(N30),--(O30&lt;N30-0.5),1)+ISNUMBER(P30)*IF(ISNUMBER(O30),--(P30&lt;O30-0.5),1)+ISNUMBER(Q30)*IF(ISNUMBER(P30),--(Q30&lt;P30-0.5),1)+ISNUMBER(R30)*IF(ISNUMBER(Q30),--(R30&lt;Q30-0.5),1)+ISNUMBER(S30)*IF(ISNUMBER(R30),--(S30&lt;R30-0.5),1),1)</f>
        <v/>
      </c>
    </row>
    <row r="31">
      <c r="A31" s="23" t="n">
        <v>23</v>
      </c>
      <c r="B31" s="75" t="n">
        <v>1</v>
      </c>
      <c r="C31" s="157" t="n"/>
      <c r="D31" s="157" t="n"/>
      <c r="E31" s="157" t="n"/>
      <c r="F31" s="157" t="n"/>
      <c r="G31" s="157" t="n"/>
      <c r="H31" s="157" t="n"/>
      <c r="I31" s="157" t="n"/>
      <c r="J31" s="157" t="n"/>
      <c r="K31" s="157" t="n"/>
      <c r="L31" s="157" t="n"/>
      <c r="M31" s="157" t="n"/>
      <c r="N31" s="157" t="n"/>
      <c r="O31" s="157" t="n"/>
      <c r="P31" s="157" t="n"/>
      <c r="Q31" s="157" t="n"/>
      <c r="R31" s="157" t="n"/>
      <c r="S31" s="157" t="n"/>
      <c r="T31" s="157" t="n"/>
      <c r="U31" s="157" t="n"/>
      <c r="V31" s="157" t="n"/>
      <c r="W31" s="157" t="n"/>
      <c r="X31" s="157" t="n"/>
      <c r="Y31" s="157" t="n"/>
      <c r="Z31" s="157" t="n"/>
      <c r="AA31" s="157" t="n"/>
      <c r="AB31" s="157" t="n"/>
      <c r="AC31" s="157" t="n"/>
      <c r="AD31" s="157" t="n"/>
      <c r="AE31" s="157" t="n"/>
      <c r="AF31" s="157" t="n"/>
      <c r="AG31" s="157" t="n"/>
      <c r="AH31" s="157" t="n"/>
      <c r="AI31" s="157" t="n"/>
      <c r="AJ31" s="157" t="n"/>
      <c r="AK31" s="157" t="n"/>
      <c r="AL31" s="157" t="n"/>
      <c r="AM31" s="157" t="n"/>
      <c r="AN31" s="157" t="n"/>
      <c r="AO31" s="157" t="n"/>
      <c r="AP31" s="157" t="n"/>
      <c r="AQ31" s="157" t="n"/>
      <c r="AR31" s="157" t="n"/>
      <c r="AS31" s="157" t="n"/>
      <c r="AT31" s="157" t="n"/>
      <c r="AU31" s="157" t="n"/>
      <c r="AV31" s="157" t="n"/>
      <c r="AW31" s="157" t="n"/>
      <c r="AX31" s="157" t="n"/>
      <c r="AY31" s="157" t="n"/>
      <c r="AZ31" s="157" t="n"/>
      <c r="BA31" s="157" t="n"/>
      <c r="BB31" s="157" t="n"/>
      <c r="BC31" s="157" t="n"/>
      <c r="BD31" s="157" t="n"/>
      <c r="BE31" s="157" t="n"/>
      <c r="BF31" s="157" t="n"/>
      <c r="BG31" s="157" t="n"/>
      <c r="BH31" s="158" t="n"/>
      <c r="BI31" s="159" t="n"/>
      <c r="BJ31" s="23">
        <f>IFERROR(ISNUMBER(E31)*IF(ISNUMBER(D31),--(E31&lt;D31-0.5),1)+ISNUMBER(F31)*IF(ISNUMBER(E31),--(F31&lt;E31-0.5),1)+ISNUMBER(G31)*IF(ISNUMBER(F31),--(G31&lt;F31-0.5),1)+ISNUMBER(H31)*IF(ISNUMBER(G31),--(H31&lt;G31-0.5),1)+ISNUMBER(I31)*IF(ISNUMBER(H31),--(I31&lt;H31-0.5),1)+ISNUMBER(J31)*IF(ISNUMBER(I31),--(J31&lt;I31-0.5),1)+ISNUMBER(K31)*IF(ISNUMBER(J31),--(K31&lt;J31-0.5),1)+IF(AND(ISNUMBER(C31),C31&lt;0),1,0),1)</f>
        <v/>
      </c>
      <c r="BK31" s="23">
        <f>IFERROR(ISNUMBER(M31)*IF(ISNUMBER(L31),--(M31&lt;L31-0.5),1)+ISNUMBER(N31)*IF(ISNUMBER(M31),--(N31&lt;M31-0.5),1)+ISNUMBER(O31)*IF(ISNUMBER(N31),--(O31&lt;N31-0.5),1)+ISNUMBER(P31)*IF(ISNUMBER(O31),--(P31&lt;O31-0.5),1)+ISNUMBER(Q31)*IF(ISNUMBER(P31),--(Q31&lt;P31-0.5),1)+ISNUMBER(R31)*IF(ISNUMBER(Q31),--(R31&lt;Q31-0.5),1)+ISNUMBER(S31)*IF(ISNUMBER(R31),--(S31&lt;R31-0.5),1),1)</f>
        <v/>
      </c>
    </row>
    <row r="32">
      <c r="A32" s="23" t="n">
        <v>24</v>
      </c>
      <c r="B32" s="75" t="n">
        <v>1</v>
      </c>
      <c r="C32" s="157" t="n"/>
      <c r="D32" s="157" t="n"/>
      <c r="E32" s="157" t="n"/>
      <c r="F32" s="157" t="n"/>
      <c r="G32" s="157" t="n"/>
      <c r="H32" s="157" t="n"/>
      <c r="I32" s="157" t="n"/>
      <c r="J32" s="157" t="n"/>
      <c r="K32" s="157" t="n"/>
      <c r="L32" s="157" t="n"/>
      <c r="M32" s="157" t="n"/>
      <c r="N32" s="157" t="n"/>
      <c r="O32" s="157" t="n"/>
      <c r="P32" s="157" t="n"/>
      <c r="Q32" s="157" t="n"/>
      <c r="R32" s="157" t="n"/>
      <c r="S32" s="157" t="n"/>
      <c r="T32" s="157" t="n"/>
      <c r="U32" s="157" t="n"/>
      <c r="V32" s="157" t="n"/>
      <c r="W32" s="157" t="n"/>
      <c r="X32" s="157" t="n"/>
      <c r="Y32" s="157" t="n"/>
      <c r="Z32" s="157" t="n"/>
      <c r="AA32" s="157" t="n"/>
      <c r="AB32" s="157" t="n"/>
      <c r="AC32" s="157" t="n"/>
      <c r="AD32" s="157" t="n"/>
      <c r="AE32" s="157" t="n"/>
      <c r="AF32" s="157" t="n"/>
      <c r="AG32" s="157" t="n"/>
      <c r="AH32" s="157" t="n"/>
      <c r="AI32" s="157" t="n"/>
      <c r="AJ32" s="157" t="n"/>
      <c r="AK32" s="157" t="n"/>
      <c r="AL32" s="157" t="n"/>
      <c r="AM32" s="157" t="n"/>
      <c r="AN32" s="157" t="n"/>
      <c r="AO32" s="157" t="n"/>
      <c r="AP32" s="157" t="n"/>
      <c r="AQ32" s="157" t="n"/>
      <c r="AR32" s="157" t="n"/>
      <c r="AS32" s="157" t="n"/>
      <c r="AT32" s="157" t="n"/>
      <c r="AU32" s="157" t="n"/>
      <c r="AV32" s="157" t="n"/>
      <c r="AW32" s="157" t="n"/>
      <c r="AX32" s="157" t="n"/>
      <c r="AY32" s="157" t="n"/>
      <c r="AZ32" s="157" t="n"/>
      <c r="BA32" s="157" t="n"/>
      <c r="BB32" s="157" t="n"/>
      <c r="BC32" s="157" t="n"/>
      <c r="BD32" s="157" t="n"/>
      <c r="BE32" s="157" t="n"/>
      <c r="BF32" s="157" t="n"/>
      <c r="BG32" s="157" t="n"/>
      <c r="BH32" s="158" t="n"/>
      <c r="BI32" s="159" t="n"/>
      <c r="BJ32" s="23">
        <f>IFERROR(ISNUMBER(E32)*IF(ISNUMBER(D32),--(E32&lt;D32-0.5),1)+ISNUMBER(F32)*IF(ISNUMBER(E32),--(F32&lt;E32-0.5),1)+ISNUMBER(G32)*IF(ISNUMBER(F32),--(G32&lt;F32-0.5),1)+ISNUMBER(H32)*IF(ISNUMBER(G32),--(H32&lt;G32-0.5),1)+ISNUMBER(I32)*IF(ISNUMBER(H32),--(I32&lt;H32-0.5),1)+ISNUMBER(J32)*IF(ISNUMBER(I32),--(J32&lt;I32-0.5),1)+ISNUMBER(K32)*IF(ISNUMBER(J32),--(K32&lt;J32-0.5),1)+IF(AND(ISNUMBER(C32),C32&lt;0),1,0),1)</f>
        <v/>
      </c>
      <c r="BK32" s="23">
        <f>IFERROR(ISNUMBER(M32)*IF(ISNUMBER(L32),--(M32&lt;L32-0.5),1)+ISNUMBER(N32)*IF(ISNUMBER(M32),--(N32&lt;M32-0.5),1)+ISNUMBER(O32)*IF(ISNUMBER(N32),--(O32&lt;N32-0.5),1)+ISNUMBER(P32)*IF(ISNUMBER(O32),--(P32&lt;O32-0.5),1)+ISNUMBER(Q32)*IF(ISNUMBER(P32),--(Q32&lt;P32-0.5),1)+ISNUMBER(R32)*IF(ISNUMBER(Q32),--(R32&lt;Q32-0.5),1)+ISNUMBER(S32)*IF(ISNUMBER(R32),--(S32&lt;R32-0.5),1),1)</f>
        <v/>
      </c>
    </row>
    <row r="33">
      <c r="A33" s="23" t="n">
        <v>25</v>
      </c>
      <c r="B33" s="75" t="n">
        <v>1</v>
      </c>
      <c r="C33" s="157" t="n"/>
      <c r="D33" s="157" t="n"/>
      <c r="E33" s="157" t="n"/>
      <c r="F33" s="157" t="n"/>
      <c r="G33" s="157" t="n"/>
      <c r="H33" s="157" t="n"/>
      <c r="I33" s="157" t="n"/>
      <c r="J33" s="157" t="n"/>
      <c r="K33" s="157" t="n"/>
      <c r="L33" s="157" t="n"/>
      <c r="M33" s="157" t="n"/>
      <c r="N33" s="157" t="n"/>
      <c r="O33" s="157" t="n"/>
      <c r="P33" s="157" t="n"/>
      <c r="Q33" s="157" t="n"/>
      <c r="R33" s="157" t="n"/>
      <c r="S33" s="157" t="n"/>
      <c r="T33" s="157" t="n"/>
      <c r="U33" s="157" t="n"/>
      <c r="V33" s="157" t="n"/>
      <c r="W33" s="157" t="n"/>
      <c r="X33" s="157" t="n"/>
      <c r="Y33" s="157" t="n"/>
      <c r="Z33" s="157" t="n"/>
      <c r="AA33" s="157" t="n"/>
      <c r="AB33" s="157" t="n"/>
      <c r="AC33" s="157" t="n"/>
      <c r="AD33" s="157" t="n"/>
      <c r="AE33" s="157" t="n"/>
      <c r="AF33" s="157" t="n"/>
      <c r="AG33" s="157" t="n"/>
      <c r="AH33" s="157" t="n"/>
      <c r="AI33" s="157" t="n"/>
      <c r="AJ33" s="157" t="n"/>
      <c r="AK33" s="157" t="n"/>
      <c r="AL33" s="157" t="n"/>
      <c r="AM33" s="157" t="n"/>
      <c r="AN33" s="157" t="n"/>
      <c r="AO33" s="157" t="n"/>
      <c r="AP33" s="157" t="n"/>
      <c r="AQ33" s="157" t="n"/>
      <c r="AR33" s="157" t="n"/>
      <c r="AS33" s="157" t="n"/>
      <c r="AT33" s="157" t="n"/>
      <c r="AU33" s="157" t="n"/>
      <c r="AV33" s="157" t="n"/>
      <c r="AW33" s="157" t="n"/>
      <c r="AX33" s="157" t="n"/>
      <c r="AY33" s="157" t="n"/>
      <c r="AZ33" s="157" t="n"/>
      <c r="BA33" s="157" t="n"/>
      <c r="BB33" s="157" t="n"/>
      <c r="BC33" s="157" t="n"/>
      <c r="BD33" s="157" t="n"/>
      <c r="BE33" s="157" t="n"/>
      <c r="BF33" s="157" t="n"/>
      <c r="BG33" s="157" t="n"/>
      <c r="BH33" s="158" t="n"/>
      <c r="BI33" s="159" t="n"/>
      <c r="BJ33" s="23">
        <f>IFERROR(ISNUMBER(E33)*IF(ISNUMBER(D33),--(E33&lt;D33-0.5),1)+ISNUMBER(F33)*IF(ISNUMBER(E33),--(F33&lt;E33-0.5),1)+ISNUMBER(G33)*IF(ISNUMBER(F33),--(G33&lt;F33-0.5),1)+ISNUMBER(H33)*IF(ISNUMBER(G33),--(H33&lt;G33-0.5),1)+ISNUMBER(I33)*IF(ISNUMBER(H33),--(I33&lt;H33-0.5),1)+ISNUMBER(J33)*IF(ISNUMBER(I33),--(J33&lt;I33-0.5),1)+ISNUMBER(K33)*IF(ISNUMBER(J33),--(K33&lt;J33-0.5),1)+IF(AND(ISNUMBER(C33),C33&lt;0),1,0),1)</f>
        <v/>
      </c>
      <c r="BK33" s="23">
        <f>IFERROR(ISNUMBER(M33)*IF(ISNUMBER(L33),--(M33&lt;L33-0.5),1)+ISNUMBER(N33)*IF(ISNUMBER(M33),--(N33&lt;M33-0.5),1)+ISNUMBER(O33)*IF(ISNUMBER(N33),--(O33&lt;N33-0.5),1)+ISNUMBER(P33)*IF(ISNUMBER(O33),--(P33&lt;O33-0.5),1)+ISNUMBER(Q33)*IF(ISNUMBER(P33),--(Q33&lt;P33-0.5),1)+ISNUMBER(R33)*IF(ISNUMBER(Q33),--(R33&lt;Q33-0.5),1)+ISNUMBER(S33)*IF(ISNUMBER(R33),--(S33&lt;R33-0.5),1),1)</f>
        <v/>
      </c>
    </row>
    <row r="34">
      <c r="A34" s="23" t="n">
        <v>26</v>
      </c>
      <c r="B34" s="75" t="n">
        <v>1</v>
      </c>
      <c r="C34" s="157" t="n"/>
      <c r="D34" s="157" t="n"/>
      <c r="E34" s="157" t="n"/>
      <c r="F34" s="157" t="n"/>
      <c r="G34" s="157" t="n"/>
      <c r="H34" s="157" t="n"/>
      <c r="I34" s="157" t="n"/>
      <c r="J34" s="157" t="n"/>
      <c r="K34" s="157" t="n"/>
      <c r="L34" s="157" t="n"/>
      <c r="M34" s="157" t="n"/>
      <c r="N34" s="157" t="n"/>
      <c r="O34" s="157" t="n"/>
      <c r="P34" s="157" t="n"/>
      <c r="Q34" s="157" t="n"/>
      <c r="R34" s="157" t="n"/>
      <c r="S34" s="157" t="n"/>
      <c r="T34" s="157" t="n"/>
      <c r="U34" s="157" t="n"/>
      <c r="V34" s="157" t="n"/>
      <c r="W34" s="157" t="n"/>
      <c r="X34" s="157" t="n"/>
      <c r="Y34" s="157" t="n"/>
      <c r="Z34" s="157" t="n"/>
      <c r="AA34" s="157" t="n"/>
      <c r="AB34" s="157" t="n"/>
      <c r="AC34" s="157" t="n"/>
      <c r="AD34" s="157" t="n"/>
      <c r="AE34" s="157" t="n"/>
      <c r="AF34" s="157" t="n"/>
      <c r="AG34" s="157" t="n"/>
      <c r="AH34" s="157" t="n"/>
      <c r="AI34" s="157" t="n"/>
      <c r="AJ34" s="157" t="n"/>
      <c r="AK34" s="157" t="n"/>
      <c r="AL34" s="157" t="n"/>
      <c r="AM34" s="157" t="n"/>
      <c r="AN34" s="157" t="n"/>
      <c r="AO34" s="157" t="n"/>
      <c r="AP34" s="157" t="n"/>
      <c r="AQ34" s="157" t="n"/>
      <c r="AR34" s="157" t="n"/>
      <c r="AS34" s="157" t="n"/>
      <c r="AT34" s="157" t="n"/>
      <c r="AU34" s="157" t="n"/>
      <c r="AV34" s="157" t="n"/>
      <c r="AW34" s="157" t="n"/>
      <c r="AX34" s="157" t="n"/>
      <c r="AY34" s="157" t="n"/>
      <c r="AZ34" s="157" t="n"/>
      <c r="BA34" s="157" t="n"/>
      <c r="BB34" s="157" t="n"/>
      <c r="BC34" s="157" t="n"/>
      <c r="BD34" s="157" t="n"/>
      <c r="BE34" s="157" t="n"/>
      <c r="BF34" s="157" t="n"/>
      <c r="BG34" s="157" t="n"/>
      <c r="BH34" s="158" t="n"/>
      <c r="BI34" s="159" t="n"/>
      <c r="BJ34" s="23">
        <f>IFERROR(ISNUMBER(E34)*IF(ISNUMBER(D34),--(E34&lt;D34-0.5),1)+ISNUMBER(F34)*IF(ISNUMBER(E34),--(F34&lt;E34-0.5),1)+ISNUMBER(G34)*IF(ISNUMBER(F34),--(G34&lt;F34-0.5),1)+ISNUMBER(H34)*IF(ISNUMBER(G34),--(H34&lt;G34-0.5),1)+ISNUMBER(I34)*IF(ISNUMBER(H34),--(I34&lt;H34-0.5),1)+ISNUMBER(J34)*IF(ISNUMBER(I34),--(J34&lt;I34-0.5),1)+ISNUMBER(K34)*IF(ISNUMBER(J34),--(K34&lt;J34-0.5),1)+IF(AND(ISNUMBER(C34),C34&lt;0),1,0),1)</f>
        <v/>
      </c>
      <c r="BK34" s="23">
        <f>IFERROR(ISNUMBER(M34)*IF(ISNUMBER(L34),--(M34&lt;L34-0.5),1)+ISNUMBER(N34)*IF(ISNUMBER(M34),--(N34&lt;M34-0.5),1)+ISNUMBER(O34)*IF(ISNUMBER(N34),--(O34&lt;N34-0.5),1)+ISNUMBER(P34)*IF(ISNUMBER(O34),--(P34&lt;O34-0.5),1)+ISNUMBER(Q34)*IF(ISNUMBER(P34),--(Q34&lt;P34-0.5),1)+ISNUMBER(R34)*IF(ISNUMBER(Q34),--(R34&lt;Q34-0.5),1)+ISNUMBER(S34)*IF(ISNUMBER(R34),--(S34&lt;R34-0.5),1),1)</f>
        <v/>
      </c>
    </row>
    <row r="35">
      <c r="A35" s="23" t="n">
        <v>27</v>
      </c>
      <c r="B35" s="75" t="n">
        <v>1</v>
      </c>
      <c r="C35" s="157" t="n"/>
      <c r="D35" s="157" t="n"/>
      <c r="E35" s="157" t="n"/>
      <c r="F35" s="157" t="n"/>
      <c r="G35" s="157" t="n"/>
      <c r="H35" s="157" t="n"/>
      <c r="I35" s="157" t="n"/>
      <c r="J35" s="157" t="n"/>
      <c r="K35" s="157" t="n"/>
      <c r="L35" s="157" t="n"/>
      <c r="M35" s="157" t="n"/>
      <c r="N35" s="157" t="n"/>
      <c r="O35" s="157" t="n"/>
      <c r="P35" s="157" t="n"/>
      <c r="Q35" s="157" t="n"/>
      <c r="R35" s="157" t="n"/>
      <c r="S35" s="157" t="n"/>
      <c r="T35" s="157" t="n"/>
      <c r="U35" s="157" t="n"/>
      <c r="V35" s="157" t="n"/>
      <c r="W35" s="157" t="n"/>
      <c r="X35" s="157" t="n"/>
      <c r="Y35" s="157" t="n"/>
      <c r="Z35" s="157" t="n"/>
      <c r="AA35" s="157" t="n"/>
      <c r="AB35" s="157" t="n"/>
      <c r="AC35" s="157" t="n"/>
      <c r="AD35" s="157" t="n"/>
      <c r="AE35" s="157" t="n"/>
      <c r="AF35" s="157" t="n"/>
      <c r="AG35" s="157" t="n"/>
      <c r="AH35" s="157" t="n"/>
      <c r="AI35" s="157" t="n"/>
      <c r="AJ35" s="157" t="n"/>
      <c r="AK35" s="157" t="n"/>
      <c r="AL35" s="157" t="n"/>
      <c r="AM35" s="157" t="n"/>
      <c r="AN35" s="157" t="n"/>
      <c r="AO35" s="157" t="n"/>
      <c r="AP35" s="157" t="n"/>
      <c r="AQ35" s="157" t="n"/>
      <c r="AR35" s="157" t="n"/>
      <c r="AS35" s="157" t="n"/>
      <c r="AT35" s="157" t="n"/>
      <c r="AU35" s="157" t="n"/>
      <c r="AV35" s="157" t="n"/>
      <c r="AW35" s="157" t="n"/>
      <c r="AX35" s="157" t="n"/>
      <c r="AY35" s="157" t="n"/>
      <c r="AZ35" s="157" t="n"/>
      <c r="BA35" s="157" t="n"/>
      <c r="BB35" s="157" t="n"/>
      <c r="BC35" s="157" t="n"/>
      <c r="BD35" s="157" t="n"/>
      <c r="BE35" s="157" t="n"/>
      <c r="BF35" s="157" t="n"/>
      <c r="BG35" s="157" t="n"/>
      <c r="BH35" s="158" t="n"/>
      <c r="BI35" s="159" t="n"/>
      <c r="BJ35" s="23">
        <f>IFERROR(ISNUMBER(E35)*IF(ISNUMBER(D35),--(E35&lt;D35-0.5),1)+ISNUMBER(F35)*IF(ISNUMBER(E35),--(F35&lt;E35-0.5),1)+ISNUMBER(G35)*IF(ISNUMBER(F35),--(G35&lt;F35-0.5),1)+ISNUMBER(H35)*IF(ISNUMBER(G35),--(H35&lt;G35-0.5),1)+ISNUMBER(I35)*IF(ISNUMBER(H35),--(I35&lt;H35-0.5),1)+ISNUMBER(J35)*IF(ISNUMBER(I35),--(J35&lt;I35-0.5),1)+ISNUMBER(K35)*IF(ISNUMBER(J35),--(K35&lt;J35-0.5),1)+IF(AND(ISNUMBER(C35),C35&lt;0),1,0),1)</f>
        <v/>
      </c>
      <c r="BK35" s="23">
        <f>IFERROR(ISNUMBER(M35)*IF(ISNUMBER(L35),--(M35&lt;L35-0.5),1)+ISNUMBER(N35)*IF(ISNUMBER(M35),--(N35&lt;M35-0.5),1)+ISNUMBER(O35)*IF(ISNUMBER(N35),--(O35&lt;N35-0.5),1)+ISNUMBER(P35)*IF(ISNUMBER(O35),--(P35&lt;O35-0.5),1)+ISNUMBER(Q35)*IF(ISNUMBER(P35),--(Q35&lt;P35-0.5),1)+ISNUMBER(R35)*IF(ISNUMBER(Q35),--(R35&lt;Q35-0.5),1)+ISNUMBER(S35)*IF(ISNUMBER(R35),--(S35&lt;R35-0.5),1),1)</f>
        <v/>
      </c>
    </row>
    <row r="36">
      <c r="A36" s="23" t="n">
        <v>28</v>
      </c>
      <c r="B36" s="75" t="n">
        <v>1</v>
      </c>
      <c r="C36" s="157" t="n"/>
      <c r="D36" s="157" t="n"/>
      <c r="E36" s="157" t="n"/>
      <c r="F36" s="157" t="n"/>
      <c r="G36" s="157" t="n"/>
      <c r="H36" s="157" t="n"/>
      <c r="I36" s="157" t="n"/>
      <c r="J36" s="157" t="n"/>
      <c r="K36" s="157" t="n"/>
      <c r="L36" s="157" t="n"/>
      <c r="M36" s="157" t="n"/>
      <c r="N36" s="157" t="n"/>
      <c r="O36" s="157" t="n"/>
      <c r="P36" s="157" t="n"/>
      <c r="Q36" s="157" t="n"/>
      <c r="R36" s="157" t="n"/>
      <c r="S36" s="157" t="n"/>
      <c r="T36" s="157" t="n"/>
      <c r="U36" s="157" t="n"/>
      <c r="V36" s="157" t="n"/>
      <c r="W36" s="157" t="n"/>
      <c r="X36" s="157" t="n"/>
      <c r="Y36" s="157" t="n"/>
      <c r="Z36" s="157" t="n"/>
      <c r="AA36" s="157" t="n"/>
      <c r="AB36" s="157" t="n"/>
      <c r="AC36" s="157" t="n"/>
      <c r="AD36" s="157" t="n"/>
      <c r="AE36" s="157" t="n"/>
      <c r="AF36" s="157" t="n"/>
      <c r="AG36" s="157" t="n"/>
      <c r="AH36" s="157" t="n"/>
      <c r="AI36" s="157" t="n"/>
      <c r="AJ36" s="157" t="n"/>
      <c r="AK36" s="157" t="n"/>
      <c r="AL36" s="157" t="n"/>
      <c r="AM36" s="157" t="n"/>
      <c r="AN36" s="157" t="n"/>
      <c r="AO36" s="157" t="n"/>
      <c r="AP36" s="157" t="n"/>
      <c r="AQ36" s="157" t="n"/>
      <c r="AR36" s="157" t="n"/>
      <c r="AS36" s="157" t="n"/>
      <c r="AT36" s="157" t="n"/>
      <c r="AU36" s="157" t="n"/>
      <c r="AV36" s="157" t="n"/>
      <c r="AW36" s="157" t="n"/>
      <c r="AX36" s="157" t="n"/>
      <c r="AY36" s="157" t="n"/>
      <c r="AZ36" s="157" t="n"/>
      <c r="BA36" s="157" t="n"/>
      <c r="BB36" s="157" t="n"/>
      <c r="BC36" s="157" t="n"/>
      <c r="BD36" s="157" t="n"/>
      <c r="BE36" s="157" t="n"/>
      <c r="BF36" s="157" t="n"/>
      <c r="BG36" s="157" t="n"/>
      <c r="BH36" s="158" t="n"/>
      <c r="BI36" s="159" t="n"/>
      <c r="BJ36" s="23">
        <f>IFERROR(ISNUMBER(E36)*IF(ISNUMBER(D36),--(E36&lt;D36-0.5),1)+ISNUMBER(F36)*IF(ISNUMBER(E36),--(F36&lt;E36-0.5),1)+ISNUMBER(G36)*IF(ISNUMBER(F36),--(G36&lt;F36-0.5),1)+ISNUMBER(H36)*IF(ISNUMBER(G36),--(H36&lt;G36-0.5),1)+ISNUMBER(I36)*IF(ISNUMBER(H36),--(I36&lt;H36-0.5),1)+ISNUMBER(J36)*IF(ISNUMBER(I36),--(J36&lt;I36-0.5),1)+ISNUMBER(K36)*IF(ISNUMBER(J36),--(K36&lt;J36-0.5),1)+IF(AND(ISNUMBER(C36),C36&lt;0),1,0),1)</f>
        <v/>
      </c>
      <c r="BK36" s="23">
        <f>IFERROR(ISNUMBER(M36)*IF(ISNUMBER(L36),--(M36&lt;L36-0.5),1)+ISNUMBER(N36)*IF(ISNUMBER(M36),--(N36&lt;M36-0.5),1)+ISNUMBER(O36)*IF(ISNUMBER(N36),--(O36&lt;N36-0.5),1)+ISNUMBER(P36)*IF(ISNUMBER(O36),--(P36&lt;O36-0.5),1)+ISNUMBER(Q36)*IF(ISNUMBER(P36),--(Q36&lt;P36-0.5),1)+ISNUMBER(R36)*IF(ISNUMBER(Q36),--(R36&lt;Q36-0.5),1)+ISNUMBER(S36)*IF(ISNUMBER(R36),--(S36&lt;R36-0.5),1),1)</f>
        <v/>
      </c>
    </row>
    <row r="37">
      <c r="A37" s="23" t="n">
        <v>29</v>
      </c>
      <c r="B37" s="75" t="n">
        <v>1</v>
      </c>
      <c r="C37" s="157" t="n"/>
      <c r="D37" s="157" t="n"/>
      <c r="E37" s="157" t="n"/>
      <c r="F37" s="157" t="n"/>
      <c r="G37" s="157" t="n"/>
      <c r="H37" s="157" t="n"/>
      <c r="I37" s="157" t="n"/>
      <c r="J37" s="157" t="n"/>
      <c r="K37" s="157" t="n"/>
      <c r="L37" s="157" t="n"/>
      <c r="M37" s="157" t="n"/>
      <c r="N37" s="157" t="n"/>
      <c r="O37" s="157" t="n"/>
      <c r="P37" s="157" t="n"/>
      <c r="Q37" s="157" t="n"/>
      <c r="R37" s="157" t="n"/>
      <c r="S37" s="157" t="n"/>
      <c r="T37" s="157" t="n"/>
      <c r="U37" s="157" t="n"/>
      <c r="V37" s="157" t="n"/>
      <c r="W37" s="157" t="n"/>
      <c r="X37" s="157" t="n"/>
      <c r="Y37" s="157" t="n"/>
      <c r="Z37" s="157" t="n"/>
      <c r="AA37" s="157" t="n"/>
      <c r="AB37" s="157" t="n"/>
      <c r="AC37" s="157" t="n"/>
      <c r="AD37" s="157" t="n"/>
      <c r="AE37" s="157" t="n"/>
      <c r="AF37" s="157" t="n"/>
      <c r="AG37" s="157" t="n"/>
      <c r="AH37" s="157" t="n"/>
      <c r="AI37" s="157" t="n"/>
      <c r="AJ37" s="157" t="n"/>
      <c r="AK37" s="157" t="n"/>
      <c r="AL37" s="157" t="n"/>
      <c r="AM37" s="157" t="n"/>
      <c r="AN37" s="157" t="n"/>
      <c r="AO37" s="157" t="n"/>
      <c r="AP37" s="157" t="n"/>
      <c r="AQ37" s="157" t="n"/>
      <c r="AR37" s="157" t="n"/>
      <c r="AS37" s="157" t="n"/>
      <c r="AT37" s="157" t="n"/>
      <c r="AU37" s="157" t="n"/>
      <c r="AV37" s="157" t="n"/>
      <c r="AW37" s="157" t="n"/>
      <c r="AX37" s="157" t="n"/>
      <c r="AY37" s="157" t="n"/>
      <c r="AZ37" s="157" t="n"/>
      <c r="BA37" s="157" t="n"/>
      <c r="BB37" s="157" t="n"/>
      <c r="BC37" s="157" t="n"/>
      <c r="BD37" s="157" t="n"/>
      <c r="BE37" s="157" t="n"/>
      <c r="BF37" s="157" t="n"/>
      <c r="BG37" s="157" t="n"/>
      <c r="BH37" s="158" t="n"/>
      <c r="BI37" s="159" t="n"/>
      <c r="BJ37" s="23">
        <f>IFERROR(ISNUMBER(E37)*IF(ISNUMBER(D37),--(E37&lt;D37-0.5),1)+ISNUMBER(F37)*IF(ISNUMBER(E37),--(F37&lt;E37-0.5),1)+ISNUMBER(G37)*IF(ISNUMBER(F37),--(G37&lt;F37-0.5),1)+ISNUMBER(H37)*IF(ISNUMBER(G37),--(H37&lt;G37-0.5),1)+ISNUMBER(I37)*IF(ISNUMBER(H37),--(I37&lt;H37-0.5),1)+ISNUMBER(J37)*IF(ISNUMBER(I37),--(J37&lt;I37-0.5),1)+ISNUMBER(K37)*IF(ISNUMBER(J37),--(K37&lt;J37-0.5),1)+IF(AND(ISNUMBER(C37),C37&lt;0),1,0),1)</f>
        <v/>
      </c>
      <c r="BK37" s="23">
        <f>IFERROR(ISNUMBER(M37)*IF(ISNUMBER(L37),--(M37&lt;L37-0.5),1)+ISNUMBER(N37)*IF(ISNUMBER(M37),--(N37&lt;M37-0.5),1)+ISNUMBER(O37)*IF(ISNUMBER(N37),--(O37&lt;N37-0.5),1)+ISNUMBER(P37)*IF(ISNUMBER(O37),--(P37&lt;O37-0.5),1)+ISNUMBER(Q37)*IF(ISNUMBER(P37),--(Q37&lt;P37-0.5),1)+ISNUMBER(R37)*IF(ISNUMBER(Q37),--(R37&lt;Q37-0.5),1)+ISNUMBER(S37)*IF(ISNUMBER(R37),--(S37&lt;R37-0.5),1),1)</f>
        <v/>
      </c>
    </row>
    <row r="38">
      <c r="A38" s="23" t="n">
        <v>30</v>
      </c>
      <c r="B38" s="75" t="n">
        <v>1</v>
      </c>
      <c r="C38" s="157" t="n"/>
      <c r="D38" s="157" t="n"/>
      <c r="E38" s="157" t="n"/>
      <c r="F38" s="157" t="n"/>
      <c r="G38" s="157" t="n"/>
      <c r="H38" s="157" t="n"/>
      <c r="I38" s="157" t="n"/>
      <c r="J38" s="157" t="n"/>
      <c r="K38" s="157" t="n"/>
      <c r="L38" s="157" t="n"/>
      <c r="M38" s="157" t="n"/>
      <c r="N38" s="157" t="n"/>
      <c r="O38" s="157" t="n"/>
      <c r="P38" s="157" t="n"/>
      <c r="Q38" s="157" t="n"/>
      <c r="R38" s="157" t="n"/>
      <c r="S38" s="157" t="n"/>
      <c r="T38" s="157" t="n"/>
      <c r="U38" s="157" t="n"/>
      <c r="V38" s="157" t="n"/>
      <c r="W38" s="157" t="n"/>
      <c r="X38" s="157" t="n"/>
      <c r="Y38" s="157" t="n"/>
      <c r="Z38" s="157" t="n"/>
      <c r="AA38" s="157" t="n"/>
      <c r="AB38" s="157" t="n"/>
      <c r="AC38" s="157" t="n"/>
      <c r="AD38" s="157" t="n"/>
      <c r="AE38" s="157" t="n"/>
      <c r="AF38" s="157" t="n"/>
      <c r="AG38" s="157" t="n"/>
      <c r="AH38" s="157" t="n"/>
      <c r="AI38" s="157" t="n"/>
      <c r="AJ38" s="157" t="n"/>
      <c r="AK38" s="157" t="n"/>
      <c r="AL38" s="157" t="n"/>
      <c r="AM38" s="157" t="n"/>
      <c r="AN38" s="157" t="n"/>
      <c r="AO38" s="157" t="n"/>
      <c r="AP38" s="157" t="n"/>
      <c r="AQ38" s="157" t="n"/>
      <c r="AR38" s="157" t="n"/>
      <c r="AS38" s="157" t="n"/>
      <c r="AT38" s="157" t="n"/>
      <c r="AU38" s="157" t="n"/>
      <c r="AV38" s="157" t="n"/>
      <c r="AW38" s="157" t="n"/>
      <c r="AX38" s="157" t="n"/>
      <c r="AY38" s="157" t="n"/>
      <c r="AZ38" s="157" t="n"/>
      <c r="BA38" s="157" t="n"/>
      <c r="BB38" s="157" t="n"/>
      <c r="BC38" s="157" t="n"/>
      <c r="BD38" s="157" t="n"/>
      <c r="BE38" s="157" t="n"/>
      <c r="BF38" s="157" t="n"/>
      <c r="BG38" s="157" t="n"/>
      <c r="BH38" s="158" t="n"/>
      <c r="BI38" s="159" t="n"/>
      <c r="BJ38" s="23">
        <f>IFERROR(ISNUMBER(E38)*IF(ISNUMBER(D38),--(E38&lt;D38-0.5),1)+ISNUMBER(F38)*IF(ISNUMBER(E38),--(F38&lt;E38-0.5),1)+ISNUMBER(G38)*IF(ISNUMBER(F38),--(G38&lt;F38-0.5),1)+ISNUMBER(H38)*IF(ISNUMBER(G38),--(H38&lt;G38-0.5),1)+ISNUMBER(I38)*IF(ISNUMBER(H38),--(I38&lt;H38-0.5),1)+ISNUMBER(J38)*IF(ISNUMBER(I38),--(J38&lt;I38-0.5),1)+ISNUMBER(K38)*IF(ISNUMBER(J38),--(K38&lt;J38-0.5),1)+IF(AND(ISNUMBER(C38),C38&lt;0),1,0),1)</f>
        <v/>
      </c>
      <c r="BK38" s="23">
        <f>IFERROR(ISNUMBER(M38)*IF(ISNUMBER(L38),--(M38&lt;L38-0.5),1)+ISNUMBER(N38)*IF(ISNUMBER(M38),--(N38&lt;M38-0.5),1)+ISNUMBER(O38)*IF(ISNUMBER(N38),--(O38&lt;N38-0.5),1)+ISNUMBER(P38)*IF(ISNUMBER(O38),--(P38&lt;O38-0.5),1)+ISNUMBER(Q38)*IF(ISNUMBER(P38),--(Q38&lt;P38-0.5),1)+ISNUMBER(R38)*IF(ISNUMBER(Q38),--(R38&lt;Q38-0.5),1)+ISNUMBER(S38)*IF(ISNUMBER(R38),--(S38&lt;R38-0.5),1),1)</f>
        <v/>
      </c>
    </row>
    <row r="39">
      <c r="A39" s="23" t="n">
        <v>31</v>
      </c>
      <c r="B39" s="75" t="n">
        <v>1</v>
      </c>
      <c r="C39" s="157" t="n"/>
      <c r="D39" s="157" t="n"/>
      <c r="E39" s="157" t="n"/>
      <c r="F39" s="157" t="n"/>
      <c r="G39" s="157" t="n"/>
      <c r="H39" s="157" t="n"/>
      <c r="I39" s="157" t="n"/>
      <c r="J39" s="157" t="n"/>
      <c r="K39" s="157" t="n"/>
      <c r="L39" s="157" t="n"/>
      <c r="M39" s="157" t="n"/>
      <c r="N39" s="157" t="n"/>
      <c r="O39" s="157" t="n"/>
      <c r="P39" s="157" t="n"/>
      <c r="Q39" s="157" t="n"/>
      <c r="R39" s="157" t="n"/>
      <c r="S39" s="157" t="n"/>
      <c r="T39" s="157" t="n"/>
      <c r="U39" s="157" t="n"/>
      <c r="V39" s="157" t="n"/>
      <c r="W39" s="157" t="n"/>
      <c r="X39" s="157" t="n"/>
      <c r="Y39" s="157" t="n"/>
      <c r="Z39" s="157" t="n"/>
      <c r="AA39" s="157" t="n"/>
      <c r="AB39" s="157" t="n"/>
      <c r="AC39" s="157" t="n"/>
      <c r="AD39" s="157" t="n"/>
      <c r="AE39" s="157" t="n"/>
      <c r="AF39" s="157" t="n"/>
      <c r="AG39" s="157" t="n"/>
      <c r="AH39" s="157" t="n"/>
      <c r="AI39" s="157" t="n"/>
      <c r="AJ39" s="157" t="n"/>
      <c r="AK39" s="157" t="n"/>
      <c r="AL39" s="157" t="n"/>
      <c r="AM39" s="157" t="n"/>
      <c r="AN39" s="157" t="n"/>
      <c r="AO39" s="157" t="n"/>
      <c r="AP39" s="157" t="n"/>
      <c r="AQ39" s="157" t="n"/>
      <c r="AR39" s="157" t="n"/>
      <c r="AS39" s="157" t="n"/>
      <c r="AT39" s="157" t="n"/>
      <c r="AU39" s="157" t="n"/>
      <c r="AV39" s="157" t="n"/>
      <c r="AW39" s="157" t="n"/>
      <c r="AX39" s="157" t="n"/>
      <c r="AY39" s="157" t="n"/>
      <c r="AZ39" s="157" t="n"/>
      <c r="BA39" s="157" t="n"/>
      <c r="BB39" s="157" t="n"/>
      <c r="BC39" s="157" t="n"/>
      <c r="BD39" s="157" t="n"/>
      <c r="BE39" s="157" t="n"/>
      <c r="BF39" s="157" t="n"/>
      <c r="BG39" s="157" t="n"/>
      <c r="BH39" s="158" t="n"/>
      <c r="BI39" s="159" t="n"/>
      <c r="BJ39" s="23">
        <f>IFERROR(ISNUMBER(E39)*IF(ISNUMBER(D39),--(E39&lt;D39-0.5),1)+ISNUMBER(F39)*IF(ISNUMBER(E39),--(F39&lt;E39-0.5),1)+ISNUMBER(G39)*IF(ISNUMBER(F39),--(G39&lt;F39-0.5),1)+ISNUMBER(H39)*IF(ISNUMBER(G39),--(H39&lt;G39-0.5),1)+ISNUMBER(I39)*IF(ISNUMBER(H39),--(I39&lt;H39-0.5),1)+ISNUMBER(J39)*IF(ISNUMBER(I39),--(J39&lt;I39-0.5),1)+ISNUMBER(K39)*IF(ISNUMBER(J39),--(K39&lt;J39-0.5),1)+IF(AND(ISNUMBER(C39),C39&lt;0),1,0),1)</f>
        <v/>
      </c>
      <c r="BK39" s="23">
        <f>IFERROR(ISNUMBER(M39)*IF(ISNUMBER(L39),--(M39&lt;L39-0.5),1)+ISNUMBER(N39)*IF(ISNUMBER(M39),--(N39&lt;M39-0.5),1)+ISNUMBER(O39)*IF(ISNUMBER(N39),--(O39&lt;N39-0.5),1)+ISNUMBER(P39)*IF(ISNUMBER(O39),--(P39&lt;O39-0.5),1)+ISNUMBER(Q39)*IF(ISNUMBER(P39),--(Q39&lt;P39-0.5),1)+ISNUMBER(R39)*IF(ISNUMBER(Q39),--(R39&lt;Q39-0.5),1)+ISNUMBER(S39)*IF(ISNUMBER(R39),--(S39&lt;R39-0.5),1),1)</f>
        <v/>
      </c>
    </row>
    <row r="40">
      <c r="A40" s="23" t="n">
        <v>32</v>
      </c>
      <c r="B40" s="75" t="n">
        <v>1</v>
      </c>
      <c r="C40" s="157" t="n"/>
      <c r="D40" s="157" t="n"/>
      <c r="E40" s="157" t="n"/>
      <c r="F40" s="157" t="n"/>
      <c r="G40" s="157" t="n"/>
      <c r="H40" s="157" t="n"/>
      <c r="I40" s="157" t="n"/>
      <c r="J40" s="157" t="n"/>
      <c r="K40" s="157" t="n"/>
      <c r="L40" s="157" t="n"/>
      <c r="M40" s="157" t="n"/>
      <c r="N40" s="157" t="n"/>
      <c r="O40" s="157" t="n"/>
      <c r="P40" s="157" t="n"/>
      <c r="Q40" s="157" t="n"/>
      <c r="R40" s="157" t="n"/>
      <c r="S40" s="157" t="n"/>
      <c r="T40" s="157" t="n"/>
      <c r="U40" s="157" t="n"/>
      <c r="V40" s="157" t="n"/>
      <c r="W40" s="157" t="n"/>
      <c r="X40" s="157" t="n"/>
      <c r="Y40" s="157" t="n"/>
      <c r="Z40" s="157" t="n"/>
      <c r="AA40" s="157" t="n"/>
      <c r="AB40" s="157" t="n"/>
      <c r="AC40" s="157" t="n"/>
      <c r="AD40" s="157" t="n"/>
      <c r="AE40" s="157" t="n"/>
      <c r="AF40" s="157" t="n"/>
      <c r="AG40" s="157" t="n"/>
      <c r="AH40" s="157" t="n"/>
      <c r="AI40" s="157" t="n"/>
      <c r="AJ40" s="157" t="n"/>
      <c r="AK40" s="157" t="n"/>
      <c r="AL40" s="157" t="n"/>
      <c r="AM40" s="157" t="n"/>
      <c r="AN40" s="157" t="n"/>
      <c r="AO40" s="157" t="n"/>
      <c r="AP40" s="157" t="n"/>
      <c r="AQ40" s="157" t="n"/>
      <c r="AR40" s="157" t="n"/>
      <c r="AS40" s="157" t="n"/>
      <c r="AT40" s="157" t="n"/>
      <c r="AU40" s="157" t="n"/>
      <c r="AV40" s="157" t="n"/>
      <c r="AW40" s="157" t="n"/>
      <c r="AX40" s="157" t="n"/>
      <c r="AY40" s="157" t="n"/>
      <c r="AZ40" s="157" t="n"/>
      <c r="BA40" s="157" t="n"/>
      <c r="BB40" s="157" t="n"/>
      <c r="BC40" s="157" t="n"/>
      <c r="BD40" s="157" t="n"/>
      <c r="BE40" s="157" t="n"/>
      <c r="BF40" s="157" t="n"/>
      <c r="BG40" s="157" t="n"/>
      <c r="BH40" s="158" t="n"/>
      <c r="BI40" s="159" t="n"/>
      <c r="BJ40" s="23">
        <f>IFERROR(ISNUMBER(E40)*IF(ISNUMBER(D40),--(E40&lt;D40-0.5),1)+ISNUMBER(F40)*IF(ISNUMBER(E40),--(F40&lt;E40-0.5),1)+ISNUMBER(G40)*IF(ISNUMBER(F40),--(G40&lt;F40-0.5),1)+ISNUMBER(H40)*IF(ISNUMBER(G40),--(H40&lt;G40-0.5),1)+ISNUMBER(I40)*IF(ISNUMBER(H40),--(I40&lt;H40-0.5),1)+ISNUMBER(J40)*IF(ISNUMBER(I40),--(J40&lt;I40-0.5),1)+ISNUMBER(K40)*IF(ISNUMBER(J40),--(K40&lt;J40-0.5),1)+IF(AND(ISNUMBER(C40),C40&lt;0),1,0),1)</f>
        <v/>
      </c>
      <c r="BK40" s="23">
        <f>IFERROR(ISNUMBER(M40)*IF(ISNUMBER(L40),--(M40&lt;L40-0.5),1)+ISNUMBER(N40)*IF(ISNUMBER(M40),--(N40&lt;M40-0.5),1)+ISNUMBER(O40)*IF(ISNUMBER(N40),--(O40&lt;N40-0.5),1)+ISNUMBER(P40)*IF(ISNUMBER(O40),--(P40&lt;O40-0.5),1)+ISNUMBER(Q40)*IF(ISNUMBER(P40),--(Q40&lt;P40-0.5),1)+ISNUMBER(R40)*IF(ISNUMBER(Q40),--(R40&lt;Q40-0.5),1)+ISNUMBER(S40)*IF(ISNUMBER(R40),--(S40&lt;R40-0.5),1),1)</f>
        <v/>
      </c>
    </row>
    <row r="41">
      <c r="A41" s="23" t="n">
        <v>33</v>
      </c>
      <c r="B41" s="75" t="n">
        <v>1</v>
      </c>
      <c r="C41" s="157" t="n"/>
      <c r="D41" s="157" t="n"/>
      <c r="E41" s="157" t="n"/>
      <c r="F41" s="157" t="n"/>
      <c r="G41" s="157" t="n"/>
      <c r="H41" s="157" t="n"/>
      <c r="I41" s="157" t="n"/>
      <c r="J41" s="157" t="n"/>
      <c r="K41" s="157" t="n"/>
      <c r="L41" s="157" t="n"/>
      <c r="M41" s="157" t="n"/>
      <c r="N41" s="157" t="n"/>
      <c r="O41" s="157" t="n"/>
      <c r="P41" s="157" t="n"/>
      <c r="Q41" s="157" t="n"/>
      <c r="R41" s="157" t="n"/>
      <c r="S41" s="157" t="n"/>
      <c r="T41" s="157" t="n"/>
      <c r="U41" s="157" t="n"/>
      <c r="V41" s="157" t="n"/>
      <c r="W41" s="157" t="n"/>
      <c r="X41" s="157" t="n"/>
      <c r="Y41" s="157" t="n"/>
      <c r="Z41" s="157" t="n"/>
      <c r="AA41" s="157" t="n"/>
      <c r="AB41" s="157" t="n"/>
      <c r="AC41" s="157" t="n"/>
      <c r="AD41" s="157" t="n"/>
      <c r="AE41" s="157" t="n"/>
      <c r="AF41" s="157" t="n"/>
      <c r="AG41" s="157" t="n"/>
      <c r="AH41" s="157" t="n"/>
      <c r="AI41" s="157" t="n"/>
      <c r="AJ41" s="157" t="n"/>
      <c r="AK41" s="157" t="n"/>
      <c r="AL41" s="157" t="n"/>
      <c r="AM41" s="157" t="n"/>
      <c r="AN41" s="157" t="n"/>
      <c r="AO41" s="157" t="n"/>
      <c r="AP41" s="157" t="n"/>
      <c r="AQ41" s="157" t="n"/>
      <c r="AR41" s="157" t="n"/>
      <c r="AS41" s="157" t="n"/>
      <c r="AT41" s="157" t="n"/>
      <c r="AU41" s="157" t="n"/>
      <c r="AV41" s="157" t="n"/>
      <c r="AW41" s="157" t="n"/>
      <c r="AX41" s="157" t="n"/>
      <c r="AY41" s="157" t="n"/>
      <c r="AZ41" s="157" t="n"/>
      <c r="BA41" s="157" t="n"/>
      <c r="BB41" s="157" t="n"/>
      <c r="BC41" s="157" t="n"/>
      <c r="BD41" s="157" t="n"/>
      <c r="BE41" s="157" t="n"/>
      <c r="BF41" s="157" t="n"/>
      <c r="BG41" s="157" t="n"/>
      <c r="BH41" s="158" t="n"/>
      <c r="BI41" s="159" t="n"/>
      <c r="BJ41" s="23">
        <f>IFERROR(ISNUMBER(E41)*IF(ISNUMBER(D41),--(E41&lt;D41-0.5),1)+ISNUMBER(F41)*IF(ISNUMBER(E41),--(F41&lt;E41-0.5),1)+ISNUMBER(G41)*IF(ISNUMBER(F41),--(G41&lt;F41-0.5),1)+ISNUMBER(H41)*IF(ISNUMBER(G41),--(H41&lt;G41-0.5),1)+ISNUMBER(I41)*IF(ISNUMBER(H41),--(I41&lt;H41-0.5),1)+ISNUMBER(J41)*IF(ISNUMBER(I41),--(J41&lt;I41-0.5),1)+ISNUMBER(K41)*IF(ISNUMBER(J41),--(K41&lt;J41-0.5),1)+IF(AND(ISNUMBER(C41),C41&lt;0),1,0),1)</f>
        <v/>
      </c>
      <c r="BK41" s="23">
        <f>IFERROR(ISNUMBER(M41)*IF(ISNUMBER(L41),--(M41&lt;L41-0.5),1)+ISNUMBER(N41)*IF(ISNUMBER(M41),--(N41&lt;M41-0.5),1)+ISNUMBER(O41)*IF(ISNUMBER(N41),--(O41&lt;N41-0.5),1)+ISNUMBER(P41)*IF(ISNUMBER(O41),--(P41&lt;O41-0.5),1)+ISNUMBER(Q41)*IF(ISNUMBER(P41),--(Q41&lt;P41-0.5),1)+ISNUMBER(R41)*IF(ISNUMBER(Q41),--(R41&lt;Q41-0.5),1)+ISNUMBER(S41)*IF(ISNUMBER(R41),--(S41&lt;R41-0.5),1),1)</f>
        <v/>
      </c>
    </row>
    <row r="42">
      <c r="A42" s="23" t="n">
        <v>34</v>
      </c>
      <c r="B42" s="75" t="n">
        <v>1</v>
      </c>
      <c r="C42" s="157" t="n"/>
      <c r="D42" s="157" t="n"/>
      <c r="E42" s="157" t="n"/>
      <c r="F42" s="157" t="n"/>
      <c r="G42" s="157" t="n"/>
      <c r="H42" s="157" t="n"/>
      <c r="I42" s="157" t="n"/>
      <c r="J42" s="157" t="n"/>
      <c r="K42" s="157" t="n"/>
      <c r="L42" s="157" t="n"/>
      <c r="M42" s="157" t="n"/>
      <c r="N42" s="157" t="n"/>
      <c r="O42" s="157" t="n"/>
      <c r="P42" s="157" t="n"/>
      <c r="Q42" s="157" t="n"/>
      <c r="R42" s="157" t="n"/>
      <c r="S42" s="157" t="n"/>
      <c r="T42" s="157" t="n"/>
      <c r="U42" s="157" t="n"/>
      <c r="V42" s="157" t="n"/>
      <c r="W42" s="157" t="n"/>
      <c r="X42" s="157" t="n"/>
      <c r="Y42" s="157" t="n"/>
      <c r="Z42" s="157" t="n"/>
      <c r="AA42" s="157" t="n"/>
      <c r="AB42" s="157" t="n"/>
      <c r="AC42" s="157" t="n"/>
      <c r="AD42" s="157" t="n"/>
      <c r="AE42" s="157" t="n"/>
      <c r="AF42" s="157" t="n"/>
      <c r="AG42" s="157" t="n"/>
      <c r="AH42" s="157" t="n"/>
      <c r="AI42" s="157" t="n"/>
      <c r="AJ42" s="157" t="n"/>
      <c r="AK42" s="157" t="n"/>
      <c r="AL42" s="157" t="n"/>
      <c r="AM42" s="157" t="n"/>
      <c r="AN42" s="157" t="n"/>
      <c r="AO42" s="157" t="n"/>
      <c r="AP42" s="157" t="n"/>
      <c r="AQ42" s="157" t="n"/>
      <c r="AR42" s="157" t="n"/>
      <c r="AS42" s="157" t="n"/>
      <c r="AT42" s="157" t="n"/>
      <c r="AU42" s="157" t="n"/>
      <c r="AV42" s="157" t="n"/>
      <c r="AW42" s="157" t="n"/>
      <c r="AX42" s="157" t="n"/>
      <c r="AY42" s="157" t="n"/>
      <c r="AZ42" s="157" t="n"/>
      <c r="BA42" s="157" t="n"/>
      <c r="BB42" s="157" t="n"/>
      <c r="BC42" s="157" t="n"/>
      <c r="BD42" s="157" t="n"/>
      <c r="BE42" s="157" t="n"/>
      <c r="BF42" s="157" t="n"/>
      <c r="BG42" s="157" t="n"/>
      <c r="BH42" s="158" t="n"/>
      <c r="BI42" s="159" t="n"/>
      <c r="BJ42" s="23">
        <f>IFERROR(ISNUMBER(E42)*IF(ISNUMBER(D42),--(E42&lt;D42-0.5),1)+ISNUMBER(F42)*IF(ISNUMBER(E42),--(F42&lt;E42-0.5),1)+ISNUMBER(G42)*IF(ISNUMBER(F42),--(G42&lt;F42-0.5),1)+ISNUMBER(H42)*IF(ISNUMBER(G42),--(H42&lt;G42-0.5),1)+ISNUMBER(I42)*IF(ISNUMBER(H42),--(I42&lt;H42-0.5),1)+ISNUMBER(J42)*IF(ISNUMBER(I42),--(J42&lt;I42-0.5),1)+ISNUMBER(K42)*IF(ISNUMBER(J42),--(K42&lt;J42-0.5),1)+IF(AND(ISNUMBER(C42),C42&lt;0),1,0),1)</f>
        <v/>
      </c>
      <c r="BK42" s="23">
        <f>IFERROR(ISNUMBER(M42)*IF(ISNUMBER(L42),--(M42&lt;L42-0.5),1)+ISNUMBER(N42)*IF(ISNUMBER(M42),--(N42&lt;M42-0.5),1)+ISNUMBER(O42)*IF(ISNUMBER(N42),--(O42&lt;N42-0.5),1)+ISNUMBER(P42)*IF(ISNUMBER(O42),--(P42&lt;O42-0.5),1)+ISNUMBER(Q42)*IF(ISNUMBER(P42),--(Q42&lt;P42-0.5),1)+ISNUMBER(R42)*IF(ISNUMBER(Q42),--(R42&lt;Q42-0.5),1)+ISNUMBER(S42)*IF(ISNUMBER(R42),--(S42&lt;R42-0.5),1),1)</f>
        <v/>
      </c>
    </row>
    <row r="43">
      <c r="A43" s="23" t="n">
        <v>35</v>
      </c>
      <c r="B43" s="75" t="n">
        <v>1</v>
      </c>
      <c r="C43" s="157" t="n"/>
      <c r="D43" s="157" t="n"/>
      <c r="E43" s="157" t="n"/>
      <c r="F43" s="157" t="n"/>
      <c r="G43" s="157" t="n"/>
      <c r="H43" s="157" t="n"/>
      <c r="I43" s="157" t="n"/>
      <c r="J43" s="157" t="n"/>
      <c r="K43" s="157" t="n"/>
      <c r="L43" s="157" t="n"/>
      <c r="M43" s="157" t="n"/>
      <c r="N43" s="157" t="n"/>
      <c r="O43" s="157" t="n"/>
      <c r="P43" s="157" t="n"/>
      <c r="Q43" s="157" t="n"/>
      <c r="R43" s="157" t="n"/>
      <c r="S43" s="157" t="n"/>
      <c r="T43" s="157" t="n"/>
      <c r="U43" s="157" t="n"/>
      <c r="V43" s="157" t="n"/>
      <c r="W43" s="157" t="n"/>
      <c r="X43" s="157" t="n"/>
      <c r="Y43" s="157" t="n"/>
      <c r="Z43" s="157" t="n"/>
      <c r="AA43" s="157" t="n"/>
      <c r="AB43" s="157" t="n"/>
      <c r="AC43" s="157" t="n"/>
      <c r="AD43" s="157" t="n"/>
      <c r="AE43" s="157" t="n"/>
      <c r="AF43" s="157" t="n"/>
      <c r="AG43" s="157" t="n"/>
      <c r="AH43" s="157" t="n"/>
      <c r="AI43" s="157" t="n"/>
      <c r="AJ43" s="157" t="n"/>
      <c r="AK43" s="157" t="n"/>
      <c r="AL43" s="157" t="n"/>
      <c r="AM43" s="157" t="n"/>
      <c r="AN43" s="157" t="n"/>
      <c r="AO43" s="157" t="n"/>
      <c r="AP43" s="157" t="n"/>
      <c r="AQ43" s="157" t="n"/>
      <c r="AR43" s="157" t="n"/>
      <c r="AS43" s="157" t="n"/>
      <c r="AT43" s="157" t="n"/>
      <c r="AU43" s="157" t="n"/>
      <c r="AV43" s="157" t="n"/>
      <c r="AW43" s="157" t="n"/>
      <c r="AX43" s="157" t="n"/>
      <c r="AY43" s="157" t="n"/>
      <c r="AZ43" s="157" t="n"/>
      <c r="BA43" s="157" t="n"/>
      <c r="BB43" s="157" t="n"/>
      <c r="BC43" s="157" t="n"/>
      <c r="BD43" s="157" t="n"/>
      <c r="BE43" s="157" t="n"/>
      <c r="BF43" s="157" t="n"/>
      <c r="BG43" s="157" t="n"/>
      <c r="BH43" s="158" t="n"/>
      <c r="BI43" s="159" t="n"/>
      <c r="BJ43" s="23">
        <f>IFERROR(ISNUMBER(E43)*IF(ISNUMBER(D43),--(E43&lt;D43-0.5),1)+ISNUMBER(F43)*IF(ISNUMBER(E43),--(F43&lt;E43-0.5),1)+ISNUMBER(G43)*IF(ISNUMBER(F43),--(G43&lt;F43-0.5),1)+ISNUMBER(H43)*IF(ISNUMBER(G43),--(H43&lt;G43-0.5),1)+ISNUMBER(I43)*IF(ISNUMBER(H43),--(I43&lt;H43-0.5),1)+ISNUMBER(J43)*IF(ISNUMBER(I43),--(J43&lt;I43-0.5),1)+ISNUMBER(K43)*IF(ISNUMBER(J43),--(K43&lt;J43-0.5),1)+IF(AND(ISNUMBER(C43),C43&lt;0),1,0),1)</f>
        <v/>
      </c>
      <c r="BK43" s="23">
        <f>IFERROR(ISNUMBER(M43)*IF(ISNUMBER(L43),--(M43&lt;L43-0.5),1)+ISNUMBER(N43)*IF(ISNUMBER(M43),--(N43&lt;M43-0.5),1)+ISNUMBER(O43)*IF(ISNUMBER(N43),--(O43&lt;N43-0.5),1)+ISNUMBER(P43)*IF(ISNUMBER(O43),--(P43&lt;O43-0.5),1)+ISNUMBER(Q43)*IF(ISNUMBER(P43),--(Q43&lt;P43-0.5),1)+ISNUMBER(R43)*IF(ISNUMBER(Q43),--(R43&lt;Q43-0.5),1)+ISNUMBER(S43)*IF(ISNUMBER(R43),--(S43&lt;R43-0.5),1),1)</f>
        <v/>
      </c>
    </row>
    <row r="44">
      <c r="A44" s="23" t="n">
        <v>36</v>
      </c>
      <c r="B44" s="75" t="n">
        <v>1</v>
      </c>
      <c r="C44" s="157" t="n"/>
      <c r="D44" s="157" t="n"/>
      <c r="E44" s="157" t="n"/>
      <c r="F44" s="157" t="n"/>
      <c r="G44" s="157" t="n"/>
      <c r="H44" s="157" t="n"/>
      <c r="I44" s="157" t="n"/>
      <c r="J44" s="157" t="n"/>
      <c r="K44" s="157" t="n"/>
      <c r="L44" s="157" t="n"/>
      <c r="M44" s="157" t="n"/>
      <c r="N44" s="157" t="n"/>
      <c r="O44" s="157" t="n"/>
      <c r="P44" s="157" t="n"/>
      <c r="Q44" s="157" t="n"/>
      <c r="R44" s="157" t="n"/>
      <c r="S44" s="157" t="n"/>
      <c r="T44" s="157" t="n"/>
      <c r="U44" s="157" t="n"/>
      <c r="V44" s="157" t="n"/>
      <c r="W44" s="157" t="n"/>
      <c r="X44" s="157" t="n"/>
      <c r="Y44" s="157" t="n"/>
      <c r="Z44" s="157" t="n"/>
      <c r="AA44" s="157" t="n"/>
      <c r="AB44" s="157" t="n"/>
      <c r="AC44" s="157" t="n"/>
      <c r="AD44" s="157" t="n"/>
      <c r="AE44" s="157" t="n"/>
      <c r="AF44" s="157" t="n"/>
      <c r="AG44" s="157" t="n"/>
      <c r="AH44" s="157" t="n"/>
      <c r="AI44" s="157" t="n"/>
      <c r="AJ44" s="157" t="n"/>
      <c r="AK44" s="157" t="n"/>
      <c r="AL44" s="157" t="n"/>
      <c r="AM44" s="157" t="n"/>
      <c r="AN44" s="157" t="n"/>
      <c r="AO44" s="157" t="n"/>
      <c r="AP44" s="157" t="n"/>
      <c r="AQ44" s="157" t="n"/>
      <c r="AR44" s="157" t="n"/>
      <c r="AS44" s="157" t="n"/>
      <c r="AT44" s="157" t="n"/>
      <c r="AU44" s="157" t="n"/>
      <c r="AV44" s="157" t="n"/>
      <c r="AW44" s="157" t="n"/>
      <c r="AX44" s="157" t="n"/>
      <c r="AY44" s="157" t="n"/>
      <c r="AZ44" s="157" t="n"/>
      <c r="BA44" s="157" t="n"/>
      <c r="BB44" s="157" t="n"/>
      <c r="BC44" s="157" t="n"/>
      <c r="BD44" s="157" t="n"/>
      <c r="BE44" s="157" t="n"/>
      <c r="BF44" s="157" t="n"/>
      <c r="BG44" s="157" t="n"/>
      <c r="BH44" s="158" t="n"/>
      <c r="BI44" s="159" t="n"/>
      <c r="BJ44" s="23">
        <f>IFERROR(ISNUMBER(E44)*IF(ISNUMBER(D44),--(E44&lt;D44-0.5),1)+ISNUMBER(F44)*IF(ISNUMBER(E44),--(F44&lt;E44-0.5),1)+ISNUMBER(G44)*IF(ISNUMBER(F44),--(G44&lt;F44-0.5),1)+ISNUMBER(H44)*IF(ISNUMBER(G44),--(H44&lt;G44-0.5),1)+ISNUMBER(I44)*IF(ISNUMBER(H44),--(I44&lt;H44-0.5),1)+ISNUMBER(J44)*IF(ISNUMBER(I44),--(J44&lt;I44-0.5),1)+ISNUMBER(K44)*IF(ISNUMBER(J44),--(K44&lt;J44-0.5),1)+IF(AND(ISNUMBER(C44),C44&lt;0),1,0),1)</f>
        <v/>
      </c>
      <c r="BK44" s="23">
        <f>IFERROR(ISNUMBER(M44)*IF(ISNUMBER(L44),--(M44&lt;L44-0.5),1)+ISNUMBER(N44)*IF(ISNUMBER(M44),--(N44&lt;M44-0.5),1)+ISNUMBER(O44)*IF(ISNUMBER(N44),--(O44&lt;N44-0.5),1)+ISNUMBER(P44)*IF(ISNUMBER(O44),--(P44&lt;O44-0.5),1)+ISNUMBER(Q44)*IF(ISNUMBER(P44),--(Q44&lt;P44-0.5),1)+ISNUMBER(R44)*IF(ISNUMBER(Q44),--(R44&lt;Q44-0.5),1)+ISNUMBER(S44)*IF(ISNUMBER(R44),--(S44&lt;R44-0.5),1),1)</f>
        <v/>
      </c>
    </row>
    <row r="45">
      <c r="A45" s="23" t="n">
        <v>37</v>
      </c>
      <c r="B45" s="75" t="n">
        <v>1</v>
      </c>
      <c r="C45" s="157" t="n"/>
      <c r="D45" s="157" t="n"/>
      <c r="E45" s="157" t="n"/>
      <c r="F45" s="157" t="n"/>
      <c r="G45" s="157" t="n"/>
      <c r="H45" s="157" t="n"/>
      <c r="I45" s="157" t="n"/>
      <c r="J45" s="157" t="n"/>
      <c r="K45" s="157" t="n"/>
      <c r="L45" s="157" t="n"/>
      <c r="M45" s="157" t="n"/>
      <c r="N45" s="157" t="n"/>
      <c r="O45" s="157" t="n"/>
      <c r="P45" s="157" t="n"/>
      <c r="Q45" s="157" t="n"/>
      <c r="R45" s="157" t="n"/>
      <c r="S45" s="157" t="n"/>
      <c r="T45" s="157" t="n"/>
      <c r="U45" s="157" t="n"/>
      <c r="V45" s="157" t="n"/>
      <c r="W45" s="157" t="n"/>
      <c r="X45" s="157" t="n"/>
      <c r="Y45" s="157" t="n"/>
      <c r="Z45" s="157" t="n"/>
      <c r="AA45" s="157" t="n"/>
      <c r="AB45" s="157" t="n"/>
      <c r="AC45" s="157" t="n"/>
      <c r="AD45" s="157" t="n"/>
      <c r="AE45" s="157" t="n"/>
      <c r="AF45" s="157" t="n"/>
      <c r="AG45" s="157" t="n"/>
      <c r="AH45" s="157" t="n"/>
      <c r="AI45" s="157" t="n"/>
      <c r="AJ45" s="157" t="n"/>
      <c r="AK45" s="157" t="n"/>
      <c r="AL45" s="157" t="n"/>
      <c r="AM45" s="157" t="n"/>
      <c r="AN45" s="157" t="n"/>
      <c r="AO45" s="157" t="n"/>
      <c r="AP45" s="157" t="n"/>
      <c r="AQ45" s="157" t="n"/>
      <c r="AR45" s="157" t="n"/>
      <c r="AS45" s="157" t="n"/>
      <c r="AT45" s="157" t="n"/>
      <c r="AU45" s="157" t="n"/>
      <c r="AV45" s="157" t="n"/>
      <c r="AW45" s="157" t="n"/>
      <c r="AX45" s="157" t="n"/>
      <c r="AY45" s="157" t="n"/>
      <c r="AZ45" s="157" t="n"/>
      <c r="BA45" s="157" t="n"/>
      <c r="BB45" s="157" t="n"/>
      <c r="BC45" s="157" t="n"/>
      <c r="BD45" s="157" t="n"/>
      <c r="BE45" s="157" t="n"/>
      <c r="BF45" s="157" t="n"/>
      <c r="BG45" s="157" t="n"/>
      <c r="BH45" s="158" t="n"/>
      <c r="BI45" s="159" t="n"/>
      <c r="BJ45" s="23">
        <f>IFERROR(ISNUMBER(E45)*IF(ISNUMBER(D45),--(E45&lt;D45-0.5),1)+ISNUMBER(F45)*IF(ISNUMBER(E45),--(F45&lt;E45-0.5),1)+ISNUMBER(G45)*IF(ISNUMBER(F45),--(G45&lt;F45-0.5),1)+ISNUMBER(H45)*IF(ISNUMBER(G45),--(H45&lt;G45-0.5),1)+ISNUMBER(I45)*IF(ISNUMBER(H45),--(I45&lt;H45-0.5),1)+ISNUMBER(J45)*IF(ISNUMBER(I45),--(J45&lt;I45-0.5),1)+ISNUMBER(K45)*IF(ISNUMBER(J45),--(K45&lt;J45-0.5),1)+IF(AND(ISNUMBER(C45),C45&lt;0),1,0),1)</f>
        <v/>
      </c>
      <c r="BK45" s="23">
        <f>IFERROR(ISNUMBER(M45)*IF(ISNUMBER(L45),--(M45&lt;L45-0.5),1)+ISNUMBER(N45)*IF(ISNUMBER(M45),--(N45&lt;M45-0.5),1)+ISNUMBER(O45)*IF(ISNUMBER(N45),--(O45&lt;N45-0.5),1)+ISNUMBER(P45)*IF(ISNUMBER(O45),--(P45&lt;O45-0.5),1)+ISNUMBER(Q45)*IF(ISNUMBER(P45),--(Q45&lt;P45-0.5),1)+ISNUMBER(R45)*IF(ISNUMBER(Q45),--(R45&lt;Q45-0.5),1)+ISNUMBER(S45)*IF(ISNUMBER(R45),--(S45&lt;R45-0.5),1),1)</f>
        <v/>
      </c>
    </row>
    <row r="46">
      <c r="A46" s="23" t="n">
        <v>38</v>
      </c>
      <c r="B46" s="75" t="n">
        <v>1</v>
      </c>
      <c r="C46" s="157" t="n"/>
      <c r="D46" s="157" t="n"/>
      <c r="E46" s="157" t="n"/>
      <c r="F46" s="157" t="n"/>
      <c r="G46" s="157" t="n"/>
      <c r="H46" s="157" t="n"/>
      <c r="I46" s="157" t="n"/>
      <c r="J46" s="157" t="n"/>
      <c r="K46" s="157" t="n"/>
      <c r="L46" s="157" t="n"/>
      <c r="M46" s="157" t="n"/>
      <c r="N46" s="157" t="n"/>
      <c r="O46" s="157" t="n"/>
      <c r="P46" s="157" t="n"/>
      <c r="Q46" s="157" t="n"/>
      <c r="R46" s="157" t="n"/>
      <c r="S46" s="157" t="n"/>
      <c r="T46" s="157" t="n"/>
      <c r="U46" s="157" t="n"/>
      <c r="V46" s="157" t="n"/>
      <c r="W46" s="157" t="n"/>
      <c r="X46" s="157" t="n"/>
      <c r="Y46" s="157" t="n"/>
      <c r="Z46" s="157" t="n"/>
      <c r="AA46" s="157" t="n"/>
      <c r="AB46" s="157" t="n"/>
      <c r="AC46" s="157" t="n"/>
      <c r="AD46" s="157" t="n"/>
      <c r="AE46" s="157" t="n"/>
      <c r="AF46" s="157" t="n"/>
      <c r="AG46" s="157" t="n"/>
      <c r="AH46" s="157" t="n"/>
      <c r="AI46" s="157" t="n"/>
      <c r="AJ46" s="157" t="n"/>
      <c r="AK46" s="157" t="n"/>
      <c r="AL46" s="157" t="n"/>
      <c r="AM46" s="157" t="n"/>
      <c r="AN46" s="157" t="n"/>
      <c r="AO46" s="157" t="n"/>
      <c r="AP46" s="157" t="n"/>
      <c r="AQ46" s="157" t="n"/>
      <c r="AR46" s="157" t="n"/>
      <c r="AS46" s="157" t="n"/>
      <c r="AT46" s="157" t="n"/>
      <c r="AU46" s="157" t="n"/>
      <c r="AV46" s="157" t="n"/>
      <c r="AW46" s="157" t="n"/>
      <c r="AX46" s="157" t="n"/>
      <c r="AY46" s="157" t="n"/>
      <c r="AZ46" s="157" t="n"/>
      <c r="BA46" s="157" t="n"/>
      <c r="BB46" s="157" t="n"/>
      <c r="BC46" s="157" t="n"/>
      <c r="BD46" s="157" t="n"/>
      <c r="BE46" s="157" t="n"/>
      <c r="BF46" s="157" t="n"/>
      <c r="BG46" s="157" t="n"/>
      <c r="BH46" s="158" t="n"/>
      <c r="BI46" s="159" t="n"/>
      <c r="BJ46" s="23">
        <f>IFERROR(ISNUMBER(E46)*IF(ISNUMBER(D46),--(E46&lt;D46-0.5),1)+ISNUMBER(F46)*IF(ISNUMBER(E46),--(F46&lt;E46-0.5),1)+ISNUMBER(G46)*IF(ISNUMBER(F46),--(G46&lt;F46-0.5),1)+ISNUMBER(H46)*IF(ISNUMBER(G46),--(H46&lt;G46-0.5),1)+ISNUMBER(I46)*IF(ISNUMBER(H46),--(I46&lt;H46-0.5),1)+ISNUMBER(J46)*IF(ISNUMBER(I46),--(J46&lt;I46-0.5),1)+ISNUMBER(K46)*IF(ISNUMBER(J46),--(K46&lt;J46-0.5),1)+IF(AND(ISNUMBER(C46),C46&lt;0),1,0),1)</f>
        <v/>
      </c>
      <c r="BK46" s="23">
        <f>IFERROR(ISNUMBER(M46)*IF(ISNUMBER(L46),--(M46&lt;L46-0.5),1)+ISNUMBER(N46)*IF(ISNUMBER(M46),--(N46&lt;M46-0.5),1)+ISNUMBER(O46)*IF(ISNUMBER(N46),--(O46&lt;N46-0.5),1)+ISNUMBER(P46)*IF(ISNUMBER(O46),--(P46&lt;O46-0.5),1)+ISNUMBER(Q46)*IF(ISNUMBER(P46),--(Q46&lt;P46-0.5),1)+ISNUMBER(R46)*IF(ISNUMBER(Q46),--(R46&lt;Q46-0.5),1)+ISNUMBER(S46)*IF(ISNUMBER(R46),--(S46&lt;R46-0.5),1),1)</f>
        <v/>
      </c>
    </row>
    <row r="47">
      <c r="A47" s="23" t="n">
        <v>39</v>
      </c>
      <c r="B47" s="75" t="n">
        <v>1</v>
      </c>
      <c r="C47" s="157" t="n"/>
      <c r="D47" s="157" t="n"/>
      <c r="E47" s="157" t="n"/>
      <c r="F47" s="157" t="n"/>
      <c r="G47" s="157" t="n"/>
      <c r="H47" s="157" t="n"/>
      <c r="I47" s="157" t="n"/>
      <c r="J47" s="157" t="n"/>
      <c r="K47" s="157" t="n"/>
      <c r="L47" s="157" t="n"/>
      <c r="M47" s="157" t="n"/>
      <c r="N47" s="157" t="n"/>
      <c r="O47" s="157" t="n"/>
      <c r="P47" s="157" t="n"/>
      <c r="Q47" s="157" t="n"/>
      <c r="R47" s="157" t="n"/>
      <c r="S47" s="157" t="n"/>
      <c r="T47" s="157" t="n"/>
      <c r="U47" s="157" t="n"/>
      <c r="V47" s="157" t="n"/>
      <c r="W47" s="157" t="n"/>
      <c r="X47" s="157" t="n"/>
      <c r="Y47" s="157" t="n"/>
      <c r="Z47" s="157" t="n"/>
      <c r="AA47" s="157" t="n"/>
      <c r="AB47" s="157" t="n"/>
      <c r="AC47" s="157" t="n"/>
      <c r="AD47" s="157" t="n"/>
      <c r="AE47" s="157" t="n"/>
      <c r="AF47" s="157" t="n"/>
      <c r="AG47" s="157" t="n"/>
      <c r="AH47" s="157" t="n"/>
      <c r="AI47" s="157" t="n"/>
      <c r="AJ47" s="157" t="n"/>
      <c r="AK47" s="157" t="n"/>
      <c r="AL47" s="157" t="n"/>
      <c r="AM47" s="157" t="n"/>
      <c r="AN47" s="157" t="n"/>
      <c r="AO47" s="157" t="n"/>
      <c r="AP47" s="157" t="n"/>
      <c r="AQ47" s="157" t="n"/>
      <c r="AR47" s="157" t="n"/>
      <c r="AS47" s="157" t="n"/>
      <c r="AT47" s="157" t="n"/>
      <c r="AU47" s="157" t="n"/>
      <c r="AV47" s="157" t="n"/>
      <c r="AW47" s="157" t="n"/>
      <c r="AX47" s="157" t="n"/>
      <c r="AY47" s="157" t="n"/>
      <c r="AZ47" s="157" t="n"/>
      <c r="BA47" s="157" t="n"/>
      <c r="BB47" s="157" t="n"/>
      <c r="BC47" s="157" t="n"/>
      <c r="BD47" s="157" t="n"/>
      <c r="BE47" s="157" t="n"/>
      <c r="BF47" s="157" t="n"/>
      <c r="BG47" s="157" t="n"/>
      <c r="BH47" s="158" t="n"/>
      <c r="BI47" s="159" t="n"/>
      <c r="BJ47" s="23">
        <f>IFERROR(ISNUMBER(E47)*IF(ISNUMBER(D47),--(E47&lt;D47-0.5),1)+ISNUMBER(F47)*IF(ISNUMBER(E47),--(F47&lt;E47-0.5),1)+ISNUMBER(G47)*IF(ISNUMBER(F47),--(G47&lt;F47-0.5),1)+ISNUMBER(H47)*IF(ISNUMBER(G47),--(H47&lt;G47-0.5),1)+ISNUMBER(I47)*IF(ISNUMBER(H47),--(I47&lt;H47-0.5),1)+ISNUMBER(J47)*IF(ISNUMBER(I47),--(J47&lt;I47-0.5),1)+ISNUMBER(K47)*IF(ISNUMBER(J47),--(K47&lt;J47-0.5),1)+IF(AND(ISNUMBER(C47),C47&lt;0),1,0),1)</f>
        <v/>
      </c>
      <c r="BK47" s="23">
        <f>IFERROR(ISNUMBER(M47)*IF(ISNUMBER(L47),--(M47&lt;L47-0.5),1)+ISNUMBER(N47)*IF(ISNUMBER(M47),--(N47&lt;M47-0.5),1)+ISNUMBER(O47)*IF(ISNUMBER(N47),--(O47&lt;N47-0.5),1)+ISNUMBER(P47)*IF(ISNUMBER(O47),--(P47&lt;O47-0.5),1)+ISNUMBER(Q47)*IF(ISNUMBER(P47),--(Q47&lt;P47-0.5),1)+ISNUMBER(R47)*IF(ISNUMBER(Q47),--(R47&lt;Q47-0.5),1)+ISNUMBER(S47)*IF(ISNUMBER(R47),--(S47&lt;R47-0.5),1),1)</f>
        <v/>
      </c>
    </row>
    <row r="48">
      <c r="A48" s="23" t="n">
        <v>40</v>
      </c>
      <c r="B48" s="75" t="n">
        <v>1</v>
      </c>
      <c r="C48" s="157" t="n"/>
      <c r="D48" s="157" t="n"/>
      <c r="E48" s="157" t="n"/>
      <c r="F48" s="157" t="n"/>
      <c r="G48" s="157" t="n"/>
      <c r="H48" s="157" t="n"/>
      <c r="I48" s="157" t="n"/>
      <c r="J48" s="157" t="n"/>
      <c r="K48" s="157" t="n"/>
      <c r="L48" s="157" t="n"/>
      <c r="M48" s="157" t="n"/>
      <c r="N48" s="157" t="n"/>
      <c r="O48" s="157" t="n"/>
      <c r="P48" s="157" t="n"/>
      <c r="Q48" s="157" t="n"/>
      <c r="R48" s="157" t="n"/>
      <c r="S48" s="157" t="n"/>
      <c r="T48" s="157" t="n"/>
      <c r="U48" s="157" t="n"/>
      <c r="V48" s="157" t="n"/>
      <c r="W48" s="157" t="n"/>
      <c r="X48" s="157" t="n"/>
      <c r="Y48" s="157" t="n"/>
      <c r="Z48" s="157" t="n"/>
      <c r="AA48" s="157" t="n"/>
      <c r="AB48" s="157" t="n"/>
      <c r="AC48" s="157" t="n"/>
      <c r="AD48" s="157" t="n"/>
      <c r="AE48" s="157" t="n"/>
      <c r="AF48" s="157" t="n"/>
      <c r="AG48" s="157" t="n"/>
      <c r="AH48" s="157" t="n"/>
      <c r="AI48" s="157" t="n"/>
      <c r="AJ48" s="157" t="n"/>
      <c r="AK48" s="157" t="n"/>
      <c r="AL48" s="157" t="n"/>
      <c r="AM48" s="157" t="n"/>
      <c r="AN48" s="157" t="n"/>
      <c r="AO48" s="157" t="n"/>
      <c r="AP48" s="157" t="n"/>
      <c r="AQ48" s="157" t="n"/>
      <c r="AR48" s="157" t="n"/>
      <c r="AS48" s="157" t="n"/>
      <c r="AT48" s="157" t="n"/>
      <c r="AU48" s="157" t="n"/>
      <c r="AV48" s="157" t="n"/>
      <c r="AW48" s="157" t="n"/>
      <c r="AX48" s="157" t="n"/>
      <c r="AY48" s="157" t="n"/>
      <c r="AZ48" s="157" t="n"/>
      <c r="BA48" s="157" t="n"/>
      <c r="BB48" s="157" t="n"/>
      <c r="BC48" s="157" t="n"/>
      <c r="BD48" s="157" t="n"/>
      <c r="BE48" s="157" t="n"/>
      <c r="BF48" s="157" t="n"/>
      <c r="BG48" s="157" t="n"/>
      <c r="BH48" s="158" t="n"/>
      <c r="BI48" s="159" t="n"/>
      <c r="BJ48" s="23">
        <f>IFERROR(ISNUMBER(E48)*IF(ISNUMBER(D48),--(E48&lt;D48-0.5),1)+ISNUMBER(F48)*IF(ISNUMBER(E48),--(F48&lt;E48-0.5),1)+ISNUMBER(G48)*IF(ISNUMBER(F48),--(G48&lt;F48-0.5),1)+ISNUMBER(H48)*IF(ISNUMBER(G48),--(H48&lt;G48-0.5),1)+ISNUMBER(I48)*IF(ISNUMBER(H48),--(I48&lt;H48-0.5),1)+ISNUMBER(J48)*IF(ISNUMBER(I48),--(J48&lt;I48-0.5),1)+ISNUMBER(K48)*IF(ISNUMBER(J48),--(K48&lt;J48-0.5),1)+IF(AND(ISNUMBER(C48),C48&lt;0),1,0),1)</f>
        <v/>
      </c>
      <c r="BK48" s="23">
        <f>IFERROR(ISNUMBER(M48)*IF(ISNUMBER(L48),--(M48&lt;L48-0.5),1)+ISNUMBER(N48)*IF(ISNUMBER(M48),--(N48&lt;M48-0.5),1)+ISNUMBER(O48)*IF(ISNUMBER(N48),--(O48&lt;N48-0.5),1)+ISNUMBER(P48)*IF(ISNUMBER(O48),--(P48&lt;O48-0.5),1)+ISNUMBER(Q48)*IF(ISNUMBER(P48),--(Q48&lt;P48-0.5),1)+ISNUMBER(R48)*IF(ISNUMBER(Q48),--(R48&lt;Q48-0.5),1)+ISNUMBER(S48)*IF(ISNUMBER(R48),--(S48&lt;R48-0.5),1),1)</f>
        <v/>
      </c>
    </row>
    <row r="49">
      <c r="A49" s="23" t="n">
        <v>41</v>
      </c>
      <c r="B49" s="75" t="n">
        <v>1</v>
      </c>
      <c r="C49" s="157" t="n"/>
      <c r="D49" s="157" t="n"/>
      <c r="E49" s="157" t="n"/>
      <c r="F49" s="157" t="n"/>
      <c r="G49" s="157" t="n"/>
      <c r="H49" s="157" t="n"/>
      <c r="I49" s="157" t="n"/>
      <c r="J49" s="157" t="n"/>
      <c r="K49" s="157" t="n"/>
      <c r="L49" s="157" t="n"/>
      <c r="M49" s="157" t="n"/>
      <c r="N49" s="157" t="n"/>
      <c r="O49" s="157" t="n"/>
      <c r="P49" s="157" t="n"/>
      <c r="Q49" s="157" t="n"/>
      <c r="R49" s="157" t="n"/>
      <c r="S49" s="157" t="n"/>
      <c r="T49" s="157" t="n"/>
      <c r="U49" s="157" t="n"/>
      <c r="V49" s="157" t="n"/>
      <c r="W49" s="157" t="n"/>
      <c r="X49" s="157" t="n"/>
      <c r="Y49" s="157" t="n"/>
      <c r="Z49" s="157" t="n"/>
      <c r="AA49" s="157" t="n"/>
      <c r="AB49" s="157" t="n"/>
      <c r="AC49" s="157" t="n"/>
      <c r="AD49" s="157" t="n"/>
      <c r="AE49" s="157" t="n"/>
      <c r="AF49" s="157" t="n"/>
      <c r="AG49" s="157" t="n"/>
      <c r="AH49" s="157" t="n"/>
      <c r="AI49" s="157" t="n"/>
      <c r="AJ49" s="157" t="n"/>
      <c r="AK49" s="157" t="n"/>
      <c r="AL49" s="157" t="n"/>
      <c r="AM49" s="157" t="n"/>
      <c r="AN49" s="157" t="n"/>
      <c r="AO49" s="157" t="n"/>
      <c r="AP49" s="157" t="n"/>
      <c r="AQ49" s="157" t="n"/>
      <c r="AR49" s="157" t="n"/>
      <c r="AS49" s="157" t="n"/>
      <c r="AT49" s="157" t="n"/>
      <c r="AU49" s="157" t="n"/>
      <c r="AV49" s="157" t="n"/>
      <c r="AW49" s="157" t="n"/>
      <c r="AX49" s="157" t="n"/>
      <c r="AY49" s="157" t="n"/>
      <c r="AZ49" s="157" t="n"/>
      <c r="BA49" s="157" t="n"/>
      <c r="BB49" s="157" t="n"/>
      <c r="BC49" s="157" t="n"/>
      <c r="BD49" s="157" t="n"/>
      <c r="BE49" s="157" t="n"/>
      <c r="BF49" s="157" t="n"/>
      <c r="BG49" s="157" t="n"/>
      <c r="BH49" s="158" t="n"/>
      <c r="BI49" s="159" t="n"/>
      <c r="BJ49" s="23">
        <f>IFERROR(ISNUMBER(E49)*IF(ISNUMBER(D49),--(E49&lt;D49-0.5),1)+ISNUMBER(F49)*IF(ISNUMBER(E49),--(F49&lt;E49-0.5),1)+ISNUMBER(G49)*IF(ISNUMBER(F49),--(G49&lt;F49-0.5),1)+ISNUMBER(H49)*IF(ISNUMBER(G49),--(H49&lt;G49-0.5),1)+ISNUMBER(I49)*IF(ISNUMBER(H49),--(I49&lt;H49-0.5),1)+ISNUMBER(J49)*IF(ISNUMBER(I49),--(J49&lt;I49-0.5),1)+ISNUMBER(K49)*IF(ISNUMBER(J49),--(K49&lt;J49-0.5),1)+IF(AND(ISNUMBER(C49),C49&lt;0),1,0),1)</f>
        <v/>
      </c>
      <c r="BK49" s="23">
        <f>IFERROR(ISNUMBER(M49)*IF(ISNUMBER(L49),--(M49&lt;L49-0.5),1)+ISNUMBER(N49)*IF(ISNUMBER(M49),--(N49&lt;M49-0.5),1)+ISNUMBER(O49)*IF(ISNUMBER(N49),--(O49&lt;N49-0.5),1)+ISNUMBER(P49)*IF(ISNUMBER(O49),--(P49&lt;O49-0.5),1)+ISNUMBER(Q49)*IF(ISNUMBER(P49),--(Q49&lt;P49-0.5),1)+ISNUMBER(R49)*IF(ISNUMBER(Q49),--(R49&lt;Q49-0.5),1)+ISNUMBER(S49)*IF(ISNUMBER(R49),--(S49&lt;R49-0.5),1),1)</f>
        <v/>
      </c>
    </row>
    <row r="50">
      <c r="A50" s="23" t="n">
        <v>42</v>
      </c>
      <c r="B50" s="75" t="n">
        <v>1</v>
      </c>
      <c r="C50" s="157" t="n"/>
      <c r="D50" s="157" t="n"/>
      <c r="E50" s="157" t="n"/>
      <c r="F50" s="157" t="n"/>
      <c r="G50" s="157" t="n"/>
      <c r="H50" s="157" t="n"/>
      <c r="I50" s="157" t="n"/>
      <c r="J50" s="157" t="n"/>
      <c r="K50" s="157" t="n"/>
      <c r="L50" s="157" t="n"/>
      <c r="M50" s="157" t="n"/>
      <c r="N50" s="157" t="n"/>
      <c r="O50" s="157" t="n"/>
      <c r="P50" s="157" t="n"/>
      <c r="Q50" s="157" t="n"/>
      <c r="R50" s="157" t="n"/>
      <c r="S50" s="157" t="n"/>
      <c r="T50" s="157" t="n"/>
      <c r="U50" s="157" t="n"/>
      <c r="V50" s="157" t="n"/>
      <c r="W50" s="157" t="n"/>
      <c r="X50" s="157" t="n"/>
      <c r="Y50" s="157" t="n"/>
      <c r="Z50" s="157" t="n"/>
      <c r="AA50" s="157" t="n"/>
      <c r="AB50" s="157" t="n"/>
      <c r="AC50" s="157" t="n"/>
      <c r="AD50" s="157" t="n"/>
      <c r="AE50" s="157" t="n"/>
      <c r="AF50" s="157" t="n"/>
      <c r="AG50" s="157" t="n"/>
      <c r="AH50" s="157" t="n"/>
      <c r="AI50" s="157" t="n"/>
      <c r="AJ50" s="157" t="n"/>
      <c r="AK50" s="157" t="n"/>
      <c r="AL50" s="157" t="n"/>
      <c r="AM50" s="157" t="n"/>
      <c r="AN50" s="157" t="n"/>
      <c r="AO50" s="157" t="n"/>
      <c r="AP50" s="157" t="n"/>
      <c r="AQ50" s="157" t="n"/>
      <c r="AR50" s="157" t="n"/>
      <c r="AS50" s="157" t="n"/>
      <c r="AT50" s="157" t="n"/>
      <c r="AU50" s="157" t="n"/>
      <c r="AV50" s="157" t="n"/>
      <c r="AW50" s="157" t="n"/>
      <c r="AX50" s="157" t="n"/>
      <c r="AY50" s="157" t="n"/>
      <c r="AZ50" s="157" t="n"/>
      <c r="BA50" s="157" t="n"/>
      <c r="BB50" s="157" t="n"/>
      <c r="BC50" s="157" t="n"/>
      <c r="BD50" s="157" t="n"/>
      <c r="BE50" s="157" t="n"/>
      <c r="BF50" s="157" t="n"/>
      <c r="BG50" s="157" t="n"/>
      <c r="BH50" s="158" t="n"/>
      <c r="BI50" s="159" t="n"/>
      <c r="BJ50" s="23">
        <f>IFERROR(ISNUMBER(E50)*IF(ISNUMBER(D50),--(E50&lt;D50-0.5),1)+ISNUMBER(F50)*IF(ISNUMBER(E50),--(F50&lt;E50-0.5),1)+ISNUMBER(G50)*IF(ISNUMBER(F50),--(G50&lt;F50-0.5),1)+ISNUMBER(H50)*IF(ISNUMBER(G50),--(H50&lt;G50-0.5),1)+ISNUMBER(I50)*IF(ISNUMBER(H50),--(I50&lt;H50-0.5),1)+ISNUMBER(J50)*IF(ISNUMBER(I50),--(J50&lt;I50-0.5),1)+ISNUMBER(K50)*IF(ISNUMBER(J50),--(K50&lt;J50-0.5),1)+IF(AND(ISNUMBER(C50),C50&lt;0),1,0),1)</f>
        <v/>
      </c>
      <c r="BK50" s="23">
        <f>IFERROR(ISNUMBER(M50)*IF(ISNUMBER(L50),--(M50&lt;L50-0.5),1)+ISNUMBER(N50)*IF(ISNUMBER(M50),--(N50&lt;M50-0.5),1)+ISNUMBER(O50)*IF(ISNUMBER(N50),--(O50&lt;N50-0.5),1)+ISNUMBER(P50)*IF(ISNUMBER(O50),--(P50&lt;O50-0.5),1)+ISNUMBER(Q50)*IF(ISNUMBER(P50),--(Q50&lt;P50-0.5),1)+ISNUMBER(R50)*IF(ISNUMBER(Q50),--(R50&lt;Q50-0.5),1)+ISNUMBER(S50)*IF(ISNUMBER(R50),--(S50&lt;R50-0.5),1),1)</f>
        <v/>
      </c>
    </row>
    <row r="51">
      <c r="A51" s="23" t="n">
        <v>43</v>
      </c>
      <c r="B51" s="75" t="n">
        <v>1</v>
      </c>
      <c r="C51" s="157" t="n"/>
      <c r="D51" s="157" t="n"/>
      <c r="E51" s="157" t="n"/>
      <c r="F51" s="157" t="n"/>
      <c r="G51" s="157" t="n"/>
      <c r="H51" s="157" t="n"/>
      <c r="I51" s="157" t="n"/>
      <c r="J51" s="157" t="n"/>
      <c r="K51" s="157" t="n"/>
      <c r="L51" s="157" t="n"/>
      <c r="M51" s="157" t="n"/>
      <c r="N51" s="157" t="n"/>
      <c r="O51" s="157" t="n"/>
      <c r="P51" s="157" t="n"/>
      <c r="Q51" s="157" t="n"/>
      <c r="R51" s="157" t="n"/>
      <c r="S51" s="157" t="n"/>
      <c r="T51" s="157" t="n"/>
      <c r="U51" s="157" t="n"/>
      <c r="V51" s="157" t="n"/>
      <c r="W51" s="157" t="n"/>
      <c r="X51" s="157" t="n"/>
      <c r="Y51" s="157" t="n"/>
      <c r="Z51" s="157" t="n"/>
      <c r="AA51" s="157" t="n"/>
      <c r="AB51" s="157" t="n"/>
      <c r="AC51" s="157" t="n"/>
      <c r="AD51" s="157" t="n"/>
      <c r="AE51" s="157" t="n"/>
      <c r="AF51" s="157" t="n"/>
      <c r="AG51" s="157" t="n"/>
      <c r="AH51" s="157" t="n"/>
      <c r="AI51" s="157" t="n"/>
      <c r="AJ51" s="157" t="n"/>
      <c r="AK51" s="157" t="n"/>
      <c r="AL51" s="157" t="n"/>
      <c r="AM51" s="157" t="n"/>
      <c r="AN51" s="157" t="n"/>
      <c r="AO51" s="157" t="n"/>
      <c r="AP51" s="157" t="n"/>
      <c r="AQ51" s="157" t="n"/>
      <c r="AR51" s="157" t="n"/>
      <c r="AS51" s="157" t="n"/>
      <c r="AT51" s="157" t="n"/>
      <c r="AU51" s="157" t="n"/>
      <c r="AV51" s="157" t="n"/>
      <c r="AW51" s="157" t="n"/>
      <c r="AX51" s="157" t="n"/>
      <c r="AY51" s="157" t="n"/>
      <c r="AZ51" s="157" t="n"/>
      <c r="BA51" s="157" t="n"/>
      <c r="BB51" s="157" t="n"/>
      <c r="BC51" s="157" t="n"/>
      <c r="BD51" s="157" t="n"/>
      <c r="BE51" s="157" t="n"/>
      <c r="BF51" s="157" t="n"/>
      <c r="BG51" s="157" t="n"/>
      <c r="BH51" s="158" t="n"/>
      <c r="BI51" s="159" t="n"/>
      <c r="BJ51" s="23">
        <f>IFERROR(ISNUMBER(E51)*IF(ISNUMBER(D51),--(E51&lt;D51-0.5),1)+ISNUMBER(F51)*IF(ISNUMBER(E51),--(F51&lt;E51-0.5),1)+ISNUMBER(G51)*IF(ISNUMBER(F51),--(G51&lt;F51-0.5),1)+ISNUMBER(H51)*IF(ISNUMBER(G51),--(H51&lt;G51-0.5),1)+ISNUMBER(I51)*IF(ISNUMBER(H51),--(I51&lt;H51-0.5),1)+ISNUMBER(J51)*IF(ISNUMBER(I51),--(J51&lt;I51-0.5),1)+ISNUMBER(K51)*IF(ISNUMBER(J51),--(K51&lt;J51-0.5),1)+IF(AND(ISNUMBER(C51),C51&lt;0),1,0),1)</f>
        <v/>
      </c>
      <c r="BK51" s="23">
        <f>IFERROR(ISNUMBER(M51)*IF(ISNUMBER(L51),--(M51&lt;L51-0.5),1)+ISNUMBER(N51)*IF(ISNUMBER(M51),--(N51&lt;M51-0.5),1)+ISNUMBER(O51)*IF(ISNUMBER(N51),--(O51&lt;N51-0.5),1)+ISNUMBER(P51)*IF(ISNUMBER(O51),--(P51&lt;O51-0.5),1)+ISNUMBER(Q51)*IF(ISNUMBER(P51),--(Q51&lt;P51-0.5),1)+ISNUMBER(R51)*IF(ISNUMBER(Q51),--(R51&lt;Q51-0.5),1)+ISNUMBER(S51)*IF(ISNUMBER(R51),--(S51&lt;R51-0.5),1),1)</f>
        <v/>
      </c>
    </row>
    <row r="52">
      <c r="A52" s="23" t="n">
        <v>44</v>
      </c>
      <c r="B52" s="75" t="n">
        <v>1</v>
      </c>
      <c r="C52" s="157" t="n"/>
      <c r="D52" s="157" t="n"/>
      <c r="E52" s="157" t="n"/>
      <c r="F52" s="157" t="n"/>
      <c r="G52" s="157" t="n"/>
      <c r="H52" s="157" t="n"/>
      <c r="I52" s="157" t="n"/>
      <c r="J52" s="157" t="n"/>
      <c r="K52" s="157" t="n"/>
      <c r="L52" s="157" t="n"/>
      <c r="M52" s="157" t="n"/>
      <c r="N52" s="157" t="n"/>
      <c r="O52" s="157" t="n"/>
      <c r="P52" s="157" t="n"/>
      <c r="Q52" s="157" t="n"/>
      <c r="R52" s="157" t="n"/>
      <c r="S52" s="157" t="n"/>
      <c r="T52" s="157" t="n"/>
      <c r="U52" s="157" t="n"/>
      <c r="V52" s="157" t="n"/>
      <c r="W52" s="157" t="n"/>
      <c r="X52" s="157" t="n"/>
      <c r="Y52" s="157" t="n"/>
      <c r="Z52" s="157" t="n"/>
      <c r="AA52" s="157" t="n"/>
      <c r="AB52" s="157" t="n"/>
      <c r="AC52" s="157" t="n"/>
      <c r="AD52" s="157" t="n"/>
      <c r="AE52" s="157" t="n"/>
      <c r="AF52" s="157" t="n"/>
      <c r="AG52" s="157" t="n"/>
      <c r="AH52" s="157" t="n"/>
      <c r="AI52" s="157" t="n"/>
      <c r="AJ52" s="157" t="n"/>
      <c r="AK52" s="157" t="n"/>
      <c r="AL52" s="157" t="n"/>
      <c r="AM52" s="157" t="n"/>
      <c r="AN52" s="157" t="n"/>
      <c r="AO52" s="157" t="n"/>
      <c r="AP52" s="157" t="n"/>
      <c r="AQ52" s="157" t="n"/>
      <c r="AR52" s="157" t="n"/>
      <c r="AS52" s="157" t="n"/>
      <c r="AT52" s="157" t="n"/>
      <c r="AU52" s="157" t="n"/>
      <c r="AV52" s="157" t="n"/>
      <c r="AW52" s="157" t="n"/>
      <c r="AX52" s="157" t="n"/>
      <c r="AY52" s="157" t="n"/>
      <c r="AZ52" s="157" t="n"/>
      <c r="BA52" s="157" t="n"/>
      <c r="BB52" s="157" t="n"/>
      <c r="BC52" s="157" t="n"/>
      <c r="BD52" s="157" t="n"/>
      <c r="BE52" s="157" t="n"/>
      <c r="BF52" s="157" t="n"/>
      <c r="BG52" s="157" t="n"/>
      <c r="BH52" s="158" t="n"/>
      <c r="BI52" s="159" t="n"/>
      <c r="BJ52" s="23">
        <f>IFERROR(ISNUMBER(E52)*IF(ISNUMBER(D52),--(E52&lt;D52-0.5),1)+ISNUMBER(F52)*IF(ISNUMBER(E52),--(F52&lt;E52-0.5),1)+ISNUMBER(G52)*IF(ISNUMBER(F52),--(G52&lt;F52-0.5),1)+ISNUMBER(H52)*IF(ISNUMBER(G52),--(H52&lt;G52-0.5),1)+ISNUMBER(I52)*IF(ISNUMBER(H52),--(I52&lt;H52-0.5),1)+ISNUMBER(J52)*IF(ISNUMBER(I52),--(J52&lt;I52-0.5),1)+ISNUMBER(K52)*IF(ISNUMBER(J52),--(K52&lt;J52-0.5),1)+IF(AND(ISNUMBER(C52),C52&lt;0),1,0),1)</f>
        <v/>
      </c>
      <c r="BK52" s="23">
        <f>IFERROR(ISNUMBER(M52)*IF(ISNUMBER(L52),--(M52&lt;L52-0.5),1)+ISNUMBER(N52)*IF(ISNUMBER(M52),--(N52&lt;M52-0.5),1)+ISNUMBER(O52)*IF(ISNUMBER(N52),--(O52&lt;N52-0.5),1)+ISNUMBER(P52)*IF(ISNUMBER(O52),--(P52&lt;O52-0.5),1)+ISNUMBER(Q52)*IF(ISNUMBER(P52),--(Q52&lt;P52-0.5),1)+ISNUMBER(R52)*IF(ISNUMBER(Q52),--(R52&lt;Q52-0.5),1)+ISNUMBER(S52)*IF(ISNUMBER(R52),--(S52&lt;R52-0.5),1),1)</f>
        <v/>
      </c>
    </row>
    <row r="53">
      <c r="A53" s="23" t="n">
        <v>45</v>
      </c>
      <c r="B53" s="75" t="n">
        <v>1</v>
      </c>
      <c r="C53" s="157" t="n"/>
      <c r="D53" s="157" t="n"/>
      <c r="E53" s="157" t="n"/>
      <c r="F53" s="157" t="n"/>
      <c r="G53" s="157" t="n"/>
      <c r="H53" s="157" t="n"/>
      <c r="I53" s="157" t="n"/>
      <c r="J53" s="157" t="n"/>
      <c r="K53" s="157" t="n"/>
      <c r="L53" s="157" t="n"/>
      <c r="M53" s="157" t="n"/>
      <c r="N53" s="157" t="n"/>
      <c r="O53" s="157" t="n"/>
      <c r="P53" s="157" t="n"/>
      <c r="Q53" s="157" t="n"/>
      <c r="R53" s="157" t="n"/>
      <c r="S53" s="157" t="n"/>
      <c r="T53" s="157" t="n"/>
      <c r="U53" s="157" t="n"/>
      <c r="V53" s="157" t="n"/>
      <c r="W53" s="157" t="n"/>
      <c r="X53" s="157" t="n"/>
      <c r="Y53" s="157" t="n"/>
      <c r="Z53" s="157" t="n"/>
      <c r="AA53" s="157" t="n"/>
      <c r="AB53" s="157" t="n"/>
      <c r="AC53" s="157" t="n"/>
      <c r="AD53" s="157" t="n"/>
      <c r="AE53" s="157" t="n"/>
      <c r="AF53" s="157" t="n"/>
      <c r="AG53" s="157" t="n"/>
      <c r="AH53" s="157" t="n"/>
      <c r="AI53" s="157" t="n"/>
      <c r="AJ53" s="157" t="n"/>
      <c r="AK53" s="157" t="n"/>
      <c r="AL53" s="157" t="n"/>
      <c r="AM53" s="157" t="n"/>
      <c r="AN53" s="157" t="n"/>
      <c r="AO53" s="157" t="n"/>
      <c r="AP53" s="157" t="n"/>
      <c r="AQ53" s="157" t="n"/>
      <c r="AR53" s="157" t="n"/>
      <c r="AS53" s="157" t="n"/>
      <c r="AT53" s="157" t="n"/>
      <c r="AU53" s="157" t="n"/>
      <c r="AV53" s="157" t="n"/>
      <c r="AW53" s="157" t="n"/>
      <c r="AX53" s="157" t="n"/>
      <c r="AY53" s="157" t="n"/>
      <c r="AZ53" s="157" t="n"/>
      <c r="BA53" s="157" t="n"/>
      <c r="BB53" s="157" t="n"/>
      <c r="BC53" s="157" t="n"/>
      <c r="BD53" s="157" t="n"/>
      <c r="BE53" s="157" t="n"/>
      <c r="BF53" s="157" t="n"/>
      <c r="BG53" s="157" t="n"/>
      <c r="BH53" s="158" t="n"/>
      <c r="BI53" s="159" t="n"/>
      <c r="BJ53" s="23">
        <f>IFERROR(ISNUMBER(E53)*IF(ISNUMBER(D53),--(E53&lt;D53-0.5),1)+ISNUMBER(F53)*IF(ISNUMBER(E53),--(F53&lt;E53-0.5),1)+ISNUMBER(G53)*IF(ISNUMBER(F53),--(G53&lt;F53-0.5),1)+ISNUMBER(H53)*IF(ISNUMBER(G53),--(H53&lt;G53-0.5),1)+ISNUMBER(I53)*IF(ISNUMBER(H53),--(I53&lt;H53-0.5),1)+ISNUMBER(J53)*IF(ISNUMBER(I53),--(J53&lt;I53-0.5),1)+ISNUMBER(K53)*IF(ISNUMBER(J53),--(K53&lt;J53-0.5),1)+IF(AND(ISNUMBER(C53),C53&lt;0),1,0),1)</f>
        <v/>
      </c>
      <c r="BK53" s="23">
        <f>IFERROR(ISNUMBER(M53)*IF(ISNUMBER(L53),--(M53&lt;L53-0.5),1)+ISNUMBER(N53)*IF(ISNUMBER(M53),--(N53&lt;M53-0.5),1)+ISNUMBER(O53)*IF(ISNUMBER(N53),--(O53&lt;N53-0.5),1)+ISNUMBER(P53)*IF(ISNUMBER(O53),--(P53&lt;O53-0.5),1)+ISNUMBER(Q53)*IF(ISNUMBER(P53),--(Q53&lt;P53-0.5),1)+ISNUMBER(R53)*IF(ISNUMBER(Q53),--(R53&lt;Q53-0.5),1)+ISNUMBER(S53)*IF(ISNUMBER(R53),--(S53&lt;R53-0.5),1),1)</f>
        <v/>
      </c>
    </row>
    <row r="54">
      <c r="A54" s="23" t="n">
        <v>46</v>
      </c>
      <c r="B54" s="75" t="n">
        <v>1</v>
      </c>
      <c r="C54" s="157" t="n"/>
      <c r="D54" s="157" t="n"/>
      <c r="E54" s="157" t="n"/>
      <c r="F54" s="157" t="n"/>
      <c r="G54" s="157" t="n"/>
      <c r="H54" s="157" t="n"/>
      <c r="I54" s="157" t="n"/>
      <c r="J54" s="157" t="n"/>
      <c r="K54" s="157" t="n"/>
      <c r="L54" s="157" t="n"/>
      <c r="M54" s="157" t="n"/>
      <c r="N54" s="157" t="n"/>
      <c r="O54" s="157" t="n"/>
      <c r="P54" s="157" t="n"/>
      <c r="Q54" s="157" t="n"/>
      <c r="R54" s="157" t="n"/>
      <c r="S54" s="157" t="n"/>
      <c r="T54" s="157" t="n"/>
      <c r="U54" s="157" t="n"/>
      <c r="V54" s="157" t="n"/>
      <c r="W54" s="157" t="n"/>
      <c r="X54" s="157" t="n"/>
      <c r="Y54" s="157" t="n"/>
      <c r="Z54" s="157" t="n"/>
      <c r="AA54" s="157" t="n"/>
      <c r="AB54" s="157" t="n"/>
      <c r="AC54" s="157" t="n"/>
      <c r="AD54" s="157" t="n"/>
      <c r="AE54" s="157" t="n"/>
      <c r="AF54" s="157" t="n"/>
      <c r="AG54" s="157" t="n"/>
      <c r="AH54" s="157" t="n"/>
      <c r="AI54" s="157" t="n"/>
      <c r="AJ54" s="157" t="n"/>
      <c r="AK54" s="157" t="n"/>
      <c r="AL54" s="157" t="n"/>
      <c r="AM54" s="157" t="n"/>
      <c r="AN54" s="157" t="n"/>
      <c r="AO54" s="157" t="n"/>
      <c r="AP54" s="157" t="n"/>
      <c r="AQ54" s="157" t="n"/>
      <c r="AR54" s="157" t="n"/>
      <c r="AS54" s="157" t="n"/>
      <c r="AT54" s="157" t="n"/>
      <c r="AU54" s="157" t="n"/>
      <c r="AV54" s="157" t="n"/>
      <c r="AW54" s="157" t="n"/>
      <c r="AX54" s="157" t="n"/>
      <c r="AY54" s="157" t="n"/>
      <c r="AZ54" s="157" t="n"/>
      <c r="BA54" s="157" t="n"/>
      <c r="BB54" s="157" t="n"/>
      <c r="BC54" s="157" t="n"/>
      <c r="BD54" s="157" t="n"/>
      <c r="BE54" s="157" t="n"/>
      <c r="BF54" s="157" t="n"/>
      <c r="BG54" s="157" t="n"/>
      <c r="BH54" s="158" t="n"/>
      <c r="BI54" s="159" t="n"/>
      <c r="BJ54" s="23">
        <f>IFERROR(ISNUMBER(E54)*IF(ISNUMBER(D54),--(E54&lt;D54-0.5),1)+ISNUMBER(F54)*IF(ISNUMBER(E54),--(F54&lt;E54-0.5),1)+ISNUMBER(G54)*IF(ISNUMBER(F54),--(G54&lt;F54-0.5),1)+ISNUMBER(H54)*IF(ISNUMBER(G54),--(H54&lt;G54-0.5),1)+ISNUMBER(I54)*IF(ISNUMBER(H54),--(I54&lt;H54-0.5),1)+ISNUMBER(J54)*IF(ISNUMBER(I54),--(J54&lt;I54-0.5),1)+ISNUMBER(K54)*IF(ISNUMBER(J54),--(K54&lt;J54-0.5),1)+IF(AND(ISNUMBER(C54),C54&lt;0),1,0),1)</f>
        <v/>
      </c>
      <c r="BK54" s="23">
        <f>IFERROR(ISNUMBER(M54)*IF(ISNUMBER(L54),--(M54&lt;L54-0.5),1)+ISNUMBER(N54)*IF(ISNUMBER(M54),--(N54&lt;M54-0.5),1)+ISNUMBER(O54)*IF(ISNUMBER(N54),--(O54&lt;N54-0.5),1)+ISNUMBER(P54)*IF(ISNUMBER(O54),--(P54&lt;O54-0.5),1)+ISNUMBER(Q54)*IF(ISNUMBER(P54),--(Q54&lt;P54-0.5),1)+ISNUMBER(R54)*IF(ISNUMBER(Q54),--(R54&lt;Q54-0.5),1)+ISNUMBER(S54)*IF(ISNUMBER(R54),--(S54&lt;R54-0.5),1),1)</f>
        <v/>
      </c>
    </row>
    <row r="55">
      <c r="A55" s="23" t="n">
        <v>47</v>
      </c>
      <c r="B55" s="75" t="n">
        <v>1</v>
      </c>
      <c r="C55" s="157" t="n"/>
      <c r="D55" s="157" t="n"/>
      <c r="E55" s="157" t="n"/>
      <c r="F55" s="157" t="n"/>
      <c r="G55" s="157" t="n"/>
      <c r="H55" s="157" t="n"/>
      <c r="I55" s="157" t="n"/>
      <c r="J55" s="157" t="n"/>
      <c r="K55" s="157" t="n"/>
      <c r="L55" s="157" t="n"/>
      <c r="M55" s="157" t="n"/>
      <c r="N55" s="157" t="n"/>
      <c r="O55" s="157" t="n"/>
      <c r="P55" s="157" t="n"/>
      <c r="Q55" s="157" t="n"/>
      <c r="R55" s="157" t="n"/>
      <c r="S55" s="157" t="n"/>
      <c r="T55" s="157" t="n"/>
      <c r="U55" s="157" t="n"/>
      <c r="V55" s="157" t="n"/>
      <c r="W55" s="157" t="n"/>
      <c r="X55" s="157" t="n"/>
      <c r="Y55" s="157" t="n"/>
      <c r="Z55" s="157" t="n"/>
      <c r="AA55" s="157" t="n"/>
      <c r="AB55" s="157" t="n"/>
      <c r="AC55" s="157" t="n"/>
      <c r="AD55" s="157" t="n"/>
      <c r="AE55" s="157" t="n"/>
      <c r="AF55" s="157" t="n"/>
      <c r="AG55" s="157" t="n"/>
      <c r="AH55" s="157" t="n"/>
      <c r="AI55" s="157" t="n"/>
      <c r="AJ55" s="157" t="n"/>
      <c r="AK55" s="157" t="n"/>
      <c r="AL55" s="157" t="n"/>
      <c r="AM55" s="157" t="n"/>
      <c r="AN55" s="157" t="n"/>
      <c r="AO55" s="157" t="n"/>
      <c r="AP55" s="157" t="n"/>
      <c r="AQ55" s="157" t="n"/>
      <c r="AR55" s="157" t="n"/>
      <c r="AS55" s="157" t="n"/>
      <c r="AT55" s="157" t="n"/>
      <c r="AU55" s="157" t="n"/>
      <c r="AV55" s="157" t="n"/>
      <c r="AW55" s="157" t="n"/>
      <c r="AX55" s="157" t="n"/>
      <c r="AY55" s="157" t="n"/>
      <c r="AZ55" s="157" t="n"/>
      <c r="BA55" s="157" t="n"/>
      <c r="BB55" s="157" t="n"/>
      <c r="BC55" s="157" t="n"/>
      <c r="BD55" s="157" t="n"/>
      <c r="BE55" s="157" t="n"/>
      <c r="BF55" s="157" t="n"/>
      <c r="BG55" s="157" t="n"/>
      <c r="BH55" s="158" t="n"/>
      <c r="BI55" s="159" t="n"/>
      <c r="BJ55" s="23">
        <f>IFERROR(ISNUMBER(E55)*IF(ISNUMBER(D55),--(E55&lt;D55-0.5),1)+ISNUMBER(F55)*IF(ISNUMBER(E55),--(F55&lt;E55-0.5),1)+ISNUMBER(G55)*IF(ISNUMBER(F55),--(G55&lt;F55-0.5),1)+ISNUMBER(H55)*IF(ISNUMBER(G55),--(H55&lt;G55-0.5),1)+ISNUMBER(I55)*IF(ISNUMBER(H55),--(I55&lt;H55-0.5),1)+ISNUMBER(J55)*IF(ISNUMBER(I55),--(J55&lt;I55-0.5),1)+ISNUMBER(K55)*IF(ISNUMBER(J55),--(K55&lt;J55-0.5),1)+IF(AND(ISNUMBER(C55),C55&lt;0),1,0),1)</f>
        <v/>
      </c>
      <c r="BK55" s="23">
        <f>IFERROR(ISNUMBER(M55)*IF(ISNUMBER(L55),--(M55&lt;L55-0.5),1)+ISNUMBER(N55)*IF(ISNUMBER(M55),--(N55&lt;M55-0.5),1)+ISNUMBER(O55)*IF(ISNUMBER(N55),--(O55&lt;N55-0.5),1)+ISNUMBER(P55)*IF(ISNUMBER(O55),--(P55&lt;O55-0.5),1)+ISNUMBER(Q55)*IF(ISNUMBER(P55),--(Q55&lt;P55-0.5),1)+ISNUMBER(R55)*IF(ISNUMBER(Q55),--(R55&lt;Q55-0.5),1)+ISNUMBER(S55)*IF(ISNUMBER(R55),--(S55&lt;R55-0.5),1),1)</f>
        <v/>
      </c>
    </row>
    <row r="56">
      <c r="A56" s="23" t="n">
        <v>48</v>
      </c>
      <c r="B56" s="75" t="n">
        <v>1</v>
      </c>
      <c r="C56" s="157" t="n"/>
      <c r="D56" s="157" t="n"/>
      <c r="E56" s="157" t="n"/>
      <c r="F56" s="157" t="n"/>
      <c r="G56" s="157" t="n"/>
      <c r="H56" s="157" t="n"/>
      <c r="I56" s="157" t="n"/>
      <c r="J56" s="157" t="n"/>
      <c r="K56" s="157" t="n"/>
      <c r="L56" s="157" t="n"/>
      <c r="M56" s="157" t="n"/>
      <c r="N56" s="157" t="n"/>
      <c r="O56" s="157" t="n"/>
      <c r="P56" s="157" t="n"/>
      <c r="Q56" s="157" t="n"/>
      <c r="R56" s="157" t="n"/>
      <c r="S56" s="157" t="n"/>
      <c r="T56" s="157" t="n"/>
      <c r="U56" s="157" t="n"/>
      <c r="V56" s="157" t="n"/>
      <c r="W56" s="157" t="n"/>
      <c r="X56" s="157" t="n"/>
      <c r="Y56" s="157" t="n"/>
      <c r="Z56" s="157" t="n"/>
      <c r="AA56" s="157" t="n"/>
      <c r="AB56" s="157" t="n"/>
      <c r="AC56" s="157" t="n"/>
      <c r="AD56" s="157" t="n"/>
      <c r="AE56" s="157" t="n"/>
      <c r="AF56" s="157" t="n"/>
      <c r="AG56" s="157" t="n"/>
      <c r="AH56" s="157" t="n"/>
      <c r="AI56" s="157" t="n"/>
      <c r="AJ56" s="157" t="n"/>
      <c r="AK56" s="157" t="n"/>
      <c r="AL56" s="157" t="n"/>
      <c r="AM56" s="157" t="n"/>
      <c r="AN56" s="157" t="n"/>
      <c r="AO56" s="157" t="n"/>
      <c r="AP56" s="157" t="n"/>
      <c r="AQ56" s="157" t="n"/>
      <c r="AR56" s="157" t="n"/>
      <c r="AS56" s="157" t="n"/>
      <c r="AT56" s="157" t="n"/>
      <c r="AU56" s="157" t="n"/>
      <c r="AV56" s="157" t="n"/>
      <c r="AW56" s="157" t="n"/>
      <c r="AX56" s="157" t="n"/>
      <c r="AY56" s="157" t="n"/>
      <c r="AZ56" s="157" t="n"/>
      <c r="BA56" s="157" t="n"/>
      <c r="BB56" s="157" t="n"/>
      <c r="BC56" s="157" t="n"/>
      <c r="BD56" s="157" t="n"/>
      <c r="BE56" s="157" t="n"/>
      <c r="BF56" s="157" t="n"/>
      <c r="BG56" s="157" t="n"/>
      <c r="BH56" s="158" t="n"/>
      <c r="BI56" s="159" t="n"/>
      <c r="BJ56" s="23">
        <f>IFERROR(ISNUMBER(E56)*IF(ISNUMBER(D56),--(E56&lt;D56-0.5),1)+ISNUMBER(F56)*IF(ISNUMBER(E56),--(F56&lt;E56-0.5),1)+ISNUMBER(G56)*IF(ISNUMBER(F56),--(G56&lt;F56-0.5),1)+ISNUMBER(H56)*IF(ISNUMBER(G56),--(H56&lt;G56-0.5),1)+ISNUMBER(I56)*IF(ISNUMBER(H56),--(I56&lt;H56-0.5),1)+ISNUMBER(J56)*IF(ISNUMBER(I56),--(J56&lt;I56-0.5),1)+ISNUMBER(K56)*IF(ISNUMBER(J56),--(K56&lt;J56-0.5),1)+IF(AND(ISNUMBER(C56),C56&lt;0),1,0),1)</f>
        <v/>
      </c>
      <c r="BK56" s="23">
        <f>IFERROR(ISNUMBER(M56)*IF(ISNUMBER(L56),--(M56&lt;L56-0.5),1)+ISNUMBER(N56)*IF(ISNUMBER(M56),--(N56&lt;M56-0.5),1)+ISNUMBER(O56)*IF(ISNUMBER(N56),--(O56&lt;N56-0.5),1)+ISNUMBER(P56)*IF(ISNUMBER(O56),--(P56&lt;O56-0.5),1)+ISNUMBER(Q56)*IF(ISNUMBER(P56),--(Q56&lt;P56-0.5),1)+ISNUMBER(R56)*IF(ISNUMBER(Q56),--(R56&lt;Q56-0.5),1)+ISNUMBER(S56)*IF(ISNUMBER(R56),--(S56&lt;R56-0.5),1),1)</f>
        <v/>
      </c>
    </row>
    <row r="57">
      <c r="A57" s="23" t="n">
        <v>49</v>
      </c>
      <c r="B57" s="75" t="n">
        <v>1</v>
      </c>
      <c r="C57" s="157" t="n"/>
      <c r="D57" s="157" t="n"/>
      <c r="E57" s="157" t="n"/>
      <c r="F57" s="157" t="n"/>
      <c r="G57" s="157" t="n"/>
      <c r="H57" s="157" t="n"/>
      <c r="I57" s="157" t="n"/>
      <c r="J57" s="157" t="n"/>
      <c r="K57" s="157" t="n"/>
      <c r="L57" s="157" t="n"/>
      <c r="M57" s="157" t="n"/>
      <c r="N57" s="157" t="n"/>
      <c r="O57" s="157" t="n"/>
      <c r="P57" s="157" t="n"/>
      <c r="Q57" s="157" t="n"/>
      <c r="R57" s="157" t="n"/>
      <c r="S57" s="157" t="n"/>
      <c r="T57" s="157" t="n"/>
      <c r="U57" s="157" t="n"/>
      <c r="V57" s="157" t="n"/>
      <c r="W57" s="157" t="n"/>
      <c r="X57" s="157" t="n"/>
      <c r="Y57" s="157" t="n"/>
      <c r="Z57" s="157" t="n"/>
      <c r="AA57" s="157" t="n"/>
      <c r="AB57" s="157" t="n"/>
      <c r="AC57" s="157" t="n"/>
      <c r="AD57" s="157" t="n"/>
      <c r="AE57" s="157" t="n"/>
      <c r="AF57" s="157" t="n"/>
      <c r="AG57" s="157" t="n"/>
      <c r="AH57" s="157" t="n"/>
      <c r="AI57" s="157" t="n"/>
      <c r="AJ57" s="157" t="n"/>
      <c r="AK57" s="157" t="n"/>
      <c r="AL57" s="157" t="n"/>
      <c r="AM57" s="157" t="n"/>
      <c r="AN57" s="157" t="n"/>
      <c r="AO57" s="157" t="n"/>
      <c r="AP57" s="157" t="n"/>
      <c r="AQ57" s="157" t="n"/>
      <c r="AR57" s="157" t="n"/>
      <c r="AS57" s="157" t="n"/>
      <c r="AT57" s="157" t="n"/>
      <c r="AU57" s="157" t="n"/>
      <c r="AV57" s="157" t="n"/>
      <c r="AW57" s="157" t="n"/>
      <c r="AX57" s="157" t="n"/>
      <c r="AY57" s="157" t="n"/>
      <c r="AZ57" s="157" t="n"/>
      <c r="BA57" s="157" t="n"/>
      <c r="BB57" s="157" t="n"/>
      <c r="BC57" s="157" t="n"/>
      <c r="BD57" s="157" t="n"/>
      <c r="BE57" s="157" t="n"/>
      <c r="BF57" s="157" t="n"/>
      <c r="BG57" s="157" t="n"/>
      <c r="BH57" s="158" t="n"/>
      <c r="BI57" s="159" t="n"/>
      <c r="BJ57" s="23">
        <f>IFERROR(ISNUMBER(E57)*IF(ISNUMBER(D57),--(E57&lt;D57-0.5),1)+ISNUMBER(F57)*IF(ISNUMBER(E57),--(F57&lt;E57-0.5),1)+ISNUMBER(G57)*IF(ISNUMBER(F57),--(G57&lt;F57-0.5),1)+ISNUMBER(H57)*IF(ISNUMBER(G57),--(H57&lt;G57-0.5),1)+ISNUMBER(I57)*IF(ISNUMBER(H57),--(I57&lt;H57-0.5),1)+ISNUMBER(J57)*IF(ISNUMBER(I57),--(J57&lt;I57-0.5),1)+ISNUMBER(K57)*IF(ISNUMBER(J57),--(K57&lt;J57-0.5),1)+IF(AND(ISNUMBER(C57),C57&lt;0),1,0),1)</f>
        <v/>
      </c>
      <c r="BK57" s="23">
        <f>IFERROR(ISNUMBER(M57)*IF(ISNUMBER(L57),--(M57&lt;L57-0.5),1)+ISNUMBER(N57)*IF(ISNUMBER(M57),--(N57&lt;M57-0.5),1)+ISNUMBER(O57)*IF(ISNUMBER(N57),--(O57&lt;N57-0.5),1)+ISNUMBER(P57)*IF(ISNUMBER(O57),--(P57&lt;O57-0.5),1)+ISNUMBER(Q57)*IF(ISNUMBER(P57),--(Q57&lt;P57-0.5),1)+ISNUMBER(R57)*IF(ISNUMBER(Q57),--(R57&lt;Q57-0.5),1)+ISNUMBER(S57)*IF(ISNUMBER(R57),--(S57&lt;R57-0.5),1),1)</f>
        <v/>
      </c>
    </row>
    <row r="58">
      <c r="A58" s="23" t="n">
        <v>50</v>
      </c>
      <c r="B58" s="75" t="n">
        <v>1</v>
      </c>
      <c r="C58" s="157" t="n"/>
      <c r="D58" s="157" t="n"/>
      <c r="E58" s="157" t="n"/>
      <c r="F58" s="157" t="n"/>
      <c r="G58" s="157" t="n"/>
      <c r="H58" s="157" t="n"/>
      <c r="I58" s="157" t="n"/>
      <c r="J58" s="157" t="n"/>
      <c r="K58" s="157" t="n"/>
      <c r="L58" s="157" t="n"/>
      <c r="M58" s="157" t="n"/>
      <c r="N58" s="157" t="n"/>
      <c r="O58" s="157" t="n"/>
      <c r="P58" s="157" t="n"/>
      <c r="Q58" s="157" t="n"/>
      <c r="R58" s="157" t="n"/>
      <c r="S58" s="157" t="n"/>
      <c r="T58" s="157" t="n"/>
      <c r="U58" s="157" t="n"/>
      <c r="V58" s="157" t="n"/>
      <c r="W58" s="157" t="n"/>
      <c r="X58" s="157" t="n"/>
      <c r="Y58" s="157" t="n"/>
      <c r="Z58" s="157" t="n"/>
      <c r="AA58" s="157" t="n"/>
      <c r="AB58" s="157" t="n"/>
      <c r="AC58" s="157" t="n"/>
      <c r="AD58" s="157" t="n"/>
      <c r="AE58" s="157" t="n"/>
      <c r="AF58" s="157" t="n"/>
      <c r="AG58" s="157" t="n"/>
      <c r="AH58" s="157" t="n"/>
      <c r="AI58" s="157" t="n"/>
      <c r="AJ58" s="157" t="n"/>
      <c r="AK58" s="157" t="n"/>
      <c r="AL58" s="157" t="n"/>
      <c r="AM58" s="157" t="n"/>
      <c r="AN58" s="157" t="n"/>
      <c r="AO58" s="157" t="n"/>
      <c r="AP58" s="157" t="n"/>
      <c r="AQ58" s="157" t="n"/>
      <c r="AR58" s="157" t="n"/>
      <c r="AS58" s="157" t="n"/>
      <c r="AT58" s="157" t="n"/>
      <c r="AU58" s="157" t="n"/>
      <c r="AV58" s="157" t="n"/>
      <c r="AW58" s="157" t="n"/>
      <c r="AX58" s="157" t="n"/>
      <c r="AY58" s="157" t="n"/>
      <c r="AZ58" s="157" t="n"/>
      <c r="BA58" s="157" t="n"/>
      <c r="BB58" s="157" t="n"/>
      <c r="BC58" s="157" t="n"/>
      <c r="BD58" s="157" t="n"/>
      <c r="BE58" s="157" t="n"/>
      <c r="BF58" s="157" t="n"/>
      <c r="BG58" s="157" t="n"/>
      <c r="BH58" s="158" t="n"/>
      <c r="BI58" s="159" t="n"/>
      <c r="BJ58" s="23">
        <f>IFERROR(ISNUMBER(E58)*IF(ISNUMBER(D58),--(E58&lt;D58-0.5),1)+ISNUMBER(F58)*IF(ISNUMBER(E58),--(F58&lt;E58-0.5),1)+ISNUMBER(G58)*IF(ISNUMBER(F58),--(G58&lt;F58-0.5),1)+ISNUMBER(H58)*IF(ISNUMBER(G58),--(H58&lt;G58-0.5),1)+ISNUMBER(I58)*IF(ISNUMBER(H58),--(I58&lt;H58-0.5),1)+ISNUMBER(J58)*IF(ISNUMBER(I58),--(J58&lt;I58-0.5),1)+ISNUMBER(K58)*IF(ISNUMBER(J58),--(K58&lt;J58-0.5),1)+IF(AND(ISNUMBER(C58),C58&lt;0),1,0),1)</f>
        <v/>
      </c>
      <c r="BK58" s="23">
        <f>IFERROR(ISNUMBER(M58)*IF(ISNUMBER(L58),--(M58&lt;L58-0.5),1)+ISNUMBER(N58)*IF(ISNUMBER(M58),--(N58&lt;M58-0.5),1)+ISNUMBER(O58)*IF(ISNUMBER(N58),--(O58&lt;N58-0.5),1)+ISNUMBER(P58)*IF(ISNUMBER(O58),--(P58&lt;O58-0.5),1)+ISNUMBER(Q58)*IF(ISNUMBER(P58),--(Q58&lt;P58-0.5),1)+ISNUMBER(R58)*IF(ISNUMBER(Q58),--(R58&lt;Q58-0.5),1)+ISNUMBER(S58)*IF(ISNUMBER(R58),--(S58&lt;R58-0.5),1),1)</f>
        <v/>
      </c>
    </row>
    <row r="59">
      <c r="A59" s="23" t="n">
        <v>51</v>
      </c>
      <c r="B59" s="75" t="n">
        <v>1</v>
      </c>
      <c r="C59" s="157" t="n"/>
      <c r="D59" s="157" t="n"/>
      <c r="E59" s="157" t="n"/>
      <c r="F59" s="157" t="n"/>
      <c r="G59" s="157" t="n"/>
      <c r="H59" s="157" t="n"/>
      <c r="I59" s="157" t="n"/>
      <c r="J59" s="157" t="n"/>
      <c r="K59" s="157" t="n"/>
      <c r="L59" s="157" t="n"/>
      <c r="M59" s="157" t="n"/>
      <c r="N59" s="157" t="n"/>
      <c r="O59" s="157" t="n"/>
      <c r="P59" s="157" t="n"/>
      <c r="Q59" s="157" t="n"/>
      <c r="R59" s="157" t="n"/>
      <c r="S59" s="157" t="n"/>
      <c r="T59" s="157" t="n"/>
      <c r="U59" s="157" t="n"/>
      <c r="V59" s="157" t="n"/>
      <c r="W59" s="157" t="n"/>
      <c r="X59" s="157" t="n"/>
      <c r="Y59" s="157" t="n"/>
      <c r="Z59" s="157" t="n"/>
      <c r="AA59" s="157" t="n"/>
      <c r="AB59" s="157" t="n"/>
      <c r="AC59" s="157" t="n"/>
      <c r="AD59" s="157" t="n"/>
      <c r="AE59" s="157" t="n"/>
      <c r="AF59" s="157" t="n"/>
      <c r="AG59" s="157" t="n"/>
      <c r="AH59" s="157" t="n"/>
      <c r="AI59" s="157" t="n"/>
      <c r="AJ59" s="157" t="n"/>
      <c r="AK59" s="157" t="n"/>
      <c r="AL59" s="157" t="n"/>
      <c r="AM59" s="157" t="n"/>
      <c r="AN59" s="157" t="n"/>
      <c r="AO59" s="157" t="n"/>
      <c r="AP59" s="157" t="n"/>
      <c r="AQ59" s="157" t="n"/>
      <c r="AR59" s="157" t="n"/>
      <c r="AS59" s="157" t="n"/>
      <c r="AT59" s="157" t="n"/>
      <c r="AU59" s="157" t="n"/>
      <c r="AV59" s="157" t="n"/>
      <c r="AW59" s="157" t="n"/>
      <c r="AX59" s="157" t="n"/>
      <c r="AY59" s="157" t="n"/>
      <c r="AZ59" s="157" t="n"/>
      <c r="BA59" s="157" t="n"/>
      <c r="BB59" s="157" t="n"/>
      <c r="BC59" s="157" t="n"/>
      <c r="BD59" s="157" t="n"/>
      <c r="BE59" s="157" t="n"/>
      <c r="BF59" s="157" t="n"/>
      <c r="BG59" s="157" t="n"/>
      <c r="BH59" s="158" t="n"/>
      <c r="BI59" s="159" t="n"/>
      <c r="BJ59" s="23">
        <f>IFERROR(ISNUMBER(E59)*IF(ISNUMBER(D59),--(E59&lt;D59-0.5),1)+ISNUMBER(F59)*IF(ISNUMBER(E59),--(F59&lt;E59-0.5),1)+ISNUMBER(G59)*IF(ISNUMBER(F59),--(G59&lt;F59-0.5),1)+ISNUMBER(H59)*IF(ISNUMBER(G59),--(H59&lt;G59-0.5),1)+ISNUMBER(I59)*IF(ISNUMBER(H59),--(I59&lt;H59-0.5),1)+ISNUMBER(J59)*IF(ISNUMBER(I59),--(J59&lt;I59-0.5),1)+ISNUMBER(K59)*IF(ISNUMBER(J59),--(K59&lt;J59-0.5),1)+IF(AND(ISNUMBER(C59),C59&lt;0),1,0),1)</f>
        <v/>
      </c>
      <c r="BK59" s="23">
        <f>IFERROR(ISNUMBER(M59)*IF(ISNUMBER(L59),--(M59&lt;L59-0.5),1)+ISNUMBER(N59)*IF(ISNUMBER(M59),--(N59&lt;M59-0.5),1)+ISNUMBER(O59)*IF(ISNUMBER(N59),--(O59&lt;N59-0.5),1)+ISNUMBER(P59)*IF(ISNUMBER(O59),--(P59&lt;O59-0.5),1)+ISNUMBER(Q59)*IF(ISNUMBER(P59),--(Q59&lt;P59-0.5),1)+ISNUMBER(R59)*IF(ISNUMBER(Q59),--(R59&lt;Q59-0.5),1)+ISNUMBER(S59)*IF(ISNUMBER(R59),--(S59&lt;R59-0.5),1),1)</f>
        <v/>
      </c>
    </row>
    <row r="60">
      <c r="A60" s="23" t="n">
        <v>52</v>
      </c>
      <c r="B60" s="75" t="n">
        <v>1</v>
      </c>
      <c r="C60" s="157" t="n"/>
      <c r="D60" s="157" t="n"/>
      <c r="E60" s="157" t="n"/>
      <c r="F60" s="157" t="n"/>
      <c r="G60" s="157" t="n"/>
      <c r="H60" s="157" t="n"/>
      <c r="I60" s="157" t="n"/>
      <c r="J60" s="157" t="n"/>
      <c r="K60" s="157" t="n"/>
      <c r="L60" s="157" t="n"/>
      <c r="M60" s="157" t="n"/>
      <c r="N60" s="157" t="n"/>
      <c r="O60" s="157" t="n"/>
      <c r="P60" s="157" t="n"/>
      <c r="Q60" s="157" t="n"/>
      <c r="R60" s="157" t="n"/>
      <c r="S60" s="157" t="n"/>
      <c r="T60" s="157" t="n"/>
      <c r="U60" s="157" t="n"/>
      <c r="V60" s="157" t="n"/>
      <c r="W60" s="157" t="n"/>
      <c r="X60" s="157" t="n"/>
      <c r="Y60" s="157" t="n"/>
      <c r="Z60" s="157" t="n"/>
      <c r="AA60" s="157" t="n"/>
      <c r="AB60" s="157" t="n"/>
      <c r="AC60" s="157" t="n"/>
      <c r="AD60" s="157" t="n"/>
      <c r="AE60" s="157" t="n"/>
      <c r="AF60" s="157" t="n"/>
      <c r="AG60" s="157" t="n"/>
      <c r="AH60" s="157" t="n"/>
      <c r="AI60" s="157" t="n"/>
      <c r="AJ60" s="157" t="n"/>
      <c r="AK60" s="157" t="n"/>
      <c r="AL60" s="157" t="n"/>
      <c r="AM60" s="157" t="n"/>
      <c r="AN60" s="157" t="n"/>
      <c r="AO60" s="157" t="n"/>
      <c r="AP60" s="157" t="n"/>
      <c r="AQ60" s="157" t="n"/>
      <c r="AR60" s="157" t="n"/>
      <c r="AS60" s="157" t="n"/>
      <c r="AT60" s="157" t="n"/>
      <c r="AU60" s="157" t="n"/>
      <c r="AV60" s="157" t="n"/>
      <c r="AW60" s="157" t="n"/>
      <c r="AX60" s="157" t="n"/>
      <c r="AY60" s="157" t="n"/>
      <c r="AZ60" s="157" t="n"/>
      <c r="BA60" s="157" t="n"/>
      <c r="BB60" s="157" t="n"/>
      <c r="BC60" s="157" t="n"/>
      <c r="BD60" s="157" t="n"/>
      <c r="BE60" s="157" t="n"/>
      <c r="BF60" s="157" t="n"/>
      <c r="BG60" s="157" t="n"/>
      <c r="BH60" s="158" t="n"/>
      <c r="BI60" s="159" t="n"/>
      <c r="BJ60" s="23">
        <f>IFERROR(ISNUMBER(E60)*IF(ISNUMBER(D60),--(E60&lt;D60-0.5),1)+ISNUMBER(F60)*IF(ISNUMBER(E60),--(F60&lt;E60-0.5),1)+ISNUMBER(G60)*IF(ISNUMBER(F60),--(G60&lt;F60-0.5),1)+ISNUMBER(H60)*IF(ISNUMBER(G60),--(H60&lt;G60-0.5),1)+ISNUMBER(I60)*IF(ISNUMBER(H60),--(I60&lt;H60-0.5),1)+ISNUMBER(J60)*IF(ISNUMBER(I60),--(J60&lt;I60-0.5),1)+ISNUMBER(K60)*IF(ISNUMBER(J60),--(K60&lt;J60-0.5),1)+IF(AND(ISNUMBER(C60),C60&lt;0),1,0),1)</f>
        <v/>
      </c>
      <c r="BK60" s="23">
        <f>IFERROR(ISNUMBER(M60)*IF(ISNUMBER(L60),--(M60&lt;L60-0.5),1)+ISNUMBER(N60)*IF(ISNUMBER(M60),--(N60&lt;M60-0.5),1)+ISNUMBER(O60)*IF(ISNUMBER(N60),--(O60&lt;N60-0.5),1)+ISNUMBER(P60)*IF(ISNUMBER(O60),--(P60&lt;O60-0.5),1)+ISNUMBER(Q60)*IF(ISNUMBER(P60),--(Q60&lt;P60-0.5),1)+ISNUMBER(R60)*IF(ISNUMBER(Q60),--(R60&lt;Q60-0.5),1)+ISNUMBER(S60)*IF(ISNUMBER(R60),--(S60&lt;R60-0.5),1),1)</f>
        <v/>
      </c>
    </row>
    <row r="61">
      <c r="A61" s="23" t="n">
        <v>53</v>
      </c>
      <c r="B61" s="75" t="n">
        <v>1</v>
      </c>
      <c r="C61" s="157" t="n"/>
      <c r="D61" s="157" t="n"/>
      <c r="E61" s="157" t="n"/>
      <c r="F61" s="157" t="n"/>
      <c r="G61" s="157" t="n"/>
      <c r="H61" s="157" t="n"/>
      <c r="I61" s="157" t="n"/>
      <c r="J61" s="157" t="n"/>
      <c r="K61" s="157" t="n"/>
      <c r="L61" s="157" t="n"/>
      <c r="M61" s="157" t="n"/>
      <c r="N61" s="157" t="n"/>
      <c r="O61" s="157" t="n"/>
      <c r="P61" s="157" t="n"/>
      <c r="Q61" s="157" t="n"/>
      <c r="R61" s="157" t="n"/>
      <c r="S61" s="157" t="n"/>
      <c r="T61" s="157" t="n"/>
      <c r="U61" s="157" t="n"/>
      <c r="V61" s="157" t="n"/>
      <c r="W61" s="157" t="n"/>
      <c r="X61" s="157" t="n"/>
      <c r="Y61" s="157" t="n"/>
      <c r="Z61" s="157" t="n"/>
      <c r="AA61" s="157" t="n"/>
      <c r="AB61" s="157" t="n"/>
      <c r="AC61" s="157" t="n"/>
      <c r="AD61" s="157" t="n"/>
      <c r="AE61" s="157" t="n"/>
      <c r="AF61" s="157" t="n"/>
      <c r="AG61" s="157" t="n"/>
      <c r="AH61" s="157" t="n"/>
      <c r="AI61" s="157" t="n"/>
      <c r="AJ61" s="157" t="n"/>
      <c r="AK61" s="157" t="n"/>
      <c r="AL61" s="157" t="n"/>
      <c r="AM61" s="157" t="n"/>
      <c r="AN61" s="157" t="n"/>
      <c r="AO61" s="157" t="n"/>
      <c r="AP61" s="157" t="n"/>
      <c r="AQ61" s="157" t="n"/>
      <c r="AR61" s="157" t="n"/>
      <c r="AS61" s="157" t="n"/>
      <c r="AT61" s="157" t="n"/>
      <c r="AU61" s="157" t="n"/>
      <c r="AV61" s="157" t="n"/>
      <c r="AW61" s="157" t="n"/>
      <c r="AX61" s="157" t="n"/>
      <c r="AY61" s="157" t="n"/>
      <c r="AZ61" s="157" t="n"/>
      <c r="BA61" s="157" t="n"/>
      <c r="BB61" s="157" t="n"/>
      <c r="BC61" s="157" t="n"/>
      <c r="BD61" s="157" t="n"/>
      <c r="BE61" s="157" t="n"/>
      <c r="BF61" s="157" t="n"/>
      <c r="BG61" s="157" t="n"/>
      <c r="BH61" s="158" t="n"/>
      <c r="BI61" s="159" t="n"/>
      <c r="BJ61" s="23">
        <f>IFERROR(ISNUMBER(E61)*IF(ISNUMBER(D61),--(E61&lt;D61-0.5),1)+ISNUMBER(F61)*IF(ISNUMBER(E61),--(F61&lt;E61-0.5),1)+ISNUMBER(G61)*IF(ISNUMBER(F61),--(G61&lt;F61-0.5),1)+ISNUMBER(H61)*IF(ISNUMBER(G61),--(H61&lt;G61-0.5),1)+ISNUMBER(I61)*IF(ISNUMBER(H61),--(I61&lt;H61-0.5),1)+ISNUMBER(J61)*IF(ISNUMBER(I61),--(J61&lt;I61-0.5),1)+ISNUMBER(K61)*IF(ISNUMBER(J61),--(K61&lt;J61-0.5),1)+IF(AND(ISNUMBER(C61),C61&lt;0),1,0),1)</f>
        <v/>
      </c>
      <c r="BK61" s="23">
        <f>IFERROR(ISNUMBER(M61)*IF(ISNUMBER(L61),--(M61&lt;L61-0.5),1)+ISNUMBER(N61)*IF(ISNUMBER(M61),--(N61&lt;M61-0.5),1)+ISNUMBER(O61)*IF(ISNUMBER(N61),--(O61&lt;N61-0.5),1)+ISNUMBER(P61)*IF(ISNUMBER(O61),--(P61&lt;O61-0.5),1)+ISNUMBER(Q61)*IF(ISNUMBER(P61),--(Q61&lt;P61-0.5),1)+ISNUMBER(R61)*IF(ISNUMBER(Q61),--(R61&lt;Q61-0.5),1)+ISNUMBER(S61)*IF(ISNUMBER(R61),--(S61&lt;R61-0.5),1),1)</f>
        <v/>
      </c>
    </row>
    <row r="62">
      <c r="A62" s="23" t="n">
        <v>54</v>
      </c>
      <c r="B62" s="75" t="n">
        <v>1</v>
      </c>
      <c r="C62" s="157" t="n"/>
      <c r="D62" s="157" t="n"/>
      <c r="E62" s="157" t="n"/>
      <c r="F62" s="157" t="n"/>
      <c r="G62" s="157" t="n"/>
      <c r="H62" s="157" t="n"/>
      <c r="I62" s="157" t="n"/>
      <c r="J62" s="157" t="n"/>
      <c r="K62" s="157" t="n"/>
      <c r="L62" s="157" t="n"/>
      <c r="M62" s="157" t="n"/>
      <c r="N62" s="157" t="n"/>
      <c r="O62" s="157" t="n"/>
      <c r="P62" s="157" t="n"/>
      <c r="Q62" s="157" t="n"/>
      <c r="R62" s="157" t="n"/>
      <c r="S62" s="157" t="n"/>
      <c r="T62" s="157" t="n"/>
      <c r="U62" s="157" t="n"/>
      <c r="V62" s="157" t="n"/>
      <c r="W62" s="157" t="n"/>
      <c r="X62" s="157" t="n"/>
      <c r="Y62" s="157" t="n"/>
      <c r="Z62" s="157" t="n"/>
      <c r="AA62" s="157" t="n"/>
      <c r="AB62" s="157" t="n"/>
      <c r="AC62" s="157" t="n"/>
      <c r="AD62" s="157" t="n"/>
      <c r="AE62" s="157" t="n"/>
      <c r="AF62" s="157" t="n"/>
      <c r="AG62" s="157" t="n"/>
      <c r="AH62" s="157" t="n"/>
      <c r="AI62" s="157" t="n"/>
      <c r="AJ62" s="157" t="n"/>
      <c r="AK62" s="157" t="n"/>
      <c r="AL62" s="157" t="n"/>
      <c r="AM62" s="157" t="n"/>
      <c r="AN62" s="157" t="n"/>
      <c r="AO62" s="157" t="n"/>
      <c r="AP62" s="157" t="n"/>
      <c r="AQ62" s="157" t="n"/>
      <c r="AR62" s="157" t="n"/>
      <c r="AS62" s="157" t="n"/>
      <c r="AT62" s="157" t="n"/>
      <c r="AU62" s="157" t="n"/>
      <c r="AV62" s="157" t="n"/>
      <c r="AW62" s="157" t="n"/>
      <c r="AX62" s="157" t="n"/>
      <c r="AY62" s="157" t="n"/>
      <c r="AZ62" s="157" t="n"/>
      <c r="BA62" s="157" t="n"/>
      <c r="BB62" s="157" t="n"/>
      <c r="BC62" s="157" t="n"/>
      <c r="BD62" s="157" t="n"/>
      <c r="BE62" s="157" t="n"/>
      <c r="BF62" s="157" t="n"/>
      <c r="BG62" s="157" t="n"/>
      <c r="BH62" s="158" t="n"/>
      <c r="BI62" s="159" t="n"/>
      <c r="BJ62" s="23">
        <f>IFERROR(ISNUMBER(E62)*IF(ISNUMBER(D62),--(E62&lt;D62-0.5),1)+ISNUMBER(F62)*IF(ISNUMBER(E62),--(F62&lt;E62-0.5),1)+ISNUMBER(G62)*IF(ISNUMBER(F62),--(G62&lt;F62-0.5),1)+ISNUMBER(H62)*IF(ISNUMBER(G62),--(H62&lt;G62-0.5),1)+ISNUMBER(I62)*IF(ISNUMBER(H62),--(I62&lt;H62-0.5),1)+ISNUMBER(J62)*IF(ISNUMBER(I62),--(J62&lt;I62-0.5),1)+ISNUMBER(K62)*IF(ISNUMBER(J62),--(K62&lt;J62-0.5),1)+IF(AND(ISNUMBER(C62),C62&lt;0),1,0),1)</f>
        <v/>
      </c>
      <c r="BK62" s="23">
        <f>IFERROR(ISNUMBER(M62)*IF(ISNUMBER(L62),--(M62&lt;L62-0.5),1)+ISNUMBER(N62)*IF(ISNUMBER(M62),--(N62&lt;M62-0.5),1)+ISNUMBER(O62)*IF(ISNUMBER(N62),--(O62&lt;N62-0.5),1)+ISNUMBER(P62)*IF(ISNUMBER(O62),--(P62&lt;O62-0.5),1)+ISNUMBER(Q62)*IF(ISNUMBER(P62),--(Q62&lt;P62-0.5),1)+ISNUMBER(R62)*IF(ISNUMBER(Q62),--(R62&lt;Q62-0.5),1)+ISNUMBER(S62)*IF(ISNUMBER(R62),--(S62&lt;R62-0.5),1),1)</f>
        <v/>
      </c>
    </row>
    <row r="63">
      <c r="A63" s="23" t="n">
        <v>55</v>
      </c>
      <c r="B63" s="75" t="n">
        <v>1</v>
      </c>
      <c r="C63" s="157" t="n"/>
      <c r="D63" s="157" t="n"/>
      <c r="E63" s="157" t="n"/>
      <c r="F63" s="157" t="n"/>
      <c r="G63" s="157" t="n"/>
      <c r="H63" s="157" t="n"/>
      <c r="I63" s="157" t="n"/>
      <c r="J63" s="157" t="n"/>
      <c r="K63" s="157" t="n"/>
      <c r="L63" s="157" t="n"/>
      <c r="M63" s="157" t="n"/>
      <c r="N63" s="157" t="n"/>
      <c r="O63" s="157" t="n"/>
      <c r="P63" s="157" t="n"/>
      <c r="Q63" s="157" t="n"/>
      <c r="R63" s="157" t="n"/>
      <c r="S63" s="157" t="n"/>
      <c r="T63" s="157" t="n"/>
      <c r="U63" s="157" t="n"/>
      <c r="V63" s="157" t="n"/>
      <c r="W63" s="157" t="n"/>
      <c r="X63" s="157" t="n"/>
      <c r="Y63" s="157" t="n"/>
      <c r="Z63" s="157" t="n"/>
      <c r="AA63" s="157" t="n"/>
      <c r="AB63" s="157" t="n"/>
      <c r="AC63" s="157" t="n"/>
      <c r="AD63" s="157" t="n"/>
      <c r="AE63" s="157" t="n"/>
      <c r="AF63" s="157" t="n"/>
      <c r="AG63" s="157" t="n"/>
      <c r="AH63" s="157" t="n"/>
      <c r="AI63" s="157" t="n"/>
      <c r="AJ63" s="157" t="n"/>
      <c r="AK63" s="157" t="n"/>
      <c r="AL63" s="157" t="n"/>
      <c r="AM63" s="157" t="n"/>
      <c r="AN63" s="157" t="n"/>
      <c r="AO63" s="157" t="n"/>
      <c r="AP63" s="157" t="n"/>
      <c r="AQ63" s="157" t="n"/>
      <c r="AR63" s="157" t="n"/>
      <c r="AS63" s="157" t="n"/>
      <c r="AT63" s="157" t="n"/>
      <c r="AU63" s="157" t="n"/>
      <c r="AV63" s="157" t="n"/>
      <c r="AW63" s="157" t="n"/>
      <c r="AX63" s="157" t="n"/>
      <c r="AY63" s="157" t="n"/>
      <c r="AZ63" s="157" t="n"/>
      <c r="BA63" s="157" t="n"/>
      <c r="BB63" s="157" t="n"/>
      <c r="BC63" s="157" t="n"/>
      <c r="BD63" s="157" t="n"/>
      <c r="BE63" s="157" t="n"/>
      <c r="BF63" s="157" t="n"/>
      <c r="BG63" s="157" t="n"/>
      <c r="BH63" s="158" t="n"/>
      <c r="BI63" s="159" t="n"/>
      <c r="BJ63" s="23">
        <f>IFERROR(ISNUMBER(E63)*IF(ISNUMBER(D63),--(E63&lt;D63-0.5),1)+ISNUMBER(F63)*IF(ISNUMBER(E63),--(F63&lt;E63-0.5),1)+ISNUMBER(G63)*IF(ISNUMBER(F63),--(G63&lt;F63-0.5),1)+ISNUMBER(H63)*IF(ISNUMBER(G63),--(H63&lt;G63-0.5),1)+ISNUMBER(I63)*IF(ISNUMBER(H63),--(I63&lt;H63-0.5),1)+ISNUMBER(J63)*IF(ISNUMBER(I63),--(J63&lt;I63-0.5),1)+ISNUMBER(K63)*IF(ISNUMBER(J63),--(K63&lt;J63-0.5),1)+IF(AND(ISNUMBER(C63),C63&lt;0),1,0),1)</f>
        <v/>
      </c>
      <c r="BK63" s="23">
        <f>IFERROR(ISNUMBER(M63)*IF(ISNUMBER(L63),--(M63&lt;L63-0.5),1)+ISNUMBER(N63)*IF(ISNUMBER(M63),--(N63&lt;M63-0.5),1)+ISNUMBER(O63)*IF(ISNUMBER(N63),--(O63&lt;N63-0.5),1)+ISNUMBER(P63)*IF(ISNUMBER(O63),--(P63&lt;O63-0.5),1)+ISNUMBER(Q63)*IF(ISNUMBER(P63),--(Q63&lt;P63-0.5),1)+ISNUMBER(R63)*IF(ISNUMBER(Q63),--(R63&lt;Q63-0.5),1)+ISNUMBER(S63)*IF(ISNUMBER(R63),--(S63&lt;R63-0.5),1),1)</f>
        <v/>
      </c>
    </row>
    <row r="64">
      <c r="A64" s="23" t="n">
        <v>56</v>
      </c>
      <c r="B64" s="75" t="n">
        <v>1</v>
      </c>
      <c r="C64" s="157" t="n"/>
      <c r="D64" s="157" t="n"/>
      <c r="E64" s="157" t="n"/>
      <c r="F64" s="157" t="n"/>
      <c r="G64" s="157" t="n"/>
      <c r="H64" s="157" t="n"/>
      <c r="I64" s="157" t="n"/>
      <c r="J64" s="157" t="n"/>
      <c r="K64" s="157" t="n"/>
      <c r="L64" s="157" t="n"/>
      <c r="M64" s="157" t="n"/>
      <c r="N64" s="157" t="n"/>
      <c r="O64" s="157" t="n"/>
      <c r="P64" s="157" t="n"/>
      <c r="Q64" s="157" t="n"/>
      <c r="R64" s="157" t="n"/>
      <c r="S64" s="157" t="n"/>
      <c r="T64" s="157" t="n"/>
      <c r="U64" s="157" t="n"/>
      <c r="V64" s="157" t="n"/>
      <c r="W64" s="157" t="n"/>
      <c r="X64" s="157" t="n"/>
      <c r="Y64" s="157" t="n"/>
      <c r="Z64" s="157" t="n"/>
      <c r="AA64" s="157" t="n"/>
      <c r="AB64" s="157" t="n"/>
      <c r="AC64" s="157" t="n"/>
      <c r="AD64" s="157" t="n"/>
      <c r="AE64" s="157" t="n"/>
      <c r="AF64" s="157" t="n"/>
      <c r="AG64" s="157" t="n"/>
      <c r="AH64" s="157" t="n"/>
      <c r="AI64" s="157" t="n"/>
      <c r="AJ64" s="157" t="n"/>
      <c r="AK64" s="157" t="n"/>
      <c r="AL64" s="157" t="n"/>
      <c r="AM64" s="157" t="n"/>
      <c r="AN64" s="157" t="n"/>
      <c r="AO64" s="157" t="n"/>
      <c r="AP64" s="157" t="n"/>
      <c r="AQ64" s="157" t="n"/>
      <c r="AR64" s="157" t="n"/>
      <c r="AS64" s="157" t="n"/>
      <c r="AT64" s="157" t="n"/>
      <c r="AU64" s="157" t="n"/>
      <c r="AV64" s="157" t="n"/>
      <c r="AW64" s="157" t="n"/>
      <c r="AX64" s="157" t="n"/>
      <c r="AY64" s="157" t="n"/>
      <c r="AZ64" s="157" t="n"/>
      <c r="BA64" s="157" t="n"/>
      <c r="BB64" s="157" t="n"/>
      <c r="BC64" s="157" t="n"/>
      <c r="BD64" s="157" t="n"/>
      <c r="BE64" s="157" t="n"/>
      <c r="BF64" s="157" t="n"/>
      <c r="BG64" s="157" t="n"/>
      <c r="BH64" s="158" t="n"/>
      <c r="BI64" s="159" t="n"/>
      <c r="BJ64" s="23">
        <f>IFERROR(ISNUMBER(E64)*IF(ISNUMBER(D64),--(E64&lt;D64-0.5),1)+ISNUMBER(F64)*IF(ISNUMBER(E64),--(F64&lt;E64-0.5),1)+ISNUMBER(G64)*IF(ISNUMBER(F64),--(G64&lt;F64-0.5),1)+ISNUMBER(H64)*IF(ISNUMBER(G64),--(H64&lt;G64-0.5),1)+ISNUMBER(I64)*IF(ISNUMBER(H64),--(I64&lt;H64-0.5),1)+ISNUMBER(J64)*IF(ISNUMBER(I64),--(J64&lt;I64-0.5),1)+ISNUMBER(K64)*IF(ISNUMBER(J64),--(K64&lt;J64-0.5),1)+IF(AND(ISNUMBER(C64),C64&lt;0),1,0),1)</f>
        <v/>
      </c>
      <c r="BK64" s="23">
        <f>IFERROR(ISNUMBER(M64)*IF(ISNUMBER(L64),--(M64&lt;L64-0.5),1)+ISNUMBER(N64)*IF(ISNUMBER(M64),--(N64&lt;M64-0.5),1)+ISNUMBER(O64)*IF(ISNUMBER(N64),--(O64&lt;N64-0.5),1)+ISNUMBER(P64)*IF(ISNUMBER(O64),--(P64&lt;O64-0.5),1)+ISNUMBER(Q64)*IF(ISNUMBER(P64),--(Q64&lt;P64-0.5),1)+ISNUMBER(R64)*IF(ISNUMBER(Q64),--(R64&lt;Q64-0.5),1)+ISNUMBER(S64)*IF(ISNUMBER(R64),--(S64&lt;R64-0.5),1),1)</f>
        <v/>
      </c>
    </row>
    <row r="65">
      <c r="A65" s="23" t="n">
        <v>57</v>
      </c>
      <c r="B65" s="75" t="n">
        <v>1</v>
      </c>
      <c r="C65" s="157" t="n"/>
      <c r="D65" s="157" t="n"/>
      <c r="E65" s="157" t="n"/>
      <c r="F65" s="157" t="n"/>
      <c r="G65" s="157" t="n"/>
      <c r="H65" s="157" t="n"/>
      <c r="I65" s="157" t="n"/>
      <c r="J65" s="157" t="n"/>
      <c r="K65" s="157" t="n"/>
      <c r="L65" s="157" t="n"/>
      <c r="M65" s="157" t="n"/>
      <c r="N65" s="157" t="n"/>
      <c r="O65" s="157" t="n"/>
      <c r="P65" s="157" t="n"/>
      <c r="Q65" s="157" t="n"/>
      <c r="R65" s="157" t="n"/>
      <c r="S65" s="157" t="n"/>
      <c r="T65" s="157" t="n"/>
      <c r="U65" s="157" t="n"/>
      <c r="V65" s="157" t="n"/>
      <c r="W65" s="157" t="n"/>
      <c r="X65" s="157" t="n"/>
      <c r="Y65" s="157" t="n"/>
      <c r="Z65" s="157" t="n"/>
      <c r="AA65" s="157" t="n"/>
      <c r="AB65" s="157" t="n"/>
      <c r="AC65" s="157" t="n"/>
      <c r="AD65" s="157" t="n"/>
      <c r="AE65" s="157" t="n"/>
      <c r="AF65" s="157" t="n"/>
      <c r="AG65" s="157" t="n"/>
      <c r="AH65" s="157" t="n"/>
      <c r="AI65" s="157" t="n"/>
      <c r="AJ65" s="157" t="n"/>
      <c r="AK65" s="157" t="n"/>
      <c r="AL65" s="157" t="n"/>
      <c r="AM65" s="157" t="n"/>
      <c r="AN65" s="157" t="n"/>
      <c r="AO65" s="157" t="n"/>
      <c r="AP65" s="157" t="n"/>
      <c r="AQ65" s="157" t="n"/>
      <c r="AR65" s="157" t="n"/>
      <c r="AS65" s="157" t="n"/>
      <c r="AT65" s="157" t="n"/>
      <c r="AU65" s="157" t="n"/>
      <c r="AV65" s="157" t="n"/>
      <c r="AW65" s="157" t="n"/>
      <c r="AX65" s="157" t="n"/>
      <c r="AY65" s="157" t="n"/>
      <c r="AZ65" s="157" t="n"/>
      <c r="BA65" s="157" t="n"/>
      <c r="BB65" s="157" t="n"/>
      <c r="BC65" s="157" t="n"/>
      <c r="BD65" s="157" t="n"/>
      <c r="BE65" s="157" t="n"/>
      <c r="BF65" s="157" t="n"/>
      <c r="BG65" s="157" t="n"/>
      <c r="BH65" s="158" t="n"/>
      <c r="BI65" s="159" t="n"/>
      <c r="BJ65" s="23">
        <f>IFERROR(ISNUMBER(E65)*IF(ISNUMBER(D65),--(E65&lt;D65-0.5),1)+ISNUMBER(F65)*IF(ISNUMBER(E65),--(F65&lt;E65-0.5),1)+ISNUMBER(G65)*IF(ISNUMBER(F65),--(G65&lt;F65-0.5),1)+ISNUMBER(H65)*IF(ISNUMBER(G65),--(H65&lt;G65-0.5),1)+ISNUMBER(I65)*IF(ISNUMBER(H65),--(I65&lt;H65-0.5),1)+ISNUMBER(J65)*IF(ISNUMBER(I65),--(J65&lt;I65-0.5),1)+ISNUMBER(K65)*IF(ISNUMBER(J65),--(K65&lt;J65-0.5),1)+IF(AND(ISNUMBER(C65),C65&lt;0),1,0),1)</f>
        <v/>
      </c>
      <c r="BK65" s="23">
        <f>IFERROR(ISNUMBER(M65)*IF(ISNUMBER(L65),--(M65&lt;L65-0.5),1)+ISNUMBER(N65)*IF(ISNUMBER(M65),--(N65&lt;M65-0.5),1)+ISNUMBER(O65)*IF(ISNUMBER(N65),--(O65&lt;N65-0.5),1)+ISNUMBER(P65)*IF(ISNUMBER(O65),--(P65&lt;O65-0.5),1)+ISNUMBER(Q65)*IF(ISNUMBER(P65),--(Q65&lt;P65-0.5),1)+ISNUMBER(R65)*IF(ISNUMBER(Q65),--(R65&lt;Q65-0.5),1)+ISNUMBER(S65)*IF(ISNUMBER(R65),--(S65&lt;R65-0.5),1),1)</f>
        <v/>
      </c>
    </row>
    <row r="66">
      <c r="A66" s="23" t="n">
        <v>58</v>
      </c>
      <c r="B66" s="75" t="n">
        <v>1</v>
      </c>
      <c r="C66" s="157" t="n"/>
      <c r="D66" s="157" t="n"/>
      <c r="E66" s="157" t="n"/>
      <c r="F66" s="157" t="n"/>
      <c r="G66" s="157" t="n"/>
      <c r="H66" s="157" t="n"/>
      <c r="I66" s="157" t="n"/>
      <c r="J66" s="157" t="n"/>
      <c r="K66" s="157" t="n"/>
      <c r="L66" s="157" t="n"/>
      <c r="M66" s="157" t="n"/>
      <c r="N66" s="157" t="n"/>
      <c r="O66" s="157" t="n"/>
      <c r="P66" s="157" t="n"/>
      <c r="Q66" s="157" t="n"/>
      <c r="R66" s="157" t="n"/>
      <c r="S66" s="157" t="n"/>
      <c r="T66" s="157" t="n"/>
      <c r="U66" s="157" t="n"/>
      <c r="V66" s="157" t="n"/>
      <c r="W66" s="157" t="n"/>
      <c r="X66" s="157" t="n"/>
      <c r="Y66" s="157" t="n"/>
      <c r="Z66" s="157" t="n"/>
      <c r="AA66" s="157" t="n"/>
      <c r="AB66" s="157" t="n"/>
      <c r="AC66" s="157" t="n"/>
      <c r="AD66" s="157" t="n"/>
      <c r="AE66" s="157" t="n"/>
      <c r="AF66" s="157" t="n"/>
      <c r="AG66" s="157" t="n"/>
      <c r="AH66" s="157" t="n"/>
      <c r="AI66" s="157" t="n"/>
      <c r="AJ66" s="157" t="n"/>
      <c r="AK66" s="157" t="n"/>
      <c r="AL66" s="157" t="n"/>
      <c r="AM66" s="157" t="n"/>
      <c r="AN66" s="157" t="n"/>
      <c r="AO66" s="157" t="n"/>
      <c r="AP66" s="157" t="n"/>
      <c r="AQ66" s="157" t="n"/>
      <c r="AR66" s="157" t="n"/>
      <c r="AS66" s="157" t="n"/>
      <c r="AT66" s="157" t="n"/>
      <c r="AU66" s="157" t="n"/>
      <c r="AV66" s="157" t="n"/>
      <c r="AW66" s="157" t="n"/>
      <c r="AX66" s="157" t="n"/>
      <c r="AY66" s="157" t="n"/>
      <c r="AZ66" s="157" t="n"/>
      <c r="BA66" s="157" t="n"/>
      <c r="BB66" s="157" t="n"/>
      <c r="BC66" s="157" t="n"/>
      <c r="BD66" s="157" t="n"/>
      <c r="BE66" s="157" t="n"/>
      <c r="BF66" s="157" t="n"/>
      <c r="BG66" s="157" t="n"/>
      <c r="BH66" s="158" t="n"/>
      <c r="BI66" s="159" t="n"/>
      <c r="BJ66" s="23">
        <f>IFERROR(ISNUMBER(E66)*IF(ISNUMBER(D66),--(E66&lt;D66-0.5),1)+ISNUMBER(F66)*IF(ISNUMBER(E66),--(F66&lt;E66-0.5),1)+ISNUMBER(G66)*IF(ISNUMBER(F66),--(G66&lt;F66-0.5),1)+ISNUMBER(H66)*IF(ISNUMBER(G66),--(H66&lt;G66-0.5),1)+ISNUMBER(I66)*IF(ISNUMBER(H66),--(I66&lt;H66-0.5),1)+ISNUMBER(J66)*IF(ISNUMBER(I66),--(J66&lt;I66-0.5),1)+ISNUMBER(K66)*IF(ISNUMBER(J66),--(K66&lt;J66-0.5),1)+IF(AND(ISNUMBER(C66),C66&lt;0),1,0),1)</f>
        <v/>
      </c>
      <c r="BK66" s="23">
        <f>IFERROR(ISNUMBER(M66)*IF(ISNUMBER(L66),--(M66&lt;L66-0.5),1)+ISNUMBER(N66)*IF(ISNUMBER(M66),--(N66&lt;M66-0.5),1)+ISNUMBER(O66)*IF(ISNUMBER(N66),--(O66&lt;N66-0.5),1)+ISNUMBER(P66)*IF(ISNUMBER(O66),--(P66&lt;O66-0.5),1)+ISNUMBER(Q66)*IF(ISNUMBER(P66),--(Q66&lt;P66-0.5),1)+ISNUMBER(R66)*IF(ISNUMBER(Q66),--(R66&lt;Q66-0.5),1)+ISNUMBER(S66)*IF(ISNUMBER(R66),--(S66&lt;R66-0.5),1),1)</f>
        <v/>
      </c>
    </row>
    <row r="67">
      <c r="A67" s="23" t="n">
        <v>59</v>
      </c>
      <c r="B67" s="75" t="n">
        <v>1</v>
      </c>
      <c r="C67" s="157" t="n"/>
      <c r="D67" s="157" t="n"/>
      <c r="E67" s="157" t="n"/>
      <c r="F67" s="157" t="n"/>
      <c r="G67" s="157" t="n"/>
      <c r="H67" s="157" t="n"/>
      <c r="I67" s="157" t="n"/>
      <c r="J67" s="157" t="n"/>
      <c r="K67" s="157" t="n"/>
      <c r="L67" s="157" t="n"/>
      <c r="M67" s="157" t="n"/>
      <c r="N67" s="157" t="n"/>
      <c r="O67" s="157" t="n"/>
      <c r="P67" s="157" t="n"/>
      <c r="Q67" s="157" t="n"/>
      <c r="R67" s="157" t="n"/>
      <c r="S67" s="157" t="n"/>
      <c r="T67" s="157" t="n"/>
      <c r="U67" s="157" t="n"/>
      <c r="V67" s="157" t="n"/>
      <c r="W67" s="157" t="n"/>
      <c r="X67" s="157" t="n"/>
      <c r="Y67" s="157" t="n"/>
      <c r="Z67" s="157" t="n"/>
      <c r="AA67" s="157" t="n"/>
      <c r="AB67" s="157" t="n"/>
      <c r="AC67" s="157" t="n"/>
      <c r="AD67" s="157" t="n"/>
      <c r="AE67" s="157" t="n"/>
      <c r="AF67" s="157" t="n"/>
      <c r="AG67" s="157" t="n"/>
      <c r="AH67" s="157" t="n"/>
      <c r="AI67" s="157" t="n"/>
      <c r="AJ67" s="157" t="n"/>
      <c r="AK67" s="157" t="n"/>
      <c r="AL67" s="157" t="n"/>
      <c r="AM67" s="157" t="n"/>
      <c r="AN67" s="157" t="n"/>
      <c r="AO67" s="157" t="n"/>
      <c r="AP67" s="157" t="n"/>
      <c r="AQ67" s="157" t="n"/>
      <c r="AR67" s="157" t="n"/>
      <c r="AS67" s="157" t="n"/>
      <c r="AT67" s="157" t="n"/>
      <c r="AU67" s="157" t="n"/>
      <c r="AV67" s="157" t="n"/>
      <c r="AW67" s="157" t="n"/>
      <c r="AX67" s="157" t="n"/>
      <c r="AY67" s="157" t="n"/>
      <c r="AZ67" s="157" t="n"/>
      <c r="BA67" s="157" t="n"/>
      <c r="BB67" s="157" t="n"/>
      <c r="BC67" s="157" t="n"/>
      <c r="BD67" s="157" t="n"/>
      <c r="BE67" s="157" t="n"/>
      <c r="BF67" s="157" t="n"/>
      <c r="BG67" s="157" t="n"/>
      <c r="BH67" s="158" t="n"/>
      <c r="BI67" s="159" t="n"/>
      <c r="BJ67" s="23">
        <f>IFERROR(ISNUMBER(E67)*IF(ISNUMBER(D67),--(E67&lt;D67-0.5),1)+ISNUMBER(F67)*IF(ISNUMBER(E67),--(F67&lt;E67-0.5),1)+ISNUMBER(G67)*IF(ISNUMBER(F67),--(G67&lt;F67-0.5),1)+ISNUMBER(H67)*IF(ISNUMBER(G67),--(H67&lt;G67-0.5),1)+ISNUMBER(I67)*IF(ISNUMBER(H67),--(I67&lt;H67-0.5),1)+ISNUMBER(J67)*IF(ISNUMBER(I67),--(J67&lt;I67-0.5),1)+ISNUMBER(K67)*IF(ISNUMBER(J67),--(K67&lt;J67-0.5),1)+IF(AND(ISNUMBER(C67),C67&lt;0),1,0),1)</f>
        <v/>
      </c>
      <c r="BK67" s="23">
        <f>IFERROR(ISNUMBER(M67)*IF(ISNUMBER(L67),--(M67&lt;L67-0.5),1)+ISNUMBER(N67)*IF(ISNUMBER(M67),--(N67&lt;M67-0.5),1)+ISNUMBER(O67)*IF(ISNUMBER(N67),--(O67&lt;N67-0.5),1)+ISNUMBER(P67)*IF(ISNUMBER(O67),--(P67&lt;O67-0.5),1)+ISNUMBER(Q67)*IF(ISNUMBER(P67),--(Q67&lt;P67-0.5),1)+ISNUMBER(R67)*IF(ISNUMBER(Q67),--(R67&lt;Q67-0.5),1)+ISNUMBER(S67)*IF(ISNUMBER(R67),--(S67&lt;R67-0.5),1),1)</f>
        <v/>
      </c>
    </row>
    <row r="68">
      <c r="A68" s="23" t="n">
        <v>60</v>
      </c>
      <c r="B68" s="75" t="n">
        <v>1</v>
      </c>
      <c r="C68" s="157" t="n"/>
      <c r="D68" s="157" t="n"/>
      <c r="E68" s="157" t="n"/>
      <c r="F68" s="157" t="n"/>
      <c r="G68" s="157" t="n"/>
      <c r="H68" s="157" t="n"/>
      <c r="I68" s="157" t="n"/>
      <c r="J68" s="157" t="n"/>
      <c r="K68" s="157" t="n"/>
      <c r="L68" s="157" t="n"/>
      <c r="M68" s="157" t="n"/>
      <c r="N68" s="157" t="n"/>
      <c r="O68" s="157" t="n"/>
      <c r="P68" s="157" t="n"/>
      <c r="Q68" s="157" t="n"/>
      <c r="R68" s="157" t="n"/>
      <c r="S68" s="157" t="n"/>
      <c r="T68" s="157" t="n"/>
      <c r="U68" s="157" t="n"/>
      <c r="V68" s="157" t="n"/>
      <c r="W68" s="157" t="n"/>
      <c r="X68" s="157" t="n"/>
      <c r="Y68" s="157" t="n"/>
      <c r="Z68" s="157" t="n"/>
      <c r="AA68" s="157" t="n"/>
      <c r="AB68" s="157" t="n"/>
      <c r="AC68" s="157" t="n"/>
      <c r="AD68" s="157" t="n"/>
      <c r="AE68" s="157" t="n"/>
      <c r="AF68" s="157" t="n"/>
      <c r="AG68" s="157" t="n"/>
      <c r="AH68" s="157" t="n"/>
      <c r="AI68" s="157" t="n"/>
      <c r="AJ68" s="157" t="n"/>
      <c r="AK68" s="157" t="n"/>
      <c r="AL68" s="157" t="n"/>
      <c r="AM68" s="157" t="n"/>
      <c r="AN68" s="157" t="n"/>
      <c r="AO68" s="157" t="n"/>
      <c r="AP68" s="157" t="n"/>
      <c r="AQ68" s="157" t="n"/>
      <c r="AR68" s="157" t="n"/>
      <c r="AS68" s="157" t="n"/>
      <c r="AT68" s="157" t="n"/>
      <c r="AU68" s="157" t="n"/>
      <c r="AV68" s="157" t="n"/>
      <c r="AW68" s="157" t="n"/>
      <c r="AX68" s="157" t="n"/>
      <c r="AY68" s="157" t="n"/>
      <c r="AZ68" s="157" t="n"/>
      <c r="BA68" s="157" t="n"/>
      <c r="BB68" s="157" t="n"/>
      <c r="BC68" s="157" t="n"/>
      <c r="BD68" s="157" t="n"/>
      <c r="BE68" s="157" t="n"/>
      <c r="BF68" s="157" t="n"/>
      <c r="BG68" s="157" t="n"/>
      <c r="BH68" s="158" t="n"/>
      <c r="BI68" s="159" t="n"/>
      <c r="BJ68" s="23">
        <f>IFERROR(ISNUMBER(E68)*IF(ISNUMBER(D68),--(E68&lt;D68-0.5),1)+ISNUMBER(F68)*IF(ISNUMBER(E68),--(F68&lt;E68-0.5),1)+ISNUMBER(G68)*IF(ISNUMBER(F68),--(G68&lt;F68-0.5),1)+ISNUMBER(H68)*IF(ISNUMBER(G68),--(H68&lt;G68-0.5),1)+ISNUMBER(I68)*IF(ISNUMBER(H68),--(I68&lt;H68-0.5),1)+ISNUMBER(J68)*IF(ISNUMBER(I68),--(J68&lt;I68-0.5),1)+ISNUMBER(K68)*IF(ISNUMBER(J68),--(K68&lt;J68-0.5),1)+IF(AND(ISNUMBER(C68),C68&lt;0),1,0),1)</f>
        <v/>
      </c>
      <c r="BK68" s="23">
        <f>IFERROR(ISNUMBER(M68)*IF(ISNUMBER(L68),--(M68&lt;L68-0.5),1)+ISNUMBER(N68)*IF(ISNUMBER(M68),--(N68&lt;M68-0.5),1)+ISNUMBER(O68)*IF(ISNUMBER(N68),--(O68&lt;N68-0.5),1)+ISNUMBER(P68)*IF(ISNUMBER(O68),--(P68&lt;O68-0.5),1)+ISNUMBER(Q68)*IF(ISNUMBER(P68),--(Q68&lt;P68-0.5),1)+ISNUMBER(R68)*IF(ISNUMBER(Q68),--(R68&lt;Q68-0.5),1)+ISNUMBER(S68)*IF(ISNUMBER(R68),--(S68&lt;R68-0.5),1),1)</f>
        <v/>
      </c>
    </row>
    <row r="69"/>
    <row r="70"/>
    <row r="71">
      <c r="A71" s="111" t="inlineStr">
        <is>
          <t>Tier 2: SHS with TV</t>
        </is>
      </c>
    </row>
    <row r="72">
      <c r="D72" s="151" t="inlineStr">
        <is>
          <t>Cumulative collections</t>
        </is>
      </c>
      <c r="L72" s="151" t="inlineStr">
        <is>
          <t>Cumulative instalments due</t>
        </is>
      </c>
      <c r="T72" s="151" t="inlineStr">
        <is>
          <t>30+ DPD exposure (arrears incl. written off + outstanding)</t>
        </is>
      </c>
      <c r="AB72" s="151" t="inlineStr">
        <is>
          <t>90+ DPD exposure (arrears incl. written off + outstanding)</t>
        </is>
      </c>
      <c r="AJ72" s="151" t="inlineStr">
        <is>
          <t>180+ default exposure (cumulative)</t>
        </is>
      </c>
      <c r="AR72" s="151" t="inlineStr">
        <is>
          <t>Cumulative recoveries (net)</t>
        </is>
      </c>
      <c r="AZ72" s="151" t="inlineStr">
        <is>
          <t>Active accounts</t>
        </is>
      </c>
    </row>
    <row r="73">
      <c r="A73" s="40" t="inlineStr">
        <is>
          <t>Cohort #</t>
        </is>
      </c>
      <c r="B73" s="40" t="inlineStr">
        <is>
          <t>Mode</t>
        </is>
      </c>
      <c r="C73" s="40" t="inlineStr">
        <is>
          <t>Units originated</t>
        </is>
      </c>
      <c r="D73" s="40" t="inlineStr">
        <is>
          <t>M3</t>
        </is>
      </c>
      <c r="E73" s="40" t="inlineStr">
        <is>
          <t>M6</t>
        </is>
      </c>
      <c r="F73" s="40" t="inlineStr">
        <is>
          <t>M12</t>
        </is>
      </c>
      <c r="G73" s="40" t="inlineStr">
        <is>
          <t>M18</t>
        </is>
      </c>
      <c r="H73" s="40" t="inlineStr">
        <is>
          <t>M24</t>
        </is>
      </c>
      <c r="I73" s="40" t="inlineStr">
        <is>
          <t>M36</t>
        </is>
      </c>
      <c r="J73" s="40" t="inlineStr">
        <is>
          <t>M48</t>
        </is>
      </c>
      <c r="K73" s="40" t="inlineStr">
        <is>
          <t>M60</t>
        </is>
      </c>
      <c r="L73" s="40" t="inlineStr">
        <is>
          <t>M3</t>
        </is>
      </c>
      <c r="M73" s="40" t="inlineStr">
        <is>
          <t>M6</t>
        </is>
      </c>
      <c r="N73" s="40" t="inlineStr">
        <is>
          <t>M12</t>
        </is>
      </c>
      <c r="O73" s="40" t="inlineStr">
        <is>
          <t>M18</t>
        </is>
      </c>
      <c r="P73" s="40" t="inlineStr">
        <is>
          <t>M24</t>
        </is>
      </c>
      <c r="Q73" s="40" t="inlineStr">
        <is>
          <t>M36</t>
        </is>
      </c>
      <c r="R73" s="40" t="inlineStr">
        <is>
          <t>M48</t>
        </is>
      </c>
      <c r="S73" s="40" t="inlineStr">
        <is>
          <t>M60</t>
        </is>
      </c>
      <c r="T73" s="40" t="inlineStr">
        <is>
          <t>M3</t>
        </is>
      </c>
      <c r="U73" s="40" t="inlineStr">
        <is>
          <t>M6</t>
        </is>
      </c>
      <c r="V73" s="40" t="inlineStr">
        <is>
          <t>M12</t>
        </is>
      </c>
      <c r="W73" s="40" t="inlineStr">
        <is>
          <t>M18</t>
        </is>
      </c>
      <c r="X73" s="40" t="inlineStr">
        <is>
          <t>M24</t>
        </is>
      </c>
      <c r="Y73" s="40" t="inlineStr">
        <is>
          <t>M36</t>
        </is>
      </c>
      <c r="Z73" s="40" t="inlineStr">
        <is>
          <t>M48</t>
        </is>
      </c>
      <c r="AA73" s="40" t="inlineStr">
        <is>
          <t>M60</t>
        </is>
      </c>
      <c r="AB73" s="40" t="inlineStr">
        <is>
          <t>M3</t>
        </is>
      </c>
      <c r="AC73" s="40" t="inlineStr">
        <is>
          <t>M6</t>
        </is>
      </c>
      <c r="AD73" s="40" t="inlineStr">
        <is>
          <t>M12</t>
        </is>
      </c>
      <c r="AE73" s="40" t="inlineStr">
        <is>
          <t>M18</t>
        </is>
      </c>
      <c r="AF73" s="40" t="inlineStr">
        <is>
          <t>M24</t>
        </is>
      </c>
      <c r="AG73" s="40" t="inlineStr">
        <is>
          <t>M36</t>
        </is>
      </c>
      <c r="AH73" s="40" t="inlineStr">
        <is>
          <t>M48</t>
        </is>
      </c>
      <c r="AI73" s="40" t="inlineStr">
        <is>
          <t>M60</t>
        </is>
      </c>
      <c r="AJ73" s="40" t="inlineStr">
        <is>
          <t>M3</t>
        </is>
      </c>
      <c r="AK73" s="40" t="inlineStr">
        <is>
          <t>M6</t>
        </is>
      </c>
      <c r="AL73" s="40" t="inlineStr">
        <is>
          <t>M12</t>
        </is>
      </c>
      <c r="AM73" s="40" t="inlineStr">
        <is>
          <t>M18</t>
        </is>
      </c>
      <c r="AN73" s="40" t="inlineStr">
        <is>
          <t>M24</t>
        </is>
      </c>
      <c r="AO73" s="40" t="inlineStr">
        <is>
          <t>M36</t>
        </is>
      </c>
      <c r="AP73" s="40" t="inlineStr">
        <is>
          <t>M48</t>
        </is>
      </c>
      <c r="AQ73" s="40" t="inlineStr">
        <is>
          <t>M60</t>
        </is>
      </c>
      <c r="AR73" s="40" t="inlineStr">
        <is>
          <t>M3</t>
        </is>
      </c>
      <c r="AS73" s="40" t="inlineStr">
        <is>
          <t>M6</t>
        </is>
      </c>
      <c r="AT73" s="40" t="inlineStr">
        <is>
          <t>M12</t>
        </is>
      </c>
      <c r="AU73" s="40" t="inlineStr">
        <is>
          <t>M18</t>
        </is>
      </c>
      <c r="AV73" s="40" t="inlineStr">
        <is>
          <t>M24</t>
        </is>
      </c>
      <c r="AW73" s="40" t="inlineStr">
        <is>
          <t>M36</t>
        </is>
      </c>
      <c r="AX73" s="40" t="inlineStr">
        <is>
          <t>M48</t>
        </is>
      </c>
      <c r="AY73" s="40" t="inlineStr">
        <is>
          <t>M60</t>
        </is>
      </c>
      <c r="AZ73" s="40" t="inlineStr">
        <is>
          <t>M3</t>
        </is>
      </c>
      <c r="BA73" s="40" t="inlineStr">
        <is>
          <t>M6</t>
        </is>
      </c>
      <c r="BB73" s="40" t="inlineStr">
        <is>
          <t>M12</t>
        </is>
      </c>
      <c r="BC73" s="40" t="inlineStr">
        <is>
          <t>M18</t>
        </is>
      </c>
      <c r="BD73" s="40" t="inlineStr">
        <is>
          <t>M24</t>
        </is>
      </c>
      <c r="BE73" s="40" t="inlineStr">
        <is>
          <t>M36</t>
        </is>
      </c>
      <c r="BF73" s="40" t="inlineStr">
        <is>
          <t>M48</t>
        </is>
      </c>
      <c r="BG73" s="40" t="inlineStr">
        <is>
          <t>M60</t>
        </is>
      </c>
      <c r="BH73" s="40" t="inlineStr">
        <is>
          <t>Ownership at 2x (%)</t>
        </is>
      </c>
      <c r="BI73" s="40" t="inlineStr">
        <is>
          <t>Notes</t>
        </is>
      </c>
      <c r="BJ73" s="40" t="inlineStr">
        <is>
          <t>Check: collections, units (0 = OK)</t>
        </is>
      </c>
      <c r="BK73" s="40" t="inlineStr">
        <is>
          <t>Check: instalments due (0 = OK)</t>
        </is>
      </c>
    </row>
    <row r="74">
      <c r="A74" s="23" t="n">
        <v>1</v>
      </c>
      <c r="B74" s="75" t="n">
        <v>1</v>
      </c>
      <c r="C74" s="157" t="n"/>
      <c r="D74" s="157" t="n"/>
      <c r="E74" s="157" t="n"/>
      <c r="F74" s="157" t="n"/>
      <c r="G74" s="157" t="n"/>
      <c r="H74" s="157" t="n"/>
      <c r="I74" s="157" t="n"/>
      <c r="J74" s="157" t="n"/>
      <c r="K74" s="157" t="n"/>
      <c r="L74" s="157" t="n"/>
      <c r="M74" s="157" t="n"/>
      <c r="N74" s="157" t="n"/>
      <c r="O74" s="157" t="n"/>
      <c r="P74" s="157" t="n"/>
      <c r="Q74" s="157" t="n"/>
      <c r="R74" s="157" t="n"/>
      <c r="S74" s="157" t="n"/>
      <c r="T74" s="157" t="n"/>
      <c r="U74" s="157" t="n"/>
      <c r="V74" s="157" t="n"/>
      <c r="W74" s="157" t="n"/>
      <c r="X74" s="157" t="n"/>
      <c r="Y74" s="157" t="n"/>
      <c r="Z74" s="157" t="n"/>
      <c r="AA74" s="157" t="n"/>
      <c r="AB74" s="157" t="n"/>
      <c r="AC74" s="157" t="n"/>
      <c r="AD74" s="157" t="n"/>
      <c r="AE74" s="157" t="n"/>
      <c r="AF74" s="157" t="n"/>
      <c r="AG74" s="157" t="n"/>
      <c r="AH74" s="157" t="n"/>
      <c r="AI74" s="157" t="n"/>
      <c r="AJ74" s="157" t="n"/>
      <c r="AK74" s="157" t="n"/>
      <c r="AL74" s="157" t="n"/>
      <c r="AM74" s="157" t="n"/>
      <c r="AN74" s="157" t="n"/>
      <c r="AO74" s="157" t="n"/>
      <c r="AP74" s="157" t="n"/>
      <c r="AQ74" s="157" t="n"/>
      <c r="AR74" s="157" t="n"/>
      <c r="AS74" s="157" t="n"/>
      <c r="AT74" s="157" t="n"/>
      <c r="AU74" s="157" t="n"/>
      <c r="AV74" s="157" t="n"/>
      <c r="AW74" s="157" t="n"/>
      <c r="AX74" s="157" t="n"/>
      <c r="AY74" s="157" t="n"/>
      <c r="AZ74" s="157" t="n"/>
      <c r="BA74" s="157" t="n"/>
      <c r="BB74" s="157" t="n"/>
      <c r="BC74" s="157" t="n"/>
      <c r="BD74" s="157" t="n"/>
      <c r="BE74" s="157" t="n"/>
      <c r="BF74" s="157" t="n"/>
      <c r="BG74" s="157" t="n"/>
      <c r="BH74" s="158" t="n"/>
      <c r="BI74" s="159" t="n"/>
      <c r="BJ74" s="23">
        <f>IFERROR(ISNUMBER(E74)*IF(ISNUMBER(D74),--(E74&lt;D74-0.5),1)+ISNUMBER(F74)*IF(ISNUMBER(E74),--(F74&lt;E74-0.5),1)+ISNUMBER(G74)*IF(ISNUMBER(F74),--(G74&lt;F74-0.5),1)+ISNUMBER(H74)*IF(ISNUMBER(G74),--(H74&lt;G74-0.5),1)+ISNUMBER(I74)*IF(ISNUMBER(H74),--(I74&lt;H74-0.5),1)+ISNUMBER(J74)*IF(ISNUMBER(I74),--(J74&lt;I74-0.5),1)+ISNUMBER(K74)*IF(ISNUMBER(J74),--(K74&lt;J74-0.5),1)+IF(AND(ISNUMBER(C74),C74&lt;0),1,0),1)</f>
        <v/>
      </c>
      <c r="BK74" s="23">
        <f>IFERROR(ISNUMBER(M74)*IF(ISNUMBER(L74),--(M74&lt;L74-0.5),1)+ISNUMBER(N74)*IF(ISNUMBER(M74),--(N74&lt;M74-0.5),1)+ISNUMBER(O74)*IF(ISNUMBER(N74),--(O74&lt;N74-0.5),1)+ISNUMBER(P74)*IF(ISNUMBER(O74),--(P74&lt;O74-0.5),1)+ISNUMBER(Q74)*IF(ISNUMBER(P74),--(Q74&lt;P74-0.5),1)+ISNUMBER(R74)*IF(ISNUMBER(Q74),--(R74&lt;Q74-0.5),1)+ISNUMBER(S74)*IF(ISNUMBER(R74),--(S74&lt;R74-0.5),1),1)</f>
        <v/>
      </c>
    </row>
    <row r="75">
      <c r="A75" s="23" t="n">
        <v>2</v>
      </c>
      <c r="B75" s="75" t="n">
        <v>1</v>
      </c>
      <c r="C75" s="157" t="n"/>
      <c r="D75" s="157" t="n"/>
      <c r="E75" s="157" t="n"/>
      <c r="F75" s="157" t="n"/>
      <c r="G75" s="157" t="n"/>
      <c r="H75" s="157" t="n"/>
      <c r="I75" s="157" t="n"/>
      <c r="J75" s="157" t="n"/>
      <c r="K75" s="157" t="n"/>
      <c r="L75" s="157" t="n"/>
      <c r="M75" s="157" t="n"/>
      <c r="N75" s="157" t="n"/>
      <c r="O75" s="157" t="n"/>
      <c r="P75" s="157" t="n"/>
      <c r="Q75" s="157" t="n"/>
      <c r="R75" s="157" t="n"/>
      <c r="S75" s="157" t="n"/>
      <c r="T75" s="157" t="n"/>
      <c r="U75" s="157" t="n"/>
      <c r="V75" s="157" t="n"/>
      <c r="W75" s="157" t="n"/>
      <c r="X75" s="157" t="n"/>
      <c r="Y75" s="157" t="n"/>
      <c r="Z75" s="157" t="n"/>
      <c r="AA75" s="157" t="n"/>
      <c r="AB75" s="157" t="n"/>
      <c r="AC75" s="157" t="n"/>
      <c r="AD75" s="157" t="n"/>
      <c r="AE75" s="157" t="n"/>
      <c r="AF75" s="157" t="n"/>
      <c r="AG75" s="157" t="n"/>
      <c r="AH75" s="157" t="n"/>
      <c r="AI75" s="157" t="n"/>
      <c r="AJ75" s="157" t="n"/>
      <c r="AK75" s="157" t="n"/>
      <c r="AL75" s="157" t="n"/>
      <c r="AM75" s="157" t="n"/>
      <c r="AN75" s="157" t="n"/>
      <c r="AO75" s="157" t="n"/>
      <c r="AP75" s="157" t="n"/>
      <c r="AQ75" s="157" t="n"/>
      <c r="AR75" s="157" t="n"/>
      <c r="AS75" s="157" t="n"/>
      <c r="AT75" s="157" t="n"/>
      <c r="AU75" s="157" t="n"/>
      <c r="AV75" s="157" t="n"/>
      <c r="AW75" s="157" t="n"/>
      <c r="AX75" s="157" t="n"/>
      <c r="AY75" s="157" t="n"/>
      <c r="AZ75" s="157" t="n"/>
      <c r="BA75" s="157" t="n"/>
      <c r="BB75" s="157" t="n"/>
      <c r="BC75" s="157" t="n"/>
      <c r="BD75" s="157" t="n"/>
      <c r="BE75" s="157" t="n"/>
      <c r="BF75" s="157" t="n"/>
      <c r="BG75" s="157" t="n"/>
      <c r="BH75" s="158" t="n"/>
      <c r="BI75" s="159" t="n"/>
      <c r="BJ75" s="23">
        <f>IFERROR(ISNUMBER(E75)*IF(ISNUMBER(D75),--(E75&lt;D75-0.5),1)+ISNUMBER(F75)*IF(ISNUMBER(E75),--(F75&lt;E75-0.5),1)+ISNUMBER(G75)*IF(ISNUMBER(F75),--(G75&lt;F75-0.5),1)+ISNUMBER(H75)*IF(ISNUMBER(G75),--(H75&lt;G75-0.5),1)+ISNUMBER(I75)*IF(ISNUMBER(H75),--(I75&lt;H75-0.5),1)+ISNUMBER(J75)*IF(ISNUMBER(I75),--(J75&lt;I75-0.5),1)+ISNUMBER(K75)*IF(ISNUMBER(J75),--(K75&lt;J75-0.5),1)+IF(AND(ISNUMBER(C75),C75&lt;0),1,0),1)</f>
        <v/>
      </c>
      <c r="BK75" s="23">
        <f>IFERROR(ISNUMBER(M75)*IF(ISNUMBER(L75),--(M75&lt;L75-0.5),1)+ISNUMBER(N75)*IF(ISNUMBER(M75),--(N75&lt;M75-0.5),1)+ISNUMBER(O75)*IF(ISNUMBER(N75),--(O75&lt;N75-0.5),1)+ISNUMBER(P75)*IF(ISNUMBER(O75),--(P75&lt;O75-0.5),1)+ISNUMBER(Q75)*IF(ISNUMBER(P75),--(Q75&lt;P75-0.5),1)+ISNUMBER(R75)*IF(ISNUMBER(Q75),--(R75&lt;Q75-0.5),1)+ISNUMBER(S75)*IF(ISNUMBER(R75),--(S75&lt;R75-0.5),1),1)</f>
        <v/>
      </c>
    </row>
    <row r="76">
      <c r="A76" s="23" t="n">
        <v>3</v>
      </c>
      <c r="B76" s="75" t="n">
        <v>1</v>
      </c>
      <c r="C76" s="157" t="n"/>
      <c r="D76" s="157" t="n"/>
      <c r="E76" s="157" t="n"/>
      <c r="F76" s="157" t="n"/>
      <c r="G76" s="157" t="n"/>
      <c r="H76" s="157" t="n"/>
      <c r="I76" s="157" t="n"/>
      <c r="J76" s="157" t="n"/>
      <c r="K76" s="157" t="n"/>
      <c r="L76" s="157" t="n"/>
      <c r="M76" s="157" t="n"/>
      <c r="N76" s="157" t="n"/>
      <c r="O76" s="157" t="n"/>
      <c r="P76" s="157" t="n"/>
      <c r="Q76" s="157" t="n"/>
      <c r="R76" s="157" t="n"/>
      <c r="S76" s="157" t="n"/>
      <c r="T76" s="157" t="n"/>
      <c r="U76" s="157" t="n"/>
      <c r="V76" s="157" t="n"/>
      <c r="W76" s="157" t="n"/>
      <c r="X76" s="157" t="n"/>
      <c r="Y76" s="157" t="n"/>
      <c r="Z76" s="157" t="n"/>
      <c r="AA76" s="157" t="n"/>
      <c r="AB76" s="157" t="n"/>
      <c r="AC76" s="157" t="n"/>
      <c r="AD76" s="157" t="n"/>
      <c r="AE76" s="157" t="n"/>
      <c r="AF76" s="157" t="n"/>
      <c r="AG76" s="157" t="n"/>
      <c r="AH76" s="157" t="n"/>
      <c r="AI76" s="157" t="n"/>
      <c r="AJ76" s="157" t="n"/>
      <c r="AK76" s="157" t="n"/>
      <c r="AL76" s="157" t="n"/>
      <c r="AM76" s="157" t="n"/>
      <c r="AN76" s="157" t="n"/>
      <c r="AO76" s="157" t="n"/>
      <c r="AP76" s="157" t="n"/>
      <c r="AQ76" s="157" t="n"/>
      <c r="AR76" s="157" t="n"/>
      <c r="AS76" s="157" t="n"/>
      <c r="AT76" s="157" t="n"/>
      <c r="AU76" s="157" t="n"/>
      <c r="AV76" s="157" t="n"/>
      <c r="AW76" s="157" t="n"/>
      <c r="AX76" s="157" t="n"/>
      <c r="AY76" s="157" t="n"/>
      <c r="AZ76" s="157" t="n"/>
      <c r="BA76" s="157" t="n"/>
      <c r="BB76" s="157" t="n"/>
      <c r="BC76" s="157" t="n"/>
      <c r="BD76" s="157" t="n"/>
      <c r="BE76" s="157" t="n"/>
      <c r="BF76" s="157" t="n"/>
      <c r="BG76" s="157" t="n"/>
      <c r="BH76" s="158" t="n"/>
      <c r="BI76" s="159" t="n"/>
      <c r="BJ76" s="23">
        <f>IFERROR(ISNUMBER(E76)*IF(ISNUMBER(D76),--(E76&lt;D76-0.5),1)+ISNUMBER(F76)*IF(ISNUMBER(E76),--(F76&lt;E76-0.5),1)+ISNUMBER(G76)*IF(ISNUMBER(F76),--(G76&lt;F76-0.5),1)+ISNUMBER(H76)*IF(ISNUMBER(G76),--(H76&lt;G76-0.5),1)+ISNUMBER(I76)*IF(ISNUMBER(H76),--(I76&lt;H76-0.5),1)+ISNUMBER(J76)*IF(ISNUMBER(I76),--(J76&lt;I76-0.5),1)+ISNUMBER(K76)*IF(ISNUMBER(J76),--(K76&lt;J76-0.5),1)+IF(AND(ISNUMBER(C76),C76&lt;0),1,0),1)</f>
        <v/>
      </c>
      <c r="BK76" s="23">
        <f>IFERROR(ISNUMBER(M76)*IF(ISNUMBER(L76),--(M76&lt;L76-0.5),1)+ISNUMBER(N76)*IF(ISNUMBER(M76),--(N76&lt;M76-0.5),1)+ISNUMBER(O76)*IF(ISNUMBER(N76),--(O76&lt;N76-0.5),1)+ISNUMBER(P76)*IF(ISNUMBER(O76),--(P76&lt;O76-0.5),1)+ISNUMBER(Q76)*IF(ISNUMBER(P76),--(Q76&lt;P76-0.5),1)+ISNUMBER(R76)*IF(ISNUMBER(Q76),--(R76&lt;Q76-0.5),1)+ISNUMBER(S76)*IF(ISNUMBER(R76),--(S76&lt;R76-0.5),1),1)</f>
        <v/>
      </c>
    </row>
    <row r="77">
      <c r="A77" s="23" t="n">
        <v>4</v>
      </c>
      <c r="B77" s="75" t="n">
        <v>1</v>
      </c>
      <c r="C77" s="157" t="n"/>
      <c r="D77" s="157" t="n"/>
      <c r="E77" s="157" t="n"/>
      <c r="F77" s="157" t="n"/>
      <c r="G77" s="157" t="n"/>
      <c r="H77" s="157" t="n"/>
      <c r="I77" s="157" t="n"/>
      <c r="J77" s="157" t="n"/>
      <c r="K77" s="157" t="n"/>
      <c r="L77" s="157" t="n"/>
      <c r="M77" s="157" t="n"/>
      <c r="N77" s="157" t="n"/>
      <c r="O77" s="157" t="n"/>
      <c r="P77" s="157" t="n"/>
      <c r="Q77" s="157" t="n"/>
      <c r="R77" s="157" t="n"/>
      <c r="S77" s="157" t="n"/>
      <c r="T77" s="157" t="n"/>
      <c r="U77" s="157" t="n"/>
      <c r="V77" s="157" t="n"/>
      <c r="W77" s="157" t="n"/>
      <c r="X77" s="157" t="n"/>
      <c r="Y77" s="157" t="n"/>
      <c r="Z77" s="157" t="n"/>
      <c r="AA77" s="157" t="n"/>
      <c r="AB77" s="157" t="n"/>
      <c r="AC77" s="157" t="n"/>
      <c r="AD77" s="157" t="n"/>
      <c r="AE77" s="157" t="n"/>
      <c r="AF77" s="157" t="n"/>
      <c r="AG77" s="157" t="n"/>
      <c r="AH77" s="157" t="n"/>
      <c r="AI77" s="157" t="n"/>
      <c r="AJ77" s="157" t="n"/>
      <c r="AK77" s="157" t="n"/>
      <c r="AL77" s="157" t="n"/>
      <c r="AM77" s="157" t="n"/>
      <c r="AN77" s="157" t="n"/>
      <c r="AO77" s="157" t="n"/>
      <c r="AP77" s="157" t="n"/>
      <c r="AQ77" s="157" t="n"/>
      <c r="AR77" s="157" t="n"/>
      <c r="AS77" s="157" t="n"/>
      <c r="AT77" s="157" t="n"/>
      <c r="AU77" s="157" t="n"/>
      <c r="AV77" s="157" t="n"/>
      <c r="AW77" s="157" t="n"/>
      <c r="AX77" s="157" t="n"/>
      <c r="AY77" s="157" t="n"/>
      <c r="AZ77" s="157" t="n"/>
      <c r="BA77" s="157" t="n"/>
      <c r="BB77" s="157" t="n"/>
      <c r="BC77" s="157" t="n"/>
      <c r="BD77" s="157" t="n"/>
      <c r="BE77" s="157" t="n"/>
      <c r="BF77" s="157" t="n"/>
      <c r="BG77" s="157" t="n"/>
      <c r="BH77" s="158" t="n"/>
      <c r="BI77" s="159" t="n"/>
      <c r="BJ77" s="23">
        <f>IFERROR(ISNUMBER(E77)*IF(ISNUMBER(D77),--(E77&lt;D77-0.5),1)+ISNUMBER(F77)*IF(ISNUMBER(E77),--(F77&lt;E77-0.5),1)+ISNUMBER(G77)*IF(ISNUMBER(F77),--(G77&lt;F77-0.5),1)+ISNUMBER(H77)*IF(ISNUMBER(G77),--(H77&lt;G77-0.5),1)+ISNUMBER(I77)*IF(ISNUMBER(H77),--(I77&lt;H77-0.5),1)+ISNUMBER(J77)*IF(ISNUMBER(I77),--(J77&lt;I77-0.5),1)+ISNUMBER(K77)*IF(ISNUMBER(J77),--(K77&lt;J77-0.5),1)+IF(AND(ISNUMBER(C77),C77&lt;0),1,0),1)</f>
        <v/>
      </c>
      <c r="BK77" s="23">
        <f>IFERROR(ISNUMBER(M77)*IF(ISNUMBER(L77),--(M77&lt;L77-0.5),1)+ISNUMBER(N77)*IF(ISNUMBER(M77),--(N77&lt;M77-0.5),1)+ISNUMBER(O77)*IF(ISNUMBER(N77),--(O77&lt;N77-0.5),1)+ISNUMBER(P77)*IF(ISNUMBER(O77),--(P77&lt;O77-0.5),1)+ISNUMBER(Q77)*IF(ISNUMBER(P77),--(Q77&lt;P77-0.5),1)+ISNUMBER(R77)*IF(ISNUMBER(Q77),--(R77&lt;Q77-0.5),1)+ISNUMBER(S77)*IF(ISNUMBER(R77),--(S77&lt;R77-0.5),1),1)</f>
        <v/>
      </c>
    </row>
    <row r="78">
      <c r="A78" s="23" t="n">
        <v>5</v>
      </c>
      <c r="B78" s="75" t="n">
        <v>1</v>
      </c>
      <c r="C78" s="157" t="n"/>
      <c r="D78" s="157" t="n"/>
      <c r="E78" s="157" t="n"/>
      <c r="F78" s="157" t="n"/>
      <c r="G78" s="157" t="n"/>
      <c r="H78" s="157" t="n"/>
      <c r="I78" s="157" t="n"/>
      <c r="J78" s="157" t="n"/>
      <c r="K78" s="157" t="n"/>
      <c r="L78" s="157" t="n"/>
      <c r="M78" s="157" t="n"/>
      <c r="N78" s="157" t="n"/>
      <c r="O78" s="157" t="n"/>
      <c r="P78" s="157" t="n"/>
      <c r="Q78" s="157" t="n"/>
      <c r="R78" s="157" t="n"/>
      <c r="S78" s="157" t="n"/>
      <c r="T78" s="157" t="n"/>
      <c r="U78" s="157" t="n"/>
      <c r="V78" s="157" t="n"/>
      <c r="W78" s="157" t="n"/>
      <c r="X78" s="157" t="n"/>
      <c r="Y78" s="157" t="n"/>
      <c r="Z78" s="157" t="n"/>
      <c r="AA78" s="157" t="n"/>
      <c r="AB78" s="157" t="n"/>
      <c r="AC78" s="157" t="n"/>
      <c r="AD78" s="157" t="n"/>
      <c r="AE78" s="157" t="n"/>
      <c r="AF78" s="157" t="n"/>
      <c r="AG78" s="157" t="n"/>
      <c r="AH78" s="157" t="n"/>
      <c r="AI78" s="157" t="n"/>
      <c r="AJ78" s="157" t="n"/>
      <c r="AK78" s="157" t="n"/>
      <c r="AL78" s="157" t="n"/>
      <c r="AM78" s="157" t="n"/>
      <c r="AN78" s="157" t="n"/>
      <c r="AO78" s="157" t="n"/>
      <c r="AP78" s="157" t="n"/>
      <c r="AQ78" s="157" t="n"/>
      <c r="AR78" s="157" t="n"/>
      <c r="AS78" s="157" t="n"/>
      <c r="AT78" s="157" t="n"/>
      <c r="AU78" s="157" t="n"/>
      <c r="AV78" s="157" t="n"/>
      <c r="AW78" s="157" t="n"/>
      <c r="AX78" s="157" t="n"/>
      <c r="AY78" s="157" t="n"/>
      <c r="AZ78" s="157" t="n"/>
      <c r="BA78" s="157" t="n"/>
      <c r="BB78" s="157" t="n"/>
      <c r="BC78" s="157" t="n"/>
      <c r="BD78" s="157" t="n"/>
      <c r="BE78" s="157" t="n"/>
      <c r="BF78" s="157" t="n"/>
      <c r="BG78" s="157" t="n"/>
      <c r="BH78" s="158" t="n"/>
      <c r="BI78" s="159" t="n"/>
      <c r="BJ78" s="23">
        <f>IFERROR(ISNUMBER(E78)*IF(ISNUMBER(D78),--(E78&lt;D78-0.5),1)+ISNUMBER(F78)*IF(ISNUMBER(E78),--(F78&lt;E78-0.5),1)+ISNUMBER(G78)*IF(ISNUMBER(F78),--(G78&lt;F78-0.5),1)+ISNUMBER(H78)*IF(ISNUMBER(G78),--(H78&lt;G78-0.5),1)+ISNUMBER(I78)*IF(ISNUMBER(H78),--(I78&lt;H78-0.5),1)+ISNUMBER(J78)*IF(ISNUMBER(I78),--(J78&lt;I78-0.5),1)+ISNUMBER(K78)*IF(ISNUMBER(J78),--(K78&lt;J78-0.5),1)+IF(AND(ISNUMBER(C78),C78&lt;0),1,0),1)</f>
        <v/>
      </c>
      <c r="BK78" s="23">
        <f>IFERROR(ISNUMBER(M78)*IF(ISNUMBER(L78),--(M78&lt;L78-0.5),1)+ISNUMBER(N78)*IF(ISNUMBER(M78),--(N78&lt;M78-0.5),1)+ISNUMBER(O78)*IF(ISNUMBER(N78),--(O78&lt;N78-0.5),1)+ISNUMBER(P78)*IF(ISNUMBER(O78),--(P78&lt;O78-0.5),1)+ISNUMBER(Q78)*IF(ISNUMBER(P78),--(Q78&lt;P78-0.5),1)+ISNUMBER(R78)*IF(ISNUMBER(Q78),--(R78&lt;Q78-0.5),1)+ISNUMBER(S78)*IF(ISNUMBER(R78),--(S78&lt;R78-0.5),1),1)</f>
        <v/>
      </c>
    </row>
    <row r="79">
      <c r="A79" s="23" t="n">
        <v>6</v>
      </c>
      <c r="B79" s="75" t="n">
        <v>1</v>
      </c>
      <c r="C79" s="157" t="n"/>
      <c r="D79" s="157" t="n"/>
      <c r="E79" s="157" t="n"/>
      <c r="F79" s="157" t="n"/>
      <c r="G79" s="157" t="n"/>
      <c r="H79" s="157" t="n"/>
      <c r="I79" s="157" t="n"/>
      <c r="J79" s="157" t="n"/>
      <c r="K79" s="157" t="n"/>
      <c r="L79" s="157" t="n"/>
      <c r="M79" s="157" t="n"/>
      <c r="N79" s="157" t="n"/>
      <c r="O79" s="157" t="n"/>
      <c r="P79" s="157" t="n"/>
      <c r="Q79" s="157" t="n"/>
      <c r="R79" s="157" t="n"/>
      <c r="S79" s="157" t="n"/>
      <c r="T79" s="157" t="n"/>
      <c r="U79" s="157" t="n"/>
      <c r="V79" s="157" t="n"/>
      <c r="W79" s="157" t="n"/>
      <c r="X79" s="157" t="n"/>
      <c r="Y79" s="157" t="n"/>
      <c r="Z79" s="157" t="n"/>
      <c r="AA79" s="157" t="n"/>
      <c r="AB79" s="157" t="n"/>
      <c r="AC79" s="157" t="n"/>
      <c r="AD79" s="157" t="n"/>
      <c r="AE79" s="157" t="n"/>
      <c r="AF79" s="157" t="n"/>
      <c r="AG79" s="157" t="n"/>
      <c r="AH79" s="157" t="n"/>
      <c r="AI79" s="157" t="n"/>
      <c r="AJ79" s="157" t="n"/>
      <c r="AK79" s="157" t="n"/>
      <c r="AL79" s="157" t="n"/>
      <c r="AM79" s="157" t="n"/>
      <c r="AN79" s="157" t="n"/>
      <c r="AO79" s="157" t="n"/>
      <c r="AP79" s="157" t="n"/>
      <c r="AQ79" s="157" t="n"/>
      <c r="AR79" s="157" t="n"/>
      <c r="AS79" s="157" t="n"/>
      <c r="AT79" s="157" t="n"/>
      <c r="AU79" s="157" t="n"/>
      <c r="AV79" s="157" t="n"/>
      <c r="AW79" s="157" t="n"/>
      <c r="AX79" s="157" t="n"/>
      <c r="AY79" s="157" t="n"/>
      <c r="AZ79" s="157" t="n"/>
      <c r="BA79" s="157" t="n"/>
      <c r="BB79" s="157" t="n"/>
      <c r="BC79" s="157" t="n"/>
      <c r="BD79" s="157" t="n"/>
      <c r="BE79" s="157" t="n"/>
      <c r="BF79" s="157" t="n"/>
      <c r="BG79" s="157" t="n"/>
      <c r="BH79" s="158" t="n"/>
      <c r="BI79" s="159" t="n"/>
      <c r="BJ79" s="23">
        <f>IFERROR(ISNUMBER(E79)*IF(ISNUMBER(D79),--(E79&lt;D79-0.5),1)+ISNUMBER(F79)*IF(ISNUMBER(E79),--(F79&lt;E79-0.5),1)+ISNUMBER(G79)*IF(ISNUMBER(F79),--(G79&lt;F79-0.5),1)+ISNUMBER(H79)*IF(ISNUMBER(G79),--(H79&lt;G79-0.5),1)+ISNUMBER(I79)*IF(ISNUMBER(H79),--(I79&lt;H79-0.5),1)+ISNUMBER(J79)*IF(ISNUMBER(I79),--(J79&lt;I79-0.5),1)+ISNUMBER(K79)*IF(ISNUMBER(J79),--(K79&lt;J79-0.5),1)+IF(AND(ISNUMBER(C79),C79&lt;0),1,0),1)</f>
        <v/>
      </c>
      <c r="BK79" s="23">
        <f>IFERROR(ISNUMBER(M79)*IF(ISNUMBER(L79),--(M79&lt;L79-0.5),1)+ISNUMBER(N79)*IF(ISNUMBER(M79),--(N79&lt;M79-0.5),1)+ISNUMBER(O79)*IF(ISNUMBER(N79),--(O79&lt;N79-0.5),1)+ISNUMBER(P79)*IF(ISNUMBER(O79),--(P79&lt;O79-0.5),1)+ISNUMBER(Q79)*IF(ISNUMBER(P79),--(Q79&lt;P79-0.5),1)+ISNUMBER(R79)*IF(ISNUMBER(Q79),--(R79&lt;Q79-0.5),1)+ISNUMBER(S79)*IF(ISNUMBER(R79),--(S79&lt;R79-0.5),1),1)</f>
        <v/>
      </c>
    </row>
    <row r="80">
      <c r="A80" s="23" t="n">
        <v>7</v>
      </c>
      <c r="B80" s="75" t="n">
        <v>1</v>
      </c>
      <c r="C80" s="157" t="n"/>
      <c r="D80" s="157" t="n"/>
      <c r="E80" s="157" t="n"/>
      <c r="F80" s="157" t="n"/>
      <c r="G80" s="157" t="n"/>
      <c r="H80" s="157" t="n"/>
      <c r="I80" s="157" t="n"/>
      <c r="J80" s="157" t="n"/>
      <c r="K80" s="157" t="n"/>
      <c r="L80" s="157" t="n"/>
      <c r="M80" s="157" t="n"/>
      <c r="N80" s="157" t="n"/>
      <c r="O80" s="157" t="n"/>
      <c r="P80" s="157" t="n"/>
      <c r="Q80" s="157" t="n"/>
      <c r="R80" s="157" t="n"/>
      <c r="S80" s="157" t="n"/>
      <c r="T80" s="157" t="n"/>
      <c r="U80" s="157" t="n"/>
      <c r="V80" s="157" t="n"/>
      <c r="W80" s="157" t="n"/>
      <c r="X80" s="157" t="n"/>
      <c r="Y80" s="157" t="n"/>
      <c r="Z80" s="157" t="n"/>
      <c r="AA80" s="157" t="n"/>
      <c r="AB80" s="157" t="n"/>
      <c r="AC80" s="157" t="n"/>
      <c r="AD80" s="157" t="n"/>
      <c r="AE80" s="157" t="n"/>
      <c r="AF80" s="157" t="n"/>
      <c r="AG80" s="157" t="n"/>
      <c r="AH80" s="157" t="n"/>
      <c r="AI80" s="157" t="n"/>
      <c r="AJ80" s="157" t="n"/>
      <c r="AK80" s="157" t="n"/>
      <c r="AL80" s="157" t="n"/>
      <c r="AM80" s="157" t="n"/>
      <c r="AN80" s="157" t="n"/>
      <c r="AO80" s="157" t="n"/>
      <c r="AP80" s="157" t="n"/>
      <c r="AQ80" s="157" t="n"/>
      <c r="AR80" s="157" t="n"/>
      <c r="AS80" s="157" t="n"/>
      <c r="AT80" s="157" t="n"/>
      <c r="AU80" s="157" t="n"/>
      <c r="AV80" s="157" t="n"/>
      <c r="AW80" s="157" t="n"/>
      <c r="AX80" s="157" t="n"/>
      <c r="AY80" s="157" t="n"/>
      <c r="AZ80" s="157" t="n"/>
      <c r="BA80" s="157" t="n"/>
      <c r="BB80" s="157" t="n"/>
      <c r="BC80" s="157" t="n"/>
      <c r="BD80" s="157" t="n"/>
      <c r="BE80" s="157" t="n"/>
      <c r="BF80" s="157" t="n"/>
      <c r="BG80" s="157" t="n"/>
      <c r="BH80" s="158" t="n"/>
      <c r="BI80" s="159" t="n"/>
      <c r="BJ80" s="23">
        <f>IFERROR(ISNUMBER(E80)*IF(ISNUMBER(D80),--(E80&lt;D80-0.5),1)+ISNUMBER(F80)*IF(ISNUMBER(E80),--(F80&lt;E80-0.5),1)+ISNUMBER(G80)*IF(ISNUMBER(F80),--(G80&lt;F80-0.5),1)+ISNUMBER(H80)*IF(ISNUMBER(G80),--(H80&lt;G80-0.5),1)+ISNUMBER(I80)*IF(ISNUMBER(H80),--(I80&lt;H80-0.5),1)+ISNUMBER(J80)*IF(ISNUMBER(I80),--(J80&lt;I80-0.5),1)+ISNUMBER(K80)*IF(ISNUMBER(J80),--(K80&lt;J80-0.5),1)+IF(AND(ISNUMBER(C80),C80&lt;0),1,0),1)</f>
        <v/>
      </c>
      <c r="BK80" s="23">
        <f>IFERROR(ISNUMBER(M80)*IF(ISNUMBER(L80),--(M80&lt;L80-0.5),1)+ISNUMBER(N80)*IF(ISNUMBER(M80),--(N80&lt;M80-0.5),1)+ISNUMBER(O80)*IF(ISNUMBER(N80),--(O80&lt;N80-0.5),1)+ISNUMBER(P80)*IF(ISNUMBER(O80),--(P80&lt;O80-0.5),1)+ISNUMBER(Q80)*IF(ISNUMBER(P80),--(Q80&lt;P80-0.5),1)+ISNUMBER(R80)*IF(ISNUMBER(Q80),--(R80&lt;Q80-0.5),1)+ISNUMBER(S80)*IF(ISNUMBER(R80),--(S80&lt;R80-0.5),1),1)</f>
        <v/>
      </c>
    </row>
    <row r="81">
      <c r="A81" s="23" t="n">
        <v>8</v>
      </c>
      <c r="B81" s="75" t="n">
        <v>1</v>
      </c>
      <c r="C81" s="157" t="n"/>
      <c r="D81" s="157" t="n"/>
      <c r="E81" s="157" t="n"/>
      <c r="F81" s="157" t="n"/>
      <c r="G81" s="157" t="n"/>
      <c r="H81" s="157" t="n"/>
      <c r="I81" s="157" t="n"/>
      <c r="J81" s="157" t="n"/>
      <c r="K81" s="157" t="n"/>
      <c r="L81" s="157" t="n"/>
      <c r="M81" s="157" t="n"/>
      <c r="N81" s="157" t="n"/>
      <c r="O81" s="157" t="n"/>
      <c r="P81" s="157" t="n"/>
      <c r="Q81" s="157" t="n"/>
      <c r="R81" s="157" t="n"/>
      <c r="S81" s="157" t="n"/>
      <c r="T81" s="157" t="n"/>
      <c r="U81" s="157" t="n"/>
      <c r="V81" s="157" t="n"/>
      <c r="W81" s="157" t="n"/>
      <c r="X81" s="157" t="n"/>
      <c r="Y81" s="157" t="n"/>
      <c r="Z81" s="157" t="n"/>
      <c r="AA81" s="157" t="n"/>
      <c r="AB81" s="157" t="n"/>
      <c r="AC81" s="157" t="n"/>
      <c r="AD81" s="157" t="n"/>
      <c r="AE81" s="157" t="n"/>
      <c r="AF81" s="157" t="n"/>
      <c r="AG81" s="157" t="n"/>
      <c r="AH81" s="157" t="n"/>
      <c r="AI81" s="157" t="n"/>
      <c r="AJ81" s="157" t="n"/>
      <c r="AK81" s="157" t="n"/>
      <c r="AL81" s="157" t="n"/>
      <c r="AM81" s="157" t="n"/>
      <c r="AN81" s="157" t="n"/>
      <c r="AO81" s="157" t="n"/>
      <c r="AP81" s="157" t="n"/>
      <c r="AQ81" s="157" t="n"/>
      <c r="AR81" s="157" t="n"/>
      <c r="AS81" s="157" t="n"/>
      <c r="AT81" s="157" t="n"/>
      <c r="AU81" s="157" t="n"/>
      <c r="AV81" s="157" t="n"/>
      <c r="AW81" s="157" t="n"/>
      <c r="AX81" s="157" t="n"/>
      <c r="AY81" s="157" t="n"/>
      <c r="AZ81" s="157" t="n"/>
      <c r="BA81" s="157" t="n"/>
      <c r="BB81" s="157" t="n"/>
      <c r="BC81" s="157" t="n"/>
      <c r="BD81" s="157" t="n"/>
      <c r="BE81" s="157" t="n"/>
      <c r="BF81" s="157" t="n"/>
      <c r="BG81" s="157" t="n"/>
      <c r="BH81" s="158" t="n"/>
      <c r="BI81" s="159" t="n"/>
      <c r="BJ81" s="23">
        <f>IFERROR(ISNUMBER(E81)*IF(ISNUMBER(D81),--(E81&lt;D81-0.5),1)+ISNUMBER(F81)*IF(ISNUMBER(E81),--(F81&lt;E81-0.5),1)+ISNUMBER(G81)*IF(ISNUMBER(F81),--(G81&lt;F81-0.5),1)+ISNUMBER(H81)*IF(ISNUMBER(G81),--(H81&lt;G81-0.5),1)+ISNUMBER(I81)*IF(ISNUMBER(H81),--(I81&lt;H81-0.5),1)+ISNUMBER(J81)*IF(ISNUMBER(I81),--(J81&lt;I81-0.5),1)+ISNUMBER(K81)*IF(ISNUMBER(J81),--(K81&lt;J81-0.5),1)+IF(AND(ISNUMBER(C81),C81&lt;0),1,0),1)</f>
        <v/>
      </c>
      <c r="BK81" s="23">
        <f>IFERROR(ISNUMBER(M81)*IF(ISNUMBER(L81),--(M81&lt;L81-0.5),1)+ISNUMBER(N81)*IF(ISNUMBER(M81),--(N81&lt;M81-0.5),1)+ISNUMBER(O81)*IF(ISNUMBER(N81),--(O81&lt;N81-0.5),1)+ISNUMBER(P81)*IF(ISNUMBER(O81),--(P81&lt;O81-0.5),1)+ISNUMBER(Q81)*IF(ISNUMBER(P81),--(Q81&lt;P81-0.5),1)+ISNUMBER(R81)*IF(ISNUMBER(Q81),--(R81&lt;Q81-0.5),1)+ISNUMBER(S81)*IF(ISNUMBER(R81),--(S81&lt;R81-0.5),1),1)</f>
        <v/>
      </c>
    </row>
    <row r="82">
      <c r="A82" s="23" t="n">
        <v>9</v>
      </c>
      <c r="B82" s="75" t="n">
        <v>1</v>
      </c>
      <c r="C82" s="157" t="n"/>
      <c r="D82" s="157" t="n"/>
      <c r="E82" s="157" t="n"/>
      <c r="F82" s="157" t="n"/>
      <c r="G82" s="157" t="n"/>
      <c r="H82" s="157" t="n"/>
      <c r="I82" s="157" t="n"/>
      <c r="J82" s="157" t="n"/>
      <c r="K82" s="157" t="n"/>
      <c r="L82" s="157" t="n"/>
      <c r="M82" s="157" t="n"/>
      <c r="N82" s="157" t="n"/>
      <c r="O82" s="157" t="n"/>
      <c r="P82" s="157" t="n"/>
      <c r="Q82" s="157" t="n"/>
      <c r="R82" s="157" t="n"/>
      <c r="S82" s="157" t="n"/>
      <c r="T82" s="157" t="n"/>
      <c r="U82" s="157" t="n"/>
      <c r="V82" s="157" t="n"/>
      <c r="W82" s="157" t="n"/>
      <c r="X82" s="157" t="n"/>
      <c r="Y82" s="157" t="n"/>
      <c r="Z82" s="157" t="n"/>
      <c r="AA82" s="157" t="n"/>
      <c r="AB82" s="157" t="n"/>
      <c r="AC82" s="157" t="n"/>
      <c r="AD82" s="157" t="n"/>
      <c r="AE82" s="157" t="n"/>
      <c r="AF82" s="157" t="n"/>
      <c r="AG82" s="157" t="n"/>
      <c r="AH82" s="157" t="n"/>
      <c r="AI82" s="157" t="n"/>
      <c r="AJ82" s="157" t="n"/>
      <c r="AK82" s="157" t="n"/>
      <c r="AL82" s="157" t="n"/>
      <c r="AM82" s="157" t="n"/>
      <c r="AN82" s="157" t="n"/>
      <c r="AO82" s="157" t="n"/>
      <c r="AP82" s="157" t="n"/>
      <c r="AQ82" s="157" t="n"/>
      <c r="AR82" s="157" t="n"/>
      <c r="AS82" s="157" t="n"/>
      <c r="AT82" s="157" t="n"/>
      <c r="AU82" s="157" t="n"/>
      <c r="AV82" s="157" t="n"/>
      <c r="AW82" s="157" t="n"/>
      <c r="AX82" s="157" t="n"/>
      <c r="AY82" s="157" t="n"/>
      <c r="AZ82" s="157" t="n"/>
      <c r="BA82" s="157" t="n"/>
      <c r="BB82" s="157" t="n"/>
      <c r="BC82" s="157" t="n"/>
      <c r="BD82" s="157" t="n"/>
      <c r="BE82" s="157" t="n"/>
      <c r="BF82" s="157" t="n"/>
      <c r="BG82" s="157" t="n"/>
      <c r="BH82" s="158" t="n"/>
      <c r="BI82" s="159" t="n"/>
      <c r="BJ82" s="23">
        <f>IFERROR(ISNUMBER(E82)*IF(ISNUMBER(D82),--(E82&lt;D82-0.5),1)+ISNUMBER(F82)*IF(ISNUMBER(E82),--(F82&lt;E82-0.5),1)+ISNUMBER(G82)*IF(ISNUMBER(F82),--(G82&lt;F82-0.5),1)+ISNUMBER(H82)*IF(ISNUMBER(G82),--(H82&lt;G82-0.5),1)+ISNUMBER(I82)*IF(ISNUMBER(H82),--(I82&lt;H82-0.5),1)+ISNUMBER(J82)*IF(ISNUMBER(I82),--(J82&lt;I82-0.5),1)+ISNUMBER(K82)*IF(ISNUMBER(J82),--(K82&lt;J82-0.5),1)+IF(AND(ISNUMBER(C82),C82&lt;0),1,0),1)</f>
        <v/>
      </c>
      <c r="BK82" s="23">
        <f>IFERROR(ISNUMBER(M82)*IF(ISNUMBER(L82),--(M82&lt;L82-0.5),1)+ISNUMBER(N82)*IF(ISNUMBER(M82),--(N82&lt;M82-0.5),1)+ISNUMBER(O82)*IF(ISNUMBER(N82),--(O82&lt;N82-0.5),1)+ISNUMBER(P82)*IF(ISNUMBER(O82),--(P82&lt;O82-0.5),1)+ISNUMBER(Q82)*IF(ISNUMBER(P82),--(Q82&lt;P82-0.5),1)+ISNUMBER(R82)*IF(ISNUMBER(Q82),--(R82&lt;Q82-0.5),1)+ISNUMBER(S82)*IF(ISNUMBER(R82),--(S82&lt;R82-0.5),1),1)</f>
        <v/>
      </c>
    </row>
    <row r="83">
      <c r="A83" s="23" t="n">
        <v>10</v>
      </c>
      <c r="B83" s="75" t="n">
        <v>1</v>
      </c>
      <c r="C83" s="157" t="n"/>
      <c r="D83" s="157" t="n"/>
      <c r="E83" s="157" t="n"/>
      <c r="F83" s="157" t="n"/>
      <c r="G83" s="157" t="n"/>
      <c r="H83" s="157" t="n"/>
      <c r="I83" s="157" t="n"/>
      <c r="J83" s="157" t="n"/>
      <c r="K83" s="157" t="n"/>
      <c r="L83" s="157" t="n"/>
      <c r="M83" s="157" t="n"/>
      <c r="N83" s="157" t="n"/>
      <c r="O83" s="157" t="n"/>
      <c r="P83" s="157" t="n"/>
      <c r="Q83" s="157" t="n"/>
      <c r="R83" s="157" t="n"/>
      <c r="S83" s="157" t="n"/>
      <c r="T83" s="157" t="n"/>
      <c r="U83" s="157" t="n"/>
      <c r="V83" s="157" t="n"/>
      <c r="W83" s="157" t="n"/>
      <c r="X83" s="157" t="n"/>
      <c r="Y83" s="157" t="n"/>
      <c r="Z83" s="157" t="n"/>
      <c r="AA83" s="157" t="n"/>
      <c r="AB83" s="157" t="n"/>
      <c r="AC83" s="157" t="n"/>
      <c r="AD83" s="157" t="n"/>
      <c r="AE83" s="157" t="n"/>
      <c r="AF83" s="157" t="n"/>
      <c r="AG83" s="157" t="n"/>
      <c r="AH83" s="157" t="n"/>
      <c r="AI83" s="157" t="n"/>
      <c r="AJ83" s="157" t="n"/>
      <c r="AK83" s="157" t="n"/>
      <c r="AL83" s="157" t="n"/>
      <c r="AM83" s="157" t="n"/>
      <c r="AN83" s="157" t="n"/>
      <c r="AO83" s="157" t="n"/>
      <c r="AP83" s="157" t="n"/>
      <c r="AQ83" s="157" t="n"/>
      <c r="AR83" s="157" t="n"/>
      <c r="AS83" s="157" t="n"/>
      <c r="AT83" s="157" t="n"/>
      <c r="AU83" s="157" t="n"/>
      <c r="AV83" s="157" t="n"/>
      <c r="AW83" s="157" t="n"/>
      <c r="AX83" s="157" t="n"/>
      <c r="AY83" s="157" t="n"/>
      <c r="AZ83" s="157" t="n"/>
      <c r="BA83" s="157" t="n"/>
      <c r="BB83" s="157" t="n"/>
      <c r="BC83" s="157" t="n"/>
      <c r="BD83" s="157" t="n"/>
      <c r="BE83" s="157" t="n"/>
      <c r="BF83" s="157" t="n"/>
      <c r="BG83" s="157" t="n"/>
      <c r="BH83" s="158" t="n"/>
      <c r="BI83" s="159" t="n"/>
      <c r="BJ83" s="23">
        <f>IFERROR(ISNUMBER(E83)*IF(ISNUMBER(D83),--(E83&lt;D83-0.5),1)+ISNUMBER(F83)*IF(ISNUMBER(E83),--(F83&lt;E83-0.5),1)+ISNUMBER(G83)*IF(ISNUMBER(F83),--(G83&lt;F83-0.5),1)+ISNUMBER(H83)*IF(ISNUMBER(G83),--(H83&lt;G83-0.5),1)+ISNUMBER(I83)*IF(ISNUMBER(H83),--(I83&lt;H83-0.5),1)+ISNUMBER(J83)*IF(ISNUMBER(I83),--(J83&lt;I83-0.5),1)+ISNUMBER(K83)*IF(ISNUMBER(J83),--(K83&lt;J83-0.5),1)+IF(AND(ISNUMBER(C83),C83&lt;0),1,0),1)</f>
        <v/>
      </c>
      <c r="BK83" s="23">
        <f>IFERROR(ISNUMBER(M83)*IF(ISNUMBER(L83),--(M83&lt;L83-0.5),1)+ISNUMBER(N83)*IF(ISNUMBER(M83),--(N83&lt;M83-0.5),1)+ISNUMBER(O83)*IF(ISNUMBER(N83),--(O83&lt;N83-0.5),1)+ISNUMBER(P83)*IF(ISNUMBER(O83),--(P83&lt;O83-0.5),1)+ISNUMBER(Q83)*IF(ISNUMBER(P83),--(Q83&lt;P83-0.5),1)+ISNUMBER(R83)*IF(ISNUMBER(Q83),--(R83&lt;Q83-0.5),1)+ISNUMBER(S83)*IF(ISNUMBER(R83),--(S83&lt;R83-0.5),1),1)</f>
        <v/>
      </c>
    </row>
    <row r="84">
      <c r="A84" s="23" t="n">
        <v>11</v>
      </c>
      <c r="B84" s="75" t="n">
        <v>1</v>
      </c>
      <c r="C84" s="157" t="n"/>
      <c r="D84" s="157" t="n"/>
      <c r="E84" s="157" t="n"/>
      <c r="F84" s="157" t="n"/>
      <c r="G84" s="157" t="n"/>
      <c r="H84" s="157" t="n"/>
      <c r="I84" s="157" t="n"/>
      <c r="J84" s="157" t="n"/>
      <c r="K84" s="157" t="n"/>
      <c r="L84" s="157" t="n"/>
      <c r="M84" s="157" t="n"/>
      <c r="N84" s="157" t="n"/>
      <c r="O84" s="157" t="n"/>
      <c r="P84" s="157" t="n"/>
      <c r="Q84" s="157" t="n"/>
      <c r="R84" s="157" t="n"/>
      <c r="S84" s="157" t="n"/>
      <c r="T84" s="157" t="n"/>
      <c r="U84" s="157" t="n"/>
      <c r="V84" s="157" t="n"/>
      <c r="W84" s="157" t="n"/>
      <c r="X84" s="157" t="n"/>
      <c r="Y84" s="157" t="n"/>
      <c r="Z84" s="157" t="n"/>
      <c r="AA84" s="157" t="n"/>
      <c r="AB84" s="157" t="n"/>
      <c r="AC84" s="157" t="n"/>
      <c r="AD84" s="157" t="n"/>
      <c r="AE84" s="157" t="n"/>
      <c r="AF84" s="157" t="n"/>
      <c r="AG84" s="157" t="n"/>
      <c r="AH84" s="157" t="n"/>
      <c r="AI84" s="157" t="n"/>
      <c r="AJ84" s="157" t="n"/>
      <c r="AK84" s="157" t="n"/>
      <c r="AL84" s="157" t="n"/>
      <c r="AM84" s="157" t="n"/>
      <c r="AN84" s="157" t="n"/>
      <c r="AO84" s="157" t="n"/>
      <c r="AP84" s="157" t="n"/>
      <c r="AQ84" s="157" t="n"/>
      <c r="AR84" s="157" t="n"/>
      <c r="AS84" s="157" t="n"/>
      <c r="AT84" s="157" t="n"/>
      <c r="AU84" s="157" t="n"/>
      <c r="AV84" s="157" t="n"/>
      <c r="AW84" s="157" t="n"/>
      <c r="AX84" s="157" t="n"/>
      <c r="AY84" s="157" t="n"/>
      <c r="AZ84" s="157" t="n"/>
      <c r="BA84" s="157" t="n"/>
      <c r="BB84" s="157" t="n"/>
      <c r="BC84" s="157" t="n"/>
      <c r="BD84" s="157" t="n"/>
      <c r="BE84" s="157" t="n"/>
      <c r="BF84" s="157" t="n"/>
      <c r="BG84" s="157" t="n"/>
      <c r="BH84" s="158" t="n"/>
      <c r="BI84" s="159" t="n"/>
      <c r="BJ84" s="23">
        <f>IFERROR(ISNUMBER(E84)*IF(ISNUMBER(D84),--(E84&lt;D84-0.5),1)+ISNUMBER(F84)*IF(ISNUMBER(E84),--(F84&lt;E84-0.5),1)+ISNUMBER(G84)*IF(ISNUMBER(F84),--(G84&lt;F84-0.5),1)+ISNUMBER(H84)*IF(ISNUMBER(G84),--(H84&lt;G84-0.5),1)+ISNUMBER(I84)*IF(ISNUMBER(H84),--(I84&lt;H84-0.5),1)+ISNUMBER(J84)*IF(ISNUMBER(I84),--(J84&lt;I84-0.5),1)+ISNUMBER(K84)*IF(ISNUMBER(J84),--(K84&lt;J84-0.5),1)+IF(AND(ISNUMBER(C84),C84&lt;0),1,0),1)</f>
        <v/>
      </c>
      <c r="BK84" s="23">
        <f>IFERROR(ISNUMBER(M84)*IF(ISNUMBER(L84),--(M84&lt;L84-0.5),1)+ISNUMBER(N84)*IF(ISNUMBER(M84),--(N84&lt;M84-0.5),1)+ISNUMBER(O84)*IF(ISNUMBER(N84),--(O84&lt;N84-0.5),1)+ISNUMBER(P84)*IF(ISNUMBER(O84),--(P84&lt;O84-0.5),1)+ISNUMBER(Q84)*IF(ISNUMBER(P84),--(Q84&lt;P84-0.5),1)+ISNUMBER(R84)*IF(ISNUMBER(Q84),--(R84&lt;Q84-0.5),1)+ISNUMBER(S84)*IF(ISNUMBER(R84),--(S84&lt;R84-0.5),1),1)</f>
        <v/>
      </c>
    </row>
    <row r="85">
      <c r="A85" s="23" t="n">
        <v>12</v>
      </c>
      <c r="B85" s="75" t="n">
        <v>1</v>
      </c>
      <c r="C85" s="157" t="n"/>
      <c r="D85" s="157" t="n"/>
      <c r="E85" s="157" t="n"/>
      <c r="F85" s="157" t="n"/>
      <c r="G85" s="157" t="n"/>
      <c r="H85" s="157" t="n"/>
      <c r="I85" s="157" t="n"/>
      <c r="J85" s="157" t="n"/>
      <c r="K85" s="157" t="n"/>
      <c r="L85" s="157" t="n"/>
      <c r="M85" s="157" t="n"/>
      <c r="N85" s="157" t="n"/>
      <c r="O85" s="157" t="n"/>
      <c r="P85" s="157" t="n"/>
      <c r="Q85" s="157" t="n"/>
      <c r="R85" s="157" t="n"/>
      <c r="S85" s="157" t="n"/>
      <c r="T85" s="157" t="n"/>
      <c r="U85" s="157" t="n"/>
      <c r="V85" s="157" t="n"/>
      <c r="W85" s="157" t="n"/>
      <c r="X85" s="157" t="n"/>
      <c r="Y85" s="157" t="n"/>
      <c r="Z85" s="157" t="n"/>
      <c r="AA85" s="157" t="n"/>
      <c r="AB85" s="157" t="n"/>
      <c r="AC85" s="157" t="n"/>
      <c r="AD85" s="157" t="n"/>
      <c r="AE85" s="157" t="n"/>
      <c r="AF85" s="157" t="n"/>
      <c r="AG85" s="157" t="n"/>
      <c r="AH85" s="157" t="n"/>
      <c r="AI85" s="157" t="n"/>
      <c r="AJ85" s="157" t="n"/>
      <c r="AK85" s="157" t="n"/>
      <c r="AL85" s="157" t="n"/>
      <c r="AM85" s="157" t="n"/>
      <c r="AN85" s="157" t="n"/>
      <c r="AO85" s="157" t="n"/>
      <c r="AP85" s="157" t="n"/>
      <c r="AQ85" s="157" t="n"/>
      <c r="AR85" s="157" t="n"/>
      <c r="AS85" s="157" t="n"/>
      <c r="AT85" s="157" t="n"/>
      <c r="AU85" s="157" t="n"/>
      <c r="AV85" s="157" t="n"/>
      <c r="AW85" s="157" t="n"/>
      <c r="AX85" s="157" t="n"/>
      <c r="AY85" s="157" t="n"/>
      <c r="AZ85" s="157" t="n"/>
      <c r="BA85" s="157" t="n"/>
      <c r="BB85" s="157" t="n"/>
      <c r="BC85" s="157" t="n"/>
      <c r="BD85" s="157" t="n"/>
      <c r="BE85" s="157" t="n"/>
      <c r="BF85" s="157" t="n"/>
      <c r="BG85" s="157" t="n"/>
      <c r="BH85" s="158" t="n"/>
      <c r="BI85" s="159" t="n"/>
      <c r="BJ85" s="23">
        <f>IFERROR(ISNUMBER(E85)*IF(ISNUMBER(D85),--(E85&lt;D85-0.5),1)+ISNUMBER(F85)*IF(ISNUMBER(E85),--(F85&lt;E85-0.5),1)+ISNUMBER(G85)*IF(ISNUMBER(F85),--(G85&lt;F85-0.5),1)+ISNUMBER(H85)*IF(ISNUMBER(G85),--(H85&lt;G85-0.5),1)+ISNUMBER(I85)*IF(ISNUMBER(H85),--(I85&lt;H85-0.5),1)+ISNUMBER(J85)*IF(ISNUMBER(I85),--(J85&lt;I85-0.5),1)+ISNUMBER(K85)*IF(ISNUMBER(J85),--(K85&lt;J85-0.5),1)+IF(AND(ISNUMBER(C85),C85&lt;0),1,0),1)</f>
        <v/>
      </c>
      <c r="BK85" s="23">
        <f>IFERROR(ISNUMBER(M85)*IF(ISNUMBER(L85),--(M85&lt;L85-0.5),1)+ISNUMBER(N85)*IF(ISNUMBER(M85),--(N85&lt;M85-0.5),1)+ISNUMBER(O85)*IF(ISNUMBER(N85),--(O85&lt;N85-0.5),1)+ISNUMBER(P85)*IF(ISNUMBER(O85),--(P85&lt;O85-0.5),1)+ISNUMBER(Q85)*IF(ISNUMBER(P85),--(Q85&lt;P85-0.5),1)+ISNUMBER(R85)*IF(ISNUMBER(Q85),--(R85&lt;Q85-0.5),1)+ISNUMBER(S85)*IF(ISNUMBER(R85),--(S85&lt;R85-0.5),1),1)</f>
        <v/>
      </c>
    </row>
    <row r="86">
      <c r="A86" s="23" t="n">
        <v>13</v>
      </c>
      <c r="B86" s="75" t="n">
        <v>1</v>
      </c>
      <c r="C86" s="157" t="n"/>
      <c r="D86" s="157" t="n"/>
      <c r="E86" s="157" t="n"/>
      <c r="F86" s="157" t="n"/>
      <c r="G86" s="157" t="n"/>
      <c r="H86" s="157" t="n"/>
      <c r="I86" s="157" t="n"/>
      <c r="J86" s="157" t="n"/>
      <c r="K86" s="157" t="n"/>
      <c r="L86" s="157" t="n"/>
      <c r="M86" s="157" t="n"/>
      <c r="N86" s="157" t="n"/>
      <c r="O86" s="157" t="n"/>
      <c r="P86" s="157" t="n"/>
      <c r="Q86" s="157" t="n"/>
      <c r="R86" s="157" t="n"/>
      <c r="S86" s="157" t="n"/>
      <c r="T86" s="157" t="n"/>
      <c r="U86" s="157" t="n"/>
      <c r="V86" s="157" t="n"/>
      <c r="W86" s="157" t="n"/>
      <c r="X86" s="157" t="n"/>
      <c r="Y86" s="157" t="n"/>
      <c r="Z86" s="157" t="n"/>
      <c r="AA86" s="157" t="n"/>
      <c r="AB86" s="157" t="n"/>
      <c r="AC86" s="157" t="n"/>
      <c r="AD86" s="157" t="n"/>
      <c r="AE86" s="157" t="n"/>
      <c r="AF86" s="157" t="n"/>
      <c r="AG86" s="157" t="n"/>
      <c r="AH86" s="157" t="n"/>
      <c r="AI86" s="157" t="n"/>
      <c r="AJ86" s="157" t="n"/>
      <c r="AK86" s="157" t="n"/>
      <c r="AL86" s="157" t="n"/>
      <c r="AM86" s="157" t="n"/>
      <c r="AN86" s="157" t="n"/>
      <c r="AO86" s="157" t="n"/>
      <c r="AP86" s="157" t="n"/>
      <c r="AQ86" s="157" t="n"/>
      <c r="AR86" s="157" t="n"/>
      <c r="AS86" s="157" t="n"/>
      <c r="AT86" s="157" t="n"/>
      <c r="AU86" s="157" t="n"/>
      <c r="AV86" s="157" t="n"/>
      <c r="AW86" s="157" t="n"/>
      <c r="AX86" s="157" t="n"/>
      <c r="AY86" s="157" t="n"/>
      <c r="AZ86" s="157" t="n"/>
      <c r="BA86" s="157" t="n"/>
      <c r="BB86" s="157" t="n"/>
      <c r="BC86" s="157" t="n"/>
      <c r="BD86" s="157" t="n"/>
      <c r="BE86" s="157" t="n"/>
      <c r="BF86" s="157" t="n"/>
      <c r="BG86" s="157" t="n"/>
      <c r="BH86" s="158" t="n"/>
      <c r="BI86" s="159" t="n"/>
      <c r="BJ86" s="23">
        <f>IFERROR(ISNUMBER(E86)*IF(ISNUMBER(D86),--(E86&lt;D86-0.5),1)+ISNUMBER(F86)*IF(ISNUMBER(E86),--(F86&lt;E86-0.5),1)+ISNUMBER(G86)*IF(ISNUMBER(F86),--(G86&lt;F86-0.5),1)+ISNUMBER(H86)*IF(ISNUMBER(G86),--(H86&lt;G86-0.5),1)+ISNUMBER(I86)*IF(ISNUMBER(H86),--(I86&lt;H86-0.5),1)+ISNUMBER(J86)*IF(ISNUMBER(I86),--(J86&lt;I86-0.5),1)+ISNUMBER(K86)*IF(ISNUMBER(J86),--(K86&lt;J86-0.5),1)+IF(AND(ISNUMBER(C86),C86&lt;0),1,0),1)</f>
        <v/>
      </c>
      <c r="BK86" s="23">
        <f>IFERROR(ISNUMBER(M86)*IF(ISNUMBER(L86),--(M86&lt;L86-0.5),1)+ISNUMBER(N86)*IF(ISNUMBER(M86),--(N86&lt;M86-0.5),1)+ISNUMBER(O86)*IF(ISNUMBER(N86),--(O86&lt;N86-0.5),1)+ISNUMBER(P86)*IF(ISNUMBER(O86),--(P86&lt;O86-0.5),1)+ISNUMBER(Q86)*IF(ISNUMBER(P86),--(Q86&lt;P86-0.5),1)+ISNUMBER(R86)*IF(ISNUMBER(Q86),--(R86&lt;Q86-0.5),1)+ISNUMBER(S86)*IF(ISNUMBER(R86),--(S86&lt;R86-0.5),1),1)</f>
        <v/>
      </c>
    </row>
    <row r="87">
      <c r="A87" s="23" t="n">
        <v>14</v>
      </c>
      <c r="B87" s="75" t="n">
        <v>1</v>
      </c>
      <c r="C87" s="157" t="n"/>
      <c r="D87" s="157" t="n"/>
      <c r="E87" s="157" t="n"/>
      <c r="F87" s="157" t="n"/>
      <c r="G87" s="157" t="n"/>
      <c r="H87" s="157" t="n"/>
      <c r="I87" s="157" t="n"/>
      <c r="J87" s="157" t="n"/>
      <c r="K87" s="157" t="n"/>
      <c r="L87" s="157" t="n"/>
      <c r="M87" s="157" t="n"/>
      <c r="N87" s="157" t="n"/>
      <c r="O87" s="157" t="n"/>
      <c r="P87" s="157" t="n"/>
      <c r="Q87" s="157" t="n"/>
      <c r="R87" s="157" t="n"/>
      <c r="S87" s="157" t="n"/>
      <c r="T87" s="157" t="n"/>
      <c r="U87" s="157" t="n"/>
      <c r="V87" s="157" t="n"/>
      <c r="W87" s="157" t="n"/>
      <c r="X87" s="157" t="n"/>
      <c r="Y87" s="157" t="n"/>
      <c r="Z87" s="157" t="n"/>
      <c r="AA87" s="157" t="n"/>
      <c r="AB87" s="157" t="n"/>
      <c r="AC87" s="157" t="n"/>
      <c r="AD87" s="157" t="n"/>
      <c r="AE87" s="157" t="n"/>
      <c r="AF87" s="157" t="n"/>
      <c r="AG87" s="157" t="n"/>
      <c r="AH87" s="157" t="n"/>
      <c r="AI87" s="157" t="n"/>
      <c r="AJ87" s="157" t="n"/>
      <c r="AK87" s="157" t="n"/>
      <c r="AL87" s="157" t="n"/>
      <c r="AM87" s="157" t="n"/>
      <c r="AN87" s="157" t="n"/>
      <c r="AO87" s="157" t="n"/>
      <c r="AP87" s="157" t="n"/>
      <c r="AQ87" s="157" t="n"/>
      <c r="AR87" s="157" t="n"/>
      <c r="AS87" s="157" t="n"/>
      <c r="AT87" s="157" t="n"/>
      <c r="AU87" s="157" t="n"/>
      <c r="AV87" s="157" t="n"/>
      <c r="AW87" s="157" t="n"/>
      <c r="AX87" s="157" t="n"/>
      <c r="AY87" s="157" t="n"/>
      <c r="AZ87" s="157" t="n"/>
      <c r="BA87" s="157" t="n"/>
      <c r="BB87" s="157" t="n"/>
      <c r="BC87" s="157" t="n"/>
      <c r="BD87" s="157" t="n"/>
      <c r="BE87" s="157" t="n"/>
      <c r="BF87" s="157" t="n"/>
      <c r="BG87" s="157" t="n"/>
      <c r="BH87" s="158" t="n"/>
      <c r="BI87" s="159" t="n"/>
      <c r="BJ87" s="23">
        <f>IFERROR(ISNUMBER(E87)*IF(ISNUMBER(D87),--(E87&lt;D87-0.5),1)+ISNUMBER(F87)*IF(ISNUMBER(E87),--(F87&lt;E87-0.5),1)+ISNUMBER(G87)*IF(ISNUMBER(F87),--(G87&lt;F87-0.5),1)+ISNUMBER(H87)*IF(ISNUMBER(G87),--(H87&lt;G87-0.5),1)+ISNUMBER(I87)*IF(ISNUMBER(H87),--(I87&lt;H87-0.5),1)+ISNUMBER(J87)*IF(ISNUMBER(I87),--(J87&lt;I87-0.5),1)+ISNUMBER(K87)*IF(ISNUMBER(J87),--(K87&lt;J87-0.5),1)+IF(AND(ISNUMBER(C87),C87&lt;0),1,0),1)</f>
        <v/>
      </c>
      <c r="BK87" s="23">
        <f>IFERROR(ISNUMBER(M87)*IF(ISNUMBER(L87),--(M87&lt;L87-0.5),1)+ISNUMBER(N87)*IF(ISNUMBER(M87),--(N87&lt;M87-0.5),1)+ISNUMBER(O87)*IF(ISNUMBER(N87),--(O87&lt;N87-0.5),1)+ISNUMBER(P87)*IF(ISNUMBER(O87),--(P87&lt;O87-0.5),1)+ISNUMBER(Q87)*IF(ISNUMBER(P87),--(Q87&lt;P87-0.5),1)+ISNUMBER(R87)*IF(ISNUMBER(Q87),--(R87&lt;Q87-0.5),1)+ISNUMBER(S87)*IF(ISNUMBER(R87),--(S87&lt;R87-0.5),1),1)</f>
        <v/>
      </c>
    </row>
    <row r="88">
      <c r="A88" s="23" t="n">
        <v>15</v>
      </c>
      <c r="B88" s="75" t="n">
        <v>1</v>
      </c>
      <c r="C88" s="157" t="n"/>
      <c r="D88" s="157" t="n"/>
      <c r="E88" s="157" t="n"/>
      <c r="F88" s="157" t="n"/>
      <c r="G88" s="157" t="n"/>
      <c r="H88" s="157" t="n"/>
      <c r="I88" s="157" t="n"/>
      <c r="J88" s="157" t="n"/>
      <c r="K88" s="157" t="n"/>
      <c r="L88" s="157" t="n"/>
      <c r="M88" s="157" t="n"/>
      <c r="N88" s="157" t="n"/>
      <c r="O88" s="157" t="n"/>
      <c r="P88" s="157" t="n"/>
      <c r="Q88" s="157" t="n"/>
      <c r="R88" s="157" t="n"/>
      <c r="S88" s="157" t="n"/>
      <c r="T88" s="157" t="n"/>
      <c r="U88" s="157" t="n"/>
      <c r="V88" s="157" t="n"/>
      <c r="W88" s="157" t="n"/>
      <c r="X88" s="157" t="n"/>
      <c r="Y88" s="157" t="n"/>
      <c r="Z88" s="157" t="n"/>
      <c r="AA88" s="157" t="n"/>
      <c r="AB88" s="157" t="n"/>
      <c r="AC88" s="157" t="n"/>
      <c r="AD88" s="157" t="n"/>
      <c r="AE88" s="157" t="n"/>
      <c r="AF88" s="157" t="n"/>
      <c r="AG88" s="157" t="n"/>
      <c r="AH88" s="157" t="n"/>
      <c r="AI88" s="157" t="n"/>
      <c r="AJ88" s="157" t="n"/>
      <c r="AK88" s="157" t="n"/>
      <c r="AL88" s="157" t="n"/>
      <c r="AM88" s="157" t="n"/>
      <c r="AN88" s="157" t="n"/>
      <c r="AO88" s="157" t="n"/>
      <c r="AP88" s="157" t="n"/>
      <c r="AQ88" s="157" t="n"/>
      <c r="AR88" s="157" t="n"/>
      <c r="AS88" s="157" t="n"/>
      <c r="AT88" s="157" t="n"/>
      <c r="AU88" s="157" t="n"/>
      <c r="AV88" s="157" t="n"/>
      <c r="AW88" s="157" t="n"/>
      <c r="AX88" s="157" t="n"/>
      <c r="AY88" s="157" t="n"/>
      <c r="AZ88" s="157" t="n"/>
      <c r="BA88" s="157" t="n"/>
      <c r="BB88" s="157" t="n"/>
      <c r="BC88" s="157" t="n"/>
      <c r="BD88" s="157" t="n"/>
      <c r="BE88" s="157" t="n"/>
      <c r="BF88" s="157" t="n"/>
      <c r="BG88" s="157" t="n"/>
      <c r="BH88" s="158" t="n"/>
      <c r="BI88" s="159" t="n"/>
      <c r="BJ88" s="23">
        <f>IFERROR(ISNUMBER(E88)*IF(ISNUMBER(D88),--(E88&lt;D88-0.5),1)+ISNUMBER(F88)*IF(ISNUMBER(E88),--(F88&lt;E88-0.5),1)+ISNUMBER(G88)*IF(ISNUMBER(F88),--(G88&lt;F88-0.5),1)+ISNUMBER(H88)*IF(ISNUMBER(G88),--(H88&lt;G88-0.5),1)+ISNUMBER(I88)*IF(ISNUMBER(H88),--(I88&lt;H88-0.5),1)+ISNUMBER(J88)*IF(ISNUMBER(I88),--(J88&lt;I88-0.5),1)+ISNUMBER(K88)*IF(ISNUMBER(J88),--(K88&lt;J88-0.5),1)+IF(AND(ISNUMBER(C88),C88&lt;0),1,0),1)</f>
        <v/>
      </c>
      <c r="BK88" s="23">
        <f>IFERROR(ISNUMBER(M88)*IF(ISNUMBER(L88),--(M88&lt;L88-0.5),1)+ISNUMBER(N88)*IF(ISNUMBER(M88),--(N88&lt;M88-0.5),1)+ISNUMBER(O88)*IF(ISNUMBER(N88),--(O88&lt;N88-0.5),1)+ISNUMBER(P88)*IF(ISNUMBER(O88),--(P88&lt;O88-0.5),1)+ISNUMBER(Q88)*IF(ISNUMBER(P88),--(Q88&lt;P88-0.5),1)+ISNUMBER(R88)*IF(ISNUMBER(Q88),--(R88&lt;Q88-0.5),1)+ISNUMBER(S88)*IF(ISNUMBER(R88),--(S88&lt;R88-0.5),1),1)</f>
        <v/>
      </c>
    </row>
    <row r="89">
      <c r="A89" s="23" t="n">
        <v>16</v>
      </c>
      <c r="B89" s="75" t="n">
        <v>1</v>
      </c>
      <c r="C89" s="157" t="n"/>
      <c r="D89" s="157" t="n"/>
      <c r="E89" s="157" t="n"/>
      <c r="F89" s="157" t="n"/>
      <c r="G89" s="157" t="n"/>
      <c r="H89" s="157" t="n"/>
      <c r="I89" s="157" t="n"/>
      <c r="J89" s="157" t="n"/>
      <c r="K89" s="157" t="n"/>
      <c r="L89" s="157" t="n"/>
      <c r="M89" s="157" t="n"/>
      <c r="N89" s="157" t="n"/>
      <c r="O89" s="157" t="n"/>
      <c r="P89" s="157" t="n"/>
      <c r="Q89" s="157" t="n"/>
      <c r="R89" s="157" t="n"/>
      <c r="S89" s="157" t="n"/>
      <c r="T89" s="157" t="n"/>
      <c r="U89" s="157" t="n"/>
      <c r="V89" s="157" t="n"/>
      <c r="W89" s="157" t="n"/>
      <c r="X89" s="157" t="n"/>
      <c r="Y89" s="157" t="n"/>
      <c r="Z89" s="157" t="n"/>
      <c r="AA89" s="157" t="n"/>
      <c r="AB89" s="157" t="n"/>
      <c r="AC89" s="157" t="n"/>
      <c r="AD89" s="157" t="n"/>
      <c r="AE89" s="157" t="n"/>
      <c r="AF89" s="157" t="n"/>
      <c r="AG89" s="157" t="n"/>
      <c r="AH89" s="157" t="n"/>
      <c r="AI89" s="157" t="n"/>
      <c r="AJ89" s="157" t="n"/>
      <c r="AK89" s="157" t="n"/>
      <c r="AL89" s="157" t="n"/>
      <c r="AM89" s="157" t="n"/>
      <c r="AN89" s="157" t="n"/>
      <c r="AO89" s="157" t="n"/>
      <c r="AP89" s="157" t="n"/>
      <c r="AQ89" s="157" t="n"/>
      <c r="AR89" s="157" t="n"/>
      <c r="AS89" s="157" t="n"/>
      <c r="AT89" s="157" t="n"/>
      <c r="AU89" s="157" t="n"/>
      <c r="AV89" s="157" t="n"/>
      <c r="AW89" s="157" t="n"/>
      <c r="AX89" s="157" t="n"/>
      <c r="AY89" s="157" t="n"/>
      <c r="AZ89" s="157" t="n"/>
      <c r="BA89" s="157" t="n"/>
      <c r="BB89" s="157" t="n"/>
      <c r="BC89" s="157" t="n"/>
      <c r="BD89" s="157" t="n"/>
      <c r="BE89" s="157" t="n"/>
      <c r="BF89" s="157" t="n"/>
      <c r="BG89" s="157" t="n"/>
      <c r="BH89" s="158" t="n"/>
      <c r="BI89" s="159" t="n"/>
      <c r="BJ89" s="23">
        <f>IFERROR(ISNUMBER(E89)*IF(ISNUMBER(D89),--(E89&lt;D89-0.5),1)+ISNUMBER(F89)*IF(ISNUMBER(E89),--(F89&lt;E89-0.5),1)+ISNUMBER(G89)*IF(ISNUMBER(F89),--(G89&lt;F89-0.5),1)+ISNUMBER(H89)*IF(ISNUMBER(G89),--(H89&lt;G89-0.5),1)+ISNUMBER(I89)*IF(ISNUMBER(H89),--(I89&lt;H89-0.5),1)+ISNUMBER(J89)*IF(ISNUMBER(I89),--(J89&lt;I89-0.5),1)+ISNUMBER(K89)*IF(ISNUMBER(J89),--(K89&lt;J89-0.5),1)+IF(AND(ISNUMBER(C89),C89&lt;0),1,0),1)</f>
        <v/>
      </c>
      <c r="BK89" s="23">
        <f>IFERROR(ISNUMBER(M89)*IF(ISNUMBER(L89),--(M89&lt;L89-0.5),1)+ISNUMBER(N89)*IF(ISNUMBER(M89),--(N89&lt;M89-0.5),1)+ISNUMBER(O89)*IF(ISNUMBER(N89),--(O89&lt;N89-0.5),1)+ISNUMBER(P89)*IF(ISNUMBER(O89),--(P89&lt;O89-0.5),1)+ISNUMBER(Q89)*IF(ISNUMBER(P89),--(Q89&lt;P89-0.5),1)+ISNUMBER(R89)*IF(ISNUMBER(Q89),--(R89&lt;Q89-0.5),1)+ISNUMBER(S89)*IF(ISNUMBER(R89),--(S89&lt;R89-0.5),1),1)</f>
        <v/>
      </c>
    </row>
    <row r="90">
      <c r="A90" s="23" t="n">
        <v>17</v>
      </c>
      <c r="B90" s="75" t="n">
        <v>1</v>
      </c>
      <c r="C90" s="157" t="n"/>
      <c r="D90" s="157" t="n"/>
      <c r="E90" s="157" t="n"/>
      <c r="F90" s="157" t="n"/>
      <c r="G90" s="157" t="n"/>
      <c r="H90" s="157" t="n"/>
      <c r="I90" s="157" t="n"/>
      <c r="J90" s="157" t="n"/>
      <c r="K90" s="157" t="n"/>
      <c r="L90" s="157" t="n"/>
      <c r="M90" s="157" t="n"/>
      <c r="N90" s="157" t="n"/>
      <c r="O90" s="157" t="n"/>
      <c r="P90" s="157" t="n"/>
      <c r="Q90" s="157" t="n"/>
      <c r="R90" s="157" t="n"/>
      <c r="S90" s="157" t="n"/>
      <c r="T90" s="157" t="n"/>
      <c r="U90" s="157" t="n"/>
      <c r="V90" s="157" t="n"/>
      <c r="W90" s="157" t="n"/>
      <c r="X90" s="157" t="n"/>
      <c r="Y90" s="157" t="n"/>
      <c r="Z90" s="157" t="n"/>
      <c r="AA90" s="157" t="n"/>
      <c r="AB90" s="157" t="n"/>
      <c r="AC90" s="157" t="n"/>
      <c r="AD90" s="157" t="n"/>
      <c r="AE90" s="157" t="n"/>
      <c r="AF90" s="157" t="n"/>
      <c r="AG90" s="157" t="n"/>
      <c r="AH90" s="157" t="n"/>
      <c r="AI90" s="157" t="n"/>
      <c r="AJ90" s="157" t="n"/>
      <c r="AK90" s="157" t="n"/>
      <c r="AL90" s="157" t="n"/>
      <c r="AM90" s="157" t="n"/>
      <c r="AN90" s="157" t="n"/>
      <c r="AO90" s="157" t="n"/>
      <c r="AP90" s="157" t="n"/>
      <c r="AQ90" s="157" t="n"/>
      <c r="AR90" s="157" t="n"/>
      <c r="AS90" s="157" t="n"/>
      <c r="AT90" s="157" t="n"/>
      <c r="AU90" s="157" t="n"/>
      <c r="AV90" s="157" t="n"/>
      <c r="AW90" s="157" t="n"/>
      <c r="AX90" s="157" t="n"/>
      <c r="AY90" s="157" t="n"/>
      <c r="AZ90" s="157" t="n"/>
      <c r="BA90" s="157" t="n"/>
      <c r="BB90" s="157" t="n"/>
      <c r="BC90" s="157" t="n"/>
      <c r="BD90" s="157" t="n"/>
      <c r="BE90" s="157" t="n"/>
      <c r="BF90" s="157" t="n"/>
      <c r="BG90" s="157" t="n"/>
      <c r="BH90" s="158" t="n"/>
      <c r="BI90" s="159" t="n"/>
      <c r="BJ90" s="23">
        <f>IFERROR(ISNUMBER(E90)*IF(ISNUMBER(D90),--(E90&lt;D90-0.5),1)+ISNUMBER(F90)*IF(ISNUMBER(E90),--(F90&lt;E90-0.5),1)+ISNUMBER(G90)*IF(ISNUMBER(F90),--(G90&lt;F90-0.5),1)+ISNUMBER(H90)*IF(ISNUMBER(G90),--(H90&lt;G90-0.5),1)+ISNUMBER(I90)*IF(ISNUMBER(H90),--(I90&lt;H90-0.5),1)+ISNUMBER(J90)*IF(ISNUMBER(I90),--(J90&lt;I90-0.5),1)+ISNUMBER(K90)*IF(ISNUMBER(J90),--(K90&lt;J90-0.5),1)+IF(AND(ISNUMBER(C90),C90&lt;0),1,0),1)</f>
        <v/>
      </c>
      <c r="BK90" s="23">
        <f>IFERROR(ISNUMBER(M90)*IF(ISNUMBER(L90),--(M90&lt;L90-0.5),1)+ISNUMBER(N90)*IF(ISNUMBER(M90),--(N90&lt;M90-0.5),1)+ISNUMBER(O90)*IF(ISNUMBER(N90),--(O90&lt;N90-0.5),1)+ISNUMBER(P90)*IF(ISNUMBER(O90),--(P90&lt;O90-0.5),1)+ISNUMBER(Q90)*IF(ISNUMBER(P90),--(Q90&lt;P90-0.5),1)+ISNUMBER(R90)*IF(ISNUMBER(Q90),--(R90&lt;Q90-0.5),1)+ISNUMBER(S90)*IF(ISNUMBER(R90),--(S90&lt;R90-0.5),1),1)</f>
        <v/>
      </c>
    </row>
    <row r="91">
      <c r="A91" s="23" t="n">
        <v>18</v>
      </c>
      <c r="B91" s="75" t="n">
        <v>1</v>
      </c>
      <c r="C91" s="157" t="n"/>
      <c r="D91" s="157" t="n"/>
      <c r="E91" s="157" t="n"/>
      <c r="F91" s="157" t="n"/>
      <c r="G91" s="157" t="n"/>
      <c r="H91" s="157" t="n"/>
      <c r="I91" s="157" t="n"/>
      <c r="J91" s="157" t="n"/>
      <c r="K91" s="157" t="n"/>
      <c r="L91" s="157" t="n"/>
      <c r="M91" s="157" t="n"/>
      <c r="N91" s="157" t="n"/>
      <c r="O91" s="157" t="n"/>
      <c r="P91" s="157" t="n"/>
      <c r="Q91" s="157" t="n"/>
      <c r="R91" s="157" t="n"/>
      <c r="S91" s="157" t="n"/>
      <c r="T91" s="157" t="n"/>
      <c r="U91" s="157" t="n"/>
      <c r="V91" s="157" t="n"/>
      <c r="W91" s="157" t="n"/>
      <c r="X91" s="157" t="n"/>
      <c r="Y91" s="157" t="n"/>
      <c r="Z91" s="157" t="n"/>
      <c r="AA91" s="157" t="n"/>
      <c r="AB91" s="157" t="n"/>
      <c r="AC91" s="157" t="n"/>
      <c r="AD91" s="157" t="n"/>
      <c r="AE91" s="157" t="n"/>
      <c r="AF91" s="157" t="n"/>
      <c r="AG91" s="157" t="n"/>
      <c r="AH91" s="157" t="n"/>
      <c r="AI91" s="157" t="n"/>
      <c r="AJ91" s="157" t="n"/>
      <c r="AK91" s="157" t="n"/>
      <c r="AL91" s="157" t="n"/>
      <c r="AM91" s="157" t="n"/>
      <c r="AN91" s="157" t="n"/>
      <c r="AO91" s="157" t="n"/>
      <c r="AP91" s="157" t="n"/>
      <c r="AQ91" s="157" t="n"/>
      <c r="AR91" s="157" t="n"/>
      <c r="AS91" s="157" t="n"/>
      <c r="AT91" s="157" t="n"/>
      <c r="AU91" s="157" t="n"/>
      <c r="AV91" s="157" t="n"/>
      <c r="AW91" s="157" t="n"/>
      <c r="AX91" s="157" t="n"/>
      <c r="AY91" s="157" t="n"/>
      <c r="AZ91" s="157" t="n"/>
      <c r="BA91" s="157" t="n"/>
      <c r="BB91" s="157" t="n"/>
      <c r="BC91" s="157" t="n"/>
      <c r="BD91" s="157" t="n"/>
      <c r="BE91" s="157" t="n"/>
      <c r="BF91" s="157" t="n"/>
      <c r="BG91" s="157" t="n"/>
      <c r="BH91" s="158" t="n"/>
      <c r="BI91" s="159" t="n"/>
      <c r="BJ91" s="23">
        <f>IFERROR(ISNUMBER(E91)*IF(ISNUMBER(D91),--(E91&lt;D91-0.5),1)+ISNUMBER(F91)*IF(ISNUMBER(E91),--(F91&lt;E91-0.5),1)+ISNUMBER(G91)*IF(ISNUMBER(F91),--(G91&lt;F91-0.5),1)+ISNUMBER(H91)*IF(ISNUMBER(G91),--(H91&lt;G91-0.5),1)+ISNUMBER(I91)*IF(ISNUMBER(H91),--(I91&lt;H91-0.5),1)+ISNUMBER(J91)*IF(ISNUMBER(I91),--(J91&lt;I91-0.5),1)+ISNUMBER(K91)*IF(ISNUMBER(J91),--(K91&lt;J91-0.5),1)+IF(AND(ISNUMBER(C91),C91&lt;0),1,0),1)</f>
        <v/>
      </c>
      <c r="BK91" s="23">
        <f>IFERROR(ISNUMBER(M91)*IF(ISNUMBER(L91),--(M91&lt;L91-0.5),1)+ISNUMBER(N91)*IF(ISNUMBER(M91),--(N91&lt;M91-0.5),1)+ISNUMBER(O91)*IF(ISNUMBER(N91),--(O91&lt;N91-0.5),1)+ISNUMBER(P91)*IF(ISNUMBER(O91),--(P91&lt;O91-0.5),1)+ISNUMBER(Q91)*IF(ISNUMBER(P91),--(Q91&lt;P91-0.5),1)+ISNUMBER(R91)*IF(ISNUMBER(Q91),--(R91&lt;Q91-0.5),1)+ISNUMBER(S91)*IF(ISNUMBER(R91),--(S91&lt;R91-0.5),1),1)</f>
        <v/>
      </c>
    </row>
    <row r="92">
      <c r="A92" s="23" t="n">
        <v>19</v>
      </c>
      <c r="B92" s="75" t="n">
        <v>1</v>
      </c>
      <c r="C92" s="157" t="n"/>
      <c r="D92" s="157" t="n"/>
      <c r="E92" s="157" t="n"/>
      <c r="F92" s="157" t="n"/>
      <c r="G92" s="157" t="n"/>
      <c r="H92" s="157" t="n"/>
      <c r="I92" s="157" t="n"/>
      <c r="J92" s="157" t="n"/>
      <c r="K92" s="157" t="n"/>
      <c r="L92" s="157" t="n"/>
      <c r="M92" s="157" t="n"/>
      <c r="N92" s="157" t="n"/>
      <c r="O92" s="157" t="n"/>
      <c r="P92" s="157" t="n"/>
      <c r="Q92" s="157" t="n"/>
      <c r="R92" s="157" t="n"/>
      <c r="S92" s="157" t="n"/>
      <c r="T92" s="157" t="n"/>
      <c r="U92" s="157" t="n"/>
      <c r="V92" s="157" t="n"/>
      <c r="W92" s="157" t="n"/>
      <c r="X92" s="157" t="n"/>
      <c r="Y92" s="157" t="n"/>
      <c r="Z92" s="157" t="n"/>
      <c r="AA92" s="157" t="n"/>
      <c r="AB92" s="157" t="n"/>
      <c r="AC92" s="157" t="n"/>
      <c r="AD92" s="157" t="n"/>
      <c r="AE92" s="157" t="n"/>
      <c r="AF92" s="157" t="n"/>
      <c r="AG92" s="157" t="n"/>
      <c r="AH92" s="157" t="n"/>
      <c r="AI92" s="157" t="n"/>
      <c r="AJ92" s="157" t="n"/>
      <c r="AK92" s="157" t="n"/>
      <c r="AL92" s="157" t="n"/>
      <c r="AM92" s="157" t="n"/>
      <c r="AN92" s="157" t="n"/>
      <c r="AO92" s="157" t="n"/>
      <c r="AP92" s="157" t="n"/>
      <c r="AQ92" s="157" t="n"/>
      <c r="AR92" s="157" t="n"/>
      <c r="AS92" s="157" t="n"/>
      <c r="AT92" s="157" t="n"/>
      <c r="AU92" s="157" t="n"/>
      <c r="AV92" s="157" t="n"/>
      <c r="AW92" s="157" t="n"/>
      <c r="AX92" s="157" t="n"/>
      <c r="AY92" s="157" t="n"/>
      <c r="AZ92" s="157" t="n"/>
      <c r="BA92" s="157" t="n"/>
      <c r="BB92" s="157" t="n"/>
      <c r="BC92" s="157" t="n"/>
      <c r="BD92" s="157" t="n"/>
      <c r="BE92" s="157" t="n"/>
      <c r="BF92" s="157" t="n"/>
      <c r="BG92" s="157" t="n"/>
      <c r="BH92" s="158" t="n"/>
      <c r="BI92" s="159" t="n"/>
      <c r="BJ92" s="23">
        <f>IFERROR(ISNUMBER(E92)*IF(ISNUMBER(D92),--(E92&lt;D92-0.5),1)+ISNUMBER(F92)*IF(ISNUMBER(E92),--(F92&lt;E92-0.5),1)+ISNUMBER(G92)*IF(ISNUMBER(F92),--(G92&lt;F92-0.5),1)+ISNUMBER(H92)*IF(ISNUMBER(G92),--(H92&lt;G92-0.5),1)+ISNUMBER(I92)*IF(ISNUMBER(H92),--(I92&lt;H92-0.5),1)+ISNUMBER(J92)*IF(ISNUMBER(I92),--(J92&lt;I92-0.5),1)+ISNUMBER(K92)*IF(ISNUMBER(J92),--(K92&lt;J92-0.5),1)+IF(AND(ISNUMBER(C92),C92&lt;0),1,0),1)</f>
        <v/>
      </c>
      <c r="BK92" s="23">
        <f>IFERROR(ISNUMBER(M92)*IF(ISNUMBER(L92),--(M92&lt;L92-0.5),1)+ISNUMBER(N92)*IF(ISNUMBER(M92),--(N92&lt;M92-0.5),1)+ISNUMBER(O92)*IF(ISNUMBER(N92),--(O92&lt;N92-0.5),1)+ISNUMBER(P92)*IF(ISNUMBER(O92),--(P92&lt;O92-0.5),1)+ISNUMBER(Q92)*IF(ISNUMBER(P92),--(Q92&lt;P92-0.5),1)+ISNUMBER(R92)*IF(ISNUMBER(Q92),--(R92&lt;Q92-0.5),1)+ISNUMBER(S92)*IF(ISNUMBER(R92),--(S92&lt;R92-0.5),1),1)</f>
        <v/>
      </c>
    </row>
    <row r="93">
      <c r="A93" s="23" t="n">
        <v>20</v>
      </c>
      <c r="B93" s="75" t="n">
        <v>1</v>
      </c>
      <c r="C93" s="157" t="n"/>
      <c r="D93" s="157" t="n"/>
      <c r="E93" s="157" t="n"/>
      <c r="F93" s="157" t="n"/>
      <c r="G93" s="157" t="n"/>
      <c r="H93" s="157" t="n"/>
      <c r="I93" s="157" t="n"/>
      <c r="J93" s="157" t="n"/>
      <c r="K93" s="157" t="n"/>
      <c r="L93" s="157" t="n"/>
      <c r="M93" s="157" t="n"/>
      <c r="N93" s="157" t="n"/>
      <c r="O93" s="157" t="n"/>
      <c r="P93" s="157" t="n"/>
      <c r="Q93" s="157" t="n"/>
      <c r="R93" s="157" t="n"/>
      <c r="S93" s="157" t="n"/>
      <c r="T93" s="157" t="n"/>
      <c r="U93" s="157" t="n"/>
      <c r="V93" s="157" t="n"/>
      <c r="W93" s="157" t="n"/>
      <c r="X93" s="157" t="n"/>
      <c r="Y93" s="157" t="n"/>
      <c r="Z93" s="157" t="n"/>
      <c r="AA93" s="157" t="n"/>
      <c r="AB93" s="157" t="n"/>
      <c r="AC93" s="157" t="n"/>
      <c r="AD93" s="157" t="n"/>
      <c r="AE93" s="157" t="n"/>
      <c r="AF93" s="157" t="n"/>
      <c r="AG93" s="157" t="n"/>
      <c r="AH93" s="157" t="n"/>
      <c r="AI93" s="157" t="n"/>
      <c r="AJ93" s="157" t="n"/>
      <c r="AK93" s="157" t="n"/>
      <c r="AL93" s="157" t="n"/>
      <c r="AM93" s="157" t="n"/>
      <c r="AN93" s="157" t="n"/>
      <c r="AO93" s="157" t="n"/>
      <c r="AP93" s="157" t="n"/>
      <c r="AQ93" s="157" t="n"/>
      <c r="AR93" s="157" t="n"/>
      <c r="AS93" s="157" t="n"/>
      <c r="AT93" s="157" t="n"/>
      <c r="AU93" s="157" t="n"/>
      <c r="AV93" s="157" t="n"/>
      <c r="AW93" s="157" t="n"/>
      <c r="AX93" s="157" t="n"/>
      <c r="AY93" s="157" t="n"/>
      <c r="AZ93" s="157" t="n"/>
      <c r="BA93" s="157" t="n"/>
      <c r="BB93" s="157" t="n"/>
      <c r="BC93" s="157" t="n"/>
      <c r="BD93" s="157" t="n"/>
      <c r="BE93" s="157" t="n"/>
      <c r="BF93" s="157" t="n"/>
      <c r="BG93" s="157" t="n"/>
      <c r="BH93" s="158" t="n"/>
      <c r="BI93" s="159" t="n"/>
      <c r="BJ93" s="23">
        <f>IFERROR(ISNUMBER(E93)*IF(ISNUMBER(D93),--(E93&lt;D93-0.5),1)+ISNUMBER(F93)*IF(ISNUMBER(E93),--(F93&lt;E93-0.5),1)+ISNUMBER(G93)*IF(ISNUMBER(F93),--(G93&lt;F93-0.5),1)+ISNUMBER(H93)*IF(ISNUMBER(G93),--(H93&lt;G93-0.5),1)+ISNUMBER(I93)*IF(ISNUMBER(H93),--(I93&lt;H93-0.5),1)+ISNUMBER(J93)*IF(ISNUMBER(I93),--(J93&lt;I93-0.5),1)+ISNUMBER(K93)*IF(ISNUMBER(J93),--(K93&lt;J93-0.5),1)+IF(AND(ISNUMBER(C93),C93&lt;0),1,0),1)</f>
        <v/>
      </c>
      <c r="BK93" s="23">
        <f>IFERROR(ISNUMBER(M93)*IF(ISNUMBER(L93),--(M93&lt;L93-0.5),1)+ISNUMBER(N93)*IF(ISNUMBER(M93),--(N93&lt;M93-0.5),1)+ISNUMBER(O93)*IF(ISNUMBER(N93),--(O93&lt;N93-0.5),1)+ISNUMBER(P93)*IF(ISNUMBER(O93),--(P93&lt;O93-0.5),1)+ISNUMBER(Q93)*IF(ISNUMBER(P93),--(Q93&lt;P93-0.5),1)+ISNUMBER(R93)*IF(ISNUMBER(Q93),--(R93&lt;Q93-0.5),1)+ISNUMBER(S93)*IF(ISNUMBER(R93),--(S93&lt;R93-0.5),1),1)</f>
        <v/>
      </c>
    </row>
    <row r="94">
      <c r="A94" s="23" t="n">
        <v>21</v>
      </c>
      <c r="B94" s="75" t="n">
        <v>1</v>
      </c>
      <c r="C94" s="157" t="n"/>
      <c r="D94" s="157" t="n"/>
      <c r="E94" s="157" t="n"/>
      <c r="F94" s="157" t="n"/>
      <c r="G94" s="157" t="n"/>
      <c r="H94" s="157" t="n"/>
      <c r="I94" s="157" t="n"/>
      <c r="J94" s="157" t="n"/>
      <c r="K94" s="157" t="n"/>
      <c r="L94" s="157" t="n"/>
      <c r="M94" s="157" t="n"/>
      <c r="N94" s="157" t="n"/>
      <c r="O94" s="157" t="n"/>
      <c r="P94" s="157" t="n"/>
      <c r="Q94" s="157" t="n"/>
      <c r="R94" s="157" t="n"/>
      <c r="S94" s="157" t="n"/>
      <c r="T94" s="157" t="n"/>
      <c r="U94" s="157" t="n"/>
      <c r="V94" s="157" t="n"/>
      <c r="W94" s="157" t="n"/>
      <c r="X94" s="157" t="n"/>
      <c r="Y94" s="157" t="n"/>
      <c r="Z94" s="157" t="n"/>
      <c r="AA94" s="157" t="n"/>
      <c r="AB94" s="157" t="n"/>
      <c r="AC94" s="157" t="n"/>
      <c r="AD94" s="157" t="n"/>
      <c r="AE94" s="157" t="n"/>
      <c r="AF94" s="157" t="n"/>
      <c r="AG94" s="157" t="n"/>
      <c r="AH94" s="157" t="n"/>
      <c r="AI94" s="157" t="n"/>
      <c r="AJ94" s="157" t="n"/>
      <c r="AK94" s="157" t="n"/>
      <c r="AL94" s="157" t="n"/>
      <c r="AM94" s="157" t="n"/>
      <c r="AN94" s="157" t="n"/>
      <c r="AO94" s="157" t="n"/>
      <c r="AP94" s="157" t="n"/>
      <c r="AQ94" s="157" t="n"/>
      <c r="AR94" s="157" t="n"/>
      <c r="AS94" s="157" t="n"/>
      <c r="AT94" s="157" t="n"/>
      <c r="AU94" s="157" t="n"/>
      <c r="AV94" s="157" t="n"/>
      <c r="AW94" s="157" t="n"/>
      <c r="AX94" s="157" t="n"/>
      <c r="AY94" s="157" t="n"/>
      <c r="AZ94" s="157" t="n"/>
      <c r="BA94" s="157" t="n"/>
      <c r="BB94" s="157" t="n"/>
      <c r="BC94" s="157" t="n"/>
      <c r="BD94" s="157" t="n"/>
      <c r="BE94" s="157" t="n"/>
      <c r="BF94" s="157" t="n"/>
      <c r="BG94" s="157" t="n"/>
      <c r="BH94" s="158" t="n"/>
      <c r="BI94" s="159" t="n"/>
      <c r="BJ94" s="23">
        <f>IFERROR(ISNUMBER(E94)*IF(ISNUMBER(D94),--(E94&lt;D94-0.5),1)+ISNUMBER(F94)*IF(ISNUMBER(E94),--(F94&lt;E94-0.5),1)+ISNUMBER(G94)*IF(ISNUMBER(F94),--(G94&lt;F94-0.5),1)+ISNUMBER(H94)*IF(ISNUMBER(G94),--(H94&lt;G94-0.5),1)+ISNUMBER(I94)*IF(ISNUMBER(H94),--(I94&lt;H94-0.5),1)+ISNUMBER(J94)*IF(ISNUMBER(I94),--(J94&lt;I94-0.5),1)+ISNUMBER(K94)*IF(ISNUMBER(J94),--(K94&lt;J94-0.5),1)+IF(AND(ISNUMBER(C94),C94&lt;0),1,0),1)</f>
        <v/>
      </c>
      <c r="BK94" s="23">
        <f>IFERROR(ISNUMBER(M94)*IF(ISNUMBER(L94),--(M94&lt;L94-0.5),1)+ISNUMBER(N94)*IF(ISNUMBER(M94),--(N94&lt;M94-0.5),1)+ISNUMBER(O94)*IF(ISNUMBER(N94),--(O94&lt;N94-0.5),1)+ISNUMBER(P94)*IF(ISNUMBER(O94),--(P94&lt;O94-0.5),1)+ISNUMBER(Q94)*IF(ISNUMBER(P94),--(Q94&lt;P94-0.5),1)+ISNUMBER(R94)*IF(ISNUMBER(Q94),--(R94&lt;Q94-0.5),1)+ISNUMBER(S94)*IF(ISNUMBER(R94),--(S94&lt;R94-0.5),1),1)</f>
        <v/>
      </c>
    </row>
    <row r="95">
      <c r="A95" s="23" t="n">
        <v>22</v>
      </c>
      <c r="B95" s="75" t="n">
        <v>1</v>
      </c>
      <c r="C95" s="157" t="n"/>
      <c r="D95" s="157" t="n"/>
      <c r="E95" s="157" t="n"/>
      <c r="F95" s="157" t="n"/>
      <c r="G95" s="157" t="n"/>
      <c r="H95" s="157" t="n"/>
      <c r="I95" s="157" t="n"/>
      <c r="J95" s="157" t="n"/>
      <c r="K95" s="157" t="n"/>
      <c r="L95" s="157" t="n"/>
      <c r="M95" s="157" t="n"/>
      <c r="N95" s="157" t="n"/>
      <c r="O95" s="157" t="n"/>
      <c r="P95" s="157" t="n"/>
      <c r="Q95" s="157" t="n"/>
      <c r="R95" s="157" t="n"/>
      <c r="S95" s="157" t="n"/>
      <c r="T95" s="157" t="n"/>
      <c r="U95" s="157" t="n"/>
      <c r="V95" s="157" t="n"/>
      <c r="W95" s="157" t="n"/>
      <c r="X95" s="157" t="n"/>
      <c r="Y95" s="157" t="n"/>
      <c r="Z95" s="157" t="n"/>
      <c r="AA95" s="157" t="n"/>
      <c r="AB95" s="157" t="n"/>
      <c r="AC95" s="157" t="n"/>
      <c r="AD95" s="157" t="n"/>
      <c r="AE95" s="157" t="n"/>
      <c r="AF95" s="157" t="n"/>
      <c r="AG95" s="157" t="n"/>
      <c r="AH95" s="157" t="n"/>
      <c r="AI95" s="157" t="n"/>
      <c r="AJ95" s="157" t="n"/>
      <c r="AK95" s="157" t="n"/>
      <c r="AL95" s="157" t="n"/>
      <c r="AM95" s="157" t="n"/>
      <c r="AN95" s="157" t="n"/>
      <c r="AO95" s="157" t="n"/>
      <c r="AP95" s="157" t="n"/>
      <c r="AQ95" s="157" t="n"/>
      <c r="AR95" s="157" t="n"/>
      <c r="AS95" s="157" t="n"/>
      <c r="AT95" s="157" t="n"/>
      <c r="AU95" s="157" t="n"/>
      <c r="AV95" s="157" t="n"/>
      <c r="AW95" s="157" t="n"/>
      <c r="AX95" s="157" t="n"/>
      <c r="AY95" s="157" t="n"/>
      <c r="AZ95" s="157" t="n"/>
      <c r="BA95" s="157" t="n"/>
      <c r="BB95" s="157" t="n"/>
      <c r="BC95" s="157" t="n"/>
      <c r="BD95" s="157" t="n"/>
      <c r="BE95" s="157" t="n"/>
      <c r="BF95" s="157" t="n"/>
      <c r="BG95" s="157" t="n"/>
      <c r="BH95" s="158" t="n"/>
      <c r="BI95" s="159" t="n"/>
      <c r="BJ95" s="23">
        <f>IFERROR(ISNUMBER(E95)*IF(ISNUMBER(D95),--(E95&lt;D95-0.5),1)+ISNUMBER(F95)*IF(ISNUMBER(E95),--(F95&lt;E95-0.5),1)+ISNUMBER(G95)*IF(ISNUMBER(F95),--(G95&lt;F95-0.5),1)+ISNUMBER(H95)*IF(ISNUMBER(G95),--(H95&lt;G95-0.5),1)+ISNUMBER(I95)*IF(ISNUMBER(H95),--(I95&lt;H95-0.5),1)+ISNUMBER(J95)*IF(ISNUMBER(I95),--(J95&lt;I95-0.5),1)+ISNUMBER(K95)*IF(ISNUMBER(J95),--(K95&lt;J95-0.5),1)+IF(AND(ISNUMBER(C95),C95&lt;0),1,0),1)</f>
        <v/>
      </c>
      <c r="BK95" s="23">
        <f>IFERROR(ISNUMBER(M95)*IF(ISNUMBER(L95),--(M95&lt;L95-0.5),1)+ISNUMBER(N95)*IF(ISNUMBER(M95),--(N95&lt;M95-0.5),1)+ISNUMBER(O95)*IF(ISNUMBER(N95),--(O95&lt;N95-0.5),1)+ISNUMBER(P95)*IF(ISNUMBER(O95),--(P95&lt;O95-0.5),1)+ISNUMBER(Q95)*IF(ISNUMBER(P95),--(Q95&lt;P95-0.5),1)+ISNUMBER(R95)*IF(ISNUMBER(Q95),--(R95&lt;Q95-0.5),1)+ISNUMBER(S95)*IF(ISNUMBER(R95),--(S95&lt;R95-0.5),1),1)</f>
        <v/>
      </c>
    </row>
    <row r="96">
      <c r="A96" s="23" t="n">
        <v>23</v>
      </c>
      <c r="B96" s="75" t="n">
        <v>1</v>
      </c>
      <c r="C96" s="157" t="n"/>
      <c r="D96" s="157" t="n"/>
      <c r="E96" s="157" t="n"/>
      <c r="F96" s="157" t="n"/>
      <c r="G96" s="157" t="n"/>
      <c r="H96" s="157" t="n"/>
      <c r="I96" s="157" t="n"/>
      <c r="J96" s="157" t="n"/>
      <c r="K96" s="157" t="n"/>
      <c r="L96" s="157" t="n"/>
      <c r="M96" s="157" t="n"/>
      <c r="N96" s="157" t="n"/>
      <c r="O96" s="157" t="n"/>
      <c r="P96" s="157" t="n"/>
      <c r="Q96" s="157" t="n"/>
      <c r="R96" s="157" t="n"/>
      <c r="S96" s="157" t="n"/>
      <c r="T96" s="157" t="n"/>
      <c r="U96" s="157" t="n"/>
      <c r="V96" s="157" t="n"/>
      <c r="W96" s="157" t="n"/>
      <c r="X96" s="157" t="n"/>
      <c r="Y96" s="157" t="n"/>
      <c r="Z96" s="157" t="n"/>
      <c r="AA96" s="157" t="n"/>
      <c r="AB96" s="157" t="n"/>
      <c r="AC96" s="157" t="n"/>
      <c r="AD96" s="157" t="n"/>
      <c r="AE96" s="157" t="n"/>
      <c r="AF96" s="157" t="n"/>
      <c r="AG96" s="157" t="n"/>
      <c r="AH96" s="157" t="n"/>
      <c r="AI96" s="157" t="n"/>
      <c r="AJ96" s="157" t="n"/>
      <c r="AK96" s="157" t="n"/>
      <c r="AL96" s="157" t="n"/>
      <c r="AM96" s="157" t="n"/>
      <c r="AN96" s="157" t="n"/>
      <c r="AO96" s="157" t="n"/>
      <c r="AP96" s="157" t="n"/>
      <c r="AQ96" s="157" t="n"/>
      <c r="AR96" s="157" t="n"/>
      <c r="AS96" s="157" t="n"/>
      <c r="AT96" s="157" t="n"/>
      <c r="AU96" s="157" t="n"/>
      <c r="AV96" s="157" t="n"/>
      <c r="AW96" s="157" t="n"/>
      <c r="AX96" s="157" t="n"/>
      <c r="AY96" s="157" t="n"/>
      <c r="AZ96" s="157" t="n"/>
      <c r="BA96" s="157" t="n"/>
      <c r="BB96" s="157" t="n"/>
      <c r="BC96" s="157" t="n"/>
      <c r="BD96" s="157" t="n"/>
      <c r="BE96" s="157" t="n"/>
      <c r="BF96" s="157" t="n"/>
      <c r="BG96" s="157" t="n"/>
      <c r="BH96" s="158" t="n"/>
      <c r="BI96" s="159" t="n"/>
      <c r="BJ96" s="23">
        <f>IFERROR(ISNUMBER(E96)*IF(ISNUMBER(D96),--(E96&lt;D96-0.5),1)+ISNUMBER(F96)*IF(ISNUMBER(E96),--(F96&lt;E96-0.5),1)+ISNUMBER(G96)*IF(ISNUMBER(F96),--(G96&lt;F96-0.5),1)+ISNUMBER(H96)*IF(ISNUMBER(G96),--(H96&lt;G96-0.5),1)+ISNUMBER(I96)*IF(ISNUMBER(H96),--(I96&lt;H96-0.5),1)+ISNUMBER(J96)*IF(ISNUMBER(I96),--(J96&lt;I96-0.5),1)+ISNUMBER(K96)*IF(ISNUMBER(J96),--(K96&lt;J96-0.5),1)+IF(AND(ISNUMBER(C96),C96&lt;0),1,0),1)</f>
        <v/>
      </c>
      <c r="BK96" s="23">
        <f>IFERROR(ISNUMBER(M96)*IF(ISNUMBER(L96),--(M96&lt;L96-0.5),1)+ISNUMBER(N96)*IF(ISNUMBER(M96),--(N96&lt;M96-0.5),1)+ISNUMBER(O96)*IF(ISNUMBER(N96),--(O96&lt;N96-0.5),1)+ISNUMBER(P96)*IF(ISNUMBER(O96),--(P96&lt;O96-0.5),1)+ISNUMBER(Q96)*IF(ISNUMBER(P96),--(Q96&lt;P96-0.5),1)+ISNUMBER(R96)*IF(ISNUMBER(Q96),--(R96&lt;Q96-0.5),1)+ISNUMBER(S96)*IF(ISNUMBER(R96),--(S96&lt;R96-0.5),1),1)</f>
        <v/>
      </c>
    </row>
    <row r="97">
      <c r="A97" s="23" t="n">
        <v>24</v>
      </c>
      <c r="B97" s="75" t="n">
        <v>1</v>
      </c>
      <c r="C97" s="157" t="n"/>
      <c r="D97" s="157" t="n"/>
      <c r="E97" s="157" t="n"/>
      <c r="F97" s="157" t="n"/>
      <c r="G97" s="157" t="n"/>
      <c r="H97" s="157" t="n"/>
      <c r="I97" s="157" t="n"/>
      <c r="J97" s="157" t="n"/>
      <c r="K97" s="157" t="n"/>
      <c r="L97" s="157" t="n"/>
      <c r="M97" s="157" t="n"/>
      <c r="N97" s="157" t="n"/>
      <c r="O97" s="157" t="n"/>
      <c r="P97" s="157" t="n"/>
      <c r="Q97" s="157" t="n"/>
      <c r="R97" s="157" t="n"/>
      <c r="S97" s="157" t="n"/>
      <c r="T97" s="157" t="n"/>
      <c r="U97" s="157" t="n"/>
      <c r="V97" s="157" t="n"/>
      <c r="W97" s="157" t="n"/>
      <c r="X97" s="157" t="n"/>
      <c r="Y97" s="157" t="n"/>
      <c r="Z97" s="157" t="n"/>
      <c r="AA97" s="157" t="n"/>
      <c r="AB97" s="157" t="n"/>
      <c r="AC97" s="157" t="n"/>
      <c r="AD97" s="157" t="n"/>
      <c r="AE97" s="157" t="n"/>
      <c r="AF97" s="157" t="n"/>
      <c r="AG97" s="157" t="n"/>
      <c r="AH97" s="157" t="n"/>
      <c r="AI97" s="157" t="n"/>
      <c r="AJ97" s="157" t="n"/>
      <c r="AK97" s="157" t="n"/>
      <c r="AL97" s="157" t="n"/>
      <c r="AM97" s="157" t="n"/>
      <c r="AN97" s="157" t="n"/>
      <c r="AO97" s="157" t="n"/>
      <c r="AP97" s="157" t="n"/>
      <c r="AQ97" s="157" t="n"/>
      <c r="AR97" s="157" t="n"/>
      <c r="AS97" s="157" t="n"/>
      <c r="AT97" s="157" t="n"/>
      <c r="AU97" s="157" t="n"/>
      <c r="AV97" s="157" t="n"/>
      <c r="AW97" s="157" t="n"/>
      <c r="AX97" s="157" t="n"/>
      <c r="AY97" s="157" t="n"/>
      <c r="AZ97" s="157" t="n"/>
      <c r="BA97" s="157" t="n"/>
      <c r="BB97" s="157" t="n"/>
      <c r="BC97" s="157" t="n"/>
      <c r="BD97" s="157" t="n"/>
      <c r="BE97" s="157" t="n"/>
      <c r="BF97" s="157" t="n"/>
      <c r="BG97" s="157" t="n"/>
      <c r="BH97" s="158" t="n"/>
      <c r="BI97" s="159" t="n"/>
      <c r="BJ97" s="23">
        <f>IFERROR(ISNUMBER(E97)*IF(ISNUMBER(D97),--(E97&lt;D97-0.5),1)+ISNUMBER(F97)*IF(ISNUMBER(E97),--(F97&lt;E97-0.5),1)+ISNUMBER(G97)*IF(ISNUMBER(F97),--(G97&lt;F97-0.5),1)+ISNUMBER(H97)*IF(ISNUMBER(G97),--(H97&lt;G97-0.5),1)+ISNUMBER(I97)*IF(ISNUMBER(H97),--(I97&lt;H97-0.5),1)+ISNUMBER(J97)*IF(ISNUMBER(I97),--(J97&lt;I97-0.5),1)+ISNUMBER(K97)*IF(ISNUMBER(J97),--(K97&lt;J97-0.5),1)+IF(AND(ISNUMBER(C97),C97&lt;0),1,0),1)</f>
        <v/>
      </c>
      <c r="BK97" s="23">
        <f>IFERROR(ISNUMBER(M97)*IF(ISNUMBER(L97),--(M97&lt;L97-0.5),1)+ISNUMBER(N97)*IF(ISNUMBER(M97),--(N97&lt;M97-0.5),1)+ISNUMBER(O97)*IF(ISNUMBER(N97),--(O97&lt;N97-0.5),1)+ISNUMBER(P97)*IF(ISNUMBER(O97),--(P97&lt;O97-0.5),1)+ISNUMBER(Q97)*IF(ISNUMBER(P97),--(Q97&lt;P97-0.5),1)+ISNUMBER(R97)*IF(ISNUMBER(Q97),--(R97&lt;Q97-0.5),1)+ISNUMBER(S97)*IF(ISNUMBER(R97),--(S97&lt;R97-0.5),1),1)</f>
        <v/>
      </c>
    </row>
    <row r="98">
      <c r="A98" s="23" t="n">
        <v>25</v>
      </c>
      <c r="B98" s="75" t="n">
        <v>1</v>
      </c>
      <c r="C98" s="157" t="n"/>
      <c r="D98" s="157" t="n"/>
      <c r="E98" s="157" t="n"/>
      <c r="F98" s="157" t="n"/>
      <c r="G98" s="157" t="n"/>
      <c r="H98" s="157" t="n"/>
      <c r="I98" s="157" t="n"/>
      <c r="J98" s="157" t="n"/>
      <c r="K98" s="157" t="n"/>
      <c r="L98" s="157" t="n"/>
      <c r="M98" s="157" t="n"/>
      <c r="N98" s="157" t="n"/>
      <c r="O98" s="157" t="n"/>
      <c r="P98" s="157" t="n"/>
      <c r="Q98" s="157" t="n"/>
      <c r="R98" s="157" t="n"/>
      <c r="S98" s="157" t="n"/>
      <c r="T98" s="157" t="n"/>
      <c r="U98" s="157" t="n"/>
      <c r="V98" s="157" t="n"/>
      <c r="W98" s="157" t="n"/>
      <c r="X98" s="157" t="n"/>
      <c r="Y98" s="157" t="n"/>
      <c r="Z98" s="157" t="n"/>
      <c r="AA98" s="157" t="n"/>
      <c r="AB98" s="157" t="n"/>
      <c r="AC98" s="157" t="n"/>
      <c r="AD98" s="157" t="n"/>
      <c r="AE98" s="157" t="n"/>
      <c r="AF98" s="157" t="n"/>
      <c r="AG98" s="157" t="n"/>
      <c r="AH98" s="157" t="n"/>
      <c r="AI98" s="157" t="n"/>
      <c r="AJ98" s="157" t="n"/>
      <c r="AK98" s="157" t="n"/>
      <c r="AL98" s="157" t="n"/>
      <c r="AM98" s="157" t="n"/>
      <c r="AN98" s="157" t="n"/>
      <c r="AO98" s="157" t="n"/>
      <c r="AP98" s="157" t="n"/>
      <c r="AQ98" s="157" t="n"/>
      <c r="AR98" s="157" t="n"/>
      <c r="AS98" s="157" t="n"/>
      <c r="AT98" s="157" t="n"/>
      <c r="AU98" s="157" t="n"/>
      <c r="AV98" s="157" t="n"/>
      <c r="AW98" s="157" t="n"/>
      <c r="AX98" s="157" t="n"/>
      <c r="AY98" s="157" t="n"/>
      <c r="AZ98" s="157" t="n"/>
      <c r="BA98" s="157" t="n"/>
      <c r="BB98" s="157" t="n"/>
      <c r="BC98" s="157" t="n"/>
      <c r="BD98" s="157" t="n"/>
      <c r="BE98" s="157" t="n"/>
      <c r="BF98" s="157" t="n"/>
      <c r="BG98" s="157" t="n"/>
      <c r="BH98" s="158" t="n"/>
      <c r="BI98" s="159" t="n"/>
      <c r="BJ98" s="23">
        <f>IFERROR(ISNUMBER(E98)*IF(ISNUMBER(D98),--(E98&lt;D98-0.5),1)+ISNUMBER(F98)*IF(ISNUMBER(E98),--(F98&lt;E98-0.5),1)+ISNUMBER(G98)*IF(ISNUMBER(F98),--(G98&lt;F98-0.5),1)+ISNUMBER(H98)*IF(ISNUMBER(G98),--(H98&lt;G98-0.5),1)+ISNUMBER(I98)*IF(ISNUMBER(H98),--(I98&lt;H98-0.5),1)+ISNUMBER(J98)*IF(ISNUMBER(I98),--(J98&lt;I98-0.5),1)+ISNUMBER(K98)*IF(ISNUMBER(J98),--(K98&lt;J98-0.5),1)+IF(AND(ISNUMBER(C98),C98&lt;0),1,0),1)</f>
        <v/>
      </c>
      <c r="BK98" s="23">
        <f>IFERROR(ISNUMBER(M98)*IF(ISNUMBER(L98),--(M98&lt;L98-0.5),1)+ISNUMBER(N98)*IF(ISNUMBER(M98),--(N98&lt;M98-0.5),1)+ISNUMBER(O98)*IF(ISNUMBER(N98),--(O98&lt;N98-0.5),1)+ISNUMBER(P98)*IF(ISNUMBER(O98),--(P98&lt;O98-0.5),1)+ISNUMBER(Q98)*IF(ISNUMBER(P98),--(Q98&lt;P98-0.5),1)+ISNUMBER(R98)*IF(ISNUMBER(Q98),--(R98&lt;Q98-0.5),1)+ISNUMBER(S98)*IF(ISNUMBER(R98),--(S98&lt;R98-0.5),1),1)</f>
        <v/>
      </c>
    </row>
    <row r="99">
      <c r="A99" s="23" t="n">
        <v>26</v>
      </c>
      <c r="B99" s="75" t="n">
        <v>1</v>
      </c>
      <c r="C99" s="157" t="n"/>
      <c r="D99" s="157" t="n"/>
      <c r="E99" s="157" t="n"/>
      <c r="F99" s="157" t="n"/>
      <c r="G99" s="157" t="n"/>
      <c r="H99" s="157" t="n"/>
      <c r="I99" s="157" t="n"/>
      <c r="J99" s="157" t="n"/>
      <c r="K99" s="157" t="n"/>
      <c r="L99" s="157" t="n"/>
      <c r="M99" s="157" t="n"/>
      <c r="N99" s="157" t="n"/>
      <c r="O99" s="157" t="n"/>
      <c r="P99" s="157" t="n"/>
      <c r="Q99" s="157" t="n"/>
      <c r="R99" s="157" t="n"/>
      <c r="S99" s="157" t="n"/>
      <c r="T99" s="157" t="n"/>
      <c r="U99" s="157" t="n"/>
      <c r="V99" s="157" t="n"/>
      <c r="W99" s="157" t="n"/>
      <c r="X99" s="157" t="n"/>
      <c r="Y99" s="157" t="n"/>
      <c r="Z99" s="157" t="n"/>
      <c r="AA99" s="157" t="n"/>
      <c r="AB99" s="157" t="n"/>
      <c r="AC99" s="157" t="n"/>
      <c r="AD99" s="157" t="n"/>
      <c r="AE99" s="157" t="n"/>
      <c r="AF99" s="157" t="n"/>
      <c r="AG99" s="157" t="n"/>
      <c r="AH99" s="157" t="n"/>
      <c r="AI99" s="157" t="n"/>
      <c r="AJ99" s="157" t="n"/>
      <c r="AK99" s="157" t="n"/>
      <c r="AL99" s="157" t="n"/>
      <c r="AM99" s="157" t="n"/>
      <c r="AN99" s="157" t="n"/>
      <c r="AO99" s="157" t="n"/>
      <c r="AP99" s="157" t="n"/>
      <c r="AQ99" s="157" t="n"/>
      <c r="AR99" s="157" t="n"/>
      <c r="AS99" s="157" t="n"/>
      <c r="AT99" s="157" t="n"/>
      <c r="AU99" s="157" t="n"/>
      <c r="AV99" s="157" t="n"/>
      <c r="AW99" s="157" t="n"/>
      <c r="AX99" s="157" t="n"/>
      <c r="AY99" s="157" t="n"/>
      <c r="AZ99" s="157" t="n"/>
      <c r="BA99" s="157" t="n"/>
      <c r="BB99" s="157" t="n"/>
      <c r="BC99" s="157" t="n"/>
      <c r="BD99" s="157" t="n"/>
      <c r="BE99" s="157" t="n"/>
      <c r="BF99" s="157" t="n"/>
      <c r="BG99" s="157" t="n"/>
      <c r="BH99" s="158" t="n"/>
      <c r="BI99" s="159" t="n"/>
      <c r="BJ99" s="23">
        <f>IFERROR(ISNUMBER(E99)*IF(ISNUMBER(D99),--(E99&lt;D99-0.5),1)+ISNUMBER(F99)*IF(ISNUMBER(E99),--(F99&lt;E99-0.5),1)+ISNUMBER(G99)*IF(ISNUMBER(F99),--(G99&lt;F99-0.5),1)+ISNUMBER(H99)*IF(ISNUMBER(G99),--(H99&lt;G99-0.5),1)+ISNUMBER(I99)*IF(ISNUMBER(H99),--(I99&lt;H99-0.5),1)+ISNUMBER(J99)*IF(ISNUMBER(I99),--(J99&lt;I99-0.5),1)+ISNUMBER(K99)*IF(ISNUMBER(J99),--(K99&lt;J99-0.5),1)+IF(AND(ISNUMBER(C99),C99&lt;0),1,0),1)</f>
        <v/>
      </c>
      <c r="BK99" s="23">
        <f>IFERROR(ISNUMBER(M99)*IF(ISNUMBER(L99),--(M99&lt;L99-0.5),1)+ISNUMBER(N99)*IF(ISNUMBER(M99),--(N99&lt;M99-0.5),1)+ISNUMBER(O99)*IF(ISNUMBER(N99),--(O99&lt;N99-0.5),1)+ISNUMBER(P99)*IF(ISNUMBER(O99),--(P99&lt;O99-0.5),1)+ISNUMBER(Q99)*IF(ISNUMBER(P99),--(Q99&lt;P99-0.5),1)+ISNUMBER(R99)*IF(ISNUMBER(Q99),--(R99&lt;Q99-0.5),1)+ISNUMBER(S99)*IF(ISNUMBER(R99),--(S99&lt;R99-0.5),1),1)</f>
        <v/>
      </c>
    </row>
    <row r="100">
      <c r="A100" s="23" t="n">
        <v>27</v>
      </c>
      <c r="B100" s="75" t="n">
        <v>1</v>
      </c>
      <c r="C100" s="157" t="n"/>
      <c r="D100" s="157" t="n"/>
      <c r="E100" s="157" t="n"/>
      <c r="F100" s="157" t="n"/>
      <c r="G100" s="157" t="n"/>
      <c r="H100" s="157" t="n"/>
      <c r="I100" s="157" t="n"/>
      <c r="J100" s="157" t="n"/>
      <c r="K100" s="157" t="n"/>
      <c r="L100" s="157" t="n"/>
      <c r="M100" s="157" t="n"/>
      <c r="N100" s="157" t="n"/>
      <c r="O100" s="157" t="n"/>
      <c r="P100" s="157" t="n"/>
      <c r="Q100" s="157" t="n"/>
      <c r="R100" s="157" t="n"/>
      <c r="S100" s="157" t="n"/>
      <c r="T100" s="157" t="n"/>
      <c r="U100" s="157" t="n"/>
      <c r="V100" s="157" t="n"/>
      <c r="W100" s="157" t="n"/>
      <c r="X100" s="157" t="n"/>
      <c r="Y100" s="157" t="n"/>
      <c r="Z100" s="157" t="n"/>
      <c r="AA100" s="157" t="n"/>
      <c r="AB100" s="157" t="n"/>
      <c r="AC100" s="157" t="n"/>
      <c r="AD100" s="157" t="n"/>
      <c r="AE100" s="157" t="n"/>
      <c r="AF100" s="157" t="n"/>
      <c r="AG100" s="157" t="n"/>
      <c r="AH100" s="157" t="n"/>
      <c r="AI100" s="157" t="n"/>
      <c r="AJ100" s="157" t="n"/>
      <c r="AK100" s="157" t="n"/>
      <c r="AL100" s="157" t="n"/>
      <c r="AM100" s="157" t="n"/>
      <c r="AN100" s="157" t="n"/>
      <c r="AO100" s="157" t="n"/>
      <c r="AP100" s="157" t="n"/>
      <c r="AQ100" s="157" t="n"/>
      <c r="AR100" s="157" t="n"/>
      <c r="AS100" s="157" t="n"/>
      <c r="AT100" s="157" t="n"/>
      <c r="AU100" s="157" t="n"/>
      <c r="AV100" s="157" t="n"/>
      <c r="AW100" s="157" t="n"/>
      <c r="AX100" s="157" t="n"/>
      <c r="AY100" s="157" t="n"/>
      <c r="AZ100" s="157" t="n"/>
      <c r="BA100" s="157" t="n"/>
      <c r="BB100" s="157" t="n"/>
      <c r="BC100" s="157" t="n"/>
      <c r="BD100" s="157" t="n"/>
      <c r="BE100" s="157" t="n"/>
      <c r="BF100" s="157" t="n"/>
      <c r="BG100" s="157" t="n"/>
      <c r="BH100" s="158" t="n"/>
      <c r="BI100" s="159" t="n"/>
      <c r="BJ100" s="23">
        <f>IFERROR(ISNUMBER(E100)*IF(ISNUMBER(D100),--(E100&lt;D100-0.5),1)+ISNUMBER(F100)*IF(ISNUMBER(E100),--(F100&lt;E100-0.5),1)+ISNUMBER(G100)*IF(ISNUMBER(F100),--(G100&lt;F100-0.5),1)+ISNUMBER(H100)*IF(ISNUMBER(G100),--(H100&lt;G100-0.5),1)+ISNUMBER(I100)*IF(ISNUMBER(H100),--(I100&lt;H100-0.5),1)+ISNUMBER(J100)*IF(ISNUMBER(I100),--(J100&lt;I100-0.5),1)+ISNUMBER(K100)*IF(ISNUMBER(J100),--(K100&lt;J100-0.5),1)+IF(AND(ISNUMBER(C100),C100&lt;0),1,0),1)</f>
        <v/>
      </c>
      <c r="BK100" s="23">
        <f>IFERROR(ISNUMBER(M100)*IF(ISNUMBER(L100),--(M100&lt;L100-0.5),1)+ISNUMBER(N100)*IF(ISNUMBER(M100),--(N100&lt;M100-0.5),1)+ISNUMBER(O100)*IF(ISNUMBER(N100),--(O100&lt;N100-0.5),1)+ISNUMBER(P100)*IF(ISNUMBER(O100),--(P100&lt;O100-0.5),1)+ISNUMBER(Q100)*IF(ISNUMBER(P100),--(Q100&lt;P100-0.5),1)+ISNUMBER(R100)*IF(ISNUMBER(Q100),--(R100&lt;Q100-0.5),1)+ISNUMBER(S100)*IF(ISNUMBER(R100),--(S100&lt;R100-0.5),1),1)</f>
        <v/>
      </c>
    </row>
    <row r="101">
      <c r="A101" s="23" t="n">
        <v>28</v>
      </c>
      <c r="B101" s="75" t="n">
        <v>1</v>
      </c>
      <c r="C101" s="157" t="n"/>
      <c r="D101" s="157" t="n"/>
      <c r="E101" s="157" t="n"/>
      <c r="F101" s="157" t="n"/>
      <c r="G101" s="157" t="n"/>
      <c r="H101" s="157" t="n"/>
      <c r="I101" s="157" t="n"/>
      <c r="J101" s="157" t="n"/>
      <c r="K101" s="157" t="n"/>
      <c r="L101" s="157" t="n"/>
      <c r="M101" s="157" t="n"/>
      <c r="N101" s="157" t="n"/>
      <c r="O101" s="157" t="n"/>
      <c r="P101" s="157" t="n"/>
      <c r="Q101" s="157" t="n"/>
      <c r="R101" s="157" t="n"/>
      <c r="S101" s="157" t="n"/>
      <c r="T101" s="157" t="n"/>
      <c r="U101" s="157" t="n"/>
      <c r="V101" s="157" t="n"/>
      <c r="W101" s="157" t="n"/>
      <c r="X101" s="157" t="n"/>
      <c r="Y101" s="157" t="n"/>
      <c r="Z101" s="157" t="n"/>
      <c r="AA101" s="157" t="n"/>
      <c r="AB101" s="157" t="n"/>
      <c r="AC101" s="157" t="n"/>
      <c r="AD101" s="157" t="n"/>
      <c r="AE101" s="157" t="n"/>
      <c r="AF101" s="157" t="n"/>
      <c r="AG101" s="157" t="n"/>
      <c r="AH101" s="157" t="n"/>
      <c r="AI101" s="157" t="n"/>
      <c r="AJ101" s="157" t="n"/>
      <c r="AK101" s="157" t="n"/>
      <c r="AL101" s="157" t="n"/>
      <c r="AM101" s="157" t="n"/>
      <c r="AN101" s="157" t="n"/>
      <c r="AO101" s="157" t="n"/>
      <c r="AP101" s="157" t="n"/>
      <c r="AQ101" s="157" t="n"/>
      <c r="AR101" s="157" t="n"/>
      <c r="AS101" s="157" t="n"/>
      <c r="AT101" s="157" t="n"/>
      <c r="AU101" s="157" t="n"/>
      <c r="AV101" s="157" t="n"/>
      <c r="AW101" s="157" t="n"/>
      <c r="AX101" s="157" t="n"/>
      <c r="AY101" s="157" t="n"/>
      <c r="AZ101" s="157" t="n"/>
      <c r="BA101" s="157" t="n"/>
      <c r="BB101" s="157" t="n"/>
      <c r="BC101" s="157" t="n"/>
      <c r="BD101" s="157" t="n"/>
      <c r="BE101" s="157" t="n"/>
      <c r="BF101" s="157" t="n"/>
      <c r="BG101" s="157" t="n"/>
      <c r="BH101" s="158" t="n"/>
      <c r="BI101" s="159" t="n"/>
      <c r="BJ101" s="23">
        <f>IFERROR(ISNUMBER(E101)*IF(ISNUMBER(D101),--(E101&lt;D101-0.5),1)+ISNUMBER(F101)*IF(ISNUMBER(E101),--(F101&lt;E101-0.5),1)+ISNUMBER(G101)*IF(ISNUMBER(F101),--(G101&lt;F101-0.5),1)+ISNUMBER(H101)*IF(ISNUMBER(G101),--(H101&lt;G101-0.5),1)+ISNUMBER(I101)*IF(ISNUMBER(H101),--(I101&lt;H101-0.5),1)+ISNUMBER(J101)*IF(ISNUMBER(I101),--(J101&lt;I101-0.5),1)+ISNUMBER(K101)*IF(ISNUMBER(J101),--(K101&lt;J101-0.5),1)+IF(AND(ISNUMBER(C101),C101&lt;0),1,0),1)</f>
        <v/>
      </c>
      <c r="BK101" s="23">
        <f>IFERROR(ISNUMBER(M101)*IF(ISNUMBER(L101),--(M101&lt;L101-0.5),1)+ISNUMBER(N101)*IF(ISNUMBER(M101),--(N101&lt;M101-0.5),1)+ISNUMBER(O101)*IF(ISNUMBER(N101),--(O101&lt;N101-0.5),1)+ISNUMBER(P101)*IF(ISNUMBER(O101),--(P101&lt;O101-0.5),1)+ISNUMBER(Q101)*IF(ISNUMBER(P101),--(Q101&lt;P101-0.5),1)+ISNUMBER(R101)*IF(ISNUMBER(Q101),--(R101&lt;Q101-0.5),1)+ISNUMBER(S101)*IF(ISNUMBER(R101),--(S101&lt;R101-0.5),1),1)</f>
        <v/>
      </c>
    </row>
    <row r="102">
      <c r="A102" s="23" t="n">
        <v>29</v>
      </c>
      <c r="B102" s="75" t="n">
        <v>1</v>
      </c>
      <c r="C102" s="157" t="n"/>
      <c r="D102" s="157" t="n"/>
      <c r="E102" s="157" t="n"/>
      <c r="F102" s="157" t="n"/>
      <c r="G102" s="157" t="n"/>
      <c r="H102" s="157" t="n"/>
      <c r="I102" s="157" t="n"/>
      <c r="J102" s="157" t="n"/>
      <c r="K102" s="157" t="n"/>
      <c r="L102" s="157" t="n"/>
      <c r="M102" s="157" t="n"/>
      <c r="N102" s="157" t="n"/>
      <c r="O102" s="157" t="n"/>
      <c r="P102" s="157" t="n"/>
      <c r="Q102" s="157" t="n"/>
      <c r="R102" s="157" t="n"/>
      <c r="S102" s="157" t="n"/>
      <c r="T102" s="157" t="n"/>
      <c r="U102" s="157" t="n"/>
      <c r="V102" s="157" t="n"/>
      <c r="W102" s="157" t="n"/>
      <c r="X102" s="157" t="n"/>
      <c r="Y102" s="157" t="n"/>
      <c r="Z102" s="157" t="n"/>
      <c r="AA102" s="157" t="n"/>
      <c r="AB102" s="157" t="n"/>
      <c r="AC102" s="157" t="n"/>
      <c r="AD102" s="157" t="n"/>
      <c r="AE102" s="157" t="n"/>
      <c r="AF102" s="157" t="n"/>
      <c r="AG102" s="157" t="n"/>
      <c r="AH102" s="157" t="n"/>
      <c r="AI102" s="157" t="n"/>
      <c r="AJ102" s="157" t="n"/>
      <c r="AK102" s="157" t="n"/>
      <c r="AL102" s="157" t="n"/>
      <c r="AM102" s="157" t="n"/>
      <c r="AN102" s="157" t="n"/>
      <c r="AO102" s="157" t="n"/>
      <c r="AP102" s="157" t="n"/>
      <c r="AQ102" s="157" t="n"/>
      <c r="AR102" s="157" t="n"/>
      <c r="AS102" s="157" t="n"/>
      <c r="AT102" s="157" t="n"/>
      <c r="AU102" s="157" t="n"/>
      <c r="AV102" s="157" t="n"/>
      <c r="AW102" s="157" t="n"/>
      <c r="AX102" s="157" t="n"/>
      <c r="AY102" s="157" t="n"/>
      <c r="AZ102" s="157" t="n"/>
      <c r="BA102" s="157" t="n"/>
      <c r="BB102" s="157" t="n"/>
      <c r="BC102" s="157" t="n"/>
      <c r="BD102" s="157" t="n"/>
      <c r="BE102" s="157" t="n"/>
      <c r="BF102" s="157" t="n"/>
      <c r="BG102" s="157" t="n"/>
      <c r="BH102" s="158" t="n"/>
      <c r="BI102" s="159" t="n"/>
      <c r="BJ102" s="23">
        <f>IFERROR(ISNUMBER(E102)*IF(ISNUMBER(D102),--(E102&lt;D102-0.5),1)+ISNUMBER(F102)*IF(ISNUMBER(E102),--(F102&lt;E102-0.5),1)+ISNUMBER(G102)*IF(ISNUMBER(F102),--(G102&lt;F102-0.5),1)+ISNUMBER(H102)*IF(ISNUMBER(G102),--(H102&lt;G102-0.5),1)+ISNUMBER(I102)*IF(ISNUMBER(H102),--(I102&lt;H102-0.5),1)+ISNUMBER(J102)*IF(ISNUMBER(I102),--(J102&lt;I102-0.5),1)+ISNUMBER(K102)*IF(ISNUMBER(J102),--(K102&lt;J102-0.5),1)+IF(AND(ISNUMBER(C102),C102&lt;0),1,0),1)</f>
        <v/>
      </c>
      <c r="BK102" s="23">
        <f>IFERROR(ISNUMBER(M102)*IF(ISNUMBER(L102),--(M102&lt;L102-0.5),1)+ISNUMBER(N102)*IF(ISNUMBER(M102),--(N102&lt;M102-0.5),1)+ISNUMBER(O102)*IF(ISNUMBER(N102),--(O102&lt;N102-0.5),1)+ISNUMBER(P102)*IF(ISNUMBER(O102),--(P102&lt;O102-0.5),1)+ISNUMBER(Q102)*IF(ISNUMBER(P102),--(Q102&lt;P102-0.5),1)+ISNUMBER(R102)*IF(ISNUMBER(Q102),--(R102&lt;Q102-0.5),1)+ISNUMBER(S102)*IF(ISNUMBER(R102),--(S102&lt;R102-0.5),1),1)</f>
        <v/>
      </c>
    </row>
    <row r="103">
      <c r="A103" s="23" t="n">
        <v>30</v>
      </c>
      <c r="B103" s="75" t="n">
        <v>1</v>
      </c>
      <c r="C103" s="157" t="n"/>
      <c r="D103" s="157" t="n"/>
      <c r="E103" s="157" t="n"/>
      <c r="F103" s="157" t="n"/>
      <c r="G103" s="157" t="n"/>
      <c r="H103" s="157" t="n"/>
      <c r="I103" s="157" t="n"/>
      <c r="J103" s="157" t="n"/>
      <c r="K103" s="157" t="n"/>
      <c r="L103" s="157" t="n"/>
      <c r="M103" s="157" t="n"/>
      <c r="N103" s="157" t="n"/>
      <c r="O103" s="157" t="n"/>
      <c r="P103" s="157" t="n"/>
      <c r="Q103" s="157" t="n"/>
      <c r="R103" s="157" t="n"/>
      <c r="S103" s="157" t="n"/>
      <c r="T103" s="157" t="n"/>
      <c r="U103" s="157" t="n"/>
      <c r="V103" s="157" t="n"/>
      <c r="W103" s="157" t="n"/>
      <c r="X103" s="157" t="n"/>
      <c r="Y103" s="157" t="n"/>
      <c r="Z103" s="157" t="n"/>
      <c r="AA103" s="157" t="n"/>
      <c r="AB103" s="157" t="n"/>
      <c r="AC103" s="157" t="n"/>
      <c r="AD103" s="157" t="n"/>
      <c r="AE103" s="157" t="n"/>
      <c r="AF103" s="157" t="n"/>
      <c r="AG103" s="157" t="n"/>
      <c r="AH103" s="157" t="n"/>
      <c r="AI103" s="157" t="n"/>
      <c r="AJ103" s="157" t="n"/>
      <c r="AK103" s="157" t="n"/>
      <c r="AL103" s="157" t="n"/>
      <c r="AM103" s="157" t="n"/>
      <c r="AN103" s="157" t="n"/>
      <c r="AO103" s="157" t="n"/>
      <c r="AP103" s="157" t="n"/>
      <c r="AQ103" s="157" t="n"/>
      <c r="AR103" s="157" t="n"/>
      <c r="AS103" s="157" t="n"/>
      <c r="AT103" s="157" t="n"/>
      <c r="AU103" s="157" t="n"/>
      <c r="AV103" s="157" t="n"/>
      <c r="AW103" s="157" t="n"/>
      <c r="AX103" s="157" t="n"/>
      <c r="AY103" s="157" t="n"/>
      <c r="AZ103" s="157" t="n"/>
      <c r="BA103" s="157" t="n"/>
      <c r="BB103" s="157" t="n"/>
      <c r="BC103" s="157" t="n"/>
      <c r="BD103" s="157" t="n"/>
      <c r="BE103" s="157" t="n"/>
      <c r="BF103" s="157" t="n"/>
      <c r="BG103" s="157" t="n"/>
      <c r="BH103" s="158" t="n"/>
      <c r="BI103" s="159" t="n"/>
      <c r="BJ103" s="23">
        <f>IFERROR(ISNUMBER(E103)*IF(ISNUMBER(D103),--(E103&lt;D103-0.5),1)+ISNUMBER(F103)*IF(ISNUMBER(E103),--(F103&lt;E103-0.5),1)+ISNUMBER(G103)*IF(ISNUMBER(F103),--(G103&lt;F103-0.5),1)+ISNUMBER(H103)*IF(ISNUMBER(G103),--(H103&lt;G103-0.5),1)+ISNUMBER(I103)*IF(ISNUMBER(H103),--(I103&lt;H103-0.5),1)+ISNUMBER(J103)*IF(ISNUMBER(I103),--(J103&lt;I103-0.5),1)+ISNUMBER(K103)*IF(ISNUMBER(J103),--(K103&lt;J103-0.5),1)+IF(AND(ISNUMBER(C103),C103&lt;0),1,0),1)</f>
        <v/>
      </c>
      <c r="BK103" s="23">
        <f>IFERROR(ISNUMBER(M103)*IF(ISNUMBER(L103),--(M103&lt;L103-0.5),1)+ISNUMBER(N103)*IF(ISNUMBER(M103),--(N103&lt;M103-0.5),1)+ISNUMBER(O103)*IF(ISNUMBER(N103),--(O103&lt;N103-0.5),1)+ISNUMBER(P103)*IF(ISNUMBER(O103),--(P103&lt;O103-0.5),1)+ISNUMBER(Q103)*IF(ISNUMBER(P103),--(Q103&lt;P103-0.5),1)+ISNUMBER(R103)*IF(ISNUMBER(Q103),--(R103&lt;Q103-0.5),1)+ISNUMBER(S103)*IF(ISNUMBER(R103),--(S103&lt;R103-0.5),1),1)</f>
        <v/>
      </c>
    </row>
    <row r="104">
      <c r="A104" s="23" t="n">
        <v>31</v>
      </c>
      <c r="B104" s="75" t="n">
        <v>1</v>
      </c>
      <c r="C104" s="157" t="n"/>
      <c r="D104" s="157" t="n"/>
      <c r="E104" s="157" t="n"/>
      <c r="F104" s="157" t="n"/>
      <c r="G104" s="157" t="n"/>
      <c r="H104" s="157" t="n"/>
      <c r="I104" s="157" t="n"/>
      <c r="J104" s="157" t="n"/>
      <c r="K104" s="157" t="n"/>
      <c r="L104" s="157" t="n"/>
      <c r="M104" s="157" t="n"/>
      <c r="N104" s="157" t="n"/>
      <c r="O104" s="157" t="n"/>
      <c r="P104" s="157" t="n"/>
      <c r="Q104" s="157" t="n"/>
      <c r="R104" s="157" t="n"/>
      <c r="S104" s="157" t="n"/>
      <c r="T104" s="157" t="n"/>
      <c r="U104" s="157" t="n"/>
      <c r="V104" s="157" t="n"/>
      <c r="W104" s="157" t="n"/>
      <c r="X104" s="157" t="n"/>
      <c r="Y104" s="157" t="n"/>
      <c r="Z104" s="157" t="n"/>
      <c r="AA104" s="157" t="n"/>
      <c r="AB104" s="157" t="n"/>
      <c r="AC104" s="157" t="n"/>
      <c r="AD104" s="157" t="n"/>
      <c r="AE104" s="157" t="n"/>
      <c r="AF104" s="157" t="n"/>
      <c r="AG104" s="157" t="n"/>
      <c r="AH104" s="157" t="n"/>
      <c r="AI104" s="157" t="n"/>
      <c r="AJ104" s="157" t="n"/>
      <c r="AK104" s="157" t="n"/>
      <c r="AL104" s="157" t="n"/>
      <c r="AM104" s="157" t="n"/>
      <c r="AN104" s="157" t="n"/>
      <c r="AO104" s="157" t="n"/>
      <c r="AP104" s="157" t="n"/>
      <c r="AQ104" s="157" t="n"/>
      <c r="AR104" s="157" t="n"/>
      <c r="AS104" s="157" t="n"/>
      <c r="AT104" s="157" t="n"/>
      <c r="AU104" s="157" t="n"/>
      <c r="AV104" s="157" t="n"/>
      <c r="AW104" s="157" t="n"/>
      <c r="AX104" s="157" t="n"/>
      <c r="AY104" s="157" t="n"/>
      <c r="AZ104" s="157" t="n"/>
      <c r="BA104" s="157" t="n"/>
      <c r="BB104" s="157" t="n"/>
      <c r="BC104" s="157" t="n"/>
      <c r="BD104" s="157" t="n"/>
      <c r="BE104" s="157" t="n"/>
      <c r="BF104" s="157" t="n"/>
      <c r="BG104" s="157" t="n"/>
      <c r="BH104" s="158" t="n"/>
      <c r="BI104" s="159" t="n"/>
      <c r="BJ104" s="23">
        <f>IFERROR(ISNUMBER(E104)*IF(ISNUMBER(D104),--(E104&lt;D104-0.5),1)+ISNUMBER(F104)*IF(ISNUMBER(E104),--(F104&lt;E104-0.5),1)+ISNUMBER(G104)*IF(ISNUMBER(F104),--(G104&lt;F104-0.5),1)+ISNUMBER(H104)*IF(ISNUMBER(G104),--(H104&lt;G104-0.5),1)+ISNUMBER(I104)*IF(ISNUMBER(H104),--(I104&lt;H104-0.5),1)+ISNUMBER(J104)*IF(ISNUMBER(I104),--(J104&lt;I104-0.5),1)+ISNUMBER(K104)*IF(ISNUMBER(J104),--(K104&lt;J104-0.5),1)+IF(AND(ISNUMBER(C104),C104&lt;0),1,0),1)</f>
        <v/>
      </c>
      <c r="BK104" s="23">
        <f>IFERROR(ISNUMBER(M104)*IF(ISNUMBER(L104),--(M104&lt;L104-0.5),1)+ISNUMBER(N104)*IF(ISNUMBER(M104),--(N104&lt;M104-0.5),1)+ISNUMBER(O104)*IF(ISNUMBER(N104),--(O104&lt;N104-0.5),1)+ISNUMBER(P104)*IF(ISNUMBER(O104),--(P104&lt;O104-0.5),1)+ISNUMBER(Q104)*IF(ISNUMBER(P104),--(Q104&lt;P104-0.5),1)+ISNUMBER(R104)*IF(ISNUMBER(Q104),--(R104&lt;Q104-0.5),1)+ISNUMBER(S104)*IF(ISNUMBER(R104),--(S104&lt;R104-0.5),1),1)</f>
        <v/>
      </c>
    </row>
    <row r="105">
      <c r="A105" s="23" t="n">
        <v>32</v>
      </c>
      <c r="B105" s="75" t="n">
        <v>1</v>
      </c>
      <c r="C105" s="157" t="n"/>
      <c r="D105" s="157" t="n"/>
      <c r="E105" s="157" t="n"/>
      <c r="F105" s="157" t="n"/>
      <c r="G105" s="157" t="n"/>
      <c r="H105" s="157" t="n"/>
      <c r="I105" s="157" t="n"/>
      <c r="J105" s="157" t="n"/>
      <c r="K105" s="157" t="n"/>
      <c r="L105" s="157" t="n"/>
      <c r="M105" s="157" t="n"/>
      <c r="N105" s="157" t="n"/>
      <c r="O105" s="157" t="n"/>
      <c r="P105" s="157" t="n"/>
      <c r="Q105" s="157" t="n"/>
      <c r="R105" s="157" t="n"/>
      <c r="S105" s="157" t="n"/>
      <c r="T105" s="157" t="n"/>
      <c r="U105" s="157" t="n"/>
      <c r="V105" s="157" t="n"/>
      <c r="W105" s="157" t="n"/>
      <c r="X105" s="157" t="n"/>
      <c r="Y105" s="157" t="n"/>
      <c r="Z105" s="157" t="n"/>
      <c r="AA105" s="157" t="n"/>
      <c r="AB105" s="157" t="n"/>
      <c r="AC105" s="157" t="n"/>
      <c r="AD105" s="157" t="n"/>
      <c r="AE105" s="157" t="n"/>
      <c r="AF105" s="157" t="n"/>
      <c r="AG105" s="157" t="n"/>
      <c r="AH105" s="157" t="n"/>
      <c r="AI105" s="157" t="n"/>
      <c r="AJ105" s="157" t="n"/>
      <c r="AK105" s="157" t="n"/>
      <c r="AL105" s="157" t="n"/>
      <c r="AM105" s="157" t="n"/>
      <c r="AN105" s="157" t="n"/>
      <c r="AO105" s="157" t="n"/>
      <c r="AP105" s="157" t="n"/>
      <c r="AQ105" s="157" t="n"/>
      <c r="AR105" s="157" t="n"/>
      <c r="AS105" s="157" t="n"/>
      <c r="AT105" s="157" t="n"/>
      <c r="AU105" s="157" t="n"/>
      <c r="AV105" s="157" t="n"/>
      <c r="AW105" s="157" t="n"/>
      <c r="AX105" s="157" t="n"/>
      <c r="AY105" s="157" t="n"/>
      <c r="AZ105" s="157" t="n"/>
      <c r="BA105" s="157" t="n"/>
      <c r="BB105" s="157" t="n"/>
      <c r="BC105" s="157" t="n"/>
      <c r="BD105" s="157" t="n"/>
      <c r="BE105" s="157" t="n"/>
      <c r="BF105" s="157" t="n"/>
      <c r="BG105" s="157" t="n"/>
      <c r="BH105" s="158" t="n"/>
      <c r="BI105" s="159" t="n"/>
      <c r="BJ105" s="23">
        <f>IFERROR(ISNUMBER(E105)*IF(ISNUMBER(D105),--(E105&lt;D105-0.5),1)+ISNUMBER(F105)*IF(ISNUMBER(E105),--(F105&lt;E105-0.5),1)+ISNUMBER(G105)*IF(ISNUMBER(F105),--(G105&lt;F105-0.5),1)+ISNUMBER(H105)*IF(ISNUMBER(G105),--(H105&lt;G105-0.5),1)+ISNUMBER(I105)*IF(ISNUMBER(H105),--(I105&lt;H105-0.5),1)+ISNUMBER(J105)*IF(ISNUMBER(I105),--(J105&lt;I105-0.5),1)+ISNUMBER(K105)*IF(ISNUMBER(J105),--(K105&lt;J105-0.5),1)+IF(AND(ISNUMBER(C105),C105&lt;0),1,0),1)</f>
        <v/>
      </c>
      <c r="BK105" s="23">
        <f>IFERROR(ISNUMBER(M105)*IF(ISNUMBER(L105),--(M105&lt;L105-0.5),1)+ISNUMBER(N105)*IF(ISNUMBER(M105),--(N105&lt;M105-0.5),1)+ISNUMBER(O105)*IF(ISNUMBER(N105),--(O105&lt;N105-0.5),1)+ISNUMBER(P105)*IF(ISNUMBER(O105),--(P105&lt;O105-0.5),1)+ISNUMBER(Q105)*IF(ISNUMBER(P105),--(Q105&lt;P105-0.5),1)+ISNUMBER(R105)*IF(ISNUMBER(Q105),--(R105&lt;Q105-0.5),1)+ISNUMBER(S105)*IF(ISNUMBER(R105),--(S105&lt;R105-0.5),1),1)</f>
        <v/>
      </c>
    </row>
    <row r="106">
      <c r="A106" s="23" t="n">
        <v>33</v>
      </c>
      <c r="B106" s="75" t="n">
        <v>1</v>
      </c>
      <c r="C106" s="157" t="n"/>
      <c r="D106" s="157" t="n"/>
      <c r="E106" s="157" t="n"/>
      <c r="F106" s="157" t="n"/>
      <c r="G106" s="157" t="n"/>
      <c r="H106" s="157" t="n"/>
      <c r="I106" s="157" t="n"/>
      <c r="J106" s="157" t="n"/>
      <c r="K106" s="157" t="n"/>
      <c r="L106" s="157" t="n"/>
      <c r="M106" s="157" t="n"/>
      <c r="N106" s="157" t="n"/>
      <c r="O106" s="157" t="n"/>
      <c r="P106" s="157" t="n"/>
      <c r="Q106" s="157" t="n"/>
      <c r="R106" s="157" t="n"/>
      <c r="S106" s="157" t="n"/>
      <c r="T106" s="157" t="n"/>
      <c r="U106" s="157" t="n"/>
      <c r="V106" s="157" t="n"/>
      <c r="W106" s="157" t="n"/>
      <c r="X106" s="157" t="n"/>
      <c r="Y106" s="157" t="n"/>
      <c r="Z106" s="157" t="n"/>
      <c r="AA106" s="157" t="n"/>
      <c r="AB106" s="157" t="n"/>
      <c r="AC106" s="157" t="n"/>
      <c r="AD106" s="157" t="n"/>
      <c r="AE106" s="157" t="n"/>
      <c r="AF106" s="157" t="n"/>
      <c r="AG106" s="157" t="n"/>
      <c r="AH106" s="157" t="n"/>
      <c r="AI106" s="157" t="n"/>
      <c r="AJ106" s="157" t="n"/>
      <c r="AK106" s="157" t="n"/>
      <c r="AL106" s="157" t="n"/>
      <c r="AM106" s="157" t="n"/>
      <c r="AN106" s="157" t="n"/>
      <c r="AO106" s="157" t="n"/>
      <c r="AP106" s="157" t="n"/>
      <c r="AQ106" s="157" t="n"/>
      <c r="AR106" s="157" t="n"/>
      <c r="AS106" s="157" t="n"/>
      <c r="AT106" s="157" t="n"/>
      <c r="AU106" s="157" t="n"/>
      <c r="AV106" s="157" t="n"/>
      <c r="AW106" s="157" t="n"/>
      <c r="AX106" s="157" t="n"/>
      <c r="AY106" s="157" t="n"/>
      <c r="AZ106" s="157" t="n"/>
      <c r="BA106" s="157" t="n"/>
      <c r="BB106" s="157" t="n"/>
      <c r="BC106" s="157" t="n"/>
      <c r="BD106" s="157" t="n"/>
      <c r="BE106" s="157" t="n"/>
      <c r="BF106" s="157" t="n"/>
      <c r="BG106" s="157" t="n"/>
      <c r="BH106" s="158" t="n"/>
      <c r="BI106" s="159" t="n"/>
      <c r="BJ106" s="23">
        <f>IFERROR(ISNUMBER(E106)*IF(ISNUMBER(D106),--(E106&lt;D106-0.5),1)+ISNUMBER(F106)*IF(ISNUMBER(E106),--(F106&lt;E106-0.5),1)+ISNUMBER(G106)*IF(ISNUMBER(F106),--(G106&lt;F106-0.5),1)+ISNUMBER(H106)*IF(ISNUMBER(G106),--(H106&lt;G106-0.5),1)+ISNUMBER(I106)*IF(ISNUMBER(H106),--(I106&lt;H106-0.5),1)+ISNUMBER(J106)*IF(ISNUMBER(I106),--(J106&lt;I106-0.5),1)+ISNUMBER(K106)*IF(ISNUMBER(J106),--(K106&lt;J106-0.5),1)+IF(AND(ISNUMBER(C106),C106&lt;0),1,0),1)</f>
        <v/>
      </c>
      <c r="BK106" s="23">
        <f>IFERROR(ISNUMBER(M106)*IF(ISNUMBER(L106),--(M106&lt;L106-0.5),1)+ISNUMBER(N106)*IF(ISNUMBER(M106),--(N106&lt;M106-0.5),1)+ISNUMBER(O106)*IF(ISNUMBER(N106),--(O106&lt;N106-0.5),1)+ISNUMBER(P106)*IF(ISNUMBER(O106),--(P106&lt;O106-0.5),1)+ISNUMBER(Q106)*IF(ISNUMBER(P106),--(Q106&lt;P106-0.5),1)+ISNUMBER(R106)*IF(ISNUMBER(Q106),--(R106&lt;Q106-0.5),1)+ISNUMBER(S106)*IF(ISNUMBER(R106),--(S106&lt;R106-0.5),1),1)</f>
        <v/>
      </c>
    </row>
    <row r="107">
      <c r="A107" s="23" t="n">
        <v>34</v>
      </c>
      <c r="B107" s="75" t="n">
        <v>1</v>
      </c>
      <c r="C107" s="157" t="n"/>
      <c r="D107" s="157" t="n"/>
      <c r="E107" s="157" t="n"/>
      <c r="F107" s="157" t="n"/>
      <c r="G107" s="157" t="n"/>
      <c r="H107" s="157" t="n"/>
      <c r="I107" s="157" t="n"/>
      <c r="J107" s="157" t="n"/>
      <c r="K107" s="157" t="n"/>
      <c r="L107" s="157" t="n"/>
      <c r="M107" s="157" t="n"/>
      <c r="N107" s="157" t="n"/>
      <c r="O107" s="157" t="n"/>
      <c r="P107" s="157" t="n"/>
      <c r="Q107" s="157" t="n"/>
      <c r="R107" s="157" t="n"/>
      <c r="S107" s="157" t="n"/>
      <c r="T107" s="157" t="n"/>
      <c r="U107" s="157" t="n"/>
      <c r="V107" s="157" t="n"/>
      <c r="W107" s="157" t="n"/>
      <c r="X107" s="157" t="n"/>
      <c r="Y107" s="157" t="n"/>
      <c r="Z107" s="157" t="n"/>
      <c r="AA107" s="157" t="n"/>
      <c r="AB107" s="157" t="n"/>
      <c r="AC107" s="157" t="n"/>
      <c r="AD107" s="157" t="n"/>
      <c r="AE107" s="157" t="n"/>
      <c r="AF107" s="157" t="n"/>
      <c r="AG107" s="157" t="n"/>
      <c r="AH107" s="157" t="n"/>
      <c r="AI107" s="157" t="n"/>
      <c r="AJ107" s="157" t="n"/>
      <c r="AK107" s="157" t="n"/>
      <c r="AL107" s="157" t="n"/>
      <c r="AM107" s="157" t="n"/>
      <c r="AN107" s="157" t="n"/>
      <c r="AO107" s="157" t="n"/>
      <c r="AP107" s="157" t="n"/>
      <c r="AQ107" s="157" t="n"/>
      <c r="AR107" s="157" t="n"/>
      <c r="AS107" s="157" t="n"/>
      <c r="AT107" s="157" t="n"/>
      <c r="AU107" s="157" t="n"/>
      <c r="AV107" s="157" t="n"/>
      <c r="AW107" s="157" t="n"/>
      <c r="AX107" s="157" t="n"/>
      <c r="AY107" s="157" t="n"/>
      <c r="AZ107" s="157" t="n"/>
      <c r="BA107" s="157" t="n"/>
      <c r="BB107" s="157" t="n"/>
      <c r="BC107" s="157" t="n"/>
      <c r="BD107" s="157" t="n"/>
      <c r="BE107" s="157" t="n"/>
      <c r="BF107" s="157" t="n"/>
      <c r="BG107" s="157" t="n"/>
      <c r="BH107" s="158" t="n"/>
      <c r="BI107" s="159" t="n"/>
      <c r="BJ107" s="23">
        <f>IFERROR(ISNUMBER(E107)*IF(ISNUMBER(D107),--(E107&lt;D107-0.5),1)+ISNUMBER(F107)*IF(ISNUMBER(E107),--(F107&lt;E107-0.5),1)+ISNUMBER(G107)*IF(ISNUMBER(F107),--(G107&lt;F107-0.5),1)+ISNUMBER(H107)*IF(ISNUMBER(G107),--(H107&lt;G107-0.5),1)+ISNUMBER(I107)*IF(ISNUMBER(H107),--(I107&lt;H107-0.5),1)+ISNUMBER(J107)*IF(ISNUMBER(I107),--(J107&lt;I107-0.5),1)+ISNUMBER(K107)*IF(ISNUMBER(J107),--(K107&lt;J107-0.5),1)+IF(AND(ISNUMBER(C107),C107&lt;0),1,0),1)</f>
        <v/>
      </c>
      <c r="BK107" s="23">
        <f>IFERROR(ISNUMBER(M107)*IF(ISNUMBER(L107),--(M107&lt;L107-0.5),1)+ISNUMBER(N107)*IF(ISNUMBER(M107),--(N107&lt;M107-0.5),1)+ISNUMBER(O107)*IF(ISNUMBER(N107),--(O107&lt;N107-0.5),1)+ISNUMBER(P107)*IF(ISNUMBER(O107),--(P107&lt;O107-0.5),1)+ISNUMBER(Q107)*IF(ISNUMBER(P107),--(Q107&lt;P107-0.5),1)+ISNUMBER(R107)*IF(ISNUMBER(Q107),--(R107&lt;Q107-0.5),1)+ISNUMBER(S107)*IF(ISNUMBER(R107),--(S107&lt;R107-0.5),1),1)</f>
        <v/>
      </c>
    </row>
    <row r="108">
      <c r="A108" s="23" t="n">
        <v>35</v>
      </c>
      <c r="B108" s="75" t="n">
        <v>1</v>
      </c>
      <c r="C108" s="157" t="n"/>
      <c r="D108" s="157" t="n"/>
      <c r="E108" s="157" t="n"/>
      <c r="F108" s="157" t="n"/>
      <c r="G108" s="157" t="n"/>
      <c r="H108" s="157" t="n"/>
      <c r="I108" s="157" t="n"/>
      <c r="J108" s="157" t="n"/>
      <c r="K108" s="157" t="n"/>
      <c r="L108" s="157" t="n"/>
      <c r="M108" s="157" t="n"/>
      <c r="N108" s="157" t="n"/>
      <c r="O108" s="157" t="n"/>
      <c r="P108" s="157" t="n"/>
      <c r="Q108" s="157" t="n"/>
      <c r="R108" s="157" t="n"/>
      <c r="S108" s="157" t="n"/>
      <c r="T108" s="157" t="n"/>
      <c r="U108" s="157" t="n"/>
      <c r="V108" s="157" t="n"/>
      <c r="W108" s="157" t="n"/>
      <c r="X108" s="157" t="n"/>
      <c r="Y108" s="157" t="n"/>
      <c r="Z108" s="157" t="n"/>
      <c r="AA108" s="157" t="n"/>
      <c r="AB108" s="157" t="n"/>
      <c r="AC108" s="157" t="n"/>
      <c r="AD108" s="157" t="n"/>
      <c r="AE108" s="157" t="n"/>
      <c r="AF108" s="157" t="n"/>
      <c r="AG108" s="157" t="n"/>
      <c r="AH108" s="157" t="n"/>
      <c r="AI108" s="157" t="n"/>
      <c r="AJ108" s="157" t="n"/>
      <c r="AK108" s="157" t="n"/>
      <c r="AL108" s="157" t="n"/>
      <c r="AM108" s="157" t="n"/>
      <c r="AN108" s="157" t="n"/>
      <c r="AO108" s="157" t="n"/>
      <c r="AP108" s="157" t="n"/>
      <c r="AQ108" s="157" t="n"/>
      <c r="AR108" s="157" t="n"/>
      <c r="AS108" s="157" t="n"/>
      <c r="AT108" s="157" t="n"/>
      <c r="AU108" s="157" t="n"/>
      <c r="AV108" s="157" t="n"/>
      <c r="AW108" s="157" t="n"/>
      <c r="AX108" s="157" t="n"/>
      <c r="AY108" s="157" t="n"/>
      <c r="AZ108" s="157" t="n"/>
      <c r="BA108" s="157" t="n"/>
      <c r="BB108" s="157" t="n"/>
      <c r="BC108" s="157" t="n"/>
      <c r="BD108" s="157" t="n"/>
      <c r="BE108" s="157" t="n"/>
      <c r="BF108" s="157" t="n"/>
      <c r="BG108" s="157" t="n"/>
      <c r="BH108" s="158" t="n"/>
      <c r="BI108" s="159" t="n"/>
      <c r="BJ108" s="23">
        <f>IFERROR(ISNUMBER(E108)*IF(ISNUMBER(D108),--(E108&lt;D108-0.5),1)+ISNUMBER(F108)*IF(ISNUMBER(E108),--(F108&lt;E108-0.5),1)+ISNUMBER(G108)*IF(ISNUMBER(F108),--(G108&lt;F108-0.5),1)+ISNUMBER(H108)*IF(ISNUMBER(G108),--(H108&lt;G108-0.5),1)+ISNUMBER(I108)*IF(ISNUMBER(H108),--(I108&lt;H108-0.5),1)+ISNUMBER(J108)*IF(ISNUMBER(I108),--(J108&lt;I108-0.5),1)+ISNUMBER(K108)*IF(ISNUMBER(J108),--(K108&lt;J108-0.5),1)+IF(AND(ISNUMBER(C108),C108&lt;0),1,0),1)</f>
        <v/>
      </c>
      <c r="BK108" s="23">
        <f>IFERROR(ISNUMBER(M108)*IF(ISNUMBER(L108),--(M108&lt;L108-0.5),1)+ISNUMBER(N108)*IF(ISNUMBER(M108),--(N108&lt;M108-0.5),1)+ISNUMBER(O108)*IF(ISNUMBER(N108),--(O108&lt;N108-0.5),1)+ISNUMBER(P108)*IF(ISNUMBER(O108),--(P108&lt;O108-0.5),1)+ISNUMBER(Q108)*IF(ISNUMBER(P108),--(Q108&lt;P108-0.5),1)+ISNUMBER(R108)*IF(ISNUMBER(Q108),--(R108&lt;Q108-0.5),1)+ISNUMBER(S108)*IF(ISNUMBER(R108),--(S108&lt;R108-0.5),1),1)</f>
        <v/>
      </c>
    </row>
    <row r="109">
      <c r="A109" s="23" t="n">
        <v>36</v>
      </c>
      <c r="B109" s="75" t="n">
        <v>1</v>
      </c>
      <c r="C109" s="157" t="n"/>
      <c r="D109" s="157" t="n"/>
      <c r="E109" s="157" t="n"/>
      <c r="F109" s="157" t="n"/>
      <c r="G109" s="157" t="n"/>
      <c r="H109" s="157" t="n"/>
      <c r="I109" s="157" t="n"/>
      <c r="J109" s="157" t="n"/>
      <c r="K109" s="157" t="n"/>
      <c r="L109" s="157" t="n"/>
      <c r="M109" s="157" t="n"/>
      <c r="N109" s="157" t="n"/>
      <c r="O109" s="157" t="n"/>
      <c r="P109" s="157" t="n"/>
      <c r="Q109" s="157" t="n"/>
      <c r="R109" s="157" t="n"/>
      <c r="S109" s="157" t="n"/>
      <c r="T109" s="157" t="n"/>
      <c r="U109" s="157" t="n"/>
      <c r="V109" s="157" t="n"/>
      <c r="W109" s="157" t="n"/>
      <c r="X109" s="157" t="n"/>
      <c r="Y109" s="157" t="n"/>
      <c r="Z109" s="157" t="n"/>
      <c r="AA109" s="157" t="n"/>
      <c r="AB109" s="157" t="n"/>
      <c r="AC109" s="157" t="n"/>
      <c r="AD109" s="157" t="n"/>
      <c r="AE109" s="157" t="n"/>
      <c r="AF109" s="157" t="n"/>
      <c r="AG109" s="157" t="n"/>
      <c r="AH109" s="157" t="n"/>
      <c r="AI109" s="157" t="n"/>
      <c r="AJ109" s="157" t="n"/>
      <c r="AK109" s="157" t="n"/>
      <c r="AL109" s="157" t="n"/>
      <c r="AM109" s="157" t="n"/>
      <c r="AN109" s="157" t="n"/>
      <c r="AO109" s="157" t="n"/>
      <c r="AP109" s="157" t="n"/>
      <c r="AQ109" s="157" t="n"/>
      <c r="AR109" s="157" t="n"/>
      <c r="AS109" s="157" t="n"/>
      <c r="AT109" s="157" t="n"/>
      <c r="AU109" s="157" t="n"/>
      <c r="AV109" s="157" t="n"/>
      <c r="AW109" s="157" t="n"/>
      <c r="AX109" s="157" t="n"/>
      <c r="AY109" s="157" t="n"/>
      <c r="AZ109" s="157" t="n"/>
      <c r="BA109" s="157" t="n"/>
      <c r="BB109" s="157" t="n"/>
      <c r="BC109" s="157" t="n"/>
      <c r="BD109" s="157" t="n"/>
      <c r="BE109" s="157" t="n"/>
      <c r="BF109" s="157" t="n"/>
      <c r="BG109" s="157" t="n"/>
      <c r="BH109" s="158" t="n"/>
      <c r="BI109" s="159" t="n"/>
      <c r="BJ109" s="23">
        <f>IFERROR(ISNUMBER(E109)*IF(ISNUMBER(D109),--(E109&lt;D109-0.5),1)+ISNUMBER(F109)*IF(ISNUMBER(E109),--(F109&lt;E109-0.5),1)+ISNUMBER(G109)*IF(ISNUMBER(F109),--(G109&lt;F109-0.5),1)+ISNUMBER(H109)*IF(ISNUMBER(G109),--(H109&lt;G109-0.5),1)+ISNUMBER(I109)*IF(ISNUMBER(H109),--(I109&lt;H109-0.5),1)+ISNUMBER(J109)*IF(ISNUMBER(I109),--(J109&lt;I109-0.5),1)+ISNUMBER(K109)*IF(ISNUMBER(J109),--(K109&lt;J109-0.5),1)+IF(AND(ISNUMBER(C109),C109&lt;0),1,0),1)</f>
        <v/>
      </c>
      <c r="BK109" s="23">
        <f>IFERROR(ISNUMBER(M109)*IF(ISNUMBER(L109),--(M109&lt;L109-0.5),1)+ISNUMBER(N109)*IF(ISNUMBER(M109),--(N109&lt;M109-0.5),1)+ISNUMBER(O109)*IF(ISNUMBER(N109),--(O109&lt;N109-0.5),1)+ISNUMBER(P109)*IF(ISNUMBER(O109),--(P109&lt;O109-0.5),1)+ISNUMBER(Q109)*IF(ISNUMBER(P109),--(Q109&lt;P109-0.5),1)+ISNUMBER(R109)*IF(ISNUMBER(Q109),--(R109&lt;Q109-0.5),1)+ISNUMBER(S109)*IF(ISNUMBER(R109),--(S109&lt;R109-0.5),1),1)</f>
        <v/>
      </c>
    </row>
    <row r="110">
      <c r="A110" s="23" t="n">
        <v>37</v>
      </c>
      <c r="B110" s="75" t="n">
        <v>1</v>
      </c>
      <c r="C110" s="157" t="n"/>
      <c r="D110" s="157" t="n"/>
      <c r="E110" s="157" t="n"/>
      <c r="F110" s="157" t="n"/>
      <c r="G110" s="157" t="n"/>
      <c r="H110" s="157" t="n"/>
      <c r="I110" s="157" t="n"/>
      <c r="J110" s="157" t="n"/>
      <c r="K110" s="157" t="n"/>
      <c r="L110" s="157" t="n"/>
      <c r="M110" s="157" t="n"/>
      <c r="N110" s="157" t="n"/>
      <c r="O110" s="157" t="n"/>
      <c r="P110" s="157" t="n"/>
      <c r="Q110" s="157" t="n"/>
      <c r="R110" s="157" t="n"/>
      <c r="S110" s="157" t="n"/>
      <c r="T110" s="157" t="n"/>
      <c r="U110" s="157" t="n"/>
      <c r="V110" s="157" t="n"/>
      <c r="W110" s="157" t="n"/>
      <c r="X110" s="157" t="n"/>
      <c r="Y110" s="157" t="n"/>
      <c r="Z110" s="157" t="n"/>
      <c r="AA110" s="157" t="n"/>
      <c r="AB110" s="157" t="n"/>
      <c r="AC110" s="157" t="n"/>
      <c r="AD110" s="157" t="n"/>
      <c r="AE110" s="157" t="n"/>
      <c r="AF110" s="157" t="n"/>
      <c r="AG110" s="157" t="n"/>
      <c r="AH110" s="157" t="n"/>
      <c r="AI110" s="157" t="n"/>
      <c r="AJ110" s="157" t="n"/>
      <c r="AK110" s="157" t="n"/>
      <c r="AL110" s="157" t="n"/>
      <c r="AM110" s="157" t="n"/>
      <c r="AN110" s="157" t="n"/>
      <c r="AO110" s="157" t="n"/>
      <c r="AP110" s="157" t="n"/>
      <c r="AQ110" s="157" t="n"/>
      <c r="AR110" s="157" t="n"/>
      <c r="AS110" s="157" t="n"/>
      <c r="AT110" s="157" t="n"/>
      <c r="AU110" s="157" t="n"/>
      <c r="AV110" s="157" t="n"/>
      <c r="AW110" s="157" t="n"/>
      <c r="AX110" s="157" t="n"/>
      <c r="AY110" s="157" t="n"/>
      <c r="AZ110" s="157" t="n"/>
      <c r="BA110" s="157" t="n"/>
      <c r="BB110" s="157" t="n"/>
      <c r="BC110" s="157" t="n"/>
      <c r="BD110" s="157" t="n"/>
      <c r="BE110" s="157" t="n"/>
      <c r="BF110" s="157" t="n"/>
      <c r="BG110" s="157" t="n"/>
      <c r="BH110" s="158" t="n"/>
      <c r="BI110" s="159" t="n"/>
      <c r="BJ110" s="23">
        <f>IFERROR(ISNUMBER(E110)*IF(ISNUMBER(D110),--(E110&lt;D110-0.5),1)+ISNUMBER(F110)*IF(ISNUMBER(E110),--(F110&lt;E110-0.5),1)+ISNUMBER(G110)*IF(ISNUMBER(F110),--(G110&lt;F110-0.5),1)+ISNUMBER(H110)*IF(ISNUMBER(G110),--(H110&lt;G110-0.5),1)+ISNUMBER(I110)*IF(ISNUMBER(H110),--(I110&lt;H110-0.5),1)+ISNUMBER(J110)*IF(ISNUMBER(I110),--(J110&lt;I110-0.5),1)+ISNUMBER(K110)*IF(ISNUMBER(J110),--(K110&lt;J110-0.5),1)+IF(AND(ISNUMBER(C110),C110&lt;0),1,0),1)</f>
        <v/>
      </c>
      <c r="BK110" s="23">
        <f>IFERROR(ISNUMBER(M110)*IF(ISNUMBER(L110),--(M110&lt;L110-0.5),1)+ISNUMBER(N110)*IF(ISNUMBER(M110),--(N110&lt;M110-0.5),1)+ISNUMBER(O110)*IF(ISNUMBER(N110),--(O110&lt;N110-0.5),1)+ISNUMBER(P110)*IF(ISNUMBER(O110),--(P110&lt;O110-0.5),1)+ISNUMBER(Q110)*IF(ISNUMBER(P110),--(Q110&lt;P110-0.5),1)+ISNUMBER(R110)*IF(ISNUMBER(Q110),--(R110&lt;Q110-0.5),1)+ISNUMBER(S110)*IF(ISNUMBER(R110),--(S110&lt;R110-0.5),1),1)</f>
        <v/>
      </c>
    </row>
    <row r="111">
      <c r="A111" s="23" t="n">
        <v>38</v>
      </c>
      <c r="B111" s="75" t="n">
        <v>1</v>
      </c>
      <c r="C111" s="157" t="n"/>
      <c r="D111" s="157" t="n"/>
      <c r="E111" s="157" t="n"/>
      <c r="F111" s="157" t="n"/>
      <c r="G111" s="157" t="n"/>
      <c r="H111" s="157" t="n"/>
      <c r="I111" s="157" t="n"/>
      <c r="J111" s="157" t="n"/>
      <c r="K111" s="157" t="n"/>
      <c r="L111" s="157" t="n"/>
      <c r="M111" s="157" t="n"/>
      <c r="N111" s="157" t="n"/>
      <c r="O111" s="157" t="n"/>
      <c r="P111" s="157" t="n"/>
      <c r="Q111" s="157" t="n"/>
      <c r="R111" s="157" t="n"/>
      <c r="S111" s="157" t="n"/>
      <c r="T111" s="157" t="n"/>
      <c r="U111" s="157" t="n"/>
      <c r="V111" s="157" t="n"/>
      <c r="W111" s="157" t="n"/>
      <c r="X111" s="157" t="n"/>
      <c r="Y111" s="157" t="n"/>
      <c r="Z111" s="157" t="n"/>
      <c r="AA111" s="157" t="n"/>
      <c r="AB111" s="157" t="n"/>
      <c r="AC111" s="157" t="n"/>
      <c r="AD111" s="157" t="n"/>
      <c r="AE111" s="157" t="n"/>
      <c r="AF111" s="157" t="n"/>
      <c r="AG111" s="157" t="n"/>
      <c r="AH111" s="157" t="n"/>
      <c r="AI111" s="157" t="n"/>
      <c r="AJ111" s="157" t="n"/>
      <c r="AK111" s="157" t="n"/>
      <c r="AL111" s="157" t="n"/>
      <c r="AM111" s="157" t="n"/>
      <c r="AN111" s="157" t="n"/>
      <c r="AO111" s="157" t="n"/>
      <c r="AP111" s="157" t="n"/>
      <c r="AQ111" s="157" t="n"/>
      <c r="AR111" s="157" t="n"/>
      <c r="AS111" s="157" t="n"/>
      <c r="AT111" s="157" t="n"/>
      <c r="AU111" s="157" t="n"/>
      <c r="AV111" s="157" t="n"/>
      <c r="AW111" s="157" t="n"/>
      <c r="AX111" s="157" t="n"/>
      <c r="AY111" s="157" t="n"/>
      <c r="AZ111" s="157" t="n"/>
      <c r="BA111" s="157" t="n"/>
      <c r="BB111" s="157" t="n"/>
      <c r="BC111" s="157" t="n"/>
      <c r="BD111" s="157" t="n"/>
      <c r="BE111" s="157" t="n"/>
      <c r="BF111" s="157" t="n"/>
      <c r="BG111" s="157" t="n"/>
      <c r="BH111" s="158" t="n"/>
      <c r="BI111" s="159" t="n"/>
      <c r="BJ111" s="23">
        <f>IFERROR(ISNUMBER(E111)*IF(ISNUMBER(D111),--(E111&lt;D111-0.5),1)+ISNUMBER(F111)*IF(ISNUMBER(E111),--(F111&lt;E111-0.5),1)+ISNUMBER(G111)*IF(ISNUMBER(F111),--(G111&lt;F111-0.5),1)+ISNUMBER(H111)*IF(ISNUMBER(G111),--(H111&lt;G111-0.5),1)+ISNUMBER(I111)*IF(ISNUMBER(H111),--(I111&lt;H111-0.5),1)+ISNUMBER(J111)*IF(ISNUMBER(I111),--(J111&lt;I111-0.5),1)+ISNUMBER(K111)*IF(ISNUMBER(J111),--(K111&lt;J111-0.5),1)+IF(AND(ISNUMBER(C111),C111&lt;0),1,0),1)</f>
        <v/>
      </c>
      <c r="BK111" s="23">
        <f>IFERROR(ISNUMBER(M111)*IF(ISNUMBER(L111),--(M111&lt;L111-0.5),1)+ISNUMBER(N111)*IF(ISNUMBER(M111),--(N111&lt;M111-0.5),1)+ISNUMBER(O111)*IF(ISNUMBER(N111),--(O111&lt;N111-0.5),1)+ISNUMBER(P111)*IF(ISNUMBER(O111),--(P111&lt;O111-0.5),1)+ISNUMBER(Q111)*IF(ISNUMBER(P111),--(Q111&lt;P111-0.5),1)+ISNUMBER(R111)*IF(ISNUMBER(Q111),--(R111&lt;Q111-0.5),1)+ISNUMBER(S111)*IF(ISNUMBER(R111),--(S111&lt;R111-0.5),1),1)</f>
        <v/>
      </c>
    </row>
    <row r="112">
      <c r="A112" s="23" t="n">
        <v>39</v>
      </c>
      <c r="B112" s="75" t="n">
        <v>1</v>
      </c>
      <c r="C112" s="157" t="n"/>
      <c r="D112" s="157" t="n"/>
      <c r="E112" s="157" t="n"/>
      <c r="F112" s="157" t="n"/>
      <c r="G112" s="157" t="n"/>
      <c r="H112" s="157" t="n"/>
      <c r="I112" s="157" t="n"/>
      <c r="J112" s="157" t="n"/>
      <c r="K112" s="157" t="n"/>
      <c r="L112" s="157" t="n"/>
      <c r="M112" s="157" t="n"/>
      <c r="N112" s="157" t="n"/>
      <c r="O112" s="157" t="n"/>
      <c r="P112" s="157" t="n"/>
      <c r="Q112" s="157" t="n"/>
      <c r="R112" s="157" t="n"/>
      <c r="S112" s="157" t="n"/>
      <c r="T112" s="157" t="n"/>
      <c r="U112" s="157" t="n"/>
      <c r="V112" s="157" t="n"/>
      <c r="W112" s="157" t="n"/>
      <c r="X112" s="157" t="n"/>
      <c r="Y112" s="157" t="n"/>
      <c r="Z112" s="157" t="n"/>
      <c r="AA112" s="157" t="n"/>
      <c r="AB112" s="157" t="n"/>
      <c r="AC112" s="157" t="n"/>
      <c r="AD112" s="157" t="n"/>
      <c r="AE112" s="157" t="n"/>
      <c r="AF112" s="157" t="n"/>
      <c r="AG112" s="157" t="n"/>
      <c r="AH112" s="157" t="n"/>
      <c r="AI112" s="157" t="n"/>
      <c r="AJ112" s="157" t="n"/>
      <c r="AK112" s="157" t="n"/>
      <c r="AL112" s="157" t="n"/>
      <c r="AM112" s="157" t="n"/>
      <c r="AN112" s="157" t="n"/>
      <c r="AO112" s="157" t="n"/>
      <c r="AP112" s="157" t="n"/>
      <c r="AQ112" s="157" t="n"/>
      <c r="AR112" s="157" t="n"/>
      <c r="AS112" s="157" t="n"/>
      <c r="AT112" s="157" t="n"/>
      <c r="AU112" s="157" t="n"/>
      <c r="AV112" s="157" t="n"/>
      <c r="AW112" s="157" t="n"/>
      <c r="AX112" s="157" t="n"/>
      <c r="AY112" s="157" t="n"/>
      <c r="AZ112" s="157" t="n"/>
      <c r="BA112" s="157" t="n"/>
      <c r="BB112" s="157" t="n"/>
      <c r="BC112" s="157" t="n"/>
      <c r="BD112" s="157" t="n"/>
      <c r="BE112" s="157" t="n"/>
      <c r="BF112" s="157" t="n"/>
      <c r="BG112" s="157" t="n"/>
      <c r="BH112" s="158" t="n"/>
      <c r="BI112" s="159" t="n"/>
      <c r="BJ112" s="23">
        <f>IFERROR(ISNUMBER(E112)*IF(ISNUMBER(D112),--(E112&lt;D112-0.5),1)+ISNUMBER(F112)*IF(ISNUMBER(E112),--(F112&lt;E112-0.5),1)+ISNUMBER(G112)*IF(ISNUMBER(F112),--(G112&lt;F112-0.5),1)+ISNUMBER(H112)*IF(ISNUMBER(G112),--(H112&lt;G112-0.5),1)+ISNUMBER(I112)*IF(ISNUMBER(H112),--(I112&lt;H112-0.5),1)+ISNUMBER(J112)*IF(ISNUMBER(I112),--(J112&lt;I112-0.5),1)+ISNUMBER(K112)*IF(ISNUMBER(J112),--(K112&lt;J112-0.5),1)+IF(AND(ISNUMBER(C112),C112&lt;0),1,0),1)</f>
        <v/>
      </c>
      <c r="BK112" s="23">
        <f>IFERROR(ISNUMBER(M112)*IF(ISNUMBER(L112),--(M112&lt;L112-0.5),1)+ISNUMBER(N112)*IF(ISNUMBER(M112),--(N112&lt;M112-0.5),1)+ISNUMBER(O112)*IF(ISNUMBER(N112),--(O112&lt;N112-0.5),1)+ISNUMBER(P112)*IF(ISNUMBER(O112),--(P112&lt;O112-0.5),1)+ISNUMBER(Q112)*IF(ISNUMBER(P112),--(Q112&lt;P112-0.5),1)+ISNUMBER(R112)*IF(ISNUMBER(Q112),--(R112&lt;Q112-0.5),1)+ISNUMBER(S112)*IF(ISNUMBER(R112),--(S112&lt;R112-0.5),1),1)</f>
        <v/>
      </c>
    </row>
    <row r="113">
      <c r="A113" s="23" t="n">
        <v>40</v>
      </c>
      <c r="B113" s="75" t="n">
        <v>1</v>
      </c>
      <c r="C113" s="157" t="n"/>
      <c r="D113" s="157" t="n"/>
      <c r="E113" s="157" t="n"/>
      <c r="F113" s="157" t="n"/>
      <c r="G113" s="157" t="n"/>
      <c r="H113" s="157" t="n"/>
      <c r="I113" s="157" t="n"/>
      <c r="J113" s="157" t="n"/>
      <c r="K113" s="157" t="n"/>
      <c r="L113" s="157" t="n"/>
      <c r="M113" s="157" t="n"/>
      <c r="N113" s="157" t="n"/>
      <c r="O113" s="157" t="n"/>
      <c r="P113" s="157" t="n"/>
      <c r="Q113" s="157" t="n"/>
      <c r="R113" s="157" t="n"/>
      <c r="S113" s="157" t="n"/>
      <c r="T113" s="157" t="n"/>
      <c r="U113" s="157" t="n"/>
      <c r="V113" s="157" t="n"/>
      <c r="W113" s="157" t="n"/>
      <c r="X113" s="157" t="n"/>
      <c r="Y113" s="157" t="n"/>
      <c r="Z113" s="157" t="n"/>
      <c r="AA113" s="157" t="n"/>
      <c r="AB113" s="157" t="n"/>
      <c r="AC113" s="157" t="n"/>
      <c r="AD113" s="157" t="n"/>
      <c r="AE113" s="157" t="n"/>
      <c r="AF113" s="157" t="n"/>
      <c r="AG113" s="157" t="n"/>
      <c r="AH113" s="157" t="n"/>
      <c r="AI113" s="157" t="n"/>
      <c r="AJ113" s="157" t="n"/>
      <c r="AK113" s="157" t="n"/>
      <c r="AL113" s="157" t="n"/>
      <c r="AM113" s="157" t="n"/>
      <c r="AN113" s="157" t="n"/>
      <c r="AO113" s="157" t="n"/>
      <c r="AP113" s="157" t="n"/>
      <c r="AQ113" s="157" t="n"/>
      <c r="AR113" s="157" t="n"/>
      <c r="AS113" s="157" t="n"/>
      <c r="AT113" s="157" t="n"/>
      <c r="AU113" s="157" t="n"/>
      <c r="AV113" s="157" t="n"/>
      <c r="AW113" s="157" t="n"/>
      <c r="AX113" s="157" t="n"/>
      <c r="AY113" s="157" t="n"/>
      <c r="AZ113" s="157" t="n"/>
      <c r="BA113" s="157" t="n"/>
      <c r="BB113" s="157" t="n"/>
      <c r="BC113" s="157" t="n"/>
      <c r="BD113" s="157" t="n"/>
      <c r="BE113" s="157" t="n"/>
      <c r="BF113" s="157" t="n"/>
      <c r="BG113" s="157" t="n"/>
      <c r="BH113" s="158" t="n"/>
      <c r="BI113" s="159" t="n"/>
      <c r="BJ113" s="23">
        <f>IFERROR(ISNUMBER(E113)*IF(ISNUMBER(D113),--(E113&lt;D113-0.5),1)+ISNUMBER(F113)*IF(ISNUMBER(E113),--(F113&lt;E113-0.5),1)+ISNUMBER(G113)*IF(ISNUMBER(F113),--(G113&lt;F113-0.5),1)+ISNUMBER(H113)*IF(ISNUMBER(G113),--(H113&lt;G113-0.5),1)+ISNUMBER(I113)*IF(ISNUMBER(H113),--(I113&lt;H113-0.5),1)+ISNUMBER(J113)*IF(ISNUMBER(I113),--(J113&lt;I113-0.5),1)+ISNUMBER(K113)*IF(ISNUMBER(J113),--(K113&lt;J113-0.5),1)+IF(AND(ISNUMBER(C113),C113&lt;0),1,0),1)</f>
        <v/>
      </c>
      <c r="BK113" s="23">
        <f>IFERROR(ISNUMBER(M113)*IF(ISNUMBER(L113),--(M113&lt;L113-0.5),1)+ISNUMBER(N113)*IF(ISNUMBER(M113),--(N113&lt;M113-0.5),1)+ISNUMBER(O113)*IF(ISNUMBER(N113),--(O113&lt;N113-0.5),1)+ISNUMBER(P113)*IF(ISNUMBER(O113),--(P113&lt;O113-0.5),1)+ISNUMBER(Q113)*IF(ISNUMBER(P113),--(Q113&lt;P113-0.5),1)+ISNUMBER(R113)*IF(ISNUMBER(Q113),--(R113&lt;Q113-0.5),1)+ISNUMBER(S113)*IF(ISNUMBER(R113),--(S113&lt;R113-0.5),1),1)</f>
        <v/>
      </c>
    </row>
    <row r="114">
      <c r="A114" s="23" t="n">
        <v>41</v>
      </c>
      <c r="B114" s="75" t="n">
        <v>1</v>
      </c>
      <c r="C114" s="157" t="n"/>
      <c r="D114" s="157" t="n"/>
      <c r="E114" s="157" t="n"/>
      <c r="F114" s="157" t="n"/>
      <c r="G114" s="157" t="n"/>
      <c r="H114" s="157" t="n"/>
      <c r="I114" s="157" t="n"/>
      <c r="J114" s="157" t="n"/>
      <c r="K114" s="157" t="n"/>
      <c r="L114" s="157" t="n"/>
      <c r="M114" s="157" t="n"/>
      <c r="N114" s="157" t="n"/>
      <c r="O114" s="157" t="n"/>
      <c r="P114" s="157" t="n"/>
      <c r="Q114" s="157" t="n"/>
      <c r="R114" s="157" t="n"/>
      <c r="S114" s="157" t="n"/>
      <c r="T114" s="157" t="n"/>
      <c r="U114" s="157" t="n"/>
      <c r="V114" s="157" t="n"/>
      <c r="W114" s="157" t="n"/>
      <c r="X114" s="157" t="n"/>
      <c r="Y114" s="157" t="n"/>
      <c r="Z114" s="157" t="n"/>
      <c r="AA114" s="157" t="n"/>
      <c r="AB114" s="157" t="n"/>
      <c r="AC114" s="157" t="n"/>
      <c r="AD114" s="157" t="n"/>
      <c r="AE114" s="157" t="n"/>
      <c r="AF114" s="157" t="n"/>
      <c r="AG114" s="157" t="n"/>
      <c r="AH114" s="157" t="n"/>
      <c r="AI114" s="157" t="n"/>
      <c r="AJ114" s="157" t="n"/>
      <c r="AK114" s="157" t="n"/>
      <c r="AL114" s="157" t="n"/>
      <c r="AM114" s="157" t="n"/>
      <c r="AN114" s="157" t="n"/>
      <c r="AO114" s="157" t="n"/>
      <c r="AP114" s="157" t="n"/>
      <c r="AQ114" s="157" t="n"/>
      <c r="AR114" s="157" t="n"/>
      <c r="AS114" s="157" t="n"/>
      <c r="AT114" s="157" t="n"/>
      <c r="AU114" s="157" t="n"/>
      <c r="AV114" s="157" t="n"/>
      <c r="AW114" s="157" t="n"/>
      <c r="AX114" s="157" t="n"/>
      <c r="AY114" s="157" t="n"/>
      <c r="AZ114" s="157" t="n"/>
      <c r="BA114" s="157" t="n"/>
      <c r="BB114" s="157" t="n"/>
      <c r="BC114" s="157" t="n"/>
      <c r="BD114" s="157" t="n"/>
      <c r="BE114" s="157" t="n"/>
      <c r="BF114" s="157" t="n"/>
      <c r="BG114" s="157" t="n"/>
      <c r="BH114" s="158" t="n"/>
      <c r="BI114" s="159" t="n"/>
      <c r="BJ114" s="23">
        <f>IFERROR(ISNUMBER(E114)*IF(ISNUMBER(D114),--(E114&lt;D114-0.5),1)+ISNUMBER(F114)*IF(ISNUMBER(E114),--(F114&lt;E114-0.5),1)+ISNUMBER(G114)*IF(ISNUMBER(F114),--(G114&lt;F114-0.5),1)+ISNUMBER(H114)*IF(ISNUMBER(G114),--(H114&lt;G114-0.5),1)+ISNUMBER(I114)*IF(ISNUMBER(H114),--(I114&lt;H114-0.5),1)+ISNUMBER(J114)*IF(ISNUMBER(I114),--(J114&lt;I114-0.5),1)+ISNUMBER(K114)*IF(ISNUMBER(J114),--(K114&lt;J114-0.5),1)+IF(AND(ISNUMBER(C114),C114&lt;0),1,0),1)</f>
        <v/>
      </c>
      <c r="BK114" s="23">
        <f>IFERROR(ISNUMBER(M114)*IF(ISNUMBER(L114),--(M114&lt;L114-0.5),1)+ISNUMBER(N114)*IF(ISNUMBER(M114),--(N114&lt;M114-0.5),1)+ISNUMBER(O114)*IF(ISNUMBER(N114),--(O114&lt;N114-0.5),1)+ISNUMBER(P114)*IF(ISNUMBER(O114),--(P114&lt;O114-0.5),1)+ISNUMBER(Q114)*IF(ISNUMBER(P114),--(Q114&lt;P114-0.5),1)+ISNUMBER(R114)*IF(ISNUMBER(Q114),--(R114&lt;Q114-0.5),1)+ISNUMBER(S114)*IF(ISNUMBER(R114),--(S114&lt;R114-0.5),1),1)</f>
        <v/>
      </c>
    </row>
    <row r="115">
      <c r="A115" s="23" t="n">
        <v>42</v>
      </c>
      <c r="B115" s="75" t="n">
        <v>1</v>
      </c>
      <c r="C115" s="157" t="n"/>
      <c r="D115" s="157" t="n"/>
      <c r="E115" s="157" t="n"/>
      <c r="F115" s="157" t="n"/>
      <c r="G115" s="157" t="n"/>
      <c r="H115" s="157" t="n"/>
      <c r="I115" s="157" t="n"/>
      <c r="J115" s="157" t="n"/>
      <c r="K115" s="157" t="n"/>
      <c r="L115" s="157" t="n"/>
      <c r="M115" s="157" t="n"/>
      <c r="N115" s="157" t="n"/>
      <c r="O115" s="157" t="n"/>
      <c r="P115" s="157" t="n"/>
      <c r="Q115" s="157" t="n"/>
      <c r="R115" s="157" t="n"/>
      <c r="S115" s="157" t="n"/>
      <c r="T115" s="157" t="n"/>
      <c r="U115" s="157" t="n"/>
      <c r="V115" s="157" t="n"/>
      <c r="W115" s="157" t="n"/>
      <c r="X115" s="157" t="n"/>
      <c r="Y115" s="157" t="n"/>
      <c r="Z115" s="157" t="n"/>
      <c r="AA115" s="157" t="n"/>
      <c r="AB115" s="157" t="n"/>
      <c r="AC115" s="157" t="n"/>
      <c r="AD115" s="157" t="n"/>
      <c r="AE115" s="157" t="n"/>
      <c r="AF115" s="157" t="n"/>
      <c r="AG115" s="157" t="n"/>
      <c r="AH115" s="157" t="n"/>
      <c r="AI115" s="157" t="n"/>
      <c r="AJ115" s="157" t="n"/>
      <c r="AK115" s="157" t="n"/>
      <c r="AL115" s="157" t="n"/>
      <c r="AM115" s="157" t="n"/>
      <c r="AN115" s="157" t="n"/>
      <c r="AO115" s="157" t="n"/>
      <c r="AP115" s="157" t="n"/>
      <c r="AQ115" s="157" t="n"/>
      <c r="AR115" s="157" t="n"/>
      <c r="AS115" s="157" t="n"/>
      <c r="AT115" s="157" t="n"/>
      <c r="AU115" s="157" t="n"/>
      <c r="AV115" s="157" t="n"/>
      <c r="AW115" s="157" t="n"/>
      <c r="AX115" s="157" t="n"/>
      <c r="AY115" s="157" t="n"/>
      <c r="AZ115" s="157" t="n"/>
      <c r="BA115" s="157" t="n"/>
      <c r="BB115" s="157" t="n"/>
      <c r="BC115" s="157" t="n"/>
      <c r="BD115" s="157" t="n"/>
      <c r="BE115" s="157" t="n"/>
      <c r="BF115" s="157" t="n"/>
      <c r="BG115" s="157" t="n"/>
      <c r="BH115" s="158" t="n"/>
      <c r="BI115" s="159" t="n"/>
      <c r="BJ115" s="23">
        <f>IFERROR(ISNUMBER(E115)*IF(ISNUMBER(D115),--(E115&lt;D115-0.5),1)+ISNUMBER(F115)*IF(ISNUMBER(E115),--(F115&lt;E115-0.5),1)+ISNUMBER(G115)*IF(ISNUMBER(F115),--(G115&lt;F115-0.5),1)+ISNUMBER(H115)*IF(ISNUMBER(G115),--(H115&lt;G115-0.5),1)+ISNUMBER(I115)*IF(ISNUMBER(H115),--(I115&lt;H115-0.5),1)+ISNUMBER(J115)*IF(ISNUMBER(I115),--(J115&lt;I115-0.5),1)+ISNUMBER(K115)*IF(ISNUMBER(J115),--(K115&lt;J115-0.5),1)+IF(AND(ISNUMBER(C115),C115&lt;0),1,0),1)</f>
        <v/>
      </c>
      <c r="BK115" s="23">
        <f>IFERROR(ISNUMBER(M115)*IF(ISNUMBER(L115),--(M115&lt;L115-0.5),1)+ISNUMBER(N115)*IF(ISNUMBER(M115),--(N115&lt;M115-0.5),1)+ISNUMBER(O115)*IF(ISNUMBER(N115),--(O115&lt;N115-0.5),1)+ISNUMBER(P115)*IF(ISNUMBER(O115),--(P115&lt;O115-0.5),1)+ISNUMBER(Q115)*IF(ISNUMBER(P115),--(Q115&lt;P115-0.5),1)+ISNUMBER(R115)*IF(ISNUMBER(Q115),--(R115&lt;Q115-0.5),1)+ISNUMBER(S115)*IF(ISNUMBER(R115),--(S115&lt;R115-0.5),1),1)</f>
        <v/>
      </c>
    </row>
    <row r="116">
      <c r="A116" s="23" t="n">
        <v>43</v>
      </c>
      <c r="B116" s="75" t="n">
        <v>1</v>
      </c>
      <c r="C116" s="157" t="n"/>
      <c r="D116" s="157" t="n"/>
      <c r="E116" s="157" t="n"/>
      <c r="F116" s="157" t="n"/>
      <c r="G116" s="157" t="n"/>
      <c r="H116" s="157" t="n"/>
      <c r="I116" s="157" t="n"/>
      <c r="J116" s="157" t="n"/>
      <c r="K116" s="157" t="n"/>
      <c r="L116" s="157" t="n"/>
      <c r="M116" s="157" t="n"/>
      <c r="N116" s="157" t="n"/>
      <c r="O116" s="157" t="n"/>
      <c r="P116" s="157" t="n"/>
      <c r="Q116" s="157" t="n"/>
      <c r="R116" s="157" t="n"/>
      <c r="S116" s="157" t="n"/>
      <c r="T116" s="157" t="n"/>
      <c r="U116" s="157" t="n"/>
      <c r="V116" s="157" t="n"/>
      <c r="W116" s="157" t="n"/>
      <c r="X116" s="157" t="n"/>
      <c r="Y116" s="157" t="n"/>
      <c r="Z116" s="157" t="n"/>
      <c r="AA116" s="157" t="n"/>
      <c r="AB116" s="157" t="n"/>
      <c r="AC116" s="157" t="n"/>
      <c r="AD116" s="157" t="n"/>
      <c r="AE116" s="157" t="n"/>
      <c r="AF116" s="157" t="n"/>
      <c r="AG116" s="157" t="n"/>
      <c r="AH116" s="157" t="n"/>
      <c r="AI116" s="157" t="n"/>
      <c r="AJ116" s="157" t="n"/>
      <c r="AK116" s="157" t="n"/>
      <c r="AL116" s="157" t="n"/>
      <c r="AM116" s="157" t="n"/>
      <c r="AN116" s="157" t="n"/>
      <c r="AO116" s="157" t="n"/>
      <c r="AP116" s="157" t="n"/>
      <c r="AQ116" s="157" t="n"/>
      <c r="AR116" s="157" t="n"/>
      <c r="AS116" s="157" t="n"/>
      <c r="AT116" s="157" t="n"/>
      <c r="AU116" s="157" t="n"/>
      <c r="AV116" s="157" t="n"/>
      <c r="AW116" s="157" t="n"/>
      <c r="AX116" s="157" t="n"/>
      <c r="AY116" s="157" t="n"/>
      <c r="AZ116" s="157" t="n"/>
      <c r="BA116" s="157" t="n"/>
      <c r="BB116" s="157" t="n"/>
      <c r="BC116" s="157" t="n"/>
      <c r="BD116" s="157" t="n"/>
      <c r="BE116" s="157" t="n"/>
      <c r="BF116" s="157" t="n"/>
      <c r="BG116" s="157" t="n"/>
      <c r="BH116" s="158" t="n"/>
      <c r="BI116" s="159" t="n"/>
      <c r="BJ116" s="23">
        <f>IFERROR(ISNUMBER(E116)*IF(ISNUMBER(D116),--(E116&lt;D116-0.5),1)+ISNUMBER(F116)*IF(ISNUMBER(E116),--(F116&lt;E116-0.5),1)+ISNUMBER(G116)*IF(ISNUMBER(F116),--(G116&lt;F116-0.5),1)+ISNUMBER(H116)*IF(ISNUMBER(G116),--(H116&lt;G116-0.5),1)+ISNUMBER(I116)*IF(ISNUMBER(H116),--(I116&lt;H116-0.5),1)+ISNUMBER(J116)*IF(ISNUMBER(I116),--(J116&lt;I116-0.5),1)+ISNUMBER(K116)*IF(ISNUMBER(J116),--(K116&lt;J116-0.5),1)+IF(AND(ISNUMBER(C116),C116&lt;0),1,0),1)</f>
        <v/>
      </c>
      <c r="BK116" s="23">
        <f>IFERROR(ISNUMBER(M116)*IF(ISNUMBER(L116),--(M116&lt;L116-0.5),1)+ISNUMBER(N116)*IF(ISNUMBER(M116),--(N116&lt;M116-0.5),1)+ISNUMBER(O116)*IF(ISNUMBER(N116),--(O116&lt;N116-0.5),1)+ISNUMBER(P116)*IF(ISNUMBER(O116),--(P116&lt;O116-0.5),1)+ISNUMBER(Q116)*IF(ISNUMBER(P116),--(Q116&lt;P116-0.5),1)+ISNUMBER(R116)*IF(ISNUMBER(Q116),--(R116&lt;Q116-0.5),1)+ISNUMBER(S116)*IF(ISNUMBER(R116),--(S116&lt;R116-0.5),1),1)</f>
        <v/>
      </c>
    </row>
    <row r="117">
      <c r="A117" s="23" t="n">
        <v>44</v>
      </c>
      <c r="B117" s="75" t="n">
        <v>1</v>
      </c>
      <c r="C117" s="157" t="n"/>
      <c r="D117" s="157" t="n"/>
      <c r="E117" s="157" t="n"/>
      <c r="F117" s="157" t="n"/>
      <c r="G117" s="157" t="n"/>
      <c r="H117" s="157" t="n"/>
      <c r="I117" s="157" t="n"/>
      <c r="J117" s="157" t="n"/>
      <c r="K117" s="157" t="n"/>
      <c r="L117" s="157" t="n"/>
      <c r="M117" s="157" t="n"/>
      <c r="N117" s="157" t="n"/>
      <c r="O117" s="157" t="n"/>
      <c r="P117" s="157" t="n"/>
      <c r="Q117" s="157" t="n"/>
      <c r="R117" s="157" t="n"/>
      <c r="S117" s="157" t="n"/>
      <c r="T117" s="157" t="n"/>
      <c r="U117" s="157" t="n"/>
      <c r="V117" s="157" t="n"/>
      <c r="W117" s="157" t="n"/>
      <c r="X117" s="157" t="n"/>
      <c r="Y117" s="157" t="n"/>
      <c r="Z117" s="157" t="n"/>
      <c r="AA117" s="157" t="n"/>
      <c r="AB117" s="157" t="n"/>
      <c r="AC117" s="157" t="n"/>
      <c r="AD117" s="157" t="n"/>
      <c r="AE117" s="157" t="n"/>
      <c r="AF117" s="157" t="n"/>
      <c r="AG117" s="157" t="n"/>
      <c r="AH117" s="157" t="n"/>
      <c r="AI117" s="157" t="n"/>
      <c r="AJ117" s="157" t="n"/>
      <c r="AK117" s="157" t="n"/>
      <c r="AL117" s="157" t="n"/>
      <c r="AM117" s="157" t="n"/>
      <c r="AN117" s="157" t="n"/>
      <c r="AO117" s="157" t="n"/>
      <c r="AP117" s="157" t="n"/>
      <c r="AQ117" s="157" t="n"/>
      <c r="AR117" s="157" t="n"/>
      <c r="AS117" s="157" t="n"/>
      <c r="AT117" s="157" t="n"/>
      <c r="AU117" s="157" t="n"/>
      <c r="AV117" s="157" t="n"/>
      <c r="AW117" s="157" t="n"/>
      <c r="AX117" s="157" t="n"/>
      <c r="AY117" s="157" t="n"/>
      <c r="AZ117" s="157" t="n"/>
      <c r="BA117" s="157" t="n"/>
      <c r="BB117" s="157" t="n"/>
      <c r="BC117" s="157" t="n"/>
      <c r="BD117" s="157" t="n"/>
      <c r="BE117" s="157" t="n"/>
      <c r="BF117" s="157" t="n"/>
      <c r="BG117" s="157" t="n"/>
      <c r="BH117" s="158" t="n"/>
      <c r="BI117" s="159" t="n"/>
      <c r="BJ117" s="23">
        <f>IFERROR(ISNUMBER(E117)*IF(ISNUMBER(D117),--(E117&lt;D117-0.5),1)+ISNUMBER(F117)*IF(ISNUMBER(E117),--(F117&lt;E117-0.5),1)+ISNUMBER(G117)*IF(ISNUMBER(F117),--(G117&lt;F117-0.5),1)+ISNUMBER(H117)*IF(ISNUMBER(G117),--(H117&lt;G117-0.5),1)+ISNUMBER(I117)*IF(ISNUMBER(H117),--(I117&lt;H117-0.5),1)+ISNUMBER(J117)*IF(ISNUMBER(I117),--(J117&lt;I117-0.5),1)+ISNUMBER(K117)*IF(ISNUMBER(J117),--(K117&lt;J117-0.5),1)+IF(AND(ISNUMBER(C117),C117&lt;0),1,0),1)</f>
        <v/>
      </c>
      <c r="BK117" s="23">
        <f>IFERROR(ISNUMBER(M117)*IF(ISNUMBER(L117),--(M117&lt;L117-0.5),1)+ISNUMBER(N117)*IF(ISNUMBER(M117),--(N117&lt;M117-0.5),1)+ISNUMBER(O117)*IF(ISNUMBER(N117),--(O117&lt;N117-0.5),1)+ISNUMBER(P117)*IF(ISNUMBER(O117),--(P117&lt;O117-0.5),1)+ISNUMBER(Q117)*IF(ISNUMBER(P117),--(Q117&lt;P117-0.5),1)+ISNUMBER(R117)*IF(ISNUMBER(Q117),--(R117&lt;Q117-0.5),1)+ISNUMBER(S117)*IF(ISNUMBER(R117),--(S117&lt;R117-0.5),1),1)</f>
        <v/>
      </c>
    </row>
    <row r="118">
      <c r="A118" s="23" t="n">
        <v>45</v>
      </c>
      <c r="B118" s="75" t="n">
        <v>1</v>
      </c>
      <c r="C118" s="157" t="n"/>
      <c r="D118" s="157" t="n"/>
      <c r="E118" s="157" t="n"/>
      <c r="F118" s="157" t="n"/>
      <c r="G118" s="157" t="n"/>
      <c r="H118" s="157" t="n"/>
      <c r="I118" s="157" t="n"/>
      <c r="J118" s="157" t="n"/>
      <c r="K118" s="157" t="n"/>
      <c r="L118" s="157" t="n"/>
      <c r="M118" s="157" t="n"/>
      <c r="N118" s="157" t="n"/>
      <c r="O118" s="157" t="n"/>
      <c r="P118" s="157" t="n"/>
      <c r="Q118" s="157" t="n"/>
      <c r="R118" s="157" t="n"/>
      <c r="S118" s="157" t="n"/>
      <c r="T118" s="157" t="n"/>
      <c r="U118" s="157" t="n"/>
      <c r="V118" s="157" t="n"/>
      <c r="W118" s="157" t="n"/>
      <c r="X118" s="157" t="n"/>
      <c r="Y118" s="157" t="n"/>
      <c r="Z118" s="157" t="n"/>
      <c r="AA118" s="157" t="n"/>
      <c r="AB118" s="157" t="n"/>
      <c r="AC118" s="157" t="n"/>
      <c r="AD118" s="157" t="n"/>
      <c r="AE118" s="157" t="n"/>
      <c r="AF118" s="157" t="n"/>
      <c r="AG118" s="157" t="n"/>
      <c r="AH118" s="157" t="n"/>
      <c r="AI118" s="157" t="n"/>
      <c r="AJ118" s="157" t="n"/>
      <c r="AK118" s="157" t="n"/>
      <c r="AL118" s="157" t="n"/>
      <c r="AM118" s="157" t="n"/>
      <c r="AN118" s="157" t="n"/>
      <c r="AO118" s="157" t="n"/>
      <c r="AP118" s="157" t="n"/>
      <c r="AQ118" s="157" t="n"/>
      <c r="AR118" s="157" t="n"/>
      <c r="AS118" s="157" t="n"/>
      <c r="AT118" s="157" t="n"/>
      <c r="AU118" s="157" t="n"/>
      <c r="AV118" s="157" t="n"/>
      <c r="AW118" s="157" t="n"/>
      <c r="AX118" s="157" t="n"/>
      <c r="AY118" s="157" t="n"/>
      <c r="AZ118" s="157" t="n"/>
      <c r="BA118" s="157" t="n"/>
      <c r="BB118" s="157" t="n"/>
      <c r="BC118" s="157" t="n"/>
      <c r="BD118" s="157" t="n"/>
      <c r="BE118" s="157" t="n"/>
      <c r="BF118" s="157" t="n"/>
      <c r="BG118" s="157" t="n"/>
      <c r="BH118" s="158" t="n"/>
      <c r="BI118" s="159" t="n"/>
      <c r="BJ118" s="23">
        <f>IFERROR(ISNUMBER(E118)*IF(ISNUMBER(D118),--(E118&lt;D118-0.5),1)+ISNUMBER(F118)*IF(ISNUMBER(E118),--(F118&lt;E118-0.5),1)+ISNUMBER(G118)*IF(ISNUMBER(F118),--(G118&lt;F118-0.5),1)+ISNUMBER(H118)*IF(ISNUMBER(G118),--(H118&lt;G118-0.5),1)+ISNUMBER(I118)*IF(ISNUMBER(H118),--(I118&lt;H118-0.5),1)+ISNUMBER(J118)*IF(ISNUMBER(I118),--(J118&lt;I118-0.5),1)+ISNUMBER(K118)*IF(ISNUMBER(J118),--(K118&lt;J118-0.5),1)+IF(AND(ISNUMBER(C118),C118&lt;0),1,0),1)</f>
        <v/>
      </c>
      <c r="BK118" s="23">
        <f>IFERROR(ISNUMBER(M118)*IF(ISNUMBER(L118),--(M118&lt;L118-0.5),1)+ISNUMBER(N118)*IF(ISNUMBER(M118),--(N118&lt;M118-0.5),1)+ISNUMBER(O118)*IF(ISNUMBER(N118),--(O118&lt;N118-0.5),1)+ISNUMBER(P118)*IF(ISNUMBER(O118),--(P118&lt;O118-0.5),1)+ISNUMBER(Q118)*IF(ISNUMBER(P118),--(Q118&lt;P118-0.5),1)+ISNUMBER(R118)*IF(ISNUMBER(Q118),--(R118&lt;Q118-0.5),1)+ISNUMBER(S118)*IF(ISNUMBER(R118),--(S118&lt;R118-0.5),1),1)</f>
        <v/>
      </c>
    </row>
    <row r="119">
      <c r="A119" s="23" t="n">
        <v>46</v>
      </c>
      <c r="B119" s="75" t="n">
        <v>1</v>
      </c>
      <c r="C119" s="157" t="n"/>
      <c r="D119" s="157" t="n"/>
      <c r="E119" s="157" t="n"/>
      <c r="F119" s="157" t="n"/>
      <c r="G119" s="157" t="n"/>
      <c r="H119" s="157" t="n"/>
      <c r="I119" s="157" t="n"/>
      <c r="J119" s="157" t="n"/>
      <c r="K119" s="157" t="n"/>
      <c r="L119" s="157" t="n"/>
      <c r="M119" s="157" t="n"/>
      <c r="N119" s="157" t="n"/>
      <c r="O119" s="157" t="n"/>
      <c r="P119" s="157" t="n"/>
      <c r="Q119" s="157" t="n"/>
      <c r="R119" s="157" t="n"/>
      <c r="S119" s="157" t="n"/>
      <c r="T119" s="157" t="n"/>
      <c r="U119" s="157" t="n"/>
      <c r="V119" s="157" t="n"/>
      <c r="W119" s="157" t="n"/>
      <c r="X119" s="157" t="n"/>
      <c r="Y119" s="157" t="n"/>
      <c r="Z119" s="157" t="n"/>
      <c r="AA119" s="157" t="n"/>
      <c r="AB119" s="157" t="n"/>
      <c r="AC119" s="157" t="n"/>
      <c r="AD119" s="157" t="n"/>
      <c r="AE119" s="157" t="n"/>
      <c r="AF119" s="157" t="n"/>
      <c r="AG119" s="157" t="n"/>
      <c r="AH119" s="157" t="n"/>
      <c r="AI119" s="157" t="n"/>
      <c r="AJ119" s="157" t="n"/>
      <c r="AK119" s="157" t="n"/>
      <c r="AL119" s="157" t="n"/>
      <c r="AM119" s="157" t="n"/>
      <c r="AN119" s="157" t="n"/>
      <c r="AO119" s="157" t="n"/>
      <c r="AP119" s="157" t="n"/>
      <c r="AQ119" s="157" t="n"/>
      <c r="AR119" s="157" t="n"/>
      <c r="AS119" s="157" t="n"/>
      <c r="AT119" s="157" t="n"/>
      <c r="AU119" s="157" t="n"/>
      <c r="AV119" s="157" t="n"/>
      <c r="AW119" s="157" t="n"/>
      <c r="AX119" s="157" t="n"/>
      <c r="AY119" s="157" t="n"/>
      <c r="AZ119" s="157" t="n"/>
      <c r="BA119" s="157" t="n"/>
      <c r="BB119" s="157" t="n"/>
      <c r="BC119" s="157" t="n"/>
      <c r="BD119" s="157" t="n"/>
      <c r="BE119" s="157" t="n"/>
      <c r="BF119" s="157" t="n"/>
      <c r="BG119" s="157" t="n"/>
      <c r="BH119" s="158" t="n"/>
      <c r="BI119" s="159" t="n"/>
      <c r="BJ119" s="23">
        <f>IFERROR(ISNUMBER(E119)*IF(ISNUMBER(D119),--(E119&lt;D119-0.5),1)+ISNUMBER(F119)*IF(ISNUMBER(E119),--(F119&lt;E119-0.5),1)+ISNUMBER(G119)*IF(ISNUMBER(F119),--(G119&lt;F119-0.5),1)+ISNUMBER(H119)*IF(ISNUMBER(G119),--(H119&lt;G119-0.5),1)+ISNUMBER(I119)*IF(ISNUMBER(H119),--(I119&lt;H119-0.5),1)+ISNUMBER(J119)*IF(ISNUMBER(I119),--(J119&lt;I119-0.5),1)+ISNUMBER(K119)*IF(ISNUMBER(J119),--(K119&lt;J119-0.5),1)+IF(AND(ISNUMBER(C119),C119&lt;0),1,0),1)</f>
        <v/>
      </c>
      <c r="BK119" s="23">
        <f>IFERROR(ISNUMBER(M119)*IF(ISNUMBER(L119),--(M119&lt;L119-0.5),1)+ISNUMBER(N119)*IF(ISNUMBER(M119),--(N119&lt;M119-0.5),1)+ISNUMBER(O119)*IF(ISNUMBER(N119),--(O119&lt;N119-0.5),1)+ISNUMBER(P119)*IF(ISNUMBER(O119),--(P119&lt;O119-0.5),1)+ISNUMBER(Q119)*IF(ISNUMBER(P119),--(Q119&lt;P119-0.5),1)+ISNUMBER(R119)*IF(ISNUMBER(Q119),--(R119&lt;Q119-0.5),1)+ISNUMBER(S119)*IF(ISNUMBER(R119),--(S119&lt;R119-0.5),1),1)</f>
        <v/>
      </c>
    </row>
    <row r="120">
      <c r="A120" s="23" t="n">
        <v>47</v>
      </c>
      <c r="B120" s="75" t="n">
        <v>1</v>
      </c>
      <c r="C120" s="157" t="n"/>
      <c r="D120" s="157" t="n"/>
      <c r="E120" s="157" t="n"/>
      <c r="F120" s="157" t="n"/>
      <c r="G120" s="157" t="n"/>
      <c r="H120" s="157" t="n"/>
      <c r="I120" s="157" t="n"/>
      <c r="J120" s="157" t="n"/>
      <c r="K120" s="157" t="n"/>
      <c r="L120" s="157" t="n"/>
      <c r="M120" s="157" t="n"/>
      <c r="N120" s="157" t="n"/>
      <c r="O120" s="157" t="n"/>
      <c r="P120" s="157" t="n"/>
      <c r="Q120" s="157" t="n"/>
      <c r="R120" s="157" t="n"/>
      <c r="S120" s="157" t="n"/>
      <c r="T120" s="157" t="n"/>
      <c r="U120" s="157" t="n"/>
      <c r="V120" s="157" t="n"/>
      <c r="W120" s="157" t="n"/>
      <c r="X120" s="157" t="n"/>
      <c r="Y120" s="157" t="n"/>
      <c r="Z120" s="157" t="n"/>
      <c r="AA120" s="157" t="n"/>
      <c r="AB120" s="157" t="n"/>
      <c r="AC120" s="157" t="n"/>
      <c r="AD120" s="157" t="n"/>
      <c r="AE120" s="157" t="n"/>
      <c r="AF120" s="157" t="n"/>
      <c r="AG120" s="157" t="n"/>
      <c r="AH120" s="157" t="n"/>
      <c r="AI120" s="157" t="n"/>
      <c r="AJ120" s="157" t="n"/>
      <c r="AK120" s="157" t="n"/>
      <c r="AL120" s="157" t="n"/>
      <c r="AM120" s="157" t="n"/>
      <c r="AN120" s="157" t="n"/>
      <c r="AO120" s="157" t="n"/>
      <c r="AP120" s="157" t="n"/>
      <c r="AQ120" s="157" t="n"/>
      <c r="AR120" s="157" t="n"/>
      <c r="AS120" s="157" t="n"/>
      <c r="AT120" s="157" t="n"/>
      <c r="AU120" s="157" t="n"/>
      <c r="AV120" s="157" t="n"/>
      <c r="AW120" s="157" t="n"/>
      <c r="AX120" s="157" t="n"/>
      <c r="AY120" s="157" t="n"/>
      <c r="AZ120" s="157" t="n"/>
      <c r="BA120" s="157" t="n"/>
      <c r="BB120" s="157" t="n"/>
      <c r="BC120" s="157" t="n"/>
      <c r="BD120" s="157" t="n"/>
      <c r="BE120" s="157" t="n"/>
      <c r="BF120" s="157" t="n"/>
      <c r="BG120" s="157" t="n"/>
      <c r="BH120" s="158" t="n"/>
      <c r="BI120" s="159" t="n"/>
      <c r="BJ120" s="23">
        <f>IFERROR(ISNUMBER(E120)*IF(ISNUMBER(D120),--(E120&lt;D120-0.5),1)+ISNUMBER(F120)*IF(ISNUMBER(E120),--(F120&lt;E120-0.5),1)+ISNUMBER(G120)*IF(ISNUMBER(F120),--(G120&lt;F120-0.5),1)+ISNUMBER(H120)*IF(ISNUMBER(G120),--(H120&lt;G120-0.5),1)+ISNUMBER(I120)*IF(ISNUMBER(H120),--(I120&lt;H120-0.5),1)+ISNUMBER(J120)*IF(ISNUMBER(I120),--(J120&lt;I120-0.5),1)+ISNUMBER(K120)*IF(ISNUMBER(J120),--(K120&lt;J120-0.5),1)+IF(AND(ISNUMBER(C120),C120&lt;0),1,0),1)</f>
        <v/>
      </c>
      <c r="BK120" s="23">
        <f>IFERROR(ISNUMBER(M120)*IF(ISNUMBER(L120),--(M120&lt;L120-0.5),1)+ISNUMBER(N120)*IF(ISNUMBER(M120),--(N120&lt;M120-0.5),1)+ISNUMBER(O120)*IF(ISNUMBER(N120),--(O120&lt;N120-0.5),1)+ISNUMBER(P120)*IF(ISNUMBER(O120),--(P120&lt;O120-0.5),1)+ISNUMBER(Q120)*IF(ISNUMBER(P120),--(Q120&lt;P120-0.5),1)+ISNUMBER(R120)*IF(ISNUMBER(Q120),--(R120&lt;Q120-0.5),1)+ISNUMBER(S120)*IF(ISNUMBER(R120),--(S120&lt;R120-0.5),1),1)</f>
        <v/>
      </c>
    </row>
    <row r="121">
      <c r="A121" s="23" t="n">
        <v>48</v>
      </c>
      <c r="B121" s="75" t="n">
        <v>1</v>
      </c>
      <c r="C121" s="157" t="n"/>
      <c r="D121" s="157" t="n"/>
      <c r="E121" s="157" t="n"/>
      <c r="F121" s="157" t="n"/>
      <c r="G121" s="157" t="n"/>
      <c r="H121" s="157" t="n"/>
      <c r="I121" s="157" t="n"/>
      <c r="J121" s="157" t="n"/>
      <c r="K121" s="157" t="n"/>
      <c r="L121" s="157" t="n"/>
      <c r="M121" s="157" t="n"/>
      <c r="N121" s="157" t="n"/>
      <c r="O121" s="157" t="n"/>
      <c r="P121" s="157" t="n"/>
      <c r="Q121" s="157" t="n"/>
      <c r="R121" s="157" t="n"/>
      <c r="S121" s="157" t="n"/>
      <c r="T121" s="157" t="n"/>
      <c r="U121" s="157" t="n"/>
      <c r="V121" s="157" t="n"/>
      <c r="W121" s="157" t="n"/>
      <c r="X121" s="157" t="n"/>
      <c r="Y121" s="157" t="n"/>
      <c r="Z121" s="157" t="n"/>
      <c r="AA121" s="157" t="n"/>
      <c r="AB121" s="157" t="n"/>
      <c r="AC121" s="157" t="n"/>
      <c r="AD121" s="157" t="n"/>
      <c r="AE121" s="157" t="n"/>
      <c r="AF121" s="157" t="n"/>
      <c r="AG121" s="157" t="n"/>
      <c r="AH121" s="157" t="n"/>
      <c r="AI121" s="157" t="n"/>
      <c r="AJ121" s="157" t="n"/>
      <c r="AK121" s="157" t="n"/>
      <c r="AL121" s="157" t="n"/>
      <c r="AM121" s="157" t="n"/>
      <c r="AN121" s="157" t="n"/>
      <c r="AO121" s="157" t="n"/>
      <c r="AP121" s="157" t="n"/>
      <c r="AQ121" s="157" t="n"/>
      <c r="AR121" s="157" t="n"/>
      <c r="AS121" s="157" t="n"/>
      <c r="AT121" s="157" t="n"/>
      <c r="AU121" s="157" t="n"/>
      <c r="AV121" s="157" t="n"/>
      <c r="AW121" s="157" t="n"/>
      <c r="AX121" s="157" t="n"/>
      <c r="AY121" s="157" t="n"/>
      <c r="AZ121" s="157" t="n"/>
      <c r="BA121" s="157" t="n"/>
      <c r="BB121" s="157" t="n"/>
      <c r="BC121" s="157" t="n"/>
      <c r="BD121" s="157" t="n"/>
      <c r="BE121" s="157" t="n"/>
      <c r="BF121" s="157" t="n"/>
      <c r="BG121" s="157" t="n"/>
      <c r="BH121" s="158" t="n"/>
      <c r="BI121" s="159" t="n"/>
      <c r="BJ121" s="23">
        <f>IFERROR(ISNUMBER(E121)*IF(ISNUMBER(D121),--(E121&lt;D121-0.5),1)+ISNUMBER(F121)*IF(ISNUMBER(E121),--(F121&lt;E121-0.5),1)+ISNUMBER(G121)*IF(ISNUMBER(F121),--(G121&lt;F121-0.5),1)+ISNUMBER(H121)*IF(ISNUMBER(G121),--(H121&lt;G121-0.5),1)+ISNUMBER(I121)*IF(ISNUMBER(H121),--(I121&lt;H121-0.5),1)+ISNUMBER(J121)*IF(ISNUMBER(I121),--(J121&lt;I121-0.5),1)+ISNUMBER(K121)*IF(ISNUMBER(J121),--(K121&lt;J121-0.5),1)+IF(AND(ISNUMBER(C121),C121&lt;0),1,0),1)</f>
        <v/>
      </c>
      <c r="BK121" s="23">
        <f>IFERROR(ISNUMBER(M121)*IF(ISNUMBER(L121),--(M121&lt;L121-0.5),1)+ISNUMBER(N121)*IF(ISNUMBER(M121),--(N121&lt;M121-0.5),1)+ISNUMBER(O121)*IF(ISNUMBER(N121),--(O121&lt;N121-0.5),1)+ISNUMBER(P121)*IF(ISNUMBER(O121),--(P121&lt;O121-0.5),1)+ISNUMBER(Q121)*IF(ISNUMBER(P121),--(Q121&lt;P121-0.5),1)+ISNUMBER(R121)*IF(ISNUMBER(Q121),--(R121&lt;Q121-0.5),1)+ISNUMBER(S121)*IF(ISNUMBER(R121),--(S121&lt;R121-0.5),1),1)</f>
        <v/>
      </c>
    </row>
    <row r="122">
      <c r="A122" s="23" t="n">
        <v>49</v>
      </c>
      <c r="B122" s="75" t="n">
        <v>1</v>
      </c>
      <c r="C122" s="157" t="n"/>
      <c r="D122" s="157" t="n"/>
      <c r="E122" s="157" t="n"/>
      <c r="F122" s="157" t="n"/>
      <c r="G122" s="157" t="n"/>
      <c r="H122" s="157" t="n"/>
      <c r="I122" s="157" t="n"/>
      <c r="J122" s="157" t="n"/>
      <c r="K122" s="157" t="n"/>
      <c r="L122" s="157" t="n"/>
      <c r="M122" s="157" t="n"/>
      <c r="N122" s="157" t="n"/>
      <c r="O122" s="157" t="n"/>
      <c r="P122" s="157" t="n"/>
      <c r="Q122" s="157" t="n"/>
      <c r="R122" s="157" t="n"/>
      <c r="S122" s="157" t="n"/>
      <c r="T122" s="157" t="n"/>
      <c r="U122" s="157" t="n"/>
      <c r="V122" s="157" t="n"/>
      <c r="W122" s="157" t="n"/>
      <c r="X122" s="157" t="n"/>
      <c r="Y122" s="157" t="n"/>
      <c r="Z122" s="157" t="n"/>
      <c r="AA122" s="157" t="n"/>
      <c r="AB122" s="157" t="n"/>
      <c r="AC122" s="157" t="n"/>
      <c r="AD122" s="157" t="n"/>
      <c r="AE122" s="157" t="n"/>
      <c r="AF122" s="157" t="n"/>
      <c r="AG122" s="157" t="n"/>
      <c r="AH122" s="157" t="n"/>
      <c r="AI122" s="157" t="n"/>
      <c r="AJ122" s="157" t="n"/>
      <c r="AK122" s="157" t="n"/>
      <c r="AL122" s="157" t="n"/>
      <c r="AM122" s="157" t="n"/>
      <c r="AN122" s="157" t="n"/>
      <c r="AO122" s="157" t="n"/>
      <c r="AP122" s="157" t="n"/>
      <c r="AQ122" s="157" t="n"/>
      <c r="AR122" s="157" t="n"/>
      <c r="AS122" s="157" t="n"/>
      <c r="AT122" s="157" t="n"/>
      <c r="AU122" s="157" t="n"/>
      <c r="AV122" s="157" t="n"/>
      <c r="AW122" s="157" t="n"/>
      <c r="AX122" s="157" t="n"/>
      <c r="AY122" s="157" t="n"/>
      <c r="AZ122" s="157" t="n"/>
      <c r="BA122" s="157" t="n"/>
      <c r="BB122" s="157" t="n"/>
      <c r="BC122" s="157" t="n"/>
      <c r="BD122" s="157" t="n"/>
      <c r="BE122" s="157" t="n"/>
      <c r="BF122" s="157" t="n"/>
      <c r="BG122" s="157" t="n"/>
      <c r="BH122" s="158" t="n"/>
      <c r="BI122" s="159" t="n"/>
      <c r="BJ122" s="23">
        <f>IFERROR(ISNUMBER(E122)*IF(ISNUMBER(D122),--(E122&lt;D122-0.5),1)+ISNUMBER(F122)*IF(ISNUMBER(E122),--(F122&lt;E122-0.5),1)+ISNUMBER(G122)*IF(ISNUMBER(F122),--(G122&lt;F122-0.5),1)+ISNUMBER(H122)*IF(ISNUMBER(G122),--(H122&lt;G122-0.5),1)+ISNUMBER(I122)*IF(ISNUMBER(H122),--(I122&lt;H122-0.5),1)+ISNUMBER(J122)*IF(ISNUMBER(I122),--(J122&lt;I122-0.5),1)+ISNUMBER(K122)*IF(ISNUMBER(J122),--(K122&lt;J122-0.5),1)+IF(AND(ISNUMBER(C122),C122&lt;0),1,0),1)</f>
        <v/>
      </c>
      <c r="BK122" s="23">
        <f>IFERROR(ISNUMBER(M122)*IF(ISNUMBER(L122),--(M122&lt;L122-0.5),1)+ISNUMBER(N122)*IF(ISNUMBER(M122),--(N122&lt;M122-0.5),1)+ISNUMBER(O122)*IF(ISNUMBER(N122),--(O122&lt;N122-0.5),1)+ISNUMBER(P122)*IF(ISNUMBER(O122),--(P122&lt;O122-0.5),1)+ISNUMBER(Q122)*IF(ISNUMBER(P122),--(Q122&lt;P122-0.5),1)+ISNUMBER(R122)*IF(ISNUMBER(Q122),--(R122&lt;Q122-0.5),1)+ISNUMBER(S122)*IF(ISNUMBER(R122),--(S122&lt;R122-0.5),1),1)</f>
        <v/>
      </c>
    </row>
    <row r="123">
      <c r="A123" s="23" t="n">
        <v>50</v>
      </c>
      <c r="B123" s="75" t="n">
        <v>1</v>
      </c>
      <c r="C123" s="157" t="n"/>
      <c r="D123" s="157" t="n"/>
      <c r="E123" s="157" t="n"/>
      <c r="F123" s="157" t="n"/>
      <c r="G123" s="157" t="n"/>
      <c r="H123" s="157" t="n"/>
      <c r="I123" s="157" t="n"/>
      <c r="J123" s="157" t="n"/>
      <c r="K123" s="157" t="n"/>
      <c r="L123" s="157" t="n"/>
      <c r="M123" s="157" t="n"/>
      <c r="N123" s="157" t="n"/>
      <c r="O123" s="157" t="n"/>
      <c r="P123" s="157" t="n"/>
      <c r="Q123" s="157" t="n"/>
      <c r="R123" s="157" t="n"/>
      <c r="S123" s="157" t="n"/>
      <c r="T123" s="157" t="n"/>
      <c r="U123" s="157" t="n"/>
      <c r="V123" s="157" t="n"/>
      <c r="W123" s="157" t="n"/>
      <c r="X123" s="157" t="n"/>
      <c r="Y123" s="157" t="n"/>
      <c r="Z123" s="157" t="n"/>
      <c r="AA123" s="157" t="n"/>
      <c r="AB123" s="157" t="n"/>
      <c r="AC123" s="157" t="n"/>
      <c r="AD123" s="157" t="n"/>
      <c r="AE123" s="157" t="n"/>
      <c r="AF123" s="157" t="n"/>
      <c r="AG123" s="157" t="n"/>
      <c r="AH123" s="157" t="n"/>
      <c r="AI123" s="157" t="n"/>
      <c r="AJ123" s="157" t="n"/>
      <c r="AK123" s="157" t="n"/>
      <c r="AL123" s="157" t="n"/>
      <c r="AM123" s="157" t="n"/>
      <c r="AN123" s="157" t="n"/>
      <c r="AO123" s="157" t="n"/>
      <c r="AP123" s="157" t="n"/>
      <c r="AQ123" s="157" t="n"/>
      <c r="AR123" s="157" t="n"/>
      <c r="AS123" s="157" t="n"/>
      <c r="AT123" s="157" t="n"/>
      <c r="AU123" s="157" t="n"/>
      <c r="AV123" s="157" t="n"/>
      <c r="AW123" s="157" t="n"/>
      <c r="AX123" s="157" t="n"/>
      <c r="AY123" s="157" t="n"/>
      <c r="AZ123" s="157" t="n"/>
      <c r="BA123" s="157" t="n"/>
      <c r="BB123" s="157" t="n"/>
      <c r="BC123" s="157" t="n"/>
      <c r="BD123" s="157" t="n"/>
      <c r="BE123" s="157" t="n"/>
      <c r="BF123" s="157" t="n"/>
      <c r="BG123" s="157" t="n"/>
      <c r="BH123" s="158" t="n"/>
      <c r="BI123" s="159" t="n"/>
      <c r="BJ123" s="23">
        <f>IFERROR(ISNUMBER(E123)*IF(ISNUMBER(D123),--(E123&lt;D123-0.5),1)+ISNUMBER(F123)*IF(ISNUMBER(E123),--(F123&lt;E123-0.5),1)+ISNUMBER(G123)*IF(ISNUMBER(F123),--(G123&lt;F123-0.5),1)+ISNUMBER(H123)*IF(ISNUMBER(G123),--(H123&lt;G123-0.5),1)+ISNUMBER(I123)*IF(ISNUMBER(H123),--(I123&lt;H123-0.5),1)+ISNUMBER(J123)*IF(ISNUMBER(I123),--(J123&lt;I123-0.5),1)+ISNUMBER(K123)*IF(ISNUMBER(J123),--(K123&lt;J123-0.5),1)+IF(AND(ISNUMBER(C123),C123&lt;0),1,0),1)</f>
        <v/>
      </c>
      <c r="BK123" s="23">
        <f>IFERROR(ISNUMBER(M123)*IF(ISNUMBER(L123),--(M123&lt;L123-0.5),1)+ISNUMBER(N123)*IF(ISNUMBER(M123),--(N123&lt;M123-0.5),1)+ISNUMBER(O123)*IF(ISNUMBER(N123),--(O123&lt;N123-0.5),1)+ISNUMBER(P123)*IF(ISNUMBER(O123),--(P123&lt;O123-0.5),1)+ISNUMBER(Q123)*IF(ISNUMBER(P123),--(Q123&lt;P123-0.5),1)+ISNUMBER(R123)*IF(ISNUMBER(Q123),--(R123&lt;Q123-0.5),1)+ISNUMBER(S123)*IF(ISNUMBER(R123),--(S123&lt;R123-0.5),1),1)</f>
        <v/>
      </c>
    </row>
    <row r="124">
      <c r="A124" s="23" t="n">
        <v>51</v>
      </c>
      <c r="B124" s="75" t="n">
        <v>1</v>
      </c>
      <c r="C124" s="157" t="n"/>
      <c r="D124" s="157" t="n"/>
      <c r="E124" s="157" t="n"/>
      <c r="F124" s="157" t="n"/>
      <c r="G124" s="157" t="n"/>
      <c r="H124" s="157" t="n"/>
      <c r="I124" s="157" t="n"/>
      <c r="J124" s="157" t="n"/>
      <c r="K124" s="157" t="n"/>
      <c r="L124" s="157" t="n"/>
      <c r="M124" s="157" t="n"/>
      <c r="N124" s="157" t="n"/>
      <c r="O124" s="157" t="n"/>
      <c r="P124" s="157" t="n"/>
      <c r="Q124" s="157" t="n"/>
      <c r="R124" s="157" t="n"/>
      <c r="S124" s="157" t="n"/>
      <c r="T124" s="157" t="n"/>
      <c r="U124" s="157" t="n"/>
      <c r="V124" s="157" t="n"/>
      <c r="W124" s="157" t="n"/>
      <c r="X124" s="157" t="n"/>
      <c r="Y124" s="157" t="n"/>
      <c r="Z124" s="157" t="n"/>
      <c r="AA124" s="157" t="n"/>
      <c r="AB124" s="157" t="n"/>
      <c r="AC124" s="157" t="n"/>
      <c r="AD124" s="157" t="n"/>
      <c r="AE124" s="157" t="n"/>
      <c r="AF124" s="157" t="n"/>
      <c r="AG124" s="157" t="n"/>
      <c r="AH124" s="157" t="n"/>
      <c r="AI124" s="157" t="n"/>
      <c r="AJ124" s="157" t="n"/>
      <c r="AK124" s="157" t="n"/>
      <c r="AL124" s="157" t="n"/>
      <c r="AM124" s="157" t="n"/>
      <c r="AN124" s="157" t="n"/>
      <c r="AO124" s="157" t="n"/>
      <c r="AP124" s="157" t="n"/>
      <c r="AQ124" s="157" t="n"/>
      <c r="AR124" s="157" t="n"/>
      <c r="AS124" s="157" t="n"/>
      <c r="AT124" s="157" t="n"/>
      <c r="AU124" s="157" t="n"/>
      <c r="AV124" s="157" t="n"/>
      <c r="AW124" s="157" t="n"/>
      <c r="AX124" s="157" t="n"/>
      <c r="AY124" s="157" t="n"/>
      <c r="AZ124" s="157" t="n"/>
      <c r="BA124" s="157" t="n"/>
      <c r="BB124" s="157" t="n"/>
      <c r="BC124" s="157" t="n"/>
      <c r="BD124" s="157" t="n"/>
      <c r="BE124" s="157" t="n"/>
      <c r="BF124" s="157" t="n"/>
      <c r="BG124" s="157" t="n"/>
      <c r="BH124" s="158" t="n"/>
      <c r="BI124" s="159" t="n"/>
      <c r="BJ124" s="23">
        <f>IFERROR(ISNUMBER(E124)*IF(ISNUMBER(D124),--(E124&lt;D124-0.5),1)+ISNUMBER(F124)*IF(ISNUMBER(E124),--(F124&lt;E124-0.5),1)+ISNUMBER(G124)*IF(ISNUMBER(F124),--(G124&lt;F124-0.5),1)+ISNUMBER(H124)*IF(ISNUMBER(G124),--(H124&lt;G124-0.5),1)+ISNUMBER(I124)*IF(ISNUMBER(H124),--(I124&lt;H124-0.5),1)+ISNUMBER(J124)*IF(ISNUMBER(I124),--(J124&lt;I124-0.5),1)+ISNUMBER(K124)*IF(ISNUMBER(J124),--(K124&lt;J124-0.5),1)+IF(AND(ISNUMBER(C124),C124&lt;0),1,0),1)</f>
        <v/>
      </c>
      <c r="BK124" s="23">
        <f>IFERROR(ISNUMBER(M124)*IF(ISNUMBER(L124),--(M124&lt;L124-0.5),1)+ISNUMBER(N124)*IF(ISNUMBER(M124),--(N124&lt;M124-0.5),1)+ISNUMBER(O124)*IF(ISNUMBER(N124),--(O124&lt;N124-0.5),1)+ISNUMBER(P124)*IF(ISNUMBER(O124),--(P124&lt;O124-0.5),1)+ISNUMBER(Q124)*IF(ISNUMBER(P124),--(Q124&lt;P124-0.5),1)+ISNUMBER(R124)*IF(ISNUMBER(Q124),--(R124&lt;Q124-0.5),1)+ISNUMBER(S124)*IF(ISNUMBER(R124),--(S124&lt;R124-0.5),1),1)</f>
        <v/>
      </c>
    </row>
    <row r="125">
      <c r="A125" s="23" t="n">
        <v>52</v>
      </c>
      <c r="B125" s="75" t="n">
        <v>1</v>
      </c>
      <c r="C125" s="157" t="n"/>
      <c r="D125" s="157" t="n"/>
      <c r="E125" s="157" t="n"/>
      <c r="F125" s="157" t="n"/>
      <c r="G125" s="157" t="n"/>
      <c r="H125" s="157" t="n"/>
      <c r="I125" s="157" t="n"/>
      <c r="J125" s="157" t="n"/>
      <c r="K125" s="157" t="n"/>
      <c r="L125" s="157" t="n"/>
      <c r="M125" s="157" t="n"/>
      <c r="N125" s="157" t="n"/>
      <c r="O125" s="157" t="n"/>
      <c r="P125" s="157" t="n"/>
      <c r="Q125" s="157" t="n"/>
      <c r="R125" s="157" t="n"/>
      <c r="S125" s="157" t="n"/>
      <c r="T125" s="157" t="n"/>
      <c r="U125" s="157" t="n"/>
      <c r="V125" s="157" t="n"/>
      <c r="W125" s="157" t="n"/>
      <c r="X125" s="157" t="n"/>
      <c r="Y125" s="157" t="n"/>
      <c r="Z125" s="157" t="n"/>
      <c r="AA125" s="157" t="n"/>
      <c r="AB125" s="157" t="n"/>
      <c r="AC125" s="157" t="n"/>
      <c r="AD125" s="157" t="n"/>
      <c r="AE125" s="157" t="n"/>
      <c r="AF125" s="157" t="n"/>
      <c r="AG125" s="157" t="n"/>
      <c r="AH125" s="157" t="n"/>
      <c r="AI125" s="157" t="n"/>
      <c r="AJ125" s="157" t="n"/>
      <c r="AK125" s="157" t="n"/>
      <c r="AL125" s="157" t="n"/>
      <c r="AM125" s="157" t="n"/>
      <c r="AN125" s="157" t="n"/>
      <c r="AO125" s="157" t="n"/>
      <c r="AP125" s="157" t="n"/>
      <c r="AQ125" s="157" t="n"/>
      <c r="AR125" s="157" t="n"/>
      <c r="AS125" s="157" t="n"/>
      <c r="AT125" s="157" t="n"/>
      <c r="AU125" s="157" t="n"/>
      <c r="AV125" s="157" t="n"/>
      <c r="AW125" s="157" t="n"/>
      <c r="AX125" s="157" t="n"/>
      <c r="AY125" s="157" t="n"/>
      <c r="AZ125" s="157" t="n"/>
      <c r="BA125" s="157" t="n"/>
      <c r="BB125" s="157" t="n"/>
      <c r="BC125" s="157" t="n"/>
      <c r="BD125" s="157" t="n"/>
      <c r="BE125" s="157" t="n"/>
      <c r="BF125" s="157" t="n"/>
      <c r="BG125" s="157" t="n"/>
      <c r="BH125" s="158" t="n"/>
      <c r="BI125" s="159" t="n"/>
      <c r="BJ125" s="23">
        <f>IFERROR(ISNUMBER(E125)*IF(ISNUMBER(D125),--(E125&lt;D125-0.5),1)+ISNUMBER(F125)*IF(ISNUMBER(E125),--(F125&lt;E125-0.5),1)+ISNUMBER(G125)*IF(ISNUMBER(F125),--(G125&lt;F125-0.5),1)+ISNUMBER(H125)*IF(ISNUMBER(G125),--(H125&lt;G125-0.5),1)+ISNUMBER(I125)*IF(ISNUMBER(H125),--(I125&lt;H125-0.5),1)+ISNUMBER(J125)*IF(ISNUMBER(I125),--(J125&lt;I125-0.5),1)+ISNUMBER(K125)*IF(ISNUMBER(J125),--(K125&lt;J125-0.5),1)+IF(AND(ISNUMBER(C125),C125&lt;0),1,0),1)</f>
        <v/>
      </c>
      <c r="BK125" s="23">
        <f>IFERROR(ISNUMBER(M125)*IF(ISNUMBER(L125),--(M125&lt;L125-0.5),1)+ISNUMBER(N125)*IF(ISNUMBER(M125),--(N125&lt;M125-0.5),1)+ISNUMBER(O125)*IF(ISNUMBER(N125),--(O125&lt;N125-0.5),1)+ISNUMBER(P125)*IF(ISNUMBER(O125),--(P125&lt;O125-0.5),1)+ISNUMBER(Q125)*IF(ISNUMBER(P125),--(Q125&lt;P125-0.5),1)+ISNUMBER(R125)*IF(ISNUMBER(Q125),--(R125&lt;Q125-0.5),1)+ISNUMBER(S125)*IF(ISNUMBER(R125),--(S125&lt;R125-0.5),1),1)</f>
        <v/>
      </c>
    </row>
    <row r="126">
      <c r="A126" s="23" t="n">
        <v>53</v>
      </c>
      <c r="B126" s="75" t="n">
        <v>1</v>
      </c>
      <c r="C126" s="157" t="n"/>
      <c r="D126" s="157" t="n"/>
      <c r="E126" s="157" t="n"/>
      <c r="F126" s="157" t="n"/>
      <c r="G126" s="157" t="n"/>
      <c r="H126" s="157" t="n"/>
      <c r="I126" s="157" t="n"/>
      <c r="J126" s="157" t="n"/>
      <c r="K126" s="157" t="n"/>
      <c r="L126" s="157" t="n"/>
      <c r="M126" s="157" t="n"/>
      <c r="N126" s="157" t="n"/>
      <c r="O126" s="157" t="n"/>
      <c r="P126" s="157" t="n"/>
      <c r="Q126" s="157" t="n"/>
      <c r="R126" s="157" t="n"/>
      <c r="S126" s="157" t="n"/>
      <c r="T126" s="157" t="n"/>
      <c r="U126" s="157" t="n"/>
      <c r="V126" s="157" t="n"/>
      <c r="W126" s="157" t="n"/>
      <c r="X126" s="157" t="n"/>
      <c r="Y126" s="157" t="n"/>
      <c r="Z126" s="157" t="n"/>
      <c r="AA126" s="157" t="n"/>
      <c r="AB126" s="157" t="n"/>
      <c r="AC126" s="157" t="n"/>
      <c r="AD126" s="157" t="n"/>
      <c r="AE126" s="157" t="n"/>
      <c r="AF126" s="157" t="n"/>
      <c r="AG126" s="157" t="n"/>
      <c r="AH126" s="157" t="n"/>
      <c r="AI126" s="157" t="n"/>
      <c r="AJ126" s="157" t="n"/>
      <c r="AK126" s="157" t="n"/>
      <c r="AL126" s="157" t="n"/>
      <c r="AM126" s="157" t="n"/>
      <c r="AN126" s="157" t="n"/>
      <c r="AO126" s="157" t="n"/>
      <c r="AP126" s="157" t="n"/>
      <c r="AQ126" s="157" t="n"/>
      <c r="AR126" s="157" t="n"/>
      <c r="AS126" s="157" t="n"/>
      <c r="AT126" s="157" t="n"/>
      <c r="AU126" s="157" t="n"/>
      <c r="AV126" s="157" t="n"/>
      <c r="AW126" s="157" t="n"/>
      <c r="AX126" s="157" t="n"/>
      <c r="AY126" s="157" t="n"/>
      <c r="AZ126" s="157" t="n"/>
      <c r="BA126" s="157" t="n"/>
      <c r="BB126" s="157" t="n"/>
      <c r="BC126" s="157" t="n"/>
      <c r="BD126" s="157" t="n"/>
      <c r="BE126" s="157" t="n"/>
      <c r="BF126" s="157" t="n"/>
      <c r="BG126" s="157" t="n"/>
      <c r="BH126" s="158" t="n"/>
      <c r="BI126" s="159" t="n"/>
      <c r="BJ126" s="23">
        <f>IFERROR(ISNUMBER(E126)*IF(ISNUMBER(D126),--(E126&lt;D126-0.5),1)+ISNUMBER(F126)*IF(ISNUMBER(E126),--(F126&lt;E126-0.5),1)+ISNUMBER(G126)*IF(ISNUMBER(F126),--(G126&lt;F126-0.5),1)+ISNUMBER(H126)*IF(ISNUMBER(G126),--(H126&lt;G126-0.5),1)+ISNUMBER(I126)*IF(ISNUMBER(H126),--(I126&lt;H126-0.5),1)+ISNUMBER(J126)*IF(ISNUMBER(I126),--(J126&lt;I126-0.5),1)+ISNUMBER(K126)*IF(ISNUMBER(J126),--(K126&lt;J126-0.5),1)+IF(AND(ISNUMBER(C126),C126&lt;0),1,0),1)</f>
        <v/>
      </c>
      <c r="BK126" s="23">
        <f>IFERROR(ISNUMBER(M126)*IF(ISNUMBER(L126),--(M126&lt;L126-0.5),1)+ISNUMBER(N126)*IF(ISNUMBER(M126),--(N126&lt;M126-0.5),1)+ISNUMBER(O126)*IF(ISNUMBER(N126),--(O126&lt;N126-0.5),1)+ISNUMBER(P126)*IF(ISNUMBER(O126),--(P126&lt;O126-0.5),1)+ISNUMBER(Q126)*IF(ISNUMBER(P126),--(Q126&lt;P126-0.5),1)+ISNUMBER(R126)*IF(ISNUMBER(Q126),--(R126&lt;Q126-0.5),1)+ISNUMBER(S126)*IF(ISNUMBER(R126),--(S126&lt;R126-0.5),1),1)</f>
        <v/>
      </c>
    </row>
    <row r="127">
      <c r="A127" s="23" t="n">
        <v>54</v>
      </c>
      <c r="B127" s="75" t="n">
        <v>1</v>
      </c>
      <c r="C127" s="157" t="n"/>
      <c r="D127" s="157" t="n"/>
      <c r="E127" s="157" t="n"/>
      <c r="F127" s="157" t="n"/>
      <c r="G127" s="157" t="n"/>
      <c r="H127" s="157" t="n"/>
      <c r="I127" s="157" t="n"/>
      <c r="J127" s="157" t="n"/>
      <c r="K127" s="157" t="n"/>
      <c r="L127" s="157" t="n"/>
      <c r="M127" s="157" t="n"/>
      <c r="N127" s="157" t="n"/>
      <c r="O127" s="157" t="n"/>
      <c r="P127" s="157" t="n"/>
      <c r="Q127" s="157" t="n"/>
      <c r="R127" s="157" t="n"/>
      <c r="S127" s="157" t="n"/>
      <c r="T127" s="157" t="n"/>
      <c r="U127" s="157" t="n"/>
      <c r="V127" s="157" t="n"/>
      <c r="W127" s="157" t="n"/>
      <c r="X127" s="157" t="n"/>
      <c r="Y127" s="157" t="n"/>
      <c r="Z127" s="157" t="n"/>
      <c r="AA127" s="157" t="n"/>
      <c r="AB127" s="157" t="n"/>
      <c r="AC127" s="157" t="n"/>
      <c r="AD127" s="157" t="n"/>
      <c r="AE127" s="157" t="n"/>
      <c r="AF127" s="157" t="n"/>
      <c r="AG127" s="157" t="n"/>
      <c r="AH127" s="157" t="n"/>
      <c r="AI127" s="157" t="n"/>
      <c r="AJ127" s="157" t="n"/>
      <c r="AK127" s="157" t="n"/>
      <c r="AL127" s="157" t="n"/>
      <c r="AM127" s="157" t="n"/>
      <c r="AN127" s="157" t="n"/>
      <c r="AO127" s="157" t="n"/>
      <c r="AP127" s="157" t="n"/>
      <c r="AQ127" s="157" t="n"/>
      <c r="AR127" s="157" t="n"/>
      <c r="AS127" s="157" t="n"/>
      <c r="AT127" s="157" t="n"/>
      <c r="AU127" s="157" t="n"/>
      <c r="AV127" s="157" t="n"/>
      <c r="AW127" s="157" t="n"/>
      <c r="AX127" s="157" t="n"/>
      <c r="AY127" s="157" t="n"/>
      <c r="AZ127" s="157" t="n"/>
      <c r="BA127" s="157" t="n"/>
      <c r="BB127" s="157" t="n"/>
      <c r="BC127" s="157" t="n"/>
      <c r="BD127" s="157" t="n"/>
      <c r="BE127" s="157" t="n"/>
      <c r="BF127" s="157" t="n"/>
      <c r="BG127" s="157" t="n"/>
      <c r="BH127" s="158" t="n"/>
      <c r="BI127" s="159" t="n"/>
      <c r="BJ127" s="23">
        <f>IFERROR(ISNUMBER(E127)*IF(ISNUMBER(D127),--(E127&lt;D127-0.5),1)+ISNUMBER(F127)*IF(ISNUMBER(E127),--(F127&lt;E127-0.5),1)+ISNUMBER(G127)*IF(ISNUMBER(F127),--(G127&lt;F127-0.5),1)+ISNUMBER(H127)*IF(ISNUMBER(G127),--(H127&lt;G127-0.5),1)+ISNUMBER(I127)*IF(ISNUMBER(H127),--(I127&lt;H127-0.5),1)+ISNUMBER(J127)*IF(ISNUMBER(I127),--(J127&lt;I127-0.5),1)+ISNUMBER(K127)*IF(ISNUMBER(J127),--(K127&lt;J127-0.5),1)+IF(AND(ISNUMBER(C127),C127&lt;0),1,0),1)</f>
        <v/>
      </c>
      <c r="BK127" s="23">
        <f>IFERROR(ISNUMBER(M127)*IF(ISNUMBER(L127),--(M127&lt;L127-0.5),1)+ISNUMBER(N127)*IF(ISNUMBER(M127),--(N127&lt;M127-0.5),1)+ISNUMBER(O127)*IF(ISNUMBER(N127),--(O127&lt;N127-0.5),1)+ISNUMBER(P127)*IF(ISNUMBER(O127),--(P127&lt;O127-0.5),1)+ISNUMBER(Q127)*IF(ISNUMBER(P127),--(Q127&lt;P127-0.5),1)+ISNUMBER(R127)*IF(ISNUMBER(Q127),--(R127&lt;Q127-0.5),1)+ISNUMBER(S127)*IF(ISNUMBER(R127),--(S127&lt;R127-0.5),1),1)</f>
        <v/>
      </c>
    </row>
    <row r="128">
      <c r="A128" s="23" t="n">
        <v>55</v>
      </c>
      <c r="B128" s="75" t="n">
        <v>1</v>
      </c>
      <c r="C128" s="157" t="n"/>
      <c r="D128" s="157" t="n"/>
      <c r="E128" s="157" t="n"/>
      <c r="F128" s="157" t="n"/>
      <c r="G128" s="157" t="n"/>
      <c r="H128" s="157" t="n"/>
      <c r="I128" s="157" t="n"/>
      <c r="J128" s="157" t="n"/>
      <c r="K128" s="157" t="n"/>
      <c r="L128" s="157" t="n"/>
      <c r="M128" s="157" t="n"/>
      <c r="N128" s="157" t="n"/>
      <c r="O128" s="157" t="n"/>
      <c r="P128" s="157" t="n"/>
      <c r="Q128" s="157" t="n"/>
      <c r="R128" s="157" t="n"/>
      <c r="S128" s="157" t="n"/>
      <c r="T128" s="157" t="n"/>
      <c r="U128" s="157" t="n"/>
      <c r="V128" s="157" t="n"/>
      <c r="W128" s="157" t="n"/>
      <c r="X128" s="157" t="n"/>
      <c r="Y128" s="157" t="n"/>
      <c r="Z128" s="157" t="n"/>
      <c r="AA128" s="157" t="n"/>
      <c r="AB128" s="157" t="n"/>
      <c r="AC128" s="157" t="n"/>
      <c r="AD128" s="157" t="n"/>
      <c r="AE128" s="157" t="n"/>
      <c r="AF128" s="157" t="n"/>
      <c r="AG128" s="157" t="n"/>
      <c r="AH128" s="157" t="n"/>
      <c r="AI128" s="157" t="n"/>
      <c r="AJ128" s="157" t="n"/>
      <c r="AK128" s="157" t="n"/>
      <c r="AL128" s="157" t="n"/>
      <c r="AM128" s="157" t="n"/>
      <c r="AN128" s="157" t="n"/>
      <c r="AO128" s="157" t="n"/>
      <c r="AP128" s="157" t="n"/>
      <c r="AQ128" s="157" t="n"/>
      <c r="AR128" s="157" t="n"/>
      <c r="AS128" s="157" t="n"/>
      <c r="AT128" s="157" t="n"/>
      <c r="AU128" s="157" t="n"/>
      <c r="AV128" s="157" t="n"/>
      <c r="AW128" s="157" t="n"/>
      <c r="AX128" s="157" t="n"/>
      <c r="AY128" s="157" t="n"/>
      <c r="AZ128" s="157" t="n"/>
      <c r="BA128" s="157" t="n"/>
      <c r="BB128" s="157" t="n"/>
      <c r="BC128" s="157" t="n"/>
      <c r="BD128" s="157" t="n"/>
      <c r="BE128" s="157" t="n"/>
      <c r="BF128" s="157" t="n"/>
      <c r="BG128" s="157" t="n"/>
      <c r="BH128" s="158" t="n"/>
      <c r="BI128" s="159" t="n"/>
      <c r="BJ128" s="23">
        <f>IFERROR(ISNUMBER(E128)*IF(ISNUMBER(D128),--(E128&lt;D128-0.5),1)+ISNUMBER(F128)*IF(ISNUMBER(E128),--(F128&lt;E128-0.5),1)+ISNUMBER(G128)*IF(ISNUMBER(F128),--(G128&lt;F128-0.5),1)+ISNUMBER(H128)*IF(ISNUMBER(G128),--(H128&lt;G128-0.5),1)+ISNUMBER(I128)*IF(ISNUMBER(H128),--(I128&lt;H128-0.5),1)+ISNUMBER(J128)*IF(ISNUMBER(I128),--(J128&lt;I128-0.5),1)+ISNUMBER(K128)*IF(ISNUMBER(J128),--(K128&lt;J128-0.5),1)+IF(AND(ISNUMBER(C128),C128&lt;0),1,0),1)</f>
        <v/>
      </c>
      <c r="BK128" s="23">
        <f>IFERROR(ISNUMBER(M128)*IF(ISNUMBER(L128),--(M128&lt;L128-0.5),1)+ISNUMBER(N128)*IF(ISNUMBER(M128),--(N128&lt;M128-0.5),1)+ISNUMBER(O128)*IF(ISNUMBER(N128),--(O128&lt;N128-0.5),1)+ISNUMBER(P128)*IF(ISNUMBER(O128),--(P128&lt;O128-0.5),1)+ISNUMBER(Q128)*IF(ISNUMBER(P128),--(Q128&lt;P128-0.5),1)+ISNUMBER(R128)*IF(ISNUMBER(Q128),--(R128&lt;Q128-0.5),1)+ISNUMBER(S128)*IF(ISNUMBER(R128),--(S128&lt;R128-0.5),1),1)</f>
        <v/>
      </c>
    </row>
    <row r="129">
      <c r="A129" s="23" t="n">
        <v>56</v>
      </c>
      <c r="B129" s="75" t="n">
        <v>1</v>
      </c>
      <c r="C129" s="157" t="n"/>
      <c r="D129" s="157" t="n"/>
      <c r="E129" s="157" t="n"/>
      <c r="F129" s="157" t="n"/>
      <c r="G129" s="157" t="n"/>
      <c r="H129" s="157" t="n"/>
      <c r="I129" s="157" t="n"/>
      <c r="J129" s="157" t="n"/>
      <c r="K129" s="157" t="n"/>
      <c r="L129" s="157" t="n"/>
      <c r="M129" s="157" t="n"/>
      <c r="N129" s="157" t="n"/>
      <c r="O129" s="157" t="n"/>
      <c r="P129" s="157" t="n"/>
      <c r="Q129" s="157" t="n"/>
      <c r="R129" s="157" t="n"/>
      <c r="S129" s="157" t="n"/>
      <c r="T129" s="157" t="n"/>
      <c r="U129" s="157" t="n"/>
      <c r="V129" s="157" t="n"/>
      <c r="W129" s="157" t="n"/>
      <c r="X129" s="157" t="n"/>
      <c r="Y129" s="157" t="n"/>
      <c r="Z129" s="157" t="n"/>
      <c r="AA129" s="157" t="n"/>
      <c r="AB129" s="157" t="n"/>
      <c r="AC129" s="157" t="n"/>
      <c r="AD129" s="157" t="n"/>
      <c r="AE129" s="157" t="n"/>
      <c r="AF129" s="157" t="n"/>
      <c r="AG129" s="157" t="n"/>
      <c r="AH129" s="157" t="n"/>
      <c r="AI129" s="157" t="n"/>
      <c r="AJ129" s="157" t="n"/>
      <c r="AK129" s="157" t="n"/>
      <c r="AL129" s="157" t="n"/>
      <c r="AM129" s="157" t="n"/>
      <c r="AN129" s="157" t="n"/>
      <c r="AO129" s="157" t="n"/>
      <c r="AP129" s="157" t="n"/>
      <c r="AQ129" s="157" t="n"/>
      <c r="AR129" s="157" t="n"/>
      <c r="AS129" s="157" t="n"/>
      <c r="AT129" s="157" t="n"/>
      <c r="AU129" s="157" t="n"/>
      <c r="AV129" s="157" t="n"/>
      <c r="AW129" s="157" t="n"/>
      <c r="AX129" s="157" t="n"/>
      <c r="AY129" s="157" t="n"/>
      <c r="AZ129" s="157" t="n"/>
      <c r="BA129" s="157" t="n"/>
      <c r="BB129" s="157" t="n"/>
      <c r="BC129" s="157" t="n"/>
      <c r="BD129" s="157" t="n"/>
      <c r="BE129" s="157" t="n"/>
      <c r="BF129" s="157" t="n"/>
      <c r="BG129" s="157" t="n"/>
      <c r="BH129" s="158" t="n"/>
      <c r="BI129" s="159" t="n"/>
      <c r="BJ129" s="23">
        <f>IFERROR(ISNUMBER(E129)*IF(ISNUMBER(D129),--(E129&lt;D129-0.5),1)+ISNUMBER(F129)*IF(ISNUMBER(E129),--(F129&lt;E129-0.5),1)+ISNUMBER(G129)*IF(ISNUMBER(F129),--(G129&lt;F129-0.5),1)+ISNUMBER(H129)*IF(ISNUMBER(G129),--(H129&lt;G129-0.5),1)+ISNUMBER(I129)*IF(ISNUMBER(H129),--(I129&lt;H129-0.5),1)+ISNUMBER(J129)*IF(ISNUMBER(I129),--(J129&lt;I129-0.5),1)+ISNUMBER(K129)*IF(ISNUMBER(J129),--(K129&lt;J129-0.5),1)+IF(AND(ISNUMBER(C129),C129&lt;0),1,0),1)</f>
        <v/>
      </c>
      <c r="BK129" s="23">
        <f>IFERROR(ISNUMBER(M129)*IF(ISNUMBER(L129),--(M129&lt;L129-0.5),1)+ISNUMBER(N129)*IF(ISNUMBER(M129),--(N129&lt;M129-0.5),1)+ISNUMBER(O129)*IF(ISNUMBER(N129),--(O129&lt;N129-0.5),1)+ISNUMBER(P129)*IF(ISNUMBER(O129),--(P129&lt;O129-0.5),1)+ISNUMBER(Q129)*IF(ISNUMBER(P129),--(Q129&lt;P129-0.5),1)+ISNUMBER(R129)*IF(ISNUMBER(Q129),--(R129&lt;Q129-0.5),1)+ISNUMBER(S129)*IF(ISNUMBER(R129),--(S129&lt;R129-0.5),1),1)</f>
        <v/>
      </c>
    </row>
    <row r="130">
      <c r="A130" s="23" t="n">
        <v>57</v>
      </c>
      <c r="B130" s="75" t="n">
        <v>1</v>
      </c>
      <c r="C130" s="157" t="n"/>
      <c r="D130" s="157" t="n"/>
      <c r="E130" s="157" t="n"/>
      <c r="F130" s="157" t="n"/>
      <c r="G130" s="157" t="n"/>
      <c r="H130" s="157" t="n"/>
      <c r="I130" s="157" t="n"/>
      <c r="J130" s="157" t="n"/>
      <c r="K130" s="157" t="n"/>
      <c r="L130" s="157" t="n"/>
      <c r="M130" s="157" t="n"/>
      <c r="N130" s="157" t="n"/>
      <c r="O130" s="157" t="n"/>
      <c r="P130" s="157" t="n"/>
      <c r="Q130" s="157" t="n"/>
      <c r="R130" s="157" t="n"/>
      <c r="S130" s="157" t="n"/>
      <c r="T130" s="157" t="n"/>
      <c r="U130" s="157" t="n"/>
      <c r="V130" s="157" t="n"/>
      <c r="W130" s="157" t="n"/>
      <c r="X130" s="157" t="n"/>
      <c r="Y130" s="157" t="n"/>
      <c r="Z130" s="157" t="n"/>
      <c r="AA130" s="157" t="n"/>
      <c r="AB130" s="157" t="n"/>
      <c r="AC130" s="157" t="n"/>
      <c r="AD130" s="157" t="n"/>
      <c r="AE130" s="157" t="n"/>
      <c r="AF130" s="157" t="n"/>
      <c r="AG130" s="157" t="n"/>
      <c r="AH130" s="157" t="n"/>
      <c r="AI130" s="157" t="n"/>
      <c r="AJ130" s="157" t="n"/>
      <c r="AK130" s="157" t="n"/>
      <c r="AL130" s="157" t="n"/>
      <c r="AM130" s="157" t="n"/>
      <c r="AN130" s="157" t="n"/>
      <c r="AO130" s="157" t="n"/>
      <c r="AP130" s="157" t="n"/>
      <c r="AQ130" s="157" t="n"/>
      <c r="AR130" s="157" t="n"/>
      <c r="AS130" s="157" t="n"/>
      <c r="AT130" s="157" t="n"/>
      <c r="AU130" s="157" t="n"/>
      <c r="AV130" s="157" t="n"/>
      <c r="AW130" s="157" t="n"/>
      <c r="AX130" s="157" t="n"/>
      <c r="AY130" s="157" t="n"/>
      <c r="AZ130" s="157" t="n"/>
      <c r="BA130" s="157" t="n"/>
      <c r="BB130" s="157" t="n"/>
      <c r="BC130" s="157" t="n"/>
      <c r="BD130" s="157" t="n"/>
      <c r="BE130" s="157" t="n"/>
      <c r="BF130" s="157" t="n"/>
      <c r="BG130" s="157" t="n"/>
      <c r="BH130" s="158" t="n"/>
      <c r="BI130" s="159" t="n"/>
      <c r="BJ130" s="23">
        <f>IFERROR(ISNUMBER(E130)*IF(ISNUMBER(D130),--(E130&lt;D130-0.5),1)+ISNUMBER(F130)*IF(ISNUMBER(E130),--(F130&lt;E130-0.5),1)+ISNUMBER(G130)*IF(ISNUMBER(F130),--(G130&lt;F130-0.5),1)+ISNUMBER(H130)*IF(ISNUMBER(G130),--(H130&lt;G130-0.5),1)+ISNUMBER(I130)*IF(ISNUMBER(H130),--(I130&lt;H130-0.5),1)+ISNUMBER(J130)*IF(ISNUMBER(I130),--(J130&lt;I130-0.5),1)+ISNUMBER(K130)*IF(ISNUMBER(J130),--(K130&lt;J130-0.5),1)+IF(AND(ISNUMBER(C130),C130&lt;0),1,0),1)</f>
        <v/>
      </c>
      <c r="BK130" s="23">
        <f>IFERROR(ISNUMBER(M130)*IF(ISNUMBER(L130),--(M130&lt;L130-0.5),1)+ISNUMBER(N130)*IF(ISNUMBER(M130),--(N130&lt;M130-0.5),1)+ISNUMBER(O130)*IF(ISNUMBER(N130),--(O130&lt;N130-0.5),1)+ISNUMBER(P130)*IF(ISNUMBER(O130),--(P130&lt;O130-0.5),1)+ISNUMBER(Q130)*IF(ISNUMBER(P130),--(Q130&lt;P130-0.5),1)+ISNUMBER(R130)*IF(ISNUMBER(Q130),--(R130&lt;Q130-0.5),1)+ISNUMBER(S130)*IF(ISNUMBER(R130),--(S130&lt;R130-0.5),1),1)</f>
        <v/>
      </c>
    </row>
    <row r="131">
      <c r="A131" s="23" t="n">
        <v>58</v>
      </c>
      <c r="B131" s="75" t="n">
        <v>1</v>
      </c>
      <c r="C131" s="157" t="n"/>
      <c r="D131" s="157" t="n"/>
      <c r="E131" s="157" t="n"/>
      <c r="F131" s="157" t="n"/>
      <c r="G131" s="157" t="n"/>
      <c r="H131" s="157" t="n"/>
      <c r="I131" s="157" t="n"/>
      <c r="J131" s="157" t="n"/>
      <c r="K131" s="157" t="n"/>
      <c r="L131" s="157" t="n"/>
      <c r="M131" s="157" t="n"/>
      <c r="N131" s="157" t="n"/>
      <c r="O131" s="157" t="n"/>
      <c r="P131" s="157" t="n"/>
      <c r="Q131" s="157" t="n"/>
      <c r="R131" s="157" t="n"/>
      <c r="S131" s="157" t="n"/>
      <c r="T131" s="157" t="n"/>
      <c r="U131" s="157" t="n"/>
      <c r="V131" s="157" t="n"/>
      <c r="W131" s="157" t="n"/>
      <c r="X131" s="157" t="n"/>
      <c r="Y131" s="157" t="n"/>
      <c r="Z131" s="157" t="n"/>
      <c r="AA131" s="157" t="n"/>
      <c r="AB131" s="157" t="n"/>
      <c r="AC131" s="157" t="n"/>
      <c r="AD131" s="157" t="n"/>
      <c r="AE131" s="157" t="n"/>
      <c r="AF131" s="157" t="n"/>
      <c r="AG131" s="157" t="n"/>
      <c r="AH131" s="157" t="n"/>
      <c r="AI131" s="157" t="n"/>
      <c r="AJ131" s="157" t="n"/>
      <c r="AK131" s="157" t="n"/>
      <c r="AL131" s="157" t="n"/>
      <c r="AM131" s="157" t="n"/>
      <c r="AN131" s="157" t="n"/>
      <c r="AO131" s="157" t="n"/>
      <c r="AP131" s="157" t="n"/>
      <c r="AQ131" s="157" t="n"/>
      <c r="AR131" s="157" t="n"/>
      <c r="AS131" s="157" t="n"/>
      <c r="AT131" s="157" t="n"/>
      <c r="AU131" s="157" t="n"/>
      <c r="AV131" s="157" t="n"/>
      <c r="AW131" s="157" t="n"/>
      <c r="AX131" s="157" t="n"/>
      <c r="AY131" s="157" t="n"/>
      <c r="AZ131" s="157" t="n"/>
      <c r="BA131" s="157" t="n"/>
      <c r="BB131" s="157" t="n"/>
      <c r="BC131" s="157" t="n"/>
      <c r="BD131" s="157" t="n"/>
      <c r="BE131" s="157" t="n"/>
      <c r="BF131" s="157" t="n"/>
      <c r="BG131" s="157" t="n"/>
      <c r="BH131" s="158" t="n"/>
      <c r="BI131" s="159" t="n"/>
      <c r="BJ131" s="23">
        <f>IFERROR(ISNUMBER(E131)*IF(ISNUMBER(D131),--(E131&lt;D131-0.5),1)+ISNUMBER(F131)*IF(ISNUMBER(E131),--(F131&lt;E131-0.5),1)+ISNUMBER(G131)*IF(ISNUMBER(F131),--(G131&lt;F131-0.5),1)+ISNUMBER(H131)*IF(ISNUMBER(G131),--(H131&lt;G131-0.5),1)+ISNUMBER(I131)*IF(ISNUMBER(H131),--(I131&lt;H131-0.5),1)+ISNUMBER(J131)*IF(ISNUMBER(I131),--(J131&lt;I131-0.5),1)+ISNUMBER(K131)*IF(ISNUMBER(J131),--(K131&lt;J131-0.5),1)+IF(AND(ISNUMBER(C131),C131&lt;0),1,0),1)</f>
        <v/>
      </c>
      <c r="BK131" s="23">
        <f>IFERROR(ISNUMBER(M131)*IF(ISNUMBER(L131),--(M131&lt;L131-0.5),1)+ISNUMBER(N131)*IF(ISNUMBER(M131),--(N131&lt;M131-0.5),1)+ISNUMBER(O131)*IF(ISNUMBER(N131),--(O131&lt;N131-0.5),1)+ISNUMBER(P131)*IF(ISNUMBER(O131),--(P131&lt;O131-0.5),1)+ISNUMBER(Q131)*IF(ISNUMBER(P131),--(Q131&lt;P131-0.5),1)+ISNUMBER(R131)*IF(ISNUMBER(Q131),--(R131&lt;Q131-0.5),1)+ISNUMBER(S131)*IF(ISNUMBER(R131),--(S131&lt;R131-0.5),1),1)</f>
        <v/>
      </c>
    </row>
    <row r="132">
      <c r="A132" s="23" t="n">
        <v>59</v>
      </c>
      <c r="B132" s="75" t="n">
        <v>1</v>
      </c>
      <c r="C132" s="157" t="n"/>
      <c r="D132" s="157" t="n"/>
      <c r="E132" s="157" t="n"/>
      <c r="F132" s="157" t="n"/>
      <c r="G132" s="157" t="n"/>
      <c r="H132" s="157" t="n"/>
      <c r="I132" s="157" t="n"/>
      <c r="J132" s="157" t="n"/>
      <c r="K132" s="157" t="n"/>
      <c r="L132" s="157" t="n"/>
      <c r="M132" s="157" t="n"/>
      <c r="N132" s="157" t="n"/>
      <c r="O132" s="157" t="n"/>
      <c r="P132" s="157" t="n"/>
      <c r="Q132" s="157" t="n"/>
      <c r="R132" s="157" t="n"/>
      <c r="S132" s="157" t="n"/>
      <c r="T132" s="157" t="n"/>
      <c r="U132" s="157" t="n"/>
      <c r="V132" s="157" t="n"/>
      <c r="W132" s="157" t="n"/>
      <c r="X132" s="157" t="n"/>
      <c r="Y132" s="157" t="n"/>
      <c r="Z132" s="157" t="n"/>
      <c r="AA132" s="157" t="n"/>
      <c r="AB132" s="157" t="n"/>
      <c r="AC132" s="157" t="n"/>
      <c r="AD132" s="157" t="n"/>
      <c r="AE132" s="157" t="n"/>
      <c r="AF132" s="157" t="n"/>
      <c r="AG132" s="157" t="n"/>
      <c r="AH132" s="157" t="n"/>
      <c r="AI132" s="157" t="n"/>
      <c r="AJ132" s="157" t="n"/>
      <c r="AK132" s="157" t="n"/>
      <c r="AL132" s="157" t="n"/>
      <c r="AM132" s="157" t="n"/>
      <c r="AN132" s="157" t="n"/>
      <c r="AO132" s="157" t="n"/>
      <c r="AP132" s="157" t="n"/>
      <c r="AQ132" s="157" t="n"/>
      <c r="AR132" s="157" t="n"/>
      <c r="AS132" s="157" t="n"/>
      <c r="AT132" s="157" t="n"/>
      <c r="AU132" s="157" t="n"/>
      <c r="AV132" s="157" t="n"/>
      <c r="AW132" s="157" t="n"/>
      <c r="AX132" s="157" t="n"/>
      <c r="AY132" s="157" t="n"/>
      <c r="AZ132" s="157" t="n"/>
      <c r="BA132" s="157" t="n"/>
      <c r="BB132" s="157" t="n"/>
      <c r="BC132" s="157" t="n"/>
      <c r="BD132" s="157" t="n"/>
      <c r="BE132" s="157" t="n"/>
      <c r="BF132" s="157" t="n"/>
      <c r="BG132" s="157" t="n"/>
      <c r="BH132" s="158" t="n"/>
      <c r="BI132" s="159" t="n"/>
      <c r="BJ132" s="23">
        <f>IFERROR(ISNUMBER(E132)*IF(ISNUMBER(D132),--(E132&lt;D132-0.5),1)+ISNUMBER(F132)*IF(ISNUMBER(E132),--(F132&lt;E132-0.5),1)+ISNUMBER(G132)*IF(ISNUMBER(F132),--(G132&lt;F132-0.5),1)+ISNUMBER(H132)*IF(ISNUMBER(G132),--(H132&lt;G132-0.5),1)+ISNUMBER(I132)*IF(ISNUMBER(H132),--(I132&lt;H132-0.5),1)+ISNUMBER(J132)*IF(ISNUMBER(I132),--(J132&lt;I132-0.5),1)+ISNUMBER(K132)*IF(ISNUMBER(J132),--(K132&lt;J132-0.5),1)+IF(AND(ISNUMBER(C132),C132&lt;0),1,0),1)</f>
        <v/>
      </c>
      <c r="BK132" s="23">
        <f>IFERROR(ISNUMBER(M132)*IF(ISNUMBER(L132),--(M132&lt;L132-0.5),1)+ISNUMBER(N132)*IF(ISNUMBER(M132),--(N132&lt;M132-0.5),1)+ISNUMBER(O132)*IF(ISNUMBER(N132),--(O132&lt;N132-0.5),1)+ISNUMBER(P132)*IF(ISNUMBER(O132),--(P132&lt;O132-0.5),1)+ISNUMBER(Q132)*IF(ISNUMBER(P132),--(Q132&lt;P132-0.5),1)+ISNUMBER(R132)*IF(ISNUMBER(Q132),--(R132&lt;Q132-0.5),1)+ISNUMBER(S132)*IF(ISNUMBER(R132),--(S132&lt;R132-0.5),1),1)</f>
        <v/>
      </c>
    </row>
    <row r="133">
      <c r="A133" s="23" t="n">
        <v>60</v>
      </c>
      <c r="B133" s="75" t="n">
        <v>1</v>
      </c>
      <c r="C133" s="157" t="n"/>
      <c r="D133" s="157" t="n"/>
      <c r="E133" s="157" t="n"/>
      <c r="F133" s="157" t="n"/>
      <c r="G133" s="157" t="n"/>
      <c r="H133" s="157" t="n"/>
      <c r="I133" s="157" t="n"/>
      <c r="J133" s="157" t="n"/>
      <c r="K133" s="157" t="n"/>
      <c r="L133" s="157" t="n"/>
      <c r="M133" s="157" t="n"/>
      <c r="N133" s="157" t="n"/>
      <c r="O133" s="157" t="n"/>
      <c r="P133" s="157" t="n"/>
      <c r="Q133" s="157" t="n"/>
      <c r="R133" s="157" t="n"/>
      <c r="S133" s="157" t="n"/>
      <c r="T133" s="157" t="n"/>
      <c r="U133" s="157" t="n"/>
      <c r="V133" s="157" t="n"/>
      <c r="W133" s="157" t="n"/>
      <c r="X133" s="157" t="n"/>
      <c r="Y133" s="157" t="n"/>
      <c r="Z133" s="157" t="n"/>
      <c r="AA133" s="157" t="n"/>
      <c r="AB133" s="157" t="n"/>
      <c r="AC133" s="157" t="n"/>
      <c r="AD133" s="157" t="n"/>
      <c r="AE133" s="157" t="n"/>
      <c r="AF133" s="157" t="n"/>
      <c r="AG133" s="157" t="n"/>
      <c r="AH133" s="157" t="n"/>
      <c r="AI133" s="157" t="n"/>
      <c r="AJ133" s="157" t="n"/>
      <c r="AK133" s="157" t="n"/>
      <c r="AL133" s="157" t="n"/>
      <c r="AM133" s="157" t="n"/>
      <c r="AN133" s="157" t="n"/>
      <c r="AO133" s="157" t="n"/>
      <c r="AP133" s="157" t="n"/>
      <c r="AQ133" s="157" t="n"/>
      <c r="AR133" s="157" t="n"/>
      <c r="AS133" s="157" t="n"/>
      <c r="AT133" s="157" t="n"/>
      <c r="AU133" s="157" t="n"/>
      <c r="AV133" s="157" t="n"/>
      <c r="AW133" s="157" t="n"/>
      <c r="AX133" s="157" t="n"/>
      <c r="AY133" s="157" t="n"/>
      <c r="AZ133" s="157" t="n"/>
      <c r="BA133" s="157" t="n"/>
      <c r="BB133" s="157" t="n"/>
      <c r="BC133" s="157" t="n"/>
      <c r="BD133" s="157" t="n"/>
      <c r="BE133" s="157" t="n"/>
      <c r="BF133" s="157" t="n"/>
      <c r="BG133" s="157" t="n"/>
      <c r="BH133" s="158" t="n"/>
      <c r="BI133" s="159" t="n"/>
      <c r="BJ133" s="23">
        <f>IFERROR(ISNUMBER(E133)*IF(ISNUMBER(D133),--(E133&lt;D133-0.5),1)+ISNUMBER(F133)*IF(ISNUMBER(E133),--(F133&lt;E133-0.5),1)+ISNUMBER(G133)*IF(ISNUMBER(F133),--(G133&lt;F133-0.5),1)+ISNUMBER(H133)*IF(ISNUMBER(G133),--(H133&lt;G133-0.5),1)+ISNUMBER(I133)*IF(ISNUMBER(H133),--(I133&lt;H133-0.5),1)+ISNUMBER(J133)*IF(ISNUMBER(I133),--(J133&lt;I133-0.5),1)+ISNUMBER(K133)*IF(ISNUMBER(J133),--(K133&lt;J133-0.5),1)+IF(AND(ISNUMBER(C133),C133&lt;0),1,0),1)</f>
        <v/>
      </c>
      <c r="BK133" s="23">
        <f>IFERROR(ISNUMBER(M133)*IF(ISNUMBER(L133),--(M133&lt;L133-0.5),1)+ISNUMBER(N133)*IF(ISNUMBER(M133),--(N133&lt;M133-0.5),1)+ISNUMBER(O133)*IF(ISNUMBER(N133),--(O133&lt;N133-0.5),1)+ISNUMBER(P133)*IF(ISNUMBER(O133),--(P133&lt;O133-0.5),1)+ISNUMBER(Q133)*IF(ISNUMBER(P133),--(Q133&lt;P133-0.5),1)+ISNUMBER(R133)*IF(ISNUMBER(Q133),--(R133&lt;Q133-0.5),1)+ISNUMBER(S133)*IF(ISNUMBER(R133),--(S133&lt;R133-0.5),1),1)</f>
        <v/>
      </c>
    </row>
    <row r="134"/>
    <row r="135"/>
    <row r="136">
      <c r="A136" s="111" t="inlineStr">
        <is>
          <t>Tier 3: Large SHS + DC fridge</t>
        </is>
      </c>
    </row>
    <row r="137">
      <c r="D137" s="151" t="inlineStr">
        <is>
          <t>Cumulative collections</t>
        </is>
      </c>
      <c r="L137" s="151" t="inlineStr">
        <is>
          <t>Cumulative instalments due</t>
        </is>
      </c>
      <c r="T137" s="151" t="inlineStr">
        <is>
          <t>30+ DPD exposure (arrears incl. written off + outstanding)</t>
        </is>
      </c>
      <c r="AB137" s="151" t="inlineStr">
        <is>
          <t>90+ DPD exposure (arrears incl. written off + outstanding)</t>
        </is>
      </c>
      <c r="AJ137" s="151" t="inlineStr">
        <is>
          <t>180+ default exposure (cumulative)</t>
        </is>
      </c>
      <c r="AR137" s="151" t="inlineStr">
        <is>
          <t>Cumulative recoveries (net)</t>
        </is>
      </c>
      <c r="AZ137" s="151" t="inlineStr">
        <is>
          <t>Active accounts</t>
        </is>
      </c>
    </row>
    <row r="138">
      <c r="A138" s="40" t="inlineStr">
        <is>
          <t>Cohort #</t>
        </is>
      </c>
      <c r="B138" s="40" t="inlineStr">
        <is>
          <t>Mode</t>
        </is>
      </c>
      <c r="C138" s="40" t="inlineStr">
        <is>
          <t>Units originated</t>
        </is>
      </c>
      <c r="D138" s="40" t="inlineStr">
        <is>
          <t>M3</t>
        </is>
      </c>
      <c r="E138" s="40" t="inlineStr">
        <is>
          <t>M6</t>
        </is>
      </c>
      <c r="F138" s="40" t="inlineStr">
        <is>
          <t>M12</t>
        </is>
      </c>
      <c r="G138" s="40" t="inlineStr">
        <is>
          <t>M18</t>
        </is>
      </c>
      <c r="H138" s="40" t="inlineStr">
        <is>
          <t>M24</t>
        </is>
      </c>
      <c r="I138" s="40" t="inlineStr">
        <is>
          <t>M36</t>
        </is>
      </c>
      <c r="J138" s="40" t="inlineStr">
        <is>
          <t>M48</t>
        </is>
      </c>
      <c r="K138" s="40" t="inlineStr">
        <is>
          <t>M60</t>
        </is>
      </c>
      <c r="L138" s="40" t="inlineStr">
        <is>
          <t>M3</t>
        </is>
      </c>
      <c r="M138" s="40" t="inlineStr">
        <is>
          <t>M6</t>
        </is>
      </c>
      <c r="N138" s="40" t="inlineStr">
        <is>
          <t>M12</t>
        </is>
      </c>
      <c r="O138" s="40" t="inlineStr">
        <is>
          <t>M18</t>
        </is>
      </c>
      <c r="P138" s="40" t="inlineStr">
        <is>
          <t>M24</t>
        </is>
      </c>
      <c r="Q138" s="40" t="inlineStr">
        <is>
          <t>M36</t>
        </is>
      </c>
      <c r="R138" s="40" t="inlineStr">
        <is>
          <t>M48</t>
        </is>
      </c>
      <c r="S138" s="40" t="inlineStr">
        <is>
          <t>M60</t>
        </is>
      </c>
      <c r="T138" s="40" t="inlineStr">
        <is>
          <t>M3</t>
        </is>
      </c>
      <c r="U138" s="40" t="inlineStr">
        <is>
          <t>M6</t>
        </is>
      </c>
      <c r="V138" s="40" t="inlineStr">
        <is>
          <t>M12</t>
        </is>
      </c>
      <c r="W138" s="40" t="inlineStr">
        <is>
          <t>M18</t>
        </is>
      </c>
      <c r="X138" s="40" t="inlineStr">
        <is>
          <t>M24</t>
        </is>
      </c>
      <c r="Y138" s="40" t="inlineStr">
        <is>
          <t>M36</t>
        </is>
      </c>
      <c r="Z138" s="40" t="inlineStr">
        <is>
          <t>M48</t>
        </is>
      </c>
      <c r="AA138" s="40" t="inlineStr">
        <is>
          <t>M60</t>
        </is>
      </c>
      <c r="AB138" s="40" t="inlineStr">
        <is>
          <t>M3</t>
        </is>
      </c>
      <c r="AC138" s="40" t="inlineStr">
        <is>
          <t>M6</t>
        </is>
      </c>
      <c r="AD138" s="40" t="inlineStr">
        <is>
          <t>M12</t>
        </is>
      </c>
      <c r="AE138" s="40" t="inlineStr">
        <is>
          <t>M18</t>
        </is>
      </c>
      <c r="AF138" s="40" t="inlineStr">
        <is>
          <t>M24</t>
        </is>
      </c>
      <c r="AG138" s="40" t="inlineStr">
        <is>
          <t>M36</t>
        </is>
      </c>
      <c r="AH138" s="40" t="inlineStr">
        <is>
          <t>M48</t>
        </is>
      </c>
      <c r="AI138" s="40" t="inlineStr">
        <is>
          <t>M60</t>
        </is>
      </c>
      <c r="AJ138" s="40" t="inlineStr">
        <is>
          <t>M3</t>
        </is>
      </c>
      <c r="AK138" s="40" t="inlineStr">
        <is>
          <t>M6</t>
        </is>
      </c>
      <c r="AL138" s="40" t="inlineStr">
        <is>
          <t>M12</t>
        </is>
      </c>
      <c r="AM138" s="40" t="inlineStr">
        <is>
          <t>M18</t>
        </is>
      </c>
      <c r="AN138" s="40" t="inlineStr">
        <is>
          <t>M24</t>
        </is>
      </c>
      <c r="AO138" s="40" t="inlineStr">
        <is>
          <t>M36</t>
        </is>
      </c>
      <c r="AP138" s="40" t="inlineStr">
        <is>
          <t>M48</t>
        </is>
      </c>
      <c r="AQ138" s="40" t="inlineStr">
        <is>
          <t>M60</t>
        </is>
      </c>
      <c r="AR138" s="40" t="inlineStr">
        <is>
          <t>M3</t>
        </is>
      </c>
      <c r="AS138" s="40" t="inlineStr">
        <is>
          <t>M6</t>
        </is>
      </c>
      <c r="AT138" s="40" t="inlineStr">
        <is>
          <t>M12</t>
        </is>
      </c>
      <c r="AU138" s="40" t="inlineStr">
        <is>
          <t>M18</t>
        </is>
      </c>
      <c r="AV138" s="40" t="inlineStr">
        <is>
          <t>M24</t>
        </is>
      </c>
      <c r="AW138" s="40" t="inlineStr">
        <is>
          <t>M36</t>
        </is>
      </c>
      <c r="AX138" s="40" t="inlineStr">
        <is>
          <t>M48</t>
        </is>
      </c>
      <c r="AY138" s="40" t="inlineStr">
        <is>
          <t>M60</t>
        </is>
      </c>
      <c r="AZ138" s="40" t="inlineStr">
        <is>
          <t>M3</t>
        </is>
      </c>
      <c r="BA138" s="40" t="inlineStr">
        <is>
          <t>M6</t>
        </is>
      </c>
      <c r="BB138" s="40" t="inlineStr">
        <is>
          <t>M12</t>
        </is>
      </c>
      <c r="BC138" s="40" t="inlineStr">
        <is>
          <t>M18</t>
        </is>
      </c>
      <c r="BD138" s="40" t="inlineStr">
        <is>
          <t>M24</t>
        </is>
      </c>
      <c r="BE138" s="40" t="inlineStr">
        <is>
          <t>M36</t>
        </is>
      </c>
      <c r="BF138" s="40" t="inlineStr">
        <is>
          <t>M48</t>
        </is>
      </c>
      <c r="BG138" s="40" t="inlineStr">
        <is>
          <t>M60</t>
        </is>
      </c>
      <c r="BH138" s="40" t="inlineStr">
        <is>
          <t>Ownership at 2x (%)</t>
        </is>
      </c>
      <c r="BI138" s="40" t="inlineStr">
        <is>
          <t>Notes</t>
        </is>
      </c>
      <c r="BJ138" s="40" t="inlineStr">
        <is>
          <t>Check: collections, units (0 = OK)</t>
        </is>
      </c>
      <c r="BK138" s="40" t="inlineStr">
        <is>
          <t>Check: instalments due (0 = OK)</t>
        </is>
      </c>
    </row>
    <row r="139">
      <c r="A139" s="23" t="n">
        <v>1</v>
      </c>
      <c r="B139" s="75" t="n">
        <v>1</v>
      </c>
      <c r="C139" s="157" t="n"/>
      <c r="D139" s="157" t="n"/>
      <c r="E139" s="157" t="n"/>
      <c r="F139" s="157" t="n"/>
      <c r="G139" s="157" t="n"/>
      <c r="H139" s="157" t="n"/>
      <c r="I139" s="157" t="n"/>
      <c r="J139" s="157" t="n"/>
      <c r="K139" s="157" t="n"/>
      <c r="L139" s="157" t="n"/>
      <c r="M139" s="157" t="n"/>
      <c r="N139" s="157" t="n"/>
      <c r="O139" s="157" t="n"/>
      <c r="P139" s="157" t="n"/>
      <c r="Q139" s="157" t="n"/>
      <c r="R139" s="157" t="n"/>
      <c r="S139" s="157" t="n"/>
      <c r="T139" s="157" t="n"/>
      <c r="U139" s="157" t="n"/>
      <c r="V139" s="157" t="n"/>
      <c r="W139" s="157" t="n"/>
      <c r="X139" s="157" t="n"/>
      <c r="Y139" s="157" t="n"/>
      <c r="Z139" s="157" t="n"/>
      <c r="AA139" s="157" t="n"/>
      <c r="AB139" s="157" t="n"/>
      <c r="AC139" s="157" t="n"/>
      <c r="AD139" s="157" t="n"/>
      <c r="AE139" s="157" t="n"/>
      <c r="AF139" s="157" t="n"/>
      <c r="AG139" s="157" t="n"/>
      <c r="AH139" s="157" t="n"/>
      <c r="AI139" s="157" t="n"/>
      <c r="AJ139" s="157" t="n"/>
      <c r="AK139" s="157" t="n"/>
      <c r="AL139" s="157" t="n"/>
      <c r="AM139" s="157" t="n"/>
      <c r="AN139" s="157" t="n"/>
      <c r="AO139" s="157" t="n"/>
      <c r="AP139" s="157" t="n"/>
      <c r="AQ139" s="157" t="n"/>
      <c r="AR139" s="157" t="n"/>
      <c r="AS139" s="157" t="n"/>
      <c r="AT139" s="157" t="n"/>
      <c r="AU139" s="157" t="n"/>
      <c r="AV139" s="157" t="n"/>
      <c r="AW139" s="157" t="n"/>
      <c r="AX139" s="157" t="n"/>
      <c r="AY139" s="157" t="n"/>
      <c r="AZ139" s="157" t="n"/>
      <c r="BA139" s="157" t="n"/>
      <c r="BB139" s="157" t="n"/>
      <c r="BC139" s="157" t="n"/>
      <c r="BD139" s="157" t="n"/>
      <c r="BE139" s="157" t="n"/>
      <c r="BF139" s="157" t="n"/>
      <c r="BG139" s="157" t="n"/>
      <c r="BH139" s="158" t="n"/>
      <c r="BI139" s="159" t="n"/>
      <c r="BJ139" s="23">
        <f>IFERROR(ISNUMBER(E139)*IF(ISNUMBER(D139),--(E139&lt;D139-0.5),1)+ISNUMBER(F139)*IF(ISNUMBER(E139),--(F139&lt;E139-0.5),1)+ISNUMBER(G139)*IF(ISNUMBER(F139),--(G139&lt;F139-0.5),1)+ISNUMBER(H139)*IF(ISNUMBER(G139),--(H139&lt;G139-0.5),1)+ISNUMBER(I139)*IF(ISNUMBER(H139),--(I139&lt;H139-0.5),1)+ISNUMBER(J139)*IF(ISNUMBER(I139),--(J139&lt;I139-0.5),1)+ISNUMBER(K139)*IF(ISNUMBER(J139),--(K139&lt;J139-0.5),1)+IF(AND(ISNUMBER(C139),C139&lt;0),1,0),1)</f>
        <v/>
      </c>
      <c r="BK139" s="23">
        <f>IFERROR(ISNUMBER(M139)*IF(ISNUMBER(L139),--(M139&lt;L139-0.5),1)+ISNUMBER(N139)*IF(ISNUMBER(M139),--(N139&lt;M139-0.5),1)+ISNUMBER(O139)*IF(ISNUMBER(N139),--(O139&lt;N139-0.5),1)+ISNUMBER(P139)*IF(ISNUMBER(O139),--(P139&lt;O139-0.5),1)+ISNUMBER(Q139)*IF(ISNUMBER(P139),--(Q139&lt;P139-0.5),1)+ISNUMBER(R139)*IF(ISNUMBER(Q139),--(R139&lt;Q139-0.5),1)+ISNUMBER(S139)*IF(ISNUMBER(R139),--(S139&lt;R139-0.5),1),1)</f>
        <v/>
      </c>
    </row>
    <row r="140">
      <c r="A140" s="23" t="n">
        <v>2</v>
      </c>
      <c r="B140" s="75" t="n">
        <v>1</v>
      </c>
      <c r="C140" s="157" t="n"/>
      <c r="D140" s="157" t="n"/>
      <c r="E140" s="157" t="n"/>
      <c r="F140" s="157" t="n"/>
      <c r="G140" s="157" t="n"/>
      <c r="H140" s="157" t="n"/>
      <c r="I140" s="157" t="n"/>
      <c r="J140" s="157" t="n"/>
      <c r="K140" s="157" t="n"/>
      <c r="L140" s="157" t="n"/>
      <c r="M140" s="157" t="n"/>
      <c r="N140" s="157" t="n"/>
      <c r="O140" s="157" t="n"/>
      <c r="P140" s="157" t="n"/>
      <c r="Q140" s="157" t="n"/>
      <c r="R140" s="157" t="n"/>
      <c r="S140" s="157" t="n"/>
      <c r="T140" s="157" t="n"/>
      <c r="U140" s="157" t="n"/>
      <c r="V140" s="157" t="n"/>
      <c r="W140" s="157" t="n"/>
      <c r="X140" s="157" t="n"/>
      <c r="Y140" s="157" t="n"/>
      <c r="Z140" s="157" t="n"/>
      <c r="AA140" s="157" t="n"/>
      <c r="AB140" s="157" t="n"/>
      <c r="AC140" s="157" t="n"/>
      <c r="AD140" s="157" t="n"/>
      <c r="AE140" s="157" t="n"/>
      <c r="AF140" s="157" t="n"/>
      <c r="AG140" s="157" t="n"/>
      <c r="AH140" s="157" t="n"/>
      <c r="AI140" s="157" t="n"/>
      <c r="AJ140" s="157" t="n"/>
      <c r="AK140" s="157" t="n"/>
      <c r="AL140" s="157" t="n"/>
      <c r="AM140" s="157" t="n"/>
      <c r="AN140" s="157" t="n"/>
      <c r="AO140" s="157" t="n"/>
      <c r="AP140" s="157" t="n"/>
      <c r="AQ140" s="157" t="n"/>
      <c r="AR140" s="157" t="n"/>
      <c r="AS140" s="157" t="n"/>
      <c r="AT140" s="157" t="n"/>
      <c r="AU140" s="157" t="n"/>
      <c r="AV140" s="157" t="n"/>
      <c r="AW140" s="157" t="n"/>
      <c r="AX140" s="157" t="n"/>
      <c r="AY140" s="157" t="n"/>
      <c r="AZ140" s="157" t="n"/>
      <c r="BA140" s="157" t="n"/>
      <c r="BB140" s="157" t="n"/>
      <c r="BC140" s="157" t="n"/>
      <c r="BD140" s="157" t="n"/>
      <c r="BE140" s="157" t="n"/>
      <c r="BF140" s="157" t="n"/>
      <c r="BG140" s="157" t="n"/>
      <c r="BH140" s="158" t="n"/>
      <c r="BI140" s="159" t="n"/>
      <c r="BJ140" s="23">
        <f>IFERROR(ISNUMBER(E140)*IF(ISNUMBER(D140),--(E140&lt;D140-0.5),1)+ISNUMBER(F140)*IF(ISNUMBER(E140),--(F140&lt;E140-0.5),1)+ISNUMBER(G140)*IF(ISNUMBER(F140),--(G140&lt;F140-0.5),1)+ISNUMBER(H140)*IF(ISNUMBER(G140),--(H140&lt;G140-0.5),1)+ISNUMBER(I140)*IF(ISNUMBER(H140),--(I140&lt;H140-0.5),1)+ISNUMBER(J140)*IF(ISNUMBER(I140),--(J140&lt;I140-0.5),1)+ISNUMBER(K140)*IF(ISNUMBER(J140),--(K140&lt;J140-0.5),1)+IF(AND(ISNUMBER(C140),C140&lt;0),1,0),1)</f>
        <v/>
      </c>
      <c r="BK140" s="23">
        <f>IFERROR(ISNUMBER(M140)*IF(ISNUMBER(L140),--(M140&lt;L140-0.5),1)+ISNUMBER(N140)*IF(ISNUMBER(M140),--(N140&lt;M140-0.5),1)+ISNUMBER(O140)*IF(ISNUMBER(N140),--(O140&lt;N140-0.5),1)+ISNUMBER(P140)*IF(ISNUMBER(O140),--(P140&lt;O140-0.5),1)+ISNUMBER(Q140)*IF(ISNUMBER(P140),--(Q140&lt;P140-0.5),1)+ISNUMBER(R140)*IF(ISNUMBER(Q140),--(R140&lt;Q140-0.5),1)+ISNUMBER(S140)*IF(ISNUMBER(R140),--(S140&lt;R140-0.5),1),1)</f>
        <v/>
      </c>
    </row>
    <row r="141">
      <c r="A141" s="23" t="n">
        <v>3</v>
      </c>
      <c r="B141" s="75" t="n">
        <v>1</v>
      </c>
      <c r="C141" s="157" t="n"/>
      <c r="D141" s="157" t="n"/>
      <c r="E141" s="157" t="n"/>
      <c r="F141" s="157" t="n"/>
      <c r="G141" s="157" t="n"/>
      <c r="H141" s="157" t="n"/>
      <c r="I141" s="157" t="n"/>
      <c r="J141" s="157" t="n"/>
      <c r="K141" s="157" t="n"/>
      <c r="L141" s="157" t="n"/>
      <c r="M141" s="157" t="n"/>
      <c r="N141" s="157" t="n"/>
      <c r="O141" s="157" t="n"/>
      <c r="P141" s="157" t="n"/>
      <c r="Q141" s="157" t="n"/>
      <c r="R141" s="157" t="n"/>
      <c r="S141" s="157" t="n"/>
      <c r="T141" s="157" t="n"/>
      <c r="U141" s="157" t="n"/>
      <c r="V141" s="157" t="n"/>
      <c r="W141" s="157" t="n"/>
      <c r="X141" s="157" t="n"/>
      <c r="Y141" s="157" t="n"/>
      <c r="Z141" s="157" t="n"/>
      <c r="AA141" s="157" t="n"/>
      <c r="AB141" s="157" t="n"/>
      <c r="AC141" s="157" t="n"/>
      <c r="AD141" s="157" t="n"/>
      <c r="AE141" s="157" t="n"/>
      <c r="AF141" s="157" t="n"/>
      <c r="AG141" s="157" t="n"/>
      <c r="AH141" s="157" t="n"/>
      <c r="AI141" s="157" t="n"/>
      <c r="AJ141" s="157" t="n"/>
      <c r="AK141" s="157" t="n"/>
      <c r="AL141" s="157" t="n"/>
      <c r="AM141" s="157" t="n"/>
      <c r="AN141" s="157" t="n"/>
      <c r="AO141" s="157" t="n"/>
      <c r="AP141" s="157" t="n"/>
      <c r="AQ141" s="157" t="n"/>
      <c r="AR141" s="157" t="n"/>
      <c r="AS141" s="157" t="n"/>
      <c r="AT141" s="157" t="n"/>
      <c r="AU141" s="157" t="n"/>
      <c r="AV141" s="157" t="n"/>
      <c r="AW141" s="157" t="n"/>
      <c r="AX141" s="157" t="n"/>
      <c r="AY141" s="157" t="n"/>
      <c r="AZ141" s="157" t="n"/>
      <c r="BA141" s="157" t="n"/>
      <c r="BB141" s="157" t="n"/>
      <c r="BC141" s="157" t="n"/>
      <c r="BD141" s="157" t="n"/>
      <c r="BE141" s="157" t="n"/>
      <c r="BF141" s="157" t="n"/>
      <c r="BG141" s="157" t="n"/>
      <c r="BH141" s="158" t="n"/>
      <c r="BI141" s="159" t="n"/>
      <c r="BJ141" s="23">
        <f>IFERROR(ISNUMBER(E141)*IF(ISNUMBER(D141),--(E141&lt;D141-0.5),1)+ISNUMBER(F141)*IF(ISNUMBER(E141),--(F141&lt;E141-0.5),1)+ISNUMBER(G141)*IF(ISNUMBER(F141),--(G141&lt;F141-0.5),1)+ISNUMBER(H141)*IF(ISNUMBER(G141),--(H141&lt;G141-0.5),1)+ISNUMBER(I141)*IF(ISNUMBER(H141),--(I141&lt;H141-0.5),1)+ISNUMBER(J141)*IF(ISNUMBER(I141),--(J141&lt;I141-0.5),1)+ISNUMBER(K141)*IF(ISNUMBER(J141),--(K141&lt;J141-0.5),1)+IF(AND(ISNUMBER(C141),C141&lt;0),1,0),1)</f>
        <v/>
      </c>
      <c r="BK141" s="23">
        <f>IFERROR(ISNUMBER(M141)*IF(ISNUMBER(L141),--(M141&lt;L141-0.5),1)+ISNUMBER(N141)*IF(ISNUMBER(M141),--(N141&lt;M141-0.5),1)+ISNUMBER(O141)*IF(ISNUMBER(N141),--(O141&lt;N141-0.5),1)+ISNUMBER(P141)*IF(ISNUMBER(O141),--(P141&lt;O141-0.5),1)+ISNUMBER(Q141)*IF(ISNUMBER(P141),--(Q141&lt;P141-0.5),1)+ISNUMBER(R141)*IF(ISNUMBER(Q141),--(R141&lt;Q141-0.5),1)+ISNUMBER(S141)*IF(ISNUMBER(R141),--(S141&lt;R141-0.5),1),1)</f>
        <v/>
      </c>
    </row>
    <row r="142">
      <c r="A142" s="23" t="n">
        <v>4</v>
      </c>
      <c r="B142" s="75" t="n">
        <v>1</v>
      </c>
      <c r="C142" s="157" t="n"/>
      <c r="D142" s="157" t="n"/>
      <c r="E142" s="157" t="n"/>
      <c r="F142" s="157" t="n"/>
      <c r="G142" s="157" t="n"/>
      <c r="H142" s="157" t="n"/>
      <c r="I142" s="157" t="n"/>
      <c r="J142" s="157" t="n"/>
      <c r="K142" s="157" t="n"/>
      <c r="L142" s="157" t="n"/>
      <c r="M142" s="157" t="n"/>
      <c r="N142" s="157" t="n"/>
      <c r="O142" s="157" t="n"/>
      <c r="P142" s="157" t="n"/>
      <c r="Q142" s="157" t="n"/>
      <c r="R142" s="157" t="n"/>
      <c r="S142" s="157" t="n"/>
      <c r="T142" s="157" t="n"/>
      <c r="U142" s="157" t="n"/>
      <c r="V142" s="157" t="n"/>
      <c r="W142" s="157" t="n"/>
      <c r="X142" s="157" t="n"/>
      <c r="Y142" s="157" t="n"/>
      <c r="Z142" s="157" t="n"/>
      <c r="AA142" s="157" t="n"/>
      <c r="AB142" s="157" t="n"/>
      <c r="AC142" s="157" t="n"/>
      <c r="AD142" s="157" t="n"/>
      <c r="AE142" s="157" t="n"/>
      <c r="AF142" s="157" t="n"/>
      <c r="AG142" s="157" t="n"/>
      <c r="AH142" s="157" t="n"/>
      <c r="AI142" s="157" t="n"/>
      <c r="AJ142" s="157" t="n"/>
      <c r="AK142" s="157" t="n"/>
      <c r="AL142" s="157" t="n"/>
      <c r="AM142" s="157" t="n"/>
      <c r="AN142" s="157" t="n"/>
      <c r="AO142" s="157" t="n"/>
      <c r="AP142" s="157" t="n"/>
      <c r="AQ142" s="157" t="n"/>
      <c r="AR142" s="157" t="n"/>
      <c r="AS142" s="157" t="n"/>
      <c r="AT142" s="157" t="n"/>
      <c r="AU142" s="157" t="n"/>
      <c r="AV142" s="157" t="n"/>
      <c r="AW142" s="157" t="n"/>
      <c r="AX142" s="157" t="n"/>
      <c r="AY142" s="157" t="n"/>
      <c r="AZ142" s="157" t="n"/>
      <c r="BA142" s="157" t="n"/>
      <c r="BB142" s="157" t="n"/>
      <c r="BC142" s="157" t="n"/>
      <c r="BD142" s="157" t="n"/>
      <c r="BE142" s="157" t="n"/>
      <c r="BF142" s="157" t="n"/>
      <c r="BG142" s="157" t="n"/>
      <c r="BH142" s="158" t="n"/>
      <c r="BI142" s="159" t="n"/>
      <c r="BJ142" s="23">
        <f>IFERROR(ISNUMBER(E142)*IF(ISNUMBER(D142),--(E142&lt;D142-0.5),1)+ISNUMBER(F142)*IF(ISNUMBER(E142),--(F142&lt;E142-0.5),1)+ISNUMBER(G142)*IF(ISNUMBER(F142),--(G142&lt;F142-0.5),1)+ISNUMBER(H142)*IF(ISNUMBER(G142),--(H142&lt;G142-0.5),1)+ISNUMBER(I142)*IF(ISNUMBER(H142),--(I142&lt;H142-0.5),1)+ISNUMBER(J142)*IF(ISNUMBER(I142),--(J142&lt;I142-0.5),1)+ISNUMBER(K142)*IF(ISNUMBER(J142),--(K142&lt;J142-0.5),1)+IF(AND(ISNUMBER(C142),C142&lt;0),1,0),1)</f>
        <v/>
      </c>
      <c r="BK142" s="23">
        <f>IFERROR(ISNUMBER(M142)*IF(ISNUMBER(L142),--(M142&lt;L142-0.5),1)+ISNUMBER(N142)*IF(ISNUMBER(M142),--(N142&lt;M142-0.5),1)+ISNUMBER(O142)*IF(ISNUMBER(N142),--(O142&lt;N142-0.5),1)+ISNUMBER(P142)*IF(ISNUMBER(O142),--(P142&lt;O142-0.5),1)+ISNUMBER(Q142)*IF(ISNUMBER(P142),--(Q142&lt;P142-0.5),1)+ISNUMBER(R142)*IF(ISNUMBER(Q142),--(R142&lt;Q142-0.5),1)+ISNUMBER(S142)*IF(ISNUMBER(R142),--(S142&lt;R142-0.5),1),1)</f>
        <v/>
      </c>
    </row>
    <row r="143">
      <c r="A143" s="23" t="n">
        <v>5</v>
      </c>
      <c r="B143" s="75" t="n">
        <v>1</v>
      </c>
      <c r="C143" s="157" t="n"/>
      <c r="D143" s="157" t="n"/>
      <c r="E143" s="157" t="n"/>
      <c r="F143" s="157" t="n"/>
      <c r="G143" s="157" t="n"/>
      <c r="H143" s="157" t="n"/>
      <c r="I143" s="157" t="n"/>
      <c r="J143" s="157" t="n"/>
      <c r="K143" s="157" t="n"/>
      <c r="L143" s="157" t="n"/>
      <c r="M143" s="157" t="n"/>
      <c r="N143" s="157" t="n"/>
      <c r="O143" s="157" t="n"/>
      <c r="P143" s="157" t="n"/>
      <c r="Q143" s="157" t="n"/>
      <c r="R143" s="157" t="n"/>
      <c r="S143" s="157" t="n"/>
      <c r="T143" s="157" t="n"/>
      <c r="U143" s="157" t="n"/>
      <c r="V143" s="157" t="n"/>
      <c r="W143" s="157" t="n"/>
      <c r="X143" s="157" t="n"/>
      <c r="Y143" s="157" t="n"/>
      <c r="Z143" s="157" t="n"/>
      <c r="AA143" s="157" t="n"/>
      <c r="AB143" s="157" t="n"/>
      <c r="AC143" s="157" t="n"/>
      <c r="AD143" s="157" t="n"/>
      <c r="AE143" s="157" t="n"/>
      <c r="AF143" s="157" t="n"/>
      <c r="AG143" s="157" t="n"/>
      <c r="AH143" s="157" t="n"/>
      <c r="AI143" s="157" t="n"/>
      <c r="AJ143" s="157" t="n"/>
      <c r="AK143" s="157" t="n"/>
      <c r="AL143" s="157" t="n"/>
      <c r="AM143" s="157" t="n"/>
      <c r="AN143" s="157" t="n"/>
      <c r="AO143" s="157" t="n"/>
      <c r="AP143" s="157" t="n"/>
      <c r="AQ143" s="157" t="n"/>
      <c r="AR143" s="157" t="n"/>
      <c r="AS143" s="157" t="n"/>
      <c r="AT143" s="157" t="n"/>
      <c r="AU143" s="157" t="n"/>
      <c r="AV143" s="157" t="n"/>
      <c r="AW143" s="157" t="n"/>
      <c r="AX143" s="157" t="n"/>
      <c r="AY143" s="157" t="n"/>
      <c r="AZ143" s="157" t="n"/>
      <c r="BA143" s="157" t="n"/>
      <c r="BB143" s="157" t="n"/>
      <c r="BC143" s="157" t="n"/>
      <c r="BD143" s="157" t="n"/>
      <c r="BE143" s="157" t="n"/>
      <c r="BF143" s="157" t="n"/>
      <c r="BG143" s="157" t="n"/>
      <c r="BH143" s="158" t="n"/>
      <c r="BI143" s="159" t="n"/>
      <c r="BJ143" s="23">
        <f>IFERROR(ISNUMBER(E143)*IF(ISNUMBER(D143),--(E143&lt;D143-0.5),1)+ISNUMBER(F143)*IF(ISNUMBER(E143),--(F143&lt;E143-0.5),1)+ISNUMBER(G143)*IF(ISNUMBER(F143),--(G143&lt;F143-0.5),1)+ISNUMBER(H143)*IF(ISNUMBER(G143),--(H143&lt;G143-0.5),1)+ISNUMBER(I143)*IF(ISNUMBER(H143),--(I143&lt;H143-0.5),1)+ISNUMBER(J143)*IF(ISNUMBER(I143),--(J143&lt;I143-0.5),1)+ISNUMBER(K143)*IF(ISNUMBER(J143),--(K143&lt;J143-0.5),1)+IF(AND(ISNUMBER(C143),C143&lt;0),1,0),1)</f>
        <v/>
      </c>
      <c r="BK143" s="23">
        <f>IFERROR(ISNUMBER(M143)*IF(ISNUMBER(L143),--(M143&lt;L143-0.5),1)+ISNUMBER(N143)*IF(ISNUMBER(M143),--(N143&lt;M143-0.5),1)+ISNUMBER(O143)*IF(ISNUMBER(N143),--(O143&lt;N143-0.5),1)+ISNUMBER(P143)*IF(ISNUMBER(O143),--(P143&lt;O143-0.5),1)+ISNUMBER(Q143)*IF(ISNUMBER(P143),--(Q143&lt;P143-0.5),1)+ISNUMBER(R143)*IF(ISNUMBER(Q143),--(R143&lt;Q143-0.5),1)+ISNUMBER(S143)*IF(ISNUMBER(R143),--(S143&lt;R143-0.5),1),1)</f>
        <v/>
      </c>
    </row>
    <row r="144">
      <c r="A144" s="23" t="n">
        <v>6</v>
      </c>
      <c r="B144" s="75" t="n">
        <v>1</v>
      </c>
      <c r="C144" s="157" t="n"/>
      <c r="D144" s="157" t="n"/>
      <c r="E144" s="157" t="n"/>
      <c r="F144" s="157" t="n"/>
      <c r="G144" s="157" t="n"/>
      <c r="H144" s="157" t="n"/>
      <c r="I144" s="157" t="n"/>
      <c r="J144" s="157" t="n"/>
      <c r="K144" s="157" t="n"/>
      <c r="L144" s="157" t="n"/>
      <c r="M144" s="157" t="n"/>
      <c r="N144" s="157" t="n"/>
      <c r="O144" s="157" t="n"/>
      <c r="P144" s="157" t="n"/>
      <c r="Q144" s="157" t="n"/>
      <c r="R144" s="157" t="n"/>
      <c r="S144" s="157" t="n"/>
      <c r="T144" s="157" t="n"/>
      <c r="U144" s="157" t="n"/>
      <c r="V144" s="157" t="n"/>
      <c r="W144" s="157" t="n"/>
      <c r="X144" s="157" t="n"/>
      <c r="Y144" s="157" t="n"/>
      <c r="Z144" s="157" t="n"/>
      <c r="AA144" s="157" t="n"/>
      <c r="AB144" s="157" t="n"/>
      <c r="AC144" s="157" t="n"/>
      <c r="AD144" s="157" t="n"/>
      <c r="AE144" s="157" t="n"/>
      <c r="AF144" s="157" t="n"/>
      <c r="AG144" s="157" t="n"/>
      <c r="AH144" s="157" t="n"/>
      <c r="AI144" s="157" t="n"/>
      <c r="AJ144" s="157" t="n"/>
      <c r="AK144" s="157" t="n"/>
      <c r="AL144" s="157" t="n"/>
      <c r="AM144" s="157" t="n"/>
      <c r="AN144" s="157" t="n"/>
      <c r="AO144" s="157" t="n"/>
      <c r="AP144" s="157" t="n"/>
      <c r="AQ144" s="157" t="n"/>
      <c r="AR144" s="157" t="n"/>
      <c r="AS144" s="157" t="n"/>
      <c r="AT144" s="157" t="n"/>
      <c r="AU144" s="157" t="n"/>
      <c r="AV144" s="157" t="n"/>
      <c r="AW144" s="157" t="n"/>
      <c r="AX144" s="157" t="n"/>
      <c r="AY144" s="157" t="n"/>
      <c r="AZ144" s="157" t="n"/>
      <c r="BA144" s="157" t="n"/>
      <c r="BB144" s="157" t="n"/>
      <c r="BC144" s="157" t="n"/>
      <c r="BD144" s="157" t="n"/>
      <c r="BE144" s="157" t="n"/>
      <c r="BF144" s="157" t="n"/>
      <c r="BG144" s="157" t="n"/>
      <c r="BH144" s="158" t="n"/>
      <c r="BI144" s="159" t="n"/>
      <c r="BJ144" s="23">
        <f>IFERROR(ISNUMBER(E144)*IF(ISNUMBER(D144),--(E144&lt;D144-0.5),1)+ISNUMBER(F144)*IF(ISNUMBER(E144),--(F144&lt;E144-0.5),1)+ISNUMBER(G144)*IF(ISNUMBER(F144),--(G144&lt;F144-0.5),1)+ISNUMBER(H144)*IF(ISNUMBER(G144),--(H144&lt;G144-0.5),1)+ISNUMBER(I144)*IF(ISNUMBER(H144),--(I144&lt;H144-0.5),1)+ISNUMBER(J144)*IF(ISNUMBER(I144),--(J144&lt;I144-0.5),1)+ISNUMBER(K144)*IF(ISNUMBER(J144),--(K144&lt;J144-0.5),1)+IF(AND(ISNUMBER(C144),C144&lt;0),1,0),1)</f>
        <v/>
      </c>
      <c r="BK144" s="23">
        <f>IFERROR(ISNUMBER(M144)*IF(ISNUMBER(L144),--(M144&lt;L144-0.5),1)+ISNUMBER(N144)*IF(ISNUMBER(M144),--(N144&lt;M144-0.5),1)+ISNUMBER(O144)*IF(ISNUMBER(N144),--(O144&lt;N144-0.5),1)+ISNUMBER(P144)*IF(ISNUMBER(O144),--(P144&lt;O144-0.5),1)+ISNUMBER(Q144)*IF(ISNUMBER(P144),--(Q144&lt;P144-0.5),1)+ISNUMBER(R144)*IF(ISNUMBER(Q144),--(R144&lt;Q144-0.5),1)+ISNUMBER(S144)*IF(ISNUMBER(R144),--(S144&lt;R144-0.5),1),1)</f>
        <v/>
      </c>
    </row>
    <row r="145">
      <c r="A145" s="23" t="n">
        <v>7</v>
      </c>
      <c r="B145" s="75" t="n">
        <v>1</v>
      </c>
      <c r="C145" s="157" t="n"/>
      <c r="D145" s="157" t="n"/>
      <c r="E145" s="157" t="n"/>
      <c r="F145" s="157" t="n"/>
      <c r="G145" s="157" t="n"/>
      <c r="H145" s="157" t="n"/>
      <c r="I145" s="157" t="n"/>
      <c r="J145" s="157" t="n"/>
      <c r="K145" s="157" t="n"/>
      <c r="L145" s="157" t="n"/>
      <c r="M145" s="157" t="n"/>
      <c r="N145" s="157" t="n"/>
      <c r="O145" s="157" t="n"/>
      <c r="P145" s="157" t="n"/>
      <c r="Q145" s="157" t="n"/>
      <c r="R145" s="157" t="n"/>
      <c r="S145" s="157" t="n"/>
      <c r="T145" s="157" t="n"/>
      <c r="U145" s="157" t="n"/>
      <c r="V145" s="157" t="n"/>
      <c r="W145" s="157" t="n"/>
      <c r="X145" s="157" t="n"/>
      <c r="Y145" s="157" t="n"/>
      <c r="Z145" s="157" t="n"/>
      <c r="AA145" s="157" t="n"/>
      <c r="AB145" s="157" t="n"/>
      <c r="AC145" s="157" t="n"/>
      <c r="AD145" s="157" t="n"/>
      <c r="AE145" s="157" t="n"/>
      <c r="AF145" s="157" t="n"/>
      <c r="AG145" s="157" t="n"/>
      <c r="AH145" s="157" t="n"/>
      <c r="AI145" s="157" t="n"/>
      <c r="AJ145" s="157" t="n"/>
      <c r="AK145" s="157" t="n"/>
      <c r="AL145" s="157" t="n"/>
      <c r="AM145" s="157" t="n"/>
      <c r="AN145" s="157" t="n"/>
      <c r="AO145" s="157" t="n"/>
      <c r="AP145" s="157" t="n"/>
      <c r="AQ145" s="157" t="n"/>
      <c r="AR145" s="157" t="n"/>
      <c r="AS145" s="157" t="n"/>
      <c r="AT145" s="157" t="n"/>
      <c r="AU145" s="157" t="n"/>
      <c r="AV145" s="157" t="n"/>
      <c r="AW145" s="157" t="n"/>
      <c r="AX145" s="157" t="n"/>
      <c r="AY145" s="157" t="n"/>
      <c r="AZ145" s="157" t="n"/>
      <c r="BA145" s="157" t="n"/>
      <c r="BB145" s="157" t="n"/>
      <c r="BC145" s="157" t="n"/>
      <c r="BD145" s="157" t="n"/>
      <c r="BE145" s="157" t="n"/>
      <c r="BF145" s="157" t="n"/>
      <c r="BG145" s="157" t="n"/>
      <c r="BH145" s="158" t="n"/>
      <c r="BI145" s="159" t="n"/>
      <c r="BJ145" s="23">
        <f>IFERROR(ISNUMBER(E145)*IF(ISNUMBER(D145),--(E145&lt;D145-0.5),1)+ISNUMBER(F145)*IF(ISNUMBER(E145),--(F145&lt;E145-0.5),1)+ISNUMBER(G145)*IF(ISNUMBER(F145),--(G145&lt;F145-0.5),1)+ISNUMBER(H145)*IF(ISNUMBER(G145),--(H145&lt;G145-0.5),1)+ISNUMBER(I145)*IF(ISNUMBER(H145),--(I145&lt;H145-0.5),1)+ISNUMBER(J145)*IF(ISNUMBER(I145),--(J145&lt;I145-0.5),1)+ISNUMBER(K145)*IF(ISNUMBER(J145),--(K145&lt;J145-0.5),1)+IF(AND(ISNUMBER(C145),C145&lt;0),1,0),1)</f>
        <v/>
      </c>
      <c r="BK145" s="23">
        <f>IFERROR(ISNUMBER(M145)*IF(ISNUMBER(L145),--(M145&lt;L145-0.5),1)+ISNUMBER(N145)*IF(ISNUMBER(M145),--(N145&lt;M145-0.5),1)+ISNUMBER(O145)*IF(ISNUMBER(N145),--(O145&lt;N145-0.5),1)+ISNUMBER(P145)*IF(ISNUMBER(O145),--(P145&lt;O145-0.5),1)+ISNUMBER(Q145)*IF(ISNUMBER(P145),--(Q145&lt;P145-0.5),1)+ISNUMBER(R145)*IF(ISNUMBER(Q145),--(R145&lt;Q145-0.5),1)+ISNUMBER(S145)*IF(ISNUMBER(R145),--(S145&lt;R145-0.5),1),1)</f>
        <v/>
      </c>
    </row>
    <row r="146">
      <c r="A146" s="23" t="n">
        <v>8</v>
      </c>
      <c r="B146" s="75" t="n">
        <v>1</v>
      </c>
      <c r="C146" s="157" t="n"/>
      <c r="D146" s="157" t="n"/>
      <c r="E146" s="157" t="n"/>
      <c r="F146" s="157" t="n"/>
      <c r="G146" s="157" t="n"/>
      <c r="H146" s="157" t="n"/>
      <c r="I146" s="157" t="n"/>
      <c r="J146" s="157" t="n"/>
      <c r="K146" s="157" t="n"/>
      <c r="L146" s="157" t="n"/>
      <c r="M146" s="157" t="n"/>
      <c r="N146" s="157" t="n"/>
      <c r="O146" s="157" t="n"/>
      <c r="P146" s="157" t="n"/>
      <c r="Q146" s="157" t="n"/>
      <c r="R146" s="157" t="n"/>
      <c r="S146" s="157" t="n"/>
      <c r="T146" s="157" t="n"/>
      <c r="U146" s="157" t="n"/>
      <c r="V146" s="157" t="n"/>
      <c r="W146" s="157" t="n"/>
      <c r="X146" s="157" t="n"/>
      <c r="Y146" s="157" t="n"/>
      <c r="Z146" s="157" t="n"/>
      <c r="AA146" s="157" t="n"/>
      <c r="AB146" s="157" t="n"/>
      <c r="AC146" s="157" t="n"/>
      <c r="AD146" s="157" t="n"/>
      <c r="AE146" s="157" t="n"/>
      <c r="AF146" s="157" t="n"/>
      <c r="AG146" s="157" t="n"/>
      <c r="AH146" s="157" t="n"/>
      <c r="AI146" s="157" t="n"/>
      <c r="AJ146" s="157" t="n"/>
      <c r="AK146" s="157" t="n"/>
      <c r="AL146" s="157" t="n"/>
      <c r="AM146" s="157" t="n"/>
      <c r="AN146" s="157" t="n"/>
      <c r="AO146" s="157" t="n"/>
      <c r="AP146" s="157" t="n"/>
      <c r="AQ146" s="157" t="n"/>
      <c r="AR146" s="157" t="n"/>
      <c r="AS146" s="157" t="n"/>
      <c r="AT146" s="157" t="n"/>
      <c r="AU146" s="157" t="n"/>
      <c r="AV146" s="157" t="n"/>
      <c r="AW146" s="157" t="n"/>
      <c r="AX146" s="157" t="n"/>
      <c r="AY146" s="157" t="n"/>
      <c r="AZ146" s="157" t="n"/>
      <c r="BA146" s="157" t="n"/>
      <c r="BB146" s="157" t="n"/>
      <c r="BC146" s="157" t="n"/>
      <c r="BD146" s="157" t="n"/>
      <c r="BE146" s="157" t="n"/>
      <c r="BF146" s="157" t="n"/>
      <c r="BG146" s="157" t="n"/>
      <c r="BH146" s="158" t="n"/>
      <c r="BI146" s="159" t="n"/>
      <c r="BJ146" s="23">
        <f>IFERROR(ISNUMBER(E146)*IF(ISNUMBER(D146),--(E146&lt;D146-0.5),1)+ISNUMBER(F146)*IF(ISNUMBER(E146),--(F146&lt;E146-0.5),1)+ISNUMBER(G146)*IF(ISNUMBER(F146),--(G146&lt;F146-0.5),1)+ISNUMBER(H146)*IF(ISNUMBER(G146),--(H146&lt;G146-0.5),1)+ISNUMBER(I146)*IF(ISNUMBER(H146),--(I146&lt;H146-0.5),1)+ISNUMBER(J146)*IF(ISNUMBER(I146),--(J146&lt;I146-0.5),1)+ISNUMBER(K146)*IF(ISNUMBER(J146),--(K146&lt;J146-0.5),1)+IF(AND(ISNUMBER(C146),C146&lt;0),1,0),1)</f>
        <v/>
      </c>
      <c r="BK146" s="23">
        <f>IFERROR(ISNUMBER(M146)*IF(ISNUMBER(L146),--(M146&lt;L146-0.5),1)+ISNUMBER(N146)*IF(ISNUMBER(M146),--(N146&lt;M146-0.5),1)+ISNUMBER(O146)*IF(ISNUMBER(N146),--(O146&lt;N146-0.5),1)+ISNUMBER(P146)*IF(ISNUMBER(O146),--(P146&lt;O146-0.5),1)+ISNUMBER(Q146)*IF(ISNUMBER(P146),--(Q146&lt;P146-0.5),1)+ISNUMBER(R146)*IF(ISNUMBER(Q146),--(R146&lt;Q146-0.5),1)+ISNUMBER(S146)*IF(ISNUMBER(R146),--(S146&lt;R146-0.5),1),1)</f>
        <v/>
      </c>
    </row>
    <row r="147">
      <c r="A147" s="23" t="n">
        <v>9</v>
      </c>
      <c r="B147" s="75" t="n">
        <v>1</v>
      </c>
      <c r="C147" s="157" t="n"/>
      <c r="D147" s="157" t="n"/>
      <c r="E147" s="157" t="n"/>
      <c r="F147" s="157" t="n"/>
      <c r="G147" s="157" t="n"/>
      <c r="H147" s="157" t="n"/>
      <c r="I147" s="157" t="n"/>
      <c r="J147" s="157" t="n"/>
      <c r="K147" s="157" t="n"/>
      <c r="L147" s="157" t="n"/>
      <c r="M147" s="157" t="n"/>
      <c r="N147" s="157" t="n"/>
      <c r="O147" s="157" t="n"/>
      <c r="P147" s="157" t="n"/>
      <c r="Q147" s="157" t="n"/>
      <c r="R147" s="157" t="n"/>
      <c r="S147" s="157" t="n"/>
      <c r="T147" s="157" t="n"/>
      <c r="U147" s="157" t="n"/>
      <c r="V147" s="157" t="n"/>
      <c r="W147" s="157" t="n"/>
      <c r="X147" s="157" t="n"/>
      <c r="Y147" s="157" t="n"/>
      <c r="Z147" s="157" t="n"/>
      <c r="AA147" s="157" t="n"/>
      <c r="AB147" s="157" t="n"/>
      <c r="AC147" s="157" t="n"/>
      <c r="AD147" s="157" t="n"/>
      <c r="AE147" s="157" t="n"/>
      <c r="AF147" s="157" t="n"/>
      <c r="AG147" s="157" t="n"/>
      <c r="AH147" s="157" t="n"/>
      <c r="AI147" s="157" t="n"/>
      <c r="AJ147" s="157" t="n"/>
      <c r="AK147" s="157" t="n"/>
      <c r="AL147" s="157" t="n"/>
      <c r="AM147" s="157" t="n"/>
      <c r="AN147" s="157" t="n"/>
      <c r="AO147" s="157" t="n"/>
      <c r="AP147" s="157" t="n"/>
      <c r="AQ147" s="157" t="n"/>
      <c r="AR147" s="157" t="n"/>
      <c r="AS147" s="157" t="n"/>
      <c r="AT147" s="157" t="n"/>
      <c r="AU147" s="157" t="n"/>
      <c r="AV147" s="157" t="n"/>
      <c r="AW147" s="157" t="n"/>
      <c r="AX147" s="157" t="n"/>
      <c r="AY147" s="157" t="n"/>
      <c r="AZ147" s="157" t="n"/>
      <c r="BA147" s="157" t="n"/>
      <c r="BB147" s="157" t="n"/>
      <c r="BC147" s="157" t="n"/>
      <c r="BD147" s="157" t="n"/>
      <c r="BE147" s="157" t="n"/>
      <c r="BF147" s="157" t="n"/>
      <c r="BG147" s="157" t="n"/>
      <c r="BH147" s="158" t="n"/>
      <c r="BI147" s="159" t="n"/>
      <c r="BJ147" s="23">
        <f>IFERROR(ISNUMBER(E147)*IF(ISNUMBER(D147),--(E147&lt;D147-0.5),1)+ISNUMBER(F147)*IF(ISNUMBER(E147),--(F147&lt;E147-0.5),1)+ISNUMBER(G147)*IF(ISNUMBER(F147),--(G147&lt;F147-0.5),1)+ISNUMBER(H147)*IF(ISNUMBER(G147),--(H147&lt;G147-0.5),1)+ISNUMBER(I147)*IF(ISNUMBER(H147),--(I147&lt;H147-0.5),1)+ISNUMBER(J147)*IF(ISNUMBER(I147),--(J147&lt;I147-0.5),1)+ISNUMBER(K147)*IF(ISNUMBER(J147),--(K147&lt;J147-0.5),1)+IF(AND(ISNUMBER(C147),C147&lt;0),1,0),1)</f>
        <v/>
      </c>
      <c r="BK147" s="23">
        <f>IFERROR(ISNUMBER(M147)*IF(ISNUMBER(L147),--(M147&lt;L147-0.5),1)+ISNUMBER(N147)*IF(ISNUMBER(M147),--(N147&lt;M147-0.5),1)+ISNUMBER(O147)*IF(ISNUMBER(N147),--(O147&lt;N147-0.5),1)+ISNUMBER(P147)*IF(ISNUMBER(O147),--(P147&lt;O147-0.5),1)+ISNUMBER(Q147)*IF(ISNUMBER(P147),--(Q147&lt;P147-0.5),1)+ISNUMBER(R147)*IF(ISNUMBER(Q147),--(R147&lt;Q147-0.5),1)+ISNUMBER(S147)*IF(ISNUMBER(R147),--(S147&lt;R147-0.5),1),1)</f>
        <v/>
      </c>
    </row>
    <row r="148">
      <c r="A148" s="23" t="n">
        <v>10</v>
      </c>
      <c r="B148" s="75" t="n">
        <v>1</v>
      </c>
      <c r="C148" s="157" t="n"/>
      <c r="D148" s="157" t="n"/>
      <c r="E148" s="157" t="n"/>
      <c r="F148" s="157" t="n"/>
      <c r="G148" s="157" t="n"/>
      <c r="H148" s="157" t="n"/>
      <c r="I148" s="157" t="n"/>
      <c r="J148" s="157" t="n"/>
      <c r="K148" s="157" t="n"/>
      <c r="L148" s="157" t="n"/>
      <c r="M148" s="157" t="n"/>
      <c r="N148" s="157" t="n"/>
      <c r="O148" s="157" t="n"/>
      <c r="P148" s="157" t="n"/>
      <c r="Q148" s="157" t="n"/>
      <c r="R148" s="157" t="n"/>
      <c r="S148" s="157" t="n"/>
      <c r="T148" s="157" t="n"/>
      <c r="U148" s="157" t="n"/>
      <c r="V148" s="157" t="n"/>
      <c r="W148" s="157" t="n"/>
      <c r="X148" s="157" t="n"/>
      <c r="Y148" s="157" t="n"/>
      <c r="Z148" s="157" t="n"/>
      <c r="AA148" s="157" t="n"/>
      <c r="AB148" s="157" t="n"/>
      <c r="AC148" s="157" t="n"/>
      <c r="AD148" s="157" t="n"/>
      <c r="AE148" s="157" t="n"/>
      <c r="AF148" s="157" t="n"/>
      <c r="AG148" s="157" t="n"/>
      <c r="AH148" s="157" t="n"/>
      <c r="AI148" s="157" t="n"/>
      <c r="AJ148" s="157" t="n"/>
      <c r="AK148" s="157" t="n"/>
      <c r="AL148" s="157" t="n"/>
      <c r="AM148" s="157" t="n"/>
      <c r="AN148" s="157" t="n"/>
      <c r="AO148" s="157" t="n"/>
      <c r="AP148" s="157" t="n"/>
      <c r="AQ148" s="157" t="n"/>
      <c r="AR148" s="157" t="n"/>
      <c r="AS148" s="157" t="n"/>
      <c r="AT148" s="157" t="n"/>
      <c r="AU148" s="157" t="n"/>
      <c r="AV148" s="157" t="n"/>
      <c r="AW148" s="157" t="n"/>
      <c r="AX148" s="157" t="n"/>
      <c r="AY148" s="157" t="n"/>
      <c r="AZ148" s="157" t="n"/>
      <c r="BA148" s="157" t="n"/>
      <c r="BB148" s="157" t="n"/>
      <c r="BC148" s="157" t="n"/>
      <c r="BD148" s="157" t="n"/>
      <c r="BE148" s="157" t="n"/>
      <c r="BF148" s="157" t="n"/>
      <c r="BG148" s="157" t="n"/>
      <c r="BH148" s="158" t="n"/>
      <c r="BI148" s="159" t="n"/>
      <c r="BJ148" s="23">
        <f>IFERROR(ISNUMBER(E148)*IF(ISNUMBER(D148),--(E148&lt;D148-0.5),1)+ISNUMBER(F148)*IF(ISNUMBER(E148),--(F148&lt;E148-0.5),1)+ISNUMBER(G148)*IF(ISNUMBER(F148),--(G148&lt;F148-0.5),1)+ISNUMBER(H148)*IF(ISNUMBER(G148),--(H148&lt;G148-0.5),1)+ISNUMBER(I148)*IF(ISNUMBER(H148),--(I148&lt;H148-0.5),1)+ISNUMBER(J148)*IF(ISNUMBER(I148),--(J148&lt;I148-0.5),1)+ISNUMBER(K148)*IF(ISNUMBER(J148),--(K148&lt;J148-0.5),1)+IF(AND(ISNUMBER(C148),C148&lt;0),1,0),1)</f>
        <v/>
      </c>
      <c r="BK148" s="23">
        <f>IFERROR(ISNUMBER(M148)*IF(ISNUMBER(L148),--(M148&lt;L148-0.5),1)+ISNUMBER(N148)*IF(ISNUMBER(M148),--(N148&lt;M148-0.5),1)+ISNUMBER(O148)*IF(ISNUMBER(N148),--(O148&lt;N148-0.5),1)+ISNUMBER(P148)*IF(ISNUMBER(O148),--(P148&lt;O148-0.5),1)+ISNUMBER(Q148)*IF(ISNUMBER(P148),--(Q148&lt;P148-0.5),1)+ISNUMBER(R148)*IF(ISNUMBER(Q148),--(R148&lt;Q148-0.5),1)+ISNUMBER(S148)*IF(ISNUMBER(R148),--(S148&lt;R148-0.5),1),1)</f>
        <v/>
      </c>
    </row>
    <row r="149">
      <c r="A149" s="23" t="n">
        <v>11</v>
      </c>
      <c r="B149" s="75" t="n">
        <v>1</v>
      </c>
      <c r="C149" s="157" t="n"/>
      <c r="D149" s="157" t="n"/>
      <c r="E149" s="157" t="n"/>
      <c r="F149" s="157" t="n"/>
      <c r="G149" s="157" t="n"/>
      <c r="H149" s="157" t="n"/>
      <c r="I149" s="157" t="n"/>
      <c r="J149" s="157" t="n"/>
      <c r="K149" s="157" t="n"/>
      <c r="L149" s="157" t="n"/>
      <c r="M149" s="157" t="n"/>
      <c r="N149" s="157" t="n"/>
      <c r="O149" s="157" t="n"/>
      <c r="P149" s="157" t="n"/>
      <c r="Q149" s="157" t="n"/>
      <c r="R149" s="157" t="n"/>
      <c r="S149" s="157" t="n"/>
      <c r="T149" s="157" t="n"/>
      <c r="U149" s="157" t="n"/>
      <c r="V149" s="157" t="n"/>
      <c r="W149" s="157" t="n"/>
      <c r="X149" s="157" t="n"/>
      <c r="Y149" s="157" t="n"/>
      <c r="Z149" s="157" t="n"/>
      <c r="AA149" s="157" t="n"/>
      <c r="AB149" s="157" t="n"/>
      <c r="AC149" s="157" t="n"/>
      <c r="AD149" s="157" t="n"/>
      <c r="AE149" s="157" t="n"/>
      <c r="AF149" s="157" t="n"/>
      <c r="AG149" s="157" t="n"/>
      <c r="AH149" s="157" t="n"/>
      <c r="AI149" s="157" t="n"/>
      <c r="AJ149" s="157" t="n"/>
      <c r="AK149" s="157" t="n"/>
      <c r="AL149" s="157" t="n"/>
      <c r="AM149" s="157" t="n"/>
      <c r="AN149" s="157" t="n"/>
      <c r="AO149" s="157" t="n"/>
      <c r="AP149" s="157" t="n"/>
      <c r="AQ149" s="157" t="n"/>
      <c r="AR149" s="157" t="n"/>
      <c r="AS149" s="157" t="n"/>
      <c r="AT149" s="157" t="n"/>
      <c r="AU149" s="157" t="n"/>
      <c r="AV149" s="157" t="n"/>
      <c r="AW149" s="157" t="n"/>
      <c r="AX149" s="157" t="n"/>
      <c r="AY149" s="157" t="n"/>
      <c r="AZ149" s="157" t="n"/>
      <c r="BA149" s="157" t="n"/>
      <c r="BB149" s="157" t="n"/>
      <c r="BC149" s="157" t="n"/>
      <c r="BD149" s="157" t="n"/>
      <c r="BE149" s="157" t="n"/>
      <c r="BF149" s="157" t="n"/>
      <c r="BG149" s="157" t="n"/>
      <c r="BH149" s="158" t="n"/>
      <c r="BI149" s="159" t="n"/>
      <c r="BJ149" s="23">
        <f>IFERROR(ISNUMBER(E149)*IF(ISNUMBER(D149),--(E149&lt;D149-0.5),1)+ISNUMBER(F149)*IF(ISNUMBER(E149),--(F149&lt;E149-0.5),1)+ISNUMBER(G149)*IF(ISNUMBER(F149),--(G149&lt;F149-0.5),1)+ISNUMBER(H149)*IF(ISNUMBER(G149),--(H149&lt;G149-0.5),1)+ISNUMBER(I149)*IF(ISNUMBER(H149),--(I149&lt;H149-0.5),1)+ISNUMBER(J149)*IF(ISNUMBER(I149),--(J149&lt;I149-0.5),1)+ISNUMBER(K149)*IF(ISNUMBER(J149),--(K149&lt;J149-0.5),1)+IF(AND(ISNUMBER(C149),C149&lt;0),1,0),1)</f>
        <v/>
      </c>
      <c r="BK149" s="23">
        <f>IFERROR(ISNUMBER(M149)*IF(ISNUMBER(L149),--(M149&lt;L149-0.5),1)+ISNUMBER(N149)*IF(ISNUMBER(M149),--(N149&lt;M149-0.5),1)+ISNUMBER(O149)*IF(ISNUMBER(N149),--(O149&lt;N149-0.5),1)+ISNUMBER(P149)*IF(ISNUMBER(O149),--(P149&lt;O149-0.5),1)+ISNUMBER(Q149)*IF(ISNUMBER(P149),--(Q149&lt;P149-0.5),1)+ISNUMBER(R149)*IF(ISNUMBER(Q149),--(R149&lt;Q149-0.5),1)+ISNUMBER(S149)*IF(ISNUMBER(R149),--(S149&lt;R149-0.5),1),1)</f>
        <v/>
      </c>
    </row>
    <row r="150">
      <c r="A150" s="23" t="n">
        <v>12</v>
      </c>
      <c r="B150" s="75" t="n">
        <v>1</v>
      </c>
      <c r="C150" s="157" t="n"/>
      <c r="D150" s="157" t="n"/>
      <c r="E150" s="157" t="n"/>
      <c r="F150" s="157" t="n"/>
      <c r="G150" s="157" t="n"/>
      <c r="H150" s="157" t="n"/>
      <c r="I150" s="157" t="n"/>
      <c r="J150" s="157" t="n"/>
      <c r="K150" s="157" t="n"/>
      <c r="L150" s="157" t="n"/>
      <c r="M150" s="157" t="n"/>
      <c r="N150" s="157" t="n"/>
      <c r="O150" s="157" t="n"/>
      <c r="P150" s="157" t="n"/>
      <c r="Q150" s="157" t="n"/>
      <c r="R150" s="157" t="n"/>
      <c r="S150" s="157" t="n"/>
      <c r="T150" s="157" t="n"/>
      <c r="U150" s="157" t="n"/>
      <c r="V150" s="157" t="n"/>
      <c r="W150" s="157" t="n"/>
      <c r="X150" s="157" t="n"/>
      <c r="Y150" s="157" t="n"/>
      <c r="Z150" s="157" t="n"/>
      <c r="AA150" s="157" t="n"/>
      <c r="AB150" s="157" t="n"/>
      <c r="AC150" s="157" t="n"/>
      <c r="AD150" s="157" t="n"/>
      <c r="AE150" s="157" t="n"/>
      <c r="AF150" s="157" t="n"/>
      <c r="AG150" s="157" t="n"/>
      <c r="AH150" s="157" t="n"/>
      <c r="AI150" s="157" t="n"/>
      <c r="AJ150" s="157" t="n"/>
      <c r="AK150" s="157" t="n"/>
      <c r="AL150" s="157" t="n"/>
      <c r="AM150" s="157" t="n"/>
      <c r="AN150" s="157" t="n"/>
      <c r="AO150" s="157" t="n"/>
      <c r="AP150" s="157" t="n"/>
      <c r="AQ150" s="157" t="n"/>
      <c r="AR150" s="157" t="n"/>
      <c r="AS150" s="157" t="n"/>
      <c r="AT150" s="157" t="n"/>
      <c r="AU150" s="157" t="n"/>
      <c r="AV150" s="157" t="n"/>
      <c r="AW150" s="157" t="n"/>
      <c r="AX150" s="157" t="n"/>
      <c r="AY150" s="157" t="n"/>
      <c r="AZ150" s="157" t="n"/>
      <c r="BA150" s="157" t="n"/>
      <c r="BB150" s="157" t="n"/>
      <c r="BC150" s="157" t="n"/>
      <c r="BD150" s="157" t="n"/>
      <c r="BE150" s="157" t="n"/>
      <c r="BF150" s="157" t="n"/>
      <c r="BG150" s="157" t="n"/>
      <c r="BH150" s="158" t="n"/>
      <c r="BI150" s="159" t="n"/>
      <c r="BJ150" s="23">
        <f>IFERROR(ISNUMBER(E150)*IF(ISNUMBER(D150),--(E150&lt;D150-0.5),1)+ISNUMBER(F150)*IF(ISNUMBER(E150),--(F150&lt;E150-0.5),1)+ISNUMBER(G150)*IF(ISNUMBER(F150),--(G150&lt;F150-0.5),1)+ISNUMBER(H150)*IF(ISNUMBER(G150),--(H150&lt;G150-0.5),1)+ISNUMBER(I150)*IF(ISNUMBER(H150),--(I150&lt;H150-0.5),1)+ISNUMBER(J150)*IF(ISNUMBER(I150),--(J150&lt;I150-0.5),1)+ISNUMBER(K150)*IF(ISNUMBER(J150),--(K150&lt;J150-0.5),1)+IF(AND(ISNUMBER(C150),C150&lt;0),1,0),1)</f>
        <v/>
      </c>
      <c r="BK150" s="23">
        <f>IFERROR(ISNUMBER(M150)*IF(ISNUMBER(L150),--(M150&lt;L150-0.5),1)+ISNUMBER(N150)*IF(ISNUMBER(M150),--(N150&lt;M150-0.5),1)+ISNUMBER(O150)*IF(ISNUMBER(N150),--(O150&lt;N150-0.5),1)+ISNUMBER(P150)*IF(ISNUMBER(O150),--(P150&lt;O150-0.5),1)+ISNUMBER(Q150)*IF(ISNUMBER(P150),--(Q150&lt;P150-0.5),1)+ISNUMBER(R150)*IF(ISNUMBER(Q150),--(R150&lt;Q150-0.5),1)+ISNUMBER(S150)*IF(ISNUMBER(R150),--(S150&lt;R150-0.5),1),1)</f>
        <v/>
      </c>
    </row>
    <row r="151">
      <c r="A151" s="23" t="n">
        <v>13</v>
      </c>
      <c r="B151" s="75" t="n">
        <v>1</v>
      </c>
      <c r="C151" s="157" t="n"/>
      <c r="D151" s="157" t="n"/>
      <c r="E151" s="157" t="n"/>
      <c r="F151" s="157" t="n"/>
      <c r="G151" s="157" t="n"/>
      <c r="H151" s="157" t="n"/>
      <c r="I151" s="157" t="n"/>
      <c r="J151" s="157" t="n"/>
      <c r="K151" s="157" t="n"/>
      <c r="L151" s="157" t="n"/>
      <c r="M151" s="157" t="n"/>
      <c r="N151" s="157" t="n"/>
      <c r="O151" s="157" t="n"/>
      <c r="P151" s="157" t="n"/>
      <c r="Q151" s="157" t="n"/>
      <c r="R151" s="157" t="n"/>
      <c r="S151" s="157" t="n"/>
      <c r="T151" s="157" t="n"/>
      <c r="U151" s="157" t="n"/>
      <c r="V151" s="157" t="n"/>
      <c r="W151" s="157" t="n"/>
      <c r="X151" s="157" t="n"/>
      <c r="Y151" s="157" t="n"/>
      <c r="Z151" s="157" t="n"/>
      <c r="AA151" s="157" t="n"/>
      <c r="AB151" s="157" t="n"/>
      <c r="AC151" s="157" t="n"/>
      <c r="AD151" s="157" t="n"/>
      <c r="AE151" s="157" t="n"/>
      <c r="AF151" s="157" t="n"/>
      <c r="AG151" s="157" t="n"/>
      <c r="AH151" s="157" t="n"/>
      <c r="AI151" s="157" t="n"/>
      <c r="AJ151" s="157" t="n"/>
      <c r="AK151" s="157" t="n"/>
      <c r="AL151" s="157" t="n"/>
      <c r="AM151" s="157" t="n"/>
      <c r="AN151" s="157" t="n"/>
      <c r="AO151" s="157" t="n"/>
      <c r="AP151" s="157" t="n"/>
      <c r="AQ151" s="157" t="n"/>
      <c r="AR151" s="157" t="n"/>
      <c r="AS151" s="157" t="n"/>
      <c r="AT151" s="157" t="n"/>
      <c r="AU151" s="157" t="n"/>
      <c r="AV151" s="157" t="n"/>
      <c r="AW151" s="157" t="n"/>
      <c r="AX151" s="157" t="n"/>
      <c r="AY151" s="157" t="n"/>
      <c r="AZ151" s="157" t="n"/>
      <c r="BA151" s="157" t="n"/>
      <c r="BB151" s="157" t="n"/>
      <c r="BC151" s="157" t="n"/>
      <c r="BD151" s="157" t="n"/>
      <c r="BE151" s="157" t="n"/>
      <c r="BF151" s="157" t="n"/>
      <c r="BG151" s="157" t="n"/>
      <c r="BH151" s="158" t="n"/>
      <c r="BI151" s="159" t="n"/>
      <c r="BJ151" s="23">
        <f>IFERROR(ISNUMBER(E151)*IF(ISNUMBER(D151),--(E151&lt;D151-0.5),1)+ISNUMBER(F151)*IF(ISNUMBER(E151),--(F151&lt;E151-0.5),1)+ISNUMBER(G151)*IF(ISNUMBER(F151),--(G151&lt;F151-0.5),1)+ISNUMBER(H151)*IF(ISNUMBER(G151),--(H151&lt;G151-0.5),1)+ISNUMBER(I151)*IF(ISNUMBER(H151),--(I151&lt;H151-0.5),1)+ISNUMBER(J151)*IF(ISNUMBER(I151),--(J151&lt;I151-0.5),1)+ISNUMBER(K151)*IF(ISNUMBER(J151),--(K151&lt;J151-0.5),1)+IF(AND(ISNUMBER(C151),C151&lt;0),1,0),1)</f>
        <v/>
      </c>
      <c r="BK151" s="23">
        <f>IFERROR(ISNUMBER(M151)*IF(ISNUMBER(L151),--(M151&lt;L151-0.5),1)+ISNUMBER(N151)*IF(ISNUMBER(M151),--(N151&lt;M151-0.5),1)+ISNUMBER(O151)*IF(ISNUMBER(N151),--(O151&lt;N151-0.5),1)+ISNUMBER(P151)*IF(ISNUMBER(O151),--(P151&lt;O151-0.5),1)+ISNUMBER(Q151)*IF(ISNUMBER(P151),--(Q151&lt;P151-0.5),1)+ISNUMBER(R151)*IF(ISNUMBER(Q151),--(R151&lt;Q151-0.5),1)+ISNUMBER(S151)*IF(ISNUMBER(R151),--(S151&lt;R151-0.5),1),1)</f>
        <v/>
      </c>
    </row>
    <row r="152">
      <c r="A152" s="23" t="n">
        <v>14</v>
      </c>
      <c r="B152" s="75" t="n">
        <v>1</v>
      </c>
      <c r="C152" s="157" t="n"/>
      <c r="D152" s="157" t="n"/>
      <c r="E152" s="157" t="n"/>
      <c r="F152" s="157" t="n"/>
      <c r="G152" s="157" t="n"/>
      <c r="H152" s="157" t="n"/>
      <c r="I152" s="157" t="n"/>
      <c r="J152" s="157" t="n"/>
      <c r="K152" s="157" t="n"/>
      <c r="L152" s="157" t="n"/>
      <c r="M152" s="157" t="n"/>
      <c r="N152" s="157" t="n"/>
      <c r="O152" s="157" t="n"/>
      <c r="P152" s="157" t="n"/>
      <c r="Q152" s="157" t="n"/>
      <c r="R152" s="157" t="n"/>
      <c r="S152" s="157" t="n"/>
      <c r="T152" s="157" t="n"/>
      <c r="U152" s="157" t="n"/>
      <c r="V152" s="157" t="n"/>
      <c r="W152" s="157" t="n"/>
      <c r="X152" s="157" t="n"/>
      <c r="Y152" s="157" t="n"/>
      <c r="Z152" s="157" t="n"/>
      <c r="AA152" s="157" t="n"/>
      <c r="AB152" s="157" t="n"/>
      <c r="AC152" s="157" t="n"/>
      <c r="AD152" s="157" t="n"/>
      <c r="AE152" s="157" t="n"/>
      <c r="AF152" s="157" t="n"/>
      <c r="AG152" s="157" t="n"/>
      <c r="AH152" s="157" t="n"/>
      <c r="AI152" s="157" t="n"/>
      <c r="AJ152" s="157" t="n"/>
      <c r="AK152" s="157" t="n"/>
      <c r="AL152" s="157" t="n"/>
      <c r="AM152" s="157" t="n"/>
      <c r="AN152" s="157" t="n"/>
      <c r="AO152" s="157" t="n"/>
      <c r="AP152" s="157" t="n"/>
      <c r="AQ152" s="157" t="n"/>
      <c r="AR152" s="157" t="n"/>
      <c r="AS152" s="157" t="n"/>
      <c r="AT152" s="157" t="n"/>
      <c r="AU152" s="157" t="n"/>
      <c r="AV152" s="157" t="n"/>
      <c r="AW152" s="157" t="n"/>
      <c r="AX152" s="157" t="n"/>
      <c r="AY152" s="157" t="n"/>
      <c r="AZ152" s="157" t="n"/>
      <c r="BA152" s="157" t="n"/>
      <c r="BB152" s="157" t="n"/>
      <c r="BC152" s="157" t="n"/>
      <c r="BD152" s="157" t="n"/>
      <c r="BE152" s="157" t="n"/>
      <c r="BF152" s="157" t="n"/>
      <c r="BG152" s="157" t="n"/>
      <c r="BH152" s="158" t="n"/>
      <c r="BI152" s="159" t="n"/>
      <c r="BJ152" s="23">
        <f>IFERROR(ISNUMBER(E152)*IF(ISNUMBER(D152),--(E152&lt;D152-0.5),1)+ISNUMBER(F152)*IF(ISNUMBER(E152),--(F152&lt;E152-0.5),1)+ISNUMBER(G152)*IF(ISNUMBER(F152),--(G152&lt;F152-0.5),1)+ISNUMBER(H152)*IF(ISNUMBER(G152),--(H152&lt;G152-0.5),1)+ISNUMBER(I152)*IF(ISNUMBER(H152),--(I152&lt;H152-0.5),1)+ISNUMBER(J152)*IF(ISNUMBER(I152),--(J152&lt;I152-0.5),1)+ISNUMBER(K152)*IF(ISNUMBER(J152),--(K152&lt;J152-0.5),1)+IF(AND(ISNUMBER(C152),C152&lt;0),1,0),1)</f>
        <v/>
      </c>
      <c r="BK152" s="23">
        <f>IFERROR(ISNUMBER(M152)*IF(ISNUMBER(L152),--(M152&lt;L152-0.5),1)+ISNUMBER(N152)*IF(ISNUMBER(M152),--(N152&lt;M152-0.5),1)+ISNUMBER(O152)*IF(ISNUMBER(N152),--(O152&lt;N152-0.5),1)+ISNUMBER(P152)*IF(ISNUMBER(O152),--(P152&lt;O152-0.5),1)+ISNUMBER(Q152)*IF(ISNUMBER(P152),--(Q152&lt;P152-0.5),1)+ISNUMBER(R152)*IF(ISNUMBER(Q152),--(R152&lt;Q152-0.5),1)+ISNUMBER(S152)*IF(ISNUMBER(R152),--(S152&lt;R152-0.5),1),1)</f>
        <v/>
      </c>
    </row>
    <row r="153">
      <c r="A153" s="23" t="n">
        <v>15</v>
      </c>
      <c r="B153" s="75" t="n">
        <v>1</v>
      </c>
      <c r="C153" s="157" t="n"/>
      <c r="D153" s="157" t="n"/>
      <c r="E153" s="157" t="n"/>
      <c r="F153" s="157" t="n"/>
      <c r="G153" s="157" t="n"/>
      <c r="H153" s="157" t="n"/>
      <c r="I153" s="157" t="n"/>
      <c r="J153" s="157" t="n"/>
      <c r="K153" s="157" t="n"/>
      <c r="L153" s="157" t="n"/>
      <c r="M153" s="157" t="n"/>
      <c r="N153" s="157" t="n"/>
      <c r="O153" s="157" t="n"/>
      <c r="P153" s="157" t="n"/>
      <c r="Q153" s="157" t="n"/>
      <c r="R153" s="157" t="n"/>
      <c r="S153" s="157" t="n"/>
      <c r="T153" s="157" t="n"/>
      <c r="U153" s="157" t="n"/>
      <c r="V153" s="157" t="n"/>
      <c r="W153" s="157" t="n"/>
      <c r="X153" s="157" t="n"/>
      <c r="Y153" s="157" t="n"/>
      <c r="Z153" s="157" t="n"/>
      <c r="AA153" s="157" t="n"/>
      <c r="AB153" s="157" t="n"/>
      <c r="AC153" s="157" t="n"/>
      <c r="AD153" s="157" t="n"/>
      <c r="AE153" s="157" t="n"/>
      <c r="AF153" s="157" t="n"/>
      <c r="AG153" s="157" t="n"/>
      <c r="AH153" s="157" t="n"/>
      <c r="AI153" s="157" t="n"/>
      <c r="AJ153" s="157" t="n"/>
      <c r="AK153" s="157" t="n"/>
      <c r="AL153" s="157" t="n"/>
      <c r="AM153" s="157" t="n"/>
      <c r="AN153" s="157" t="n"/>
      <c r="AO153" s="157" t="n"/>
      <c r="AP153" s="157" t="n"/>
      <c r="AQ153" s="157" t="n"/>
      <c r="AR153" s="157" t="n"/>
      <c r="AS153" s="157" t="n"/>
      <c r="AT153" s="157" t="n"/>
      <c r="AU153" s="157" t="n"/>
      <c r="AV153" s="157" t="n"/>
      <c r="AW153" s="157" t="n"/>
      <c r="AX153" s="157" t="n"/>
      <c r="AY153" s="157" t="n"/>
      <c r="AZ153" s="157" t="n"/>
      <c r="BA153" s="157" t="n"/>
      <c r="BB153" s="157" t="n"/>
      <c r="BC153" s="157" t="n"/>
      <c r="BD153" s="157" t="n"/>
      <c r="BE153" s="157" t="n"/>
      <c r="BF153" s="157" t="n"/>
      <c r="BG153" s="157" t="n"/>
      <c r="BH153" s="158" t="n"/>
      <c r="BI153" s="159" t="n"/>
      <c r="BJ153" s="23">
        <f>IFERROR(ISNUMBER(E153)*IF(ISNUMBER(D153),--(E153&lt;D153-0.5),1)+ISNUMBER(F153)*IF(ISNUMBER(E153),--(F153&lt;E153-0.5),1)+ISNUMBER(G153)*IF(ISNUMBER(F153),--(G153&lt;F153-0.5),1)+ISNUMBER(H153)*IF(ISNUMBER(G153),--(H153&lt;G153-0.5),1)+ISNUMBER(I153)*IF(ISNUMBER(H153),--(I153&lt;H153-0.5),1)+ISNUMBER(J153)*IF(ISNUMBER(I153),--(J153&lt;I153-0.5),1)+ISNUMBER(K153)*IF(ISNUMBER(J153),--(K153&lt;J153-0.5),1)+IF(AND(ISNUMBER(C153),C153&lt;0),1,0),1)</f>
        <v/>
      </c>
      <c r="BK153" s="23">
        <f>IFERROR(ISNUMBER(M153)*IF(ISNUMBER(L153),--(M153&lt;L153-0.5),1)+ISNUMBER(N153)*IF(ISNUMBER(M153),--(N153&lt;M153-0.5),1)+ISNUMBER(O153)*IF(ISNUMBER(N153),--(O153&lt;N153-0.5),1)+ISNUMBER(P153)*IF(ISNUMBER(O153),--(P153&lt;O153-0.5),1)+ISNUMBER(Q153)*IF(ISNUMBER(P153),--(Q153&lt;P153-0.5),1)+ISNUMBER(R153)*IF(ISNUMBER(Q153),--(R153&lt;Q153-0.5),1)+ISNUMBER(S153)*IF(ISNUMBER(R153),--(S153&lt;R153-0.5),1),1)</f>
        <v/>
      </c>
    </row>
    <row r="154">
      <c r="A154" s="23" t="n">
        <v>16</v>
      </c>
      <c r="B154" s="75" t="n">
        <v>1</v>
      </c>
      <c r="C154" s="157" t="n"/>
      <c r="D154" s="157" t="n"/>
      <c r="E154" s="157" t="n"/>
      <c r="F154" s="157" t="n"/>
      <c r="G154" s="157" t="n"/>
      <c r="H154" s="157" t="n"/>
      <c r="I154" s="157" t="n"/>
      <c r="J154" s="157" t="n"/>
      <c r="K154" s="157" t="n"/>
      <c r="L154" s="157" t="n"/>
      <c r="M154" s="157" t="n"/>
      <c r="N154" s="157" t="n"/>
      <c r="O154" s="157" t="n"/>
      <c r="P154" s="157" t="n"/>
      <c r="Q154" s="157" t="n"/>
      <c r="R154" s="157" t="n"/>
      <c r="S154" s="157" t="n"/>
      <c r="T154" s="157" t="n"/>
      <c r="U154" s="157" t="n"/>
      <c r="V154" s="157" t="n"/>
      <c r="W154" s="157" t="n"/>
      <c r="X154" s="157" t="n"/>
      <c r="Y154" s="157" t="n"/>
      <c r="Z154" s="157" t="n"/>
      <c r="AA154" s="157" t="n"/>
      <c r="AB154" s="157" t="n"/>
      <c r="AC154" s="157" t="n"/>
      <c r="AD154" s="157" t="n"/>
      <c r="AE154" s="157" t="n"/>
      <c r="AF154" s="157" t="n"/>
      <c r="AG154" s="157" t="n"/>
      <c r="AH154" s="157" t="n"/>
      <c r="AI154" s="157" t="n"/>
      <c r="AJ154" s="157" t="n"/>
      <c r="AK154" s="157" t="n"/>
      <c r="AL154" s="157" t="n"/>
      <c r="AM154" s="157" t="n"/>
      <c r="AN154" s="157" t="n"/>
      <c r="AO154" s="157" t="n"/>
      <c r="AP154" s="157" t="n"/>
      <c r="AQ154" s="157" t="n"/>
      <c r="AR154" s="157" t="n"/>
      <c r="AS154" s="157" t="n"/>
      <c r="AT154" s="157" t="n"/>
      <c r="AU154" s="157" t="n"/>
      <c r="AV154" s="157" t="n"/>
      <c r="AW154" s="157" t="n"/>
      <c r="AX154" s="157" t="n"/>
      <c r="AY154" s="157" t="n"/>
      <c r="AZ154" s="157" t="n"/>
      <c r="BA154" s="157" t="n"/>
      <c r="BB154" s="157" t="n"/>
      <c r="BC154" s="157" t="n"/>
      <c r="BD154" s="157" t="n"/>
      <c r="BE154" s="157" t="n"/>
      <c r="BF154" s="157" t="n"/>
      <c r="BG154" s="157" t="n"/>
      <c r="BH154" s="158" t="n"/>
      <c r="BI154" s="159" t="n"/>
      <c r="BJ154" s="23">
        <f>IFERROR(ISNUMBER(E154)*IF(ISNUMBER(D154),--(E154&lt;D154-0.5),1)+ISNUMBER(F154)*IF(ISNUMBER(E154),--(F154&lt;E154-0.5),1)+ISNUMBER(G154)*IF(ISNUMBER(F154),--(G154&lt;F154-0.5),1)+ISNUMBER(H154)*IF(ISNUMBER(G154),--(H154&lt;G154-0.5),1)+ISNUMBER(I154)*IF(ISNUMBER(H154),--(I154&lt;H154-0.5),1)+ISNUMBER(J154)*IF(ISNUMBER(I154),--(J154&lt;I154-0.5),1)+ISNUMBER(K154)*IF(ISNUMBER(J154),--(K154&lt;J154-0.5),1)+IF(AND(ISNUMBER(C154),C154&lt;0),1,0),1)</f>
        <v/>
      </c>
      <c r="BK154" s="23">
        <f>IFERROR(ISNUMBER(M154)*IF(ISNUMBER(L154),--(M154&lt;L154-0.5),1)+ISNUMBER(N154)*IF(ISNUMBER(M154),--(N154&lt;M154-0.5),1)+ISNUMBER(O154)*IF(ISNUMBER(N154),--(O154&lt;N154-0.5),1)+ISNUMBER(P154)*IF(ISNUMBER(O154),--(P154&lt;O154-0.5),1)+ISNUMBER(Q154)*IF(ISNUMBER(P154),--(Q154&lt;P154-0.5),1)+ISNUMBER(R154)*IF(ISNUMBER(Q154),--(R154&lt;Q154-0.5),1)+ISNUMBER(S154)*IF(ISNUMBER(R154),--(S154&lt;R154-0.5),1),1)</f>
        <v/>
      </c>
    </row>
    <row r="155">
      <c r="A155" s="23" t="n">
        <v>17</v>
      </c>
      <c r="B155" s="75" t="n">
        <v>1</v>
      </c>
      <c r="C155" s="157" t="n"/>
      <c r="D155" s="157" t="n"/>
      <c r="E155" s="157" t="n"/>
      <c r="F155" s="157" t="n"/>
      <c r="G155" s="157" t="n"/>
      <c r="H155" s="157" t="n"/>
      <c r="I155" s="157" t="n"/>
      <c r="J155" s="157" t="n"/>
      <c r="K155" s="157" t="n"/>
      <c r="L155" s="157" t="n"/>
      <c r="M155" s="157" t="n"/>
      <c r="N155" s="157" t="n"/>
      <c r="O155" s="157" t="n"/>
      <c r="P155" s="157" t="n"/>
      <c r="Q155" s="157" t="n"/>
      <c r="R155" s="157" t="n"/>
      <c r="S155" s="157" t="n"/>
      <c r="T155" s="157" t="n"/>
      <c r="U155" s="157" t="n"/>
      <c r="V155" s="157" t="n"/>
      <c r="W155" s="157" t="n"/>
      <c r="X155" s="157" t="n"/>
      <c r="Y155" s="157" t="n"/>
      <c r="Z155" s="157" t="n"/>
      <c r="AA155" s="157" t="n"/>
      <c r="AB155" s="157" t="n"/>
      <c r="AC155" s="157" t="n"/>
      <c r="AD155" s="157" t="n"/>
      <c r="AE155" s="157" t="n"/>
      <c r="AF155" s="157" t="n"/>
      <c r="AG155" s="157" t="n"/>
      <c r="AH155" s="157" t="n"/>
      <c r="AI155" s="157" t="n"/>
      <c r="AJ155" s="157" t="n"/>
      <c r="AK155" s="157" t="n"/>
      <c r="AL155" s="157" t="n"/>
      <c r="AM155" s="157" t="n"/>
      <c r="AN155" s="157" t="n"/>
      <c r="AO155" s="157" t="n"/>
      <c r="AP155" s="157" t="n"/>
      <c r="AQ155" s="157" t="n"/>
      <c r="AR155" s="157" t="n"/>
      <c r="AS155" s="157" t="n"/>
      <c r="AT155" s="157" t="n"/>
      <c r="AU155" s="157" t="n"/>
      <c r="AV155" s="157" t="n"/>
      <c r="AW155" s="157" t="n"/>
      <c r="AX155" s="157" t="n"/>
      <c r="AY155" s="157" t="n"/>
      <c r="AZ155" s="157" t="n"/>
      <c r="BA155" s="157" t="n"/>
      <c r="BB155" s="157" t="n"/>
      <c r="BC155" s="157" t="n"/>
      <c r="BD155" s="157" t="n"/>
      <c r="BE155" s="157" t="n"/>
      <c r="BF155" s="157" t="n"/>
      <c r="BG155" s="157" t="n"/>
      <c r="BH155" s="158" t="n"/>
      <c r="BI155" s="159" t="n"/>
      <c r="BJ155" s="23">
        <f>IFERROR(ISNUMBER(E155)*IF(ISNUMBER(D155),--(E155&lt;D155-0.5),1)+ISNUMBER(F155)*IF(ISNUMBER(E155),--(F155&lt;E155-0.5),1)+ISNUMBER(G155)*IF(ISNUMBER(F155),--(G155&lt;F155-0.5),1)+ISNUMBER(H155)*IF(ISNUMBER(G155),--(H155&lt;G155-0.5),1)+ISNUMBER(I155)*IF(ISNUMBER(H155),--(I155&lt;H155-0.5),1)+ISNUMBER(J155)*IF(ISNUMBER(I155),--(J155&lt;I155-0.5),1)+ISNUMBER(K155)*IF(ISNUMBER(J155),--(K155&lt;J155-0.5),1)+IF(AND(ISNUMBER(C155),C155&lt;0),1,0),1)</f>
        <v/>
      </c>
      <c r="BK155" s="23">
        <f>IFERROR(ISNUMBER(M155)*IF(ISNUMBER(L155),--(M155&lt;L155-0.5),1)+ISNUMBER(N155)*IF(ISNUMBER(M155),--(N155&lt;M155-0.5),1)+ISNUMBER(O155)*IF(ISNUMBER(N155),--(O155&lt;N155-0.5),1)+ISNUMBER(P155)*IF(ISNUMBER(O155),--(P155&lt;O155-0.5),1)+ISNUMBER(Q155)*IF(ISNUMBER(P155),--(Q155&lt;P155-0.5),1)+ISNUMBER(R155)*IF(ISNUMBER(Q155),--(R155&lt;Q155-0.5),1)+ISNUMBER(S155)*IF(ISNUMBER(R155),--(S155&lt;R155-0.5),1),1)</f>
        <v/>
      </c>
    </row>
    <row r="156">
      <c r="A156" s="23" t="n">
        <v>18</v>
      </c>
      <c r="B156" s="75" t="n">
        <v>1</v>
      </c>
      <c r="C156" s="157" t="n"/>
      <c r="D156" s="157" t="n"/>
      <c r="E156" s="157" t="n"/>
      <c r="F156" s="157" t="n"/>
      <c r="G156" s="157" t="n"/>
      <c r="H156" s="157" t="n"/>
      <c r="I156" s="157" t="n"/>
      <c r="J156" s="157" t="n"/>
      <c r="K156" s="157" t="n"/>
      <c r="L156" s="157" t="n"/>
      <c r="M156" s="157" t="n"/>
      <c r="N156" s="157" t="n"/>
      <c r="O156" s="157" t="n"/>
      <c r="P156" s="157" t="n"/>
      <c r="Q156" s="157" t="n"/>
      <c r="R156" s="157" t="n"/>
      <c r="S156" s="157" t="n"/>
      <c r="T156" s="157" t="n"/>
      <c r="U156" s="157" t="n"/>
      <c r="V156" s="157" t="n"/>
      <c r="W156" s="157" t="n"/>
      <c r="X156" s="157" t="n"/>
      <c r="Y156" s="157" t="n"/>
      <c r="Z156" s="157" t="n"/>
      <c r="AA156" s="157" t="n"/>
      <c r="AB156" s="157" t="n"/>
      <c r="AC156" s="157" t="n"/>
      <c r="AD156" s="157" t="n"/>
      <c r="AE156" s="157" t="n"/>
      <c r="AF156" s="157" t="n"/>
      <c r="AG156" s="157" t="n"/>
      <c r="AH156" s="157" t="n"/>
      <c r="AI156" s="157" t="n"/>
      <c r="AJ156" s="157" t="n"/>
      <c r="AK156" s="157" t="n"/>
      <c r="AL156" s="157" t="n"/>
      <c r="AM156" s="157" t="n"/>
      <c r="AN156" s="157" t="n"/>
      <c r="AO156" s="157" t="n"/>
      <c r="AP156" s="157" t="n"/>
      <c r="AQ156" s="157" t="n"/>
      <c r="AR156" s="157" t="n"/>
      <c r="AS156" s="157" t="n"/>
      <c r="AT156" s="157" t="n"/>
      <c r="AU156" s="157" t="n"/>
      <c r="AV156" s="157" t="n"/>
      <c r="AW156" s="157" t="n"/>
      <c r="AX156" s="157" t="n"/>
      <c r="AY156" s="157" t="n"/>
      <c r="AZ156" s="157" t="n"/>
      <c r="BA156" s="157" t="n"/>
      <c r="BB156" s="157" t="n"/>
      <c r="BC156" s="157" t="n"/>
      <c r="BD156" s="157" t="n"/>
      <c r="BE156" s="157" t="n"/>
      <c r="BF156" s="157" t="n"/>
      <c r="BG156" s="157" t="n"/>
      <c r="BH156" s="158" t="n"/>
      <c r="BI156" s="159" t="n"/>
      <c r="BJ156" s="23">
        <f>IFERROR(ISNUMBER(E156)*IF(ISNUMBER(D156),--(E156&lt;D156-0.5),1)+ISNUMBER(F156)*IF(ISNUMBER(E156),--(F156&lt;E156-0.5),1)+ISNUMBER(G156)*IF(ISNUMBER(F156),--(G156&lt;F156-0.5),1)+ISNUMBER(H156)*IF(ISNUMBER(G156),--(H156&lt;G156-0.5),1)+ISNUMBER(I156)*IF(ISNUMBER(H156),--(I156&lt;H156-0.5),1)+ISNUMBER(J156)*IF(ISNUMBER(I156),--(J156&lt;I156-0.5),1)+ISNUMBER(K156)*IF(ISNUMBER(J156),--(K156&lt;J156-0.5),1)+IF(AND(ISNUMBER(C156),C156&lt;0),1,0),1)</f>
        <v/>
      </c>
      <c r="BK156" s="23">
        <f>IFERROR(ISNUMBER(M156)*IF(ISNUMBER(L156),--(M156&lt;L156-0.5),1)+ISNUMBER(N156)*IF(ISNUMBER(M156),--(N156&lt;M156-0.5),1)+ISNUMBER(O156)*IF(ISNUMBER(N156),--(O156&lt;N156-0.5),1)+ISNUMBER(P156)*IF(ISNUMBER(O156),--(P156&lt;O156-0.5),1)+ISNUMBER(Q156)*IF(ISNUMBER(P156),--(Q156&lt;P156-0.5),1)+ISNUMBER(R156)*IF(ISNUMBER(Q156),--(R156&lt;Q156-0.5),1)+ISNUMBER(S156)*IF(ISNUMBER(R156),--(S156&lt;R156-0.5),1),1)</f>
        <v/>
      </c>
    </row>
    <row r="157">
      <c r="A157" s="23" t="n">
        <v>19</v>
      </c>
      <c r="B157" s="75" t="n">
        <v>1</v>
      </c>
      <c r="C157" s="157" t="n"/>
      <c r="D157" s="157" t="n"/>
      <c r="E157" s="157" t="n"/>
      <c r="F157" s="157" t="n"/>
      <c r="G157" s="157" t="n"/>
      <c r="H157" s="157" t="n"/>
      <c r="I157" s="157" t="n"/>
      <c r="J157" s="157" t="n"/>
      <c r="K157" s="157" t="n"/>
      <c r="L157" s="157" t="n"/>
      <c r="M157" s="157" t="n"/>
      <c r="N157" s="157" t="n"/>
      <c r="O157" s="157" t="n"/>
      <c r="P157" s="157" t="n"/>
      <c r="Q157" s="157" t="n"/>
      <c r="R157" s="157" t="n"/>
      <c r="S157" s="157" t="n"/>
      <c r="T157" s="157" t="n"/>
      <c r="U157" s="157" t="n"/>
      <c r="V157" s="157" t="n"/>
      <c r="W157" s="157" t="n"/>
      <c r="X157" s="157" t="n"/>
      <c r="Y157" s="157" t="n"/>
      <c r="Z157" s="157" t="n"/>
      <c r="AA157" s="157" t="n"/>
      <c r="AB157" s="157" t="n"/>
      <c r="AC157" s="157" t="n"/>
      <c r="AD157" s="157" t="n"/>
      <c r="AE157" s="157" t="n"/>
      <c r="AF157" s="157" t="n"/>
      <c r="AG157" s="157" t="n"/>
      <c r="AH157" s="157" t="n"/>
      <c r="AI157" s="157" t="n"/>
      <c r="AJ157" s="157" t="n"/>
      <c r="AK157" s="157" t="n"/>
      <c r="AL157" s="157" t="n"/>
      <c r="AM157" s="157" t="n"/>
      <c r="AN157" s="157" t="n"/>
      <c r="AO157" s="157" t="n"/>
      <c r="AP157" s="157" t="n"/>
      <c r="AQ157" s="157" t="n"/>
      <c r="AR157" s="157" t="n"/>
      <c r="AS157" s="157" t="n"/>
      <c r="AT157" s="157" t="n"/>
      <c r="AU157" s="157" t="n"/>
      <c r="AV157" s="157" t="n"/>
      <c r="AW157" s="157" t="n"/>
      <c r="AX157" s="157" t="n"/>
      <c r="AY157" s="157" t="n"/>
      <c r="AZ157" s="157" t="n"/>
      <c r="BA157" s="157" t="n"/>
      <c r="BB157" s="157" t="n"/>
      <c r="BC157" s="157" t="n"/>
      <c r="BD157" s="157" t="n"/>
      <c r="BE157" s="157" t="n"/>
      <c r="BF157" s="157" t="n"/>
      <c r="BG157" s="157" t="n"/>
      <c r="BH157" s="158" t="n"/>
      <c r="BI157" s="159" t="n"/>
      <c r="BJ157" s="23">
        <f>IFERROR(ISNUMBER(E157)*IF(ISNUMBER(D157),--(E157&lt;D157-0.5),1)+ISNUMBER(F157)*IF(ISNUMBER(E157),--(F157&lt;E157-0.5),1)+ISNUMBER(G157)*IF(ISNUMBER(F157),--(G157&lt;F157-0.5),1)+ISNUMBER(H157)*IF(ISNUMBER(G157),--(H157&lt;G157-0.5),1)+ISNUMBER(I157)*IF(ISNUMBER(H157),--(I157&lt;H157-0.5),1)+ISNUMBER(J157)*IF(ISNUMBER(I157),--(J157&lt;I157-0.5),1)+ISNUMBER(K157)*IF(ISNUMBER(J157),--(K157&lt;J157-0.5),1)+IF(AND(ISNUMBER(C157),C157&lt;0),1,0),1)</f>
        <v/>
      </c>
      <c r="BK157" s="23">
        <f>IFERROR(ISNUMBER(M157)*IF(ISNUMBER(L157),--(M157&lt;L157-0.5),1)+ISNUMBER(N157)*IF(ISNUMBER(M157),--(N157&lt;M157-0.5),1)+ISNUMBER(O157)*IF(ISNUMBER(N157),--(O157&lt;N157-0.5),1)+ISNUMBER(P157)*IF(ISNUMBER(O157),--(P157&lt;O157-0.5),1)+ISNUMBER(Q157)*IF(ISNUMBER(P157),--(Q157&lt;P157-0.5),1)+ISNUMBER(R157)*IF(ISNUMBER(Q157),--(R157&lt;Q157-0.5),1)+ISNUMBER(S157)*IF(ISNUMBER(R157),--(S157&lt;R157-0.5),1),1)</f>
        <v/>
      </c>
    </row>
    <row r="158">
      <c r="A158" s="23" t="n">
        <v>20</v>
      </c>
      <c r="B158" s="75" t="n">
        <v>1</v>
      </c>
      <c r="C158" s="157" t="n"/>
      <c r="D158" s="157" t="n"/>
      <c r="E158" s="157" t="n"/>
      <c r="F158" s="157" t="n"/>
      <c r="G158" s="157" t="n"/>
      <c r="H158" s="157" t="n"/>
      <c r="I158" s="157" t="n"/>
      <c r="J158" s="157" t="n"/>
      <c r="K158" s="157" t="n"/>
      <c r="L158" s="157" t="n"/>
      <c r="M158" s="157" t="n"/>
      <c r="N158" s="157" t="n"/>
      <c r="O158" s="157" t="n"/>
      <c r="P158" s="157" t="n"/>
      <c r="Q158" s="157" t="n"/>
      <c r="R158" s="157" t="n"/>
      <c r="S158" s="157" t="n"/>
      <c r="T158" s="157" t="n"/>
      <c r="U158" s="157" t="n"/>
      <c r="V158" s="157" t="n"/>
      <c r="W158" s="157" t="n"/>
      <c r="X158" s="157" t="n"/>
      <c r="Y158" s="157" t="n"/>
      <c r="Z158" s="157" t="n"/>
      <c r="AA158" s="157" t="n"/>
      <c r="AB158" s="157" t="n"/>
      <c r="AC158" s="157" t="n"/>
      <c r="AD158" s="157" t="n"/>
      <c r="AE158" s="157" t="n"/>
      <c r="AF158" s="157" t="n"/>
      <c r="AG158" s="157" t="n"/>
      <c r="AH158" s="157" t="n"/>
      <c r="AI158" s="157" t="n"/>
      <c r="AJ158" s="157" t="n"/>
      <c r="AK158" s="157" t="n"/>
      <c r="AL158" s="157" t="n"/>
      <c r="AM158" s="157" t="n"/>
      <c r="AN158" s="157" t="n"/>
      <c r="AO158" s="157" t="n"/>
      <c r="AP158" s="157" t="n"/>
      <c r="AQ158" s="157" t="n"/>
      <c r="AR158" s="157" t="n"/>
      <c r="AS158" s="157" t="n"/>
      <c r="AT158" s="157" t="n"/>
      <c r="AU158" s="157" t="n"/>
      <c r="AV158" s="157" t="n"/>
      <c r="AW158" s="157" t="n"/>
      <c r="AX158" s="157" t="n"/>
      <c r="AY158" s="157" t="n"/>
      <c r="AZ158" s="157" t="n"/>
      <c r="BA158" s="157" t="n"/>
      <c r="BB158" s="157" t="n"/>
      <c r="BC158" s="157" t="n"/>
      <c r="BD158" s="157" t="n"/>
      <c r="BE158" s="157" t="n"/>
      <c r="BF158" s="157" t="n"/>
      <c r="BG158" s="157" t="n"/>
      <c r="BH158" s="158" t="n"/>
      <c r="BI158" s="159" t="n"/>
      <c r="BJ158" s="23">
        <f>IFERROR(ISNUMBER(E158)*IF(ISNUMBER(D158),--(E158&lt;D158-0.5),1)+ISNUMBER(F158)*IF(ISNUMBER(E158),--(F158&lt;E158-0.5),1)+ISNUMBER(G158)*IF(ISNUMBER(F158),--(G158&lt;F158-0.5),1)+ISNUMBER(H158)*IF(ISNUMBER(G158),--(H158&lt;G158-0.5),1)+ISNUMBER(I158)*IF(ISNUMBER(H158),--(I158&lt;H158-0.5),1)+ISNUMBER(J158)*IF(ISNUMBER(I158),--(J158&lt;I158-0.5),1)+ISNUMBER(K158)*IF(ISNUMBER(J158),--(K158&lt;J158-0.5),1)+IF(AND(ISNUMBER(C158),C158&lt;0),1,0),1)</f>
        <v/>
      </c>
      <c r="BK158" s="23">
        <f>IFERROR(ISNUMBER(M158)*IF(ISNUMBER(L158),--(M158&lt;L158-0.5),1)+ISNUMBER(N158)*IF(ISNUMBER(M158),--(N158&lt;M158-0.5),1)+ISNUMBER(O158)*IF(ISNUMBER(N158),--(O158&lt;N158-0.5),1)+ISNUMBER(P158)*IF(ISNUMBER(O158),--(P158&lt;O158-0.5),1)+ISNUMBER(Q158)*IF(ISNUMBER(P158),--(Q158&lt;P158-0.5),1)+ISNUMBER(R158)*IF(ISNUMBER(Q158),--(R158&lt;Q158-0.5),1)+ISNUMBER(S158)*IF(ISNUMBER(R158),--(S158&lt;R158-0.5),1),1)</f>
        <v/>
      </c>
    </row>
    <row r="159">
      <c r="A159" s="23" t="n">
        <v>21</v>
      </c>
      <c r="B159" s="75" t="n">
        <v>1</v>
      </c>
      <c r="C159" s="157" t="n"/>
      <c r="D159" s="157" t="n"/>
      <c r="E159" s="157" t="n"/>
      <c r="F159" s="157" t="n"/>
      <c r="G159" s="157" t="n"/>
      <c r="H159" s="157" t="n"/>
      <c r="I159" s="157" t="n"/>
      <c r="J159" s="157" t="n"/>
      <c r="K159" s="157" t="n"/>
      <c r="L159" s="157" t="n"/>
      <c r="M159" s="157" t="n"/>
      <c r="N159" s="157" t="n"/>
      <c r="O159" s="157" t="n"/>
      <c r="P159" s="157" t="n"/>
      <c r="Q159" s="157" t="n"/>
      <c r="R159" s="157" t="n"/>
      <c r="S159" s="157" t="n"/>
      <c r="T159" s="157" t="n"/>
      <c r="U159" s="157" t="n"/>
      <c r="V159" s="157" t="n"/>
      <c r="W159" s="157" t="n"/>
      <c r="X159" s="157" t="n"/>
      <c r="Y159" s="157" t="n"/>
      <c r="Z159" s="157" t="n"/>
      <c r="AA159" s="157" t="n"/>
      <c r="AB159" s="157" t="n"/>
      <c r="AC159" s="157" t="n"/>
      <c r="AD159" s="157" t="n"/>
      <c r="AE159" s="157" t="n"/>
      <c r="AF159" s="157" t="n"/>
      <c r="AG159" s="157" t="n"/>
      <c r="AH159" s="157" t="n"/>
      <c r="AI159" s="157" t="n"/>
      <c r="AJ159" s="157" t="n"/>
      <c r="AK159" s="157" t="n"/>
      <c r="AL159" s="157" t="n"/>
      <c r="AM159" s="157" t="n"/>
      <c r="AN159" s="157" t="n"/>
      <c r="AO159" s="157" t="n"/>
      <c r="AP159" s="157" t="n"/>
      <c r="AQ159" s="157" t="n"/>
      <c r="AR159" s="157" t="n"/>
      <c r="AS159" s="157" t="n"/>
      <c r="AT159" s="157" t="n"/>
      <c r="AU159" s="157" t="n"/>
      <c r="AV159" s="157" t="n"/>
      <c r="AW159" s="157" t="n"/>
      <c r="AX159" s="157" t="n"/>
      <c r="AY159" s="157" t="n"/>
      <c r="AZ159" s="157" t="n"/>
      <c r="BA159" s="157" t="n"/>
      <c r="BB159" s="157" t="n"/>
      <c r="BC159" s="157" t="n"/>
      <c r="BD159" s="157" t="n"/>
      <c r="BE159" s="157" t="n"/>
      <c r="BF159" s="157" t="n"/>
      <c r="BG159" s="157" t="n"/>
      <c r="BH159" s="158" t="n"/>
      <c r="BI159" s="159" t="n"/>
      <c r="BJ159" s="23">
        <f>IFERROR(ISNUMBER(E159)*IF(ISNUMBER(D159),--(E159&lt;D159-0.5),1)+ISNUMBER(F159)*IF(ISNUMBER(E159),--(F159&lt;E159-0.5),1)+ISNUMBER(G159)*IF(ISNUMBER(F159),--(G159&lt;F159-0.5),1)+ISNUMBER(H159)*IF(ISNUMBER(G159),--(H159&lt;G159-0.5),1)+ISNUMBER(I159)*IF(ISNUMBER(H159),--(I159&lt;H159-0.5),1)+ISNUMBER(J159)*IF(ISNUMBER(I159),--(J159&lt;I159-0.5),1)+ISNUMBER(K159)*IF(ISNUMBER(J159),--(K159&lt;J159-0.5),1)+IF(AND(ISNUMBER(C159),C159&lt;0),1,0),1)</f>
        <v/>
      </c>
      <c r="BK159" s="23">
        <f>IFERROR(ISNUMBER(M159)*IF(ISNUMBER(L159),--(M159&lt;L159-0.5),1)+ISNUMBER(N159)*IF(ISNUMBER(M159),--(N159&lt;M159-0.5),1)+ISNUMBER(O159)*IF(ISNUMBER(N159),--(O159&lt;N159-0.5),1)+ISNUMBER(P159)*IF(ISNUMBER(O159),--(P159&lt;O159-0.5),1)+ISNUMBER(Q159)*IF(ISNUMBER(P159),--(Q159&lt;P159-0.5),1)+ISNUMBER(R159)*IF(ISNUMBER(Q159),--(R159&lt;Q159-0.5),1)+ISNUMBER(S159)*IF(ISNUMBER(R159),--(S159&lt;R159-0.5),1),1)</f>
        <v/>
      </c>
    </row>
    <row r="160">
      <c r="A160" s="23" t="n">
        <v>22</v>
      </c>
      <c r="B160" s="75" t="n">
        <v>1</v>
      </c>
      <c r="C160" s="157" t="n"/>
      <c r="D160" s="157" t="n"/>
      <c r="E160" s="157" t="n"/>
      <c r="F160" s="157" t="n"/>
      <c r="G160" s="157" t="n"/>
      <c r="H160" s="157" t="n"/>
      <c r="I160" s="157" t="n"/>
      <c r="J160" s="157" t="n"/>
      <c r="K160" s="157" t="n"/>
      <c r="L160" s="157" t="n"/>
      <c r="M160" s="157" t="n"/>
      <c r="N160" s="157" t="n"/>
      <c r="O160" s="157" t="n"/>
      <c r="P160" s="157" t="n"/>
      <c r="Q160" s="157" t="n"/>
      <c r="R160" s="157" t="n"/>
      <c r="S160" s="157" t="n"/>
      <c r="T160" s="157" t="n"/>
      <c r="U160" s="157" t="n"/>
      <c r="V160" s="157" t="n"/>
      <c r="W160" s="157" t="n"/>
      <c r="X160" s="157" t="n"/>
      <c r="Y160" s="157" t="n"/>
      <c r="Z160" s="157" t="n"/>
      <c r="AA160" s="157" t="n"/>
      <c r="AB160" s="157" t="n"/>
      <c r="AC160" s="157" t="n"/>
      <c r="AD160" s="157" t="n"/>
      <c r="AE160" s="157" t="n"/>
      <c r="AF160" s="157" t="n"/>
      <c r="AG160" s="157" t="n"/>
      <c r="AH160" s="157" t="n"/>
      <c r="AI160" s="157" t="n"/>
      <c r="AJ160" s="157" t="n"/>
      <c r="AK160" s="157" t="n"/>
      <c r="AL160" s="157" t="n"/>
      <c r="AM160" s="157" t="n"/>
      <c r="AN160" s="157" t="n"/>
      <c r="AO160" s="157" t="n"/>
      <c r="AP160" s="157" t="n"/>
      <c r="AQ160" s="157" t="n"/>
      <c r="AR160" s="157" t="n"/>
      <c r="AS160" s="157" t="n"/>
      <c r="AT160" s="157" t="n"/>
      <c r="AU160" s="157" t="n"/>
      <c r="AV160" s="157" t="n"/>
      <c r="AW160" s="157" t="n"/>
      <c r="AX160" s="157" t="n"/>
      <c r="AY160" s="157" t="n"/>
      <c r="AZ160" s="157" t="n"/>
      <c r="BA160" s="157" t="n"/>
      <c r="BB160" s="157" t="n"/>
      <c r="BC160" s="157" t="n"/>
      <c r="BD160" s="157" t="n"/>
      <c r="BE160" s="157" t="n"/>
      <c r="BF160" s="157" t="n"/>
      <c r="BG160" s="157" t="n"/>
      <c r="BH160" s="158" t="n"/>
      <c r="BI160" s="159" t="n"/>
      <c r="BJ160" s="23">
        <f>IFERROR(ISNUMBER(E160)*IF(ISNUMBER(D160),--(E160&lt;D160-0.5),1)+ISNUMBER(F160)*IF(ISNUMBER(E160),--(F160&lt;E160-0.5),1)+ISNUMBER(G160)*IF(ISNUMBER(F160),--(G160&lt;F160-0.5),1)+ISNUMBER(H160)*IF(ISNUMBER(G160),--(H160&lt;G160-0.5),1)+ISNUMBER(I160)*IF(ISNUMBER(H160),--(I160&lt;H160-0.5),1)+ISNUMBER(J160)*IF(ISNUMBER(I160),--(J160&lt;I160-0.5),1)+ISNUMBER(K160)*IF(ISNUMBER(J160),--(K160&lt;J160-0.5),1)+IF(AND(ISNUMBER(C160),C160&lt;0),1,0),1)</f>
        <v/>
      </c>
      <c r="BK160" s="23">
        <f>IFERROR(ISNUMBER(M160)*IF(ISNUMBER(L160),--(M160&lt;L160-0.5),1)+ISNUMBER(N160)*IF(ISNUMBER(M160),--(N160&lt;M160-0.5),1)+ISNUMBER(O160)*IF(ISNUMBER(N160),--(O160&lt;N160-0.5),1)+ISNUMBER(P160)*IF(ISNUMBER(O160),--(P160&lt;O160-0.5),1)+ISNUMBER(Q160)*IF(ISNUMBER(P160),--(Q160&lt;P160-0.5),1)+ISNUMBER(R160)*IF(ISNUMBER(Q160),--(R160&lt;Q160-0.5),1)+ISNUMBER(S160)*IF(ISNUMBER(R160),--(S160&lt;R160-0.5),1),1)</f>
        <v/>
      </c>
    </row>
    <row r="161">
      <c r="A161" s="23" t="n">
        <v>23</v>
      </c>
      <c r="B161" s="75" t="n">
        <v>1</v>
      </c>
      <c r="C161" s="157" t="n"/>
      <c r="D161" s="157" t="n"/>
      <c r="E161" s="157" t="n"/>
      <c r="F161" s="157" t="n"/>
      <c r="G161" s="157" t="n"/>
      <c r="H161" s="157" t="n"/>
      <c r="I161" s="157" t="n"/>
      <c r="J161" s="157" t="n"/>
      <c r="K161" s="157" t="n"/>
      <c r="L161" s="157" t="n"/>
      <c r="M161" s="157" t="n"/>
      <c r="N161" s="157" t="n"/>
      <c r="O161" s="157" t="n"/>
      <c r="P161" s="157" t="n"/>
      <c r="Q161" s="157" t="n"/>
      <c r="R161" s="157" t="n"/>
      <c r="S161" s="157" t="n"/>
      <c r="T161" s="157" t="n"/>
      <c r="U161" s="157" t="n"/>
      <c r="V161" s="157" t="n"/>
      <c r="W161" s="157" t="n"/>
      <c r="X161" s="157" t="n"/>
      <c r="Y161" s="157" t="n"/>
      <c r="Z161" s="157" t="n"/>
      <c r="AA161" s="157" t="n"/>
      <c r="AB161" s="157" t="n"/>
      <c r="AC161" s="157" t="n"/>
      <c r="AD161" s="157" t="n"/>
      <c r="AE161" s="157" t="n"/>
      <c r="AF161" s="157" t="n"/>
      <c r="AG161" s="157" t="n"/>
      <c r="AH161" s="157" t="n"/>
      <c r="AI161" s="157" t="n"/>
      <c r="AJ161" s="157" t="n"/>
      <c r="AK161" s="157" t="n"/>
      <c r="AL161" s="157" t="n"/>
      <c r="AM161" s="157" t="n"/>
      <c r="AN161" s="157" t="n"/>
      <c r="AO161" s="157" t="n"/>
      <c r="AP161" s="157" t="n"/>
      <c r="AQ161" s="157" t="n"/>
      <c r="AR161" s="157" t="n"/>
      <c r="AS161" s="157" t="n"/>
      <c r="AT161" s="157" t="n"/>
      <c r="AU161" s="157" t="n"/>
      <c r="AV161" s="157" t="n"/>
      <c r="AW161" s="157" t="n"/>
      <c r="AX161" s="157" t="n"/>
      <c r="AY161" s="157" t="n"/>
      <c r="AZ161" s="157" t="n"/>
      <c r="BA161" s="157" t="n"/>
      <c r="BB161" s="157" t="n"/>
      <c r="BC161" s="157" t="n"/>
      <c r="BD161" s="157" t="n"/>
      <c r="BE161" s="157" t="n"/>
      <c r="BF161" s="157" t="n"/>
      <c r="BG161" s="157" t="n"/>
      <c r="BH161" s="158" t="n"/>
      <c r="BI161" s="159" t="n"/>
      <c r="BJ161" s="23">
        <f>IFERROR(ISNUMBER(E161)*IF(ISNUMBER(D161),--(E161&lt;D161-0.5),1)+ISNUMBER(F161)*IF(ISNUMBER(E161),--(F161&lt;E161-0.5),1)+ISNUMBER(G161)*IF(ISNUMBER(F161),--(G161&lt;F161-0.5),1)+ISNUMBER(H161)*IF(ISNUMBER(G161),--(H161&lt;G161-0.5),1)+ISNUMBER(I161)*IF(ISNUMBER(H161),--(I161&lt;H161-0.5),1)+ISNUMBER(J161)*IF(ISNUMBER(I161),--(J161&lt;I161-0.5),1)+ISNUMBER(K161)*IF(ISNUMBER(J161),--(K161&lt;J161-0.5),1)+IF(AND(ISNUMBER(C161),C161&lt;0),1,0),1)</f>
        <v/>
      </c>
      <c r="BK161" s="23">
        <f>IFERROR(ISNUMBER(M161)*IF(ISNUMBER(L161),--(M161&lt;L161-0.5),1)+ISNUMBER(N161)*IF(ISNUMBER(M161),--(N161&lt;M161-0.5),1)+ISNUMBER(O161)*IF(ISNUMBER(N161),--(O161&lt;N161-0.5),1)+ISNUMBER(P161)*IF(ISNUMBER(O161),--(P161&lt;O161-0.5),1)+ISNUMBER(Q161)*IF(ISNUMBER(P161),--(Q161&lt;P161-0.5),1)+ISNUMBER(R161)*IF(ISNUMBER(Q161),--(R161&lt;Q161-0.5),1)+ISNUMBER(S161)*IF(ISNUMBER(R161),--(S161&lt;R161-0.5),1),1)</f>
        <v/>
      </c>
    </row>
    <row r="162">
      <c r="A162" s="23" t="n">
        <v>24</v>
      </c>
      <c r="B162" s="75" t="n">
        <v>1</v>
      </c>
      <c r="C162" s="157" t="n"/>
      <c r="D162" s="157" t="n"/>
      <c r="E162" s="157" t="n"/>
      <c r="F162" s="157" t="n"/>
      <c r="G162" s="157" t="n"/>
      <c r="H162" s="157" t="n"/>
      <c r="I162" s="157" t="n"/>
      <c r="J162" s="157" t="n"/>
      <c r="K162" s="157" t="n"/>
      <c r="L162" s="157" t="n"/>
      <c r="M162" s="157" t="n"/>
      <c r="N162" s="157" t="n"/>
      <c r="O162" s="157" t="n"/>
      <c r="P162" s="157" t="n"/>
      <c r="Q162" s="157" t="n"/>
      <c r="R162" s="157" t="n"/>
      <c r="S162" s="157" t="n"/>
      <c r="T162" s="157" t="n"/>
      <c r="U162" s="157" t="n"/>
      <c r="V162" s="157" t="n"/>
      <c r="W162" s="157" t="n"/>
      <c r="X162" s="157" t="n"/>
      <c r="Y162" s="157" t="n"/>
      <c r="Z162" s="157" t="n"/>
      <c r="AA162" s="157" t="n"/>
      <c r="AB162" s="157" t="n"/>
      <c r="AC162" s="157" t="n"/>
      <c r="AD162" s="157" t="n"/>
      <c r="AE162" s="157" t="n"/>
      <c r="AF162" s="157" t="n"/>
      <c r="AG162" s="157" t="n"/>
      <c r="AH162" s="157" t="n"/>
      <c r="AI162" s="157" t="n"/>
      <c r="AJ162" s="157" t="n"/>
      <c r="AK162" s="157" t="n"/>
      <c r="AL162" s="157" t="n"/>
      <c r="AM162" s="157" t="n"/>
      <c r="AN162" s="157" t="n"/>
      <c r="AO162" s="157" t="n"/>
      <c r="AP162" s="157" t="n"/>
      <c r="AQ162" s="157" t="n"/>
      <c r="AR162" s="157" t="n"/>
      <c r="AS162" s="157" t="n"/>
      <c r="AT162" s="157" t="n"/>
      <c r="AU162" s="157" t="n"/>
      <c r="AV162" s="157" t="n"/>
      <c r="AW162" s="157" t="n"/>
      <c r="AX162" s="157" t="n"/>
      <c r="AY162" s="157" t="n"/>
      <c r="AZ162" s="157" t="n"/>
      <c r="BA162" s="157" t="n"/>
      <c r="BB162" s="157" t="n"/>
      <c r="BC162" s="157" t="n"/>
      <c r="BD162" s="157" t="n"/>
      <c r="BE162" s="157" t="n"/>
      <c r="BF162" s="157" t="n"/>
      <c r="BG162" s="157" t="n"/>
      <c r="BH162" s="158" t="n"/>
      <c r="BI162" s="159" t="n"/>
      <c r="BJ162" s="23">
        <f>IFERROR(ISNUMBER(E162)*IF(ISNUMBER(D162),--(E162&lt;D162-0.5),1)+ISNUMBER(F162)*IF(ISNUMBER(E162),--(F162&lt;E162-0.5),1)+ISNUMBER(G162)*IF(ISNUMBER(F162),--(G162&lt;F162-0.5),1)+ISNUMBER(H162)*IF(ISNUMBER(G162),--(H162&lt;G162-0.5),1)+ISNUMBER(I162)*IF(ISNUMBER(H162),--(I162&lt;H162-0.5),1)+ISNUMBER(J162)*IF(ISNUMBER(I162),--(J162&lt;I162-0.5),1)+ISNUMBER(K162)*IF(ISNUMBER(J162),--(K162&lt;J162-0.5),1)+IF(AND(ISNUMBER(C162),C162&lt;0),1,0),1)</f>
        <v/>
      </c>
      <c r="BK162" s="23">
        <f>IFERROR(ISNUMBER(M162)*IF(ISNUMBER(L162),--(M162&lt;L162-0.5),1)+ISNUMBER(N162)*IF(ISNUMBER(M162),--(N162&lt;M162-0.5),1)+ISNUMBER(O162)*IF(ISNUMBER(N162),--(O162&lt;N162-0.5),1)+ISNUMBER(P162)*IF(ISNUMBER(O162),--(P162&lt;O162-0.5),1)+ISNUMBER(Q162)*IF(ISNUMBER(P162),--(Q162&lt;P162-0.5),1)+ISNUMBER(R162)*IF(ISNUMBER(Q162),--(R162&lt;Q162-0.5),1)+ISNUMBER(S162)*IF(ISNUMBER(R162),--(S162&lt;R162-0.5),1),1)</f>
        <v/>
      </c>
    </row>
    <row r="163">
      <c r="A163" s="23" t="n">
        <v>25</v>
      </c>
      <c r="B163" s="75" t="n">
        <v>1</v>
      </c>
      <c r="C163" s="157" t="n"/>
      <c r="D163" s="157" t="n"/>
      <c r="E163" s="157" t="n"/>
      <c r="F163" s="157" t="n"/>
      <c r="G163" s="157" t="n"/>
      <c r="H163" s="157" t="n"/>
      <c r="I163" s="157" t="n"/>
      <c r="J163" s="157" t="n"/>
      <c r="K163" s="157" t="n"/>
      <c r="L163" s="157" t="n"/>
      <c r="M163" s="157" t="n"/>
      <c r="N163" s="157" t="n"/>
      <c r="O163" s="157" t="n"/>
      <c r="P163" s="157" t="n"/>
      <c r="Q163" s="157" t="n"/>
      <c r="R163" s="157" t="n"/>
      <c r="S163" s="157" t="n"/>
      <c r="T163" s="157" t="n"/>
      <c r="U163" s="157" t="n"/>
      <c r="V163" s="157" t="n"/>
      <c r="W163" s="157" t="n"/>
      <c r="X163" s="157" t="n"/>
      <c r="Y163" s="157" t="n"/>
      <c r="Z163" s="157" t="n"/>
      <c r="AA163" s="157" t="n"/>
      <c r="AB163" s="157" t="n"/>
      <c r="AC163" s="157" t="n"/>
      <c r="AD163" s="157" t="n"/>
      <c r="AE163" s="157" t="n"/>
      <c r="AF163" s="157" t="n"/>
      <c r="AG163" s="157" t="n"/>
      <c r="AH163" s="157" t="n"/>
      <c r="AI163" s="157" t="n"/>
      <c r="AJ163" s="157" t="n"/>
      <c r="AK163" s="157" t="n"/>
      <c r="AL163" s="157" t="n"/>
      <c r="AM163" s="157" t="n"/>
      <c r="AN163" s="157" t="n"/>
      <c r="AO163" s="157" t="n"/>
      <c r="AP163" s="157" t="n"/>
      <c r="AQ163" s="157" t="n"/>
      <c r="AR163" s="157" t="n"/>
      <c r="AS163" s="157" t="n"/>
      <c r="AT163" s="157" t="n"/>
      <c r="AU163" s="157" t="n"/>
      <c r="AV163" s="157" t="n"/>
      <c r="AW163" s="157" t="n"/>
      <c r="AX163" s="157" t="n"/>
      <c r="AY163" s="157" t="n"/>
      <c r="AZ163" s="157" t="n"/>
      <c r="BA163" s="157" t="n"/>
      <c r="BB163" s="157" t="n"/>
      <c r="BC163" s="157" t="n"/>
      <c r="BD163" s="157" t="n"/>
      <c r="BE163" s="157" t="n"/>
      <c r="BF163" s="157" t="n"/>
      <c r="BG163" s="157" t="n"/>
      <c r="BH163" s="158" t="n"/>
      <c r="BI163" s="159" t="n"/>
      <c r="BJ163" s="23">
        <f>IFERROR(ISNUMBER(E163)*IF(ISNUMBER(D163),--(E163&lt;D163-0.5),1)+ISNUMBER(F163)*IF(ISNUMBER(E163),--(F163&lt;E163-0.5),1)+ISNUMBER(G163)*IF(ISNUMBER(F163),--(G163&lt;F163-0.5),1)+ISNUMBER(H163)*IF(ISNUMBER(G163),--(H163&lt;G163-0.5),1)+ISNUMBER(I163)*IF(ISNUMBER(H163),--(I163&lt;H163-0.5),1)+ISNUMBER(J163)*IF(ISNUMBER(I163),--(J163&lt;I163-0.5),1)+ISNUMBER(K163)*IF(ISNUMBER(J163),--(K163&lt;J163-0.5),1)+IF(AND(ISNUMBER(C163),C163&lt;0),1,0),1)</f>
        <v/>
      </c>
      <c r="BK163" s="23">
        <f>IFERROR(ISNUMBER(M163)*IF(ISNUMBER(L163),--(M163&lt;L163-0.5),1)+ISNUMBER(N163)*IF(ISNUMBER(M163),--(N163&lt;M163-0.5),1)+ISNUMBER(O163)*IF(ISNUMBER(N163),--(O163&lt;N163-0.5),1)+ISNUMBER(P163)*IF(ISNUMBER(O163),--(P163&lt;O163-0.5),1)+ISNUMBER(Q163)*IF(ISNUMBER(P163),--(Q163&lt;P163-0.5),1)+ISNUMBER(R163)*IF(ISNUMBER(Q163),--(R163&lt;Q163-0.5),1)+ISNUMBER(S163)*IF(ISNUMBER(R163),--(S163&lt;R163-0.5),1),1)</f>
        <v/>
      </c>
    </row>
    <row r="164">
      <c r="A164" s="23" t="n">
        <v>26</v>
      </c>
      <c r="B164" s="75" t="n">
        <v>1</v>
      </c>
      <c r="C164" s="157" t="n"/>
      <c r="D164" s="157" t="n"/>
      <c r="E164" s="157" t="n"/>
      <c r="F164" s="157" t="n"/>
      <c r="G164" s="157" t="n"/>
      <c r="H164" s="157" t="n"/>
      <c r="I164" s="157" t="n"/>
      <c r="J164" s="157" t="n"/>
      <c r="K164" s="157" t="n"/>
      <c r="L164" s="157" t="n"/>
      <c r="M164" s="157" t="n"/>
      <c r="N164" s="157" t="n"/>
      <c r="O164" s="157" t="n"/>
      <c r="P164" s="157" t="n"/>
      <c r="Q164" s="157" t="n"/>
      <c r="R164" s="157" t="n"/>
      <c r="S164" s="157" t="n"/>
      <c r="T164" s="157" t="n"/>
      <c r="U164" s="157" t="n"/>
      <c r="V164" s="157" t="n"/>
      <c r="W164" s="157" t="n"/>
      <c r="X164" s="157" t="n"/>
      <c r="Y164" s="157" t="n"/>
      <c r="Z164" s="157" t="n"/>
      <c r="AA164" s="157" t="n"/>
      <c r="AB164" s="157" t="n"/>
      <c r="AC164" s="157" t="n"/>
      <c r="AD164" s="157" t="n"/>
      <c r="AE164" s="157" t="n"/>
      <c r="AF164" s="157" t="n"/>
      <c r="AG164" s="157" t="n"/>
      <c r="AH164" s="157" t="n"/>
      <c r="AI164" s="157" t="n"/>
      <c r="AJ164" s="157" t="n"/>
      <c r="AK164" s="157" t="n"/>
      <c r="AL164" s="157" t="n"/>
      <c r="AM164" s="157" t="n"/>
      <c r="AN164" s="157" t="n"/>
      <c r="AO164" s="157" t="n"/>
      <c r="AP164" s="157" t="n"/>
      <c r="AQ164" s="157" t="n"/>
      <c r="AR164" s="157" t="n"/>
      <c r="AS164" s="157" t="n"/>
      <c r="AT164" s="157" t="n"/>
      <c r="AU164" s="157" t="n"/>
      <c r="AV164" s="157" t="n"/>
      <c r="AW164" s="157" t="n"/>
      <c r="AX164" s="157" t="n"/>
      <c r="AY164" s="157" t="n"/>
      <c r="AZ164" s="157" t="n"/>
      <c r="BA164" s="157" t="n"/>
      <c r="BB164" s="157" t="n"/>
      <c r="BC164" s="157" t="n"/>
      <c r="BD164" s="157" t="n"/>
      <c r="BE164" s="157" t="n"/>
      <c r="BF164" s="157" t="n"/>
      <c r="BG164" s="157" t="n"/>
      <c r="BH164" s="158" t="n"/>
      <c r="BI164" s="159" t="n"/>
      <c r="BJ164" s="23">
        <f>IFERROR(ISNUMBER(E164)*IF(ISNUMBER(D164),--(E164&lt;D164-0.5),1)+ISNUMBER(F164)*IF(ISNUMBER(E164),--(F164&lt;E164-0.5),1)+ISNUMBER(G164)*IF(ISNUMBER(F164),--(G164&lt;F164-0.5),1)+ISNUMBER(H164)*IF(ISNUMBER(G164),--(H164&lt;G164-0.5),1)+ISNUMBER(I164)*IF(ISNUMBER(H164),--(I164&lt;H164-0.5),1)+ISNUMBER(J164)*IF(ISNUMBER(I164),--(J164&lt;I164-0.5),1)+ISNUMBER(K164)*IF(ISNUMBER(J164),--(K164&lt;J164-0.5),1)+IF(AND(ISNUMBER(C164),C164&lt;0),1,0),1)</f>
        <v/>
      </c>
      <c r="BK164" s="23">
        <f>IFERROR(ISNUMBER(M164)*IF(ISNUMBER(L164),--(M164&lt;L164-0.5),1)+ISNUMBER(N164)*IF(ISNUMBER(M164),--(N164&lt;M164-0.5),1)+ISNUMBER(O164)*IF(ISNUMBER(N164),--(O164&lt;N164-0.5),1)+ISNUMBER(P164)*IF(ISNUMBER(O164),--(P164&lt;O164-0.5),1)+ISNUMBER(Q164)*IF(ISNUMBER(P164),--(Q164&lt;P164-0.5),1)+ISNUMBER(R164)*IF(ISNUMBER(Q164),--(R164&lt;Q164-0.5),1)+ISNUMBER(S164)*IF(ISNUMBER(R164),--(S164&lt;R164-0.5),1),1)</f>
        <v/>
      </c>
    </row>
    <row r="165">
      <c r="A165" s="23" t="n">
        <v>27</v>
      </c>
      <c r="B165" s="75" t="n">
        <v>1</v>
      </c>
      <c r="C165" s="157" t="n"/>
      <c r="D165" s="157" t="n"/>
      <c r="E165" s="157" t="n"/>
      <c r="F165" s="157" t="n"/>
      <c r="G165" s="157" t="n"/>
      <c r="H165" s="157" t="n"/>
      <c r="I165" s="157" t="n"/>
      <c r="J165" s="157" t="n"/>
      <c r="K165" s="157" t="n"/>
      <c r="L165" s="157" t="n"/>
      <c r="M165" s="157" t="n"/>
      <c r="N165" s="157" t="n"/>
      <c r="O165" s="157" t="n"/>
      <c r="P165" s="157" t="n"/>
      <c r="Q165" s="157" t="n"/>
      <c r="R165" s="157" t="n"/>
      <c r="S165" s="157" t="n"/>
      <c r="T165" s="157" t="n"/>
      <c r="U165" s="157" t="n"/>
      <c r="V165" s="157" t="n"/>
      <c r="W165" s="157" t="n"/>
      <c r="X165" s="157" t="n"/>
      <c r="Y165" s="157" t="n"/>
      <c r="Z165" s="157" t="n"/>
      <c r="AA165" s="157" t="n"/>
      <c r="AB165" s="157" t="n"/>
      <c r="AC165" s="157" t="n"/>
      <c r="AD165" s="157" t="n"/>
      <c r="AE165" s="157" t="n"/>
      <c r="AF165" s="157" t="n"/>
      <c r="AG165" s="157" t="n"/>
      <c r="AH165" s="157" t="n"/>
      <c r="AI165" s="157" t="n"/>
      <c r="AJ165" s="157" t="n"/>
      <c r="AK165" s="157" t="n"/>
      <c r="AL165" s="157" t="n"/>
      <c r="AM165" s="157" t="n"/>
      <c r="AN165" s="157" t="n"/>
      <c r="AO165" s="157" t="n"/>
      <c r="AP165" s="157" t="n"/>
      <c r="AQ165" s="157" t="n"/>
      <c r="AR165" s="157" t="n"/>
      <c r="AS165" s="157" t="n"/>
      <c r="AT165" s="157" t="n"/>
      <c r="AU165" s="157" t="n"/>
      <c r="AV165" s="157" t="n"/>
      <c r="AW165" s="157" t="n"/>
      <c r="AX165" s="157" t="n"/>
      <c r="AY165" s="157" t="n"/>
      <c r="AZ165" s="157" t="n"/>
      <c r="BA165" s="157" t="n"/>
      <c r="BB165" s="157" t="n"/>
      <c r="BC165" s="157" t="n"/>
      <c r="BD165" s="157" t="n"/>
      <c r="BE165" s="157" t="n"/>
      <c r="BF165" s="157" t="n"/>
      <c r="BG165" s="157" t="n"/>
      <c r="BH165" s="158" t="n"/>
      <c r="BI165" s="159" t="n"/>
      <c r="BJ165" s="23">
        <f>IFERROR(ISNUMBER(E165)*IF(ISNUMBER(D165),--(E165&lt;D165-0.5),1)+ISNUMBER(F165)*IF(ISNUMBER(E165),--(F165&lt;E165-0.5),1)+ISNUMBER(G165)*IF(ISNUMBER(F165),--(G165&lt;F165-0.5),1)+ISNUMBER(H165)*IF(ISNUMBER(G165),--(H165&lt;G165-0.5),1)+ISNUMBER(I165)*IF(ISNUMBER(H165),--(I165&lt;H165-0.5),1)+ISNUMBER(J165)*IF(ISNUMBER(I165),--(J165&lt;I165-0.5),1)+ISNUMBER(K165)*IF(ISNUMBER(J165),--(K165&lt;J165-0.5),1)+IF(AND(ISNUMBER(C165),C165&lt;0),1,0),1)</f>
        <v/>
      </c>
      <c r="BK165" s="23">
        <f>IFERROR(ISNUMBER(M165)*IF(ISNUMBER(L165),--(M165&lt;L165-0.5),1)+ISNUMBER(N165)*IF(ISNUMBER(M165),--(N165&lt;M165-0.5),1)+ISNUMBER(O165)*IF(ISNUMBER(N165),--(O165&lt;N165-0.5),1)+ISNUMBER(P165)*IF(ISNUMBER(O165),--(P165&lt;O165-0.5),1)+ISNUMBER(Q165)*IF(ISNUMBER(P165),--(Q165&lt;P165-0.5),1)+ISNUMBER(R165)*IF(ISNUMBER(Q165),--(R165&lt;Q165-0.5),1)+ISNUMBER(S165)*IF(ISNUMBER(R165),--(S165&lt;R165-0.5),1),1)</f>
        <v/>
      </c>
    </row>
    <row r="166">
      <c r="A166" s="23" t="n">
        <v>28</v>
      </c>
      <c r="B166" s="75" t="n">
        <v>1</v>
      </c>
      <c r="C166" s="157" t="n"/>
      <c r="D166" s="157" t="n"/>
      <c r="E166" s="157" t="n"/>
      <c r="F166" s="157" t="n"/>
      <c r="G166" s="157" t="n"/>
      <c r="H166" s="157" t="n"/>
      <c r="I166" s="157" t="n"/>
      <c r="J166" s="157" t="n"/>
      <c r="K166" s="157" t="n"/>
      <c r="L166" s="157" t="n"/>
      <c r="M166" s="157" t="n"/>
      <c r="N166" s="157" t="n"/>
      <c r="O166" s="157" t="n"/>
      <c r="P166" s="157" t="n"/>
      <c r="Q166" s="157" t="n"/>
      <c r="R166" s="157" t="n"/>
      <c r="S166" s="157" t="n"/>
      <c r="T166" s="157" t="n"/>
      <c r="U166" s="157" t="n"/>
      <c r="V166" s="157" t="n"/>
      <c r="W166" s="157" t="n"/>
      <c r="X166" s="157" t="n"/>
      <c r="Y166" s="157" t="n"/>
      <c r="Z166" s="157" t="n"/>
      <c r="AA166" s="157" t="n"/>
      <c r="AB166" s="157" t="n"/>
      <c r="AC166" s="157" t="n"/>
      <c r="AD166" s="157" t="n"/>
      <c r="AE166" s="157" t="n"/>
      <c r="AF166" s="157" t="n"/>
      <c r="AG166" s="157" t="n"/>
      <c r="AH166" s="157" t="n"/>
      <c r="AI166" s="157" t="n"/>
      <c r="AJ166" s="157" t="n"/>
      <c r="AK166" s="157" t="n"/>
      <c r="AL166" s="157" t="n"/>
      <c r="AM166" s="157" t="n"/>
      <c r="AN166" s="157" t="n"/>
      <c r="AO166" s="157" t="n"/>
      <c r="AP166" s="157" t="n"/>
      <c r="AQ166" s="157" t="n"/>
      <c r="AR166" s="157" t="n"/>
      <c r="AS166" s="157" t="n"/>
      <c r="AT166" s="157" t="n"/>
      <c r="AU166" s="157" t="n"/>
      <c r="AV166" s="157" t="n"/>
      <c r="AW166" s="157" t="n"/>
      <c r="AX166" s="157" t="n"/>
      <c r="AY166" s="157" t="n"/>
      <c r="AZ166" s="157" t="n"/>
      <c r="BA166" s="157" t="n"/>
      <c r="BB166" s="157" t="n"/>
      <c r="BC166" s="157" t="n"/>
      <c r="BD166" s="157" t="n"/>
      <c r="BE166" s="157" t="n"/>
      <c r="BF166" s="157" t="n"/>
      <c r="BG166" s="157" t="n"/>
      <c r="BH166" s="158" t="n"/>
      <c r="BI166" s="159" t="n"/>
      <c r="BJ166" s="23">
        <f>IFERROR(ISNUMBER(E166)*IF(ISNUMBER(D166),--(E166&lt;D166-0.5),1)+ISNUMBER(F166)*IF(ISNUMBER(E166),--(F166&lt;E166-0.5),1)+ISNUMBER(G166)*IF(ISNUMBER(F166),--(G166&lt;F166-0.5),1)+ISNUMBER(H166)*IF(ISNUMBER(G166),--(H166&lt;G166-0.5),1)+ISNUMBER(I166)*IF(ISNUMBER(H166),--(I166&lt;H166-0.5),1)+ISNUMBER(J166)*IF(ISNUMBER(I166),--(J166&lt;I166-0.5),1)+ISNUMBER(K166)*IF(ISNUMBER(J166),--(K166&lt;J166-0.5),1)+IF(AND(ISNUMBER(C166),C166&lt;0),1,0),1)</f>
        <v/>
      </c>
      <c r="BK166" s="23">
        <f>IFERROR(ISNUMBER(M166)*IF(ISNUMBER(L166),--(M166&lt;L166-0.5),1)+ISNUMBER(N166)*IF(ISNUMBER(M166),--(N166&lt;M166-0.5),1)+ISNUMBER(O166)*IF(ISNUMBER(N166),--(O166&lt;N166-0.5),1)+ISNUMBER(P166)*IF(ISNUMBER(O166),--(P166&lt;O166-0.5),1)+ISNUMBER(Q166)*IF(ISNUMBER(P166),--(Q166&lt;P166-0.5),1)+ISNUMBER(R166)*IF(ISNUMBER(Q166),--(R166&lt;Q166-0.5),1)+ISNUMBER(S166)*IF(ISNUMBER(R166),--(S166&lt;R166-0.5),1),1)</f>
        <v/>
      </c>
    </row>
    <row r="167">
      <c r="A167" s="23" t="n">
        <v>29</v>
      </c>
      <c r="B167" s="75" t="n">
        <v>1</v>
      </c>
      <c r="C167" s="157" t="n"/>
      <c r="D167" s="157" t="n"/>
      <c r="E167" s="157" t="n"/>
      <c r="F167" s="157" t="n"/>
      <c r="G167" s="157" t="n"/>
      <c r="H167" s="157" t="n"/>
      <c r="I167" s="157" t="n"/>
      <c r="J167" s="157" t="n"/>
      <c r="K167" s="157" t="n"/>
      <c r="L167" s="157" t="n"/>
      <c r="M167" s="157" t="n"/>
      <c r="N167" s="157" t="n"/>
      <c r="O167" s="157" t="n"/>
      <c r="P167" s="157" t="n"/>
      <c r="Q167" s="157" t="n"/>
      <c r="R167" s="157" t="n"/>
      <c r="S167" s="157" t="n"/>
      <c r="T167" s="157" t="n"/>
      <c r="U167" s="157" t="n"/>
      <c r="V167" s="157" t="n"/>
      <c r="W167" s="157" t="n"/>
      <c r="X167" s="157" t="n"/>
      <c r="Y167" s="157" t="n"/>
      <c r="Z167" s="157" t="n"/>
      <c r="AA167" s="157" t="n"/>
      <c r="AB167" s="157" t="n"/>
      <c r="AC167" s="157" t="n"/>
      <c r="AD167" s="157" t="n"/>
      <c r="AE167" s="157" t="n"/>
      <c r="AF167" s="157" t="n"/>
      <c r="AG167" s="157" t="n"/>
      <c r="AH167" s="157" t="n"/>
      <c r="AI167" s="157" t="n"/>
      <c r="AJ167" s="157" t="n"/>
      <c r="AK167" s="157" t="n"/>
      <c r="AL167" s="157" t="n"/>
      <c r="AM167" s="157" t="n"/>
      <c r="AN167" s="157" t="n"/>
      <c r="AO167" s="157" t="n"/>
      <c r="AP167" s="157" t="n"/>
      <c r="AQ167" s="157" t="n"/>
      <c r="AR167" s="157" t="n"/>
      <c r="AS167" s="157" t="n"/>
      <c r="AT167" s="157" t="n"/>
      <c r="AU167" s="157" t="n"/>
      <c r="AV167" s="157" t="n"/>
      <c r="AW167" s="157" t="n"/>
      <c r="AX167" s="157" t="n"/>
      <c r="AY167" s="157" t="n"/>
      <c r="AZ167" s="157" t="n"/>
      <c r="BA167" s="157" t="n"/>
      <c r="BB167" s="157" t="n"/>
      <c r="BC167" s="157" t="n"/>
      <c r="BD167" s="157" t="n"/>
      <c r="BE167" s="157" t="n"/>
      <c r="BF167" s="157" t="n"/>
      <c r="BG167" s="157" t="n"/>
      <c r="BH167" s="158" t="n"/>
      <c r="BI167" s="159" t="n"/>
      <c r="BJ167" s="23">
        <f>IFERROR(ISNUMBER(E167)*IF(ISNUMBER(D167),--(E167&lt;D167-0.5),1)+ISNUMBER(F167)*IF(ISNUMBER(E167),--(F167&lt;E167-0.5),1)+ISNUMBER(G167)*IF(ISNUMBER(F167),--(G167&lt;F167-0.5),1)+ISNUMBER(H167)*IF(ISNUMBER(G167),--(H167&lt;G167-0.5),1)+ISNUMBER(I167)*IF(ISNUMBER(H167),--(I167&lt;H167-0.5),1)+ISNUMBER(J167)*IF(ISNUMBER(I167),--(J167&lt;I167-0.5),1)+ISNUMBER(K167)*IF(ISNUMBER(J167),--(K167&lt;J167-0.5),1)+IF(AND(ISNUMBER(C167),C167&lt;0),1,0),1)</f>
        <v/>
      </c>
      <c r="BK167" s="23">
        <f>IFERROR(ISNUMBER(M167)*IF(ISNUMBER(L167),--(M167&lt;L167-0.5),1)+ISNUMBER(N167)*IF(ISNUMBER(M167),--(N167&lt;M167-0.5),1)+ISNUMBER(O167)*IF(ISNUMBER(N167),--(O167&lt;N167-0.5),1)+ISNUMBER(P167)*IF(ISNUMBER(O167),--(P167&lt;O167-0.5),1)+ISNUMBER(Q167)*IF(ISNUMBER(P167),--(Q167&lt;P167-0.5),1)+ISNUMBER(R167)*IF(ISNUMBER(Q167),--(R167&lt;Q167-0.5),1)+ISNUMBER(S167)*IF(ISNUMBER(R167),--(S167&lt;R167-0.5),1),1)</f>
        <v/>
      </c>
    </row>
    <row r="168">
      <c r="A168" s="23" t="n">
        <v>30</v>
      </c>
      <c r="B168" s="75" t="n">
        <v>1</v>
      </c>
      <c r="C168" s="157" t="n"/>
      <c r="D168" s="157" t="n"/>
      <c r="E168" s="157" t="n"/>
      <c r="F168" s="157" t="n"/>
      <c r="G168" s="157" t="n"/>
      <c r="H168" s="157" t="n"/>
      <c r="I168" s="157" t="n"/>
      <c r="J168" s="157" t="n"/>
      <c r="K168" s="157" t="n"/>
      <c r="L168" s="157" t="n"/>
      <c r="M168" s="157" t="n"/>
      <c r="N168" s="157" t="n"/>
      <c r="O168" s="157" t="n"/>
      <c r="P168" s="157" t="n"/>
      <c r="Q168" s="157" t="n"/>
      <c r="R168" s="157" t="n"/>
      <c r="S168" s="157" t="n"/>
      <c r="T168" s="157" t="n"/>
      <c r="U168" s="157" t="n"/>
      <c r="V168" s="157" t="n"/>
      <c r="W168" s="157" t="n"/>
      <c r="X168" s="157" t="n"/>
      <c r="Y168" s="157" t="n"/>
      <c r="Z168" s="157" t="n"/>
      <c r="AA168" s="157" t="n"/>
      <c r="AB168" s="157" t="n"/>
      <c r="AC168" s="157" t="n"/>
      <c r="AD168" s="157" t="n"/>
      <c r="AE168" s="157" t="n"/>
      <c r="AF168" s="157" t="n"/>
      <c r="AG168" s="157" t="n"/>
      <c r="AH168" s="157" t="n"/>
      <c r="AI168" s="157" t="n"/>
      <c r="AJ168" s="157" t="n"/>
      <c r="AK168" s="157" t="n"/>
      <c r="AL168" s="157" t="n"/>
      <c r="AM168" s="157" t="n"/>
      <c r="AN168" s="157" t="n"/>
      <c r="AO168" s="157" t="n"/>
      <c r="AP168" s="157" t="n"/>
      <c r="AQ168" s="157" t="n"/>
      <c r="AR168" s="157" t="n"/>
      <c r="AS168" s="157" t="n"/>
      <c r="AT168" s="157" t="n"/>
      <c r="AU168" s="157" t="n"/>
      <c r="AV168" s="157" t="n"/>
      <c r="AW168" s="157" t="n"/>
      <c r="AX168" s="157" t="n"/>
      <c r="AY168" s="157" t="n"/>
      <c r="AZ168" s="157" t="n"/>
      <c r="BA168" s="157" t="n"/>
      <c r="BB168" s="157" t="n"/>
      <c r="BC168" s="157" t="n"/>
      <c r="BD168" s="157" t="n"/>
      <c r="BE168" s="157" t="n"/>
      <c r="BF168" s="157" t="n"/>
      <c r="BG168" s="157" t="n"/>
      <c r="BH168" s="158" t="n"/>
      <c r="BI168" s="159" t="n"/>
      <c r="BJ168" s="23">
        <f>IFERROR(ISNUMBER(E168)*IF(ISNUMBER(D168),--(E168&lt;D168-0.5),1)+ISNUMBER(F168)*IF(ISNUMBER(E168),--(F168&lt;E168-0.5),1)+ISNUMBER(G168)*IF(ISNUMBER(F168),--(G168&lt;F168-0.5),1)+ISNUMBER(H168)*IF(ISNUMBER(G168),--(H168&lt;G168-0.5),1)+ISNUMBER(I168)*IF(ISNUMBER(H168),--(I168&lt;H168-0.5),1)+ISNUMBER(J168)*IF(ISNUMBER(I168),--(J168&lt;I168-0.5),1)+ISNUMBER(K168)*IF(ISNUMBER(J168),--(K168&lt;J168-0.5),1)+IF(AND(ISNUMBER(C168),C168&lt;0),1,0),1)</f>
        <v/>
      </c>
      <c r="BK168" s="23">
        <f>IFERROR(ISNUMBER(M168)*IF(ISNUMBER(L168),--(M168&lt;L168-0.5),1)+ISNUMBER(N168)*IF(ISNUMBER(M168),--(N168&lt;M168-0.5),1)+ISNUMBER(O168)*IF(ISNUMBER(N168),--(O168&lt;N168-0.5),1)+ISNUMBER(P168)*IF(ISNUMBER(O168),--(P168&lt;O168-0.5),1)+ISNUMBER(Q168)*IF(ISNUMBER(P168),--(Q168&lt;P168-0.5),1)+ISNUMBER(R168)*IF(ISNUMBER(Q168),--(R168&lt;Q168-0.5),1)+ISNUMBER(S168)*IF(ISNUMBER(R168),--(S168&lt;R168-0.5),1),1)</f>
        <v/>
      </c>
    </row>
    <row r="169">
      <c r="A169" s="23" t="n">
        <v>31</v>
      </c>
      <c r="B169" s="75" t="n">
        <v>1</v>
      </c>
      <c r="C169" s="157" t="n"/>
      <c r="D169" s="157" t="n"/>
      <c r="E169" s="157" t="n"/>
      <c r="F169" s="157" t="n"/>
      <c r="G169" s="157" t="n"/>
      <c r="H169" s="157" t="n"/>
      <c r="I169" s="157" t="n"/>
      <c r="J169" s="157" t="n"/>
      <c r="K169" s="157" t="n"/>
      <c r="L169" s="157" t="n"/>
      <c r="M169" s="157" t="n"/>
      <c r="N169" s="157" t="n"/>
      <c r="O169" s="157" t="n"/>
      <c r="P169" s="157" t="n"/>
      <c r="Q169" s="157" t="n"/>
      <c r="R169" s="157" t="n"/>
      <c r="S169" s="157" t="n"/>
      <c r="T169" s="157" t="n"/>
      <c r="U169" s="157" t="n"/>
      <c r="V169" s="157" t="n"/>
      <c r="W169" s="157" t="n"/>
      <c r="X169" s="157" t="n"/>
      <c r="Y169" s="157" t="n"/>
      <c r="Z169" s="157" t="n"/>
      <c r="AA169" s="157" t="n"/>
      <c r="AB169" s="157" t="n"/>
      <c r="AC169" s="157" t="n"/>
      <c r="AD169" s="157" t="n"/>
      <c r="AE169" s="157" t="n"/>
      <c r="AF169" s="157" t="n"/>
      <c r="AG169" s="157" t="n"/>
      <c r="AH169" s="157" t="n"/>
      <c r="AI169" s="157" t="n"/>
      <c r="AJ169" s="157" t="n"/>
      <c r="AK169" s="157" t="n"/>
      <c r="AL169" s="157" t="n"/>
      <c r="AM169" s="157" t="n"/>
      <c r="AN169" s="157" t="n"/>
      <c r="AO169" s="157" t="n"/>
      <c r="AP169" s="157" t="n"/>
      <c r="AQ169" s="157" t="n"/>
      <c r="AR169" s="157" t="n"/>
      <c r="AS169" s="157" t="n"/>
      <c r="AT169" s="157" t="n"/>
      <c r="AU169" s="157" t="n"/>
      <c r="AV169" s="157" t="n"/>
      <c r="AW169" s="157" t="n"/>
      <c r="AX169" s="157" t="n"/>
      <c r="AY169" s="157" t="n"/>
      <c r="AZ169" s="157" t="n"/>
      <c r="BA169" s="157" t="n"/>
      <c r="BB169" s="157" t="n"/>
      <c r="BC169" s="157" t="n"/>
      <c r="BD169" s="157" t="n"/>
      <c r="BE169" s="157" t="n"/>
      <c r="BF169" s="157" t="n"/>
      <c r="BG169" s="157" t="n"/>
      <c r="BH169" s="158" t="n"/>
      <c r="BI169" s="159" t="n"/>
      <c r="BJ169" s="23">
        <f>IFERROR(ISNUMBER(E169)*IF(ISNUMBER(D169),--(E169&lt;D169-0.5),1)+ISNUMBER(F169)*IF(ISNUMBER(E169),--(F169&lt;E169-0.5),1)+ISNUMBER(G169)*IF(ISNUMBER(F169),--(G169&lt;F169-0.5),1)+ISNUMBER(H169)*IF(ISNUMBER(G169),--(H169&lt;G169-0.5),1)+ISNUMBER(I169)*IF(ISNUMBER(H169),--(I169&lt;H169-0.5),1)+ISNUMBER(J169)*IF(ISNUMBER(I169),--(J169&lt;I169-0.5),1)+ISNUMBER(K169)*IF(ISNUMBER(J169),--(K169&lt;J169-0.5),1)+IF(AND(ISNUMBER(C169),C169&lt;0),1,0),1)</f>
        <v/>
      </c>
      <c r="BK169" s="23">
        <f>IFERROR(ISNUMBER(M169)*IF(ISNUMBER(L169),--(M169&lt;L169-0.5),1)+ISNUMBER(N169)*IF(ISNUMBER(M169),--(N169&lt;M169-0.5),1)+ISNUMBER(O169)*IF(ISNUMBER(N169),--(O169&lt;N169-0.5),1)+ISNUMBER(P169)*IF(ISNUMBER(O169),--(P169&lt;O169-0.5),1)+ISNUMBER(Q169)*IF(ISNUMBER(P169),--(Q169&lt;P169-0.5),1)+ISNUMBER(R169)*IF(ISNUMBER(Q169),--(R169&lt;Q169-0.5),1)+ISNUMBER(S169)*IF(ISNUMBER(R169),--(S169&lt;R169-0.5),1),1)</f>
        <v/>
      </c>
    </row>
    <row r="170">
      <c r="A170" s="23" t="n">
        <v>32</v>
      </c>
      <c r="B170" s="75" t="n">
        <v>1</v>
      </c>
      <c r="C170" s="157" t="n"/>
      <c r="D170" s="157" t="n"/>
      <c r="E170" s="157" t="n"/>
      <c r="F170" s="157" t="n"/>
      <c r="G170" s="157" t="n"/>
      <c r="H170" s="157" t="n"/>
      <c r="I170" s="157" t="n"/>
      <c r="J170" s="157" t="n"/>
      <c r="K170" s="157" t="n"/>
      <c r="L170" s="157" t="n"/>
      <c r="M170" s="157" t="n"/>
      <c r="N170" s="157" t="n"/>
      <c r="O170" s="157" t="n"/>
      <c r="P170" s="157" t="n"/>
      <c r="Q170" s="157" t="n"/>
      <c r="R170" s="157" t="n"/>
      <c r="S170" s="157" t="n"/>
      <c r="T170" s="157" t="n"/>
      <c r="U170" s="157" t="n"/>
      <c r="V170" s="157" t="n"/>
      <c r="W170" s="157" t="n"/>
      <c r="X170" s="157" t="n"/>
      <c r="Y170" s="157" t="n"/>
      <c r="Z170" s="157" t="n"/>
      <c r="AA170" s="157" t="n"/>
      <c r="AB170" s="157" t="n"/>
      <c r="AC170" s="157" t="n"/>
      <c r="AD170" s="157" t="n"/>
      <c r="AE170" s="157" t="n"/>
      <c r="AF170" s="157" t="n"/>
      <c r="AG170" s="157" t="n"/>
      <c r="AH170" s="157" t="n"/>
      <c r="AI170" s="157" t="n"/>
      <c r="AJ170" s="157" t="n"/>
      <c r="AK170" s="157" t="n"/>
      <c r="AL170" s="157" t="n"/>
      <c r="AM170" s="157" t="n"/>
      <c r="AN170" s="157" t="n"/>
      <c r="AO170" s="157" t="n"/>
      <c r="AP170" s="157" t="n"/>
      <c r="AQ170" s="157" t="n"/>
      <c r="AR170" s="157" t="n"/>
      <c r="AS170" s="157" t="n"/>
      <c r="AT170" s="157" t="n"/>
      <c r="AU170" s="157" t="n"/>
      <c r="AV170" s="157" t="n"/>
      <c r="AW170" s="157" t="n"/>
      <c r="AX170" s="157" t="n"/>
      <c r="AY170" s="157" t="n"/>
      <c r="AZ170" s="157" t="n"/>
      <c r="BA170" s="157" t="n"/>
      <c r="BB170" s="157" t="n"/>
      <c r="BC170" s="157" t="n"/>
      <c r="BD170" s="157" t="n"/>
      <c r="BE170" s="157" t="n"/>
      <c r="BF170" s="157" t="n"/>
      <c r="BG170" s="157" t="n"/>
      <c r="BH170" s="158" t="n"/>
      <c r="BI170" s="159" t="n"/>
      <c r="BJ170" s="23">
        <f>IFERROR(ISNUMBER(E170)*IF(ISNUMBER(D170),--(E170&lt;D170-0.5),1)+ISNUMBER(F170)*IF(ISNUMBER(E170),--(F170&lt;E170-0.5),1)+ISNUMBER(G170)*IF(ISNUMBER(F170),--(G170&lt;F170-0.5),1)+ISNUMBER(H170)*IF(ISNUMBER(G170),--(H170&lt;G170-0.5),1)+ISNUMBER(I170)*IF(ISNUMBER(H170),--(I170&lt;H170-0.5),1)+ISNUMBER(J170)*IF(ISNUMBER(I170),--(J170&lt;I170-0.5),1)+ISNUMBER(K170)*IF(ISNUMBER(J170),--(K170&lt;J170-0.5),1)+IF(AND(ISNUMBER(C170),C170&lt;0),1,0),1)</f>
        <v/>
      </c>
      <c r="BK170" s="23">
        <f>IFERROR(ISNUMBER(M170)*IF(ISNUMBER(L170),--(M170&lt;L170-0.5),1)+ISNUMBER(N170)*IF(ISNUMBER(M170),--(N170&lt;M170-0.5),1)+ISNUMBER(O170)*IF(ISNUMBER(N170),--(O170&lt;N170-0.5),1)+ISNUMBER(P170)*IF(ISNUMBER(O170),--(P170&lt;O170-0.5),1)+ISNUMBER(Q170)*IF(ISNUMBER(P170),--(Q170&lt;P170-0.5),1)+ISNUMBER(R170)*IF(ISNUMBER(Q170),--(R170&lt;Q170-0.5),1)+ISNUMBER(S170)*IF(ISNUMBER(R170),--(S170&lt;R170-0.5),1),1)</f>
        <v/>
      </c>
    </row>
    <row r="171">
      <c r="A171" s="23" t="n">
        <v>33</v>
      </c>
      <c r="B171" s="75" t="n">
        <v>1</v>
      </c>
      <c r="C171" s="157" t="n"/>
      <c r="D171" s="157" t="n"/>
      <c r="E171" s="157" t="n"/>
      <c r="F171" s="157" t="n"/>
      <c r="G171" s="157" t="n"/>
      <c r="H171" s="157" t="n"/>
      <c r="I171" s="157" t="n"/>
      <c r="J171" s="157" t="n"/>
      <c r="K171" s="157" t="n"/>
      <c r="L171" s="157" t="n"/>
      <c r="M171" s="157" t="n"/>
      <c r="N171" s="157" t="n"/>
      <c r="O171" s="157" t="n"/>
      <c r="P171" s="157" t="n"/>
      <c r="Q171" s="157" t="n"/>
      <c r="R171" s="157" t="n"/>
      <c r="S171" s="157" t="n"/>
      <c r="T171" s="157" t="n"/>
      <c r="U171" s="157" t="n"/>
      <c r="V171" s="157" t="n"/>
      <c r="W171" s="157" t="n"/>
      <c r="X171" s="157" t="n"/>
      <c r="Y171" s="157" t="n"/>
      <c r="Z171" s="157" t="n"/>
      <c r="AA171" s="157" t="n"/>
      <c r="AB171" s="157" t="n"/>
      <c r="AC171" s="157" t="n"/>
      <c r="AD171" s="157" t="n"/>
      <c r="AE171" s="157" t="n"/>
      <c r="AF171" s="157" t="n"/>
      <c r="AG171" s="157" t="n"/>
      <c r="AH171" s="157" t="n"/>
      <c r="AI171" s="157" t="n"/>
      <c r="AJ171" s="157" t="n"/>
      <c r="AK171" s="157" t="n"/>
      <c r="AL171" s="157" t="n"/>
      <c r="AM171" s="157" t="n"/>
      <c r="AN171" s="157" t="n"/>
      <c r="AO171" s="157" t="n"/>
      <c r="AP171" s="157" t="n"/>
      <c r="AQ171" s="157" t="n"/>
      <c r="AR171" s="157" t="n"/>
      <c r="AS171" s="157" t="n"/>
      <c r="AT171" s="157" t="n"/>
      <c r="AU171" s="157" t="n"/>
      <c r="AV171" s="157" t="n"/>
      <c r="AW171" s="157" t="n"/>
      <c r="AX171" s="157" t="n"/>
      <c r="AY171" s="157" t="n"/>
      <c r="AZ171" s="157" t="n"/>
      <c r="BA171" s="157" t="n"/>
      <c r="BB171" s="157" t="n"/>
      <c r="BC171" s="157" t="n"/>
      <c r="BD171" s="157" t="n"/>
      <c r="BE171" s="157" t="n"/>
      <c r="BF171" s="157" t="n"/>
      <c r="BG171" s="157" t="n"/>
      <c r="BH171" s="158" t="n"/>
      <c r="BI171" s="159" t="n"/>
      <c r="BJ171" s="23">
        <f>IFERROR(ISNUMBER(E171)*IF(ISNUMBER(D171),--(E171&lt;D171-0.5),1)+ISNUMBER(F171)*IF(ISNUMBER(E171),--(F171&lt;E171-0.5),1)+ISNUMBER(G171)*IF(ISNUMBER(F171),--(G171&lt;F171-0.5),1)+ISNUMBER(H171)*IF(ISNUMBER(G171),--(H171&lt;G171-0.5),1)+ISNUMBER(I171)*IF(ISNUMBER(H171),--(I171&lt;H171-0.5),1)+ISNUMBER(J171)*IF(ISNUMBER(I171),--(J171&lt;I171-0.5),1)+ISNUMBER(K171)*IF(ISNUMBER(J171),--(K171&lt;J171-0.5),1)+IF(AND(ISNUMBER(C171),C171&lt;0),1,0),1)</f>
        <v/>
      </c>
      <c r="BK171" s="23">
        <f>IFERROR(ISNUMBER(M171)*IF(ISNUMBER(L171),--(M171&lt;L171-0.5),1)+ISNUMBER(N171)*IF(ISNUMBER(M171),--(N171&lt;M171-0.5),1)+ISNUMBER(O171)*IF(ISNUMBER(N171),--(O171&lt;N171-0.5),1)+ISNUMBER(P171)*IF(ISNUMBER(O171),--(P171&lt;O171-0.5),1)+ISNUMBER(Q171)*IF(ISNUMBER(P171),--(Q171&lt;P171-0.5),1)+ISNUMBER(R171)*IF(ISNUMBER(Q171),--(R171&lt;Q171-0.5),1)+ISNUMBER(S171)*IF(ISNUMBER(R171),--(S171&lt;R171-0.5),1),1)</f>
        <v/>
      </c>
    </row>
    <row r="172">
      <c r="A172" s="23" t="n">
        <v>34</v>
      </c>
      <c r="B172" s="75" t="n">
        <v>1</v>
      </c>
      <c r="C172" s="157" t="n"/>
      <c r="D172" s="157" t="n"/>
      <c r="E172" s="157" t="n"/>
      <c r="F172" s="157" t="n"/>
      <c r="G172" s="157" t="n"/>
      <c r="H172" s="157" t="n"/>
      <c r="I172" s="157" t="n"/>
      <c r="J172" s="157" t="n"/>
      <c r="K172" s="157" t="n"/>
      <c r="L172" s="157" t="n"/>
      <c r="M172" s="157" t="n"/>
      <c r="N172" s="157" t="n"/>
      <c r="O172" s="157" t="n"/>
      <c r="P172" s="157" t="n"/>
      <c r="Q172" s="157" t="n"/>
      <c r="R172" s="157" t="n"/>
      <c r="S172" s="157" t="n"/>
      <c r="T172" s="157" t="n"/>
      <c r="U172" s="157" t="n"/>
      <c r="V172" s="157" t="n"/>
      <c r="W172" s="157" t="n"/>
      <c r="X172" s="157" t="n"/>
      <c r="Y172" s="157" t="n"/>
      <c r="Z172" s="157" t="n"/>
      <c r="AA172" s="157" t="n"/>
      <c r="AB172" s="157" t="n"/>
      <c r="AC172" s="157" t="n"/>
      <c r="AD172" s="157" t="n"/>
      <c r="AE172" s="157" t="n"/>
      <c r="AF172" s="157" t="n"/>
      <c r="AG172" s="157" t="n"/>
      <c r="AH172" s="157" t="n"/>
      <c r="AI172" s="157" t="n"/>
      <c r="AJ172" s="157" t="n"/>
      <c r="AK172" s="157" t="n"/>
      <c r="AL172" s="157" t="n"/>
      <c r="AM172" s="157" t="n"/>
      <c r="AN172" s="157" t="n"/>
      <c r="AO172" s="157" t="n"/>
      <c r="AP172" s="157" t="n"/>
      <c r="AQ172" s="157" t="n"/>
      <c r="AR172" s="157" t="n"/>
      <c r="AS172" s="157" t="n"/>
      <c r="AT172" s="157" t="n"/>
      <c r="AU172" s="157" t="n"/>
      <c r="AV172" s="157" t="n"/>
      <c r="AW172" s="157" t="n"/>
      <c r="AX172" s="157" t="n"/>
      <c r="AY172" s="157" t="n"/>
      <c r="AZ172" s="157" t="n"/>
      <c r="BA172" s="157" t="n"/>
      <c r="BB172" s="157" t="n"/>
      <c r="BC172" s="157" t="n"/>
      <c r="BD172" s="157" t="n"/>
      <c r="BE172" s="157" t="n"/>
      <c r="BF172" s="157" t="n"/>
      <c r="BG172" s="157" t="n"/>
      <c r="BH172" s="158" t="n"/>
      <c r="BI172" s="159" t="n"/>
      <c r="BJ172" s="23">
        <f>IFERROR(ISNUMBER(E172)*IF(ISNUMBER(D172),--(E172&lt;D172-0.5),1)+ISNUMBER(F172)*IF(ISNUMBER(E172),--(F172&lt;E172-0.5),1)+ISNUMBER(G172)*IF(ISNUMBER(F172),--(G172&lt;F172-0.5),1)+ISNUMBER(H172)*IF(ISNUMBER(G172),--(H172&lt;G172-0.5),1)+ISNUMBER(I172)*IF(ISNUMBER(H172),--(I172&lt;H172-0.5),1)+ISNUMBER(J172)*IF(ISNUMBER(I172),--(J172&lt;I172-0.5),1)+ISNUMBER(K172)*IF(ISNUMBER(J172),--(K172&lt;J172-0.5),1)+IF(AND(ISNUMBER(C172),C172&lt;0),1,0),1)</f>
        <v/>
      </c>
      <c r="BK172" s="23">
        <f>IFERROR(ISNUMBER(M172)*IF(ISNUMBER(L172),--(M172&lt;L172-0.5),1)+ISNUMBER(N172)*IF(ISNUMBER(M172),--(N172&lt;M172-0.5),1)+ISNUMBER(O172)*IF(ISNUMBER(N172),--(O172&lt;N172-0.5),1)+ISNUMBER(P172)*IF(ISNUMBER(O172),--(P172&lt;O172-0.5),1)+ISNUMBER(Q172)*IF(ISNUMBER(P172),--(Q172&lt;P172-0.5),1)+ISNUMBER(R172)*IF(ISNUMBER(Q172),--(R172&lt;Q172-0.5),1)+ISNUMBER(S172)*IF(ISNUMBER(R172),--(S172&lt;R172-0.5),1),1)</f>
        <v/>
      </c>
    </row>
    <row r="173">
      <c r="A173" s="23" t="n">
        <v>35</v>
      </c>
      <c r="B173" s="75" t="n">
        <v>1</v>
      </c>
      <c r="C173" s="157" t="n"/>
      <c r="D173" s="157" t="n"/>
      <c r="E173" s="157" t="n"/>
      <c r="F173" s="157" t="n"/>
      <c r="G173" s="157" t="n"/>
      <c r="H173" s="157" t="n"/>
      <c r="I173" s="157" t="n"/>
      <c r="J173" s="157" t="n"/>
      <c r="K173" s="157" t="n"/>
      <c r="L173" s="157" t="n"/>
      <c r="M173" s="157" t="n"/>
      <c r="N173" s="157" t="n"/>
      <c r="O173" s="157" t="n"/>
      <c r="P173" s="157" t="n"/>
      <c r="Q173" s="157" t="n"/>
      <c r="R173" s="157" t="n"/>
      <c r="S173" s="157" t="n"/>
      <c r="T173" s="157" t="n"/>
      <c r="U173" s="157" t="n"/>
      <c r="V173" s="157" t="n"/>
      <c r="W173" s="157" t="n"/>
      <c r="X173" s="157" t="n"/>
      <c r="Y173" s="157" t="n"/>
      <c r="Z173" s="157" t="n"/>
      <c r="AA173" s="157" t="n"/>
      <c r="AB173" s="157" t="n"/>
      <c r="AC173" s="157" t="n"/>
      <c r="AD173" s="157" t="n"/>
      <c r="AE173" s="157" t="n"/>
      <c r="AF173" s="157" t="n"/>
      <c r="AG173" s="157" t="n"/>
      <c r="AH173" s="157" t="n"/>
      <c r="AI173" s="157" t="n"/>
      <c r="AJ173" s="157" t="n"/>
      <c r="AK173" s="157" t="n"/>
      <c r="AL173" s="157" t="n"/>
      <c r="AM173" s="157" t="n"/>
      <c r="AN173" s="157" t="n"/>
      <c r="AO173" s="157" t="n"/>
      <c r="AP173" s="157" t="n"/>
      <c r="AQ173" s="157" t="n"/>
      <c r="AR173" s="157" t="n"/>
      <c r="AS173" s="157" t="n"/>
      <c r="AT173" s="157" t="n"/>
      <c r="AU173" s="157" t="n"/>
      <c r="AV173" s="157" t="n"/>
      <c r="AW173" s="157" t="n"/>
      <c r="AX173" s="157" t="n"/>
      <c r="AY173" s="157" t="n"/>
      <c r="AZ173" s="157" t="n"/>
      <c r="BA173" s="157" t="n"/>
      <c r="BB173" s="157" t="n"/>
      <c r="BC173" s="157" t="n"/>
      <c r="BD173" s="157" t="n"/>
      <c r="BE173" s="157" t="n"/>
      <c r="BF173" s="157" t="n"/>
      <c r="BG173" s="157" t="n"/>
      <c r="BH173" s="158" t="n"/>
      <c r="BI173" s="159" t="n"/>
      <c r="BJ173" s="23">
        <f>IFERROR(ISNUMBER(E173)*IF(ISNUMBER(D173),--(E173&lt;D173-0.5),1)+ISNUMBER(F173)*IF(ISNUMBER(E173),--(F173&lt;E173-0.5),1)+ISNUMBER(G173)*IF(ISNUMBER(F173),--(G173&lt;F173-0.5),1)+ISNUMBER(H173)*IF(ISNUMBER(G173),--(H173&lt;G173-0.5),1)+ISNUMBER(I173)*IF(ISNUMBER(H173),--(I173&lt;H173-0.5),1)+ISNUMBER(J173)*IF(ISNUMBER(I173),--(J173&lt;I173-0.5),1)+ISNUMBER(K173)*IF(ISNUMBER(J173),--(K173&lt;J173-0.5),1)+IF(AND(ISNUMBER(C173),C173&lt;0),1,0),1)</f>
        <v/>
      </c>
      <c r="BK173" s="23">
        <f>IFERROR(ISNUMBER(M173)*IF(ISNUMBER(L173),--(M173&lt;L173-0.5),1)+ISNUMBER(N173)*IF(ISNUMBER(M173),--(N173&lt;M173-0.5),1)+ISNUMBER(O173)*IF(ISNUMBER(N173),--(O173&lt;N173-0.5),1)+ISNUMBER(P173)*IF(ISNUMBER(O173),--(P173&lt;O173-0.5),1)+ISNUMBER(Q173)*IF(ISNUMBER(P173),--(Q173&lt;P173-0.5),1)+ISNUMBER(R173)*IF(ISNUMBER(Q173),--(R173&lt;Q173-0.5),1)+ISNUMBER(S173)*IF(ISNUMBER(R173),--(S173&lt;R173-0.5),1),1)</f>
        <v/>
      </c>
    </row>
    <row r="174">
      <c r="A174" s="23" t="n">
        <v>36</v>
      </c>
      <c r="B174" s="75" t="n">
        <v>1</v>
      </c>
      <c r="C174" s="157" t="n"/>
      <c r="D174" s="157" t="n"/>
      <c r="E174" s="157" t="n"/>
      <c r="F174" s="157" t="n"/>
      <c r="G174" s="157" t="n"/>
      <c r="H174" s="157" t="n"/>
      <c r="I174" s="157" t="n"/>
      <c r="J174" s="157" t="n"/>
      <c r="K174" s="157" t="n"/>
      <c r="L174" s="157" t="n"/>
      <c r="M174" s="157" t="n"/>
      <c r="N174" s="157" t="n"/>
      <c r="O174" s="157" t="n"/>
      <c r="P174" s="157" t="n"/>
      <c r="Q174" s="157" t="n"/>
      <c r="R174" s="157" t="n"/>
      <c r="S174" s="157" t="n"/>
      <c r="T174" s="157" t="n"/>
      <c r="U174" s="157" t="n"/>
      <c r="V174" s="157" t="n"/>
      <c r="W174" s="157" t="n"/>
      <c r="X174" s="157" t="n"/>
      <c r="Y174" s="157" t="n"/>
      <c r="Z174" s="157" t="n"/>
      <c r="AA174" s="157" t="n"/>
      <c r="AB174" s="157" t="n"/>
      <c r="AC174" s="157" t="n"/>
      <c r="AD174" s="157" t="n"/>
      <c r="AE174" s="157" t="n"/>
      <c r="AF174" s="157" t="n"/>
      <c r="AG174" s="157" t="n"/>
      <c r="AH174" s="157" t="n"/>
      <c r="AI174" s="157" t="n"/>
      <c r="AJ174" s="157" t="n"/>
      <c r="AK174" s="157" t="n"/>
      <c r="AL174" s="157" t="n"/>
      <c r="AM174" s="157" t="n"/>
      <c r="AN174" s="157" t="n"/>
      <c r="AO174" s="157" t="n"/>
      <c r="AP174" s="157" t="n"/>
      <c r="AQ174" s="157" t="n"/>
      <c r="AR174" s="157" t="n"/>
      <c r="AS174" s="157" t="n"/>
      <c r="AT174" s="157" t="n"/>
      <c r="AU174" s="157" t="n"/>
      <c r="AV174" s="157" t="n"/>
      <c r="AW174" s="157" t="n"/>
      <c r="AX174" s="157" t="n"/>
      <c r="AY174" s="157" t="n"/>
      <c r="AZ174" s="157" t="n"/>
      <c r="BA174" s="157" t="n"/>
      <c r="BB174" s="157" t="n"/>
      <c r="BC174" s="157" t="n"/>
      <c r="BD174" s="157" t="n"/>
      <c r="BE174" s="157" t="n"/>
      <c r="BF174" s="157" t="n"/>
      <c r="BG174" s="157" t="n"/>
      <c r="BH174" s="158" t="n"/>
      <c r="BI174" s="159" t="n"/>
      <c r="BJ174" s="23">
        <f>IFERROR(ISNUMBER(E174)*IF(ISNUMBER(D174),--(E174&lt;D174-0.5),1)+ISNUMBER(F174)*IF(ISNUMBER(E174),--(F174&lt;E174-0.5),1)+ISNUMBER(G174)*IF(ISNUMBER(F174),--(G174&lt;F174-0.5),1)+ISNUMBER(H174)*IF(ISNUMBER(G174),--(H174&lt;G174-0.5),1)+ISNUMBER(I174)*IF(ISNUMBER(H174),--(I174&lt;H174-0.5),1)+ISNUMBER(J174)*IF(ISNUMBER(I174),--(J174&lt;I174-0.5),1)+ISNUMBER(K174)*IF(ISNUMBER(J174),--(K174&lt;J174-0.5),1)+IF(AND(ISNUMBER(C174),C174&lt;0),1,0),1)</f>
        <v/>
      </c>
      <c r="BK174" s="23">
        <f>IFERROR(ISNUMBER(M174)*IF(ISNUMBER(L174),--(M174&lt;L174-0.5),1)+ISNUMBER(N174)*IF(ISNUMBER(M174),--(N174&lt;M174-0.5),1)+ISNUMBER(O174)*IF(ISNUMBER(N174),--(O174&lt;N174-0.5),1)+ISNUMBER(P174)*IF(ISNUMBER(O174),--(P174&lt;O174-0.5),1)+ISNUMBER(Q174)*IF(ISNUMBER(P174),--(Q174&lt;P174-0.5),1)+ISNUMBER(R174)*IF(ISNUMBER(Q174),--(R174&lt;Q174-0.5),1)+ISNUMBER(S174)*IF(ISNUMBER(R174),--(S174&lt;R174-0.5),1),1)</f>
        <v/>
      </c>
    </row>
    <row r="175">
      <c r="A175" s="23" t="n">
        <v>37</v>
      </c>
      <c r="B175" s="75" t="n">
        <v>1</v>
      </c>
      <c r="C175" s="157" t="n"/>
      <c r="D175" s="157" t="n"/>
      <c r="E175" s="157" t="n"/>
      <c r="F175" s="157" t="n"/>
      <c r="G175" s="157" t="n"/>
      <c r="H175" s="157" t="n"/>
      <c r="I175" s="157" t="n"/>
      <c r="J175" s="157" t="n"/>
      <c r="K175" s="157" t="n"/>
      <c r="L175" s="157" t="n"/>
      <c r="M175" s="157" t="n"/>
      <c r="N175" s="157" t="n"/>
      <c r="O175" s="157" t="n"/>
      <c r="P175" s="157" t="n"/>
      <c r="Q175" s="157" t="n"/>
      <c r="R175" s="157" t="n"/>
      <c r="S175" s="157" t="n"/>
      <c r="T175" s="157" t="n"/>
      <c r="U175" s="157" t="n"/>
      <c r="V175" s="157" t="n"/>
      <c r="W175" s="157" t="n"/>
      <c r="X175" s="157" t="n"/>
      <c r="Y175" s="157" t="n"/>
      <c r="Z175" s="157" t="n"/>
      <c r="AA175" s="157" t="n"/>
      <c r="AB175" s="157" t="n"/>
      <c r="AC175" s="157" t="n"/>
      <c r="AD175" s="157" t="n"/>
      <c r="AE175" s="157" t="n"/>
      <c r="AF175" s="157" t="n"/>
      <c r="AG175" s="157" t="n"/>
      <c r="AH175" s="157" t="n"/>
      <c r="AI175" s="157" t="n"/>
      <c r="AJ175" s="157" t="n"/>
      <c r="AK175" s="157" t="n"/>
      <c r="AL175" s="157" t="n"/>
      <c r="AM175" s="157" t="n"/>
      <c r="AN175" s="157" t="n"/>
      <c r="AO175" s="157" t="n"/>
      <c r="AP175" s="157" t="n"/>
      <c r="AQ175" s="157" t="n"/>
      <c r="AR175" s="157" t="n"/>
      <c r="AS175" s="157" t="n"/>
      <c r="AT175" s="157" t="n"/>
      <c r="AU175" s="157" t="n"/>
      <c r="AV175" s="157" t="n"/>
      <c r="AW175" s="157" t="n"/>
      <c r="AX175" s="157" t="n"/>
      <c r="AY175" s="157" t="n"/>
      <c r="AZ175" s="157" t="n"/>
      <c r="BA175" s="157" t="n"/>
      <c r="BB175" s="157" t="n"/>
      <c r="BC175" s="157" t="n"/>
      <c r="BD175" s="157" t="n"/>
      <c r="BE175" s="157" t="n"/>
      <c r="BF175" s="157" t="n"/>
      <c r="BG175" s="157" t="n"/>
      <c r="BH175" s="158" t="n"/>
      <c r="BI175" s="159" t="n"/>
      <c r="BJ175" s="23">
        <f>IFERROR(ISNUMBER(E175)*IF(ISNUMBER(D175),--(E175&lt;D175-0.5),1)+ISNUMBER(F175)*IF(ISNUMBER(E175),--(F175&lt;E175-0.5),1)+ISNUMBER(G175)*IF(ISNUMBER(F175),--(G175&lt;F175-0.5),1)+ISNUMBER(H175)*IF(ISNUMBER(G175),--(H175&lt;G175-0.5),1)+ISNUMBER(I175)*IF(ISNUMBER(H175),--(I175&lt;H175-0.5),1)+ISNUMBER(J175)*IF(ISNUMBER(I175),--(J175&lt;I175-0.5),1)+ISNUMBER(K175)*IF(ISNUMBER(J175),--(K175&lt;J175-0.5),1)+IF(AND(ISNUMBER(C175),C175&lt;0),1,0),1)</f>
        <v/>
      </c>
      <c r="BK175" s="23">
        <f>IFERROR(ISNUMBER(M175)*IF(ISNUMBER(L175),--(M175&lt;L175-0.5),1)+ISNUMBER(N175)*IF(ISNUMBER(M175),--(N175&lt;M175-0.5),1)+ISNUMBER(O175)*IF(ISNUMBER(N175),--(O175&lt;N175-0.5),1)+ISNUMBER(P175)*IF(ISNUMBER(O175),--(P175&lt;O175-0.5),1)+ISNUMBER(Q175)*IF(ISNUMBER(P175),--(Q175&lt;P175-0.5),1)+ISNUMBER(R175)*IF(ISNUMBER(Q175),--(R175&lt;Q175-0.5),1)+ISNUMBER(S175)*IF(ISNUMBER(R175),--(S175&lt;R175-0.5),1),1)</f>
        <v/>
      </c>
    </row>
    <row r="176">
      <c r="A176" s="23" t="n">
        <v>38</v>
      </c>
      <c r="B176" s="75" t="n">
        <v>1</v>
      </c>
      <c r="C176" s="157" t="n"/>
      <c r="D176" s="157" t="n"/>
      <c r="E176" s="157" t="n"/>
      <c r="F176" s="157" t="n"/>
      <c r="G176" s="157" t="n"/>
      <c r="H176" s="157" t="n"/>
      <c r="I176" s="157" t="n"/>
      <c r="J176" s="157" t="n"/>
      <c r="K176" s="157" t="n"/>
      <c r="L176" s="157" t="n"/>
      <c r="M176" s="157" t="n"/>
      <c r="N176" s="157" t="n"/>
      <c r="O176" s="157" t="n"/>
      <c r="P176" s="157" t="n"/>
      <c r="Q176" s="157" t="n"/>
      <c r="R176" s="157" t="n"/>
      <c r="S176" s="157" t="n"/>
      <c r="T176" s="157" t="n"/>
      <c r="U176" s="157" t="n"/>
      <c r="V176" s="157" t="n"/>
      <c r="W176" s="157" t="n"/>
      <c r="X176" s="157" t="n"/>
      <c r="Y176" s="157" t="n"/>
      <c r="Z176" s="157" t="n"/>
      <c r="AA176" s="157" t="n"/>
      <c r="AB176" s="157" t="n"/>
      <c r="AC176" s="157" t="n"/>
      <c r="AD176" s="157" t="n"/>
      <c r="AE176" s="157" t="n"/>
      <c r="AF176" s="157" t="n"/>
      <c r="AG176" s="157" t="n"/>
      <c r="AH176" s="157" t="n"/>
      <c r="AI176" s="157" t="n"/>
      <c r="AJ176" s="157" t="n"/>
      <c r="AK176" s="157" t="n"/>
      <c r="AL176" s="157" t="n"/>
      <c r="AM176" s="157" t="n"/>
      <c r="AN176" s="157" t="n"/>
      <c r="AO176" s="157" t="n"/>
      <c r="AP176" s="157" t="n"/>
      <c r="AQ176" s="157" t="n"/>
      <c r="AR176" s="157" t="n"/>
      <c r="AS176" s="157" t="n"/>
      <c r="AT176" s="157" t="n"/>
      <c r="AU176" s="157" t="n"/>
      <c r="AV176" s="157" t="n"/>
      <c r="AW176" s="157" t="n"/>
      <c r="AX176" s="157" t="n"/>
      <c r="AY176" s="157" t="n"/>
      <c r="AZ176" s="157" t="n"/>
      <c r="BA176" s="157" t="n"/>
      <c r="BB176" s="157" t="n"/>
      <c r="BC176" s="157" t="n"/>
      <c r="BD176" s="157" t="n"/>
      <c r="BE176" s="157" t="n"/>
      <c r="BF176" s="157" t="n"/>
      <c r="BG176" s="157" t="n"/>
      <c r="BH176" s="158" t="n"/>
      <c r="BI176" s="159" t="n"/>
      <c r="BJ176" s="23">
        <f>IFERROR(ISNUMBER(E176)*IF(ISNUMBER(D176),--(E176&lt;D176-0.5),1)+ISNUMBER(F176)*IF(ISNUMBER(E176),--(F176&lt;E176-0.5),1)+ISNUMBER(G176)*IF(ISNUMBER(F176),--(G176&lt;F176-0.5),1)+ISNUMBER(H176)*IF(ISNUMBER(G176),--(H176&lt;G176-0.5),1)+ISNUMBER(I176)*IF(ISNUMBER(H176),--(I176&lt;H176-0.5),1)+ISNUMBER(J176)*IF(ISNUMBER(I176),--(J176&lt;I176-0.5),1)+ISNUMBER(K176)*IF(ISNUMBER(J176),--(K176&lt;J176-0.5),1)+IF(AND(ISNUMBER(C176),C176&lt;0),1,0),1)</f>
        <v/>
      </c>
      <c r="BK176" s="23">
        <f>IFERROR(ISNUMBER(M176)*IF(ISNUMBER(L176),--(M176&lt;L176-0.5),1)+ISNUMBER(N176)*IF(ISNUMBER(M176),--(N176&lt;M176-0.5),1)+ISNUMBER(O176)*IF(ISNUMBER(N176),--(O176&lt;N176-0.5),1)+ISNUMBER(P176)*IF(ISNUMBER(O176),--(P176&lt;O176-0.5),1)+ISNUMBER(Q176)*IF(ISNUMBER(P176),--(Q176&lt;P176-0.5),1)+ISNUMBER(R176)*IF(ISNUMBER(Q176),--(R176&lt;Q176-0.5),1)+ISNUMBER(S176)*IF(ISNUMBER(R176),--(S176&lt;R176-0.5),1),1)</f>
        <v/>
      </c>
    </row>
    <row r="177">
      <c r="A177" s="23" t="n">
        <v>39</v>
      </c>
      <c r="B177" s="75" t="n">
        <v>1</v>
      </c>
      <c r="C177" s="157" t="n"/>
      <c r="D177" s="157" t="n"/>
      <c r="E177" s="157" t="n"/>
      <c r="F177" s="157" t="n"/>
      <c r="G177" s="157" t="n"/>
      <c r="H177" s="157" t="n"/>
      <c r="I177" s="157" t="n"/>
      <c r="J177" s="157" t="n"/>
      <c r="K177" s="157" t="n"/>
      <c r="L177" s="157" t="n"/>
      <c r="M177" s="157" t="n"/>
      <c r="N177" s="157" t="n"/>
      <c r="O177" s="157" t="n"/>
      <c r="P177" s="157" t="n"/>
      <c r="Q177" s="157" t="n"/>
      <c r="R177" s="157" t="n"/>
      <c r="S177" s="157" t="n"/>
      <c r="T177" s="157" t="n"/>
      <c r="U177" s="157" t="n"/>
      <c r="V177" s="157" t="n"/>
      <c r="W177" s="157" t="n"/>
      <c r="X177" s="157" t="n"/>
      <c r="Y177" s="157" t="n"/>
      <c r="Z177" s="157" t="n"/>
      <c r="AA177" s="157" t="n"/>
      <c r="AB177" s="157" t="n"/>
      <c r="AC177" s="157" t="n"/>
      <c r="AD177" s="157" t="n"/>
      <c r="AE177" s="157" t="n"/>
      <c r="AF177" s="157" t="n"/>
      <c r="AG177" s="157" t="n"/>
      <c r="AH177" s="157" t="n"/>
      <c r="AI177" s="157" t="n"/>
      <c r="AJ177" s="157" t="n"/>
      <c r="AK177" s="157" t="n"/>
      <c r="AL177" s="157" t="n"/>
      <c r="AM177" s="157" t="n"/>
      <c r="AN177" s="157" t="n"/>
      <c r="AO177" s="157" t="n"/>
      <c r="AP177" s="157" t="n"/>
      <c r="AQ177" s="157" t="n"/>
      <c r="AR177" s="157" t="n"/>
      <c r="AS177" s="157" t="n"/>
      <c r="AT177" s="157" t="n"/>
      <c r="AU177" s="157" t="n"/>
      <c r="AV177" s="157" t="n"/>
      <c r="AW177" s="157" t="n"/>
      <c r="AX177" s="157" t="n"/>
      <c r="AY177" s="157" t="n"/>
      <c r="AZ177" s="157" t="n"/>
      <c r="BA177" s="157" t="n"/>
      <c r="BB177" s="157" t="n"/>
      <c r="BC177" s="157" t="n"/>
      <c r="BD177" s="157" t="n"/>
      <c r="BE177" s="157" t="n"/>
      <c r="BF177" s="157" t="n"/>
      <c r="BG177" s="157" t="n"/>
      <c r="BH177" s="158" t="n"/>
      <c r="BI177" s="159" t="n"/>
      <c r="BJ177" s="23">
        <f>IFERROR(ISNUMBER(E177)*IF(ISNUMBER(D177),--(E177&lt;D177-0.5),1)+ISNUMBER(F177)*IF(ISNUMBER(E177),--(F177&lt;E177-0.5),1)+ISNUMBER(G177)*IF(ISNUMBER(F177),--(G177&lt;F177-0.5),1)+ISNUMBER(H177)*IF(ISNUMBER(G177),--(H177&lt;G177-0.5),1)+ISNUMBER(I177)*IF(ISNUMBER(H177),--(I177&lt;H177-0.5),1)+ISNUMBER(J177)*IF(ISNUMBER(I177),--(J177&lt;I177-0.5),1)+ISNUMBER(K177)*IF(ISNUMBER(J177),--(K177&lt;J177-0.5),1)+IF(AND(ISNUMBER(C177),C177&lt;0),1,0),1)</f>
        <v/>
      </c>
      <c r="BK177" s="23">
        <f>IFERROR(ISNUMBER(M177)*IF(ISNUMBER(L177),--(M177&lt;L177-0.5),1)+ISNUMBER(N177)*IF(ISNUMBER(M177),--(N177&lt;M177-0.5),1)+ISNUMBER(O177)*IF(ISNUMBER(N177),--(O177&lt;N177-0.5),1)+ISNUMBER(P177)*IF(ISNUMBER(O177),--(P177&lt;O177-0.5),1)+ISNUMBER(Q177)*IF(ISNUMBER(P177),--(Q177&lt;P177-0.5),1)+ISNUMBER(R177)*IF(ISNUMBER(Q177),--(R177&lt;Q177-0.5),1)+ISNUMBER(S177)*IF(ISNUMBER(R177),--(S177&lt;R177-0.5),1),1)</f>
        <v/>
      </c>
    </row>
    <row r="178">
      <c r="A178" s="23" t="n">
        <v>40</v>
      </c>
      <c r="B178" s="75" t="n">
        <v>1</v>
      </c>
      <c r="C178" s="157" t="n"/>
      <c r="D178" s="157" t="n"/>
      <c r="E178" s="157" t="n"/>
      <c r="F178" s="157" t="n"/>
      <c r="G178" s="157" t="n"/>
      <c r="H178" s="157" t="n"/>
      <c r="I178" s="157" t="n"/>
      <c r="J178" s="157" t="n"/>
      <c r="K178" s="157" t="n"/>
      <c r="L178" s="157" t="n"/>
      <c r="M178" s="157" t="n"/>
      <c r="N178" s="157" t="n"/>
      <c r="O178" s="157" t="n"/>
      <c r="P178" s="157" t="n"/>
      <c r="Q178" s="157" t="n"/>
      <c r="R178" s="157" t="n"/>
      <c r="S178" s="157" t="n"/>
      <c r="T178" s="157" t="n"/>
      <c r="U178" s="157" t="n"/>
      <c r="V178" s="157" t="n"/>
      <c r="W178" s="157" t="n"/>
      <c r="X178" s="157" t="n"/>
      <c r="Y178" s="157" t="n"/>
      <c r="Z178" s="157" t="n"/>
      <c r="AA178" s="157" t="n"/>
      <c r="AB178" s="157" t="n"/>
      <c r="AC178" s="157" t="n"/>
      <c r="AD178" s="157" t="n"/>
      <c r="AE178" s="157" t="n"/>
      <c r="AF178" s="157" t="n"/>
      <c r="AG178" s="157" t="n"/>
      <c r="AH178" s="157" t="n"/>
      <c r="AI178" s="157" t="n"/>
      <c r="AJ178" s="157" t="n"/>
      <c r="AK178" s="157" t="n"/>
      <c r="AL178" s="157" t="n"/>
      <c r="AM178" s="157" t="n"/>
      <c r="AN178" s="157" t="n"/>
      <c r="AO178" s="157" t="n"/>
      <c r="AP178" s="157" t="n"/>
      <c r="AQ178" s="157" t="n"/>
      <c r="AR178" s="157" t="n"/>
      <c r="AS178" s="157" t="n"/>
      <c r="AT178" s="157" t="n"/>
      <c r="AU178" s="157" t="n"/>
      <c r="AV178" s="157" t="n"/>
      <c r="AW178" s="157" t="n"/>
      <c r="AX178" s="157" t="n"/>
      <c r="AY178" s="157" t="n"/>
      <c r="AZ178" s="157" t="n"/>
      <c r="BA178" s="157" t="n"/>
      <c r="BB178" s="157" t="n"/>
      <c r="BC178" s="157" t="n"/>
      <c r="BD178" s="157" t="n"/>
      <c r="BE178" s="157" t="n"/>
      <c r="BF178" s="157" t="n"/>
      <c r="BG178" s="157" t="n"/>
      <c r="BH178" s="158" t="n"/>
      <c r="BI178" s="159" t="n"/>
      <c r="BJ178" s="23">
        <f>IFERROR(ISNUMBER(E178)*IF(ISNUMBER(D178),--(E178&lt;D178-0.5),1)+ISNUMBER(F178)*IF(ISNUMBER(E178),--(F178&lt;E178-0.5),1)+ISNUMBER(G178)*IF(ISNUMBER(F178),--(G178&lt;F178-0.5),1)+ISNUMBER(H178)*IF(ISNUMBER(G178),--(H178&lt;G178-0.5),1)+ISNUMBER(I178)*IF(ISNUMBER(H178),--(I178&lt;H178-0.5),1)+ISNUMBER(J178)*IF(ISNUMBER(I178),--(J178&lt;I178-0.5),1)+ISNUMBER(K178)*IF(ISNUMBER(J178),--(K178&lt;J178-0.5),1)+IF(AND(ISNUMBER(C178),C178&lt;0),1,0),1)</f>
        <v/>
      </c>
      <c r="BK178" s="23">
        <f>IFERROR(ISNUMBER(M178)*IF(ISNUMBER(L178),--(M178&lt;L178-0.5),1)+ISNUMBER(N178)*IF(ISNUMBER(M178),--(N178&lt;M178-0.5),1)+ISNUMBER(O178)*IF(ISNUMBER(N178),--(O178&lt;N178-0.5),1)+ISNUMBER(P178)*IF(ISNUMBER(O178),--(P178&lt;O178-0.5),1)+ISNUMBER(Q178)*IF(ISNUMBER(P178),--(Q178&lt;P178-0.5),1)+ISNUMBER(R178)*IF(ISNUMBER(Q178),--(R178&lt;Q178-0.5),1)+ISNUMBER(S178)*IF(ISNUMBER(R178),--(S178&lt;R178-0.5),1),1)</f>
        <v/>
      </c>
    </row>
    <row r="179">
      <c r="A179" s="23" t="n">
        <v>41</v>
      </c>
      <c r="B179" s="75" t="n">
        <v>1</v>
      </c>
      <c r="C179" s="157" t="n"/>
      <c r="D179" s="157" t="n"/>
      <c r="E179" s="157" t="n"/>
      <c r="F179" s="157" t="n"/>
      <c r="G179" s="157" t="n"/>
      <c r="H179" s="157" t="n"/>
      <c r="I179" s="157" t="n"/>
      <c r="J179" s="157" t="n"/>
      <c r="K179" s="157" t="n"/>
      <c r="L179" s="157" t="n"/>
      <c r="M179" s="157" t="n"/>
      <c r="N179" s="157" t="n"/>
      <c r="O179" s="157" t="n"/>
      <c r="P179" s="157" t="n"/>
      <c r="Q179" s="157" t="n"/>
      <c r="R179" s="157" t="n"/>
      <c r="S179" s="157" t="n"/>
      <c r="T179" s="157" t="n"/>
      <c r="U179" s="157" t="n"/>
      <c r="V179" s="157" t="n"/>
      <c r="W179" s="157" t="n"/>
      <c r="X179" s="157" t="n"/>
      <c r="Y179" s="157" t="n"/>
      <c r="Z179" s="157" t="n"/>
      <c r="AA179" s="157" t="n"/>
      <c r="AB179" s="157" t="n"/>
      <c r="AC179" s="157" t="n"/>
      <c r="AD179" s="157" t="n"/>
      <c r="AE179" s="157" t="n"/>
      <c r="AF179" s="157" t="n"/>
      <c r="AG179" s="157" t="n"/>
      <c r="AH179" s="157" t="n"/>
      <c r="AI179" s="157" t="n"/>
      <c r="AJ179" s="157" t="n"/>
      <c r="AK179" s="157" t="n"/>
      <c r="AL179" s="157" t="n"/>
      <c r="AM179" s="157" t="n"/>
      <c r="AN179" s="157" t="n"/>
      <c r="AO179" s="157" t="n"/>
      <c r="AP179" s="157" t="n"/>
      <c r="AQ179" s="157" t="n"/>
      <c r="AR179" s="157" t="n"/>
      <c r="AS179" s="157" t="n"/>
      <c r="AT179" s="157" t="n"/>
      <c r="AU179" s="157" t="n"/>
      <c r="AV179" s="157" t="n"/>
      <c r="AW179" s="157" t="n"/>
      <c r="AX179" s="157" t="n"/>
      <c r="AY179" s="157" t="n"/>
      <c r="AZ179" s="157" t="n"/>
      <c r="BA179" s="157" t="n"/>
      <c r="BB179" s="157" t="n"/>
      <c r="BC179" s="157" t="n"/>
      <c r="BD179" s="157" t="n"/>
      <c r="BE179" s="157" t="n"/>
      <c r="BF179" s="157" t="n"/>
      <c r="BG179" s="157" t="n"/>
      <c r="BH179" s="158" t="n"/>
      <c r="BI179" s="159" t="n"/>
      <c r="BJ179" s="23">
        <f>IFERROR(ISNUMBER(E179)*IF(ISNUMBER(D179),--(E179&lt;D179-0.5),1)+ISNUMBER(F179)*IF(ISNUMBER(E179),--(F179&lt;E179-0.5),1)+ISNUMBER(G179)*IF(ISNUMBER(F179),--(G179&lt;F179-0.5),1)+ISNUMBER(H179)*IF(ISNUMBER(G179),--(H179&lt;G179-0.5),1)+ISNUMBER(I179)*IF(ISNUMBER(H179),--(I179&lt;H179-0.5),1)+ISNUMBER(J179)*IF(ISNUMBER(I179),--(J179&lt;I179-0.5),1)+ISNUMBER(K179)*IF(ISNUMBER(J179),--(K179&lt;J179-0.5),1)+IF(AND(ISNUMBER(C179),C179&lt;0),1,0),1)</f>
        <v/>
      </c>
      <c r="BK179" s="23">
        <f>IFERROR(ISNUMBER(M179)*IF(ISNUMBER(L179),--(M179&lt;L179-0.5),1)+ISNUMBER(N179)*IF(ISNUMBER(M179),--(N179&lt;M179-0.5),1)+ISNUMBER(O179)*IF(ISNUMBER(N179),--(O179&lt;N179-0.5),1)+ISNUMBER(P179)*IF(ISNUMBER(O179),--(P179&lt;O179-0.5),1)+ISNUMBER(Q179)*IF(ISNUMBER(P179),--(Q179&lt;P179-0.5),1)+ISNUMBER(R179)*IF(ISNUMBER(Q179),--(R179&lt;Q179-0.5),1)+ISNUMBER(S179)*IF(ISNUMBER(R179),--(S179&lt;R179-0.5),1),1)</f>
        <v/>
      </c>
    </row>
    <row r="180">
      <c r="A180" s="23" t="n">
        <v>42</v>
      </c>
      <c r="B180" s="75" t="n">
        <v>1</v>
      </c>
      <c r="C180" s="157" t="n"/>
      <c r="D180" s="157" t="n"/>
      <c r="E180" s="157" t="n"/>
      <c r="F180" s="157" t="n"/>
      <c r="G180" s="157" t="n"/>
      <c r="H180" s="157" t="n"/>
      <c r="I180" s="157" t="n"/>
      <c r="J180" s="157" t="n"/>
      <c r="K180" s="157" t="n"/>
      <c r="L180" s="157" t="n"/>
      <c r="M180" s="157" t="n"/>
      <c r="N180" s="157" t="n"/>
      <c r="O180" s="157" t="n"/>
      <c r="P180" s="157" t="n"/>
      <c r="Q180" s="157" t="n"/>
      <c r="R180" s="157" t="n"/>
      <c r="S180" s="157" t="n"/>
      <c r="T180" s="157" t="n"/>
      <c r="U180" s="157" t="n"/>
      <c r="V180" s="157" t="n"/>
      <c r="W180" s="157" t="n"/>
      <c r="X180" s="157" t="n"/>
      <c r="Y180" s="157" t="n"/>
      <c r="Z180" s="157" t="n"/>
      <c r="AA180" s="157" t="n"/>
      <c r="AB180" s="157" t="n"/>
      <c r="AC180" s="157" t="n"/>
      <c r="AD180" s="157" t="n"/>
      <c r="AE180" s="157" t="n"/>
      <c r="AF180" s="157" t="n"/>
      <c r="AG180" s="157" t="n"/>
      <c r="AH180" s="157" t="n"/>
      <c r="AI180" s="157" t="n"/>
      <c r="AJ180" s="157" t="n"/>
      <c r="AK180" s="157" t="n"/>
      <c r="AL180" s="157" t="n"/>
      <c r="AM180" s="157" t="n"/>
      <c r="AN180" s="157" t="n"/>
      <c r="AO180" s="157" t="n"/>
      <c r="AP180" s="157" t="n"/>
      <c r="AQ180" s="157" t="n"/>
      <c r="AR180" s="157" t="n"/>
      <c r="AS180" s="157" t="n"/>
      <c r="AT180" s="157" t="n"/>
      <c r="AU180" s="157" t="n"/>
      <c r="AV180" s="157" t="n"/>
      <c r="AW180" s="157" t="n"/>
      <c r="AX180" s="157" t="n"/>
      <c r="AY180" s="157" t="n"/>
      <c r="AZ180" s="157" t="n"/>
      <c r="BA180" s="157" t="n"/>
      <c r="BB180" s="157" t="n"/>
      <c r="BC180" s="157" t="n"/>
      <c r="BD180" s="157" t="n"/>
      <c r="BE180" s="157" t="n"/>
      <c r="BF180" s="157" t="n"/>
      <c r="BG180" s="157" t="n"/>
      <c r="BH180" s="158" t="n"/>
      <c r="BI180" s="159" t="n"/>
      <c r="BJ180" s="23">
        <f>IFERROR(ISNUMBER(E180)*IF(ISNUMBER(D180),--(E180&lt;D180-0.5),1)+ISNUMBER(F180)*IF(ISNUMBER(E180),--(F180&lt;E180-0.5),1)+ISNUMBER(G180)*IF(ISNUMBER(F180),--(G180&lt;F180-0.5),1)+ISNUMBER(H180)*IF(ISNUMBER(G180),--(H180&lt;G180-0.5),1)+ISNUMBER(I180)*IF(ISNUMBER(H180),--(I180&lt;H180-0.5),1)+ISNUMBER(J180)*IF(ISNUMBER(I180),--(J180&lt;I180-0.5),1)+ISNUMBER(K180)*IF(ISNUMBER(J180),--(K180&lt;J180-0.5),1)+IF(AND(ISNUMBER(C180),C180&lt;0),1,0),1)</f>
        <v/>
      </c>
      <c r="BK180" s="23">
        <f>IFERROR(ISNUMBER(M180)*IF(ISNUMBER(L180),--(M180&lt;L180-0.5),1)+ISNUMBER(N180)*IF(ISNUMBER(M180),--(N180&lt;M180-0.5),1)+ISNUMBER(O180)*IF(ISNUMBER(N180),--(O180&lt;N180-0.5),1)+ISNUMBER(P180)*IF(ISNUMBER(O180),--(P180&lt;O180-0.5),1)+ISNUMBER(Q180)*IF(ISNUMBER(P180),--(Q180&lt;P180-0.5),1)+ISNUMBER(R180)*IF(ISNUMBER(Q180),--(R180&lt;Q180-0.5),1)+ISNUMBER(S180)*IF(ISNUMBER(R180),--(S180&lt;R180-0.5),1),1)</f>
        <v/>
      </c>
    </row>
    <row r="181">
      <c r="A181" s="23" t="n">
        <v>43</v>
      </c>
      <c r="B181" s="75" t="n">
        <v>1</v>
      </c>
      <c r="C181" s="157" t="n"/>
      <c r="D181" s="157" t="n"/>
      <c r="E181" s="157" t="n"/>
      <c r="F181" s="157" t="n"/>
      <c r="G181" s="157" t="n"/>
      <c r="H181" s="157" t="n"/>
      <c r="I181" s="157" t="n"/>
      <c r="J181" s="157" t="n"/>
      <c r="K181" s="157" t="n"/>
      <c r="L181" s="157" t="n"/>
      <c r="M181" s="157" t="n"/>
      <c r="N181" s="157" t="n"/>
      <c r="O181" s="157" t="n"/>
      <c r="P181" s="157" t="n"/>
      <c r="Q181" s="157" t="n"/>
      <c r="R181" s="157" t="n"/>
      <c r="S181" s="157" t="n"/>
      <c r="T181" s="157" t="n"/>
      <c r="U181" s="157" t="n"/>
      <c r="V181" s="157" t="n"/>
      <c r="W181" s="157" t="n"/>
      <c r="X181" s="157" t="n"/>
      <c r="Y181" s="157" t="n"/>
      <c r="Z181" s="157" t="n"/>
      <c r="AA181" s="157" t="n"/>
      <c r="AB181" s="157" t="n"/>
      <c r="AC181" s="157" t="n"/>
      <c r="AD181" s="157" t="n"/>
      <c r="AE181" s="157" t="n"/>
      <c r="AF181" s="157" t="n"/>
      <c r="AG181" s="157" t="n"/>
      <c r="AH181" s="157" t="n"/>
      <c r="AI181" s="157" t="n"/>
      <c r="AJ181" s="157" t="n"/>
      <c r="AK181" s="157" t="n"/>
      <c r="AL181" s="157" t="n"/>
      <c r="AM181" s="157" t="n"/>
      <c r="AN181" s="157" t="n"/>
      <c r="AO181" s="157" t="n"/>
      <c r="AP181" s="157" t="n"/>
      <c r="AQ181" s="157" t="n"/>
      <c r="AR181" s="157" t="n"/>
      <c r="AS181" s="157" t="n"/>
      <c r="AT181" s="157" t="n"/>
      <c r="AU181" s="157" t="n"/>
      <c r="AV181" s="157" t="n"/>
      <c r="AW181" s="157" t="n"/>
      <c r="AX181" s="157" t="n"/>
      <c r="AY181" s="157" t="n"/>
      <c r="AZ181" s="157" t="n"/>
      <c r="BA181" s="157" t="n"/>
      <c r="BB181" s="157" t="n"/>
      <c r="BC181" s="157" t="n"/>
      <c r="BD181" s="157" t="n"/>
      <c r="BE181" s="157" t="n"/>
      <c r="BF181" s="157" t="n"/>
      <c r="BG181" s="157" t="n"/>
      <c r="BH181" s="158" t="n"/>
      <c r="BI181" s="159" t="n"/>
      <c r="BJ181" s="23">
        <f>IFERROR(ISNUMBER(E181)*IF(ISNUMBER(D181),--(E181&lt;D181-0.5),1)+ISNUMBER(F181)*IF(ISNUMBER(E181),--(F181&lt;E181-0.5),1)+ISNUMBER(G181)*IF(ISNUMBER(F181),--(G181&lt;F181-0.5),1)+ISNUMBER(H181)*IF(ISNUMBER(G181),--(H181&lt;G181-0.5),1)+ISNUMBER(I181)*IF(ISNUMBER(H181),--(I181&lt;H181-0.5),1)+ISNUMBER(J181)*IF(ISNUMBER(I181),--(J181&lt;I181-0.5),1)+ISNUMBER(K181)*IF(ISNUMBER(J181),--(K181&lt;J181-0.5),1)+IF(AND(ISNUMBER(C181),C181&lt;0),1,0),1)</f>
        <v/>
      </c>
      <c r="BK181" s="23">
        <f>IFERROR(ISNUMBER(M181)*IF(ISNUMBER(L181),--(M181&lt;L181-0.5),1)+ISNUMBER(N181)*IF(ISNUMBER(M181),--(N181&lt;M181-0.5),1)+ISNUMBER(O181)*IF(ISNUMBER(N181),--(O181&lt;N181-0.5),1)+ISNUMBER(P181)*IF(ISNUMBER(O181),--(P181&lt;O181-0.5),1)+ISNUMBER(Q181)*IF(ISNUMBER(P181),--(Q181&lt;P181-0.5),1)+ISNUMBER(R181)*IF(ISNUMBER(Q181),--(R181&lt;Q181-0.5),1)+ISNUMBER(S181)*IF(ISNUMBER(R181),--(S181&lt;R181-0.5),1),1)</f>
        <v/>
      </c>
    </row>
    <row r="182">
      <c r="A182" s="23" t="n">
        <v>44</v>
      </c>
      <c r="B182" s="75" t="n">
        <v>1</v>
      </c>
      <c r="C182" s="157" t="n"/>
      <c r="D182" s="157" t="n"/>
      <c r="E182" s="157" t="n"/>
      <c r="F182" s="157" t="n"/>
      <c r="G182" s="157" t="n"/>
      <c r="H182" s="157" t="n"/>
      <c r="I182" s="157" t="n"/>
      <c r="J182" s="157" t="n"/>
      <c r="K182" s="157" t="n"/>
      <c r="L182" s="157" t="n"/>
      <c r="M182" s="157" t="n"/>
      <c r="N182" s="157" t="n"/>
      <c r="O182" s="157" t="n"/>
      <c r="P182" s="157" t="n"/>
      <c r="Q182" s="157" t="n"/>
      <c r="R182" s="157" t="n"/>
      <c r="S182" s="157" t="n"/>
      <c r="T182" s="157" t="n"/>
      <c r="U182" s="157" t="n"/>
      <c r="V182" s="157" t="n"/>
      <c r="W182" s="157" t="n"/>
      <c r="X182" s="157" t="n"/>
      <c r="Y182" s="157" t="n"/>
      <c r="Z182" s="157" t="n"/>
      <c r="AA182" s="157" t="n"/>
      <c r="AB182" s="157" t="n"/>
      <c r="AC182" s="157" t="n"/>
      <c r="AD182" s="157" t="n"/>
      <c r="AE182" s="157" t="n"/>
      <c r="AF182" s="157" t="n"/>
      <c r="AG182" s="157" t="n"/>
      <c r="AH182" s="157" t="n"/>
      <c r="AI182" s="157" t="n"/>
      <c r="AJ182" s="157" t="n"/>
      <c r="AK182" s="157" t="n"/>
      <c r="AL182" s="157" t="n"/>
      <c r="AM182" s="157" t="n"/>
      <c r="AN182" s="157" t="n"/>
      <c r="AO182" s="157" t="n"/>
      <c r="AP182" s="157" t="n"/>
      <c r="AQ182" s="157" t="n"/>
      <c r="AR182" s="157" t="n"/>
      <c r="AS182" s="157" t="n"/>
      <c r="AT182" s="157" t="n"/>
      <c r="AU182" s="157" t="n"/>
      <c r="AV182" s="157" t="n"/>
      <c r="AW182" s="157" t="n"/>
      <c r="AX182" s="157" t="n"/>
      <c r="AY182" s="157" t="n"/>
      <c r="AZ182" s="157" t="n"/>
      <c r="BA182" s="157" t="n"/>
      <c r="BB182" s="157" t="n"/>
      <c r="BC182" s="157" t="n"/>
      <c r="BD182" s="157" t="n"/>
      <c r="BE182" s="157" t="n"/>
      <c r="BF182" s="157" t="n"/>
      <c r="BG182" s="157" t="n"/>
      <c r="BH182" s="158" t="n"/>
      <c r="BI182" s="159" t="n"/>
      <c r="BJ182" s="23">
        <f>IFERROR(ISNUMBER(E182)*IF(ISNUMBER(D182),--(E182&lt;D182-0.5),1)+ISNUMBER(F182)*IF(ISNUMBER(E182),--(F182&lt;E182-0.5),1)+ISNUMBER(G182)*IF(ISNUMBER(F182),--(G182&lt;F182-0.5),1)+ISNUMBER(H182)*IF(ISNUMBER(G182),--(H182&lt;G182-0.5),1)+ISNUMBER(I182)*IF(ISNUMBER(H182),--(I182&lt;H182-0.5),1)+ISNUMBER(J182)*IF(ISNUMBER(I182),--(J182&lt;I182-0.5),1)+ISNUMBER(K182)*IF(ISNUMBER(J182),--(K182&lt;J182-0.5),1)+IF(AND(ISNUMBER(C182),C182&lt;0),1,0),1)</f>
        <v/>
      </c>
      <c r="BK182" s="23">
        <f>IFERROR(ISNUMBER(M182)*IF(ISNUMBER(L182),--(M182&lt;L182-0.5),1)+ISNUMBER(N182)*IF(ISNUMBER(M182),--(N182&lt;M182-0.5),1)+ISNUMBER(O182)*IF(ISNUMBER(N182),--(O182&lt;N182-0.5),1)+ISNUMBER(P182)*IF(ISNUMBER(O182),--(P182&lt;O182-0.5),1)+ISNUMBER(Q182)*IF(ISNUMBER(P182),--(Q182&lt;P182-0.5),1)+ISNUMBER(R182)*IF(ISNUMBER(Q182),--(R182&lt;Q182-0.5),1)+ISNUMBER(S182)*IF(ISNUMBER(R182),--(S182&lt;R182-0.5),1),1)</f>
        <v/>
      </c>
    </row>
    <row r="183">
      <c r="A183" s="23" t="n">
        <v>45</v>
      </c>
      <c r="B183" s="75" t="n">
        <v>1</v>
      </c>
      <c r="C183" s="157" t="n"/>
      <c r="D183" s="157" t="n"/>
      <c r="E183" s="157" t="n"/>
      <c r="F183" s="157" t="n"/>
      <c r="G183" s="157" t="n"/>
      <c r="H183" s="157" t="n"/>
      <c r="I183" s="157" t="n"/>
      <c r="J183" s="157" t="n"/>
      <c r="K183" s="157" t="n"/>
      <c r="L183" s="157" t="n"/>
      <c r="M183" s="157" t="n"/>
      <c r="N183" s="157" t="n"/>
      <c r="O183" s="157" t="n"/>
      <c r="P183" s="157" t="n"/>
      <c r="Q183" s="157" t="n"/>
      <c r="R183" s="157" t="n"/>
      <c r="S183" s="157" t="n"/>
      <c r="T183" s="157" t="n"/>
      <c r="U183" s="157" t="n"/>
      <c r="V183" s="157" t="n"/>
      <c r="W183" s="157" t="n"/>
      <c r="X183" s="157" t="n"/>
      <c r="Y183" s="157" t="n"/>
      <c r="Z183" s="157" t="n"/>
      <c r="AA183" s="157" t="n"/>
      <c r="AB183" s="157" t="n"/>
      <c r="AC183" s="157" t="n"/>
      <c r="AD183" s="157" t="n"/>
      <c r="AE183" s="157" t="n"/>
      <c r="AF183" s="157" t="n"/>
      <c r="AG183" s="157" t="n"/>
      <c r="AH183" s="157" t="n"/>
      <c r="AI183" s="157" t="n"/>
      <c r="AJ183" s="157" t="n"/>
      <c r="AK183" s="157" t="n"/>
      <c r="AL183" s="157" t="n"/>
      <c r="AM183" s="157" t="n"/>
      <c r="AN183" s="157" t="n"/>
      <c r="AO183" s="157" t="n"/>
      <c r="AP183" s="157" t="n"/>
      <c r="AQ183" s="157" t="n"/>
      <c r="AR183" s="157" t="n"/>
      <c r="AS183" s="157" t="n"/>
      <c r="AT183" s="157" t="n"/>
      <c r="AU183" s="157" t="n"/>
      <c r="AV183" s="157" t="n"/>
      <c r="AW183" s="157" t="n"/>
      <c r="AX183" s="157" t="n"/>
      <c r="AY183" s="157" t="n"/>
      <c r="AZ183" s="157" t="n"/>
      <c r="BA183" s="157" t="n"/>
      <c r="BB183" s="157" t="n"/>
      <c r="BC183" s="157" t="n"/>
      <c r="BD183" s="157" t="n"/>
      <c r="BE183" s="157" t="n"/>
      <c r="BF183" s="157" t="n"/>
      <c r="BG183" s="157" t="n"/>
      <c r="BH183" s="158" t="n"/>
      <c r="BI183" s="159" t="n"/>
      <c r="BJ183" s="23">
        <f>IFERROR(ISNUMBER(E183)*IF(ISNUMBER(D183),--(E183&lt;D183-0.5),1)+ISNUMBER(F183)*IF(ISNUMBER(E183),--(F183&lt;E183-0.5),1)+ISNUMBER(G183)*IF(ISNUMBER(F183),--(G183&lt;F183-0.5),1)+ISNUMBER(H183)*IF(ISNUMBER(G183),--(H183&lt;G183-0.5),1)+ISNUMBER(I183)*IF(ISNUMBER(H183),--(I183&lt;H183-0.5),1)+ISNUMBER(J183)*IF(ISNUMBER(I183),--(J183&lt;I183-0.5),1)+ISNUMBER(K183)*IF(ISNUMBER(J183),--(K183&lt;J183-0.5),1)+IF(AND(ISNUMBER(C183),C183&lt;0),1,0),1)</f>
        <v/>
      </c>
      <c r="BK183" s="23">
        <f>IFERROR(ISNUMBER(M183)*IF(ISNUMBER(L183),--(M183&lt;L183-0.5),1)+ISNUMBER(N183)*IF(ISNUMBER(M183),--(N183&lt;M183-0.5),1)+ISNUMBER(O183)*IF(ISNUMBER(N183),--(O183&lt;N183-0.5),1)+ISNUMBER(P183)*IF(ISNUMBER(O183),--(P183&lt;O183-0.5),1)+ISNUMBER(Q183)*IF(ISNUMBER(P183),--(Q183&lt;P183-0.5),1)+ISNUMBER(R183)*IF(ISNUMBER(Q183),--(R183&lt;Q183-0.5),1)+ISNUMBER(S183)*IF(ISNUMBER(R183),--(S183&lt;R183-0.5),1),1)</f>
        <v/>
      </c>
    </row>
    <row r="184">
      <c r="A184" s="23" t="n">
        <v>46</v>
      </c>
      <c r="B184" s="75" t="n">
        <v>1</v>
      </c>
      <c r="C184" s="157" t="n"/>
      <c r="D184" s="157" t="n"/>
      <c r="E184" s="157" t="n"/>
      <c r="F184" s="157" t="n"/>
      <c r="G184" s="157" t="n"/>
      <c r="H184" s="157" t="n"/>
      <c r="I184" s="157" t="n"/>
      <c r="J184" s="157" t="n"/>
      <c r="K184" s="157" t="n"/>
      <c r="L184" s="157" t="n"/>
      <c r="M184" s="157" t="n"/>
      <c r="N184" s="157" t="n"/>
      <c r="O184" s="157" t="n"/>
      <c r="P184" s="157" t="n"/>
      <c r="Q184" s="157" t="n"/>
      <c r="R184" s="157" t="n"/>
      <c r="S184" s="157" t="n"/>
      <c r="T184" s="157" t="n"/>
      <c r="U184" s="157" t="n"/>
      <c r="V184" s="157" t="n"/>
      <c r="W184" s="157" t="n"/>
      <c r="X184" s="157" t="n"/>
      <c r="Y184" s="157" t="n"/>
      <c r="Z184" s="157" t="n"/>
      <c r="AA184" s="157" t="n"/>
      <c r="AB184" s="157" t="n"/>
      <c r="AC184" s="157" t="n"/>
      <c r="AD184" s="157" t="n"/>
      <c r="AE184" s="157" t="n"/>
      <c r="AF184" s="157" t="n"/>
      <c r="AG184" s="157" t="n"/>
      <c r="AH184" s="157" t="n"/>
      <c r="AI184" s="157" t="n"/>
      <c r="AJ184" s="157" t="n"/>
      <c r="AK184" s="157" t="n"/>
      <c r="AL184" s="157" t="n"/>
      <c r="AM184" s="157" t="n"/>
      <c r="AN184" s="157" t="n"/>
      <c r="AO184" s="157" t="n"/>
      <c r="AP184" s="157" t="n"/>
      <c r="AQ184" s="157" t="n"/>
      <c r="AR184" s="157" t="n"/>
      <c r="AS184" s="157" t="n"/>
      <c r="AT184" s="157" t="n"/>
      <c r="AU184" s="157" t="n"/>
      <c r="AV184" s="157" t="n"/>
      <c r="AW184" s="157" t="n"/>
      <c r="AX184" s="157" t="n"/>
      <c r="AY184" s="157" t="n"/>
      <c r="AZ184" s="157" t="n"/>
      <c r="BA184" s="157" t="n"/>
      <c r="BB184" s="157" t="n"/>
      <c r="BC184" s="157" t="n"/>
      <c r="BD184" s="157" t="n"/>
      <c r="BE184" s="157" t="n"/>
      <c r="BF184" s="157" t="n"/>
      <c r="BG184" s="157" t="n"/>
      <c r="BH184" s="158" t="n"/>
      <c r="BI184" s="159" t="n"/>
      <c r="BJ184" s="23">
        <f>IFERROR(ISNUMBER(E184)*IF(ISNUMBER(D184),--(E184&lt;D184-0.5),1)+ISNUMBER(F184)*IF(ISNUMBER(E184),--(F184&lt;E184-0.5),1)+ISNUMBER(G184)*IF(ISNUMBER(F184),--(G184&lt;F184-0.5),1)+ISNUMBER(H184)*IF(ISNUMBER(G184),--(H184&lt;G184-0.5),1)+ISNUMBER(I184)*IF(ISNUMBER(H184),--(I184&lt;H184-0.5),1)+ISNUMBER(J184)*IF(ISNUMBER(I184),--(J184&lt;I184-0.5),1)+ISNUMBER(K184)*IF(ISNUMBER(J184),--(K184&lt;J184-0.5),1)+IF(AND(ISNUMBER(C184),C184&lt;0),1,0),1)</f>
        <v/>
      </c>
      <c r="BK184" s="23">
        <f>IFERROR(ISNUMBER(M184)*IF(ISNUMBER(L184),--(M184&lt;L184-0.5),1)+ISNUMBER(N184)*IF(ISNUMBER(M184),--(N184&lt;M184-0.5),1)+ISNUMBER(O184)*IF(ISNUMBER(N184),--(O184&lt;N184-0.5),1)+ISNUMBER(P184)*IF(ISNUMBER(O184),--(P184&lt;O184-0.5),1)+ISNUMBER(Q184)*IF(ISNUMBER(P184),--(Q184&lt;P184-0.5),1)+ISNUMBER(R184)*IF(ISNUMBER(Q184),--(R184&lt;Q184-0.5),1)+ISNUMBER(S184)*IF(ISNUMBER(R184),--(S184&lt;R184-0.5),1),1)</f>
        <v/>
      </c>
    </row>
    <row r="185">
      <c r="A185" s="23" t="n">
        <v>47</v>
      </c>
      <c r="B185" s="75" t="n">
        <v>1</v>
      </c>
      <c r="C185" s="157" t="n"/>
      <c r="D185" s="157" t="n"/>
      <c r="E185" s="157" t="n"/>
      <c r="F185" s="157" t="n"/>
      <c r="G185" s="157" t="n"/>
      <c r="H185" s="157" t="n"/>
      <c r="I185" s="157" t="n"/>
      <c r="J185" s="157" t="n"/>
      <c r="K185" s="157" t="n"/>
      <c r="L185" s="157" t="n"/>
      <c r="M185" s="157" t="n"/>
      <c r="N185" s="157" t="n"/>
      <c r="O185" s="157" t="n"/>
      <c r="P185" s="157" t="n"/>
      <c r="Q185" s="157" t="n"/>
      <c r="R185" s="157" t="n"/>
      <c r="S185" s="157" t="n"/>
      <c r="T185" s="157" t="n"/>
      <c r="U185" s="157" t="n"/>
      <c r="V185" s="157" t="n"/>
      <c r="W185" s="157" t="n"/>
      <c r="X185" s="157" t="n"/>
      <c r="Y185" s="157" t="n"/>
      <c r="Z185" s="157" t="n"/>
      <c r="AA185" s="157" t="n"/>
      <c r="AB185" s="157" t="n"/>
      <c r="AC185" s="157" t="n"/>
      <c r="AD185" s="157" t="n"/>
      <c r="AE185" s="157" t="n"/>
      <c r="AF185" s="157" t="n"/>
      <c r="AG185" s="157" t="n"/>
      <c r="AH185" s="157" t="n"/>
      <c r="AI185" s="157" t="n"/>
      <c r="AJ185" s="157" t="n"/>
      <c r="AK185" s="157" t="n"/>
      <c r="AL185" s="157" t="n"/>
      <c r="AM185" s="157" t="n"/>
      <c r="AN185" s="157" t="n"/>
      <c r="AO185" s="157" t="n"/>
      <c r="AP185" s="157" t="n"/>
      <c r="AQ185" s="157" t="n"/>
      <c r="AR185" s="157" t="n"/>
      <c r="AS185" s="157" t="n"/>
      <c r="AT185" s="157" t="n"/>
      <c r="AU185" s="157" t="n"/>
      <c r="AV185" s="157" t="n"/>
      <c r="AW185" s="157" t="n"/>
      <c r="AX185" s="157" t="n"/>
      <c r="AY185" s="157" t="n"/>
      <c r="AZ185" s="157" t="n"/>
      <c r="BA185" s="157" t="n"/>
      <c r="BB185" s="157" t="n"/>
      <c r="BC185" s="157" t="n"/>
      <c r="BD185" s="157" t="n"/>
      <c r="BE185" s="157" t="n"/>
      <c r="BF185" s="157" t="n"/>
      <c r="BG185" s="157" t="n"/>
      <c r="BH185" s="158" t="n"/>
      <c r="BI185" s="159" t="n"/>
      <c r="BJ185" s="23">
        <f>IFERROR(ISNUMBER(E185)*IF(ISNUMBER(D185),--(E185&lt;D185-0.5),1)+ISNUMBER(F185)*IF(ISNUMBER(E185),--(F185&lt;E185-0.5),1)+ISNUMBER(G185)*IF(ISNUMBER(F185),--(G185&lt;F185-0.5),1)+ISNUMBER(H185)*IF(ISNUMBER(G185),--(H185&lt;G185-0.5),1)+ISNUMBER(I185)*IF(ISNUMBER(H185),--(I185&lt;H185-0.5),1)+ISNUMBER(J185)*IF(ISNUMBER(I185),--(J185&lt;I185-0.5),1)+ISNUMBER(K185)*IF(ISNUMBER(J185),--(K185&lt;J185-0.5),1)+IF(AND(ISNUMBER(C185),C185&lt;0),1,0),1)</f>
        <v/>
      </c>
      <c r="BK185" s="23">
        <f>IFERROR(ISNUMBER(M185)*IF(ISNUMBER(L185),--(M185&lt;L185-0.5),1)+ISNUMBER(N185)*IF(ISNUMBER(M185),--(N185&lt;M185-0.5),1)+ISNUMBER(O185)*IF(ISNUMBER(N185),--(O185&lt;N185-0.5),1)+ISNUMBER(P185)*IF(ISNUMBER(O185),--(P185&lt;O185-0.5),1)+ISNUMBER(Q185)*IF(ISNUMBER(P185),--(Q185&lt;P185-0.5),1)+ISNUMBER(R185)*IF(ISNUMBER(Q185),--(R185&lt;Q185-0.5),1)+ISNUMBER(S185)*IF(ISNUMBER(R185),--(S185&lt;R185-0.5),1),1)</f>
        <v/>
      </c>
    </row>
    <row r="186">
      <c r="A186" s="23" t="n">
        <v>48</v>
      </c>
      <c r="B186" s="75" t="n">
        <v>1</v>
      </c>
      <c r="C186" s="157" t="n"/>
      <c r="D186" s="157" t="n"/>
      <c r="E186" s="157" t="n"/>
      <c r="F186" s="157" t="n"/>
      <c r="G186" s="157" t="n"/>
      <c r="H186" s="157" t="n"/>
      <c r="I186" s="157" t="n"/>
      <c r="J186" s="157" t="n"/>
      <c r="K186" s="157" t="n"/>
      <c r="L186" s="157" t="n"/>
      <c r="M186" s="157" t="n"/>
      <c r="N186" s="157" t="n"/>
      <c r="O186" s="157" t="n"/>
      <c r="P186" s="157" t="n"/>
      <c r="Q186" s="157" t="n"/>
      <c r="R186" s="157" t="n"/>
      <c r="S186" s="157" t="n"/>
      <c r="T186" s="157" t="n"/>
      <c r="U186" s="157" t="n"/>
      <c r="V186" s="157" t="n"/>
      <c r="W186" s="157" t="n"/>
      <c r="X186" s="157" t="n"/>
      <c r="Y186" s="157" t="n"/>
      <c r="Z186" s="157" t="n"/>
      <c r="AA186" s="157" t="n"/>
      <c r="AB186" s="157" t="n"/>
      <c r="AC186" s="157" t="n"/>
      <c r="AD186" s="157" t="n"/>
      <c r="AE186" s="157" t="n"/>
      <c r="AF186" s="157" t="n"/>
      <c r="AG186" s="157" t="n"/>
      <c r="AH186" s="157" t="n"/>
      <c r="AI186" s="157" t="n"/>
      <c r="AJ186" s="157" t="n"/>
      <c r="AK186" s="157" t="n"/>
      <c r="AL186" s="157" t="n"/>
      <c r="AM186" s="157" t="n"/>
      <c r="AN186" s="157" t="n"/>
      <c r="AO186" s="157" t="n"/>
      <c r="AP186" s="157" t="n"/>
      <c r="AQ186" s="157" t="n"/>
      <c r="AR186" s="157" t="n"/>
      <c r="AS186" s="157" t="n"/>
      <c r="AT186" s="157" t="n"/>
      <c r="AU186" s="157" t="n"/>
      <c r="AV186" s="157" t="n"/>
      <c r="AW186" s="157" t="n"/>
      <c r="AX186" s="157" t="n"/>
      <c r="AY186" s="157" t="n"/>
      <c r="AZ186" s="157" t="n"/>
      <c r="BA186" s="157" t="n"/>
      <c r="BB186" s="157" t="n"/>
      <c r="BC186" s="157" t="n"/>
      <c r="BD186" s="157" t="n"/>
      <c r="BE186" s="157" t="n"/>
      <c r="BF186" s="157" t="n"/>
      <c r="BG186" s="157" t="n"/>
      <c r="BH186" s="158" t="n"/>
      <c r="BI186" s="159" t="n"/>
      <c r="BJ186" s="23">
        <f>IFERROR(ISNUMBER(E186)*IF(ISNUMBER(D186),--(E186&lt;D186-0.5),1)+ISNUMBER(F186)*IF(ISNUMBER(E186),--(F186&lt;E186-0.5),1)+ISNUMBER(G186)*IF(ISNUMBER(F186),--(G186&lt;F186-0.5),1)+ISNUMBER(H186)*IF(ISNUMBER(G186),--(H186&lt;G186-0.5),1)+ISNUMBER(I186)*IF(ISNUMBER(H186),--(I186&lt;H186-0.5),1)+ISNUMBER(J186)*IF(ISNUMBER(I186),--(J186&lt;I186-0.5),1)+ISNUMBER(K186)*IF(ISNUMBER(J186),--(K186&lt;J186-0.5),1)+IF(AND(ISNUMBER(C186),C186&lt;0),1,0),1)</f>
        <v/>
      </c>
      <c r="BK186" s="23">
        <f>IFERROR(ISNUMBER(M186)*IF(ISNUMBER(L186),--(M186&lt;L186-0.5),1)+ISNUMBER(N186)*IF(ISNUMBER(M186),--(N186&lt;M186-0.5),1)+ISNUMBER(O186)*IF(ISNUMBER(N186),--(O186&lt;N186-0.5),1)+ISNUMBER(P186)*IF(ISNUMBER(O186),--(P186&lt;O186-0.5),1)+ISNUMBER(Q186)*IF(ISNUMBER(P186),--(Q186&lt;P186-0.5),1)+ISNUMBER(R186)*IF(ISNUMBER(Q186),--(R186&lt;Q186-0.5),1)+ISNUMBER(S186)*IF(ISNUMBER(R186),--(S186&lt;R186-0.5),1),1)</f>
        <v/>
      </c>
    </row>
    <row r="187">
      <c r="A187" s="23" t="n">
        <v>49</v>
      </c>
      <c r="B187" s="75" t="n">
        <v>1</v>
      </c>
      <c r="C187" s="157" t="n"/>
      <c r="D187" s="157" t="n"/>
      <c r="E187" s="157" t="n"/>
      <c r="F187" s="157" t="n"/>
      <c r="G187" s="157" t="n"/>
      <c r="H187" s="157" t="n"/>
      <c r="I187" s="157" t="n"/>
      <c r="J187" s="157" t="n"/>
      <c r="K187" s="157" t="n"/>
      <c r="L187" s="157" t="n"/>
      <c r="M187" s="157" t="n"/>
      <c r="N187" s="157" t="n"/>
      <c r="O187" s="157" t="n"/>
      <c r="P187" s="157" t="n"/>
      <c r="Q187" s="157" t="n"/>
      <c r="R187" s="157" t="n"/>
      <c r="S187" s="157" t="n"/>
      <c r="T187" s="157" t="n"/>
      <c r="U187" s="157" t="n"/>
      <c r="V187" s="157" t="n"/>
      <c r="W187" s="157" t="n"/>
      <c r="X187" s="157" t="n"/>
      <c r="Y187" s="157" t="n"/>
      <c r="Z187" s="157" t="n"/>
      <c r="AA187" s="157" t="n"/>
      <c r="AB187" s="157" t="n"/>
      <c r="AC187" s="157" t="n"/>
      <c r="AD187" s="157" t="n"/>
      <c r="AE187" s="157" t="n"/>
      <c r="AF187" s="157" t="n"/>
      <c r="AG187" s="157" t="n"/>
      <c r="AH187" s="157" t="n"/>
      <c r="AI187" s="157" t="n"/>
      <c r="AJ187" s="157" t="n"/>
      <c r="AK187" s="157" t="n"/>
      <c r="AL187" s="157" t="n"/>
      <c r="AM187" s="157" t="n"/>
      <c r="AN187" s="157" t="n"/>
      <c r="AO187" s="157" t="n"/>
      <c r="AP187" s="157" t="n"/>
      <c r="AQ187" s="157" t="n"/>
      <c r="AR187" s="157" t="n"/>
      <c r="AS187" s="157" t="n"/>
      <c r="AT187" s="157" t="n"/>
      <c r="AU187" s="157" t="n"/>
      <c r="AV187" s="157" t="n"/>
      <c r="AW187" s="157" t="n"/>
      <c r="AX187" s="157" t="n"/>
      <c r="AY187" s="157" t="n"/>
      <c r="AZ187" s="157" t="n"/>
      <c r="BA187" s="157" t="n"/>
      <c r="BB187" s="157" t="n"/>
      <c r="BC187" s="157" t="n"/>
      <c r="BD187" s="157" t="n"/>
      <c r="BE187" s="157" t="n"/>
      <c r="BF187" s="157" t="n"/>
      <c r="BG187" s="157" t="n"/>
      <c r="BH187" s="158" t="n"/>
      <c r="BI187" s="159" t="n"/>
      <c r="BJ187" s="23">
        <f>IFERROR(ISNUMBER(E187)*IF(ISNUMBER(D187),--(E187&lt;D187-0.5),1)+ISNUMBER(F187)*IF(ISNUMBER(E187),--(F187&lt;E187-0.5),1)+ISNUMBER(G187)*IF(ISNUMBER(F187),--(G187&lt;F187-0.5),1)+ISNUMBER(H187)*IF(ISNUMBER(G187),--(H187&lt;G187-0.5),1)+ISNUMBER(I187)*IF(ISNUMBER(H187),--(I187&lt;H187-0.5),1)+ISNUMBER(J187)*IF(ISNUMBER(I187),--(J187&lt;I187-0.5),1)+ISNUMBER(K187)*IF(ISNUMBER(J187),--(K187&lt;J187-0.5),1)+IF(AND(ISNUMBER(C187),C187&lt;0),1,0),1)</f>
        <v/>
      </c>
      <c r="BK187" s="23">
        <f>IFERROR(ISNUMBER(M187)*IF(ISNUMBER(L187),--(M187&lt;L187-0.5),1)+ISNUMBER(N187)*IF(ISNUMBER(M187),--(N187&lt;M187-0.5),1)+ISNUMBER(O187)*IF(ISNUMBER(N187),--(O187&lt;N187-0.5),1)+ISNUMBER(P187)*IF(ISNUMBER(O187),--(P187&lt;O187-0.5),1)+ISNUMBER(Q187)*IF(ISNUMBER(P187),--(Q187&lt;P187-0.5),1)+ISNUMBER(R187)*IF(ISNUMBER(Q187),--(R187&lt;Q187-0.5),1)+ISNUMBER(S187)*IF(ISNUMBER(R187),--(S187&lt;R187-0.5),1),1)</f>
        <v/>
      </c>
    </row>
    <row r="188">
      <c r="A188" s="23" t="n">
        <v>50</v>
      </c>
      <c r="B188" s="75" t="n">
        <v>1</v>
      </c>
      <c r="C188" s="157" t="n"/>
      <c r="D188" s="157" t="n"/>
      <c r="E188" s="157" t="n"/>
      <c r="F188" s="157" t="n"/>
      <c r="G188" s="157" t="n"/>
      <c r="H188" s="157" t="n"/>
      <c r="I188" s="157" t="n"/>
      <c r="J188" s="157" t="n"/>
      <c r="K188" s="157" t="n"/>
      <c r="L188" s="157" t="n"/>
      <c r="M188" s="157" t="n"/>
      <c r="N188" s="157" t="n"/>
      <c r="O188" s="157" t="n"/>
      <c r="P188" s="157" t="n"/>
      <c r="Q188" s="157" t="n"/>
      <c r="R188" s="157" t="n"/>
      <c r="S188" s="157" t="n"/>
      <c r="T188" s="157" t="n"/>
      <c r="U188" s="157" t="n"/>
      <c r="V188" s="157" t="n"/>
      <c r="W188" s="157" t="n"/>
      <c r="X188" s="157" t="n"/>
      <c r="Y188" s="157" t="n"/>
      <c r="Z188" s="157" t="n"/>
      <c r="AA188" s="157" t="n"/>
      <c r="AB188" s="157" t="n"/>
      <c r="AC188" s="157" t="n"/>
      <c r="AD188" s="157" t="n"/>
      <c r="AE188" s="157" t="n"/>
      <c r="AF188" s="157" t="n"/>
      <c r="AG188" s="157" t="n"/>
      <c r="AH188" s="157" t="n"/>
      <c r="AI188" s="157" t="n"/>
      <c r="AJ188" s="157" t="n"/>
      <c r="AK188" s="157" t="n"/>
      <c r="AL188" s="157" t="n"/>
      <c r="AM188" s="157" t="n"/>
      <c r="AN188" s="157" t="n"/>
      <c r="AO188" s="157" t="n"/>
      <c r="AP188" s="157" t="n"/>
      <c r="AQ188" s="157" t="n"/>
      <c r="AR188" s="157" t="n"/>
      <c r="AS188" s="157" t="n"/>
      <c r="AT188" s="157" t="n"/>
      <c r="AU188" s="157" t="n"/>
      <c r="AV188" s="157" t="n"/>
      <c r="AW188" s="157" t="n"/>
      <c r="AX188" s="157" t="n"/>
      <c r="AY188" s="157" t="n"/>
      <c r="AZ188" s="157" t="n"/>
      <c r="BA188" s="157" t="n"/>
      <c r="BB188" s="157" t="n"/>
      <c r="BC188" s="157" t="n"/>
      <c r="BD188" s="157" t="n"/>
      <c r="BE188" s="157" t="n"/>
      <c r="BF188" s="157" t="n"/>
      <c r="BG188" s="157" t="n"/>
      <c r="BH188" s="158" t="n"/>
      <c r="BI188" s="159" t="n"/>
      <c r="BJ188" s="23">
        <f>IFERROR(ISNUMBER(E188)*IF(ISNUMBER(D188),--(E188&lt;D188-0.5),1)+ISNUMBER(F188)*IF(ISNUMBER(E188),--(F188&lt;E188-0.5),1)+ISNUMBER(G188)*IF(ISNUMBER(F188),--(G188&lt;F188-0.5),1)+ISNUMBER(H188)*IF(ISNUMBER(G188),--(H188&lt;G188-0.5),1)+ISNUMBER(I188)*IF(ISNUMBER(H188),--(I188&lt;H188-0.5),1)+ISNUMBER(J188)*IF(ISNUMBER(I188),--(J188&lt;I188-0.5),1)+ISNUMBER(K188)*IF(ISNUMBER(J188),--(K188&lt;J188-0.5),1)+IF(AND(ISNUMBER(C188),C188&lt;0),1,0),1)</f>
        <v/>
      </c>
      <c r="BK188" s="23">
        <f>IFERROR(ISNUMBER(M188)*IF(ISNUMBER(L188),--(M188&lt;L188-0.5),1)+ISNUMBER(N188)*IF(ISNUMBER(M188),--(N188&lt;M188-0.5),1)+ISNUMBER(O188)*IF(ISNUMBER(N188),--(O188&lt;N188-0.5),1)+ISNUMBER(P188)*IF(ISNUMBER(O188),--(P188&lt;O188-0.5),1)+ISNUMBER(Q188)*IF(ISNUMBER(P188),--(Q188&lt;P188-0.5),1)+ISNUMBER(R188)*IF(ISNUMBER(Q188),--(R188&lt;Q188-0.5),1)+ISNUMBER(S188)*IF(ISNUMBER(R188),--(S188&lt;R188-0.5),1),1)</f>
        <v/>
      </c>
    </row>
    <row r="189">
      <c r="A189" s="23" t="n">
        <v>51</v>
      </c>
      <c r="B189" s="75" t="n">
        <v>1</v>
      </c>
      <c r="C189" s="157" t="n"/>
      <c r="D189" s="157" t="n"/>
      <c r="E189" s="157" t="n"/>
      <c r="F189" s="157" t="n"/>
      <c r="G189" s="157" t="n"/>
      <c r="H189" s="157" t="n"/>
      <c r="I189" s="157" t="n"/>
      <c r="J189" s="157" t="n"/>
      <c r="K189" s="157" t="n"/>
      <c r="L189" s="157" t="n"/>
      <c r="M189" s="157" t="n"/>
      <c r="N189" s="157" t="n"/>
      <c r="O189" s="157" t="n"/>
      <c r="P189" s="157" t="n"/>
      <c r="Q189" s="157" t="n"/>
      <c r="R189" s="157" t="n"/>
      <c r="S189" s="157" t="n"/>
      <c r="T189" s="157" t="n"/>
      <c r="U189" s="157" t="n"/>
      <c r="V189" s="157" t="n"/>
      <c r="W189" s="157" t="n"/>
      <c r="X189" s="157" t="n"/>
      <c r="Y189" s="157" t="n"/>
      <c r="Z189" s="157" t="n"/>
      <c r="AA189" s="157" t="n"/>
      <c r="AB189" s="157" t="n"/>
      <c r="AC189" s="157" t="n"/>
      <c r="AD189" s="157" t="n"/>
      <c r="AE189" s="157" t="n"/>
      <c r="AF189" s="157" t="n"/>
      <c r="AG189" s="157" t="n"/>
      <c r="AH189" s="157" t="n"/>
      <c r="AI189" s="157" t="n"/>
      <c r="AJ189" s="157" t="n"/>
      <c r="AK189" s="157" t="n"/>
      <c r="AL189" s="157" t="n"/>
      <c r="AM189" s="157" t="n"/>
      <c r="AN189" s="157" t="n"/>
      <c r="AO189" s="157" t="n"/>
      <c r="AP189" s="157" t="n"/>
      <c r="AQ189" s="157" t="n"/>
      <c r="AR189" s="157" t="n"/>
      <c r="AS189" s="157" t="n"/>
      <c r="AT189" s="157" t="n"/>
      <c r="AU189" s="157" t="n"/>
      <c r="AV189" s="157" t="n"/>
      <c r="AW189" s="157" t="n"/>
      <c r="AX189" s="157" t="n"/>
      <c r="AY189" s="157" t="n"/>
      <c r="AZ189" s="157" t="n"/>
      <c r="BA189" s="157" t="n"/>
      <c r="BB189" s="157" t="n"/>
      <c r="BC189" s="157" t="n"/>
      <c r="BD189" s="157" t="n"/>
      <c r="BE189" s="157" t="n"/>
      <c r="BF189" s="157" t="n"/>
      <c r="BG189" s="157" t="n"/>
      <c r="BH189" s="158" t="n"/>
      <c r="BI189" s="159" t="n"/>
      <c r="BJ189" s="23">
        <f>IFERROR(ISNUMBER(E189)*IF(ISNUMBER(D189),--(E189&lt;D189-0.5),1)+ISNUMBER(F189)*IF(ISNUMBER(E189),--(F189&lt;E189-0.5),1)+ISNUMBER(G189)*IF(ISNUMBER(F189),--(G189&lt;F189-0.5),1)+ISNUMBER(H189)*IF(ISNUMBER(G189),--(H189&lt;G189-0.5),1)+ISNUMBER(I189)*IF(ISNUMBER(H189),--(I189&lt;H189-0.5),1)+ISNUMBER(J189)*IF(ISNUMBER(I189),--(J189&lt;I189-0.5),1)+ISNUMBER(K189)*IF(ISNUMBER(J189),--(K189&lt;J189-0.5),1)+IF(AND(ISNUMBER(C189),C189&lt;0),1,0),1)</f>
        <v/>
      </c>
      <c r="BK189" s="23">
        <f>IFERROR(ISNUMBER(M189)*IF(ISNUMBER(L189),--(M189&lt;L189-0.5),1)+ISNUMBER(N189)*IF(ISNUMBER(M189),--(N189&lt;M189-0.5),1)+ISNUMBER(O189)*IF(ISNUMBER(N189),--(O189&lt;N189-0.5),1)+ISNUMBER(P189)*IF(ISNUMBER(O189),--(P189&lt;O189-0.5),1)+ISNUMBER(Q189)*IF(ISNUMBER(P189),--(Q189&lt;P189-0.5),1)+ISNUMBER(R189)*IF(ISNUMBER(Q189),--(R189&lt;Q189-0.5),1)+ISNUMBER(S189)*IF(ISNUMBER(R189),--(S189&lt;R189-0.5),1),1)</f>
        <v/>
      </c>
    </row>
    <row r="190">
      <c r="A190" s="23" t="n">
        <v>52</v>
      </c>
      <c r="B190" s="75" t="n">
        <v>1</v>
      </c>
      <c r="C190" s="157" t="n"/>
      <c r="D190" s="157" t="n"/>
      <c r="E190" s="157" t="n"/>
      <c r="F190" s="157" t="n"/>
      <c r="G190" s="157" t="n"/>
      <c r="H190" s="157" t="n"/>
      <c r="I190" s="157" t="n"/>
      <c r="J190" s="157" t="n"/>
      <c r="K190" s="157" t="n"/>
      <c r="L190" s="157" t="n"/>
      <c r="M190" s="157" t="n"/>
      <c r="N190" s="157" t="n"/>
      <c r="O190" s="157" t="n"/>
      <c r="P190" s="157" t="n"/>
      <c r="Q190" s="157" t="n"/>
      <c r="R190" s="157" t="n"/>
      <c r="S190" s="157" t="n"/>
      <c r="T190" s="157" t="n"/>
      <c r="U190" s="157" t="n"/>
      <c r="V190" s="157" t="n"/>
      <c r="W190" s="157" t="n"/>
      <c r="X190" s="157" t="n"/>
      <c r="Y190" s="157" t="n"/>
      <c r="Z190" s="157" t="n"/>
      <c r="AA190" s="157" t="n"/>
      <c r="AB190" s="157" t="n"/>
      <c r="AC190" s="157" t="n"/>
      <c r="AD190" s="157" t="n"/>
      <c r="AE190" s="157" t="n"/>
      <c r="AF190" s="157" t="n"/>
      <c r="AG190" s="157" t="n"/>
      <c r="AH190" s="157" t="n"/>
      <c r="AI190" s="157" t="n"/>
      <c r="AJ190" s="157" t="n"/>
      <c r="AK190" s="157" t="n"/>
      <c r="AL190" s="157" t="n"/>
      <c r="AM190" s="157" t="n"/>
      <c r="AN190" s="157" t="n"/>
      <c r="AO190" s="157" t="n"/>
      <c r="AP190" s="157" t="n"/>
      <c r="AQ190" s="157" t="n"/>
      <c r="AR190" s="157" t="n"/>
      <c r="AS190" s="157" t="n"/>
      <c r="AT190" s="157" t="n"/>
      <c r="AU190" s="157" t="n"/>
      <c r="AV190" s="157" t="n"/>
      <c r="AW190" s="157" t="n"/>
      <c r="AX190" s="157" t="n"/>
      <c r="AY190" s="157" t="n"/>
      <c r="AZ190" s="157" t="n"/>
      <c r="BA190" s="157" t="n"/>
      <c r="BB190" s="157" t="n"/>
      <c r="BC190" s="157" t="n"/>
      <c r="BD190" s="157" t="n"/>
      <c r="BE190" s="157" t="n"/>
      <c r="BF190" s="157" t="n"/>
      <c r="BG190" s="157" t="n"/>
      <c r="BH190" s="158" t="n"/>
      <c r="BI190" s="159" t="n"/>
      <c r="BJ190" s="23">
        <f>IFERROR(ISNUMBER(E190)*IF(ISNUMBER(D190),--(E190&lt;D190-0.5),1)+ISNUMBER(F190)*IF(ISNUMBER(E190),--(F190&lt;E190-0.5),1)+ISNUMBER(G190)*IF(ISNUMBER(F190),--(G190&lt;F190-0.5),1)+ISNUMBER(H190)*IF(ISNUMBER(G190),--(H190&lt;G190-0.5),1)+ISNUMBER(I190)*IF(ISNUMBER(H190),--(I190&lt;H190-0.5),1)+ISNUMBER(J190)*IF(ISNUMBER(I190),--(J190&lt;I190-0.5),1)+ISNUMBER(K190)*IF(ISNUMBER(J190),--(K190&lt;J190-0.5),1)+IF(AND(ISNUMBER(C190),C190&lt;0),1,0),1)</f>
        <v/>
      </c>
      <c r="BK190" s="23">
        <f>IFERROR(ISNUMBER(M190)*IF(ISNUMBER(L190),--(M190&lt;L190-0.5),1)+ISNUMBER(N190)*IF(ISNUMBER(M190),--(N190&lt;M190-0.5),1)+ISNUMBER(O190)*IF(ISNUMBER(N190),--(O190&lt;N190-0.5),1)+ISNUMBER(P190)*IF(ISNUMBER(O190),--(P190&lt;O190-0.5),1)+ISNUMBER(Q190)*IF(ISNUMBER(P190),--(Q190&lt;P190-0.5),1)+ISNUMBER(R190)*IF(ISNUMBER(Q190),--(R190&lt;Q190-0.5),1)+ISNUMBER(S190)*IF(ISNUMBER(R190),--(S190&lt;R190-0.5),1),1)</f>
        <v/>
      </c>
    </row>
    <row r="191">
      <c r="A191" s="23" t="n">
        <v>53</v>
      </c>
      <c r="B191" s="75" t="n">
        <v>1</v>
      </c>
      <c r="C191" s="157" t="n"/>
      <c r="D191" s="157" t="n"/>
      <c r="E191" s="157" t="n"/>
      <c r="F191" s="157" t="n"/>
      <c r="G191" s="157" t="n"/>
      <c r="H191" s="157" t="n"/>
      <c r="I191" s="157" t="n"/>
      <c r="J191" s="157" t="n"/>
      <c r="K191" s="157" t="n"/>
      <c r="L191" s="157" t="n"/>
      <c r="M191" s="157" t="n"/>
      <c r="N191" s="157" t="n"/>
      <c r="O191" s="157" t="n"/>
      <c r="P191" s="157" t="n"/>
      <c r="Q191" s="157" t="n"/>
      <c r="R191" s="157" t="n"/>
      <c r="S191" s="157" t="n"/>
      <c r="T191" s="157" t="n"/>
      <c r="U191" s="157" t="n"/>
      <c r="V191" s="157" t="n"/>
      <c r="W191" s="157" t="n"/>
      <c r="X191" s="157" t="n"/>
      <c r="Y191" s="157" t="n"/>
      <c r="Z191" s="157" t="n"/>
      <c r="AA191" s="157" t="n"/>
      <c r="AB191" s="157" t="n"/>
      <c r="AC191" s="157" t="n"/>
      <c r="AD191" s="157" t="n"/>
      <c r="AE191" s="157" t="n"/>
      <c r="AF191" s="157" t="n"/>
      <c r="AG191" s="157" t="n"/>
      <c r="AH191" s="157" t="n"/>
      <c r="AI191" s="157" t="n"/>
      <c r="AJ191" s="157" t="n"/>
      <c r="AK191" s="157" t="n"/>
      <c r="AL191" s="157" t="n"/>
      <c r="AM191" s="157" t="n"/>
      <c r="AN191" s="157" t="n"/>
      <c r="AO191" s="157" t="n"/>
      <c r="AP191" s="157" t="n"/>
      <c r="AQ191" s="157" t="n"/>
      <c r="AR191" s="157" t="n"/>
      <c r="AS191" s="157" t="n"/>
      <c r="AT191" s="157" t="n"/>
      <c r="AU191" s="157" t="n"/>
      <c r="AV191" s="157" t="n"/>
      <c r="AW191" s="157" t="n"/>
      <c r="AX191" s="157" t="n"/>
      <c r="AY191" s="157" t="n"/>
      <c r="AZ191" s="157" t="n"/>
      <c r="BA191" s="157" t="n"/>
      <c r="BB191" s="157" t="n"/>
      <c r="BC191" s="157" t="n"/>
      <c r="BD191" s="157" t="n"/>
      <c r="BE191" s="157" t="n"/>
      <c r="BF191" s="157" t="n"/>
      <c r="BG191" s="157" t="n"/>
      <c r="BH191" s="158" t="n"/>
      <c r="BI191" s="159" t="n"/>
      <c r="BJ191" s="23">
        <f>IFERROR(ISNUMBER(E191)*IF(ISNUMBER(D191),--(E191&lt;D191-0.5),1)+ISNUMBER(F191)*IF(ISNUMBER(E191),--(F191&lt;E191-0.5),1)+ISNUMBER(G191)*IF(ISNUMBER(F191),--(G191&lt;F191-0.5),1)+ISNUMBER(H191)*IF(ISNUMBER(G191),--(H191&lt;G191-0.5),1)+ISNUMBER(I191)*IF(ISNUMBER(H191),--(I191&lt;H191-0.5),1)+ISNUMBER(J191)*IF(ISNUMBER(I191),--(J191&lt;I191-0.5),1)+ISNUMBER(K191)*IF(ISNUMBER(J191),--(K191&lt;J191-0.5),1)+IF(AND(ISNUMBER(C191),C191&lt;0),1,0),1)</f>
        <v/>
      </c>
      <c r="BK191" s="23">
        <f>IFERROR(ISNUMBER(M191)*IF(ISNUMBER(L191),--(M191&lt;L191-0.5),1)+ISNUMBER(N191)*IF(ISNUMBER(M191),--(N191&lt;M191-0.5),1)+ISNUMBER(O191)*IF(ISNUMBER(N191),--(O191&lt;N191-0.5),1)+ISNUMBER(P191)*IF(ISNUMBER(O191),--(P191&lt;O191-0.5),1)+ISNUMBER(Q191)*IF(ISNUMBER(P191),--(Q191&lt;P191-0.5),1)+ISNUMBER(R191)*IF(ISNUMBER(Q191),--(R191&lt;Q191-0.5),1)+ISNUMBER(S191)*IF(ISNUMBER(R191),--(S191&lt;R191-0.5),1),1)</f>
        <v/>
      </c>
    </row>
    <row r="192">
      <c r="A192" s="23" t="n">
        <v>54</v>
      </c>
      <c r="B192" s="75" t="n">
        <v>1</v>
      </c>
      <c r="C192" s="157" t="n"/>
      <c r="D192" s="157" t="n"/>
      <c r="E192" s="157" t="n"/>
      <c r="F192" s="157" t="n"/>
      <c r="G192" s="157" t="n"/>
      <c r="H192" s="157" t="n"/>
      <c r="I192" s="157" t="n"/>
      <c r="J192" s="157" t="n"/>
      <c r="K192" s="157" t="n"/>
      <c r="L192" s="157" t="n"/>
      <c r="M192" s="157" t="n"/>
      <c r="N192" s="157" t="n"/>
      <c r="O192" s="157" t="n"/>
      <c r="P192" s="157" t="n"/>
      <c r="Q192" s="157" t="n"/>
      <c r="R192" s="157" t="n"/>
      <c r="S192" s="157" t="n"/>
      <c r="T192" s="157" t="n"/>
      <c r="U192" s="157" t="n"/>
      <c r="V192" s="157" t="n"/>
      <c r="W192" s="157" t="n"/>
      <c r="X192" s="157" t="n"/>
      <c r="Y192" s="157" t="n"/>
      <c r="Z192" s="157" t="n"/>
      <c r="AA192" s="157" t="n"/>
      <c r="AB192" s="157" t="n"/>
      <c r="AC192" s="157" t="n"/>
      <c r="AD192" s="157" t="n"/>
      <c r="AE192" s="157" t="n"/>
      <c r="AF192" s="157" t="n"/>
      <c r="AG192" s="157" t="n"/>
      <c r="AH192" s="157" t="n"/>
      <c r="AI192" s="157" t="n"/>
      <c r="AJ192" s="157" t="n"/>
      <c r="AK192" s="157" t="n"/>
      <c r="AL192" s="157" t="n"/>
      <c r="AM192" s="157" t="n"/>
      <c r="AN192" s="157" t="n"/>
      <c r="AO192" s="157" t="n"/>
      <c r="AP192" s="157" t="n"/>
      <c r="AQ192" s="157" t="n"/>
      <c r="AR192" s="157" t="n"/>
      <c r="AS192" s="157" t="n"/>
      <c r="AT192" s="157" t="n"/>
      <c r="AU192" s="157" t="n"/>
      <c r="AV192" s="157" t="n"/>
      <c r="AW192" s="157" t="n"/>
      <c r="AX192" s="157" t="n"/>
      <c r="AY192" s="157" t="n"/>
      <c r="AZ192" s="157" t="n"/>
      <c r="BA192" s="157" t="n"/>
      <c r="BB192" s="157" t="n"/>
      <c r="BC192" s="157" t="n"/>
      <c r="BD192" s="157" t="n"/>
      <c r="BE192" s="157" t="n"/>
      <c r="BF192" s="157" t="n"/>
      <c r="BG192" s="157" t="n"/>
      <c r="BH192" s="158" t="n"/>
      <c r="BI192" s="159" t="n"/>
      <c r="BJ192" s="23">
        <f>IFERROR(ISNUMBER(E192)*IF(ISNUMBER(D192),--(E192&lt;D192-0.5),1)+ISNUMBER(F192)*IF(ISNUMBER(E192),--(F192&lt;E192-0.5),1)+ISNUMBER(G192)*IF(ISNUMBER(F192),--(G192&lt;F192-0.5),1)+ISNUMBER(H192)*IF(ISNUMBER(G192),--(H192&lt;G192-0.5),1)+ISNUMBER(I192)*IF(ISNUMBER(H192),--(I192&lt;H192-0.5),1)+ISNUMBER(J192)*IF(ISNUMBER(I192),--(J192&lt;I192-0.5),1)+ISNUMBER(K192)*IF(ISNUMBER(J192),--(K192&lt;J192-0.5),1)+IF(AND(ISNUMBER(C192),C192&lt;0),1,0),1)</f>
        <v/>
      </c>
      <c r="BK192" s="23">
        <f>IFERROR(ISNUMBER(M192)*IF(ISNUMBER(L192),--(M192&lt;L192-0.5),1)+ISNUMBER(N192)*IF(ISNUMBER(M192),--(N192&lt;M192-0.5),1)+ISNUMBER(O192)*IF(ISNUMBER(N192),--(O192&lt;N192-0.5),1)+ISNUMBER(P192)*IF(ISNUMBER(O192),--(P192&lt;O192-0.5),1)+ISNUMBER(Q192)*IF(ISNUMBER(P192),--(Q192&lt;P192-0.5),1)+ISNUMBER(R192)*IF(ISNUMBER(Q192),--(R192&lt;Q192-0.5),1)+ISNUMBER(S192)*IF(ISNUMBER(R192),--(S192&lt;R192-0.5),1),1)</f>
        <v/>
      </c>
    </row>
    <row r="193">
      <c r="A193" s="23" t="n">
        <v>55</v>
      </c>
      <c r="B193" s="75" t="n">
        <v>1</v>
      </c>
      <c r="C193" s="157" t="n"/>
      <c r="D193" s="157" t="n"/>
      <c r="E193" s="157" t="n"/>
      <c r="F193" s="157" t="n"/>
      <c r="G193" s="157" t="n"/>
      <c r="H193" s="157" t="n"/>
      <c r="I193" s="157" t="n"/>
      <c r="J193" s="157" t="n"/>
      <c r="K193" s="157" t="n"/>
      <c r="L193" s="157" t="n"/>
      <c r="M193" s="157" t="n"/>
      <c r="N193" s="157" t="n"/>
      <c r="O193" s="157" t="n"/>
      <c r="P193" s="157" t="n"/>
      <c r="Q193" s="157" t="n"/>
      <c r="R193" s="157" t="n"/>
      <c r="S193" s="157" t="n"/>
      <c r="T193" s="157" t="n"/>
      <c r="U193" s="157" t="n"/>
      <c r="V193" s="157" t="n"/>
      <c r="W193" s="157" t="n"/>
      <c r="X193" s="157" t="n"/>
      <c r="Y193" s="157" t="n"/>
      <c r="Z193" s="157" t="n"/>
      <c r="AA193" s="157" t="n"/>
      <c r="AB193" s="157" t="n"/>
      <c r="AC193" s="157" t="n"/>
      <c r="AD193" s="157" t="n"/>
      <c r="AE193" s="157" t="n"/>
      <c r="AF193" s="157" t="n"/>
      <c r="AG193" s="157" t="n"/>
      <c r="AH193" s="157" t="n"/>
      <c r="AI193" s="157" t="n"/>
      <c r="AJ193" s="157" t="n"/>
      <c r="AK193" s="157" t="n"/>
      <c r="AL193" s="157" t="n"/>
      <c r="AM193" s="157" t="n"/>
      <c r="AN193" s="157" t="n"/>
      <c r="AO193" s="157" t="n"/>
      <c r="AP193" s="157" t="n"/>
      <c r="AQ193" s="157" t="n"/>
      <c r="AR193" s="157" t="n"/>
      <c r="AS193" s="157" t="n"/>
      <c r="AT193" s="157" t="n"/>
      <c r="AU193" s="157" t="n"/>
      <c r="AV193" s="157" t="n"/>
      <c r="AW193" s="157" t="n"/>
      <c r="AX193" s="157" t="n"/>
      <c r="AY193" s="157" t="n"/>
      <c r="AZ193" s="157" t="n"/>
      <c r="BA193" s="157" t="n"/>
      <c r="BB193" s="157" t="n"/>
      <c r="BC193" s="157" t="n"/>
      <c r="BD193" s="157" t="n"/>
      <c r="BE193" s="157" t="n"/>
      <c r="BF193" s="157" t="n"/>
      <c r="BG193" s="157" t="n"/>
      <c r="BH193" s="158" t="n"/>
      <c r="BI193" s="159" t="n"/>
      <c r="BJ193" s="23">
        <f>IFERROR(ISNUMBER(E193)*IF(ISNUMBER(D193),--(E193&lt;D193-0.5),1)+ISNUMBER(F193)*IF(ISNUMBER(E193),--(F193&lt;E193-0.5),1)+ISNUMBER(G193)*IF(ISNUMBER(F193),--(G193&lt;F193-0.5),1)+ISNUMBER(H193)*IF(ISNUMBER(G193),--(H193&lt;G193-0.5),1)+ISNUMBER(I193)*IF(ISNUMBER(H193),--(I193&lt;H193-0.5),1)+ISNUMBER(J193)*IF(ISNUMBER(I193),--(J193&lt;I193-0.5),1)+ISNUMBER(K193)*IF(ISNUMBER(J193),--(K193&lt;J193-0.5),1)+IF(AND(ISNUMBER(C193),C193&lt;0),1,0),1)</f>
        <v/>
      </c>
      <c r="BK193" s="23">
        <f>IFERROR(ISNUMBER(M193)*IF(ISNUMBER(L193),--(M193&lt;L193-0.5),1)+ISNUMBER(N193)*IF(ISNUMBER(M193),--(N193&lt;M193-0.5),1)+ISNUMBER(O193)*IF(ISNUMBER(N193),--(O193&lt;N193-0.5),1)+ISNUMBER(P193)*IF(ISNUMBER(O193),--(P193&lt;O193-0.5),1)+ISNUMBER(Q193)*IF(ISNUMBER(P193),--(Q193&lt;P193-0.5),1)+ISNUMBER(R193)*IF(ISNUMBER(Q193),--(R193&lt;Q193-0.5),1)+ISNUMBER(S193)*IF(ISNUMBER(R193),--(S193&lt;R193-0.5),1),1)</f>
        <v/>
      </c>
    </row>
    <row r="194">
      <c r="A194" s="23" t="n">
        <v>56</v>
      </c>
      <c r="B194" s="75" t="n">
        <v>1</v>
      </c>
      <c r="C194" s="157" t="n"/>
      <c r="D194" s="157" t="n"/>
      <c r="E194" s="157" t="n"/>
      <c r="F194" s="157" t="n"/>
      <c r="G194" s="157" t="n"/>
      <c r="H194" s="157" t="n"/>
      <c r="I194" s="157" t="n"/>
      <c r="J194" s="157" t="n"/>
      <c r="K194" s="157" t="n"/>
      <c r="L194" s="157" t="n"/>
      <c r="M194" s="157" t="n"/>
      <c r="N194" s="157" t="n"/>
      <c r="O194" s="157" t="n"/>
      <c r="P194" s="157" t="n"/>
      <c r="Q194" s="157" t="n"/>
      <c r="R194" s="157" t="n"/>
      <c r="S194" s="157" t="n"/>
      <c r="T194" s="157" t="n"/>
      <c r="U194" s="157" t="n"/>
      <c r="V194" s="157" t="n"/>
      <c r="W194" s="157" t="n"/>
      <c r="X194" s="157" t="n"/>
      <c r="Y194" s="157" t="n"/>
      <c r="Z194" s="157" t="n"/>
      <c r="AA194" s="157" t="n"/>
      <c r="AB194" s="157" t="n"/>
      <c r="AC194" s="157" t="n"/>
      <c r="AD194" s="157" t="n"/>
      <c r="AE194" s="157" t="n"/>
      <c r="AF194" s="157" t="n"/>
      <c r="AG194" s="157" t="n"/>
      <c r="AH194" s="157" t="n"/>
      <c r="AI194" s="157" t="n"/>
      <c r="AJ194" s="157" t="n"/>
      <c r="AK194" s="157" t="n"/>
      <c r="AL194" s="157" t="n"/>
      <c r="AM194" s="157" t="n"/>
      <c r="AN194" s="157" t="n"/>
      <c r="AO194" s="157" t="n"/>
      <c r="AP194" s="157" t="n"/>
      <c r="AQ194" s="157" t="n"/>
      <c r="AR194" s="157" t="n"/>
      <c r="AS194" s="157" t="n"/>
      <c r="AT194" s="157" t="n"/>
      <c r="AU194" s="157" t="n"/>
      <c r="AV194" s="157" t="n"/>
      <c r="AW194" s="157" t="n"/>
      <c r="AX194" s="157" t="n"/>
      <c r="AY194" s="157" t="n"/>
      <c r="AZ194" s="157" t="n"/>
      <c r="BA194" s="157" t="n"/>
      <c r="BB194" s="157" t="n"/>
      <c r="BC194" s="157" t="n"/>
      <c r="BD194" s="157" t="n"/>
      <c r="BE194" s="157" t="n"/>
      <c r="BF194" s="157" t="n"/>
      <c r="BG194" s="157" t="n"/>
      <c r="BH194" s="158" t="n"/>
      <c r="BI194" s="159" t="n"/>
      <c r="BJ194" s="23">
        <f>IFERROR(ISNUMBER(E194)*IF(ISNUMBER(D194),--(E194&lt;D194-0.5),1)+ISNUMBER(F194)*IF(ISNUMBER(E194),--(F194&lt;E194-0.5),1)+ISNUMBER(G194)*IF(ISNUMBER(F194),--(G194&lt;F194-0.5),1)+ISNUMBER(H194)*IF(ISNUMBER(G194),--(H194&lt;G194-0.5),1)+ISNUMBER(I194)*IF(ISNUMBER(H194),--(I194&lt;H194-0.5),1)+ISNUMBER(J194)*IF(ISNUMBER(I194),--(J194&lt;I194-0.5),1)+ISNUMBER(K194)*IF(ISNUMBER(J194),--(K194&lt;J194-0.5),1)+IF(AND(ISNUMBER(C194),C194&lt;0),1,0),1)</f>
        <v/>
      </c>
      <c r="BK194" s="23">
        <f>IFERROR(ISNUMBER(M194)*IF(ISNUMBER(L194),--(M194&lt;L194-0.5),1)+ISNUMBER(N194)*IF(ISNUMBER(M194),--(N194&lt;M194-0.5),1)+ISNUMBER(O194)*IF(ISNUMBER(N194),--(O194&lt;N194-0.5),1)+ISNUMBER(P194)*IF(ISNUMBER(O194),--(P194&lt;O194-0.5),1)+ISNUMBER(Q194)*IF(ISNUMBER(P194),--(Q194&lt;P194-0.5),1)+ISNUMBER(R194)*IF(ISNUMBER(Q194),--(R194&lt;Q194-0.5),1)+ISNUMBER(S194)*IF(ISNUMBER(R194),--(S194&lt;R194-0.5),1),1)</f>
        <v/>
      </c>
    </row>
    <row r="195">
      <c r="A195" s="23" t="n">
        <v>57</v>
      </c>
      <c r="B195" s="75" t="n">
        <v>1</v>
      </c>
      <c r="C195" s="157" t="n"/>
      <c r="D195" s="157" t="n"/>
      <c r="E195" s="157" t="n"/>
      <c r="F195" s="157" t="n"/>
      <c r="G195" s="157" t="n"/>
      <c r="H195" s="157" t="n"/>
      <c r="I195" s="157" t="n"/>
      <c r="J195" s="157" t="n"/>
      <c r="K195" s="157" t="n"/>
      <c r="L195" s="157" t="n"/>
      <c r="M195" s="157" t="n"/>
      <c r="N195" s="157" t="n"/>
      <c r="O195" s="157" t="n"/>
      <c r="P195" s="157" t="n"/>
      <c r="Q195" s="157" t="n"/>
      <c r="R195" s="157" t="n"/>
      <c r="S195" s="157" t="n"/>
      <c r="T195" s="157" t="n"/>
      <c r="U195" s="157" t="n"/>
      <c r="V195" s="157" t="n"/>
      <c r="W195" s="157" t="n"/>
      <c r="X195" s="157" t="n"/>
      <c r="Y195" s="157" t="n"/>
      <c r="Z195" s="157" t="n"/>
      <c r="AA195" s="157" t="n"/>
      <c r="AB195" s="157" t="n"/>
      <c r="AC195" s="157" t="n"/>
      <c r="AD195" s="157" t="n"/>
      <c r="AE195" s="157" t="n"/>
      <c r="AF195" s="157" t="n"/>
      <c r="AG195" s="157" t="n"/>
      <c r="AH195" s="157" t="n"/>
      <c r="AI195" s="157" t="n"/>
      <c r="AJ195" s="157" t="n"/>
      <c r="AK195" s="157" t="n"/>
      <c r="AL195" s="157" t="n"/>
      <c r="AM195" s="157" t="n"/>
      <c r="AN195" s="157" t="n"/>
      <c r="AO195" s="157" t="n"/>
      <c r="AP195" s="157" t="n"/>
      <c r="AQ195" s="157" t="n"/>
      <c r="AR195" s="157" t="n"/>
      <c r="AS195" s="157" t="n"/>
      <c r="AT195" s="157" t="n"/>
      <c r="AU195" s="157" t="n"/>
      <c r="AV195" s="157" t="n"/>
      <c r="AW195" s="157" t="n"/>
      <c r="AX195" s="157" t="n"/>
      <c r="AY195" s="157" t="n"/>
      <c r="AZ195" s="157" t="n"/>
      <c r="BA195" s="157" t="n"/>
      <c r="BB195" s="157" t="n"/>
      <c r="BC195" s="157" t="n"/>
      <c r="BD195" s="157" t="n"/>
      <c r="BE195" s="157" t="n"/>
      <c r="BF195" s="157" t="n"/>
      <c r="BG195" s="157" t="n"/>
      <c r="BH195" s="158" t="n"/>
      <c r="BI195" s="159" t="n"/>
      <c r="BJ195" s="23">
        <f>IFERROR(ISNUMBER(E195)*IF(ISNUMBER(D195),--(E195&lt;D195-0.5),1)+ISNUMBER(F195)*IF(ISNUMBER(E195),--(F195&lt;E195-0.5),1)+ISNUMBER(G195)*IF(ISNUMBER(F195),--(G195&lt;F195-0.5),1)+ISNUMBER(H195)*IF(ISNUMBER(G195),--(H195&lt;G195-0.5),1)+ISNUMBER(I195)*IF(ISNUMBER(H195),--(I195&lt;H195-0.5),1)+ISNUMBER(J195)*IF(ISNUMBER(I195),--(J195&lt;I195-0.5),1)+ISNUMBER(K195)*IF(ISNUMBER(J195),--(K195&lt;J195-0.5),1)+IF(AND(ISNUMBER(C195),C195&lt;0),1,0),1)</f>
        <v/>
      </c>
      <c r="BK195" s="23">
        <f>IFERROR(ISNUMBER(M195)*IF(ISNUMBER(L195),--(M195&lt;L195-0.5),1)+ISNUMBER(N195)*IF(ISNUMBER(M195),--(N195&lt;M195-0.5),1)+ISNUMBER(O195)*IF(ISNUMBER(N195),--(O195&lt;N195-0.5),1)+ISNUMBER(P195)*IF(ISNUMBER(O195),--(P195&lt;O195-0.5),1)+ISNUMBER(Q195)*IF(ISNUMBER(P195),--(Q195&lt;P195-0.5),1)+ISNUMBER(R195)*IF(ISNUMBER(Q195),--(R195&lt;Q195-0.5),1)+ISNUMBER(S195)*IF(ISNUMBER(R195),--(S195&lt;R195-0.5),1),1)</f>
        <v/>
      </c>
    </row>
    <row r="196">
      <c r="A196" s="23" t="n">
        <v>58</v>
      </c>
      <c r="B196" s="75" t="n">
        <v>1</v>
      </c>
      <c r="C196" s="157" t="n"/>
      <c r="D196" s="157" t="n"/>
      <c r="E196" s="157" t="n"/>
      <c r="F196" s="157" t="n"/>
      <c r="G196" s="157" t="n"/>
      <c r="H196" s="157" t="n"/>
      <c r="I196" s="157" t="n"/>
      <c r="J196" s="157" t="n"/>
      <c r="K196" s="157" t="n"/>
      <c r="L196" s="157" t="n"/>
      <c r="M196" s="157" t="n"/>
      <c r="N196" s="157" t="n"/>
      <c r="O196" s="157" t="n"/>
      <c r="P196" s="157" t="n"/>
      <c r="Q196" s="157" t="n"/>
      <c r="R196" s="157" t="n"/>
      <c r="S196" s="157" t="n"/>
      <c r="T196" s="157" t="n"/>
      <c r="U196" s="157" t="n"/>
      <c r="V196" s="157" t="n"/>
      <c r="W196" s="157" t="n"/>
      <c r="X196" s="157" t="n"/>
      <c r="Y196" s="157" t="n"/>
      <c r="Z196" s="157" t="n"/>
      <c r="AA196" s="157" t="n"/>
      <c r="AB196" s="157" t="n"/>
      <c r="AC196" s="157" t="n"/>
      <c r="AD196" s="157" t="n"/>
      <c r="AE196" s="157" t="n"/>
      <c r="AF196" s="157" t="n"/>
      <c r="AG196" s="157" t="n"/>
      <c r="AH196" s="157" t="n"/>
      <c r="AI196" s="157" t="n"/>
      <c r="AJ196" s="157" t="n"/>
      <c r="AK196" s="157" t="n"/>
      <c r="AL196" s="157" t="n"/>
      <c r="AM196" s="157" t="n"/>
      <c r="AN196" s="157" t="n"/>
      <c r="AO196" s="157" t="n"/>
      <c r="AP196" s="157" t="n"/>
      <c r="AQ196" s="157" t="n"/>
      <c r="AR196" s="157" t="n"/>
      <c r="AS196" s="157" t="n"/>
      <c r="AT196" s="157" t="n"/>
      <c r="AU196" s="157" t="n"/>
      <c r="AV196" s="157" t="n"/>
      <c r="AW196" s="157" t="n"/>
      <c r="AX196" s="157" t="n"/>
      <c r="AY196" s="157" t="n"/>
      <c r="AZ196" s="157" t="n"/>
      <c r="BA196" s="157" t="n"/>
      <c r="BB196" s="157" t="n"/>
      <c r="BC196" s="157" t="n"/>
      <c r="BD196" s="157" t="n"/>
      <c r="BE196" s="157" t="n"/>
      <c r="BF196" s="157" t="n"/>
      <c r="BG196" s="157" t="n"/>
      <c r="BH196" s="158" t="n"/>
      <c r="BI196" s="159" t="n"/>
      <c r="BJ196" s="23">
        <f>IFERROR(ISNUMBER(E196)*IF(ISNUMBER(D196),--(E196&lt;D196-0.5),1)+ISNUMBER(F196)*IF(ISNUMBER(E196),--(F196&lt;E196-0.5),1)+ISNUMBER(G196)*IF(ISNUMBER(F196),--(G196&lt;F196-0.5),1)+ISNUMBER(H196)*IF(ISNUMBER(G196),--(H196&lt;G196-0.5),1)+ISNUMBER(I196)*IF(ISNUMBER(H196),--(I196&lt;H196-0.5),1)+ISNUMBER(J196)*IF(ISNUMBER(I196),--(J196&lt;I196-0.5),1)+ISNUMBER(K196)*IF(ISNUMBER(J196),--(K196&lt;J196-0.5),1)+IF(AND(ISNUMBER(C196),C196&lt;0),1,0),1)</f>
        <v/>
      </c>
      <c r="BK196" s="23">
        <f>IFERROR(ISNUMBER(M196)*IF(ISNUMBER(L196),--(M196&lt;L196-0.5),1)+ISNUMBER(N196)*IF(ISNUMBER(M196),--(N196&lt;M196-0.5),1)+ISNUMBER(O196)*IF(ISNUMBER(N196),--(O196&lt;N196-0.5),1)+ISNUMBER(P196)*IF(ISNUMBER(O196),--(P196&lt;O196-0.5),1)+ISNUMBER(Q196)*IF(ISNUMBER(P196),--(Q196&lt;P196-0.5),1)+ISNUMBER(R196)*IF(ISNUMBER(Q196),--(R196&lt;Q196-0.5),1)+ISNUMBER(S196)*IF(ISNUMBER(R196),--(S196&lt;R196-0.5),1),1)</f>
        <v/>
      </c>
    </row>
    <row r="197">
      <c r="A197" s="23" t="n">
        <v>59</v>
      </c>
      <c r="B197" s="75" t="n">
        <v>1</v>
      </c>
      <c r="C197" s="157" t="n"/>
      <c r="D197" s="157" t="n"/>
      <c r="E197" s="157" t="n"/>
      <c r="F197" s="157" t="n"/>
      <c r="G197" s="157" t="n"/>
      <c r="H197" s="157" t="n"/>
      <c r="I197" s="157" t="n"/>
      <c r="J197" s="157" t="n"/>
      <c r="K197" s="157" t="n"/>
      <c r="L197" s="157" t="n"/>
      <c r="M197" s="157" t="n"/>
      <c r="N197" s="157" t="n"/>
      <c r="O197" s="157" t="n"/>
      <c r="P197" s="157" t="n"/>
      <c r="Q197" s="157" t="n"/>
      <c r="R197" s="157" t="n"/>
      <c r="S197" s="157" t="n"/>
      <c r="T197" s="157" t="n"/>
      <c r="U197" s="157" t="n"/>
      <c r="V197" s="157" t="n"/>
      <c r="W197" s="157" t="n"/>
      <c r="X197" s="157" t="n"/>
      <c r="Y197" s="157" t="n"/>
      <c r="Z197" s="157" t="n"/>
      <c r="AA197" s="157" t="n"/>
      <c r="AB197" s="157" t="n"/>
      <c r="AC197" s="157" t="n"/>
      <c r="AD197" s="157" t="n"/>
      <c r="AE197" s="157" t="n"/>
      <c r="AF197" s="157" t="n"/>
      <c r="AG197" s="157" t="n"/>
      <c r="AH197" s="157" t="n"/>
      <c r="AI197" s="157" t="n"/>
      <c r="AJ197" s="157" t="n"/>
      <c r="AK197" s="157" t="n"/>
      <c r="AL197" s="157" t="n"/>
      <c r="AM197" s="157" t="n"/>
      <c r="AN197" s="157" t="n"/>
      <c r="AO197" s="157" t="n"/>
      <c r="AP197" s="157" t="n"/>
      <c r="AQ197" s="157" t="n"/>
      <c r="AR197" s="157" t="n"/>
      <c r="AS197" s="157" t="n"/>
      <c r="AT197" s="157" t="n"/>
      <c r="AU197" s="157" t="n"/>
      <c r="AV197" s="157" t="n"/>
      <c r="AW197" s="157" t="n"/>
      <c r="AX197" s="157" t="n"/>
      <c r="AY197" s="157" t="n"/>
      <c r="AZ197" s="157" t="n"/>
      <c r="BA197" s="157" t="n"/>
      <c r="BB197" s="157" t="n"/>
      <c r="BC197" s="157" t="n"/>
      <c r="BD197" s="157" t="n"/>
      <c r="BE197" s="157" t="n"/>
      <c r="BF197" s="157" t="n"/>
      <c r="BG197" s="157" t="n"/>
      <c r="BH197" s="158" t="n"/>
      <c r="BI197" s="159" t="n"/>
      <c r="BJ197" s="23">
        <f>IFERROR(ISNUMBER(E197)*IF(ISNUMBER(D197),--(E197&lt;D197-0.5),1)+ISNUMBER(F197)*IF(ISNUMBER(E197),--(F197&lt;E197-0.5),1)+ISNUMBER(G197)*IF(ISNUMBER(F197),--(G197&lt;F197-0.5),1)+ISNUMBER(H197)*IF(ISNUMBER(G197),--(H197&lt;G197-0.5),1)+ISNUMBER(I197)*IF(ISNUMBER(H197),--(I197&lt;H197-0.5),1)+ISNUMBER(J197)*IF(ISNUMBER(I197),--(J197&lt;I197-0.5),1)+ISNUMBER(K197)*IF(ISNUMBER(J197),--(K197&lt;J197-0.5),1)+IF(AND(ISNUMBER(C197),C197&lt;0),1,0),1)</f>
        <v/>
      </c>
      <c r="BK197" s="23">
        <f>IFERROR(ISNUMBER(M197)*IF(ISNUMBER(L197),--(M197&lt;L197-0.5),1)+ISNUMBER(N197)*IF(ISNUMBER(M197),--(N197&lt;M197-0.5),1)+ISNUMBER(O197)*IF(ISNUMBER(N197),--(O197&lt;N197-0.5),1)+ISNUMBER(P197)*IF(ISNUMBER(O197),--(P197&lt;O197-0.5),1)+ISNUMBER(Q197)*IF(ISNUMBER(P197),--(Q197&lt;P197-0.5),1)+ISNUMBER(R197)*IF(ISNUMBER(Q197),--(R197&lt;Q197-0.5),1)+ISNUMBER(S197)*IF(ISNUMBER(R197),--(S197&lt;R197-0.5),1),1)</f>
        <v/>
      </c>
    </row>
    <row r="198">
      <c r="A198" s="23" t="n">
        <v>60</v>
      </c>
      <c r="B198" s="75" t="n">
        <v>1</v>
      </c>
      <c r="C198" s="157" t="n"/>
      <c r="D198" s="157" t="n"/>
      <c r="E198" s="157" t="n"/>
      <c r="F198" s="157" t="n"/>
      <c r="G198" s="157" t="n"/>
      <c r="H198" s="157" t="n"/>
      <c r="I198" s="157" t="n"/>
      <c r="J198" s="157" t="n"/>
      <c r="K198" s="157" t="n"/>
      <c r="L198" s="157" t="n"/>
      <c r="M198" s="157" t="n"/>
      <c r="N198" s="157" t="n"/>
      <c r="O198" s="157" t="n"/>
      <c r="P198" s="157" t="n"/>
      <c r="Q198" s="157" t="n"/>
      <c r="R198" s="157" t="n"/>
      <c r="S198" s="157" t="n"/>
      <c r="T198" s="157" t="n"/>
      <c r="U198" s="157" t="n"/>
      <c r="V198" s="157" t="n"/>
      <c r="W198" s="157" t="n"/>
      <c r="X198" s="157" t="n"/>
      <c r="Y198" s="157" t="n"/>
      <c r="Z198" s="157" t="n"/>
      <c r="AA198" s="157" t="n"/>
      <c r="AB198" s="157" t="n"/>
      <c r="AC198" s="157" t="n"/>
      <c r="AD198" s="157" t="n"/>
      <c r="AE198" s="157" t="n"/>
      <c r="AF198" s="157" t="n"/>
      <c r="AG198" s="157" t="n"/>
      <c r="AH198" s="157" t="n"/>
      <c r="AI198" s="157" t="n"/>
      <c r="AJ198" s="157" t="n"/>
      <c r="AK198" s="157" t="n"/>
      <c r="AL198" s="157" t="n"/>
      <c r="AM198" s="157" t="n"/>
      <c r="AN198" s="157" t="n"/>
      <c r="AO198" s="157" t="n"/>
      <c r="AP198" s="157" t="n"/>
      <c r="AQ198" s="157" t="n"/>
      <c r="AR198" s="157" t="n"/>
      <c r="AS198" s="157" t="n"/>
      <c r="AT198" s="157" t="n"/>
      <c r="AU198" s="157" t="n"/>
      <c r="AV198" s="157" t="n"/>
      <c r="AW198" s="157" t="n"/>
      <c r="AX198" s="157" t="n"/>
      <c r="AY198" s="157" t="n"/>
      <c r="AZ198" s="157" t="n"/>
      <c r="BA198" s="157" t="n"/>
      <c r="BB198" s="157" t="n"/>
      <c r="BC198" s="157" t="n"/>
      <c r="BD198" s="157" t="n"/>
      <c r="BE198" s="157" t="n"/>
      <c r="BF198" s="157" t="n"/>
      <c r="BG198" s="157" t="n"/>
      <c r="BH198" s="158" t="n"/>
      <c r="BI198" s="159" t="n"/>
      <c r="BJ198" s="23">
        <f>IFERROR(ISNUMBER(E198)*IF(ISNUMBER(D198),--(E198&lt;D198-0.5),1)+ISNUMBER(F198)*IF(ISNUMBER(E198),--(F198&lt;E198-0.5),1)+ISNUMBER(G198)*IF(ISNUMBER(F198),--(G198&lt;F198-0.5),1)+ISNUMBER(H198)*IF(ISNUMBER(G198),--(H198&lt;G198-0.5),1)+ISNUMBER(I198)*IF(ISNUMBER(H198),--(I198&lt;H198-0.5),1)+ISNUMBER(J198)*IF(ISNUMBER(I198),--(J198&lt;I198-0.5),1)+ISNUMBER(K198)*IF(ISNUMBER(J198),--(K198&lt;J198-0.5),1)+IF(AND(ISNUMBER(C198),C198&lt;0),1,0),1)</f>
        <v/>
      </c>
      <c r="BK198" s="23">
        <f>IFERROR(ISNUMBER(M198)*IF(ISNUMBER(L198),--(M198&lt;L198-0.5),1)+ISNUMBER(N198)*IF(ISNUMBER(M198),--(N198&lt;M198-0.5),1)+ISNUMBER(O198)*IF(ISNUMBER(N198),--(O198&lt;N198-0.5),1)+ISNUMBER(P198)*IF(ISNUMBER(O198),--(P198&lt;O198-0.5),1)+ISNUMBER(Q198)*IF(ISNUMBER(P198),--(Q198&lt;P198-0.5),1)+ISNUMBER(R198)*IF(ISNUMBER(Q198),--(R198&lt;Q198-0.5),1)+ISNUMBER(S198)*IF(ISNUMBER(R198),--(S198&lt;R198-0.5),1),1)</f>
        <v/>
      </c>
    </row>
    <row r="199"/>
    <row r="200"/>
    <row r="201">
      <c r="A201" s="111" t="inlineStr">
        <is>
          <t>Tier 4: Solar inverter + lithium (~1.2 kWp / 5 kWh)</t>
        </is>
      </c>
    </row>
    <row r="202">
      <c r="D202" s="151" t="inlineStr">
        <is>
          <t>Cumulative collections</t>
        </is>
      </c>
      <c r="L202" s="151" t="inlineStr">
        <is>
          <t>Cumulative instalments due</t>
        </is>
      </c>
      <c r="T202" s="151" t="inlineStr">
        <is>
          <t>30+ DPD exposure (arrears incl. written off + outstanding)</t>
        </is>
      </c>
      <c r="AB202" s="151" t="inlineStr">
        <is>
          <t>90+ DPD exposure (arrears incl. written off + outstanding)</t>
        </is>
      </c>
      <c r="AJ202" s="151" t="inlineStr">
        <is>
          <t>180+ default exposure (cumulative)</t>
        </is>
      </c>
      <c r="AR202" s="151" t="inlineStr">
        <is>
          <t>Cumulative recoveries (net)</t>
        </is>
      </c>
      <c r="AZ202" s="151" t="inlineStr">
        <is>
          <t>Active accounts</t>
        </is>
      </c>
    </row>
    <row r="203">
      <c r="A203" s="40" t="inlineStr">
        <is>
          <t>Cohort #</t>
        </is>
      </c>
      <c r="B203" s="40" t="inlineStr">
        <is>
          <t>Mode</t>
        </is>
      </c>
      <c r="C203" s="40" t="inlineStr">
        <is>
          <t>Units originated</t>
        </is>
      </c>
      <c r="D203" s="40" t="inlineStr">
        <is>
          <t>M3</t>
        </is>
      </c>
      <c r="E203" s="40" t="inlineStr">
        <is>
          <t>M6</t>
        </is>
      </c>
      <c r="F203" s="40" t="inlineStr">
        <is>
          <t>M12</t>
        </is>
      </c>
      <c r="G203" s="40" t="inlineStr">
        <is>
          <t>M18</t>
        </is>
      </c>
      <c r="H203" s="40" t="inlineStr">
        <is>
          <t>M24</t>
        </is>
      </c>
      <c r="I203" s="40" t="inlineStr">
        <is>
          <t>M36</t>
        </is>
      </c>
      <c r="J203" s="40" t="inlineStr">
        <is>
          <t>M48</t>
        </is>
      </c>
      <c r="K203" s="40" t="inlineStr">
        <is>
          <t>M60</t>
        </is>
      </c>
      <c r="L203" s="40" t="inlineStr">
        <is>
          <t>M3</t>
        </is>
      </c>
      <c r="M203" s="40" t="inlineStr">
        <is>
          <t>M6</t>
        </is>
      </c>
      <c r="N203" s="40" t="inlineStr">
        <is>
          <t>M12</t>
        </is>
      </c>
      <c r="O203" s="40" t="inlineStr">
        <is>
          <t>M18</t>
        </is>
      </c>
      <c r="P203" s="40" t="inlineStr">
        <is>
          <t>M24</t>
        </is>
      </c>
      <c r="Q203" s="40" t="inlineStr">
        <is>
          <t>M36</t>
        </is>
      </c>
      <c r="R203" s="40" t="inlineStr">
        <is>
          <t>M48</t>
        </is>
      </c>
      <c r="S203" s="40" t="inlineStr">
        <is>
          <t>M60</t>
        </is>
      </c>
      <c r="T203" s="40" t="inlineStr">
        <is>
          <t>M3</t>
        </is>
      </c>
      <c r="U203" s="40" t="inlineStr">
        <is>
          <t>M6</t>
        </is>
      </c>
      <c r="V203" s="40" t="inlineStr">
        <is>
          <t>M12</t>
        </is>
      </c>
      <c r="W203" s="40" t="inlineStr">
        <is>
          <t>M18</t>
        </is>
      </c>
      <c r="X203" s="40" t="inlineStr">
        <is>
          <t>M24</t>
        </is>
      </c>
      <c r="Y203" s="40" t="inlineStr">
        <is>
          <t>M36</t>
        </is>
      </c>
      <c r="Z203" s="40" t="inlineStr">
        <is>
          <t>M48</t>
        </is>
      </c>
      <c r="AA203" s="40" t="inlineStr">
        <is>
          <t>M60</t>
        </is>
      </c>
      <c r="AB203" s="40" t="inlineStr">
        <is>
          <t>M3</t>
        </is>
      </c>
      <c r="AC203" s="40" t="inlineStr">
        <is>
          <t>M6</t>
        </is>
      </c>
      <c r="AD203" s="40" t="inlineStr">
        <is>
          <t>M12</t>
        </is>
      </c>
      <c r="AE203" s="40" t="inlineStr">
        <is>
          <t>M18</t>
        </is>
      </c>
      <c r="AF203" s="40" t="inlineStr">
        <is>
          <t>M24</t>
        </is>
      </c>
      <c r="AG203" s="40" t="inlineStr">
        <is>
          <t>M36</t>
        </is>
      </c>
      <c r="AH203" s="40" t="inlineStr">
        <is>
          <t>M48</t>
        </is>
      </c>
      <c r="AI203" s="40" t="inlineStr">
        <is>
          <t>M60</t>
        </is>
      </c>
      <c r="AJ203" s="40" t="inlineStr">
        <is>
          <t>M3</t>
        </is>
      </c>
      <c r="AK203" s="40" t="inlineStr">
        <is>
          <t>M6</t>
        </is>
      </c>
      <c r="AL203" s="40" t="inlineStr">
        <is>
          <t>M12</t>
        </is>
      </c>
      <c r="AM203" s="40" t="inlineStr">
        <is>
          <t>M18</t>
        </is>
      </c>
      <c r="AN203" s="40" t="inlineStr">
        <is>
          <t>M24</t>
        </is>
      </c>
      <c r="AO203" s="40" t="inlineStr">
        <is>
          <t>M36</t>
        </is>
      </c>
      <c r="AP203" s="40" t="inlineStr">
        <is>
          <t>M48</t>
        </is>
      </c>
      <c r="AQ203" s="40" t="inlineStr">
        <is>
          <t>M60</t>
        </is>
      </c>
      <c r="AR203" s="40" t="inlineStr">
        <is>
          <t>M3</t>
        </is>
      </c>
      <c r="AS203" s="40" t="inlineStr">
        <is>
          <t>M6</t>
        </is>
      </c>
      <c r="AT203" s="40" t="inlineStr">
        <is>
          <t>M12</t>
        </is>
      </c>
      <c r="AU203" s="40" t="inlineStr">
        <is>
          <t>M18</t>
        </is>
      </c>
      <c r="AV203" s="40" t="inlineStr">
        <is>
          <t>M24</t>
        </is>
      </c>
      <c r="AW203" s="40" t="inlineStr">
        <is>
          <t>M36</t>
        </is>
      </c>
      <c r="AX203" s="40" t="inlineStr">
        <is>
          <t>M48</t>
        </is>
      </c>
      <c r="AY203" s="40" t="inlineStr">
        <is>
          <t>M60</t>
        </is>
      </c>
      <c r="AZ203" s="40" t="inlineStr">
        <is>
          <t>M3</t>
        </is>
      </c>
      <c r="BA203" s="40" t="inlineStr">
        <is>
          <t>M6</t>
        </is>
      </c>
      <c r="BB203" s="40" t="inlineStr">
        <is>
          <t>M12</t>
        </is>
      </c>
      <c r="BC203" s="40" t="inlineStr">
        <is>
          <t>M18</t>
        </is>
      </c>
      <c r="BD203" s="40" t="inlineStr">
        <is>
          <t>M24</t>
        </is>
      </c>
      <c r="BE203" s="40" t="inlineStr">
        <is>
          <t>M36</t>
        </is>
      </c>
      <c r="BF203" s="40" t="inlineStr">
        <is>
          <t>M48</t>
        </is>
      </c>
      <c r="BG203" s="40" t="inlineStr">
        <is>
          <t>M60</t>
        </is>
      </c>
      <c r="BH203" s="40" t="inlineStr">
        <is>
          <t>Ownership at 2x (%)</t>
        </is>
      </c>
      <c r="BI203" s="40" t="inlineStr">
        <is>
          <t>Notes</t>
        </is>
      </c>
      <c r="BJ203" s="40" t="inlineStr">
        <is>
          <t>Check: collections, units (0 = OK)</t>
        </is>
      </c>
      <c r="BK203" s="40" t="inlineStr">
        <is>
          <t>Check: instalments due (0 = OK)</t>
        </is>
      </c>
    </row>
    <row r="204">
      <c r="A204" s="23" t="n">
        <v>1</v>
      </c>
      <c r="B204" s="75" t="n">
        <v>1</v>
      </c>
      <c r="C204" s="157" t="n"/>
      <c r="D204" s="157" t="n"/>
      <c r="E204" s="157" t="n"/>
      <c r="F204" s="157" t="n"/>
      <c r="G204" s="157" t="n"/>
      <c r="H204" s="157" t="n"/>
      <c r="I204" s="157" t="n"/>
      <c r="J204" s="157" t="n"/>
      <c r="K204" s="157" t="n"/>
      <c r="L204" s="157" t="n"/>
      <c r="M204" s="157" t="n"/>
      <c r="N204" s="157" t="n"/>
      <c r="O204" s="157" t="n"/>
      <c r="P204" s="157" t="n"/>
      <c r="Q204" s="157" t="n"/>
      <c r="R204" s="157" t="n"/>
      <c r="S204" s="157" t="n"/>
      <c r="T204" s="157" t="n"/>
      <c r="U204" s="157" t="n"/>
      <c r="V204" s="157" t="n"/>
      <c r="W204" s="157" t="n"/>
      <c r="X204" s="157" t="n"/>
      <c r="Y204" s="157" t="n"/>
      <c r="Z204" s="157" t="n"/>
      <c r="AA204" s="157" t="n"/>
      <c r="AB204" s="157" t="n"/>
      <c r="AC204" s="157" t="n"/>
      <c r="AD204" s="157" t="n"/>
      <c r="AE204" s="157" t="n"/>
      <c r="AF204" s="157" t="n"/>
      <c r="AG204" s="157" t="n"/>
      <c r="AH204" s="157" t="n"/>
      <c r="AI204" s="157" t="n"/>
      <c r="AJ204" s="157" t="n"/>
      <c r="AK204" s="157" t="n"/>
      <c r="AL204" s="157" t="n"/>
      <c r="AM204" s="157" t="n"/>
      <c r="AN204" s="157" t="n"/>
      <c r="AO204" s="157" t="n"/>
      <c r="AP204" s="157" t="n"/>
      <c r="AQ204" s="157" t="n"/>
      <c r="AR204" s="157" t="n"/>
      <c r="AS204" s="157" t="n"/>
      <c r="AT204" s="157" t="n"/>
      <c r="AU204" s="157" t="n"/>
      <c r="AV204" s="157" t="n"/>
      <c r="AW204" s="157" t="n"/>
      <c r="AX204" s="157" t="n"/>
      <c r="AY204" s="157" t="n"/>
      <c r="AZ204" s="157" t="n"/>
      <c r="BA204" s="157" t="n"/>
      <c r="BB204" s="157" t="n"/>
      <c r="BC204" s="157" t="n"/>
      <c r="BD204" s="157" t="n"/>
      <c r="BE204" s="157" t="n"/>
      <c r="BF204" s="157" t="n"/>
      <c r="BG204" s="157" t="n"/>
      <c r="BH204" s="158" t="n"/>
      <c r="BI204" s="159" t="n"/>
      <c r="BJ204" s="23">
        <f>IFERROR(ISNUMBER(E204)*IF(ISNUMBER(D204),--(E204&lt;D204-0.5),1)+ISNUMBER(F204)*IF(ISNUMBER(E204),--(F204&lt;E204-0.5),1)+ISNUMBER(G204)*IF(ISNUMBER(F204),--(G204&lt;F204-0.5),1)+ISNUMBER(H204)*IF(ISNUMBER(G204),--(H204&lt;G204-0.5),1)+ISNUMBER(I204)*IF(ISNUMBER(H204),--(I204&lt;H204-0.5),1)+ISNUMBER(J204)*IF(ISNUMBER(I204),--(J204&lt;I204-0.5),1)+ISNUMBER(K204)*IF(ISNUMBER(J204),--(K204&lt;J204-0.5),1)+IF(AND(ISNUMBER(C204),C204&lt;0),1,0),1)</f>
        <v/>
      </c>
      <c r="BK204" s="23">
        <f>IFERROR(ISNUMBER(M204)*IF(ISNUMBER(L204),--(M204&lt;L204-0.5),1)+ISNUMBER(N204)*IF(ISNUMBER(M204),--(N204&lt;M204-0.5),1)+ISNUMBER(O204)*IF(ISNUMBER(N204),--(O204&lt;N204-0.5),1)+ISNUMBER(P204)*IF(ISNUMBER(O204),--(P204&lt;O204-0.5),1)+ISNUMBER(Q204)*IF(ISNUMBER(P204),--(Q204&lt;P204-0.5),1)+ISNUMBER(R204)*IF(ISNUMBER(Q204),--(R204&lt;Q204-0.5),1)+ISNUMBER(S204)*IF(ISNUMBER(R204),--(S204&lt;R204-0.5),1),1)</f>
        <v/>
      </c>
    </row>
    <row r="205">
      <c r="A205" s="23" t="n">
        <v>2</v>
      </c>
      <c r="B205" s="75" t="n">
        <v>1</v>
      </c>
      <c r="C205" s="157" t="n"/>
      <c r="D205" s="157" t="n"/>
      <c r="E205" s="157" t="n"/>
      <c r="F205" s="157" t="n"/>
      <c r="G205" s="157" t="n"/>
      <c r="H205" s="157" t="n"/>
      <c r="I205" s="157" t="n"/>
      <c r="J205" s="157" t="n"/>
      <c r="K205" s="157" t="n"/>
      <c r="L205" s="157" t="n"/>
      <c r="M205" s="157" t="n"/>
      <c r="N205" s="157" t="n"/>
      <c r="O205" s="157" t="n"/>
      <c r="P205" s="157" t="n"/>
      <c r="Q205" s="157" t="n"/>
      <c r="R205" s="157" t="n"/>
      <c r="S205" s="157" t="n"/>
      <c r="T205" s="157" t="n"/>
      <c r="U205" s="157" t="n"/>
      <c r="V205" s="157" t="n"/>
      <c r="W205" s="157" t="n"/>
      <c r="X205" s="157" t="n"/>
      <c r="Y205" s="157" t="n"/>
      <c r="Z205" s="157" t="n"/>
      <c r="AA205" s="157" t="n"/>
      <c r="AB205" s="157" t="n"/>
      <c r="AC205" s="157" t="n"/>
      <c r="AD205" s="157" t="n"/>
      <c r="AE205" s="157" t="n"/>
      <c r="AF205" s="157" t="n"/>
      <c r="AG205" s="157" t="n"/>
      <c r="AH205" s="157" t="n"/>
      <c r="AI205" s="157" t="n"/>
      <c r="AJ205" s="157" t="n"/>
      <c r="AK205" s="157" t="n"/>
      <c r="AL205" s="157" t="n"/>
      <c r="AM205" s="157" t="n"/>
      <c r="AN205" s="157" t="n"/>
      <c r="AO205" s="157" t="n"/>
      <c r="AP205" s="157" t="n"/>
      <c r="AQ205" s="157" t="n"/>
      <c r="AR205" s="157" t="n"/>
      <c r="AS205" s="157" t="n"/>
      <c r="AT205" s="157" t="n"/>
      <c r="AU205" s="157" t="n"/>
      <c r="AV205" s="157" t="n"/>
      <c r="AW205" s="157" t="n"/>
      <c r="AX205" s="157" t="n"/>
      <c r="AY205" s="157" t="n"/>
      <c r="AZ205" s="157" t="n"/>
      <c r="BA205" s="157" t="n"/>
      <c r="BB205" s="157" t="n"/>
      <c r="BC205" s="157" t="n"/>
      <c r="BD205" s="157" t="n"/>
      <c r="BE205" s="157" t="n"/>
      <c r="BF205" s="157" t="n"/>
      <c r="BG205" s="157" t="n"/>
      <c r="BH205" s="158" t="n"/>
      <c r="BI205" s="159" t="n"/>
      <c r="BJ205" s="23">
        <f>IFERROR(ISNUMBER(E205)*IF(ISNUMBER(D205),--(E205&lt;D205-0.5),1)+ISNUMBER(F205)*IF(ISNUMBER(E205),--(F205&lt;E205-0.5),1)+ISNUMBER(G205)*IF(ISNUMBER(F205),--(G205&lt;F205-0.5),1)+ISNUMBER(H205)*IF(ISNUMBER(G205),--(H205&lt;G205-0.5),1)+ISNUMBER(I205)*IF(ISNUMBER(H205),--(I205&lt;H205-0.5),1)+ISNUMBER(J205)*IF(ISNUMBER(I205),--(J205&lt;I205-0.5),1)+ISNUMBER(K205)*IF(ISNUMBER(J205),--(K205&lt;J205-0.5),1)+IF(AND(ISNUMBER(C205),C205&lt;0),1,0),1)</f>
        <v/>
      </c>
      <c r="BK205" s="23">
        <f>IFERROR(ISNUMBER(M205)*IF(ISNUMBER(L205),--(M205&lt;L205-0.5),1)+ISNUMBER(N205)*IF(ISNUMBER(M205),--(N205&lt;M205-0.5),1)+ISNUMBER(O205)*IF(ISNUMBER(N205),--(O205&lt;N205-0.5),1)+ISNUMBER(P205)*IF(ISNUMBER(O205),--(P205&lt;O205-0.5),1)+ISNUMBER(Q205)*IF(ISNUMBER(P205),--(Q205&lt;P205-0.5),1)+ISNUMBER(R205)*IF(ISNUMBER(Q205),--(R205&lt;Q205-0.5),1)+ISNUMBER(S205)*IF(ISNUMBER(R205),--(S205&lt;R205-0.5),1),1)</f>
        <v/>
      </c>
    </row>
    <row r="206">
      <c r="A206" s="23" t="n">
        <v>3</v>
      </c>
      <c r="B206" s="75" t="n">
        <v>1</v>
      </c>
      <c r="C206" s="157" t="n"/>
      <c r="D206" s="157" t="n"/>
      <c r="E206" s="157" t="n"/>
      <c r="F206" s="157" t="n"/>
      <c r="G206" s="157" t="n"/>
      <c r="H206" s="157" t="n"/>
      <c r="I206" s="157" t="n"/>
      <c r="J206" s="157" t="n"/>
      <c r="K206" s="157" t="n"/>
      <c r="L206" s="157" t="n"/>
      <c r="M206" s="157" t="n"/>
      <c r="N206" s="157" t="n"/>
      <c r="O206" s="157" t="n"/>
      <c r="P206" s="157" t="n"/>
      <c r="Q206" s="157" t="n"/>
      <c r="R206" s="157" t="n"/>
      <c r="S206" s="157" t="n"/>
      <c r="T206" s="157" t="n"/>
      <c r="U206" s="157" t="n"/>
      <c r="V206" s="157" t="n"/>
      <c r="W206" s="157" t="n"/>
      <c r="X206" s="157" t="n"/>
      <c r="Y206" s="157" t="n"/>
      <c r="Z206" s="157" t="n"/>
      <c r="AA206" s="157" t="n"/>
      <c r="AB206" s="157" t="n"/>
      <c r="AC206" s="157" t="n"/>
      <c r="AD206" s="157" t="n"/>
      <c r="AE206" s="157" t="n"/>
      <c r="AF206" s="157" t="n"/>
      <c r="AG206" s="157" t="n"/>
      <c r="AH206" s="157" t="n"/>
      <c r="AI206" s="157" t="n"/>
      <c r="AJ206" s="157" t="n"/>
      <c r="AK206" s="157" t="n"/>
      <c r="AL206" s="157" t="n"/>
      <c r="AM206" s="157" t="n"/>
      <c r="AN206" s="157" t="n"/>
      <c r="AO206" s="157" t="n"/>
      <c r="AP206" s="157" t="n"/>
      <c r="AQ206" s="157" t="n"/>
      <c r="AR206" s="157" t="n"/>
      <c r="AS206" s="157" t="n"/>
      <c r="AT206" s="157" t="n"/>
      <c r="AU206" s="157" t="n"/>
      <c r="AV206" s="157" t="n"/>
      <c r="AW206" s="157" t="n"/>
      <c r="AX206" s="157" t="n"/>
      <c r="AY206" s="157" t="n"/>
      <c r="AZ206" s="157" t="n"/>
      <c r="BA206" s="157" t="n"/>
      <c r="BB206" s="157" t="n"/>
      <c r="BC206" s="157" t="n"/>
      <c r="BD206" s="157" t="n"/>
      <c r="BE206" s="157" t="n"/>
      <c r="BF206" s="157" t="n"/>
      <c r="BG206" s="157" t="n"/>
      <c r="BH206" s="158" t="n"/>
      <c r="BI206" s="159" t="n"/>
      <c r="BJ206" s="23">
        <f>IFERROR(ISNUMBER(E206)*IF(ISNUMBER(D206),--(E206&lt;D206-0.5),1)+ISNUMBER(F206)*IF(ISNUMBER(E206),--(F206&lt;E206-0.5),1)+ISNUMBER(G206)*IF(ISNUMBER(F206),--(G206&lt;F206-0.5),1)+ISNUMBER(H206)*IF(ISNUMBER(G206),--(H206&lt;G206-0.5),1)+ISNUMBER(I206)*IF(ISNUMBER(H206),--(I206&lt;H206-0.5),1)+ISNUMBER(J206)*IF(ISNUMBER(I206),--(J206&lt;I206-0.5),1)+ISNUMBER(K206)*IF(ISNUMBER(J206),--(K206&lt;J206-0.5),1)+IF(AND(ISNUMBER(C206),C206&lt;0),1,0),1)</f>
        <v/>
      </c>
      <c r="BK206" s="23">
        <f>IFERROR(ISNUMBER(M206)*IF(ISNUMBER(L206),--(M206&lt;L206-0.5),1)+ISNUMBER(N206)*IF(ISNUMBER(M206),--(N206&lt;M206-0.5),1)+ISNUMBER(O206)*IF(ISNUMBER(N206),--(O206&lt;N206-0.5),1)+ISNUMBER(P206)*IF(ISNUMBER(O206),--(P206&lt;O206-0.5),1)+ISNUMBER(Q206)*IF(ISNUMBER(P206),--(Q206&lt;P206-0.5),1)+ISNUMBER(R206)*IF(ISNUMBER(Q206),--(R206&lt;Q206-0.5),1)+ISNUMBER(S206)*IF(ISNUMBER(R206),--(S206&lt;R206-0.5),1),1)</f>
        <v/>
      </c>
    </row>
    <row r="207">
      <c r="A207" s="23" t="n">
        <v>4</v>
      </c>
      <c r="B207" s="75" t="n">
        <v>1</v>
      </c>
      <c r="C207" s="157" t="n"/>
      <c r="D207" s="157" t="n"/>
      <c r="E207" s="157" t="n"/>
      <c r="F207" s="157" t="n"/>
      <c r="G207" s="157" t="n"/>
      <c r="H207" s="157" t="n"/>
      <c r="I207" s="157" t="n"/>
      <c r="J207" s="157" t="n"/>
      <c r="K207" s="157" t="n"/>
      <c r="L207" s="157" t="n"/>
      <c r="M207" s="157" t="n"/>
      <c r="N207" s="157" t="n"/>
      <c r="O207" s="157" t="n"/>
      <c r="P207" s="157" t="n"/>
      <c r="Q207" s="157" t="n"/>
      <c r="R207" s="157" t="n"/>
      <c r="S207" s="157" t="n"/>
      <c r="T207" s="157" t="n"/>
      <c r="U207" s="157" t="n"/>
      <c r="V207" s="157" t="n"/>
      <c r="W207" s="157" t="n"/>
      <c r="X207" s="157" t="n"/>
      <c r="Y207" s="157" t="n"/>
      <c r="Z207" s="157" t="n"/>
      <c r="AA207" s="157" t="n"/>
      <c r="AB207" s="157" t="n"/>
      <c r="AC207" s="157" t="n"/>
      <c r="AD207" s="157" t="n"/>
      <c r="AE207" s="157" t="n"/>
      <c r="AF207" s="157" t="n"/>
      <c r="AG207" s="157" t="n"/>
      <c r="AH207" s="157" t="n"/>
      <c r="AI207" s="157" t="n"/>
      <c r="AJ207" s="157" t="n"/>
      <c r="AK207" s="157" t="n"/>
      <c r="AL207" s="157" t="n"/>
      <c r="AM207" s="157" t="n"/>
      <c r="AN207" s="157" t="n"/>
      <c r="AO207" s="157" t="n"/>
      <c r="AP207" s="157" t="n"/>
      <c r="AQ207" s="157" t="n"/>
      <c r="AR207" s="157" t="n"/>
      <c r="AS207" s="157" t="n"/>
      <c r="AT207" s="157" t="n"/>
      <c r="AU207" s="157" t="n"/>
      <c r="AV207" s="157" t="n"/>
      <c r="AW207" s="157" t="n"/>
      <c r="AX207" s="157" t="n"/>
      <c r="AY207" s="157" t="n"/>
      <c r="AZ207" s="157" t="n"/>
      <c r="BA207" s="157" t="n"/>
      <c r="BB207" s="157" t="n"/>
      <c r="BC207" s="157" t="n"/>
      <c r="BD207" s="157" t="n"/>
      <c r="BE207" s="157" t="n"/>
      <c r="BF207" s="157" t="n"/>
      <c r="BG207" s="157" t="n"/>
      <c r="BH207" s="158" t="n"/>
      <c r="BI207" s="159" t="n"/>
      <c r="BJ207" s="23">
        <f>IFERROR(ISNUMBER(E207)*IF(ISNUMBER(D207),--(E207&lt;D207-0.5),1)+ISNUMBER(F207)*IF(ISNUMBER(E207),--(F207&lt;E207-0.5),1)+ISNUMBER(G207)*IF(ISNUMBER(F207),--(G207&lt;F207-0.5),1)+ISNUMBER(H207)*IF(ISNUMBER(G207),--(H207&lt;G207-0.5),1)+ISNUMBER(I207)*IF(ISNUMBER(H207),--(I207&lt;H207-0.5),1)+ISNUMBER(J207)*IF(ISNUMBER(I207),--(J207&lt;I207-0.5),1)+ISNUMBER(K207)*IF(ISNUMBER(J207),--(K207&lt;J207-0.5),1)+IF(AND(ISNUMBER(C207),C207&lt;0),1,0),1)</f>
        <v/>
      </c>
      <c r="BK207" s="23">
        <f>IFERROR(ISNUMBER(M207)*IF(ISNUMBER(L207),--(M207&lt;L207-0.5),1)+ISNUMBER(N207)*IF(ISNUMBER(M207),--(N207&lt;M207-0.5),1)+ISNUMBER(O207)*IF(ISNUMBER(N207),--(O207&lt;N207-0.5),1)+ISNUMBER(P207)*IF(ISNUMBER(O207),--(P207&lt;O207-0.5),1)+ISNUMBER(Q207)*IF(ISNUMBER(P207),--(Q207&lt;P207-0.5),1)+ISNUMBER(R207)*IF(ISNUMBER(Q207),--(R207&lt;Q207-0.5),1)+ISNUMBER(S207)*IF(ISNUMBER(R207),--(S207&lt;R207-0.5),1),1)</f>
        <v/>
      </c>
    </row>
    <row r="208">
      <c r="A208" s="23" t="n">
        <v>5</v>
      </c>
      <c r="B208" s="75" t="n">
        <v>1</v>
      </c>
      <c r="C208" s="157" t="n"/>
      <c r="D208" s="157" t="n"/>
      <c r="E208" s="157" t="n"/>
      <c r="F208" s="157" t="n"/>
      <c r="G208" s="157" t="n"/>
      <c r="H208" s="157" t="n"/>
      <c r="I208" s="157" t="n"/>
      <c r="J208" s="157" t="n"/>
      <c r="K208" s="157" t="n"/>
      <c r="L208" s="157" t="n"/>
      <c r="M208" s="157" t="n"/>
      <c r="N208" s="157" t="n"/>
      <c r="O208" s="157" t="n"/>
      <c r="P208" s="157" t="n"/>
      <c r="Q208" s="157" t="n"/>
      <c r="R208" s="157" t="n"/>
      <c r="S208" s="157" t="n"/>
      <c r="T208" s="157" t="n"/>
      <c r="U208" s="157" t="n"/>
      <c r="V208" s="157" t="n"/>
      <c r="W208" s="157" t="n"/>
      <c r="X208" s="157" t="n"/>
      <c r="Y208" s="157" t="n"/>
      <c r="Z208" s="157" t="n"/>
      <c r="AA208" s="157" t="n"/>
      <c r="AB208" s="157" t="n"/>
      <c r="AC208" s="157" t="n"/>
      <c r="AD208" s="157" t="n"/>
      <c r="AE208" s="157" t="n"/>
      <c r="AF208" s="157" t="n"/>
      <c r="AG208" s="157" t="n"/>
      <c r="AH208" s="157" t="n"/>
      <c r="AI208" s="157" t="n"/>
      <c r="AJ208" s="157" t="n"/>
      <c r="AK208" s="157" t="n"/>
      <c r="AL208" s="157" t="n"/>
      <c r="AM208" s="157" t="n"/>
      <c r="AN208" s="157" t="n"/>
      <c r="AO208" s="157" t="n"/>
      <c r="AP208" s="157" t="n"/>
      <c r="AQ208" s="157" t="n"/>
      <c r="AR208" s="157" t="n"/>
      <c r="AS208" s="157" t="n"/>
      <c r="AT208" s="157" t="n"/>
      <c r="AU208" s="157" t="n"/>
      <c r="AV208" s="157" t="n"/>
      <c r="AW208" s="157" t="n"/>
      <c r="AX208" s="157" t="n"/>
      <c r="AY208" s="157" t="n"/>
      <c r="AZ208" s="157" t="n"/>
      <c r="BA208" s="157" t="n"/>
      <c r="BB208" s="157" t="n"/>
      <c r="BC208" s="157" t="n"/>
      <c r="BD208" s="157" t="n"/>
      <c r="BE208" s="157" t="n"/>
      <c r="BF208" s="157" t="n"/>
      <c r="BG208" s="157" t="n"/>
      <c r="BH208" s="158" t="n"/>
      <c r="BI208" s="159" t="n"/>
      <c r="BJ208" s="23">
        <f>IFERROR(ISNUMBER(E208)*IF(ISNUMBER(D208),--(E208&lt;D208-0.5),1)+ISNUMBER(F208)*IF(ISNUMBER(E208),--(F208&lt;E208-0.5),1)+ISNUMBER(G208)*IF(ISNUMBER(F208),--(G208&lt;F208-0.5),1)+ISNUMBER(H208)*IF(ISNUMBER(G208),--(H208&lt;G208-0.5),1)+ISNUMBER(I208)*IF(ISNUMBER(H208),--(I208&lt;H208-0.5),1)+ISNUMBER(J208)*IF(ISNUMBER(I208),--(J208&lt;I208-0.5),1)+ISNUMBER(K208)*IF(ISNUMBER(J208),--(K208&lt;J208-0.5),1)+IF(AND(ISNUMBER(C208),C208&lt;0),1,0),1)</f>
        <v/>
      </c>
      <c r="BK208" s="23">
        <f>IFERROR(ISNUMBER(M208)*IF(ISNUMBER(L208),--(M208&lt;L208-0.5),1)+ISNUMBER(N208)*IF(ISNUMBER(M208),--(N208&lt;M208-0.5),1)+ISNUMBER(O208)*IF(ISNUMBER(N208),--(O208&lt;N208-0.5),1)+ISNUMBER(P208)*IF(ISNUMBER(O208),--(P208&lt;O208-0.5),1)+ISNUMBER(Q208)*IF(ISNUMBER(P208),--(Q208&lt;P208-0.5),1)+ISNUMBER(R208)*IF(ISNUMBER(Q208),--(R208&lt;Q208-0.5),1)+ISNUMBER(S208)*IF(ISNUMBER(R208),--(S208&lt;R208-0.5),1),1)</f>
        <v/>
      </c>
    </row>
    <row r="209">
      <c r="A209" s="23" t="n">
        <v>6</v>
      </c>
      <c r="B209" s="75" t="n">
        <v>1</v>
      </c>
      <c r="C209" s="157" t="n"/>
      <c r="D209" s="157" t="n"/>
      <c r="E209" s="157" t="n"/>
      <c r="F209" s="157" t="n"/>
      <c r="G209" s="157" t="n"/>
      <c r="H209" s="157" t="n"/>
      <c r="I209" s="157" t="n"/>
      <c r="J209" s="157" t="n"/>
      <c r="K209" s="157" t="n"/>
      <c r="L209" s="157" t="n"/>
      <c r="M209" s="157" t="n"/>
      <c r="N209" s="157" t="n"/>
      <c r="O209" s="157" t="n"/>
      <c r="P209" s="157" t="n"/>
      <c r="Q209" s="157" t="n"/>
      <c r="R209" s="157" t="n"/>
      <c r="S209" s="157" t="n"/>
      <c r="T209" s="157" t="n"/>
      <c r="U209" s="157" t="n"/>
      <c r="V209" s="157" t="n"/>
      <c r="W209" s="157" t="n"/>
      <c r="X209" s="157" t="n"/>
      <c r="Y209" s="157" t="n"/>
      <c r="Z209" s="157" t="n"/>
      <c r="AA209" s="157" t="n"/>
      <c r="AB209" s="157" t="n"/>
      <c r="AC209" s="157" t="n"/>
      <c r="AD209" s="157" t="n"/>
      <c r="AE209" s="157" t="n"/>
      <c r="AF209" s="157" t="n"/>
      <c r="AG209" s="157" t="n"/>
      <c r="AH209" s="157" t="n"/>
      <c r="AI209" s="157" t="n"/>
      <c r="AJ209" s="157" t="n"/>
      <c r="AK209" s="157" t="n"/>
      <c r="AL209" s="157" t="n"/>
      <c r="AM209" s="157" t="n"/>
      <c r="AN209" s="157" t="n"/>
      <c r="AO209" s="157" t="n"/>
      <c r="AP209" s="157" t="n"/>
      <c r="AQ209" s="157" t="n"/>
      <c r="AR209" s="157" t="n"/>
      <c r="AS209" s="157" t="n"/>
      <c r="AT209" s="157" t="n"/>
      <c r="AU209" s="157" t="n"/>
      <c r="AV209" s="157" t="n"/>
      <c r="AW209" s="157" t="n"/>
      <c r="AX209" s="157" t="n"/>
      <c r="AY209" s="157" t="n"/>
      <c r="AZ209" s="157" t="n"/>
      <c r="BA209" s="157" t="n"/>
      <c r="BB209" s="157" t="n"/>
      <c r="BC209" s="157" t="n"/>
      <c r="BD209" s="157" t="n"/>
      <c r="BE209" s="157" t="n"/>
      <c r="BF209" s="157" t="n"/>
      <c r="BG209" s="157" t="n"/>
      <c r="BH209" s="158" t="n"/>
      <c r="BI209" s="159" t="n"/>
      <c r="BJ209" s="23">
        <f>IFERROR(ISNUMBER(E209)*IF(ISNUMBER(D209),--(E209&lt;D209-0.5),1)+ISNUMBER(F209)*IF(ISNUMBER(E209),--(F209&lt;E209-0.5),1)+ISNUMBER(G209)*IF(ISNUMBER(F209),--(G209&lt;F209-0.5),1)+ISNUMBER(H209)*IF(ISNUMBER(G209),--(H209&lt;G209-0.5),1)+ISNUMBER(I209)*IF(ISNUMBER(H209),--(I209&lt;H209-0.5),1)+ISNUMBER(J209)*IF(ISNUMBER(I209),--(J209&lt;I209-0.5),1)+ISNUMBER(K209)*IF(ISNUMBER(J209),--(K209&lt;J209-0.5),1)+IF(AND(ISNUMBER(C209),C209&lt;0),1,0),1)</f>
        <v/>
      </c>
      <c r="BK209" s="23">
        <f>IFERROR(ISNUMBER(M209)*IF(ISNUMBER(L209),--(M209&lt;L209-0.5),1)+ISNUMBER(N209)*IF(ISNUMBER(M209),--(N209&lt;M209-0.5),1)+ISNUMBER(O209)*IF(ISNUMBER(N209),--(O209&lt;N209-0.5),1)+ISNUMBER(P209)*IF(ISNUMBER(O209),--(P209&lt;O209-0.5),1)+ISNUMBER(Q209)*IF(ISNUMBER(P209),--(Q209&lt;P209-0.5),1)+ISNUMBER(R209)*IF(ISNUMBER(Q209),--(R209&lt;Q209-0.5),1)+ISNUMBER(S209)*IF(ISNUMBER(R209),--(S209&lt;R209-0.5),1),1)</f>
        <v/>
      </c>
    </row>
    <row r="210">
      <c r="A210" s="23" t="n">
        <v>7</v>
      </c>
      <c r="B210" s="75" t="n">
        <v>1</v>
      </c>
      <c r="C210" s="157" t="n"/>
      <c r="D210" s="157" t="n"/>
      <c r="E210" s="157" t="n"/>
      <c r="F210" s="157" t="n"/>
      <c r="G210" s="157" t="n"/>
      <c r="H210" s="157" t="n"/>
      <c r="I210" s="157" t="n"/>
      <c r="J210" s="157" t="n"/>
      <c r="K210" s="157" t="n"/>
      <c r="L210" s="157" t="n"/>
      <c r="M210" s="157" t="n"/>
      <c r="N210" s="157" t="n"/>
      <c r="O210" s="157" t="n"/>
      <c r="P210" s="157" t="n"/>
      <c r="Q210" s="157" t="n"/>
      <c r="R210" s="157" t="n"/>
      <c r="S210" s="157" t="n"/>
      <c r="T210" s="157" t="n"/>
      <c r="U210" s="157" t="n"/>
      <c r="V210" s="157" t="n"/>
      <c r="W210" s="157" t="n"/>
      <c r="X210" s="157" t="n"/>
      <c r="Y210" s="157" t="n"/>
      <c r="Z210" s="157" t="n"/>
      <c r="AA210" s="157" t="n"/>
      <c r="AB210" s="157" t="n"/>
      <c r="AC210" s="157" t="n"/>
      <c r="AD210" s="157" t="n"/>
      <c r="AE210" s="157" t="n"/>
      <c r="AF210" s="157" t="n"/>
      <c r="AG210" s="157" t="n"/>
      <c r="AH210" s="157" t="n"/>
      <c r="AI210" s="157" t="n"/>
      <c r="AJ210" s="157" t="n"/>
      <c r="AK210" s="157" t="n"/>
      <c r="AL210" s="157" t="n"/>
      <c r="AM210" s="157" t="n"/>
      <c r="AN210" s="157" t="n"/>
      <c r="AO210" s="157" t="n"/>
      <c r="AP210" s="157" t="n"/>
      <c r="AQ210" s="157" t="n"/>
      <c r="AR210" s="157" t="n"/>
      <c r="AS210" s="157" t="n"/>
      <c r="AT210" s="157" t="n"/>
      <c r="AU210" s="157" t="n"/>
      <c r="AV210" s="157" t="n"/>
      <c r="AW210" s="157" t="n"/>
      <c r="AX210" s="157" t="n"/>
      <c r="AY210" s="157" t="n"/>
      <c r="AZ210" s="157" t="n"/>
      <c r="BA210" s="157" t="n"/>
      <c r="BB210" s="157" t="n"/>
      <c r="BC210" s="157" t="n"/>
      <c r="BD210" s="157" t="n"/>
      <c r="BE210" s="157" t="n"/>
      <c r="BF210" s="157" t="n"/>
      <c r="BG210" s="157" t="n"/>
      <c r="BH210" s="158" t="n"/>
      <c r="BI210" s="159" t="n"/>
      <c r="BJ210" s="23">
        <f>IFERROR(ISNUMBER(E210)*IF(ISNUMBER(D210),--(E210&lt;D210-0.5),1)+ISNUMBER(F210)*IF(ISNUMBER(E210),--(F210&lt;E210-0.5),1)+ISNUMBER(G210)*IF(ISNUMBER(F210),--(G210&lt;F210-0.5),1)+ISNUMBER(H210)*IF(ISNUMBER(G210),--(H210&lt;G210-0.5),1)+ISNUMBER(I210)*IF(ISNUMBER(H210),--(I210&lt;H210-0.5),1)+ISNUMBER(J210)*IF(ISNUMBER(I210),--(J210&lt;I210-0.5),1)+ISNUMBER(K210)*IF(ISNUMBER(J210),--(K210&lt;J210-0.5),1)+IF(AND(ISNUMBER(C210),C210&lt;0),1,0),1)</f>
        <v/>
      </c>
      <c r="BK210" s="23">
        <f>IFERROR(ISNUMBER(M210)*IF(ISNUMBER(L210),--(M210&lt;L210-0.5),1)+ISNUMBER(N210)*IF(ISNUMBER(M210),--(N210&lt;M210-0.5),1)+ISNUMBER(O210)*IF(ISNUMBER(N210),--(O210&lt;N210-0.5),1)+ISNUMBER(P210)*IF(ISNUMBER(O210),--(P210&lt;O210-0.5),1)+ISNUMBER(Q210)*IF(ISNUMBER(P210),--(Q210&lt;P210-0.5),1)+ISNUMBER(R210)*IF(ISNUMBER(Q210),--(R210&lt;Q210-0.5),1)+ISNUMBER(S210)*IF(ISNUMBER(R210),--(S210&lt;R210-0.5),1),1)</f>
        <v/>
      </c>
    </row>
    <row r="211">
      <c r="A211" s="23" t="n">
        <v>8</v>
      </c>
      <c r="B211" s="75" t="n">
        <v>1</v>
      </c>
      <c r="C211" s="157" t="n"/>
      <c r="D211" s="157" t="n"/>
      <c r="E211" s="157" t="n"/>
      <c r="F211" s="157" t="n"/>
      <c r="G211" s="157" t="n"/>
      <c r="H211" s="157" t="n"/>
      <c r="I211" s="157" t="n"/>
      <c r="J211" s="157" t="n"/>
      <c r="K211" s="157" t="n"/>
      <c r="L211" s="157" t="n"/>
      <c r="M211" s="157" t="n"/>
      <c r="N211" s="157" t="n"/>
      <c r="O211" s="157" t="n"/>
      <c r="P211" s="157" t="n"/>
      <c r="Q211" s="157" t="n"/>
      <c r="R211" s="157" t="n"/>
      <c r="S211" s="157" t="n"/>
      <c r="T211" s="157" t="n"/>
      <c r="U211" s="157" t="n"/>
      <c r="V211" s="157" t="n"/>
      <c r="W211" s="157" t="n"/>
      <c r="X211" s="157" t="n"/>
      <c r="Y211" s="157" t="n"/>
      <c r="Z211" s="157" t="n"/>
      <c r="AA211" s="157" t="n"/>
      <c r="AB211" s="157" t="n"/>
      <c r="AC211" s="157" t="n"/>
      <c r="AD211" s="157" t="n"/>
      <c r="AE211" s="157" t="n"/>
      <c r="AF211" s="157" t="n"/>
      <c r="AG211" s="157" t="n"/>
      <c r="AH211" s="157" t="n"/>
      <c r="AI211" s="157" t="n"/>
      <c r="AJ211" s="157" t="n"/>
      <c r="AK211" s="157" t="n"/>
      <c r="AL211" s="157" t="n"/>
      <c r="AM211" s="157" t="n"/>
      <c r="AN211" s="157" t="n"/>
      <c r="AO211" s="157" t="n"/>
      <c r="AP211" s="157" t="n"/>
      <c r="AQ211" s="157" t="n"/>
      <c r="AR211" s="157" t="n"/>
      <c r="AS211" s="157" t="n"/>
      <c r="AT211" s="157" t="n"/>
      <c r="AU211" s="157" t="n"/>
      <c r="AV211" s="157" t="n"/>
      <c r="AW211" s="157" t="n"/>
      <c r="AX211" s="157" t="n"/>
      <c r="AY211" s="157" t="n"/>
      <c r="AZ211" s="157" t="n"/>
      <c r="BA211" s="157" t="n"/>
      <c r="BB211" s="157" t="n"/>
      <c r="BC211" s="157" t="n"/>
      <c r="BD211" s="157" t="n"/>
      <c r="BE211" s="157" t="n"/>
      <c r="BF211" s="157" t="n"/>
      <c r="BG211" s="157" t="n"/>
      <c r="BH211" s="158" t="n"/>
      <c r="BI211" s="159" t="n"/>
      <c r="BJ211" s="23">
        <f>IFERROR(ISNUMBER(E211)*IF(ISNUMBER(D211),--(E211&lt;D211-0.5),1)+ISNUMBER(F211)*IF(ISNUMBER(E211),--(F211&lt;E211-0.5),1)+ISNUMBER(G211)*IF(ISNUMBER(F211),--(G211&lt;F211-0.5),1)+ISNUMBER(H211)*IF(ISNUMBER(G211),--(H211&lt;G211-0.5),1)+ISNUMBER(I211)*IF(ISNUMBER(H211),--(I211&lt;H211-0.5),1)+ISNUMBER(J211)*IF(ISNUMBER(I211),--(J211&lt;I211-0.5),1)+ISNUMBER(K211)*IF(ISNUMBER(J211),--(K211&lt;J211-0.5),1)+IF(AND(ISNUMBER(C211),C211&lt;0),1,0),1)</f>
        <v/>
      </c>
      <c r="BK211" s="23">
        <f>IFERROR(ISNUMBER(M211)*IF(ISNUMBER(L211),--(M211&lt;L211-0.5),1)+ISNUMBER(N211)*IF(ISNUMBER(M211),--(N211&lt;M211-0.5),1)+ISNUMBER(O211)*IF(ISNUMBER(N211),--(O211&lt;N211-0.5),1)+ISNUMBER(P211)*IF(ISNUMBER(O211),--(P211&lt;O211-0.5),1)+ISNUMBER(Q211)*IF(ISNUMBER(P211),--(Q211&lt;P211-0.5),1)+ISNUMBER(R211)*IF(ISNUMBER(Q211),--(R211&lt;Q211-0.5),1)+ISNUMBER(S211)*IF(ISNUMBER(R211),--(S211&lt;R211-0.5),1),1)</f>
        <v/>
      </c>
    </row>
    <row r="212">
      <c r="A212" s="23" t="n">
        <v>9</v>
      </c>
      <c r="B212" s="75" t="n">
        <v>1</v>
      </c>
      <c r="C212" s="157" t="n"/>
      <c r="D212" s="157" t="n"/>
      <c r="E212" s="157" t="n"/>
      <c r="F212" s="157" t="n"/>
      <c r="G212" s="157" t="n"/>
      <c r="H212" s="157" t="n"/>
      <c r="I212" s="157" t="n"/>
      <c r="J212" s="157" t="n"/>
      <c r="K212" s="157" t="n"/>
      <c r="L212" s="157" t="n"/>
      <c r="M212" s="157" t="n"/>
      <c r="N212" s="157" t="n"/>
      <c r="O212" s="157" t="n"/>
      <c r="P212" s="157" t="n"/>
      <c r="Q212" s="157" t="n"/>
      <c r="R212" s="157" t="n"/>
      <c r="S212" s="157" t="n"/>
      <c r="T212" s="157" t="n"/>
      <c r="U212" s="157" t="n"/>
      <c r="V212" s="157" t="n"/>
      <c r="W212" s="157" t="n"/>
      <c r="X212" s="157" t="n"/>
      <c r="Y212" s="157" t="n"/>
      <c r="Z212" s="157" t="n"/>
      <c r="AA212" s="157" t="n"/>
      <c r="AB212" s="157" t="n"/>
      <c r="AC212" s="157" t="n"/>
      <c r="AD212" s="157" t="n"/>
      <c r="AE212" s="157" t="n"/>
      <c r="AF212" s="157" t="n"/>
      <c r="AG212" s="157" t="n"/>
      <c r="AH212" s="157" t="n"/>
      <c r="AI212" s="157" t="n"/>
      <c r="AJ212" s="157" t="n"/>
      <c r="AK212" s="157" t="n"/>
      <c r="AL212" s="157" t="n"/>
      <c r="AM212" s="157" t="n"/>
      <c r="AN212" s="157" t="n"/>
      <c r="AO212" s="157" t="n"/>
      <c r="AP212" s="157" t="n"/>
      <c r="AQ212" s="157" t="n"/>
      <c r="AR212" s="157" t="n"/>
      <c r="AS212" s="157" t="n"/>
      <c r="AT212" s="157" t="n"/>
      <c r="AU212" s="157" t="n"/>
      <c r="AV212" s="157" t="n"/>
      <c r="AW212" s="157" t="n"/>
      <c r="AX212" s="157" t="n"/>
      <c r="AY212" s="157" t="n"/>
      <c r="AZ212" s="157" t="n"/>
      <c r="BA212" s="157" t="n"/>
      <c r="BB212" s="157" t="n"/>
      <c r="BC212" s="157" t="n"/>
      <c r="BD212" s="157" t="n"/>
      <c r="BE212" s="157" t="n"/>
      <c r="BF212" s="157" t="n"/>
      <c r="BG212" s="157" t="n"/>
      <c r="BH212" s="158" t="n"/>
      <c r="BI212" s="159" t="n"/>
      <c r="BJ212" s="23">
        <f>IFERROR(ISNUMBER(E212)*IF(ISNUMBER(D212),--(E212&lt;D212-0.5),1)+ISNUMBER(F212)*IF(ISNUMBER(E212),--(F212&lt;E212-0.5),1)+ISNUMBER(G212)*IF(ISNUMBER(F212),--(G212&lt;F212-0.5),1)+ISNUMBER(H212)*IF(ISNUMBER(G212),--(H212&lt;G212-0.5),1)+ISNUMBER(I212)*IF(ISNUMBER(H212),--(I212&lt;H212-0.5),1)+ISNUMBER(J212)*IF(ISNUMBER(I212),--(J212&lt;I212-0.5),1)+ISNUMBER(K212)*IF(ISNUMBER(J212),--(K212&lt;J212-0.5),1)+IF(AND(ISNUMBER(C212),C212&lt;0),1,0),1)</f>
        <v/>
      </c>
      <c r="BK212" s="23">
        <f>IFERROR(ISNUMBER(M212)*IF(ISNUMBER(L212),--(M212&lt;L212-0.5),1)+ISNUMBER(N212)*IF(ISNUMBER(M212),--(N212&lt;M212-0.5),1)+ISNUMBER(O212)*IF(ISNUMBER(N212),--(O212&lt;N212-0.5),1)+ISNUMBER(P212)*IF(ISNUMBER(O212),--(P212&lt;O212-0.5),1)+ISNUMBER(Q212)*IF(ISNUMBER(P212),--(Q212&lt;P212-0.5),1)+ISNUMBER(R212)*IF(ISNUMBER(Q212),--(R212&lt;Q212-0.5),1)+ISNUMBER(S212)*IF(ISNUMBER(R212),--(S212&lt;R212-0.5),1),1)</f>
        <v/>
      </c>
    </row>
    <row r="213">
      <c r="A213" s="23" t="n">
        <v>10</v>
      </c>
      <c r="B213" s="75" t="n">
        <v>1</v>
      </c>
      <c r="C213" s="157" t="n"/>
      <c r="D213" s="157" t="n"/>
      <c r="E213" s="157" t="n"/>
      <c r="F213" s="157" t="n"/>
      <c r="G213" s="157" t="n"/>
      <c r="H213" s="157" t="n"/>
      <c r="I213" s="157" t="n"/>
      <c r="J213" s="157" t="n"/>
      <c r="K213" s="157" t="n"/>
      <c r="L213" s="157" t="n"/>
      <c r="M213" s="157" t="n"/>
      <c r="N213" s="157" t="n"/>
      <c r="O213" s="157" t="n"/>
      <c r="P213" s="157" t="n"/>
      <c r="Q213" s="157" t="n"/>
      <c r="R213" s="157" t="n"/>
      <c r="S213" s="157" t="n"/>
      <c r="T213" s="157" t="n"/>
      <c r="U213" s="157" t="n"/>
      <c r="V213" s="157" t="n"/>
      <c r="W213" s="157" t="n"/>
      <c r="X213" s="157" t="n"/>
      <c r="Y213" s="157" t="n"/>
      <c r="Z213" s="157" t="n"/>
      <c r="AA213" s="157" t="n"/>
      <c r="AB213" s="157" t="n"/>
      <c r="AC213" s="157" t="n"/>
      <c r="AD213" s="157" t="n"/>
      <c r="AE213" s="157" t="n"/>
      <c r="AF213" s="157" t="n"/>
      <c r="AG213" s="157" t="n"/>
      <c r="AH213" s="157" t="n"/>
      <c r="AI213" s="157" t="n"/>
      <c r="AJ213" s="157" t="n"/>
      <c r="AK213" s="157" t="n"/>
      <c r="AL213" s="157" t="n"/>
      <c r="AM213" s="157" t="n"/>
      <c r="AN213" s="157" t="n"/>
      <c r="AO213" s="157" t="n"/>
      <c r="AP213" s="157" t="n"/>
      <c r="AQ213" s="157" t="n"/>
      <c r="AR213" s="157" t="n"/>
      <c r="AS213" s="157" t="n"/>
      <c r="AT213" s="157" t="n"/>
      <c r="AU213" s="157" t="n"/>
      <c r="AV213" s="157" t="n"/>
      <c r="AW213" s="157" t="n"/>
      <c r="AX213" s="157" t="n"/>
      <c r="AY213" s="157" t="n"/>
      <c r="AZ213" s="157" t="n"/>
      <c r="BA213" s="157" t="n"/>
      <c r="BB213" s="157" t="n"/>
      <c r="BC213" s="157" t="n"/>
      <c r="BD213" s="157" t="n"/>
      <c r="BE213" s="157" t="n"/>
      <c r="BF213" s="157" t="n"/>
      <c r="BG213" s="157" t="n"/>
      <c r="BH213" s="158" t="n"/>
      <c r="BI213" s="159" t="n"/>
      <c r="BJ213" s="23">
        <f>IFERROR(ISNUMBER(E213)*IF(ISNUMBER(D213),--(E213&lt;D213-0.5),1)+ISNUMBER(F213)*IF(ISNUMBER(E213),--(F213&lt;E213-0.5),1)+ISNUMBER(G213)*IF(ISNUMBER(F213),--(G213&lt;F213-0.5),1)+ISNUMBER(H213)*IF(ISNUMBER(G213),--(H213&lt;G213-0.5),1)+ISNUMBER(I213)*IF(ISNUMBER(H213),--(I213&lt;H213-0.5),1)+ISNUMBER(J213)*IF(ISNUMBER(I213),--(J213&lt;I213-0.5),1)+ISNUMBER(K213)*IF(ISNUMBER(J213),--(K213&lt;J213-0.5),1)+IF(AND(ISNUMBER(C213),C213&lt;0),1,0),1)</f>
        <v/>
      </c>
      <c r="BK213" s="23">
        <f>IFERROR(ISNUMBER(M213)*IF(ISNUMBER(L213),--(M213&lt;L213-0.5),1)+ISNUMBER(N213)*IF(ISNUMBER(M213),--(N213&lt;M213-0.5),1)+ISNUMBER(O213)*IF(ISNUMBER(N213),--(O213&lt;N213-0.5),1)+ISNUMBER(P213)*IF(ISNUMBER(O213),--(P213&lt;O213-0.5),1)+ISNUMBER(Q213)*IF(ISNUMBER(P213),--(Q213&lt;P213-0.5),1)+ISNUMBER(R213)*IF(ISNUMBER(Q213),--(R213&lt;Q213-0.5),1)+ISNUMBER(S213)*IF(ISNUMBER(R213),--(S213&lt;R213-0.5),1),1)</f>
        <v/>
      </c>
    </row>
    <row r="214">
      <c r="A214" s="23" t="n">
        <v>11</v>
      </c>
      <c r="B214" s="75" t="n">
        <v>1</v>
      </c>
      <c r="C214" s="157" t="n"/>
      <c r="D214" s="157" t="n"/>
      <c r="E214" s="157" t="n"/>
      <c r="F214" s="157" t="n"/>
      <c r="G214" s="157" t="n"/>
      <c r="H214" s="157" t="n"/>
      <c r="I214" s="157" t="n"/>
      <c r="J214" s="157" t="n"/>
      <c r="K214" s="157" t="n"/>
      <c r="L214" s="157" t="n"/>
      <c r="M214" s="157" t="n"/>
      <c r="N214" s="157" t="n"/>
      <c r="O214" s="157" t="n"/>
      <c r="P214" s="157" t="n"/>
      <c r="Q214" s="157" t="n"/>
      <c r="R214" s="157" t="n"/>
      <c r="S214" s="157" t="n"/>
      <c r="T214" s="157" t="n"/>
      <c r="U214" s="157" t="n"/>
      <c r="V214" s="157" t="n"/>
      <c r="W214" s="157" t="n"/>
      <c r="X214" s="157" t="n"/>
      <c r="Y214" s="157" t="n"/>
      <c r="Z214" s="157" t="n"/>
      <c r="AA214" s="157" t="n"/>
      <c r="AB214" s="157" t="n"/>
      <c r="AC214" s="157" t="n"/>
      <c r="AD214" s="157" t="n"/>
      <c r="AE214" s="157" t="n"/>
      <c r="AF214" s="157" t="n"/>
      <c r="AG214" s="157" t="n"/>
      <c r="AH214" s="157" t="n"/>
      <c r="AI214" s="157" t="n"/>
      <c r="AJ214" s="157" t="n"/>
      <c r="AK214" s="157" t="n"/>
      <c r="AL214" s="157" t="n"/>
      <c r="AM214" s="157" t="n"/>
      <c r="AN214" s="157" t="n"/>
      <c r="AO214" s="157" t="n"/>
      <c r="AP214" s="157" t="n"/>
      <c r="AQ214" s="157" t="n"/>
      <c r="AR214" s="157" t="n"/>
      <c r="AS214" s="157" t="n"/>
      <c r="AT214" s="157" t="n"/>
      <c r="AU214" s="157" t="n"/>
      <c r="AV214" s="157" t="n"/>
      <c r="AW214" s="157" t="n"/>
      <c r="AX214" s="157" t="n"/>
      <c r="AY214" s="157" t="n"/>
      <c r="AZ214" s="157" t="n"/>
      <c r="BA214" s="157" t="n"/>
      <c r="BB214" s="157" t="n"/>
      <c r="BC214" s="157" t="n"/>
      <c r="BD214" s="157" t="n"/>
      <c r="BE214" s="157" t="n"/>
      <c r="BF214" s="157" t="n"/>
      <c r="BG214" s="157" t="n"/>
      <c r="BH214" s="158" t="n"/>
      <c r="BI214" s="159" t="n"/>
      <c r="BJ214" s="23">
        <f>IFERROR(ISNUMBER(E214)*IF(ISNUMBER(D214),--(E214&lt;D214-0.5),1)+ISNUMBER(F214)*IF(ISNUMBER(E214),--(F214&lt;E214-0.5),1)+ISNUMBER(G214)*IF(ISNUMBER(F214),--(G214&lt;F214-0.5),1)+ISNUMBER(H214)*IF(ISNUMBER(G214),--(H214&lt;G214-0.5),1)+ISNUMBER(I214)*IF(ISNUMBER(H214),--(I214&lt;H214-0.5),1)+ISNUMBER(J214)*IF(ISNUMBER(I214),--(J214&lt;I214-0.5),1)+ISNUMBER(K214)*IF(ISNUMBER(J214),--(K214&lt;J214-0.5),1)+IF(AND(ISNUMBER(C214),C214&lt;0),1,0),1)</f>
        <v/>
      </c>
      <c r="BK214" s="23">
        <f>IFERROR(ISNUMBER(M214)*IF(ISNUMBER(L214),--(M214&lt;L214-0.5),1)+ISNUMBER(N214)*IF(ISNUMBER(M214),--(N214&lt;M214-0.5),1)+ISNUMBER(O214)*IF(ISNUMBER(N214),--(O214&lt;N214-0.5),1)+ISNUMBER(P214)*IF(ISNUMBER(O214),--(P214&lt;O214-0.5),1)+ISNUMBER(Q214)*IF(ISNUMBER(P214),--(Q214&lt;P214-0.5),1)+ISNUMBER(R214)*IF(ISNUMBER(Q214),--(R214&lt;Q214-0.5),1)+ISNUMBER(S214)*IF(ISNUMBER(R214),--(S214&lt;R214-0.5),1),1)</f>
        <v/>
      </c>
    </row>
    <row r="215">
      <c r="A215" s="23" t="n">
        <v>12</v>
      </c>
      <c r="B215" s="75" t="n">
        <v>1</v>
      </c>
      <c r="C215" s="157" t="n"/>
      <c r="D215" s="157" t="n"/>
      <c r="E215" s="157" t="n"/>
      <c r="F215" s="157" t="n"/>
      <c r="G215" s="157" t="n"/>
      <c r="H215" s="157" t="n"/>
      <c r="I215" s="157" t="n"/>
      <c r="J215" s="157" t="n"/>
      <c r="K215" s="157" t="n"/>
      <c r="L215" s="157" t="n"/>
      <c r="M215" s="157" t="n"/>
      <c r="N215" s="157" t="n"/>
      <c r="O215" s="157" t="n"/>
      <c r="P215" s="157" t="n"/>
      <c r="Q215" s="157" t="n"/>
      <c r="R215" s="157" t="n"/>
      <c r="S215" s="157" t="n"/>
      <c r="T215" s="157" t="n"/>
      <c r="U215" s="157" t="n"/>
      <c r="V215" s="157" t="n"/>
      <c r="W215" s="157" t="n"/>
      <c r="X215" s="157" t="n"/>
      <c r="Y215" s="157" t="n"/>
      <c r="Z215" s="157" t="n"/>
      <c r="AA215" s="157" t="n"/>
      <c r="AB215" s="157" t="n"/>
      <c r="AC215" s="157" t="n"/>
      <c r="AD215" s="157" t="n"/>
      <c r="AE215" s="157" t="n"/>
      <c r="AF215" s="157" t="n"/>
      <c r="AG215" s="157" t="n"/>
      <c r="AH215" s="157" t="n"/>
      <c r="AI215" s="157" t="n"/>
      <c r="AJ215" s="157" t="n"/>
      <c r="AK215" s="157" t="n"/>
      <c r="AL215" s="157" t="n"/>
      <c r="AM215" s="157" t="n"/>
      <c r="AN215" s="157" t="n"/>
      <c r="AO215" s="157" t="n"/>
      <c r="AP215" s="157" t="n"/>
      <c r="AQ215" s="157" t="n"/>
      <c r="AR215" s="157" t="n"/>
      <c r="AS215" s="157" t="n"/>
      <c r="AT215" s="157" t="n"/>
      <c r="AU215" s="157" t="n"/>
      <c r="AV215" s="157" t="n"/>
      <c r="AW215" s="157" t="n"/>
      <c r="AX215" s="157" t="n"/>
      <c r="AY215" s="157" t="n"/>
      <c r="AZ215" s="157" t="n"/>
      <c r="BA215" s="157" t="n"/>
      <c r="BB215" s="157" t="n"/>
      <c r="BC215" s="157" t="n"/>
      <c r="BD215" s="157" t="n"/>
      <c r="BE215" s="157" t="n"/>
      <c r="BF215" s="157" t="n"/>
      <c r="BG215" s="157" t="n"/>
      <c r="BH215" s="158" t="n"/>
      <c r="BI215" s="159" t="n"/>
      <c r="BJ215" s="23">
        <f>IFERROR(ISNUMBER(E215)*IF(ISNUMBER(D215),--(E215&lt;D215-0.5),1)+ISNUMBER(F215)*IF(ISNUMBER(E215),--(F215&lt;E215-0.5),1)+ISNUMBER(G215)*IF(ISNUMBER(F215),--(G215&lt;F215-0.5),1)+ISNUMBER(H215)*IF(ISNUMBER(G215),--(H215&lt;G215-0.5),1)+ISNUMBER(I215)*IF(ISNUMBER(H215),--(I215&lt;H215-0.5),1)+ISNUMBER(J215)*IF(ISNUMBER(I215),--(J215&lt;I215-0.5),1)+ISNUMBER(K215)*IF(ISNUMBER(J215),--(K215&lt;J215-0.5),1)+IF(AND(ISNUMBER(C215),C215&lt;0),1,0),1)</f>
        <v/>
      </c>
      <c r="BK215" s="23">
        <f>IFERROR(ISNUMBER(M215)*IF(ISNUMBER(L215),--(M215&lt;L215-0.5),1)+ISNUMBER(N215)*IF(ISNUMBER(M215),--(N215&lt;M215-0.5),1)+ISNUMBER(O215)*IF(ISNUMBER(N215),--(O215&lt;N215-0.5),1)+ISNUMBER(P215)*IF(ISNUMBER(O215),--(P215&lt;O215-0.5),1)+ISNUMBER(Q215)*IF(ISNUMBER(P215),--(Q215&lt;P215-0.5),1)+ISNUMBER(R215)*IF(ISNUMBER(Q215),--(R215&lt;Q215-0.5),1)+ISNUMBER(S215)*IF(ISNUMBER(R215),--(S215&lt;R215-0.5),1),1)</f>
        <v/>
      </c>
    </row>
    <row r="216">
      <c r="A216" s="23" t="n">
        <v>13</v>
      </c>
      <c r="B216" s="75" t="n">
        <v>1</v>
      </c>
      <c r="C216" s="157" t="n"/>
      <c r="D216" s="157" t="n"/>
      <c r="E216" s="157" t="n"/>
      <c r="F216" s="157" t="n"/>
      <c r="G216" s="157" t="n"/>
      <c r="H216" s="157" t="n"/>
      <c r="I216" s="157" t="n"/>
      <c r="J216" s="157" t="n"/>
      <c r="K216" s="157" t="n"/>
      <c r="L216" s="157" t="n"/>
      <c r="M216" s="157" t="n"/>
      <c r="N216" s="157" t="n"/>
      <c r="O216" s="157" t="n"/>
      <c r="P216" s="157" t="n"/>
      <c r="Q216" s="157" t="n"/>
      <c r="R216" s="157" t="n"/>
      <c r="S216" s="157" t="n"/>
      <c r="T216" s="157" t="n"/>
      <c r="U216" s="157" t="n"/>
      <c r="V216" s="157" t="n"/>
      <c r="W216" s="157" t="n"/>
      <c r="X216" s="157" t="n"/>
      <c r="Y216" s="157" t="n"/>
      <c r="Z216" s="157" t="n"/>
      <c r="AA216" s="157" t="n"/>
      <c r="AB216" s="157" t="n"/>
      <c r="AC216" s="157" t="n"/>
      <c r="AD216" s="157" t="n"/>
      <c r="AE216" s="157" t="n"/>
      <c r="AF216" s="157" t="n"/>
      <c r="AG216" s="157" t="n"/>
      <c r="AH216" s="157" t="n"/>
      <c r="AI216" s="157" t="n"/>
      <c r="AJ216" s="157" t="n"/>
      <c r="AK216" s="157" t="n"/>
      <c r="AL216" s="157" t="n"/>
      <c r="AM216" s="157" t="n"/>
      <c r="AN216" s="157" t="n"/>
      <c r="AO216" s="157" t="n"/>
      <c r="AP216" s="157" t="n"/>
      <c r="AQ216" s="157" t="n"/>
      <c r="AR216" s="157" t="n"/>
      <c r="AS216" s="157" t="n"/>
      <c r="AT216" s="157" t="n"/>
      <c r="AU216" s="157" t="n"/>
      <c r="AV216" s="157" t="n"/>
      <c r="AW216" s="157" t="n"/>
      <c r="AX216" s="157" t="n"/>
      <c r="AY216" s="157" t="n"/>
      <c r="AZ216" s="157" t="n"/>
      <c r="BA216" s="157" t="n"/>
      <c r="BB216" s="157" t="n"/>
      <c r="BC216" s="157" t="n"/>
      <c r="BD216" s="157" t="n"/>
      <c r="BE216" s="157" t="n"/>
      <c r="BF216" s="157" t="n"/>
      <c r="BG216" s="157" t="n"/>
      <c r="BH216" s="158" t="n"/>
      <c r="BI216" s="159" t="n"/>
      <c r="BJ216" s="23">
        <f>IFERROR(ISNUMBER(E216)*IF(ISNUMBER(D216),--(E216&lt;D216-0.5),1)+ISNUMBER(F216)*IF(ISNUMBER(E216),--(F216&lt;E216-0.5),1)+ISNUMBER(G216)*IF(ISNUMBER(F216),--(G216&lt;F216-0.5),1)+ISNUMBER(H216)*IF(ISNUMBER(G216),--(H216&lt;G216-0.5),1)+ISNUMBER(I216)*IF(ISNUMBER(H216),--(I216&lt;H216-0.5),1)+ISNUMBER(J216)*IF(ISNUMBER(I216),--(J216&lt;I216-0.5),1)+ISNUMBER(K216)*IF(ISNUMBER(J216),--(K216&lt;J216-0.5),1)+IF(AND(ISNUMBER(C216),C216&lt;0),1,0),1)</f>
        <v/>
      </c>
      <c r="BK216" s="23">
        <f>IFERROR(ISNUMBER(M216)*IF(ISNUMBER(L216),--(M216&lt;L216-0.5),1)+ISNUMBER(N216)*IF(ISNUMBER(M216),--(N216&lt;M216-0.5),1)+ISNUMBER(O216)*IF(ISNUMBER(N216),--(O216&lt;N216-0.5),1)+ISNUMBER(P216)*IF(ISNUMBER(O216),--(P216&lt;O216-0.5),1)+ISNUMBER(Q216)*IF(ISNUMBER(P216),--(Q216&lt;P216-0.5),1)+ISNUMBER(R216)*IF(ISNUMBER(Q216),--(R216&lt;Q216-0.5),1)+ISNUMBER(S216)*IF(ISNUMBER(R216),--(S216&lt;R216-0.5),1),1)</f>
        <v/>
      </c>
    </row>
    <row r="217">
      <c r="A217" s="23" t="n">
        <v>14</v>
      </c>
      <c r="B217" s="75" t="n">
        <v>1</v>
      </c>
      <c r="C217" s="157" t="n"/>
      <c r="D217" s="157" t="n"/>
      <c r="E217" s="157" t="n"/>
      <c r="F217" s="157" t="n"/>
      <c r="G217" s="157" t="n"/>
      <c r="H217" s="157" t="n"/>
      <c r="I217" s="157" t="n"/>
      <c r="J217" s="157" t="n"/>
      <c r="K217" s="157" t="n"/>
      <c r="L217" s="157" t="n"/>
      <c r="M217" s="157" t="n"/>
      <c r="N217" s="157" t="n"/>
      <c r="O217" s="157" t="n"/>
      <c r="P217" s="157" t="n"/>
      <c r="Q217" s="157" t="n"/>
      <c r="R217" s="157" t="n"/>
      <c r="S217" s="157" t="n"/>
      <c r="T217" s="157" t="n"/>
      <c r="U217" s="157" t="n"/>
      <c r="V217" s="157" t="n"/>
      <c r="W217" s="157" t="n"/>
      <c r="X217" s="157" t="n"/>
      <c r="Y217" s="157" t="n"/>
      <c r="Z217" s="157" t="n"/>
      <c r="AA217" s="157" t="n"/>
      <c r="AB217" s="157" t="n"/>
      <c r="AC217" s="157" t="n"/>
      <c r="AD217" s="157" t="n"/>
      <c r="AE217" s="157" t="n"/>
      <c r="AF217" s="157" t="n"/>
      <c r="AG217" s="157" t="n"/>
      <c r="AH217" s="157" t="n"/>
      <c r="AI217" s="157" t="n"/>
      <c r="AJ217" s="157" t="n"/>
      <c r="AK217" s="157" t="n"/>
      <c r="AL217" s="157" t="n"/>
      <c r="AM217" s="157" t="n"/>
      <c r="AN217" s="157" t="n"/>
      <c r="AO217" s="157" t="n"/>
      <c r="AP217" s="157" t="n"/>
      <c r="AQ217" s="157" t="n"/>
      <c r="AR217" s="157" t="n"/>
      <c r="AS217" s="157" t="n"/>
      <c r="AT217" s="157" t="n"/>
      <c r="AU217" s="157" t="n"/>
      <c r="AV217" s="157" t="n"/>
      <c r="AW217" s="157" t="n"/>
      <c r="AX217" s="157" t="n"/>
      <c r="AY217" s="157" t="n"/>
      <c r="AZ217" s="157" t="n"/>
      <c r="BA217" s="157" t="n"/>
      <c r="BB217" s="157" t="n"/>
      <c r="BC217" s="157" t="n"/>
      <c r="BD217" s="157" t="n"/>
      <c r="BE217" s="157" t="n"/>
      <c r="BF217" s="157" t="n"/>
      <c r="BG217" s="157" t="n"/>
      <c r="BH217" s="158" t="n"/>
      <c r="BI217" s="159" t="n"/>
      <c r="BJ217" s="23">
        <f>IFERROR(ISNUMBER(E217)*IF(ISNUMBER(D217),--(E217&lt;D217-0.5),1)+ISNUMBER(F217)*IF(ISNUMBER(E217),--(F217&lt;E217-0.5),1)+ISNUMBER(G217)*IF(ISNUMBER(F217),--(G217&lt;F217-0.5),1)+ISNUMBER(H217)*IF(ISNUMBER(G217),--(H217&lt;G217-0.5),1)+ISNUMBER(I217)*IF(ISNUMBER(H217),--(I217&lt;H217-0.5),1)+ISNUMBER(J217)*IF(ISNUMBER(I217),--(J217&lt;I217-0.5),1)+ISNUMBER(K217)*IF(ISNUMBER(J217),--(K217&lt;J217-0.5),1)+IF(AND(ISNUMBER(C217),C217&lt;0),1,0),1)</f>
        <v/>
      </c>
      <c r="BK217" s="23">
        <f>IFERROR(ISNUMBER(M217)*IF(ISNUMBER(L217),--(M217&lt;L217-0.5),1)+ISNUMBER(N217)*IF(ISNUMBER(M217),--(N217&lt;M217-0.5),1)+ISNUMBER(O217)*IF(ISNUMBER(N217),--(O217&lt;N217-0.5),1)+ISNUMBER(P217)*IF(ISNUMBER(O217),--(P217&lt;O217-0.5),1)+ISNUMBER(Q217)*IF(ISNUMBER(P217),--(Q217&lt;P217-0.5),1)+ISNUMBER(R217)*IF(ISNUMBER(Q217),--(R217&lt;Q217-0.5),1)+ISNUMBER(S217)*IF(ISNUMBER(R217),--(S217&lt;R217-0.5),1),1)</f>
        <v/>
      </c>
    </row>
    <row r="218">
      <c r="A218" s="23" t="n">
        <v>15</v>
      </c>
      <c r="B218" s="75" t="n">
        <v>1</v>
      </c>
      <c r="C218" s="157" t="n"/>
      <c r="D218" s="157" t="n"/>
      <c r="E218" s="157" t="n"/>
      <c r="F218" s="157" t="n"/>
      <c r="G218" s="157" t="n"/>
      <c r="H218" s="157" t="n"/>
      <c r="I218" s="157" t="n"/>
      <c r="J218" s="157" t="n"/>
      <c r="K218" s="157" t="n"/>
      <c r="L218" s="157" t="n"/>
      <c r="M218" s="157" t="n"/>
      <c r="N218" s="157" t="n"/>
      <c r="O218" s="157" t="n"/>
      <c r="P218" s="157" t="n"/>
      <c r="Q218" s="157" t="n"/>
      <c r="R218" s="157" t="n"/>
      <c r="S218" s="157" t="n"/>
      <c r="T218" s="157" t="n"/>
      <c r="U218" s="157" t="n"/>
      <c r="V218" s="157" t="n"/>
      <c r="W218" s="157" t="n"/>
      <c r="X218" s="157" t="n"/>
      <c r="Y218" s="157" t="n"/>
      <c r="Z218" s="157" t="n"/>
      <c r="AA218" s="157" t="n"/>
      <c r="AB218" s="157" t="n"/>
      <c r="AC218" s="157" t="n"/>
      <c r="AD218" s="157" t="n"/>
      <c r="AE218" s="157" t="n"/>
      <c r="AF218" s="157" t="n"/>
      <c r="AG218" s="157" t="n"/>
      <c r="AH218" s="157" t="n"/>
      <c r="AI218" s="157" t="n"/>
      <c r="AJ218" s="157" t="n"/>
      <c r="AK218" s="157" t="n"/>
      <c r="AL218" s="157" t="n"/>
      <c r="AM218" s="157" t="n"/>
      <c r="AN218" s="157" t="n"/>
      <c r="AO218" s="157" t="n"/>
      <c r="AP218" s="157" t="n"/>
      <c r="AQ218" s="157" t="n"/>
      <c r="AR218" s="157" t="n"/>
      <c r="AS218" s="157" t="n"/>
      <c r="AT218" s="157" t="n"/>
      <c r="AU218" s="157" t="n"/>
      <c r="AV218" s="157" t="n"/>
      <c r="AW218" s="157" t="n"/>
      <c r="AX218" s="157" t="n"/>
      <c r="AY218" s="157" t="n"/>
      <c r="AZ218" s="157" t="n"/>
      <c r="BA218" s="157" t="n"/>
      <c r="BB218" s="157" t="n"/>
      <c r="BC218" s="157" t="n"/>
      <c r="BD218" s="157" t="n"/>
      <c r="BE218" s="157" t="n"/>
      <c r="BF218" s="157" t="n"/>
      <c r="BG218" s="157" t="n"/>
      <c r="BH218" s="158" t="n"/>
      <c r="BI218" s="159" t="n"/>
      <c r="BJ218" s="23">
        <f>IFERROR(ISNUMBER(E218)*IF(ISNUMBER(D218),--(E218&lt;D218-0.5),1)+ISNUMBER(F218)*IF(ISNUMBER(E218),--(F218&lt;E218-0.5),1)+ISNUMBER(G218)*IF(ISNUMBER(F218),--(G218&lt;F218-0.5),1)+ISNUMBER(H218)*IF(ISNUMBER(G218),--(H218&lt;G218-0.5),1)+ISNUMBER(I218)*IF(ISNUMBER(H218),--(I218&lt;H218-0.5),1)+ISNUMBER(J218)*IF(ISNUMBER(I218),--(J218&lt;I218-0.5),1)+ISNUMBER(K218)*IF(ISNUMBER(J218),--(K218&lt;J218-0.5),1)+IF(AND(ISNUMBER(C218),C218&lt;0),1,0),1)</f>
        <v/>
      </c>
      <c r="BK218" s="23">
        <f>IFERROR(ISNUMBER(M218)*IF(ISNUMBER(L218),--(M218&lt;L218-0.5),1)+ISNUMBER(N218)*IF(ISNUMBER(M218),--(N218&lt;M218-0.5),1)+ISNUMBER(O218)*IF(ISNUMBER(N218),--(O218&lt;N218-0.5),1)+ISNUMBER(P218)*IF(ISNUMBER(O218),--(P218&lt;O218-0.5),1)+ISNUMBER(Q218)*IF(ISNUMBER(P218),--(Q218&lt;P218-0.5),1)+ISNUMBER(R218)*IF(ISNUMBER(Q218),--(R218&lt;Q218-0.5),1)+ISNUMBER(S218)*IF(ISNUMBER(R218),--(S218&lt;R218-0.5),1),1)</f>
        <v/>
      </c>
    </row>
    <row r="219">
      <c r="A219" s="23" t="n">
        <v>16</v>
      </c>
      <c r="B219" s="75" t="n">
        <v>1</v>
      </c>
      <c r="C219" s="157" t="n"/>
      <c r="D219" s="157" t="n"/>
      <c r="E219" s="157" t="n"/>
      <c r="F219" s="157" t="n"/>
      <c r="G219" s="157" t="n"/>
      <c r="H219" s="157" t="n"/>
      <c r="I219" s="157" t="n"/>
      <c r="J219" s="157" t="n"/>
      <c r="K219" s="157" t="n"/>
      <c r="L219" s="157" t="n"/>
      <c r="M219" s="157" t="n"/>
      <c r="N219" s="157" t="n"/>
      <c r="O219" s="157" t="n"/>
      <c r="P219" s="157" t="n"/>
      <c r="Q219" s="157" t="n"/>
      <c r="R219" s="157" t="n"/>
      <c r="S219" s="157" t="n"/>
      <c r="T219" s="157" t="n"/>
      <c r="U219" s="157" t="n"/>
      <c r="V219" s="157" t="n"/>
      <c r="W219" s="157" t="n"/>
      <c r="X219" s="157" t="n"/>
      <c r="Y219" s="157" t="n"/>
      <c r="Z219" s="157" t="n"/>
      <c r="AA219" s="157" t="n"/>
      <c r="AB219" s="157" t="n"/>
      <c r="AC219" s="157" t="n"/>
      <c r="AD219" s="157" t="n"/>
      <c r="AE219" s="157" t="n"/>
      <c r="AF219" s="157" t="n"/>
      <c r="AG219" s="157" t="n"/>
      <c r="AH219" s="157" t="n"/>
      <c r="AI219" s="157" t="n"/>
      <c r="AJ219" s="157" t="n"/>
      <c r="AK219" s="157" t="n"/>
      <c r="AL219" s="157" t="n"/>
      <c r="AM219" s="157" t="n"/>
      <c r="AN219" s="157" t="n"/>
      <c r="AO219" s="157" t="n"/>
      <c r="AP219" s="157" t="n"/>
      <c r="AQ219" s="157" t="n"/>
      <c r="AR219" s="157" t="n"/>
      <c r="AS219" s="157" t="n"/>
      <c r="AT219" s="157" t="n"/>
      <c r="AU219" s="157" t="n"/>
      <c r="AV219" s="157" t="n"/>
      <c r="AW219" s="157" t="n"/>
      <c r="AX219" s="157" t="n"/>
      <c r="AY219" s="157" t="n"/>
      <c r="AZ219" s="157" t="n"/>
      <c r="BA219" s="157" t="n"/>
      <c r="BB219" s="157" t="n"/>
      <c r="BC219" s="157" t="n"/>
      <c r="BD219" s="157" t="n"/>
      <c r="BE219" s="157" t="n"/>
      <c r="BF219" s="157" t="n"/>
      <c r="BG219" s="157" t="n"/>
      <c r="BH219" s="158" t="n"/>
      <c r="BI219" s="159" t="n"/>
      <c r="BJ219" s="23">
        <f>IFERROR(ISNUMBER(E219)*IF(ISNUMBER(D219),--(E219&lt;D219-0.5),1)+ISNUMBER(F219)*IF(ISNUMBER(E219),--(F219&lt;E219-0.5),1)+ISNUMBER(G219)*IF(ISNUMBER(F219),--(G219&lt;F219-0.5),1)+ISNUMBER(H219)*IF(ISNUMBER(G219),--(H219&lt;G219-0.5),1)+ISNUMBER(I219)*IF(ISNUMBER(H219),--(I219&lt;H219-0.5),1)+ISNUMBER(J219)*IF(ISNUMBER(I219),--(J219&lt;I219-0.5),1)+ISNUMBER(K219)*IF(ISNUMBER(J219),--(K219&lt;J219-0.5),1)+IF(AND(ISNUMBER(C219),C219&lt;0),1,0),1)</f>
        <v/>
      </c>
      <c r="BK219" s="23">
        <f>IFERROR(ISNUMBER(M219)*IF(ISNUMBER(L219),--(M219&lt;L219-0.5),1)+ISNUMBER(N219)*IF(ISNUMBER(M219),--(N219&lt;M219-0.5),1)+ISNUMBER(O219)*IF(ISNUMBER(N219),--(O219&lt;N219-0.5),1)+ISNUMBER(P219)*IF(ISNUMBER(O219),--(P219&lt;O219-0.5),1)+ISNUMBER(Q219)*IF(ISNUMBER(P219),--(Q219&lt;P219-0.5),1)+ISNUMBER(R219)*IF(ISNUMBER(Q219),--(R219&lt;Q219-0.5),1)+ISNUMBER(S219)*IF(ISNUMBER(R219),--(S219&lt;R219-0.5),1),1)</f>
        <v/>
      </c>
    </row>
    <row r="220">
      <c r="A220" s="23" t="n">
        <v>17</v>
      </c>
      <c r="B220" s="75" t="n">
        <v>1</v>
      </c>
      <c r="C220" s="157" t="n"/>
      <c r="D220" s="157" t="n"/>
      <c r="E220" s="157" t="n"/>
      <c r="F220" s="157" t="n"/>
      <c r="G220" s="157" t="n"/>
      <c r="H220" s="157" t="n"/>
      <c r="I220" s="157" t="n"/>
      <c r="J220" s="157" t="n"/>
      <c r="K220" s="157" t="n"/>
      <c r="L220" s="157" t="n"/>
      <c r="M220" s="157" t="n"/>
      <c r="N220" s="157" t="n"/>
      <c r="O220" s="157" t="n"/>
      <c r="P220" s="157" t="n"/>
      <c r="Q220" s="157" t="n"/>
      <c r="R220" s="157" t="n"/>
      <c r="S220" s="157" t="n"/>
      <c r="T220" s="157" t="n"/>
      <c r="U220" s="157" t="n"/>
      <c r="V220" s="157" t="n"/>
      <c r="W220" s="157" t="n"/>
      <c r="X220" s="157" t="n"/>
      <c r="Y220" s="157" t="n"/>
      <c r="Z220" s="157" t="n"/>
      <c r="AA220" s="157" t="n"/>
      <c r="AB220" s="157" t="n"/>
      <c r="AC220" s="157" t="n"/>
      <c r="AD220" s="157" t="n"/>
      <c r="AE220" s="157" t="n"/>
      <c r="AF220" s="157" t="n"/>
      <c r="AG220" s="157" t="n"/>
      <c r="AH220" s="157" t="n"/>
      <c r="AI220" s="157" t="n"/>
      <c r="AJ220" s="157" t="n"/>
      <c r="AK220" s="157" t="n"/>
      <c r="AL220" s="157" t="n"/>
      <c r="AM220" s="157" t="n"/>
      <c r="AN220" s="157" t="n"/>
      <c r="AO220" s="157" t="n"/>
      <c r="AP220" s="157" t="n"/>
      <c r="AQ220" s="157" t="n"/>
      <c r="AR220" s="157" t="n"/>
      <c r="AS220" s="157" t="n"/>
      <c r="AT220" s="157" t="n"/>
      <c r="AU220" s="157" t="n"/>
      <c r="AV220" s="157" t="n"/>
      <c r="AW220" s="157" t="n"/>
      <c r="AX220" s="157" t="n"/>
      <c r="AY220" s="157" t="n"/>
      <c r="AZ220" s="157" t="n"/>
      <c r="BA220" s="157" t="n"/>
      <c r="BB220" s="157" t="n"/>
      <c r="BC220" s="157" t="n"/>
      <c r="BD220" s="157" t="n"/>
      <c r="BE220" s="157" t="n"/>
      <c r="BF220" s="157" t="n"/>
      <c r="BG220" s="157" t="n"/>
      <c r="BH220" s="158" t="n"/>
      <c r="BI220" s="159" t="n"/>
      <c r="BJ220" s="23">
        <f>IFERROR(ISNUMBER(E220)*IF(ISNUMBER(D220),--(E220&lt;D220-0.5),1)+ISNUMBER(F220)*IF(ISNUMBER(E220),--(F220&lt;E220-0.5),1)+ISNUMBER(G220)*IF(ISNUMBER(F220),--(G220&lt;F220-0.5),1)+ISNUMBER(H220)*IF(ISNUMBER(G220),--(H220&lt;G220-0.5),1)+ISNUMBER(I220)*IF(ISNUMBER(H220),--(I220&lt;H220-0.5),1)+ISNUMBER(J220)*IF(ISNUMBER(I220),--(J220&lt;I220-0.5),1)+ISNUMBER(K220)*IF(ISNUMBER(J220),--(K220&lt;J220-0.5),1)+IF(AND(ISNUMBER(C220),C220&lt;0),1,0),1)</f>
        <v/>
      </c>
      <c r="BK220" s="23">
        <f>IFERROR(ISNUMBER(M220)*IF(ISNUMBER(L220),--(M220&lt;L220-0.5),1)+ISNUMBER(N220)*IF(ISNUMBER(M220),--(N220&lt;M220-0.5),1)+ISNUMBER(O220)*IF(ISNUMBER(N220),--(O220&lt;N220-0.5),1)+ISNUMBER(P220)*IF(ISNUMBER(O220),--(P220&lt;O220-0.5),1)+ISNUMBER(Q220)*IF(ISNUMBER(P220),--(Q220&lt;P220-0.5),1)+ISNUMBER(R220)*IF(ISNUMBER(Q220),--(R220&lt;Q220-0.5),1)+ISNUMBER(S220)*IF(ISNUMBER(R220),--(S220&lt;R220-0.5),1),1)</f>
        <v/>
      </c>
    </row>
    <row r="221">
      <c r="A221" s="23" t="n">
        <v>18</v>
      </c>
      <c r="B221" s="75" t="n">
        <v>1</v>
      </c>
      <c r="C221" s="157" t="n"/>
      <c r="D221" s="157" t="n"/>
      <c r="E221" s="157" t="n"/>
      <c r="F221" s="157" t="n"/>
      <c r="G221" s="157" t="n"/>
      <c r="H221" s="157" t="n"/>
      <c r="I221" s="157" t="n"/>
      <c r="J221" s="157" t="n"/>
      <c r="K221" s="157" t="n"/>
      <c r="L221" s="157" t="n"/>
      <c r="M221" s="157" t="n"/>
      <c r="N221" s="157" t="n"/>
      <c r="O221" s="157" t="n"/>
      <c r="P221" s="157" t="n"/>
      <c r="Q221" s="157" t="n"/>
      <c r="R221" s="157" t="n"/>
      <c r="S221" s="157" t="n"/>
      <c r="T221" s="157" t="n"/>
      <c r="U221" s="157" t="n"/>
      <c r="V221" s="157" t="n"/>
      <c r="W221" s="157" t="n"/>
      <c r="X221" s="157" t="n"/>
      <c r="Y221" s="157" t="n"/>
      <c r="Z221" s="157" t="n"/>
      <c r="AA221" s="157" t="n"/>
      <c r="AB221" s="157" t="n"/>
      <c r="AC221" s="157" t="n"/>
      <c r="AD221" s="157" t="n"/>
      <c r="AE221" s="157" t="n"/>
      <c r="AF221" s="157" t="n"/>
      <c r="AG221" s="157" t="n"/>
      <c r="AH221" s="157" t="n"/>
      <c r="AI221" s="157" t="n"/>
      <c r="AJ221" s="157" t="n"/>
      <c r="AK221" s="157" t="n"/>
      <c r="AL221" s="157" t="n"/>
      <c r="AM221" s="157" t="n"/>
      <c r="AN221" s="157" t="n"/>
      <c r="AO221" s="157" t="n"/>
      <c r="AP221" s="157" t="n"/>
      <c r="AQ221" s="157" t="n"/>
      <c r="AR221" s="157" t="n"/>
      <c r="AS221" s="157" t="n"/>
      <c r="AT221" s="157" t="n"/>
      <c r="AU221" s="157" t="n"/>
      <c r="AV221" s="157" t="n"/>
      <c r="AW221" s="157" t="n"/>
      <c r="AX221" s="157" t="n"/>
      <c r="AY221" s="157" t="n"/>
      <c r="AZ221" s="157" t="n"/>
      <c r="BA221" s="157" t="n"/>
      <c r="BB221" s="157" t="n"/>
      <c r="BC221" s="157" t="n"/>
      <c r="BD221" s="157" t="n"/>
      <c r="BE221" s="157" t="n"/>
      <c r="BF221" s="157" t="n"/>
      <c r="BG221" s="157" t="n"/>
      <c r="BH221" s="158" t="n"/>
      <c r="BI221" s="159" t="n"/>
      <c r="BJ221" s="23">
        <f>IFERROR(ISNUMBER(E221)*IF(ISNUMBER(D221),--(E221&lt;D221-0.5),1)+ISNUMBER(F221)*IF(ISNUMBER(E221),--(F221&lt;E221-0.5),1)+ISNUMBER(G221)*IF(ISNUMBER(F221),--(G221&lt;F221-0.5),1)+ISNUMBER(H221)*IF(ISNUMBER(G221),--(H221&lt;G221-0.5),1)+ISNUMBER(I221)*IF(ISNUMBER(H221),--(I221&lt;H221-0.5),1)+ISNUMBER(J221)*IF(ISNUMBER(I221),--(J221&lt;I221-0.5),1)+ISNUMBER(K221)*IF(ISNUMBER(J221),--(K221&lt;J221-0.5),1)+IF(AND(ISNUMBER(C221),C221&lt;0),1,0),1)</f>
        <v/>
      </c>
      <c r="BK221" s="23">
        <f>IFERROR(ISNUMBER(M221)*IF(ISNUMBER(L221),--(M221&lt;L221-0.5),1)+ISNUMBER(N221)*IF(ISNUMBER(M221),--(N221&lt;M221-0.5),1)+ISNUMBER(O221)*IF(ISNUMBER(N221),--(O221&lt;N221-0.5),1)+ISNUMBER(P221)*IF(ISNUMBER(O221),--(P221&lt;O221-0.5),1)+ISNUMBER(Q221)*IF(ISNUMBER(P221),--(Q221&lt;P221-0.5),1)+ISNUMBER(R221)*IF(ISNUMBER(Q221),--(R221&lt;Q221-0.5),1)+ISNUMBER(S221)*IF(ISNUMBER(R221),--(S221&lt;R221-0.5),1),1)</f>
        <v/>
      </c>
    </row>
    <row r="222">
      <c r="A222" s="23" t="n">
        <v>19</v>
      </c>
      <c r="B222" s="75" t="n">
        <v>1</v>
      </c>
      <c r="C222" s="157" t="n"/>
      <c r="D222" s="157" t="n"/>
      <c r="E222" s="157" t="n"/>
      <c r="F222" s="157" t="n"/>
      <c r="G222" s="157" t="n"/>
      <c r="H222" s="157" t="n"/>
      <c r="I222" s="157" t="n"/>
      <c r="J222" s="157" t="n"/>
      <c r="K222" s="157" t="n"/>
      <c r="L222" s="157" t="n"/>
      <c r="M222" s="157" t="n"/>
      <c r="N222" s="157" t="n"/>
      <c r="O222" s="157" t="n"/>
      <c r="P222" s="157" t="n"/>
      <c r="Q222" s="157" t="n"/>
      <c r="R222" s="157" t="n"/>
      <c r="S222" s="157" t="n"/>
      <c r="T222" s="157" t="n"/>
      <c r="U222" s="157" t="n"/>
      <c r="V222" s="157" t="n"/>
      <c r="W222" s="157" t="n"/>
      <c r="X222" s="157" t="n"/>
      <c r="Y222" s="157" t="n"/>
      <c r="Z222" s="157" t="n"/>
      <c r="AA222" s="157" t="n"/>
      <c r="AB222" s="157" t="n"/>
      <c r="AC222" s="157" t="n"/>
      <c r="AD222" s="157" t="n"/>
      <c r="AE222" s="157" t="n"/>
      <c r="AF222" s="157" t="n"/>
      <c r="AG222" s="157" t="n"/>
      <c r="AH222" s="157" t="n"/>
      <c r="AI222" s="157" t="n"/>
      <c r="AJ222" s="157" t="n"/>
      <c r="AK222" s="157" t="n"/>
      <c r="AL222" s="157" t="n"/>
      <c r="AM222" s="157" t="n"/>
      <c r="AN222" s="157" t="n"/>
      <c r="AO222" s="157" t="n"/>
      <c r="AP222" s="157" t="n"/>
      <c r="AQ222" s="157" t="n"/>
      <c r="AR222" s="157" t="n"/>
      <c r="AS222" s="157" t="n"/>
      <c r="AT222" s="157" t="n"/>
      <c r="AU222" s="157" t="n"/>
      <c r="AV222" s="157" t="n"/>
      <c r="AW222" s="157" t="n"/>
      <c r="AX222" s="157" t="n"/>
      <c r="AY222" s="157" t="n"/>
      <c r="AZ222" s="157" t="n"/>
      <c r="BA222" s="157" t="n"/>
      <c r="BB222" s="157" t="n"/>
      <c r="BC222" s="157" t="n"/>
      <c r="BD222" s="157" t="n"/>
      <c r="BE222" s="157" t="n"/>
      <c r="BF222" s="157" t="n"/>
      <c r="BG222" s="157" t="n"/>
      <c r="BH222" s="158" t="n"/>
      <c r="BI222" s="159" t="n"/>
      <c r="BJ222" s="23">
        <f>IFERROR(ISNUMBER(E222)*IF(ISNUMBER(D222),--(E222&lt;D222-0.5),1)+ISNUMBER(F222)*IF(ISNUMBER(E222),--(F222&lt;E222-0.5),1)+ISNUMBER(G222)*IF(ISNUMBER(F222),--(G222&lt;F222-0.5),1)+ISNUMBER(H222)*IF(ISNUMBER(G222),--(H222&lt;G222-0.5),1)+ISNUMBER(I222)*IF(ISNUMBER(H222),--(I222&lt;H222-0.5),1)+ISNUMBER(J222)*IF(ISNUMBER(I222),--(J222&lt;I222-0.5),1)+ISNUMBER(K222)*IF(ISNUMBER(J222),--(K222&lt;J222-0.5),1)+IF(AND(ISNUMBER(C222),C222&lt;0),1,0),1)</f>
        <v/>
      </c>
      <c r="BK222" s="23">
        <f>IFERROR(ISNUMBER(M222)*IF(ISNUMBER(L222),--(M222&lt;L222-0.5),1)+ISNUMBER(N222)*IF(ISNUMBER(M222),--(N222&lt;M222-0.5),1)+ISNUMBER(O222)*IF(ISNUMBER(N222),--(O222&lt;N222-0.5),1)+ISNUMBER(P222)*IF(ISNUMBER(O222),--(P222&lt;O222-0.5),1)+ISNUMBER(Q222)*IF(ISNUMBER(P222),--(Q222&lt;P222-0.5),1)+ISNUMBER(R222)*IF(ISNUMBER(Q222),--(R222&lt;Q222-0.5),1)+ISNUMBER(S222)*IF(ISNUMBER(R222),--(S222&lt;R222-0.5),1),1)</f>
        <v/>
      </c>
    </row>
    <row r="223">
      <c r="A223" s="23" t="n">
        <v>20</v>
      </c>
      <c r="B223" s="75" t="n">
        <v>1</v>
      </c>
      <c r="C223" s="157" t="n"/>
      <c r="D223" s="157" t="n"/>
      <c r="E223" s="157" t="n"/>
      <c r="F223" s="157" t="n"/>
      <c r="G223" s="157" t="n"/>
      <c r="H223" s="157" t="n"/>
      <c r="I223" s="157" t="n"/>
      <c r="J223" s="157" t="n"/>
      <c r="K223" s="157" t="n"/>
      <c r="L223" s="157" t="n"/>
      <c r="M223" s="157" t="n"/>
      <c r="N223" s="157" t="n"/>
      <c r="O223" s="157" t="n"/>
      <c r="P223" s="157" t="n"/>
      <c r="Q223" s="157" t="n"/>
      <c r="R223" s="157" t="n"/>
      <c r="S223" s="157" t="n"/>
      <c r="T223" s="157" t="n"/>
      <c r="U223" s="157" t="n"/>
      <c r="V223" s="157" t="n"/>
      <c r="W223" s="157" t="n"/>
      <c r="X223" s="157" t="n"/>
      <c r="Y223" s="157" t="n"/>
      <c r="Z223" s="157" t="n"/>
      <c r="AA223" s="157" t="n"/>
      <c r="AB223" s="157" t="n"/>
      <c r="AC223" s="157" t="n"/>
      <c r="AD223" s="157" t="n"/>
      <c r="AE223" s="157" t="n"/>
      <c r="AF223" s="157" t="n"/>
      <c r="AG223" s="157" t="n"/>
      <c r="AH223" s="157" t="n"/>
      <c r="AI223" s="157" t="n"/>
      <c r="AJ223" s="157" t="n"/>
      <c r="AK223" s="157" t="n"/>
      <c r="AL223" s="157" t="n"/>
      <c r="AM223" s="157" t="n"/>
      <c r="AN223" s="157" t="n"/>
      <c r="AO223" s="157" t="n"/>
      <c r="AP223" s="157" t="n"/>
      <c r="AQ223" s="157" t="n"/>
      <c r="AR223" s="157" t="n"/>
      <c r="AS223" s="157" t="n"/>
      <c r="AT223" s="157" t="n"/>
      <c r="AU223" s="157" t="n"/>
      <c r="AV223" s="157" t="n"/>
      <c r="AW223" s="157" t="n"/>
      <c r="AX223" s="157" t="n"/>
      <c r="AY223" s="157" t="n"/>
      <c r="AZ223" s="157" t="n"/>
      <c r="BA223" s="157" t="n"/>
      <c r="BB223" s="157" t="n"/>
      <c r="BC223" s="157" t="n"/>
      <c r="BD223" s="157" t="n"/>
      <c r="BE223" s="157" t="n"/>
      <c r="BF223" s="157" t="n"/>
      <c r="BG223" s="157" t="n"/>
      <c r="BH223" s="158" t="n"/>
      <c r="BI223" s="159" t="n"/>
      <c r="BJ223" s="23">
        <f>IFERROR(ISNUMBER(E223)*IF(ISNUMBER(D223),--(E223&lt;D223-0.5),1)+ISNUMBER(F223)*IF(ISNUMBER(E223),--(F223&lt;E223-0.5),1)+ISNUMBER(G223)*IF(ISNUMBER(F223),--(G223&lt;F223-0.5),1)+ISNUMBER(H223)*IF(ISNUMBER(G223),--(H223&lt;G223-0.5),1)+ISNUMBER(I223)*IF(ISNUMBER(H223),--(I223&lt;H223-0.5),1)+ISNUMBER(J223)*IF(ISNUMBER(I223),--(J223&lt;I223-0.5),1)+ISNUMBER(K223)*IF(ISNUMBER(J223),--(K223&lt;J223-0.5),1)+IF(AND(ISNUMBER(C223),C223&lt;0),1,0),1)</f>
        <v/>
      </c>
      <c r="BK223" s="23">
        <f>IFERROR(ISNUMBER(M223)*IF(ISNUMBER(L223),--(M223&lt;L223-0.5),1)+ISNUMBER(N223)*IF(ISNUMBER(M223),--(N223&lt;M223-0.5),1)+ISNUMBER(O223)*IF(ISNUMBER(N223),--(O223&lt;N223-0.5),1)+ISNUMBER(P223)*IF(ISNUMBER(O223),--(P223&lt;O223-0.5),1)+ISNUMBER(Q223)*IF(ISNUMBER(P223),--(Q223&lt;P223-0.5),1)+ISNUMBER(R223)*IF(ISNUMBER(Q223),--(R223&lt;Q223-0.5),1)+ISNUMBER(S223)*IF(ISNUMBER(R223),--(S223&lt;R223-0.5),1),1)</f>
        <v/>
      </c>
    </row>
    <row r="224">
      <c r="A224" s="23" t="n">
        <v>21</v>
      </c>
      <c r="B224" s="75" t="n">
        <v>1</v>
      </c>
      <c r="C224" s="157" t="n"/>
      <c r="D224" s="157" t="n"/>
      <c r="E224" s="157" t="n"/>
      <c r="F224" s="157" t="n"/>
      <c r="G224" s="157" t="n"/>
      <c r="H224" s="157" t="n"/>
      <c r="I224" s="157" t="n"/>
      <c r="J224" s="157" t="n"/>
      <c r="K224" s="157" t="n"/>
      <c r="L224" s="157" t="n"/>
      <c r="M224" s="157" t="n"/>
      <c r="N224" s="157" t="n"/>
      <c r="O224" s="157" t="n"/>
      <c r="P224" s="157" t="n"/>
      <c r="Q224" s="157" t="n"/>
      <c r="R224" s="157" t="n"/>
      <c r="S224" s="157" t="n"/>
      <c r="T224" s="157" t="n"/>
      <c r="U224" s="157" t="n"/>
      <c r="V224" s="157" t="n"/>
      <c r="W224" s="157" t="n"/>
      <c r="X224" s="157" t="n"/>
      <c r="Y224" s="157" t="n"/>
      <c r="Z224" s="157" t="n"/>
      <c r="AA224" s="157" t="n"/>
      <c r="AB224" s="157" t="n"/>
      <c r="AC224" s="157" t="n"/>
      <c r="AD224" s="157" t="n"/>
      <c r="AE224" s="157" t="n"/>
      <c r="AF224" s="157" t="n"/>
      <c r="AG224" s="157" t="n"/>
      <c r="AH224" s="157" t="n"/>
      <c r="AI224" s="157" t="n"/>
      <c r="AJ224" s="157" t="n"/>
      <c r="AK224" s="157" t="n"/>
      <c r="AL224" s="157" t="n"/>
      <c r="AM224" s="157" t="n"/>
      <c r="AN224" s="157" t="n"/>
      <c r="AO224" s="157" t="n"/>
      <c r="AP224" s="157" t="n"/>
      <c r="AQ224" s="157" t="n"/>
      <c r="AR224" s="157" t="n"/>
      <c r="AS224" s="157" t="n"/>
      <c r="AT224" s="157" t="n"/>
      <c r="AU224" s="157" t="n"/>
      <c r="AV224" s="157" t="n"/>
      <c r="AW224" s="157" t="n"/>
      <c r="AX224" s="157" t="n"/>
      <c r="AY224" s="157" t="n"/>
      <c r="AZ224" s="157" t="n"/>
      <c r="BA224" s="157" t="n"/>
      <c r="BB224" s="157" t="n"/>
      <c r="BC224" s="157" t="n"/>
      <c r="BD224" s="157" t="n"/>
      <c r="BE224" s="157" t="n"/>
      <c r="BF224" s="157" t="n"/>
      <c r="BG224" s="157" t="n"/>
      <c r="BH224" s="158" t="n"/>
      <c r="BI224" s="159" t="n"/>
      <c r="BJ224" s="23">
        <f>IFERROR(ISNUMBER(E224)*IF(ISNUMBER(D224),--(E224&lt;D224-0.5),1)+ISNUMBER(F224)*IF(ISNUMBER(E224),--(F224&lt;E224-0.5),1)+ISNUMBER(G224)*IF(ISNUMBER(F224),--(G224&lt;F224-0.5),1)+ISNUMBER(H224)*IF(ISNUMBER(G224),--(H224&lt;G224-0.5),1)+ISNUMBER(I224)*IF(ISNUMBER(H224),--(I224&lt;H224-0.5),1)+ISNUMBER(J224)*IF(ISNUMBER(I224),--(J224&lt;I224-0.5),1)+ISNUMBER(K224)*IF(ISNUMBER(J224),--(K224&lt;J224-0.5),1)+IF(AND(ISNUMBER(C224),C224&lt;0),1,0),1)</f>
        <v/>
      </c>
      <c r="BK224" s="23">
        <f>IFERROR(ISNUMBER(M224)*IF(ISNUMBER(L224),--(M224&lt;L224-0.5),1)+ISNUMBER(N224)*IF(ISNUMBER(M224),--(N224&lt;M224-0.5),1)+ISNUMBER(O224)*IF(ISNUMBER(N224),--(O224&lt;N224-0.5),1)+ISNUMBER(P224)*IF(ISNUMBER(O224),--(P224&lt;O224-0.5),1)+ISNUMBER(Q224)*IF(ISNUMBER(P224),--(Q224&lt;P224-0.5),1)+ISNUMBER(R224)*IF(ISNUMBER(Q224),--(R224&lt;Q224-0.5),1)+ISNUMBER(S224)*IF(ISNUMBER(R224),--(S224&lt;R224-0.5),1),1)</f>
        <v/>
      </c>
    </row>
    <row r="225">
      <c r="A225" s="23" t="n">
        <v>22</v>
      </c>
      <c r="B225" s="75" t="n">
        <v>1</v>
      </c>
      <c r="C225" s="157" t="n"/>
      <c r="D225" s="157" t="n"/>
      <c r="E225" s="157" t="n"/>
      <c r="F225" s="157" t="n"/>
      <c r="G225" s="157" t="n"/>
      <c r="H225" s="157" t="n"/>
      <c r="I225" s="157" t="n"/>
      <c r="J225" s="157" t="n"/>
      <c r="K225" s="157" t="n"/>
      <c r="L225" s="157" t="n"/>
      <c r="M225" s="157" t="n"/>
      <c r="N225" s="157" t="n"/>
      <c r="O225" s="157" t="n"/>
      <c r="P225" s="157" t="n"/>
      <c r="Q225" s="157" t="n"/>
      <c r="R225" s="157" t="n"/>
      <c r="S225" s="157" t="n"/>
      <c r="T225" s="157" t="n"/>
      <c r="U225" s="157" t="n"/>
      <c r="V225" s="157" t="n"/>
      <c r="W225" s="157" t="n"/>
      <c r="X225" s="157" t="n"/>
      <c r="Y225" s="157" t="n"/>
      <c r="Z225" s="157" t="n"/>
      <c r="AA225" s="157" t="n"/>
      <c r="AB225" s="157" t="n"/>
      <c r="AC225" s="157" t="n"/>
      <c r="AD225" s="157" t="n"/>
      <c r="AE225" s="157" t="n"/>
      <c r="AF225" s="157" t="n"/>
      <c r="AG225" s="157" t="n"/>
      <c r="AH225" s="157" t="n"/>
      <c r="AI225" s="157" t="n"/>
      <c r="AJ225" s="157" t="n"/>
      <c r="AK225" s="157" t="n"/>
      <c r="AL225" s="157" t="n"/>
      <c r="AM225" s="157" t="n"/>
      <c r="AN225" s="157" t="n"/>
      <c r="AO225" s="157" t="n"/>
      <c r="AP225" s="157" t="n"/>
      <c r="AQ225" s="157" t="n"/>
      <c r="AR225" s="157" t="n"/>
      <c r="AS225" s="157" t="n"/>
      <c r="AT225" s="157" t="n"/>
      <c r="AU225" s="157" t="n"/>
      <c r="AV225" s="157" t="n"/>
      <c r="AW225" s="157" t="n"/>
      <c r="AX225" s="157" t="n"/>
      <c r="AY225" s="157" t="n"/>
      <c r="AZ225" s="157" t="n"/>
      <c r="BA225" s="157" t="n"/>
      <c r="BB225" s="157" t="n"/>
      <c r="BC225" s="157" t="n"/>
      <c r="BD225" s="157" t="n"/>
      <c r="BE225" s="157" t="n"/>
      <c r="BF225" s="157" t="n"/>
      <c r="BG225" s="157" t="n"/>
      <c r="BH225" s="158" t="n"/>
      <c r="BI225" s="159" t="n"/>
      <c r="BJ225" s="23">
        <f>IFERROR(ISNUMBER(E225)*IF(ISNUMBER(D225),--(E225&lt;D225-0.5),1)+ISNUMBER(F225)*IF(ISNUMBER(E225),--(F225&lt;E225-0.5),1)+ISNUMBER(G225)*IF(ISNUMBER(F225),--(G225&lt;F225-0.5),1)+ISNUMBER(H225)*IF(ISNUMBER(G225),--(H225&lt;G225-0.5),1)+ISNUMBER(I225)*IF(ISNUMBER(H225),--(I225&lt;H225-0.5),1)+ISNUMBER(J225)*IF(ISNUMBER(I225),--(J225&lt;I225-0.5),1)+ISNUMBER(K225)*IF(ISNUMBER(J225),--(K225&lt;J225-0.5),1)+IF(AND(ISNUMBER(C225),C225&lt;0),1,0),1)</f>
        <v/>
      </c>
      <c r="BK225" s="23">
        <f>IFERROR(ISNUMBER(M225)*IF(ISNUMBER(L225),--(M225&lt;L225-0.5),1)+ISNUMBER(N225)*IF(ISNUMBER(M225),--(N225&lt;M225-0.5),1)+ISNUMBER(O225)*IF(ISNUMBER(N225),--(O225&lt;N225-0.5),1)+ISNUMBER(P225)*IF(ISNUMBER(O225),--(P225&lt;O225-0.5),1)+ISNUMBER(Q225)*IF(ISNUMBER(P225),--(Q225&lt;P225-0.5),1)+ISNUMBER(R225)*IF(ISNUMBER(Q225),--(R225&lt;Q225-0.5),1)+ISNUMBER(S225)*IF(ISNUMBER(R225),--(S225&lt;R225-0.5),1),1)</f>
        <v/>
      </c>
    </row>
    <row r="226">
      <c r="A226" s="23" t="n">
        <v>23</v>
      </c>
      <c r="B226" s="75" t="n">
        <v>1</v>
      </c>
      <c r="C226" s="157" t="n"/>
      <c r="D226" s="157" t="n"/>
      <c r="E226" s="157" t="n"/>
      <c r="F226" s="157" t="n"/>
      <c r="G226" s="157" t="n"/>
      <c r="H226" s="157" t="n"/>
      <c r="I226" s="157" t="n"/>
      <c r="J226" s="157" t="n"/>
      <c r="K226" s="157" t="n"/>
      <c r="L226" s="157" t="n"/>
      <c r="M226" s="157" t="n"/>
      <c r="N226" s="157" t="n"/>
      <c r="O226" s="157" t="n"/>
      <c r="P226" s="157" t="n"/>
      <c r="Q226" s="157" t="n"/>
      <c r="R226" s="157" t="n"/>
      <c r="S226" s="157" t="n"/>
      <c r="T226" s="157" t="n"/>
      <c r="U226" s="157" t="n"/>
      <c r="V226" s="157" t="n"/>
      <c r="W226" s="157" t="n"/>
      <c r="X226" s="157" t="n"/>
      <c r="Y226" s="157" t="n"/>
      <c r="Z226" s="157" t="n"/>
      <c r="AA226" s="157" t="n"/>
      <c r="AB226" s="157" t="n"/>
      <c r="AC226" s="157" t="n"/>
      <c r="AD226" s="157" t="n"/>
      <c r="AE226" s="157" t="n"/>
      <c r="AF226" s="157" t="n"/>
      <c r="AG226" s="157" t="n"/>
      <c r="AH226" s="157" t="n"/>
      <c r="AI226" s="157" t="n"/>
      <c r="AJ226" s="157" t="n"/>
      <c r="AK226" s="157" t="n"/>
      <c r="AL226" s="157" t="n"/>
      <c r="AM226" s="157" t="n"/>
      <c r="AN226" s="157" t="n"/>
      <c r="AO226" s="157" t="n"/>
      <c r="AP226" s="157" t="n"/>
      <c r="AQ226" s="157" t="n"/>
      <c r="AR226" s="157" t="n"/>
      <c r="AS226" s="157" t="n"/>
      <c r="AT226" s="157" t="n"/>
      <c r="AU226" s="157" t="n"/>
      <c r="AV226" s="157" t="n"/>
      <c r="AW226" s="157" t="n"/>
      <c r="AX226" s="157" t="n"/>
      <c r="AY226" s="157" t="n"/>
      <c r="AZ226" s="157" t="n"/>
      <c r="BA226" s="157" t="n"/>
      <c r="BB226" s="157" t="n"/>
      <c r="BC226" s="157" t="n"/>
      <c r="BD226" s="157" t="n"/>
      <c r="BE226" s="157" t="n"/>
      <c r="BF226" s="157" t="n"/>
      <c r="BG226" s="157" t="n"/>
      <c r="BH226" s="158" t="n"/>
      <c r="BI226" s="159" t="n"/>
      <c r="BJ226" s="23">
        <f>IFERROR(ISNUMBER(E226)*IF(ISNUMBER(D226),--(E226&lt;D226-0.5),1)+ISNUMBER(F226)*IF(ISNUMBER(E226),--(F226&lt;E226-0.5),1)+ISNUMBER(G226)*IF(ISNUMBER(F226),--(G226&lt;F226-0.5),1)+ISNUMBER(H226)*IF(ISNUMBER(G226),--(H226&lt;G226-0.5),1)+ISNUMBER(I226)*IF(ISNUMBER(H226),--(I226&lt;H226-0.5),1)+ISNUMBER(J226)*IF(ISNUMBER(I226),--(J226&lt;I226-0.5),1)+ISNUMBER(K226)*IF(ISNUMBER(J226),--(K226&lt;J226-0.5),1)+IF(AND(ISNUMBER(C226),C226&lt;0),1,0),1)</f>
        <v/>
      </c>
      <c r="BK226" s="23">
        <f>IFERROR(ISNUMBER(M226)*IF(ISNUMBER(L226),--(M226&lt;L226-0.5),1)+ISNUMBER(N226)*IF(ISNUMBER(M226),--(N226&lt;M226-0.5),1)+ISNUMBER(O226)*IF(ISNUMBER(N226),--(O226&lt;N226-0.5),1)+ISNUMBER(P226)*IF(ISNUMBER(O226),--(P226&lt;O226-0.5),1)+ISNUMBER(Q226)*IF(ISNUMBER(P226),--(Q226&lt;P226-0.5),1)+ISNUMBER(R226)*IF(ISNUMBER(Q226),--(R226&lt;Q226-0.5),1)+ISNUMBER(S226)*IF(ISNUMBER(R226),--(S226&lt;R226-0.5),1),1)</f>
        <v/>
      </c>
    </row>
    <row r="227">
      <c r="A227" s="23" t="n">
        <v>24</v>
      </c>
      <c r="B227" s="75" t="n">
        <v>1</v>
      </c>
      <c r="C227" s="157" t="n"/>
      <c r="D227" s="157" t="n"/>
      <c r="E227" s="157" t="n"/>
      <c r="F227" s="157" t="n"/>
      <c r="G227" s="157" t="n"/>
      <c r="H227" s="157" t="n"/>
      <c r="I227" s="157" t="n"/>
      <c r="J227" s="157" t="n"/>
      <c r="K227" s="157" t="n"/>
      <c r="L227" s="157" t="n"/>
      <c r="M227" s="157" t="n"/>
      <c r="N227" s="157" t="n"/>
      <c r="O227" s="157" t="n"/>
      <c r="P227" s="157" t="n"/>
      <c r="Q227" s="157" t="n"/>
      <c r="R227" s="157" t="n"/>
      <c r="S227" s="157" t="n"/>
      <c r="T227" s="157" t="n"/>
      <c r="U227" s="157" t="n"/>
      <c r="V227" s="157" t="n"/>
      <c r="W227" s="157" t="n"/>
      <c r="X227" s="157" t="n"/>
      <c r="Y227" s="157" t="n"/>
      <c r="Z227" s="157" t="n"/>
      <c r="AA227" s="157" t="n"/>
      <c r="AB227" s="157" t="n"/>
      <c r="AC227" s="157" t="n"/>
      <c r="AD227" s="157" t="n"/>
      <c r="AE227" s="157" t="n"/>
      <c r="AF227" s="157" t="n"/>
      <c r="AG227" s="157" t="n"/>
      <c r="AH227" s="157" t="n"/>
      <c r="AI227" s="157" t="n"/>
      <c r="AJ227" s="157" t="n"/>
      <c r="AK227" s="157" t="n"/>
      <c r="AL227" s="157" t="n"/>
      <c r="AM227" s="157" t="n"/>
      <c r="AN227" s="157" t="n"/>
      <c r="AO227" s="157" t="n"/>
      <c r="AP227" s="157" t="n"/>
      <c r="AQ227" s="157" t="n"/>
      <c r="AR227" s="157" t="n"/>
      <c r="AS227" s="157" t="n"/>
      <c r="AT227" s="157" t="n"/>
      <c r="AU227" s="157" t="n"/>
      <c r="AV227" s="157" t="n"/>
      <c r="AW227" s="157" t="n"/>
      <c r="AX227" s="157" t="n"/>
      <c r="AY227" s="157" t="n"/>
      <c r="AZ227" s="157" t="n"/>
      <c r="BA227" s="157" t="n"/>
      <c r="BB227" s="157" t="n"/>
      <c r="BC227" s="157" t="n"/>
      <c r="BD227" s="157" t="n"/>
      <c r="BE227" s="157" t="n"/>
      <c r="BF227" s="157" t="n"/>
      <c r="BG227" s="157" t="n"/>
      <c r="BH227" s="158" t="n"/>
      <c r="BI227" s="159" t="n"/>
      <c r="BJ227" s="23">
        <f>IFERROR(ISNUMBER(E227)*IF(ISNUMBER(D227),--(E227&lt;D227-0.5),1)+ISNUMBER(F227)*IF(ISNUMBER(E227),--(F227&lt;E227-0.5),1)+ISNUMBER(G227)*IF(ISNUMBER(F227),--(G227&lt;F227-0.5),1)+ISNUMBER(H227)*IF(ISNUMBER(G227),--(H227&lt;G227-0.5),1)+ISNUMBER(I227)*IF(ISNUMBER(H227),--(I227&lt;H227-0.5),1)+ISNUMBER(J227)*IF(ISNUMBER(I227),--(J227&lt;I227-0.5),1)+ISNUMBER(K227)*IF(ISNUMBER(J227),--(K227&lt;J227-0.5),1)+IF(AND(ISNUMBER(C227),C227&lt;0),1,0),1)</f>
        <v/>
      </c>
      <c r="BK227" s="23">
        <f>IFERROR(ISNUMBER(M227)*IF(ISNUMBER(L227),--(M227&lt;L227-0.5),1)+ISNUMBER(N227)*IF(ISNUMBER(M227),--(N227&lt;M227-0.5),1)+ISNUMBER(O227)*IF(ISNUMBER(N227),--(O227&lt;N227-0.5),1)+ISNUMBER(P227)*IF(ISNUMBER(O227),--(P227&lt;O227-0.5),1)+ISNUMBER(Q227)*IF(ISNUMBER(P227),--(Q227&lt;P227-0.5),1)+ISNUMBER(R227)*IF(ISNUMBER(Q227),--(R227&lt;Q227-0.5),1)+ISNUMBER(S227)*IF(ISNUMBER(R227),--(S227&lt;R227-0.5),1),1)</f>
        <v/>
      </c>
    </row>
    <row r="228">
      <c r="A228" s="23" t="n">
        <v>25</v>
      </c>
      <c r="B228" s="75" t="n">
        <v>1</v>
      </c>
      <c r="C228" s="157" t="n"/>
      <c r="D228" s="157" t="n"/>
      <c r="E228" s="157" t="n"/>
      <c r="F228" s="157" t="n"/>
      <c r="G228" s="157" t="n"/>
      <c r="H228" s="157" t="n"/>
      <c r="I228" s="157" t="n"/>
      <c r="J228" s="157" t="n"/>
      <c r="K228" s="157" t="n"/>
      <c r="L228" s="157" t="n"/>
      <c r="M228" s="157" t="n"/>
      <c r="N228" s="157" t="n"/>
      <c r="O228" s="157" t="n"/>
      <c r="P228" s="157" t="n"/>
      <c r="Q228" s="157" t="n"/>
      <c r="R228" s="157" t="n"/>
      <c r="S228" s="157" t="n"/>
      <c r="T228" s="157" t="n"/>
      <c r="U228" s="157" t="n"/>
      <c r="V228" s="157" t="n"/>
      <c r="W228" s="157" t="n"/>
      <c r="X228" s="157" t="n"/>
      <c r="Y228" s="157" t="n"/>
      <c r="Z228" s="157" t="n"/>
      <c r="AA228" s="157" t="n"/>
      <c r="AB228" s="157" t="n"/>
      <c r="AC228" s="157" t="n"/>
      <c r="AD228" s="157" t="n"/>
      <c r="AE228" s="157" t="n"/>
      <c r="AF228" s="157" t="n"/>
      <c r="AG228" s="157" t="n"/>
      <c r="AH228" s="157" t="n"/>
      <c r="AI228" s="157" t="n"/>
      <c r="AJ228" s="157" t="n"/>
      <c r="AK228" s="157" t="n"/>
      <c r="AL228" s="157" t="n"/>
      <c r="AM228" s="157" t="n"/>
      <c r="AN228" s="157" t="n"/>
      <c r="AO228" s="157" t="n"/>
      <c r="AP228" s="157" t="n"/>
      <c r="AQ228" s="157" t="n"/>
      <c r="AR228" s="157" t="n"/>
      <c r="AS228" s="157" t="n"/>
      <c r="AT228" s="157" t="n"/>
      <c r="AU228" s="157" t="n"/>
      <c r="AV228" s="157" t="n"/>
      <c r="AW228" s="157" t="n"/>
      <c r="AX228" s="157" t="n"/>
      <c r="AY228" s="157" t="n"/>
      <c r="AZ228" s="157" t="n"/>
      <c r="BA228" s="157" t="n"/>
      <c r="BB228" s="157" t="n"/>
      <c r="BC228" s="157" t="n"/>
      <c r="BD228" s="157" t="n"/>
      <c r="BE228" s="157" t="n"/>
      <c r="BF228" s="157" t="n"/>
      <c r="BG228" s="157" t="n"/>
      <c r="BH228" s="158" t="n"/>
      <c r="BI228" s="159" t="n"/>
      <c r="BJ228" s="23">
        <f>IFERROR(ISNUMBER(E228)*IF(ISNUMBER(D228),--(E228&lt;D228-0.5),1)+ISNUMBER(F228)*IF(ISNUMBER(E228),--(F228&lt;E228-0.5),1)+ISNUMBER(G228)*IF(ISNUMBER(F228),--(G228&lt;F228-0.5),1)+ISNUMBER(H228)*IF(ISNUMBER(G228),--(H228&lt;G228-0.5),1)+ISNUMBER(I228)*IF(ISNUMBER(H228),--(I228&lt;H228-0.5),1)+ISNUMBER(J228)*IF(ISNUMBER(I228),--(J228&lt;I228-0.5),1)+ISNUMBER(K228)*IF(ISNUMBER(J228),--(K228&lt;J228-0.5),1)+IF(AND(ISNUMBER(C228),C228&lt;0),1,0),1)</f>
        <v/>
      </c>
      <c r="BK228" s="23">
        <f>IFERROR(ISNUMBER(M228)*IF(ISNUMBER(L228),--(M228&lt;L228-0.5),1)+ISNUMBER(N228)*IF(ISNUMBER(M228),--(N228&lt;M228-0.5),1)+ISNUMBER(O228)*IF(ISNUMBER(N228),--(O228&lt;N228-0.5),1)+ISNUMBER(P228)*IF(ISNUMBER(O228),--(P228&lt;O228-0.5),1)+ISNUMBER(Q228)*IF(ISNUMBER(P228),--(Q228&lt;P228-0.5),1)+ISNUMBER(R228)*IF(ISNUMBER(Q228),--(R228&lt;Q228-0.5),1)+ISNUMBER(S228)*IF(ISNUMBER(R228),--(S228&lt;R228-0.5),1),1)</f>
        <v/>
      </c>
    </row>
    <row r="229">
      <c r="A229" s="23" t="n">
        <v>26</v>
      </c>
      <c r="B229" s="75" t="n">
        <v>1</v>
      </c>
      <c r="C229" s="157" t="n"/>
      <c r="D229" s="157" t="n"/>
      <c r="E229" s="157" t="n"/>
      <c r="F229" s="157" t="n"/>
      <c r="G229" s="157" t="n"/>
      <c r="H229" s="157" t="n"/>
      <c r="I229" s="157" t="n"/>
      <c r="J229" s="157" t="n"/>
      <c r="K229" s="157" t="n"/>
      <c r="L229" s="157" t="n"/>
      <c r="M229" s="157" t="n"/>
      <c r="N229" s="157" t="n"/>
      <c r="O229" s="157" t="n"/>
      <c r="P229" s="157" t="n"/>
      <c r="Q229" s="157" t="n"/>
      <c r="R229" s="157" t="n"/>
      <c r="S229" s="157" t="n"/>
      <c r="T229" s="157" t="n"/>
      <c r="U229" s="157" t="n"/>
      <c r="V229" s="157" t="n"/>
      <c r="W229" s="157" t="n"/>
      <c r="X229" s="157" t="n"/>
      <c r="Y229" s="157" t="n"/>
      <c r="Z229" s="157" t="n"/>
      <c r="AA229" s="157" t="n"/>
      <c r="AB229" s="157" t="n"/>
      <c r="AC229" s="157" t="n"/>
      <c r="AD229" s="157" t="n"/>
      <c r="AE229" s="157" t="n"/>
      <c r="AF229" s="157" t="n"/>
      <c r="AG229" s="157" t="n"/>
      <c r="AH229" s="157" t="n"/>
      <c r="AI229" s="157" t="n"/>
      <c r="AJ229" s="157" t="n"/>
      <c r="AK229" s="157" t="n"/>
      <c r="AL229" s="157" t="n"/>
      <c r="AM229" s="157" t="n"/>
      <c r="AN229" s="157" t="n"/>
      <c r="AO229" s="157" t="n"/>
      <c r="AP229" s="157" t="n"/>
      <c r="AQ229" s="157" t="n"/>
      <c r="AR229" s="157" t="n"/>
      <c r="AS229" s="157" t="n"/>
      <c r="AT229" s="157" t="n"/>
      <c r="AU229" s="157" t="n"/>
      <c r="AV229" s="157" t="n"/>
      <c r="AW229" s="157" t="n"/>
      <c r="AX229" s="157" t="n"/>
      <c r="AY229" s="157" t="n"/>
      <c r="AZ229" s="157" t="n"/>
      <c r="BA229" s="157" t="n"/>
      <c r="BB229" s="157" t="n"/>
      <c r="BC229" s="157" t="n"/>
      <c r="BD229" s="157" t="n"/>
      <c r="BE229" s="157" t="n"/>
      <c r="BF229" s="157" t="n"/>
      <c r="BG229" s="157" t="n"/>
      <c r="BH229" s="158" t="n"/>
      <c r="BI229" s="159" t="n"/>
      <c r="BJ229" s="23">
        <f>IFERROR(ISNUMBER(E229)*IF(ISNUMBER(D229),--(E229&lt;D229-0.5),1)+ISNUMBER(F229)*IF(ISNUMBER(E229),--(F229&lt;E229-0.5),1)+ISNUMBER(G229)*IF(ISNUMBER(F229),--(G229&lt;F229-0.5),1)+ISNUMBER(H229)*IF(ISNUMBER(G229),--(H229&lt;G229-0.5),1)+ISNUMBER(I229)*IF(ISNUMBER(H229),--(I229&lt;H229-0.5),1)+ISNUMBER(J229)*IF(ISNUMBER(I229),--(J229&lt;I229-0.5),1)+ISNUMBER(K229)*IF(ISNUMBER(J229),--(K229&lt;J229-0.5),1)+IF(AND(ISNUMBER(C229),C229&lt;0),1,0),1)</f>
        <v/>
      </c>
      <c r="BK229" s="23">
        <f>IFERROR(ISNUMBER(M229)*IF(ISNUMBER(L229),--(M229&lt;L229-0.5),1)+ISNUMBER(N229)*IF(ISNUMBER(M229),--(N229&lt;M229-0.5),1)+ISNUMBER(O229)*IF(ISNUMBER(N229),--(O229&lt;N229-0.5),1)+ISNUMBER(P229)*IF(ISNUMBER(O229),--(P229&lt;O229-0.5),1)+ISNUMBER(Q229)*IF(ISNUMBER(P229),--(Q229&lt;P229-0.5),1)+ISNUMBER(R229)*IF(ISNUMBER(Q229),--(R229&lt;Q229-0.5),1)+ISNUMBER(S229)*IF(ISNUMBER(R229),--(S229&lt;R229-0.5),1),1)</f>
        <v/>
      </c>
    </row>
    <row r="230">
      <c r="A230" s="23" t="n">
        <v>27</v>
      </c>
      <c r="B230" s="75" t="n">
        <v>1</v>
      </c>
      <c r="C230" s="157" t="n"/>
      <c r="D230" s="157" t="n"/>
      <c r="E230" s="157" t="n"/>
      <c r="F230" s="157" t="n"/>
      <c r="G230" s="157" t="n"/>
      <c r="H230" s="157" t="n"/>
      <c r="I230" s="157" t="n"/>
      <c r="J230" s="157" t="n"/>
      <c r="K230" s="157" t="n"/>
      <c r="L230" s="157" t="n"/>
      <c r="M230" s="157" t="n"/>
      <c r="N230" s="157" t="n"/>
      <c r="O230" s="157" t="n"/>
      <c r="P230" s="157" t="n"/>
      <c r="Q230" s="157" t="n"/>
      <c r="R230" s="157" t="n"/>
      <c r="S230" s="157" t="n"/>
      <c r="T230" s="157" t="n"/>
      <c r="U230" s="157" t="n"/>
      <c r="V230" s="157" t="n"/>
      <c r="W230" s="157" t="n"/>
      <c r="X230" s="157" t="n"/>
      <c r="Y230" s="157" t="n"/>
      <c r="Z230" s="157" t="n"/>
      <c r="AA230" s="157" t="n"/>
      <c r="AB230" s="157" t="n"/>
      <c r="AC230" s="157" t="n"/>
      <c r="AD230" s="157" t="n"/>
      <c r="AE230" s="157" t="n"/>
      <c r="AF230" s="157" t="n"/>
      <c r="AG230" s="157" t="n"/>
      <c r="AH230" s="157" t="n"/>
      <c r="AI230" s="157" t="n"/>
      <c r="AJ230" s="157" t="n"/>
      <c r="AK230" s="157" t="n"/>
      <c r="AL230" s="157" t="n"/>
      <c r="AM230" s="157" t="n"/>
      <c r="AN230" s="157" t="n"/>
      <c r="AO230" s="157" t="n"/>
      <c r="AP230" s="157" t="n"/>
      <c r="AQ230" s="157" t="n"/>
      <c r="AR230" s="157" t="n"/>
      <c r="AS230" s="157" t="n"/>
      <c r="AT230" s="157" t="n"/>
      <c r="AU230" s="157" t="n"/>
      <c r="AV230" s="157" t="n"/>
      <c r="AW230" s="157" t="n"/>
      <c r="AX230" s="157" t="n"/>
      <c r="AY230" s="157" t="n"/>
      <c r="AZ230" s="157" t="n"/>
      <c r="BA230" s="157" t="n"/>
      <c r="BB230" s="157" t="n"/>
      <c r="BC230" s="157" t="n"/>
      <c r="BD230" s="157" t="n"/>
      <c r="BE230" s="157" t="n"/>
      <c r="BF230" s="157" t="n"/>
      <c r="BG230" s="157" t="n"/>
      <c r="BH230" s="158" t="n"/>
      <c r="BI230" s="159" t="n"/>
      <c r="BJ230" s="23">
        <f>IFERROR(ISNUMBER(E230)*IF(ISNUMBER(D230),--(E230&lt;D230-0.5),1)+ISNUMBER(F230)*IF(ISNUMBER(E230),--(F230&lt;E230-0.5),1)+ISNUMBER(G230)*IF(ISNUMBER(F230),--(G230&lt;F230-0.5),1)+ISNUMBER(H230)*IF(ISNUMBER(G230),--(H230&lt;G230-0.5),1)+ISNUMBER(I230)*IF(ISNUMBER(H230),--(I230&lt;H230-0.5),1)+ISNUMBER(J230)*IF(ISNUMBER(I230),--(J230&lt;I230-0.5),1)+ISNUMBER(K230)*IF(ISNUMBER(J230),--(K230&lt;J230-0.5),1)+IF(AND(ISNUMBER(C230),C230&lt;0),1,0),1)</f>
        <v/>
      </c>
      <c r="BK230" s="23">
        <f>IFERROR(ISNUMBER(M230)*IF(ISNUMBER(L230),--(M230&lt;L230-0.5),1)+ISNUMBER(N230)*IF(ISNUMBER(M230),--(N230&lt;M230-0.5),1)+ISNUMBER(O230)*IF(ISNUMBER(N230),--(O230&lt;N230-0.5),1)+ISNUMBER(P230)*IF(ISNUMBER(O230),--(P230&lt;O230-0.5),1)+ISNUMBER(Q230)*IF(ISNUMBER(P230),--(Q230&lt;P230-0.5),1)+ISNUMBER(R230)*IF(ISNUMBER(Q230),--(R230&lt;Q230-0.5),1)+ISNUMBER(S230)*IF(ISNUMBER(R230),--(S230&lt;R230-0.5),1),1)</f>
        <v/>
      </c>
    </row>
    <row r="231">
      <c r="A231" s="23" t="n">
        <v>28</v>
      </c>
      <c r="B231" s="75" t="n">
        <v>1</v>
      </c>
      <c r="C231" s="157" t="n"/>
      <c r="D231" s="157" t="n"/>
      <c r="E231" s="157" t="n"/>
      <c r="F231" s="157" t="n"/>
      <c r="G231" s="157" t="n"/>
      <c r="H231" s="157" t="n"/>
      <c r="I231" s="157" t="n"/>
      <c r="J231" s="157" t="n"/>
      <c r="K231" s="157" t="n"/>
      <c r="L231" s="157" t="n"/>
      <c r="M231" s="157" t="n"/>
      <c r="N231" s="157" t="n"/>
      <c r="O231" s="157" t="n"/>
      <c r="P231" s="157" t="n"/>
      <c r="Q231" s="157" t="n"/>
      <c r="R231" s="157" t="n"/>
      <c r="S231" s="157" t="n"/>
      <c r="T231" s="157" t="n"/>
      <c r="U231" s="157" t="n"/>
      <c r="V231" s="157" t="n"/>
      <c r="W231" s="157" t="n"/>
      <c r="X231" s="157" t="n"/>
      <c r="Y231" s="157" t="n"/>
      <c r="Z231" s="157" t="n"/>
      <c r="AA231" s="157" t="n"/>
      <c r="AB231" s="157" t="n"/>
      <c r="AC231" s="157" t="n"/>
      <c r="AD231" s="157" t="n"/>
      <c r="AE231" s="157" t="n"/>
      <c r="AF231" s="157" t="n"/>
      <c r="AG231" s="157" t="n"/>
      <c r="AH231" s="157" t="n"/>
      <c r="AI231" s="157" t="n"/>
      <c r="AJ231" s="157" t="n"/>
      <c r="AK231" s="157" t="n"/>
      <c r="AL231" s="157" t="n"/>
      <c r="AM231" s="157" t="n"/>
      <c r="AN231" s="157" t="n"/>
      <c r="AO231" s="157" t="n"/>
      <c r="AP231" s="157" t="n"/>
      <c r="AQ231" s="157" t="n"/>
      <c r="AR231" s="157" t="n"/>
      <c r="AS231" s="157" t="n"/>
      <c r="AT231" s="157" t="n"/>
      <c r="AU231" s="157" t="n"/>
      <c r="AV231" s="157" t="n"/>
      <c r="AW231" s="157" t="n"/>
      <c r="AX231" s="157" t="n"/>
      <c r="AY231" s="157" t="n"/>
      <c r="AZ231" s="157" t="n"/>
      <c r="BA231" s="157" t="n"/>
      <c r="BB231" s="157" t="n"/>
      <c r="BC231" s="157" t="n"/>
      <c r="BD231" s="157" t="n"/>
      <c r="BE231" s="157" t="n"/>
      <c r="BF231" s="157" t="n"/>
      <c r="BG231" s="157" t="n"/>
      <c r="BH231" s="158" t="n"/>
      <c r="BI231" s="159" t="n"/>
      <c r="BJ231" s="23">
        <f>IFERROR(ISNUMBER(E231)*IF(ISNUMBER(D231),--(E231&lt;D231-0.5),1)+ISNUMBER(F231)*IF(ISNUMBER(E231),--(F231&lt;E231-0.5),1)+ISNUMBER(G231)*IF(ISNUMBER(F231),--(G231&lt;F231-0.5),1)+ISNUMBER(H231)*IF(ISNUMBER(G231),--(H231&lt;G231-0.5),1)+ISNUMBER(I231)*IF(ISNUMBER(H231),--(I231&lt;H231-0.5),1)+ISNUMBER(J231)*IF(ISNUMBER(I231),--(J231&lt;I231-0.5),1)+ISNUMBER(K231)*IF(ISNUMBER(J231),--(K231&lt;J231-0.5),1)+IF(AND(ISNUMBER(C231),C231&lt;0),1,0),1)</f>
        <v/>
      </c>
      <c r="BK231" s="23">
        <f>IFERROR(ISNUMBER(M231)*IF(ISNUMBER(L231),--(M231&lt;L231-0.5),1)+ISNUMBER(N231)*IF(ISNUMBER(M231),--(N231&lt;M231-0.5),1)+ISNUMBER(O231)*IF(ISNUMBER(N231),--(O231&lt;N231-0.5),1)+ISNUMBER(P231)*IF(ISNUMBER(O231),--(P231&lt;O231-0.5),1)+ISNUMBER(Q231)*IF(ISNUMBER(P231),--(Q231&lt;P231-0.5),1)+ISNUMBER(R231)*IF(ISNUMBER(Q231),--(R231&lt;Q231-0.5),1)+ISNUMBER(S231)*IF(ISNUMBER(R231),--(S231&lt;R231-0.5),1),1)</f>
        <v/>
      </c>
    </row>
    <row r="232">
      <c r="A232" s="23" t="n">
        <v>29</v>
      </c>
      <c r="B232" s="75" t="n">
        <v>1</v>
      </c>
      <c r="C232" s="157" t="n"/>
      <c r="D232" s="157" t="n"/>
      <c r="E232" s="157" t="n"/>
      <c r="F232" s="157" t="n"/>
      <c r="G232" s="157" t="n"/>
      <c r="H232" s="157" t="n"/>
      <c r="I232" s="157" t="n"/>
      <c r="J232" s="157" t="n"/>
      <c r="K232" s="157" t="n"/>
      <c r="L232" s="157" t="n"/>
      <c r="M232" s="157" t="n"/>
      <c r="N232" s="157" t="n"/>
      <c r="O232" s="157" t="n"/>
      <c r="P232" s="157" t="n"/>
      <c r="Q232" s="157" t="n"/>
      <c r="R232" s="157" t="n"/>
      <c r="S232" s="157" t="n"/>
      <c r="T232" s="157" t="n"/>
      <c r="U232" s="157" t="n"/>
      <c r="V232" s="157" t="n"/>
      <c r="W232" s="157" t="n"/>
      <c r="X232" s="157" t="n"/>
      <c r="Y232" s="157" t="n"/>
      <c r="Z232" s="157" t="n"/>
      <c r="AA232" s="157" t="n"/>
      <c r="AB232" s="157" t="n"/>
      <c r="AC232" s="157" t="n"/>
      <c r="AD232" s="157" t="n"/>
      <c r="AE232" s="157" t="n"/>
      <c r="AF232" s="157" t="n"/>
      <c r="AG232" s="157" t="n"/>
      <c r="AH232" s="157" t="n"/>
      <c r="AI232" s="157" t="n"/>
      <c r="AJ232" s="157" t="n"/>
      <c r="AK232" s="157" t="n"/>
      <c r="AL232" s="157" t="n"/>
      <c r="AM232" s="157" t="n"/>
      <c r="AN232" s="157" t="n"/>
      <c r="AO232" s="157" t="n"/>
      <c r="AP232" s="157" t="n"/>
      <c r="AQ232" s="157" t="n"/>
      <c r="AR232" s="157" t="n"/>
      <c r="AS232" s="157" t="n"/>
      <c r="AT232" s="157" t="n"/>
      <c r="AU232" s="157" t="n"/>
      <c r="AV232" s="157" t="n"/>
      <c r="AW232" s="157" t="n"/>
      <c r="AX232" s="157" t="n"/>
      <c r="AY232" s="157" t="n"/>
      <c r="AZ232" s="157" t="n"/>
      <c r="BA232" s="157" t="n"/>
      <c r="BB232" s="157" t="n"/>
      <c r="BC232" s="157" t="n"/>
      <c r="BD232" s="157" t="n"/>
      <c r="BE232" s="157" t="n"/>
      <c r="BF232" s="157" t="n"/>
      <c r="BG232" s="157" t="n"/>
      <c r="BH232" s="158" t="n"/>
      <c r="BI232" s="159" t="n"/>
      <c r="BJ232" s="23">
        <f>IFERROR(ISNUMBER(E232)*IF(ISNUMBER(D232),--(E232&lt;D232-0.5),1)+ISNUMBER(F232)*IF(ISNUMBER(E232),--(F232&lt;E232-0.5),1)+ISNUMBER(G232)*IF(ISNUMBER(F232),--(G232&lt;F232-0.5),1)+ISNUMBER(H232)*IF(ISNUMBER(G232),--(H232&lt;G232-0.5),1)+ISNUMBER(I232)*IF(ISNUMBER(H232),--(I232&lt;H232-0.5),1)+ISNUMBER(J232)*IF(ISNUMBER(I232),--(J232&lt;I232-0.5),1)+ISNUMBER(K232)*IF(ISNUMBER(J232),--(K232&lt;J232-0.5),1)+IF(AND(ISNUMBER(C232),C232&lt;0),1,0),1)</f>
        <v/>
      </c>
      <c r="BK232" s="23">
        <f>IFERROR(ISNUMBER(M232)*IF(ISNUMBER(L232),--(M232&lt;L232-0.5),1)+ISNUMBER(N232)*IF(ISNUMBER(M232),--(N232&lt;M232-0.5),1)+ISNUMBER(O232)*IF(ISNUMBER(N232),--(O232&lt;N232-0.5),1)+ISNUMBER(P232)*IF(ISNUMBER(O232),--(P232&lt;O232-0.5),1)+ISNUMBER(Q232)*IF(ISNUMBER(P232),--(Q232&lt;P232-0.5),1)+ISNUMBER(R232)*IF(ISNUMBER(Q232),--(R232&lt;Q232-0.5),1)+ISNUMBER(S232)*IF(ISNUMBER(R232),--(S232&lt;R232-0.5),1),1)</f>
        <v/>
      </c>
    </row>
    <row r="233">
      <c r="A233" s="23" t="n">
        <v>30</v>
      </c>
      <c r="B233" s="75" t="n">
        <v>1</v>
      </c>
      <c r="C233" s="157" t="n"/>
      <c r="D233" s="157" t="n"/>
      <c r="E233" s="157" t="n"/>
      <c r="F233" s="157" t="n"/>
      <c r="G233" s="157" t="n"/>
      <c r="H233" s="157" t="n"/>
      <c r="I233" s="157" t="n"/>
      <c r="J233" s="157" t="n"/>
      <c r="K233" s="157" t="n"/>
      <c r="L233" s="157" t="n"/>
      <c r="M233" s="157" t="n"/>
      <c r="N233" s="157" t="n"/>
      <c r="O233" s="157" t="n"/>
      <c r="P233" s="157" t="n"/>
      <c r="Q233" s="157" t="n"/>
      <c r="R233" s="157" t="n"/>
      <c r="S233" s="157" t="n"/>
      <c r="T233" s="157" t="n"/>
      <c r="U233" s="157" t="n"/>
      <c r="V233" s="157" t="n"/>
      <c r="W233" s="157" t="n"/>
      <c r="X233" s="157" t="n"/>
      <c r="Y233" s="157" t="n"/>
      <c r="Z233" s="157" t="n"/>
      <c r="AA233" s="157" t="n"/>
      <c r="AB233" s="157" t="n"/>
      <c r="AC233" s="157" t="n"/>
      <c r="AD233" s="157" t="n"/>
      <c r="AE233" s="157" t="n"/>
      <c r="AF233" s="157" t="n"/>
      <c r="AG233" s="157" t="n"/>
      <c r="AH233" s="157" t="n"/>
      <c r="AI233" s="157" t="n"/>
      <c r="AJ233" s="157" t="n"/>
      <c r="AK233" s="157" t="n"/>
      <c r="AL233" s="157" t="n"/>
      <c r="AM233" s="157" t="n"/>
      <c r="AN233" s="157" t="n"/>
      <c r="AO233" s="157" t="n"/>
      <c r="AP233" s="157" t="n"/>
      <c r="AQ233" s="157" t="n"/>
      <c r="AR233" s="157" t="n"/>
      <c r="AS233" s="157" t="n"/>
      <c r="AT233" s="157" t="n"/>
      <c r="AU233" s="157" t="n"/>
      <c r="AV233" s="157" t="n"/>
      <c r="AW233" s="157" t="n"/>
      <c r="AX233" s="157" t="n"/>
      <c r="AY233" s="157" t="n"/>
      <c r="AZ233" s="157" t="n"/>
      <c r="BA233" s="157" t="n"/>
      <c r="BB233" s="157" t="n"/>
      <c r="BC233" s="157" t="n"/>
      <c r="BD233" s="157" t="n"/>
      <c r="BE233" s="157" t="n"/>
      <c r="BF233" s="157" t="n"/>
      <c r="BG233" s="157" t="n"/>
      <c r="BH233" s="158" t="n"/>
      <c r="BI233" s="159" t="n"/>
      <c r="BJ233" s="23">
        <f>IFERROR(ISNUMBER(E233)*IF(ISNUMBER(D233),--(E233&lt;D233-0.5),1)+ISNUMBER(F233)*IF(ISNUMBER(E233),--(F233&lt;E233-0.5),1)+ISNUMBER(G233)*IF(ISNUMBER(F233),--(G233&lt;F233-0.5),1)+ISNUMBER(H233)*IF(ISNUMBER(G233),--(H233&lt;G233-0.5),1)+ISNUMBER(I233)*IF(ISNUMBER(H233),--(I233&lt;H233-0.5),1)+ISNUMBER(J233)*IF(ISNUMBER(I233),--(J233&lt;I233-0.5),1)+ISNUMBER(K233)*IF(ISNUMBER(J233),--(K233&lt;J233-0.5),1)+IF(AND(ISNUMBER(C233),C233&lt;0),1,0),1)</f>
        <v/>
      </c>
      <c r="BK233" s="23">
        <f>IFERROR(ISNUMBER(M233)*IF(ISNUMBER(L233),--(M233&lt;L233-0.5),1)+ISNUMBER(N233)*IF(ISNUMBER(M233),--(N233&lt;M233-0.5),1)+ISNUMBER(O233)*IF(ISNUMBER(N233),--(O233&lt;N233-0.5),1)+ISNUMBER(P233)*IF(ISNUMBER(O233),--(P233&lt;O233-0.5),1)+ISNUMBER(Q233)*IF(ISNUMBER(P233),--(Q233&lt;P233-0.5),1)+ISNUMBER(R233)*IF(ISNUMBER(Q233),--(R233&lt;Q233-0.5),1)+ISNUMBER(S233)*IF(ISNUMBER(R233),--(S233&lt;R233-0.5),1),1)</f>
        <v/>
      </c>
    </row>
    <row r="234">
      <c r="A234" s="23" t="n">
        <v>31</v>
      </c>
      <c r="B234" s="75" t="n">
        <v>1</v>
      </c>
      <c r="C234" s="157" t="n"/>
      <c r="D234" s="157" t="n"/>
      <c r="E234" s="157" t="n"/>
      <c r="F234" s="157" t="n"/>
      <c r="G234" s="157" t="n"/>
      <c r="H234" s="157" t="n"/>
      <c r="I234" s="157" t="n"/>
      <c r="J234" s="157" t="n"/>
      <c r="K234" s="157" t="n"/>
      <c r="L234" s="157" t="n"/>
      <c r="M234" s="157" t="n"/>
      <c r="N234" s="157" t="n"/>
      <c r="O234" s="157" t="n"/>
      <c r="P234" s="157" t="n"/>
      <c r="Q234" s="157" t="n"/>
      <c r="R234" s="157" t="n"/>
      <c r="S234" s="157" t="n"/>
      <c r="T234" s="157" t="n"/>
      <c r="U234" s="157" t="n"/>
      <c r="V234" s="157" t="n"/>
      <c r="W234" s="157" t="n"/>
      <c r="X234" s="157" t="n"/>
      <c r="Y234" s="157" t="n"/>
      <c r="Z234" s="157" t="n"/>
      <c r="AA234" s="157" t="n"/>
      <c r="AB234" s="157" t="n"/>
      <c r="AC234" s="157" t="n"/>
      <c r="AD234" s="157" t="n"/>
      <c r="AE234" s="157" t="n"/>
      <c r="AF234" s="157" t="n"/>
      <c r="AG234" s="157" t="n"/>
      <c r="AH234" s="157" t="n"/>
      <c r="AI234" s="157" t="n"/>
      <c r="AJ234" s="157" t="n"/>
      <c r="AK234" s="157" t="n"/>
      <c r="AL234" s="157" t="n"/>
      <c r="AM234" s="157" t="n"/>
      <c r="AN234" s="157" t="n"/>
      <c r="AO234" s="157" t="n"/>
      <c r="AP234" s="157" t="n"/>
      <c r="AQ234" s="157" t="n"/>
      <c r="AR234" s="157" t="n"/>
      <c r="AS234" s="157" t="n"/>
      <c r="AT234" s="157" t="n"/>
      <c r="AU234" s="157" t="n"/>
      <c r="AV234" s="157" t="n"/>
      <c r="AW234" s="157" t="n"/>
      <c r="AX234" s="157" t="n"/>
      <c r="AY234" s="157" t="n"/>
      <c r="AZ234" s="157" t="n"/>
      <c r="BA234" s="157" t="n"/>
      <c r="BB234" s="157" t="n"/>
      <c r="BC234" s="157" t="n"/>
      <c r="BD234" s="157" t="n"/>
      <c r="BE234" s="157" t="n"/>
      <c r="BF234" s="157" t="n"/>
      <c r="BG234" s="157" t="n"/>
      <c r="BH234" s="158" t="n"/>
      <c r="BI234" s="159" t="n"/>
      <c r="BJ234" s="23">
        <f>IFERROR(ISNUMBER(E234)*IF(ISNUMBER(D234),--(E234&lt;D234-0.5),1)+ISNUMBER(F234)*IF(ISNUMBER(E234),--(F234&lt;E234-0.5),1)+ISNUMBER(G234)*IF(ISNUMBER(F234),--(G234&lt;F234-0.5),1)+ISNUMBER(H234)*IF(ISNUMBER(G234),--(H234&lt;G234-0.5),1)+ISNUMBER(I234)*IF(ISNUMBER(H234),--(I234&lt;H234-0.5),1)+ISNUMBER(J234)*IF(ISNUMBER(I234),--(J234&lt;I234-0.5),1)+ISNUMBER(K234)*IF(ISNUMBER(J234),--(K234&lt;J234-0.5),1)+IF(AND(ISNUMBER(C234),C234&lt;0),1,0),1)</f>
        <v/>
      </c>
      <c r="BK234" s="23">
        <f>IFERROR(ISNUMBER(M234)*IF(ISNUMBER(L234),--(M234&lt;L234-0.5),1)+ISNUMBER(N234)*IF(ISNUMBER(M234),--(N234&lt;M234-0.5),1)+ISNUMBER(O234)*IF(ISNUMBER(N234),--(O234&lt;N234-0.5),1)+ISNUMBER(P234)*IF(ISNUMBER(O234),--(P234&lt;O234-0.5),1)+ISNUMBER(Q234)*IF(ISNUMBER(P234),--(Q234&lt;P234-0.5),1)+ISNUMBER(R234)*IF(ISNUMBER(Q234),--(R234&lt;Q234-0.5),1)+ISNUMBER(S234)*IF(ISNUMBER(R234),--(S234&lt;R234-0.5),1),1)</f>
        <v/>
      </c>
    </row>
    <row r="235">
      <c r="A235" s="23" t="n">
        <v>32</v>
      </c>
      <c r="B235" s="75" t="n">
        <v>1</v>
      </c>
      <c r="C235" s="157" t="n"/>
      <c r="D235" s="157" t="n"/>
      <c r="E235" s="157" t="n"/>
      <c r="F235" s="157" t="n"/>
      <c r="G235" s="157" t="n"/>
      <c r="H235" s="157" t="n"/>
      <c r="I235" s="157" t="n"/>
      <c r="J235" s="157" t="n"/>
      <c r="K235" s="157" t="n"/>
      <c r="L235" s="157" t="n"/>
      <c r="M235" s="157" t="n"/>
      <c r="N235" s="157" t="n"/>
      <c r="O235" s="157" t="n"/>
      <c r="P235" s="157" t="n"/>
      <c r="Q235" s="157" t="n"/>
      <c r="R235" s="157" t="n"/>
      <c r="S235" s="157" t="n"/>
      <c r="T235" s="157" t="n"/>
      <c r="U235" s="157" t="n"/>
      <c r="V235" s="157" t="n"/>
      <c r="W235" s="157" t="n"/>
      <c r="X235" s="157" t="n"/>
      <c r="Y235" s="157" t="n"/>
      <c r="Z235" s="157" t="n"/>
      <c r="AA235" s="157" t="n"/>
      <c r="AB235" s="157" t="n"/>
      <c r="AC235" s="157" t="n"/>
      <c r="AD235" s="157" t="n"/>
      <c r="AE235" s="157" t="n"/>
      <c r="AF235" s="157" t="n"/>
      <c r="AG235" s="157" t="n"/>
      <c r="AH235" s="157" t="n"/>
      <c r="AI235" s="157" t="n"/>
      <c r="AJ235" s="157" t="n"/>
      <c r="AK235" s="157" t="n"/>
      <c r="AL235" s="157" t="n"/>
      <c r="AM235" s="157" t="n"/>
      <c r="AN235" s="157" t="n"/>
      <c r="AO235" s="157" t="n"/>
      <c r="AP235" s="157" t="n"/>
      <c r="AQ235" s="157" t="n"/>
      <c r="AR235" s="157" t="n"/>
      <c r="AS235" s="157" t="n"/>
      <c r="AT235" s="157" t="n"/>
      <c r="AU235" s="157" t="n"/>
      <c r="AV235" s="157" t="n"/>
      <c r="AW235" s="157" t="n"/>
      <c r="AX235" s="157" t="n"/>
      <c r="AY235" s="157" t="n"/>
      <c r="AZ235" s="157" t="n"/>
      <c r="BA235" s="157" t="n"/>
      <c r="BB235" s="157" t="n"/>
      <c r="BC235" s="157" t="n"/>
      <c r="BD235" s="157" t="n"/>
      <c r="BE235" s="157" t="n"/>
      <c r="BF235" s="157" t="n"/>
      <c r="BG235" s="157" t="n"/>
      <c r="BH235" s="158" t="n"/>
      <c r="BI235" s="159" t="n"/>
      <c r="BJ235" s="23">
        <f>IFERROR(ISNUMBER(E235)*IF(ISNUMBER(D235),--(E235&lt;D235-0.5),1)+ISNUMBER(F235)*IF(ISNUMBER(E235),--(F235&lt;E235-0.5),1)+ISNUMBER(G235)*IF(ISNUMBER(F235),--(G235&lt;F235-0.5),1)+ISNUMBER(H235)*IF(ISNUMBER(G235),--(H235&lt;G235-0.5),1)+ISNUMBER(I235)*IF(ISNUMBER(H235),--(I235&lt;H235-0.5),1)+ISNUMBER(J235)*IF(ISNUMBER(I235),--(J235&lt;I235-0.5),1)+ISNUMBER(K235)*IF(ISNUMBER(J235),--(K235&lt;J235-0.5),1)+IF(AND(ISNUMBER(C235),C235&lt;0),1,0),1)</f>
        <v/>
      </c>
      <c r="BK235" s="23">
        <f>IFERROR(ISNUMBER(M235)*IF(ISNUMBER(L235),--(M235&lt;L235-0.5),1)+ISNUMBER(N235)*IF(ISNUMBER(M235),--(N235&lt;M235-0.5),1)+ISNUMBER(O235)*IF(ISNUMBER(N235),--(O235&lt;N235-0.5),1)+ISNUMBER(P235)*IF(ISNUMBER(O235),--(P235&lt;O235-0.5),1)+ISNUMBER(Q235)*IF(ISNUMBER(P235),--(Q235&lt;P235-0.5),1)+ISNUMBER(R235)*IF(ISNUMBER(Q235),--(R235&lt;Q235-0.5),1)+ISNUMBER(S235)*IF(ISNUMBER(R235),--(S235&lt;R235-0.5),1),1)</f>
        <v/>
      </c>
    </row>
    <row r="236">
      <c r="A236" s="23" t="n">
        <v>33</v>
      </c>
      <c r="B236" s="75" t="n">
        <v>1</v>
      </c>
      <c r="C236" s="157" t="n"/>
      <c r="D236" s="157" t="n"/>
      <c r="E236" s="157" t="n"/>
      <c r="F236" s="157" t="n"/>
      <c r="G236" s="157" t="n"/>
      <c r="H236" s="157" t="n"/>
      <c r="I236" s="157" t="n"/>
      <c r="J236" s="157" t="n"/>
      <c r="K236" s="157" t="n"/>
      <c r="L236" s="157" t="n"/>
      <c r="M236" s="157" t="n"/>
      <c r="N236" s="157" t="n"/>
      <c r="O236" s="157" t="n"/>
      <c r="P236" s="157" t="n"/>
      <c r="Q236" s="157" t="n"/>
      <c r="R236" s="157" t="n"/>
      <c r="S236" s="157" t="n"/>
      <c r="T236" s="157" t="n"/>
      <c r="U236" s="157" t="n"/>
      <c r="V236" s="157" t="n"/>
      <c r="W236" s="157" t="n"/>
      <c r="X236" s="157" t="n"/>
      <c r="Y236" s="157" t="n"/>
      <c r="Z236" s="157" t="n"/>
      <c r="AA236" s="157" t="n"/>
      <c r="AB236" s="157" t="n"/>
      <c r="AC236" s="157" t="n"/>
      <c r="AD236" s="157" t="n"/>
      <c r="AE236" s="157" t="n"/>
      <c r="AF236" s="157" t="n"/>
      <c r="AG236" s="157" t="n"/>
      <c r="AH236" s="157" t="n"/>
      <c r="AI236" s="157" t="n"/>
      <c r="AJ236" s="157" t="n"/>
      <c r="AK236" s="157" t="n"/>
      <c r="AL236" s="157" t="n"/>
      <c r="AM236" s="157" t="n"/>
      <c r="AN236" s="157" t="n"/>
      <c r="AO236" s="157" t="n"/>
      <c r="AP236" s="157" t="n"/>
      <c r="AQ236" s="157" t="n"/>
      <c r="AR236" s="157" t="n"/>
      <c r="AS236" s="157" t="n"/>
      <c r="AT236" s="157" t="n"/>
      <c r="AU236" s="157" t="n"/>
      <c r="AV236" s="157" t="n"/>
      <c r="AW236" s="157" t="n"/>
      <c r="AX236" s="157" t="n"/>
      <c r="AY236" s="157" t="n"/>
      <c r="AZ236" s="157" t="n"/>
      <c r="BA236" s="157" t="n"/>
      <c r="BB236" s="157" t="n"/>
      <c r="BC236" s="157" t="n"/>
      <c r="BD236" s="157" t="n"/>
      <c r="BE236" s="157" t="n"/>
      <c r="BF236" s="157" t="n"/>
      <c r="BG236" s="157" t="n"/>
      <c r="BH236" s="158" t="n"/>
      <c r="BI236" s="159" t="n"/>
      <c r="BJ236" s="23">
        <f>IFERROR(ISNUMBER(E236)*IF(ISNUMBER(D236),--(E236&lt;D236-0.5),1)+ISNUMBER(F236)*IF(ISNUMBER(E236),--(F236&lt;E236-0.5),1)+ISNUMBER(G236)*IF(ISNUMBER(F236),--(G236&lt;F236-0.5),1)+ISNUMBER(H236)*IF(ISNUMBER(G236),--(H236&lt;G236-0.5),1)+ISNUMBER(I236)*IF(ISNUMBER(H236),--(I236&lt;H236-0.5),1)+ISNUMBER(J236)*IF(ISNUMBER(I236),--(J236&lt;I236-0.5),1)+ISNUMBER(K236)*IF(ISNUMBER(J236),--(K236&lt;J236-0.5),1)+IF(AND(ISNUMBER(C236),C236&lt;0),1,0),1)</f>
        <v/>
      </c>
      <c r="BK236" s="23">
        <f>IFERROR(ISNUMBER(M236)*IF(ISNUMBER(L236),--(M236&lt;L236-0.5),1)+ISNUMBER(N236)*IF(ISNUMBER(M236),--(N236&lt;M236-0.5),1)+ISNUMBER(O236)*IF(ISNUMBER(N236),--(O236&lt;N236-0.5),1)+ISNUMBER(P236)*IF(ISNUMBER(O236),--(P236&lt;O236-0.5),1)+ISNUMBER(Q236)*IF(ISNUMBER(P236),--(Q236&lt;P236-0.5),1)+ISNUMBER(R236)*IF(ISNUMBER(Q236),--(R236&lt;Q236-0.5),1)+ISNUMBER(S236)*IF(ISNUMBER(R236),--(S236&lt;R236-0.5),1),1)</f>
        <v/>
      </c>
    </row>
    <row r="237">
      <c r="A237" s="23" t="n">
        <v>34</v>
      </c>
      <c r="B237" s="75" t="n">
        <v>1</v>
      </c>
      <c r="C237" s="157" t="n"/>
      <c r="D237" s="157" t="n"/>
      <c r="E237" s="157" t="n"/>
      <c r="F237" s="157" t="n"/>
      <c r="G237" s="157" t="n"/>
      <c r="H237" s="157" t="n"/>
      <c r="I237" s="157" t="n"/>
      <c r="J237" s="157" t="n"/>
      <c r="K237" s="157" t="n"/>
      <c r="L237" s="157" t="n"/>
      <c r="M237" s="157" t="n"/>
      <c r="N237" s="157" t="n"/>
      <c r="O237" s="157" t="n"/>
      <c r="P237" s="157" t="n"/>
      <c r="Q237" s="157" t="n"/>
      <c r="R237" s="157" t="n"/>
      <c r="S237" s="157" t="n"/>
      <c r="T237" s="157" t="n"/>
      <c r="U237" s="157" t="n"/>
      <c r="V237" s="157" t="n"/>
      <c r="W237" s="157" t="n"/>
      <c r="X237" s="157" t="n"/>
      <c r="Y237" s="157" t="n"/>
      <c r="Z237" s="157" t="n"/>
      <c r="AA237" s="157" t="n"/>
      <c r="AB237" s="157" t="n"/>
      <c r="AC237" s="157" t="n"/>
      <c r="AD237" s="157" t="n"/>
      <c r="AE237" s="157" t="n"/>
      <c r="AF237" s="157" t="n"/>
      <c r="AG237" s="157" t="n"/>
      <c r="AH237" s="157" t="n"/>
      <c r="AI237" s="157" t="n"/>
      <c r="AJ237" s="157" t="n"/>
      <c r="AK237" s="157" t="n"/>
      <c r="AL237" s="157" t="n"/>
      <c r="AM237" s="157" t="n"/>
      <c r="AN237" s="157" t="n"/>
      <c r="AO237" s="157" t="n"/>
      <c r="AP237" s="157" t="n"/>
      <c r="AQ237" s="157" t="n"/>
      <c r="AR237" s="157" t="n"/>
      <c r="AS237" s="157" t="n"/>
      <c r="AT237" s="157" t="n"/>
      <c r="AU237" s="157" t="n"/>
      <c r="AV237" s="157" t="n"/>
      <c r="AW237" s="157" t="n"/>
      <c r="AX237" s="157" t="n"/>
      <c r="AY237" s="157" t="n"/>
      <c r="AZ237" s="157" t="n"/>
      <c r="BA237" s="157" t="n"/>
      <c r="BB237" s="157" t="n"/>
      <c r="BC237" s="157" t="n"/>
      <c r="BD237" s="157" t="n"/>
      <c r="BE237" s="157" t="n"/>
      <c r="BF237" s="157" t="n"/>
      <c r="BG237" s="157" t="n"/>
      <c r="BH237" s="158" t="n"/>
      <c r="BI237" s="159" t="n"/>
      <c r="BJ237" s="23">
        <f>IFERROR(ISNUMBER(E237)*IF(ISNUMBER(D237),--(E237&lt;D237-0.5),1)+ISNUMBER(F237)*IF(ISNUMBER(E237),--(F237&lt;E237-0.5),1)+ISNUMBER(G237)*IF(ISNUMBER(F237),--(G237&lt;F237-0.5),1)+ISNUMBER(H237)*IF(ISNUMBER(G237),--(H237&lt;G237-0.5),1)+ISNUMBER(I237)*IF(ISNUMBER(H237),--(I237&lt;H237-0.5),1)+ISNUMBER(J237)*IF(ISNUMBER(I237),--(J237&lt;I237-0.5),1)+ISNUMBER(K237)*IF(ISNUMBER(J237),--(K237&lt;J237-0.5),1)+IF(AND(ISNUMBER(C237),C237&lt;0),1,0),1)</f>
        <v/>
      </c>
      <c r="BK237" s="23">
        <f>IFERROR(ISNUMBER(M237)*IF(ISNUMBER(L237),--(M237&lt;L237-0.5),1)+ISNUMBER(N237)*IF(ISNUMBER(M237),--(N237&lt;M237-0.5),1)+ISNUMBER(O237)*IF(ISNUMBER(N237),--(O237&lt;N237-0.5),1)+ISNUMBER(P237)*IF(ISNUMBER(O237),--(P237&lt;O237-0.5),1)+ISNUMBER(Q237)*IF(ISNUMBER(P237),--(Q237&lt;P237-0.5),1)+ISNUMBER(R237)*IF(ISNUMBER(Q237),--(R237&lt;Q237-0.5),1)+ISNUMBER(S237)*IF(ISNUMBER(R237),--(S237&lt;R237-0.5),1),1)</f>
        <v/>
      </c>
    </row>
    <row r="238">
      <c r="A238" s="23" t="n">
        <v>35</v>
      </c>
      <c r="B238" s="75" t="n">
        <v>1</v>
      </c>
      <c r="C238" s="157" t="n"/>
      <c r="D238" s="157" t="n"/>
      <c r="E238" s="157" t="n"/>
      <c r="F238" s="157" t="n"/>
      <c r="G238" s="157" t="n"/>
      <c r="H238" s="157" t="n"/>
      <c r="I238" s="157" t="n"/>
      <c r="J238" s="157" t="n"/>
      <c r="K238" s="157" t="n"/>
      <c r="L238" s="157" t="n"/>
      <c r="M238" s="157" t="n"/>
      <c r="N238" s="157" t="n"/>
      <c r="O238" s="157" t="n"/>
      <c r="P238" s="157" t="n"/>
      <c r="Q238" s="157" t="n"/>
      <c r="R238" s="157" t="n"/>
      <c r="S238" s="157" t="n"/>
      <c r="T238" s="157" t="n"/>
      <c r="U238" s="157" t="n"/>
      <c r="V238" s="157" t="n"/>
      <c r="W238" s="157" t="n"/>
      <c r="X238" s="157" t="n"/>
      <c r="Y238" s="157" t="n"/>
      <c r="Z238" s="157" t="n"/>
      <c r="AA238" s="157" t="n"/>
      <c r="AB238" s="157" t="n"/>
      <c r="AC238" s="157" t="n"/>
      <c r="AD238" s="157" t="n"/>
      <c r="AE238" s="157" t="n"/>
      <c r="AF238" s="157" t="n"/>
      <c r="AG238" s="157" t="n"/>
      <c r="AH238" s="157" t="n"/>
      <c r="AI238" s="157" t="n"/>
      <c r="AJ238" s="157" t="n"/>
      <c r="AK238" s="157" t="n"/>
      <c r="AL238" s="157" t="n"/>
      <c r="AM238" s="157" t="n"/>
      <c r="AN238" s="157" t="n"/>
      <c r="AO238" s="157" t="n"/>
      <c r="AP238" s="157" t="n"/>
      <c r="AQ238" s="157" t="n"/>
      <c r="AR238" s="157" t="n"/>
      <c r="AS238" s="157" t="n"/>
      <c r="AT238" s="157" t="n"/>
      <c r="AU238" s="157" t="n"/>
      <c r="AV238" s="157" t="n"/>
      <c r="AW238" s="157" t="n"/>
      <c r="AX238" s="157" t="n"/>
      <c r="AY238" s="157" t="n"/>
      <c r="AZ238" s="157" t="n"/>
      <c r="BA238" s="157" t="n"/>
      <c r="BB238" s="157" t="n"/>
      <c r="BC238" s="157" t="n"/>
      <c r="BD238" s="157" t="n"/>
      <c r="BE238" s="157" t="n"/>
      <c r="BF238" s="157" t="n"/>
      <c r="BG238" s="157" t="n"/>
      <c r="BH238" s="158" t="n"/>
      <c r="BI238" s="159" t="n"/>
      <c r="BJ238" s="23">
        <f>IFERROR(ISNUMBER(E238)*IF(ISNUMBER(D238),--(E238&lt;D238-0.5),1)+ISNUMBER(F238)*IF(ISNUMBER(E238),--(F238&lt;E238-0.5),1)+ISNUMBER(G238)*IF(ISNUMBER(F238),--(G238&lt;F238-0.5),1)+ISNUMBER(H238)*IF(ISNUMBER(G238),--(H238&lt;G238-0.5),1)+ISNUMBER(I238)*IF(ISNUMBER(H238),--(I238&lt;H238-0.5),1)+ISNUMBER(J238)*IF(ISNUMBER(I238),--(J238&lt;I238-0.5),1)+ISNUMBER(K238)*IF(ISNUMBER(J238),--(K238&lt;J238-0.5),1)+IF(AND(ISNUMBER(C238),C238&lt;0),1,0),1)</f>
        <v/>
      </c>
      <c r="BK238" s="23">
        <f>IFERROR(ISNUMBER(M238)*IF(ISNUMBER(L238),--(M238&lt;L238-0.5),1)+ISNUMBER(N238)*IF(ISNUMBER(M238),--(N238&lt;M238-0.5),1)+ISNUMBER(O238)*IF(ISNUMBER(N238),--(O238&lt;N238-0.5),1)+ISNUMBER(P238)*IF(ISNUMBER(O238),--(P238&lt;O238-0.5),1)+ISNUMBER(Q238)*IF(ISNUMBER(P238),--(Q238&lt;P238-0.5),1)+ISNUMBER(R238)*IF(ISNUMBER(Q238),--(R238&lt;Q238-0.5),1)+ISNUMBER(S238)*IF(ISNUMBER(R238),--(S238&lt;R238-0.5),1),1)</f>
        <v/>
      </c>
    </row>
    <row r="239">
      <c r="A239" s="23" t="n">
        <v>36</v>
      </c>
      <c r="B239" s="75" t="n">
        <v>1</v>
      </c>
      <c r="C239" s="157" t="n"/>
      <c r="D239" s="157" t="n"/>
      <c r="E239" s="157" t="n"/>
      <c r="F239" s="157" t="n"/>
      <c r="G239" s="157" t="n"/>
      <c r="H239" s="157" t="n"/>
      <c r="I239" s="157" t="n"/>
      <c r="J239" s="157" t="n"/>
      <c r="K239" s="157" t="n"/>
      <c r="L239" s="157" t="n"/>
      <c r="M239" s="157" t="n"/>
      <c r="N239" s="157" t="n"/>
      <c r="O239" s="157" t="n"/>
      <c r="P239" s="157" t="n"/>
      <c r="Q239" s="157" t="n"/>
      <c r="R239" s="157" t="n"/>
      <c r="S239" s="157" t="n"/>
      <c r="T239" s="157" t="n"/>
      <c r="U239" s="157" t="n"/>
      <c r="V239" s="157" t="n"/>
      <c r="W239" s="157" t="n"/>
      <c r="X239" s="157" t="n"/>
      <c r="Y239" s="157" t="n"/>
      <c r="Z239" s="157" t="n"/>
      <c r="AA239" s="157" t="n"/>
      <c r="AB239" s="157" t="n"/>
      <c r="AC239" s="157" t="n"/>
      <c r="AD239" s="157" t="n"/>
      <c r="AE239" s="157" t="n"/>
      <c r="AF239" s="157" t="n"/>
      <c r="AG239" s="157" t="n"/>
      <c r="AH239" s="157" t="n"/>
      <c r="AI239" s="157" t="n"/>
      <c r="AJ239" s="157" t="n"/>
      <c r="AK239" s="157" t="n"/>
      <c r="AL239" s="157" t="n"/>
      <c r="AM239" s="157" t="n"/>
      <c r="AN239" s="157" t="n"/>
      <c r="AO239" s="157" t="n"/>
      <c r="AP239" s="157" t="n"/>
      <c r="AQ239" s="157" t="n"/>
      <c r="AR239" s="157" t="n"/>
      <c r="AS239" s="157" t="n"/>
      <c r="AT239" s="157" t="n"/>
      <c r="AU239" s="157" t="n"/>
      <c r="AV239" s="157" t="n"/>
      <c r="AW239" s="157" t="n"/>
      <c r="AX239" s="157" t="n"/>
      <c r="AY239" s="157" t="n"/>
      <c r="AZ239" s="157" t="n"/>
      <c r="BA239" s="157" t="n"/>
      <c r="BB239" s="157" t="n"/>
      <c r="BC239" s="157" t="n"/>
      <c r="BD239" s="157" t="n"/>
      <c r="BE239" s="157" t="n"/>
      <c r="BF239" s="157" t="n"/>
      <c r="BG239" s="157" t="n"/>
      <c r="BH239" s="158" t="n"/>
      <c r="BI239" s="159" t="n"/>
      <c r="BJ239" s="23">
        <f>IFERROR(ISNUMBER(E239)*IF(ISNUMBER(D239),--(E239&lt;D239-0.5),1)+ISNUMBER(F239)*IF(ISNUMBER(E239),--(F239&lt;E239-0.5),1)+ISNUMBER(G239)*IF(ISNUMBER(F239),--(G239&lt;F239-0.5),1)+ISNUMBER(H239)*IF(ISNUMBER(G239),--(H239&lt;G239-0.5),1)+ISNUMBER(I239)*IF(ISNUMBER(H239),--(I239&lt;H239-0.5),1)+ISNUMBER(J239)*IF(ISNUMBER(I239),--(J239&lt;I239-0.5),1)+ISNUMBER(K239)*IF(ISNUMBER(J239),--(K239&lt;J239-0.5),1)+IF(AND(ISNUMBER(C239),C239&lt;0),1,0),1)</f>
        <v/>
      </c>
      <c r="BK239" s="23">
        <f>IFERROR(ISNUMBER(M239)*IF(ISNUMBER(L239),--(M239&lt;L239-0.5),1)+ISNUMBER(N239)*IF(ISNUMBER(M239),--(N239&lt;M239-0.5),1)+ISNUMBER(O239)*IF(ISNUMBER(N239),--(O239&lt;N239-0.5),1)+ISNUMBER(P239)*IF(ISNUMBER(O239),--(P239&lt;O239-0.5),1)+ISNUMBER(Q239)*IF(ISNUMBER(P239),--(Q239&lt;P239-0.5),1)+ISNUMBER(R239)*IF(ISNUMBER(Q239),--(R239&lt;Q239-0.5),1)+ISNUMBER(S239)*IF(ISNUMBER(R239),--(S239&lt;R239-0.5),1),1)</f>
        <v/>
      </c>
    </row>
    <row r="240">
      <c r="A240" s="23" t="n">
        <v>37</v>
      </c>
      <c r="B240" s="75" t="n">
        <v>1</v>
      </c>
      <c r="C240" s="157" t="n"/>
      <c r="D240" s="157" t="n"/>
      <c r="E240" s="157" t="n"/>
      <c r="F240" s="157" t="n"/>
      <c r="G240" s="157" t="n"/>
      <c r="H240" s="157" t="n"/>
      <c r="I240" s="157" t="n"/>
      <c r="J240" s="157" t="n"/>
      <c r="K240" s="157" t="n"/>
      <c r="L240" s="157" t="n"/>
      <c r="M240" s="157" t="n"/>
      <c r="N240" s="157" t="n"/>
      <c r="O240" s="157" t="n"/>
      <c r="P240" s="157" t="n"/>
      <c r="Q240" s="157" t="n"/>
      <c r="R240" s="157" t="n"/>
      <c r="S240" s="157" t="n"/>
      <c r="T240" s="157" t="n"/>
      <c r="U240" s="157" t="n"/>
      <c r="V240" s="157" t="n"/>
      <c r="W240" s="157" t="n"/>
      <c r="X240" s="157" t="n"/>
      <c r="Y240" s="157" t="n"/>
      <c r="Z240" s="157" t="n"/>
      <c r="AA240" s="157" t="n"/>
      <c r="AB240" s="157" t="n"/>
      <c r="AC240" s="157" t="n"/>
      <c r="AD240" s="157" t="n"/>
      <c r="AE240" s="157" t="n"/>
      <c r="AF240" s="157" t="n"/>
      <c r="AG240" s="157" t="n"/>
      <c r="AH240" s="157" t="n"/>
      <c r="AI240" s="157" t="n"/>
      <c r="AJ240" s="157" t="n"/>
      <c r="AK240" s="157" t="n"/>
      <c r="AL240" s="157" t="n"/>
      <c r="AM240" s="157" t="n"/>
      <c r="AN240" s="157" t="n"/>
      <c r="AO240" s="157" t="n"/>
      <c r="AP240" s="157" t="n"/>
      <c r="AQ240" s="157" t="n"/>
      <c r="AR240" s="157" t="n"/>
      <c r="AS240" s="157" t="n"/>
      <c r="AT240" s="157" t="n"/>
      <c r="AU240" s="157" t="n"/>
      <c r="AV240" s="157" t="n"/>
      <c r="AW240" s="157" t="n"/>
      <c r="AX240" s="157" t="n"/>
      <c r="AY240" s="157" t="n"/>
      <c r="AZ240" s="157" t="n"/>
      <c r="BA240" s="157" t="n"/>
      <c r="BB240" s="157" t="n"/>
      <c r="BC240" s="157" t="n"/>
      <c r="BD240" s="157" t="n"/>
      <c r="BE240" s="157" t="n"/>
      <c r="BF240" s="157" t="n"/>
      <c r="BG240" s="157" t="n"/>
      <c r="BH240" s="158" t="n"/>
      <c r="BI240" s="159" t="n"/>
      <c r="BJ240" s="23">
        <f>IFERROR(ISNUMBER(E240)*IF(ISNUMBER(D240),--(E240&lt;D240-0.5),1)+ISNUMBER(F240)*IF(ISNUMBER(E240),--(F240&lt;E240-0.5),1)+ISNUMBER(G240)*IF(ISNUMBER(F240),--(G240&lt;F240-0.5),1)+ISNUMBER(H240)*IF(ISNUMBER(G240),--(H240&lt;G240-0.5),1)+ISNUMBER(I240)*IF(ISNUMBER(H240),--(I240&lt;H240-0.5),1)+ISNUMBER(J240)*IF(ISNUMBER(I240),--(J240&lt;I240-0.5),1)+ISNUMBER(K240)*IF(ISNUMBER(J240),--(K240&lt;J240-0.5),1)+IF(AND(ISNUMBER(C240),C240&lt;0),1,0),1)</f>
        <v/>
      </c>
      <c r="BK240" s="23">
        <f>IFERROR(ISNUMBER(M240)*IF(ISNUMBER(L240),--(M240&lt;L240-0.5),1)+ISNUMBER(N240)*IF(ISNUMBER(M240),--(N240&lt;M240-0.5),1)+ISNUMBER(O240)*IF(ISNUMBER(N240),--(O240&lt;N240-0.5),1)+ISNUMBER(P240)*IF(ISNUMBER(O240),--(P240&lt;O240-0.5),1)+ISNUMBER(Q240)*IF(ISNUMBER(P240),--(Q240&lt;P240-0.5),1)+ISNUMBER(R240)*IF(ISNUMBER(Q240),--(R240&lt;Q240-0.5),1)+ISNUMBER(S240)*IF(ISNUMBER(R240),--(S240&lt;R240-0.5),1),1)</f>
        <v/>
      </c>
    </row>
    <row r="241">
      <c r="A241" s="23" t="n">
        <v>38</v>
      </c>
      <c r="B241" s="75" t="n">
        <v>1</v>
      </c>
      <c r="C241" s="157" t="n"/>
      <c r="D241" s="157" t="n"/>
      <c r="E241" s="157" t="n"/>
      <c r="F241" s="157" t="n"/>
      <c r="G241" s="157" t="n"/>
      <c r="H241" s="157" t="n"/>
      <c r="I241" s="157" t="n"/>
      <c r="J241" s="157" t="n"/>
      <c r="K241" s="157" t="n"/>
      <c r="L241" s="157" t="n"/>
      <c r="M241" s="157" t="n"/>
      <c r="N241" s="157" t="n"/>
      <c r="O241" s="157" t="n"/>
      <c r="P241" s="157" t="n"/>
      <c r="Q241" s="157" t="n"/>
      <c r="R241" s="157" t="n"/>
      <c r="S241" s="157" t="n"/>
      <c r="T241" s="157" t="n"/>
      <c r="U241" s="157" t="n"/>
      <c r="V241" s="157" t="n"/>
      <c r="W241" s="157" t="n"/>
      <c r="X241" s="157" t="n"/>
      <c r="Y241" s="157" t="n"/>
      <c r="Z241" s="157" t="n"/>
      <c r="AA241" s="157" t="n"/>
      <c r="AB241" s="157" t="n"/>
      <c r="AC241" s="157" t="n"/>
      <c r="AD241" s="157" t="n"/>
      <c r="AE241" s="157" t="n"/>
      <c r="AF241" s="157" t="n"/>
      <c r="AG241" s="157" t="n"/>
      <c r="AH241" s="157" t="n"/>
      <c r="AI241" s="157" t="n"/>
      <c r="AJ241" s="157" t="n"/>
      <c r="AK241" s="157" t="n"/>
      <c r="AL241" s="157" t="n"/>
      <c r="AM241" s="157" t="n"/>
      <c r="AN241" s="157" t="n"/>
      <c r="AO241" s="157" t="n"/>
      <c r="AP241" s="157" t="n"/>
      <c r="AQ241" s="157" t="n"/>
      <c r="AR241" s="157" t="n"/>
      <c r="AS241" s="157" t="n"/>
      <c r="AT241" s="157" t="n"/>
      <c r="AU241" s="157" t="n"/>
      <c r="AV241" s="157" t="n"/>
      <c r="AW241" s="157" t="n"/>
      <c r="AX241" s="157" t="n"/>
      <c r="AY241" s="157" t="n"/>
      <c r="AZ241" s="157" t="n"/>
      <c r="BA241" s="157" t="n"/>
      <c r="BB241" s="157" t="n"/>
      <c r="BC241" s="157" t="n"/>
      <c r="BD241" s="157" t="n"/>
      <c r="BE241" s="157" t="n"/>
      <c r="BF241" s="157" t="n"/>
      <c r="BG241" s="157" t="n"/>
      <c r="BH241" s="158" t="n"/>
      <c r="BI241" s="159" t="n"/>
      <c r="BJ241" s="23">
        <f>IFERROR(ISNUMBER(E241)*IF(ISNUMBER(D241),--(E241&lt;D241-0.5),1)+ISNUMBER(F241)*IF(ISNUMBER(E241),--(F241&lt;E241-0.5),1)+ISNUMBER(G241)*IF(ISNUMBER(F241),--(G241&lt;F241-0.5),1)+ISNUMBER(H241)*IF(ISNUMBER(G241),--(H241&lt;G241-0.5),1)+ISNUMBER(I241)*IF(ISNUMBER(H241),--(I241&lt;H241-0.5),1)+ISNUMBER(J241)*IF(ISNUMBER(I241),--(J241&lt;I241-0.5),1)+ISNUMBER(K241)*IF(ISNUMBER(J241),--(K241&lt;J241-0.5),1)+IF(AND(ISNUMBER(C241),C241&lt;0),1,0),1)</f>
        <v/>
      </c>
      <c r="BK241" s="23">
        <f>IFERROR(ISNUMBER(M241)*IF(ISNUMBER(L241),--(M241&lt;L241-0.5),1)+ISNUMBER(N241)*IF(ISNUMBER(M241),--(N241&lt;M241-0.5),1)+ISNUMBER(O241)*IF(ISNUMBER(N241),--(O241&lt;N241-0.5),1)+ISNUMBER(P241)*IF(ISNUMBER(O241),--(P241&lt;O241-0.5),1)+ISNUMBER(Q241)*IF(ISNUMBER(P241),--(Q241&lt;P241-0.5),1)+ISNUMBER(R241)*IF(ISNUMBER(Q241),--(R241&lt;Q241-0.5),1)+ISNUMBER(S241)*IF(ISNUMBER(R241),--(S241&lt;R241-0.5),1),1)</f>
        <v/>
      </c>
    </row>
    <row r="242">
      <c r="A242" s="23" t="n">
        <v>39</v>
      </c>
      <c r="B242" s="75" t="n">
        <v>1</v>
      </c>
      <c r="C242" s="157" t="n"/>
      <c r="D242" s="157" t="n"/>
      <c r="E242" s="157" t="n"/>
      <c r="F242" s="157" t="n"/>
      <c r="G242" s="157" t="n"/>
      <c r="H242" s="157" t="n"/>
      <c r="I242" s="157" t="n"/>
      <c r="J242" s="157" t="n"/>
      <c r="K242" s="157" t="n"/>
      <c r="L242" s="157" t="n"/>
      <c r="M242" s="157" t="n"/>
      <c r="N242" s="157" t="n"/>
      <c r="O242" s="157" t="n"/>
      <c r="P242" s="157" t="n"/>
      <c r="Q242" s="157" t="n"/>
      <c r="R242" s="157" t="n"/>
      <c r="S242" s="157" t="n"/>
      <c r="T242" s="157" t="n"/>
      <c r="U242" s="157" t="n"/>
      <c r="V242" s="157" t="n"/>
      <c r="W242" s="157" t="n"/>
      <c r="X242" s="157" t="n"/>
      <c r="Y242" s="157" t="n"/>
      <c r="Z242" s="157" t="n"/>
      <c r="AA242" s="157" t="n"/>
      <c r="AB242" s="157" t="n"/>
      <c r="AC242" s="157" t="n"/>
      <c r="AD242" s="157" t="n"/>
      <c r="AE242" s="157" t="n"/>
      <c r="AF242" s="157" t="n"/>
      <c r="AG242" s="157" t="n"/>
      <c r="AH242" s="157" t="n"/>
      <c r="AI242" s="157" t="n"/>
      <c r="AJ242" s="157" t="n"/>
      <c r="AK242" s="157" t="n"/>
      <c r="AL242" s="157" t="n"/>
      <c r="AM242" s="157" t="n"/>
      <c r="AN242" s="157" t="n"/>
      <c r="AO242" s="157" t="n"/>
      <c r="AP242" s="157" t="n"/>
      <c r="AQ242" s="157" t="n"/>
      <c r="AR242" s="157" t="n"/>
      <c r="AS242" s="157" t="n"/>
      <c r="AT242" s="157" t="n"/>
      <c r="AU242" s="157" t="n"/>
      <c r="AV242" s="157" t="n"/>
      <c r="AW242" s="157" t="n"/>
      <c r="AX242" s="157" t="n"/>
      <c r="AY242" s="157" t="n"/>
      <c r="AZ242" s="157" t="n"/>
      <c r="BA242" s="157" t="n"/>
      <c r="BB242" s="157" t="n"/>
      <c r="BC242" s="157" t="n"/>
      <c r="BD242" s="157" t="n"/>
      <c r="BE242" s="157" t="n"/>
      <c r="BF242" s="157" t="n"/>
      <c r="BG242" s="157" t="n"/>
      <c r="BH242" s="158" t="n"/>
      <c r="BI242" s="159" t="n"/>
      <c r="BJ242" s="23">
        <f>IFERROR(ISNUMBER(E242)*IF(ISNUMBER(D242),--(E242&lt;D242-0.5),1)+ISNUMBER(F242)*IF(ISNUMBER(E242),--(F242&lt;E242-0.5),1)+ISNUMBER(G242)*IF(ISNUMBER(F242),--(G242&lt;F242-0.5),1)+ISNUMBER(H242)*IF(ISNUMBER(G242),--(H242&lt;G242-0.5),1)+ISNUMBER(I242)*IF(ISNUMBER(H242),--(I242&lt;H242-0.5),1)+ISNUMBER(J242)*IF(ISNUMBER(I242),--(J242&lt;I242-0.5),1)+ISNUMBER(K242)*IF(ISNUMBER(J242),--(K242&lt;J242-0.5),1)+IF(AND(ISNUMBER(C242),C242&lt;0),1,0),1)</f>
        <v/>
      </c>
      <c r="BK242" s="23">
        <f>IFERROR(ISNUMBER(M242)*IF(ISNUMBER(L242),--(M242&lt;L242-0.5),1)+ISNUMBER(N242)*IF(ISNUMBER(M242),--(N242&lt;M242-0.5),1)+ISNUMBER(O242)*IF(ISNUMBER(N242),--(O242&lt;N242-0.5),1)+ISNUMBER(P242)*IF(ISNUMBER(O242),--(P242&lt;O242-0.5),1)+ISNUMBER(Q242)*IF(ISNUMBER(P242),--(Q242&lt;P242-0.5),1)+ISNUMBER(R242)*IF(ISNUMBER(Q242),--(R242&lt;Q242-0.5),1)+ISNUMBER(S242)*IF(ISNUMBER(R242),--(S242&lt;R242-0.5),1),1)</f>
        <v/>
      </c>
    </row>
    <row r="243">
      <c r="A243" s="23" t="n">
        <v>40</v>
      </c>
      <c r="B243" s="75" t="n">
        <v>1</v>
      </c>
      <c r="C243" s="157" t="n"/>
      <c r="D243" s="157" t="n"/>
      <c r="E243" s="157" t="n"/>
      <c r="F243" s="157" t="n"/>
      <c r="G243" s="157" t="n"/>
      <c r="H243" s="157" t="n"/>
      <c r="I243" s="157" t="n"/>
      <c r="J243" s="157" t="n"/>
      <c r="K243" s="157" t="n"/>
      <c r="L243" s="157" t="n"/>
      <c r="M243" s="157" t="n"/>
      <c r="N243" s="157" t="n"/>
      <c r="O243" s="157" t="n"/>
      <c r="P243" s="157" t="n"/>
      <c r="Q243" s="157" t="n"/>
      <c r="R243" s="157" t="n"/>
      <c r="S243" s="157" t="n"/>
      <c r="T243" s="157" t="n"/>
      <c r="U243" s="157" t="n"/>
      <c r="V243" s="157" t="n"/>
      <c r="W243" s="157" t="n"/>
      <c r="X243" s="157" t="n"/>
      <c r="Y243" s="157" t="n"/>
      <c r="Z243" s="157" t="n"/>
      <c r="AA243" s="157" t="n"/>
      <c r="AB243" s="157" t="n"/>
      <c r="AC243" s="157" t="n"/>
      <c r="AD243" s="157" t="n"/>
      <c r="AE243" s="157" t="n"/>
      <c r="AF243" s="157" t="n"/>
      <c r="AG243" s="157" t="n"/>
      <c r="AH243" s="157" t="n"/>
      <c r="AI243" s="157" t="n"/>
      <c r="AJ243" s="157" t="n"/>
      <c r="AK243" s="157" t="n"/>
      <c r="AL243" s="157" t="n"/>
      <c r="AM243" s="157" t="n"/>
      <c r="AN243" s="157" t="n"/>
      <c r="AO243" s="157" t="n"/>
      <c r="AP243" s="157" t="n"/>
      <c r="AQ243" s="157" t="n"/>
      <c r="AR243" s="157" t="n"/>
      <c r="AS243" s="157" t="n"/>
      <c r="AT243" s="157" t="n"/>
      <c r="AU243" s="157" t="n"/>
      <c r="AV243" s="157" t="n"/>
      <c r="AW243" s="157" t="n"/>
      <c r="AX243" s="157" t="n"/>
      <c r="AY243" s="157" t="n"/>
      <c r="AZ243" s="157" t="n"/>
      <c r="BA243" s="157" t="n"/>
      <c r="BB243" s="157" t="n"/>
      <c r="BC243" s="157" t="n"/>
      <c r="BD243" s="157" t="n"/>
      <c r="BE243" s="157" t="n"/>
      <c r="BF243" s="157" t="n"/>
      <c r="BG243" s="157" t="n"/>
      <c r="BH243" s="158" t="n"/>
      <c r="BI243" s="159" t="n"/>
      <c r="BJ243" s="23">
        <f>IFERROR(ISNUMBER(E243)*IF(ISNUMBER(D243),--(E243&lt;D243-0.5),1)+ISNUMBER(F243)*IF(ISNUMBER(E243),--(F243&lt;E243-0.5),1)+ISNUMBER(G243)*IF(ISNUMBER(F243),--(G243&lt;F243-0.5),1)+ISNUMBER(H243)*IF(ISNUMBER(G243),--(H243&lt;G243-0.5),1)+ISNUMBER(I243)*IF(ISNUMBER(H243),--(I243&lt;H243-0.5),1)+ISNUMBER(J243)*IF(ISNUMBER(I243),--(J243&lt;I243-0.5),1)+ISNUMBER(K243)*IF(ISNUMBER(J243),--(K243&lt;J243-0.5),1)+IF(AND(ISNUMBER(C243),C243&lt;0),1,0),1)</f>
        <v/>
      </c>
      <c r="BK243" s="23">
        <f>IFERROR(ISNUMBER(M243)*IF(ISNUMBER(L243),--(M243&lt;L243-0.5),1)+ISNUMBER(N243)*IF(ISNUMBER(M243),--(N243&lt;M243-0.5),1)+ISNUMBER(O243)*IF(ISNUMBER(N243),--(O243&lt;N243-0.5),1)+ISNUMBER(P243)*IF(ISNUMBER(O243),--(P243&lt;O243-0.5),1)+ISNUMBER(Q243)*IF(ISNUMBER(P243),--(Q243&lt;P243-0.5),1)+ISNUMBER(R243)*IF(ISNUMBER(Q243),--(R243&lt;Q243-0.5),1)+ISNUMBER(S243)*IF(ISNUMBER(R243),--(S243&lt;R243-0.5),1),1)</f>
        <v/>
      </c>
    </row>
    <row r="244">
      <c r="A244" s="23" t="n">
        <v>41</v>
      </c>
      <c r="B244" s="75" t="n">
        <v>1</v>
      </c>
      <c r="C244" s="157" t="n"/>
      <c r="D244" s="157" t="n"/>
      <c r="E244" s="157" t="n"/>
      <c r="F244" s="157" t="n"/>
      <c r="G244" s="157" t="n"/>
      <c r="H244" s="157" t="n"/>
      <c r="I244" s="157" t="n"/>
      <c r="J244" s="157" t="n"/>
      <c r="K244" s="157" t="n"/>
      <c r="L244" s="157" t="n"/>
      <c r="M244" s="157" t="n"/>
      <c r="N244" s="157" t="n"/>
      <c r="O244" s="157" t="n"/>
      <c r="P244" s="157" t="n"/>
      <c r="Q244" s="157" t="n"/>
      <c r="R244" s="157" t="n"/>
      <c r="S244" s="157" t="n"/>
      <c r="T244" s="157" t="n"/>
      <c r="U244" s="157" t="n"/>
      <c r="V244" s="157" t="n"/>
      <c r="W244" s="157" t="n"/>
      <c r="X244" s="157" t="n"/>
      <c r="Y244" s="157" t="n"/>
      <c r="Z244" s="157" t="n"/>
      <c r="AA244" s="157" t="n"/>
      <c r="AB244" s="157" t="n"/>
      <c r="AC244" s="157" t="n"/>
      <c r="AD244" s="157" t="n"/>
      <c r="AE244" s="157" t="n"/>
      <c r="AF244" s="157" t="n"/>
      <c r="AG244" s="157" t="n"/>
      <c r="AH244" s="157" t="n"/>
      <c r="AI244" s="157" t="n"/>
      <c r="AJ244" s="157" t="n"/>
      <c r="AK244" s="157" t="n"/>
      <c r="AL244" s="157" t="n"/>
      <c r="AM244" s="157" t="n"/>
      <c r="AN244" s="157" t="n"/>
      <c r="AO244" s="157" t="n"/>
      <c r="AP244" s="157" t="n"/>
      <c r="AQ244" s="157" t="n"/>
      <c r="AR244" s="157" t="n"/>
      <c r="AS244" s="157" t="n"/>
      <c r="AT244" s="157" t="n"/>
      <c r="AU244" s="157" t="n"/>
      <c r="AV244" s="157" t="n"/>
      <c r="AW244" s="157" t="n"/>
      <c r="AX244" s="157" t="n"/>
      <c r="AY244" s="157" t="n"/>
      <c r="AZ244" s="157" t="n"/>
      <c r="BA244" s="157" t="n"/>
      <c r="BB244" s="157" t="n"/>
      <c r="BC244" s="157" t="n"/>
      <c r="BD244" s="157" t="n"/>
      <c r="BE244" s="157" t="n"/>
      <c r="BF244" s="157" t="n"/>
      <c r="BG244" s="157" t="n"/>
      <c r="BH244" s="158" t="n"/>
      <c r="BI244" s="159" t="n"/>
      <c r="BJ244" s="23">
        <f>IFERROR(ISNUMBER(E244)*IF(ISNUMBER(D244),--(E244&lt;D244-0.5),1)+ISNUMBER(F244)*IF(ISNUMBER(E244),--(F244&lt;E244-0.5),1)+ISNUMBER(G244)*IF(ISNUMBER(F244),--(G244&lt;F244-0.5),1)+ISNUMBER(H244)*IF(ISNUMBER(G244),--(H244&lt;G244-0.5),1)+ISNUMBER(I244)*IF(ISNUMBER(H244),--(I244&lt;H244-0.5),1)+ISNUMBER(J244)*IF(ISNUMBER(I244),--(J244&lt;I244-0.5),1)+ISNUMBER(K244)*IF(ISNUMBER(J244),--(K244&lt;J244-0.5),1)+IF(AND(ISNUMBER(C244),C244&lt;0),1,0),1)</f>
        <v/>
      </c>
      <c r="BK244" s="23">
        <f>IFERROR(ISNUMBER(M244)*IF(ISNUMBER(L244),--(M244&lt;L244-0.5),1)+ISNUMBER(N244)*IF(ISNUMBER(M244),--(N244&lt;M244-0.5),1)+ISNUMBER(O244)*IF(ISNUMBER(N244),--(O244&lt;N244-0.5),1)+ISNUMBER(P244)*IF(ISNUMBER(O244),--(P244&lt;O244-0.5),1)+ISNUMBER(Q244)*IF(ISNUMBER(P244),--(Q244&lt;P244-0.5),1)+ISNUMBER(R244)*IF(ISNUMBER(Q244),--(R244&lt;Q244-0.5),1)+ISNUMBER(S244)*IF(ISNUMBER(R244),--(S244&lt;R244-0.5),1),1)</f>
        <v/>
      </c>
    </row>
    <row r="245">
      <c r="A245" s="23" t="n">
        <v>42</v>
      </c>
      <c r="B245" s="75" t="n">
        <v>1</v>
      </c>
      <c r="C245" s="157" t="n"/>
      <c r="D245" s="157" t="n"/>
      <c r="E245" s="157" t="n"/>
      <c r="F245" s="157" t="n"/>
      <c r="G245" s="157" t="n"/>
      <c r="H245" s="157" t="n"/>
      <c r="I245" s="157" t="n"/>
      <c r="J245" s="157" t="n"/>
      <c r="K245" s="157" t="n"/>
      <c r="L245" s="157" t="n"/>
      <c r="M245" s="157" t="n"/>
      <c r="N245" s="157" t="n"/>
      <c r="O245" s="157" t="n"/>
      <c r="P245" s="157" t="n"/>
      <c r="Q245" s="157" t="n"/>
      <c r="R245" s="157" t="n"/>
      <c r="S245" s="157" t="n"/>
      <c r="T245" s="157" t="n"/>
      <c r="U245" s="157" t="n"/>
      <c r="V245" s="157" t="n"/>
      <c r="W245" s="157" t="n"/>
      <c r="X245" s="157" t="n"/>
      <c r="Y245" s="157" t="n"/>
      <c r="Z245" s="157" t="n"/>
      <c r="AA245" s="157" t="n"/>
      <c r="AB245" s="157" t="n"/>
      <c r="AC245" s="157" t="n"/>
      <c r="AD245" s="157" t="n"/>
      <c r="AE245" s="157" t="n"/>
      <c r="AF245" s="157" t="n"/>
      <c r="AG245" s="157" t="n"/>
      <c r="AH245" s="157" t="n"/>
      <c r="AI245" s="157" t="n"/>
      <c r="AJ245" s="157" t="n"/>
      <c r="AK245" s="157" t="n"/>
      <c r="AL245" s="157" t="n"/>
      <c r="AM245" s="157" t="n"/>
      <c r="AN245" s="157" t="n"/>
      <c r="AO245" s="157" t="n"/>
      <c r="AP245" s="157" t="n"/>
      <c r="AQ245" s="157" t="n"/>
      <c r="AR245" s="157" t="n"/>
      <c r="AS245" s="157" t="n"/>
      <c r="AT245" s="157" t="n"/>
      <c r="AU245" s="157" t="n"/>
      <c r="AV245" s="157" t="n"/>
      <c r="AW245" s="157" t="n"/>
      <c r="AX245" s="157" t="n"/>
      <c r="AY245" s="157" t="n"/>
      <c r="AZ245" s="157" t="n"/>
      <c r="BA245" s="157" t="n"/>
      <c r="BB245" s="157" t="n"/>
      <c r="BC245" s="157" t="n"/>
      <c r="BD245" s="157" t="n"/>
      <c r="BE245" s="157" t="n"/>
      <c r="BF245" s="157" t="n"/>
      <c r="BG245" s="157" t="n"/>
      <c r="BH245" s="158" t="n"/>
      <c r="BI245" s="159" t="n"/>
      <c r="BJ245" s="23">
        <f>IFERROR(ISNUMBER(E245)*IF(ISNUMBER(D245),--(E245&lt;D245-0.5),1)+ISNUMBER(F245)*IF(ISNUMBER(E245),--(F245&lt;E245-0.5),1)+ISNUMBER(G245)*IF(ISNUMBER(F245),--(G245&lt;F245-0.5),1)+ISNUMBER(H245)*IF(ISNUMBER(G245),--(H245&lt;G245-0.5),1)+ISNUMBER(I245)*IF(ISNUMBER(H245),--(I245&lt;H245-0.5),1)+ISNUMBER(J245)*IF(ISNUMBER(I245),--(J245&lt;I245-0.5),1)+ISNUMBER(K245)*IF(ISNUMBER(J245),--(K245&lt;J245-0.5),1)+IF(AND(ISNUMBER(C245),C245&lt;0),1,0),1)</f>
        <v/>
      </c>
      <c r="BK245" s="23">
        <f>IFERROR(ISNUMBER(M245)*IF(ISNUMBER(L245),--(M245&lt;L245-0.5),1)+ISNUMBER(N245)*IF(ISNUMBER(M245),--(N245&lt;M245-0.5),1)+ISNUMBER(O245)*IF(ISNUMBER(N245),--(O245&lt;N245-0.5),1)+ISNUMBER(P245)*IF(ISNUMBER(O245),--(P245&lt;O245-0.5),1)+ISNUMBER(Q245)*IF(ISNUMBER(P245),--(Q245&lt;P245-0.5),1)+ISNUMBER(R245)*IF(ISNUMBER(Q245),--(R245&lt;Q245-0.5),1)+ISNUMBER(S245)*IF(ISNUMBER(R245),--(S245&lt;R245-0.5),1),1)</f>
        <v/>
      </c>
    </row>
    <row r="246">
      <c r="A246" s="23" t="n">
        <v>43</v>
      </c>
      <c r="B246" s="75" t="n">
        <v>1</v>
      </c>
      <c r="C246" s="157" t="n"/>
      <c r="D246" s="157" t="n"/>
      <c r="E246" s="157" t="n"/>
      <c r="F246" s="157" t="n"/>
      <c r="G246" s="157" t="n"/>
      <c r="H246" s="157" t="n"/>
      <c r="I246" s="157" t="n"/>
      <c r="J246" s="157" t="n"/>
      <c r="K246" s="157" t="n"/>
      <c r="L246" s="157" t="n"/>
      <c r="M246" s="157" t="n"/>
      <c r="N246" s="157" t="n"/>
      <c r="O246" s="157" t="n"/>
      <c r="P246" s="157" t="n"/>
      <c r="Q246" s="157" t="n"/>
      <c r="R246" s="157" t="n"/>
      <c r="S246" s="157" t="n"/>
      <c r="T246" s="157" t="n"/>
      <c r="U246" s="157" t="n"/>
      <c r="V246" s="157" t="n"/>
      <c r="W246" s="157" t="n"/>
      <c r="X246" s="157" t="n"/>
      <c r="Y246" s="157" t="n"/>
      <c r="Z246" s="157" t="n"/>
      <c r="AA246" s="157" t="n"/>
      <c r="AB246" s="157" t="n"/>
      <c r="AC246" s="157" t="n"/>
      <c r="AD246" s="157" t="n"/>
      <c r="AE246" s="157" t="n"/>
      <c r="AF246" s="157" t="n"/>
      <c r="AG246" s="157" t="n"/>
      <c r="AH246" s="157" t="n"/>
      <c r="AI246" s="157" t="n"/>
      <c r="AJ246" s="157" t="n"/>
      <c r="AK246" s="157" t="n"/>
      <c r="AL246" s="157" t="n"/>
      <c r="AM246" s="157" t="n"/>
      <c r="AN246" s="157" t="n"/>
      <c r="AO246" s="157" t="n"/>
      <c r="AP246" s="157" t="n"/>
      <c r="AQ246" s="157" t="n"/>
      <c r="AR246" s="157" t="n"/>
      <c r="AS246" s="157" t="n"/>
      <c r="AT246" s="157" t="n"/>
      <c r="AU246" s="157" t="n"/>
      <c r="AV246" s="157" t="n"/>
      <c r="AW246" s="157" t="n"/>
      <c r="AX246" s="157" t="n"/>
      <c r="AY246" s="157" t="n"/>
      <c r="AZ246" s="157" t="n"/>
      <c r="BA246" s="157" t="n"/>
      <c r="BB246" s="157" t="n"/>
      <c r="BC246" s="157" t="n"/>
      <c r="BD246" s="157" t="n"/>
      <c r="BE246" s="157" t="n"/>
      <c r="BF246" s="157" t="n"/>
      <c r="BG246" s="157" t="n"/>
      <c r="BH246" s="158" t="n"/>
      <c r="BI246" s="159" t="n"/>
      <c r="BJ246" s="23">
        <f>IFERROR(ISNUMBER(E246)*IF(ISNUMBER(D246),--(E246&lt;D246-0.5),1)+ISNUMBER(F246)*IF(ISNUMBER(E246),--(F246&lt;E246-0.5),1)+ISNUMBER(G246)*IF(ISNUMBER(F246),--(G246&lt;F246-0.5),1)+ISNUMBER(H246)*IF(ISNUMBER(G246),--(H246&lt;G246-0.5),1)+ISNUMBER(I246)*IF(ISNUMBER(H246),--(I246&lt;H246-0.5),1)+ISNUMBER(J246)*IF(ISNUMBER(I246),--(J246&lt;I246-0.5),1)+ISNUMBER(K246)*IF(ISNUMBER(J246),--(K246&lt;J246-0.5),1)+IF(AND(ISNUMBER(C246),C246&lt;0),1,0),1)</f>
        <v/>
      </c>
      <c r="BK246" s="23">
        <f>IFERROR(ISNUMBER(M246)*IF(ISNUMBER(L246),--(M246&lt;L246-0.5),1)+ISNUMBER(N246)*IF(ISNUMBER(M246),--(N246&lt;M246-0.5),1)+ISNUMBER(O246)*IF(ISNUMBER(N246),--(O246&lt;N246-0.5),1)+ISNUMBER(P246)*IF(ISNUMBER(O246),--(P246&lt;O246-0.5),1)+ISNUMBER(Q246)*IF(ISNUMBER(P246),--(Q246&lt;P246-0.5),1)+ISNUMBER(R246)*IF(ISNUMBER(Q246),--(R246&lt;Q246-0.5),1)+ISNUMBER(S246)*IF(ISNUMBER(R246),--(S246&lt;R246-0.5),1),1)</f>
        <v/>
      </c>
    </row>
    <row r="247">
      <c r="A247" s="23" t="n">
        <v>44</v>
      </c>
      <c r="B247" s="75" t="n">
        <v>1</v>
      </c>
      <c r="C247" s="157" t="n"/>
      <c r="D247" s="157" t="n"/>
      <c r="E247" s="157" t="n"/>
      <c r="F247" s="157" t="n"/>
      <c r="G247" s="157" t="n"/>
      <c r="H247" s="157" t="n"/>
      <c r="I247" s="157" t="n"/>
      <c r="J247" s="157" t="n"/>
      <c r="K247" s="157" t="n"/>
      <c r="L247" s="157" t="n"/>
      <c r="M247" s="157" t="n"/>
      <c r="N247" s="157" t="n"/>
      <c r="O247" s="157" t="n"/>
      <c r="P247" s="157" t="n"/>
      <c r="Q247" s="157" t="n"/>
      <c r="R247" s="157" t="n"/>
      <c r="S247" s="157" t="n"/>
      <c r="T247" s="157" t="n"/>
      <c r="U247" s="157" t="n"/>
      <c r="V247" s="157" t="n"/>
      <c r="W247" s="157" t="n"/>
      <c r="X247" s="157" t="n"/>
      <c r="Y247" s="157" t="n"/>
      <c r="Z247" s="157" t="n"/>
      <c r="AA247" s="157" t="n"/>
      <c r="AB247" s="157" t="n"/>
      <c r="AC247" s="157" t="n"/>
      <c r="AD247" s="157" t="n"/>
      <c r="AE247" s="157" t="n"/>
      <c r="AF247" s="157" t="n"/>
      <c r="AG247" s="157" t="n"/>
      <c r="AH247" s="157" t="n"/>
      <c r="AI247" s="157" t="n"/>
      <c r="AJ247" s="157" t="n"/>
      <c r="AK247" s="157" t="n"/>
      <c r="AL247" s="157" t="n"/>
      <c r="AM247" s="157" t="n"/>
      <c r="AN247" s="157" t="n"/>
      <c r="AO247" s="157" t="n"/>
      <c r="AP247" s="157" t="n"/>
      <c r="AQ247" s="157" t="n"/>
      <c r="AR247" s="157" t="n"/>
      <c r="AS247" s="157" t="n"/>
      <c r="AT247" s="157" t="n"/>
      <c r="AU247" s="157" t="n"/>
      <c r="AV247" s="157" t="n"/>
      <c r="AW247" s="157" t="n"/>
      <c r="AX247" s="157" t="n"/>
      <c r="AY247" s="157" t="n"/>
      <c r="AZ247" s="157" t="n"/>
      <c r="BA247" s="157" t="n"/>
      <c r="BB247" s="157" t="n"/>
      <c r="BC247" s="157" t="n"/>
      <c r="BD247" s="157" t="n"/>
      <c r="BE247" s="157" t="n"/>
      <c r="BF247" s="157" t="n"/>
      <c r="BG247" s="157" t="n"/>
      <c r="BH247" s="158" t="n"/>
      <c r="BI247" s="159" t="n"/>
      <c r="BJ247" s="23">
        <f>IFERROR(ISNUMBER(E247)*IF(ISNUMBER(D247),--(E247&lt;D247-0.5),1)+ISNUMBER(F247)*IF(ISNUMBER(E247),--(F247&lt;E247-0.5),1)+ISNUMBER(G247)*IF(ISNUMBER(F247),--(G247&lt;F247-0.5),1)+ISNUMBER(H247)*IF(ISNUMBER(G247),--(H247&lt;G247-0.5),1)+ISNUMBER(I247)*IF(ISNUMBER(H247),--(I247&lt;H247-0.5),1)+ISNUMBER(J247)*IF(ISNUMBER(I247),--(J247&lt;I247-0.5),1)+ISNUMBER(K247)*IF(ISNUMBER(J247),--(K247&lt;J247-0.5),1)+IF(AND(ISNUMBER(C247),C247&lt;0),1,0),1)</f>
        <v/>
      </c>
      <c r="BK247" s="23">
        <f>IFERROR(ISNUMBER(M247)*IF(ISNUMBER(L247),--(M247&lt;L247-0.5),1)+ISNUMBER(N247)*IF(ISNUMBER(M247),--(N247&lt;M247-0.5),1)+ISNUMBER(O247)*IF(ISNUMBER(N247),--(O247&lt;N247-0.5),1)+ISNUMBER(P247)*IF(ISNUMBER(O247),--(P247&lt;O247-0.5),1)+ISNUMBER(Q247)*IF(ISNUMBER(P247),--(Q247&lt;P247-0.5),1)+ISNUMBER(R247)*IF(ISNUMBER(Q247),--(R247&lt;Q247-0.5),1)+ISNUMBER(S247)*IF(ISNUMBER(R247),--(S247&lt;R247-0.5),1),1)</f>
        <v/>
      </c>
    </row>
    <row r="248">
      <c r="A248" s="23" t="n">
        <v>45</v>
      </c>
      <c r="B248" s="75" t="n">
        <v>1</v>
      </c>
      <c r="C248" s="157" t="n"/>
      <c r="D248" s="157" t="n"/>
      <c r="E248" s="157" t="n"/>
      <c r="F248" s="157" t="n"/>
      <c r="G248" s="157" t="n"/>
      <c r="H248" s="157" t="n"/>
      <c r="I248" s="157" t="n"/>
      <c r="J248" s="157" t="n"/>
      <c r="K248" s="157" t="n"/>
      <c r="L248" s="157" t="n"/>
      <c r="M248" s="157" t="n"/>
      <c r="N248" s="157" t="n"/>
      <c r="O248" s="157" t="n"/>
      <c r="P248" s="157" t="n"/>
      <c r="Q248" s="157" t="n"/>
      <c r="R248" s="157" t="n"/>
      <c r="S248" s="157" t="n"/>
      <c r="T248" s="157" t="n"/>
      <c r="U248" s="157" t="n"/>
      <c r="V248" s="157" t="n"/>
      <c r="W248" s="157" t="n"/>
      <c r="X248" s="157" t="n"/>
      <c r="Y248" s="157" t="n"/>
      <c r="Z248" s="157" t="n"/>
      <c r="AA248" s="157" t="n"/>
      <c r="AB248" s="157" t="n"/>
      <c r="AC248" s="157" t="n"/>
      <c r="AD248" s="157" t="n"/>
      <c r="AE248" s="157" t="n"/>
      <c r="AF248" s="157" t="n"/>
      <c r="AG248" s="157" t="n"/>
      <c r="AH248" s="157" t="n"/>
      <c r="AI248" s="157" t="n"/>
      <c r="AJ248" s="157" t="n"/>
      <c r="AK248" s="157" t="n"/>
      <c r="AL248" s="157" t="n"/>
      <c r="AM248" s="157" t="n"/>
      <c r="AN248" s="157" t="n"/>
      <c r="AO248" s="157" t="n"/>
      <c r="AP248" s="157" t="n"/>
      <c r="AQ248" s="157" t="n"/>
      <c r="AR248" s="157" t="n"/>
      <c r="AS248" s="157" t="n"/>
      <c r="AT248" s="157" t="n"/>
      <c r="AU248" s="157" t="n"/>
      <c r="AV248" s="157" t="n"/>
      <c r="AW248" s="157" t="n"/>
      <c r="AX248" s="157" t="n"/>
      <c r="AY248" s="157" t="n"/>
      <c r="AZ248" s="157" t="n"/>
      <c r="BA248" s="157" t="n"/>
      <c r="BB248" s="157" t="n"/>
      <c r="BC248" s="157" t="n"/>
      <c r="BD248" s="157" t="n"/>
      <c r="BE248" s="157" t="n"/>
      <c r="BF248" s="157" t="n"/>
      <c r="BG248" s="157" t="n"/>
      <c r="BH248" s="158" t="n"/>
      <c r="BI248" s="159" t="n"/>
      <c r="BJ248" s="23">
        <f>IFERROR(ISNUMBER(E248)*IF(ISNUMBER(D248),--(E248&lt;D248-0.5),1)+ISNUMBER(F248)*IF(ISNUMBER(E248),--(F248&lt;E248-0.5),1)+ISNUMBER(G248)*IF(ISNUMBER(F248),--(G248&lt;F248-0.5),1)+ISNUMBER(H248)*IF(ISNUMBER(G248),--(H248&lt;G248-0.5),1)+ISNUMBER(I248)*IF(ISNUMBER(H248),--(I248&lt;H248-0.5),1)+ISNUMBER(J248)*IF(ISNUMBER(I248),--(J248&lt;I248-0.5),1)+ISNUMBER(K248)*IF(ISNUMBER(J248),--(K248&lt;J248-0.5),1)+IF(AND(ISNUMBER(C248),C248&lt;0),1,0),1)</f>
        <v/>
      </c>
      <c r="BK248" s="23">
        <f>IFERROR(ISNUMBER(M248)*IF(ISNUMBER(L248),--(M248&lt;L248-0.5),1)+ISNUMBER(N248)*IF(ISNUMBER(M248),--(N248&lt;M248-0.5),1)+ISNUMBER(O248)*IF(ISNUMBER(N248),--(O248&lt;N248-0.5),1)+ISNUMBER(P248)*IF(ISNUMBER(O248),--(P248&lt;O248-0.5),1)+ISNUMBER(Q248)*IF(ISNUMBER(P248),--(Q248&lt;P248-0.5),1)+ISNUMBER(R248)*IF(ISNUMBER(Q248),--(R248&lt;Q248-0.5),1)+ISNUMBER(S248)*IF(ISNUMBER(R248),--(S248&lt;R248-0.5),1),1)</f>
        <v/>
      </c>
    </row>
    <row r="249">
      <c r="A249" s="23" t="n">
        <v>46</v>
      </c>
      <c r="B249" s="75" t="n">
        <v>1</v>
      </c>
      <c r="C249" s="157" t="n"/>
      <c r="D249" s="157" t="n"/>
      <c r="E249" s="157" t="n"/>
      <c r="F249" s="157" t="n"/>
      <c r="G249" s="157" t="n"/>
      <c r="H249" s="157" t="n"/>
      <c r="I249" s="157" t="n"/>
      <c r="J249" s="157" t="n"/>
      <c r="K249" s="157" t="n"/>
      <c r="L249" s="157" t="n"/>
      <c r="M249" s="157" t="n"/>
      <c r="N249" s="157" t="n"/>
      <c r="O249" s="157" t="n"/>
      <c r="P249" s="157" t="n"/>
      <c r="Q249" s="157" t="n"/>
      <c r="R249" s="157" t="n"/>
      <c r="S249" s="157" t="n"/>
      <c r="T249" s="157" t="n"/>
      <c r="U249" s="157" t="n"/>
      <c r="V249" s="157" t="n"/>
      <c r="W249" s="157" t="n"/>
      <c r="X249" s="157" t="n"/>
      <c r="Y249" s="157" t="n"/>
      <c r="Z249" s="157" t="n"/>
      <c r="AA249" s="157" t="n"/>
      <c r="AB249" s="157" t="n"/>
      <c r="AC249" s="157" t="n"/>
      <c r="AD249" s="157" t="n"/>
      <c r="AE249" s="157" t="n"/>
      <c r="AF249" s="157" t="n"/>
      <c r="AG249" s="157" t="n"/>
      <c r="AH249" s="157" t="n"/>
      <c r="AI249" s="157" t="n"/>
      <c r="AJ249" s="157" t="n"/>
      <c r="AK249" s="157" t="n"/>
      <c r="AL249" s="157" t="n"/>
      <c r="AM249" s="157" t="n"/>
      <c r="AN249" s="157" t="n"/>
      <c r="AO249" s="157" t="n"/>
      <c r="AP249" s="157" t="n"/>
      <c r="AQ249" s="157" t="n"/>
      <c r="AR249" s="157" t="n"/>
      <c r="AS249" s="157" t="n"/>
      <c r="AT249" s="157" t="n"/>
      <c r="AU249" s="157" t="n"/>
      <c r="AV249" s="157" t="n"/>
      <c r="AW249" s="157" t="n"/>
      <c r="AX249" s="157" t="n"/>
      <c r="AY249" s="157" t="n"/>
      <c r="AZ249" s="157" t="n"/>
      <c r="BA249" s="157" t="n"/>
      <c r="BB249" s="157" t="n"/>
      <c r="BC249" s="157" t="n"/>
      <c r="BD249" s="157" t="n"/>
      <c r="BE249" s="157" t="n"/>
      <c r="BF249" s="157" t="n"/>
      <c r="BG249" s="157" t="n"/>
      <c r="BH249" s="158" t="n"/>
      <c r="BI249" s="159" t="n"/>
      <c r="BJ249" s="23">
        <f>IFERROR(ISNUMBER(E249)*IF(ISNUMBER(D249),--(E249&lt;D249-0.5),1)+ISNUMBER(F249)*IF(ISNUMBER(E249),--(F249&lt;E249-0.5),1)+ISNUMBER(G249)*IF(ISNUMBER(F249),--(G249&lt;F249-0.5),1)+ISNUMBER(H249)*IF(ISNUMBER(G249),--(H249&lt;G249-0.5),1)+ISNUMBER(I249)*IF(ISNUMBER(H249),--(I249&lt;H249-0.5),1)+ISNUMBER(J249)*IF(ISNUMBER(I249),--(J249&lt;I249-0.5),1)+ISNUMBER(K249)*IF(ISNUMBER(J249),--(K249&lt;J249-0.5),1)+IF(AND(ISNUMBER(C249),C249&lt;0),1,0),1)</f>
        <v/>
      </c>
      <c r="BK249" s="23">
        <f>IFERROR(ISNUMBER(M249)*IF(ISNUMBER(L249),--(M249&lt;L249-0.5),1)+ISNUMBER(N249)*IF(ISNUMBER(M249),--(N249&lt;M249-0.5),1)+ISNUMBER(O249)*IF(ISNUMBER(N249),--(O249&lt;N249-0.5),1)+ISNUMBER(P249)*IF(ISNUMBER(O249),--(P249&lt;O249-0.5),1)+ISNUMBER(Q249)*IF(ISNUMBER(P249),--(Q249&lt;P249-0.5),1)+ISNUMBER(R249)*IF(ISNUMBER(Q249),--(R249&lt;Q249-0.5),1)+ISNUMBER(S249)*IF(ISNUMBER(R249),--(S249&lt;R249-0.5),1),1)</f>
        <v/>
      </c>
    </row>
    <row r="250">
      <c r="A250" s="23" t="n">
        <v>47</v>
      </c>
      <c r="B250" s="75" t="n">
        <v>1</v>
      </c>
      <c r="C250" s="157" t="n"/>
      <c r="D250" s="157" t="n"/>
      <c r="E250" s="157" t="n"/>
      <c r="F250" s="157" t="n"/>
      <c r="G250" s="157" t="n"/>
      <c r="H250" s="157" t="n"/>
      <c r="I250" s="157" t="n"/>
      <c r="J250" s="157" t="n"/>
      <c r="K250" s="157" t="n"/>
      <c r="L250" s="157" t="n"/>
      <c r="M250" s="157" t="n"/>
      <c r="N250" s="157" t="n"/>
      <c r="O250" s="157" t="n"/>
      <c r="P250" s="157" t="n"/>
      <c r="Q250" s="157" t="n"/>
      <c r="R250" s="157" t="n"/>
      <c r="S250" s="157" t="n"/>
      <c r="T250" s="157" t="n"/>
      <c r="U250" s="157" t="n"/>
      <c r="V250" s="157" t="n"/>
      <c r="W250" s="157" t="n"/>
      <c r="X250" s="157" t="n"/>
      <c r="Y250" s="157" t="n"/>
      <c r="Z250" s="157" t="n"/>
      <c r="AA250" s="157" t="n"/>
      <c r="AB250" s="157" t="n"/>
      <c r="AC250" s="157" t="n"/>
      <c r="AD250" s="157" t="n"/>
      <c r="AE250" s="157" t="n"/>
      <c r="AF250" s="157" t="n"/>
      <c r="AG250" s="157" t="n"/>
      <c r="AH250" s="157" t="n"/>
      <c r="AI250" s="157" t="n"/>
      <c r="AJ250" s="157" t="n"/>
      <c r="AK250" s="157" t="n"/>
      <c r="AL250" s="157" t="n"/>
      <c r="AM250" s="157" t="n"/>
      <c r="AN250" s="157" t="n"/>
      <c r="AO250" s="157" t="n"/>
      <c r="AP250" s="157" t="n"/>
      <c r="AQ250" s="157" t="n"/>
      <c r="AR250" s="157" t="n"/>
      <c r="AS250" s="157" t="n"/>
      <c r="AT250" s="157" t="n"/>
      <c r="AU250" s="157" t="n"/>
      <c r="AV250" s="157" t="n"/>
      <c r="AW250" s="157" t="n"/>
      <c r="AX250" s="157" t="n"/>
      <c r="AY250" s="157" t="n"/>
      <c r="AZ250" s="157" t="n"/>
      <c r="BA250" s="157" t="n"/>
      <c r="BB250" s="157" t="n"/>
      <c r="BC250" s="157" t="n"/>
      <c r="BD250" s="157" t="n"/>
      <c r="BE250" s="157" t="n"/>
      <c r="BF250" s="157" t="n"/>
      <c r="BG250" s="157" t="n"/>
      <c r="BH250" s="158" t="n"/>
      <c r="BI250" s="159" t="n"/>
      <c r="BJ250" s="23">
        <f>IFERROR(ISNUMBER(E250)*IF(ISNUMBER(D250),--(E250&lt;D250-0.5),1)+ISNUMBER(F250)*IF(ISNUMBER(E250),--(F250&lt;E250-0.5),1)+ISNUMBER(G250)*IF(ISNUMBER(F250),--(G250&lt;F250-0.5),1)+ISNUMBER(H250)*IF(ISNUMBER(G250),--(H250&lt;G250-0.5),1)+ISNUMBER(I250)*IF(ISNUMBER(H250),--(I250&lt;H250-0.5),1)+ISNUMBER(J250)*IF(ISNUMBER(I250),--(J250&lt;I250-0.5),1)+ISNUMBER(K250)*IF(ISNUMBER(J250),--(K250&lt;J250-0.5),1)+IF(AND(ISNUMBER(C250),C250&lt;0),1,0),1)</f>
        <v/>
      </c>
      <c r="BK250" s="23">
        <f>IFERROR(ISNUMBER(M250)*IF(ISNUMBER(L250),--(M250&lt;L250-0.5),1)+ISNUMBER(N250)*IF(ISNUMBER(M250),--(N250&lt;M250-0.5),1)+ISNUMBER(O250)*IF(ISNUMBER(N250),--(O250&lt;N250-0.5),1)+ISNUMBER(P250)*IF(ISNUMBER(O250),--(P250&lt;O250-0.5),1)+ISNUMBER(Q250)*IF(ISNUMBER(P250),--(Q250&lt;P250-0.5),1)+ISNUMBER(R250)*IF(ISNUMBER(Q250),--(R250&lt;Q250-0.5),1)+ISNUMBER(S250)*IF(ISNUMBER(R250),--(S250&lt;R250-0.5),1),1)</f>
        <v/>
      </c>
    </row>
    <row r="251">
      <c r="A251" s="23" t="n">
        <v>48</v>
      </c>
      <c r="B251" s="75" t="n">
        <v>1</v>
      </c>
      <c r="C251" s="157" t="n"/>
      <c r="D251" s="157" t="n"/>
      <c r="E251" s="157" t="n"/>
      <c r="F251" s="157" t="n"/>
      <c r="G251" s="157" t="n"/>
      <c r="H251" s="157" t="n"/>
      <c r="I251" s="157" t="n"/>
      <c r="J251" s="157" t="n"/>
      <c r="K251" s="157" t="n"/>
      <c r="L251" s="157" t="n"/>
      <c r="M251" s="157" t="n"/>
      <c r="N251" s="157" t="n"/>
      <c r="O251" s="157" t="n"/>
      <c r="P251" s="157" t="n"/>
      <c r="Q251" s="157" t="n"/>
      <c r="R251" s="157" t="n"/>
      <c r="S251" s="157" t="n"/>
      <c r="T251" s="157" t="n"/>
      <c r="U251" s="157" t="n"/>
      <c r="V251" s="157" t="n"/>
      <c r="W251" s="157" t="n"/>
      <c r="X251" s="157" t="n"/>
      <c r="Y251" s="157" t="n"/>
      <c r="Z251" s="157" t="n"/>
      <c r="AA251" s="157" t="n"/>
      <c r="AB251" s="157" t="n"/>
      <c r="AC251" s="157" t="n"/>
      <c r="AD251" s="157" t="n"/>
      <c r="AE251" s="157" t="n"/>
      <c r="AF251" s="157" t="n"/>
      <c r="AG251" s="157" t="n"/>
      <c r="AH251" s="157" t="n"/>
      <c r="AI251" s="157" t="n"/>
      <c r="AJ251" s="157" t="n"/>
      <c r="AK251" s="157" t="n"/>
      <c r="AL251" s="157" t="n"/>
      <c r="AM251" s="157" t="n"/>
      <c r="AN251" s="157" t="n"/>
      <c r="AO251" s="157" t="n"/>
      <c r="AP251" s="157" t="n"/>
      <c r="AQ251" s="157" t="n"/>
      <c r="AR251" s="157" t="n"/>
      <c r="AS251" s="157" t="n"/>
      <c r="AT251" s="157" t="n"/>
      <c r="AU251" s="157" t="n"/>
      <c r="AV251" s="157" t="n"/>
      <c r="AW251" s="157" t="n"/>
      <c r="AX251" s="157" t="n"/>
      <c r="AY251" s="157" t="n"/>
      <c r="AZ251" s="157" t="n"/>
      <c r="BA251" s="157" t="n"/>
      <c r="BB251" s="157" t="n"/>
      <c r="BC251" s="157" t="n"/>
      <c r="BD251" s="157" t="n"/>
      <c r="BE251" s="157" t="n"/>
      <c r="BF251" s="157" t="n"/>
      <c r="BG251" s="157" t="n"/>
      <c r="BH251" s="158" t="n"/>
      <c r="BI251" s="159" t="n"/>
      <c r="BJ251" s="23">
        <f>IFERROR(ISNUMBER(E251)*IF(ISNUMBER(D251),--(E251&lt;D251-0.5),1)+ISNUMBER(F251)*IF(ISNUMBER(E251),--(F251&lt;E251-0.5),1)+ISNUMBER(G251)*IF(ISNUMBER(F251),--(G251&lt;F251-0.5),1)+ISNUMBER(H251)*IF(ISNUMBER(G251),--(H251&lt;G251-0.5),1)+ISNUMBER(I251)*IF(ISNUMBER(H251),--(I251&lt;H251-0.5),1)+ISNUMBER(J251)*IF(ISNUMBER(I251),--(J251&lt;I251-0.5),1)+ISNUMBER(K251)*IF(ISNUMBER(J251),--(K251&lt;J251-0.5),1)+IF(AND(ISNUMBER(C251),C251&lt;0),1,0),1)</f>
        <v/>
      </c>
      <c r="BK251" s="23">
        <f>IFERROR(ISNUMBER(M251)*IF(ISNUMBER(L251),--(M251&lt;L251-0.5),1)+ISNUMBER(N251)*IF(ISNUMBER(M251),--(N251&lt;M251-0.5),1)+ISNUMBER(O251)*IF(ISNUMBER(N251),--(O251&lt;N251-0.5),1)+ISNUMBER(P251)*IF(ISNUMBER(O251),--(P251&lt;O251-0.5),1)+ISNUMBER(Q251)*IF(ISNUMBER(P251),--(Q251&lt;P251-0.5),1)+ISNUMBER(R251)*IF(ISNUMBER(Q251),--(R251&lt;Q251-0.5),1)+ISNUMBER(S251)*IF(ISNUMBER(R251),--(S251&lt;R251-0.5),1),1)</f>
        <v/>
      </c>
    </row>
    <row r="252">
      <c r="A252" s="23" t="n">
        <v>49</v>
      </c>
      <c r="B252" s="75" t="n">
        <v>1</v>
      </c>
      <c r="C252" s="157" t="n"/>
      <c r="D252" s="157" t="n"/>
      <c r="E252" s="157" t="n"/>
      <c r="F252" s="157" t="n"/>
      <c r="G252" s="157" t="n"/>
      <c r="H252" s="157" t="n"/>
      <c r="I252" s="157" t="n"/>
      <c r="J252" s="157" t="n"/>
      <c r="K252" s="157" t="n"/>
      <c r="L252" s="157" t="n"/>
      <c r="M252" s="157" t="n"/>
      <c r="N252" s="157" t="n"/>
      <c r="O252" s="157" t="n"/>
      <c r="P252" s="157" t="n"/>
      <c r="Q252" s="157" t="n"/>
      <c r="R252" s="157" t="n"/>
      <c r="S252" s="157" t="n"/>
      <c r="T252" s="157" t="n"/>
      <c r="U252" s="157" t="n"/>
      <c r="V252" s="157" t="n"/>
      <c r="W252" s="157" t="n"/>
      <c r="X252" s="157" t="n"/>
      <c r="Y252" s="157" t="n"/>
      <c r="Z252" s="157" t="n"/>
      <c r="AA252" s="157" t="n"/>
      <c r="AB252" s="157" t="n"/>
      <c r="AC252" s="157" t="n"/>
      <c r="AD252" s="157" t="n"/>
      <c r="AE252" s="157" t="n"/>
      <c r="AF252" s="157" t="n"/>
      <c r="AG252" s="157" t="n"/>
      <c r="AH252" s="157" t="n"/>
      <c r="AI252" s="157" t="n"/>
      <c r="AJ252" s="157" t="n"/>
      <c r="AK252" s="157" t="n"/>
      <c r="AL252" s="157" t="n"/>
      <c r="AM252" s="157" t="n"/>
      <c r="AN252" s="157" t="n"/>
      <c r="AO252" s="157" t="n"/>
      <c r="AP252" s="157" t="n"/>
      <c r="AQ252" s="157" t="n"/>
      <c r="AR252" s="157" t="n"/>
      <c r="AS252" s="157" t="n"/>
      <c r="AT252" s="157" t="n"/>
      <c r="AU252" s="157" t="n"/>
      <c r="AV252" s="157" t="n"/>
      <c r="AW252" s="157" t="n"/>
      <c r="AX252" s="157" t="n"/>
      <c r="AY252" s="157" t="n"/>
      <c r="AZ252" s="157" t="n"/>
      <c r="BA252" s="157" t="n"/>
      <c r="BB252" s="157" t="n"/>
      <c r="BC252" s="157" t="n"/>
      <c r="BD252" s="157" t="n"/>
      <c r="BE252" s="157" t="n"/>
      <c r="BF252" s="157" t="n"/>
      <c r="BG252" s="157" t="n"/>
      <c r="BH252" s="158" t="n"/>
      <c r="BI252" s="159" t="n"/>
      <c r="BJ252" s="23">
        <f>IFERROR(ISNUMBER(E252)*IF(ISNUMBER(D252),--(E252&lt;D252-0.5),1)+ISNUMBER(F252)*IF(ISNUMBER(E252),--(F252&lt;E252-0.5),1)+ISNUMBER(G252)*IF(ISNUMBER(F252),--(G252&lt;F252-0.5),1)+ISNUMBER(H252)*IF(ISNUMBER(G252),--(H252&lt;G252-0.5),1)+ISNUMBER(I252)*IF(ISNUMBER(H252),--(I252&lt;H252-0.5),1)+ISNUMBER(J252)*IF(ISNUMBER(I252),--(J252&lt;I252-0.5),1)+ISNUMBER(K252)*IF(ISNUMBER(J252),--(K252&lt;J252-0.5),1)+IF(AND(ISNUMBER(C252),C252&lt;0),1,0),1)</f>
        <v/>
      </c>
      <c r="BK252" s="23">
        <f>IFERROR(ISNUMBER(M252)*IF(ISNUMBER(L252),--(M252&lt;L252-0.5),1)+ISNUMBER(N252)*IF(ISNUMBER(M252),--(N252&lt;M252-0.5),1)+ISNUMBER(O252)*IF(ISNUMBER(N252),--(O252&lt;N252-0.5),1)+ISNUMBER(P252)*IF(ISNUMBER(O252),--(P252&lt;O252-0.5),1)+ISNUMBER(Q252)*IF(ISNUMBER(P252),--(Q252&lt;P252-0.5),1)+ISNUMBER(R252)*IF(ISNUMBER(Q252),--(R252&lt;Q252-0.5),1)+ISNUMBER(S252)*IF(ISNUMBER(R252),--(S252&lt;R252-0.5),1),1)</f>
        <v/>
      </c>
    </row>
    <row r="253">
      <c r="A253" s="23" t="n">
        <v>50</v>
      </c>
      <c r="B253" s="75" t="n">
        <v>1</v>
      </c>
      <c r="C253" s="157" t="n"/>
      <c r="D253" s="157" t="n"/>
      <c r="E253" s="157" t="n"/>
      <c r="F253" s="157" t="n"/>
      <c r="G253" s="157" t="n"/>
      <c r="H253" s="157" t="n"/>
      <c r="I253" s="157" t="n"/>
      <c r="J253" s="157" t="n"/>
      <c r="K253" s="157" t="n"/>
      <c r="L253" s="157" t="n"/>
      <c r="M253" s="157" t="n"/>
      <c r="N253" s="157" t="n"/>
      <c r="O253" s="157" t="n"/>
      <c r="P253" s="157" t="n"/>
      <c r="Q253" s="157" t="n"/>
      <c r="R253" s="157" t="n"/>
      <c r="S253" s="157" t="n"/>
      <c r="T253" s="157" t="n"/>
      <c r="U253" s="157" t="n"/>
      <c r="V253" s="157" t="n"/>
      <c r="W253" s="157" t="n"/>
      <c r="X253" s="157" t="n"/>
      <c r="Y253" s="157" t="n"/>
      <c r="Z253" s="157" t="n"/>
      <c r="AA253" s="157" t="n"/>
      <c r="AB253" s="157" t="n"/>
      <c r="AC253" s="157" t="n"/>
      <c r="AD253" s="157" t="n"/>
      <c r="AE253" s="157" t="n"/>
      <c r="AF253" s="157" t="n"/>
      <c r="AG253" s="157" t="n"/>
      <c r="AH253" s="157" t="n"/>
      <c r="AI253" s="157" t="n"/>
      <c r="AJ253" s="157" t="n"/>
      <c r="AK253" s="157" t="n"/>
      <c r="AL253" s="157" t="n"/>
      <c r="AM253" s="157" t="n"/>
      <c r="AN253" s="157" t="n"/>
      <c r="AO253" s="157" t="n"/>
      <c r="AP253" s="157" t="n"/>
      <c r="AQ253" s="157" t="n"/>
      <c r="AR253" s="157" t="n"/>
      <c r="AS253" s="157" t="n"/>
      <c r="AT253" s="157" t="n"/>
      <c r="AU253" s="157" t="n"/>
      <c r="AV253" s="157" t="n"/>
      <c r="AW253" s="157" t="n"/>
      <c r="AX253" s="157" t="n"/>
      <c r="AY253" s="157" t="n"/>
      <c r="AZ253" s="157" t="n"/>
      <c r="BA253" s="157" t="n"/>
      <c r="BB253" s="157" t="n"/>
      <c r="BC253" s="157" t="n"/>
      <c r="BD253" s="157" t="n"/>
      <c r="BE253" s="157" t="n"/>
      <c r="BF253" s="157" t="n"/>
      <c r="BG253" s="157" t="n"/>
      <c r="BH253" s="158" t="n"/>
      <c r="BI253" s="159" t="n"/>
      <c r="BJ253" s="23">
        <f>IFERROR(ISNUMBER(E253)*IF(ISNUMBER(D253),--(E253&lt;D253-0.5),1)+ISNUMBER(F253)*IF(ISNUMBER(E253),--(F253&lt;E253-0.5),1)+ISNUMBER(G253)*IF(ISNUMBER(F253),--(G253&lt;F253-0.5),1)+ISNUMBER(H253)*IF(ISNUMBER(G253),--(H253&lt;G253-0.5),1)+ISNUMBER(I253)*IF(ISNUMBER(H253),--(I253&lt;H253-0.5),1)+ISNUMBER(J253)*IF(ISNUMBER(I253),--(J253&lt;I253-0.5),1)+ISNUMBER(K253)*IF(ISNUMBER(J253),--(K253&lt;J253-0.5),1)+IF(AND(ISNUMBER(C253),C253&lt;0),1,0),1)</f>
        <v/>
      </c>
      <c r="BK253" s="23">
        <f>IFERROR(ISNUMBER(M253)*IF(ISNUMBER(L253),--(M253&lt;L253-0.5),1)+ISNUMBER(N253)*IF(ISNUMBER(M253),--(N253&lt;M253-0.5),1)+ISNUMBER(O253)*IF(ISNUMBER(N253),--(O253&lt;N253-0.5),1)+ISNUMBER(P253)*IF(ISNUMBER(O253),--(P253&lt;O253-0.5),1)+ISNUMBER(Q253)*IF(ISNUMBER(P253),--(Q253&lt;P253-0.5),1)+ISNUMBER(R253)*IF(ISNUMBER(Q253),--(R253&lt;Q253-0.5),1)+ISNUMBER(S253)*IF(ISNUMBER(R253),--(S253&lt;R253-0.5),1),1)</f>
        <v/>
      </c>
    </row>
    <row r="254">
      <c r="A254" s="23" t="n">
        <v>51</v>
      </c>
      <c r="B254" s="75" t="n">
        <v>1</v>
      </c>
      <c r="C254" s="157" t="n"/>
      <c r="D254" s="157" t="n"/>
      <c r="E254" s="157" t="n"/>
      <c r="F254" s="157" t="n"/>
      <c r="G254" s="157" t="n"/>
      <c r="H254" s="157" t="n"/>
      <c r="I254" s="157" t="n"/>
      <c r="J254" s="157" t="n"/>
      <c r="K254" s="157" t="n"/>
      <c r="L254" s="157" t="n"/>
      <c r="M254" s="157" t="n"/>
      <c r="N254" s="157" t="n"/>
      <c r="O254" s="157" t="n"/>
      <c r="P254" s="157" t="n"/>
      <c r="Q254" s="157" t="n"/>
      <c r="R254" s="157" t="n"/>
      <c r="S254" s="157" t="n"/>
      <c r="T254" s="157" t="n"/>
      <c r="U254" s="157" t="n"/>
      <c r="V254" s="157" t="n"/>
      <c r="W254" s="157" t="n"/>
      <c r="X254" s="157" t="n"/>
      <c r="Y254" s="157" t="n"/>
      <c r="Z254" s="157" t="n"/>
      <c r="AA254" s="157" t="n"/>
      <c r="AB254" s="157" t="n"/>
      <c r="AC254" s="157" t="n"/>
      <c r="AD254" s="157" t="n"/>
      <c r="AE254" s="157" t="n"/>
      <c r="AF254" s="157" t="n"/>
      <c r="AG254" s="157" t="n"/>
      <c r="AH254" s="157" t="n"/>
      <c r="AI254" s="157" t="n"/>
      <c r="AJ254" s="157" t="n"/>
      <c r="AK254" s="157" t="n"/>
      <c r="AL254" s="157" t="n"/>
      <c r="AM254" s="157" t="n"/>
      <c r="AN254" s="157" t="n"/>
      <c r="AO254" s="157" t="n"/>
      <c r="AP254" s="157" t="n"/>
      <c r="AQ254" s="157" t="n"/>
      <c r="AR254" s="157" t="n"/>
      <c r="AS254" s="157" t="n"/>
      <c r="AT254" s="157" t="n"/>
      <c r="AU254" s="157" t="n"/>
      <c r="AV254" s="157" t="n"/>
      <c r="AW254" s="157" t="n"/>
      <c r="AX254" s="157" t="n"/>
      <c r="AY254" s="157" t="n"/>
      <c r="AZ254" s="157" t="n"/>
      <c r="BA254" s="157" t="n"/>
      <c r="BB254" s="157" t="n"/>
      <c r="BC254" s="157" t="n"/>
      <c r="BD254" s="157" t="n"/>
      <c r="BE254" s="157" t="n"/>
      <c r="BF254" s="157" t="n"/>
      <c r="BG254" s="157" t="n"/>
      <c r="BH254" s="158" t="n"/>
      <c r="BI254" s="159" t="n"/>
      <c r="BJ254" s="23">
        <f>IFERROR(ISNUMBER(E254)*IF(ISNUMBER(D254),--(E254&lt;D254-0.5),1)+ISNUMBER(F254)*IF(ISNUMBER(E254),--(F254&lt;E254-0.5),1)+ISNUMBER(G254)*IF(ISNUMBER(F254),--(G254&lt;F254-0.5),1)+ISNUMBER(H254)*IF(ISNUMBER(G254),--(H254&lt;G254-0.5),1)+ISNUMBER(I254)*IF(ISNUMBER(H254),--(I254&lt;H254-0.5),1)+ISNUMBER(J254)*IF(ISNUMBER(I254),--(J254&lt;I254-0.5),1)+ISNUMBER(K254)*IF(ISNUMBER(J254),--(K254&lt;J254-0.5),1)+IF(AND(ISNUMBER(C254),C254&lt;0),1,0),1)</f>
        <v/>
      </c>
      <c r="BK254" s="23">
        <f>IFERROR(ISNUMBER(M254)*IF(ISNUMBER(L254),--(M254&lt;L254-0.5),1)+ISNUMBER(N254)*IF(ISNUMBER(M254),--(N254&lt;M254-0.5),1)+ISNUMBER(O254)*IF(ISNUMBER(N254),--(O254&lt;N254-0.5),1)+ISNUMBER(P254)*IF(ISNUMBER(O254),--(P254&lt;O254-0.5),1)+ISNUMBER(Q254)*IF(ISNUMBER(P254),--(Q254&lt;P254-0.5),1)+ISNUMBER(R254)*IF(ISNUMBER(Q254),--(R254&lt;Q254-0.5),1)+ISNUMBER(S254)*IF(ISNUMBER(R254),--(S254&lt;R254-0.5),1),1)</f>
        <v/>
      </c>
    </row>
    <row r="255">
      <c r="A255" s="23" t="n">
        <v>52</v>
      </c>
      <c r="B255" s="75" t="n">
        <v>1</v>
      </c>
      <c r="C255" s="157" t="n"/>
      <c r="D255" s="157" t="n"/>
      <c r="E255" s="157" t="n"/>
      <c r="F255" s="157" t="n"/>
      <c r="G255" s="157" t="n"/>
      <c r="H255" s="157" t="n"/>
      <c r="I255" s="157" t="n"/>
      <c r="J255" s="157" t="n"/>
      <c r="K255" s="157" t="n"/>
      <c r="L255" s="157" t="n"/>
      <c r="M255" s="157" t="n"/>
      <c r="N255" s="157" t="n"/>
      <c r="O255" s="157" t="n"/>
      <c r="P255" s="157" t="n"/>
      <c r="Q255" s="157" t="n"/>
      <c r="R255" s="157" t="n"/>
      <c r="S255" s="157" t="n"/>
      <c r="T255" s="157" t="n"/>
      <c r="U255" s="157" t="n"/>
      <c r="V255" s="157" t="n"/>
      <c r="W255" s="157" t="n"/>
      <c r="X255" s="157" t="n"/>
      <c r="Y255" s="157" t="n"/>
      <c r="Z255" s="157" t="n"/>
      <c r="AA255" s="157" t="n"/>
      <c r="AB255" s="157" t="n"/>
      <c r="AC255" s="157" t="n"/>
      <c r="AD255" s="157" t="n"/>
      <c r="AE255" s="157" t="n"/>
      <c r="AF255" s="157" t="n"/>
      <c r="AG255" s="157" t="n"/>
      <c r="AH255" s="157" t="n"/>
      <c r="AI255" s="157" t="n"/>
      <c r="AJ255" s="157" t="n"/>
      <c r="AK255" s="157" t="n"/>
      <c r="AL255" s="157" t="n"/>
      <c r="AM255" s="157" t="n"/>
      <c r="AN255" s="157" t="n"/>
      <c r="AO255" s="157" t="n"/>
      <c r="AP255" s="157" t="n"/>
      <c r="AQ255" s="157" t="n"/>
      <c r="AR255" s="157" t="n"/>
      <c r="AS255" s="157" t="n"/>
      <c r="AT255" s="157" t="n"/>
      <c r="AU255" s="157" t="n"/>
      <c r="AV255" s="157" t="n"/>
      <c r="AW255" s="157" t="n"/>
      <c r="AX255" s="157" t="n"/>
      <c r="AY255" s="157" t="n"/>
      <c r="AZ255" s="157" t="n"/>
      <c r="BA255" s="157" t="n"/>
      <c r="BB255" s="157" t="n"/>
      <c r="BC255" s="157" t="n"/>
      <c r="BD255" s="157" t="n"/>
      <c r="BE255" s="157" t="n"/>
      <c r="BF255" s="157" t="n"/>
      <c r="BG255" s="157" t="n"/>
      <c r="BH255" s="158" t="n"/>
      <c r="BI255" s="159" t="n"/>
      <c r="BJ255" s="23">
        <f>IFERROR(ISNUMBER(E255)*IF(ISNUMBER(D255),--(E255&lt;D255-0.5),1)+ISNUMBER(F255)*IF(ISNUMBER(E255),--(F255&lt;E255-0.5),1)+ISNUMBER(G255)*IF(ISNUMBER(F255),--(G255&lt;F255-0.5),1)+ISNUMBER(H255)*IF(ISNUMBER(G255),--(H255&lt;G255-0.5),1)+ISNUMBER(I255)*IF(ISNUMBER(H255),--(I255&lt;H255-0.5),1)+ISNUMBER(J255)*IF(ISNUMBER(I255),--(J255&lt;I255-0.5),1)+ISNUMBER(K255)*IF(ISNUMBER(J255),--(K255&lt;J255-0.5),1)+IF(AND(ISNUMBER(C255),C255&lt;0),1,0),1)</f>
        <v/>
      </c>
      <c r="BK255" s="23">
        <f>IFERROR(ISNUMBER(M255)*IF(ISNUMBER(L255),--(M255&lt;L255-0.5),1)+ISNUMBER(N255)*IF(ISNUMBER(M255),--(N255&lt;M255-0.5),1)+ISNUMBER(O255)*IF(ISNUMBER(N255),--(O255&lt;N255-0.5),1)+ISNUMBER(P255)*IF(ISNUMBER(O255),--(P255&lt;O255-0.5),1)+ISNUMBER(Q255)*IF(ISNUMBER(P255),--(Q255&lt;P255-0.5),1)+ISNUMBER(R255)*IF(ISNUMBER(Q255),--(R255&lt;Q255-0.5),1)+ISNUMBER(S255)*IF(ISNUMBER(R255),--(S255&lt;R255-0.5),1),1)</f>
        <v/>
      </c>
    </row>
    <row r="256">
      <c r="A256" s="23" t="n">
        <v>53</v>
      </c>
      <c r="B256" s="75" t="n">
        <v>1</v>
      </c>
      <c r="C256" s="157" t="n"/>
      <c r="D256" s="157" t="n"/>
      <c r="E256" s="157" t="n"/>
      <c r="F256" s="157" t="n"/>
      <c r="G256" s="157" t="n"/>
      <c r="H256" s="157" t="n"/>
      <c r="I256" s="157" t="n"/>
      <c r="J256" s="157" t="n"/>
      <c r="K256" s="157" t="n"/>
      <c r="L256" s="157" t="n"/>
      <c r="M256" s="157" t="n"/>
      <c r="N256" s="157" t="n"/>
      <c r="O256" s="157" t="n"/>
      <c r="P256" s="157" t="n"/>
      <c r="Q256" s="157" t="n"/>
      <c r="R256" s="157" t="n"/>
      <c r="S256" s="157" t="n"/>
      <c r="T256" s="157" t="n"/>
      <c r="U256" s="157" t="n"/>
      <c r="V256" s="157" t="n"/>
      <c r="W256" s="157" t="n"/>
      <c r="X256" s="157" t="n"/>
      <c r="Y256" s="157" t="n"/>
      <c r="Z256" s="157" t="n"/>
      <c r="AA256" s="157" t="n"/>
      <c r="AB256" s="157" t="n"/>
      <c r="AC256" s="157" t="n"/>
      <c r="AD256" s="157" t="n"/>
      <c r="AE256" s="157" t="n"/>
      <c r="AF256" s="157" t="n"/>
      <c r="AG256" s="157" t="n"/>
      <c r="AH256" s="157" t="n"/>
      <c r="AI256" s="157" t="n"/>
      <c r="AJ256" s="157" t="n"/>
      <c r="AK256" s="157" t="n"/>
      <c r="AL256" s="157" t="n"/>
      <c r="AM256" s="157" t="n"/>
      <c r="AN256" s="157" t="n"/>
      <c r="AO256" s="157" t="n"/>
      <c r="AP256" s="157" t="n"/>
      <c r="AQ256" s="157" t="n"/>
      <c r="AR256" s="157" t="n"/>
      <c r="AS256" s="157" t="n"/>
      <c r="AT256" s="157" t="n"/>
      <c r="AU256" s="157" t="n"/>
      <c r="AV256" s="157" t="n"/>
      <c r="AW256" s="157" t="n"/>
      <c r="AX256" s="157" t="n"/>
      <c r="AY256" s="157" t="n"/>
      <c r="AZ256" s="157" t="n"/>
      <c r="BA256" s="157" t="n"/>
      <c r="BB256" s="157" t="n"/>
      <c r="BC256" s="157" t="n"/>
      <c r="BD256" s="157" t="n"/>
      <c r="BE256" s="157" t="n"/>
      <c r="BF256" s="157" t="n"/>
      <c r="BG256" s="157" t="n"/>
      <c r="BH256" s="158" t="n"/>
      <c r="BI256" s="159" t="n"/>
      <c r="BJ256" s="23">
        <f>IFERROR(ISNUMBER(E256)*IF(ISNUMBER(D256),--(E256&lt;D256-0.5),1)+ISNUMBER(F256)*IF(ISNUMBER(E256),--(F256&lt;E256-0.5),1)+ISNUMBER(G256)*IF(ISNUMBER(F256),--(G256&lt;F256-0.5),1)+ISNUMBER(H256)*IF(ISNUMBER(G256),--(H256&lt;G256-0.5),1)+ISNUMBER(I256)*IF(ISNUMBER(H256),--(I256&lt;H256-0.5),1)+ISNUMBER(J256)*IF(ISNUMBER(I256),--(J256&lt;I256-0.5),1)+ISNUMBER(K256)*IF(ISNUMBER(J256),--(K256&lt;J256-0.5),1)+IF(AND(ISNUMBER(C256),C256&lt;0),1,0),1)</f>
        <v/>
      </c>
      <c r="BK256" s="23">
        <f>IFERROR(ISNUMBER(M256)*IF(ISNUMBER(L256),--(M256&lt;L256-0.5),1)+ISNUMBER(N256)*IF(ISNUMBER(M256),--(N256&lt;M256-0.5),1)+ISNUMBER(O256)*IF(ISNUMBER(N256),--(O256&lt;N256-0.5),1)+ISNUMBER(P256)*IF(ISNUMBER(O256),--(P256&lt;O256-0.5),1)+ISNUMBER(Q256)*IF(ISNUMBER(P256),--(Q256&lt;P256-0.5),1)+ISNUMBER(R256)*IF(ISNUMBER(Q256),--(R256&lt;Q256-0.5),1)+ISNUMBER(S256)*IF(ISNUMBER(R256),--(S256&lt;R256-0.5),1),1)</f>
        <v/>
      </c>
    </row>
    <row r="257">
      <c r="A257" s="23" t="n">
        <v>54</v>
      </c>
      <c r="B257" s="75" t="n">
        <v>1</v>
      </c>
      <c r="C257" s="157" t="n"/>
      <c r="D257" s="157" t="n"/>
      <c r="E257" s="157" t="n"/>
      <c r="F257" s="157" t="n"/>
      <c r="G257" s="157" t="n"/>
      <c r="H257" s="157" t="n"/>
      <c r="I257" s="157" t="n"/>
      <c r="J257" s="157" t="n"/>
      <c r="K257" s="157" t="n"/>
      <c r="L257" s="157" t="n"/>
      <c r="M257" s="157" t="n"/>
      <c r="N257" s="157" t="n"/>
      <c r="O257" s="157" t="n"/>
      <c r="P257" s="157" t="n"/>
      <c r="Q257" s="157" t="n"/>
      <c r="R257" s="157" t="n"/>
      <c r="S257" s="157" t="n"/>
      <c r="T257" s="157" t="n"/>
      <c r="U257" s="157" t="n"/>
      <c r="V257" s="157" t="n"/>
      <c r="W257" s="157" t="n"/>
      <c r="X257" s="157" t="n"/>
      <c r="Y257" s="157" t="n"/>
      <c r="Z257" s="157" t="n"/>
      <c r="AA257" s="157" t="n"/>
      <c r="AB257" s="157" t="n"/>
      <c r="AC257" s="157" t="n"/>
      <c r="AD257" s="157" t="n"/>
      <c r="AE257" s="157" t="n"/>
      <c r="AF257" s="157" t="n"/>
      <c r="AG257" s="157" t="n"/>
      <c r="AH257" s="157" t="n"/>
      <c r="AI257" s="157" t="n"/>
      <c r="AJ257" s="157" t="n"/>
      <c r="AK257" s="157" t="n"/>
      <c r="AL257" s="157" t="n"/>
      <c r="AM257" s="157" t="n"/>
      <c r="AN257" s="157" t="n"/>
      <c r="AO257" s="157" t="n"/>
      <c r="AP257" s="157" t="n"/>
      <c r="AQ257" s="157" t="n"/>
      <c r="AR257" s="157" t="n"/>
      <c r="AS257" s="157" t="n"/>
      <c r="AT257" s="157" t="n"/>
      <c r="AU257" s="157" t="n"/>
      <c r="AV257" s="157" t="n"/>
      <c r="AW257" s="157" t="n"/>
      <c r="AX257" s="157" t="n"/>
      <c r="AY257" s="157" t="n"/>
      <c r="AZ257" s="157" t="n"/>
      <c r="BA257" s="157" t="n"/>
      <c r="BB257" s="157" t="n"/>
      <c r="BC257" s="157" t="n"/>
      <c r="BD257" s="157" t="n"/>
      <c r="BE257" s="157" t="n"/>
      <c r="BF257" s="157" t="n"/>
      <c r="BG257" s="157" t="n"/>
      <c r="BH257" s="158" t="n"/>
      <c r="BI257" s="159" t="n"/>
      <c r="BJ257" s="23">
        <f>IFERROR(ISNUMBER(E257)*IF(ISNUMBER(D257),--(E257&lt;D257-0.5),1)+ISNUMBER(F257)*IF(ISNUMBER(E257),--(F257&lt;E257-0.5),1)+ISNUMBER(G257)*IF(ISNUMBER(F257),--(G257&lt;F257-0.5),1)+ISNUMBER(H257)*IF(ISNUMBER(G257),--(H257&lt;G257-0.5),1)+ISNUMBER(I257)*IF(ISNUMBER(H257),--(I257&lt;H257-0.5),1)+ISNUMBER(J257)*IF(ISNUMBER(I257),--(J257&lt;I257-0.5),1)+ISNUMBER(K257)*IF(ISNUMBER(J257),--(K257&lt;J257-0.5),1)+IF(AND(ISNUMBER(C257),C257&lt;0),1,0),1)</f>
        <v/>
      </c>
      <c r="BK257" s="23">
        <f>IFERROR(ISNUMBER(M257)*IF(ISNUMBER(L257),--(M257&lt;L257-0.5),1)+ISNUMBER(N257)*IF(ISNUMBER(M257),--(N257&lt;M257-0.5),1)+ISNUMBER(O257)*IF(ISNUMBER(N257),--(O257&lt;N257-0.5),1)+ISNUMBER(P257)*IF(ISNUMBER(O257),--(P257&lt;O257-0.5),1)+ISNUMBER(Q257)*IF(ISNUMBER(P257),--(Q257&lt;P257-0.5),1)+ISNUMBER(R257)*IF(ISNUMBER(Q257),--(R257&lt;Q257-0.5),1)+ISNUMBER(S257)*IF(ISNUMBER(R257),--(S257&lt;R257-0.5),1),1)</f>
        <v/>
      </c>
    </row>
    <row r="258">
      <c r="A258" s="23" t="n">
        <v>55</v>
      </c>
      <c r="B258" s="75" t="n">
        <v>1</v>
      </c>
      <c r="C258" s="157" t="n"/>
      <c r="D258" s="157" t="n"/>
      <c r="E258" s="157" t="n"/>
      <c r="F258" s="157" t="n"/>
      <c r="G258" s="157" t="n"/>
      <c r="H258" s="157" t="n"/>
      <c r="I258" s="157" t="n"/>
      <c r="J258" s="157" t="n"/>
      <c r="K258" s="157" t="n"/>
      <c r="L258" s="157" t="n"/>
      <c r="M258" s="157" t="n"/>
      <c r="N258" s="157" t="n"/>
      <c r="O258" s="157" t="n"/>
      <c r="P258" s="157" t="n"/>
      <c r="Q258" s="157" t="n"/>
      <c r="R258" s="157" t="n"/>
      <c r="S258" s="157" t="n"/>
      <c r="T258" s="157" t="n"/>
      <c r="U258" s="157" t="n"/>
      <c r="V258" s="157" t="n"/>
      <c r="W258" s="157" t="n"/>
      <c r="X258" s="157" t="n"/>
      <c r="Y258" s="157" t="n"/>
      <c r="Z258" s="157" t="n"/>
      <c r="AA258" s="157" t="n"/>
      <c r="AB258" s="157" t="n"/>
      <c r="AC258" s="157" t="n"/>
      <c r="AD258" s="157" t="n"/>
      <c r="AE258" s="157" t="n"/>
      <c r="AF258" s="157" t="n"/>
      <c r="AG258" s="157" t="n"/>
      <c r="AH258" s="157" t="n"/>
      <c r="AI258" s="157" t="n"/>
      <c r="AJ258" s="157" t="n"/>
      <c r="AK258" s="157" t="n"/>
      <c r="AL258" s="157" t="n"/>
      <c r="AM258" s="157" t="n"/>
      <c r="AN258" s="157" t="n"/>
      <c r="AO258" s="157" t="n"/>
      <c r="AP258" s="157" t="n"/>
      <c r="AQ258" s="157" t="n"/>
      <c r="AR258" s="157" t="n"/>
      <c r="AS258" s="157" t="n"/>
      <c r="AT258" s="157" t="n"/>
      <c r="AU258" s="157" t="n"/>
      <c r="AV258" s="157" t="n"/>
      <c r="AW258" s="157" t="n"/>
      <c r="AX258" s="157" t="n"/>
      <c r="AY258" s="157" t="n"/>
      <c r="AZ258" s="157" t="n"/>
      <c r="BA258" s="157" t="n"/>
      <c r="BB258" s="157" t="n"/>
      <c r="BC258" s="157" t="n"/>
      <c r="BD258" s="157" t="n"/>
      <c r="BE258" s="157" t="n"/>
      <c r="BF258" s="157" t="n"/>
      <c r="BG258" s="157" t="n"/>
      <c r="BH258" s="158" t="n"/>
      <c r="BI258" s="159" t="n"/>
      <c r="BJ258" s="23">
        <f>IFERROR(ISNUMBER(E258)*IF(ISNUMBER(D258),--(E258&lt;D258-0.5),1)+ISNUMBER(F258)*IF(ISNUMBER(E258),--(F258&lt;E258-0.5),1)+ISNUMBER(G258)*IF(ISNUMBER(F258),--(G258&lt;F258-0.5),1)+ISNUMBER(H258)*IF(ISNUMBER(G258),--(H258&lt;G258-0.5),1)+ISNUMBER(I258)*IF(ISNUMBER(H258),--(I258&lt;H258-0.5),1)+ISNUMBER(J258)*IF(ISNUMBER(I258),--(J258&lt;I258-0.5),1)+ISNUMBER(K258)*IF(ISNUMBER(J258),--(K258&lt;J258-0.5),1)+IF(AND(ISNUMBER(C258),C258&lt;0),1,0),1)</f>
        <v/>
      </c>
      <c r="BK258" s="23">
        <f>IFERROR(ISNUMBER(M258)*IF(ISNUMBER(L258),--(M258&lt;L258-0.5),1)+ISNUMBER(N258)*IF(ISNUMBER(M258),--(N258&lt;M258-0.5),1)+ISNUMBER(O258)*IF(ISNUMBER(N258),--(O258&lt;N258-0.5),1)+ISNUMBER(P258)*IF(ISNUMBER(O258),--(P258&lt;O258-0.5),1)+ISNUMBER(Q258)*IF(ISNUMBER(P258),--(Q258&lt;P258-0.5),1)+ISNUMBER(R258)*IF(ISNUMBER(Q258),--(R258&lt;Q258-0.5),1)+ISNUMBER(S258)*IF(ISNUMBER(R258),--(S258&lt;R258-0.5),1),1)</f>
        <v/>
      </c>
    </row>
    <row r="259">
      <c r="A259" s="23" t="n">
        <v>56</v>
      </c>
      <c r="B259" s="75" t="n">
        <v>1</v>
      </c>
      <c r="C259" s="157" t="n"/>
      <c r="D259" s="157" t="n"/>
      <c r="E259" s="157" t="n"/>
      <c r="F259" s="157" t="n"/>
      <c r="G259" s="157" t="n"/>
      <c r="H259" s="157" t="n"/>
      <c r="I259" s="157" t="n"/>
      <c r="J259" s="157" t="n"/>
      <c r="K259" s="157" t="n"/>
      <c r="L259" s="157" t="n"/>
      <c r="M259" s="157" t="n"/>
      <c r="N259" s="157" t="n"/>
      <c r="O259" s="157" t="n"/>
      <c r="P259" s="157" t="n"/>
      <c r="Q259" s="157" t="n"/>
      <c r="R259" s="157" t="n"/>
      <c r="S259" s="157" t="n"/>
      <c r="T259" s="157" t="n"/>
      <c r="U259" s="157" t="n"/>
      <c r="V259" s="157" t="n"/>
      <c r="W259" s="157" t="n"/>
      <c r="X259" s="157" t="n"/>
      <c r="Y259" s="157" t="n"/>
      <c r="Z259" s="157" t="n"/>
      <c r="AA259" s="157" t="n"/>
      <c r="AB259" s="157" t="n"/>
      <c r="AC259" s="157" t="n"/>
      <c r="AD259" s="157" t="n"/>
      <c r="AE259" s="157" t="n"/>
      <c r="AF259" s="157" t="n"/>
      <c r="AG259" s="157" t="n"/>
      <c r="AH259" s="157" t="n"/>
      <c r="AI259" s="157" t="n"/>
      <c r="AJ259" s="157" t="n"/>
      <c r="AK259" s="157" t="n"/>
      <c r="AL259" s="157" t="n"/>
      <c r="AM259" s="157" t="n"/>
      <c r="AN259" s="157" t="n"/>
      <c r="AO259" s="157" t="n"/>
      <c r="AP259" s="157" t="n"/>
      <c r="AQ259" s="157" t="n"/>
      <c r="AR259" s="157" t="n"/>
      <c r="AS259" s="157" t="n"/>
      <c r="AT259" s="157" t="n"/>
      <c r="AU259" s="157" t="n"/>
      <c r="AV259" s="157" t="n"/>
      <c r="AW259" s="157" t="n"/>
      <c r="AX259" s="157" t="n"/>
      <c r="AY259" s="157" t="n"/>
      <c r="AZ259" s="157" t="n"/>
      <c r="BA259" s="157" t="n"/>
      <c r="BB259" s="157" t="n"/>
      <c r="BC259" s="157" t="n"/>
      <c r="BD259" s="157" t="n"/>
      <c r="BE259" s="157" t="n"/>
      <c r="BF259" s="157" t="n"/>
      <c r="BG259" s="157" t="n"/>
      <c r="BH259" s="158" t="n"/>
      <c r="BI259" s="159" t="n"/>
      <c r="BJ259" s="23">
        <f>IFERROR(ISNUMBER(E259)*IF(ISNUMBER(D259),--(E259&lt;D259-0.5),1)+ISNUMBER(F259)*IF(ISNUMBER(E259),--(F259&lt;E259-0.5),1)+ISNUMBER(G259)*IF(ISNUMBER(F259),--(G259&lt;F259-0.5),1)+ISNUMBER(H259)*IF(ISNUMBER(G259),--(H259&lt;G259-0.5),1)+ISNUMBER(I259)*IF(ISNUMBER(H259),--(I259&lt;H259-0.5),1)+ISNUMBER(J259)*IF(ISNUMBER(I259),--(J259&lt;I259-0.5),1)+ISNUMBER(K259)*IF(ISNUMBER(J259),--(K259&lt;J259-0.5),1)+IF(AND(ISNUMBER(C259),C259&lt;0),1,0),1)</f>
        <v/>
      </c>
      <c r="BK259" s="23">
        <f>IFERROR(ISNUMBER(M259)*IF(ISNUMBER(L259),--(M259&lt;L259-0.5),1)+ISNUMBER(N259)*IF(ISNUMBER(M259),--(N259&lt;M259-0.5),1)+ISNUMBER(O259)*IF(ISNUMBER(N259),--(O259&lt;N259-0.5),1)+ISNUMBER(P259)*IF(ISNUMBER(O259),--(P259&lt;O259-0.5),1)+ISNUMBER(Q259)*IF(ISNUMBER(P259),--(Q259&lt;P259-0.5),1)+ISNUMBER(R259)*IF(ISNUMBER(Q259),--(R259&lt;Q259-0.5),1)+ISNUMBER(S259)*IF(ISNUMBER(R259),--(S259&lt;R259-0.5),1),1)</f>
        <v/>
      </c>
    </row>
    <row r="260">
      <c r="A260" s="23" t="n">
        <v>57</v>
      </c>
      <c r="B260" s="75" t="n">
        <v>1</v>
      </c>
      <c r="C260" s="157" t="n"/>
      <c r="D260" s="157" t="n"/>
      <c r="E260" s="157" t="n"/>
      <c r="F260" s="157" t="n"/>
      <c r="G260" s="157" t="n"/>
      <c r="H260" s="157" t="n"/>
      <c r="I260" s="157" t="n"/>
      <c r="J260" s="157" t="n"/>
      <c r="K260" s="157" t="n"/>
      <c r="L260" s="157" t="n"/>
      <c r="M260" s="157" t="n"/>
      <c r="N260" s="157" t="n"/>
      <c r="O260" s="157" t="n"/>
      <c r="P260" s="157" t="n"/>
      <c r="Q260" s="157" t="n"/>
      <c r="R260" s="157" t="n"/>
      <c r="S260" s="157" t="n"/>
      <c r="T260" s="157" t="n"/>
      <c r="U260" s="157" t="n"/>
      <c r="V260" s="157" t="n"/>
      <c r="W260" s="157" t="n"/>
      <c r="X260" s="157" t="n"/>
      <c r="Y260" s="157" t="n"/>
      <c r="Z260" s="157" t="n"/>
      <c r="AA260" s="157" t="n"/>
      <c r="AB260" s="157" t="n"/>
      <c r="AC260" s="157" t="n"/>
      <c r="AD260" s="157" t="n"/>
      <c r="AE260" s="157" t="n"/>
      <c r="AF260" s="157" t="n"/>
      <c r="AG260" s="157" t="n"/>
      <c r="AH260" s="157" t="n"/>
      <c r="AI260" s="157" t="n"/>
      <c r="AJ260" s="157" t="n"/>
      <c r="AK260" s="157" t="n"/>
      <c r="AL260" s="157" t="n"/>
      <c r="AM260" s="157" t="n"/>
      <c r="AN260" s="157" t="n"/>
      <c r="AO260" s="157" t="n"/>
      <c r="AP260" s="157" t="n"/>
      <c r="AQ260" s="157" t="n"/>
      <c r="AR260" s="157" t="n"/>
      <c r="AS260" s="157" t="n"/>
      <c r="AT260" s="157" t="n"/>
      <c r="AU260" s="157" t="n"/>
      <c r="AV260" s="157" t="n"/>
      <c r="AW260" s="157" t="n"/>
      <c r="AX260" s="157" t="n"/>
      <c r="AY260" s="157" t="n"/>
      <c r="AZ260" s="157" t="n"/>
      <c r="BA260" s="157" t="n"/>
      <c r="BB260" s="157" t="n"/>
      <c r="BC260" s="157" t="n"/>
      <c r="BD260" s="157" t="n"/>
      <c r="BE260" s="157" t="n"/>
      <c r="BF260" s="157" t="n"/>
      <c r="BG260" s="157" t="n"/>
      <c r="BH260" s="158" t="n"/>
      <c r="BI260" s="159" t="n"/>
      <c r="BJ260" s="23">
        <f>IFERROR(ISNUMBER(E260)*IF(ISNUMBER(D260),--(E260&lt;D260-0.5),1)+ISNUMBER(F260)*IF(ISNUMBER(E260),--(F260&lt;E260-0.5),1)+ISNUMBER(G260)*IF(ISNUMBER(F260),--(G260&lt;F260-0.5),1)+ISNUMBER(H260)*IF(ISNUMBER(G260),--(H260&lt;G260-0.5),1)+ISNUMBER(I260)*IF(ISNUMBER(H260),--(I260&lt;H260-0.5),1)+ISNUMBER(J260)*IF(ISNUMBER(I260),--(J260&lt;I260-0.5),1)+ISNUMBER(K260)*IF(ISNUMBER(J260),--(K260&lt;J260-0.5),1)+IF(AND(ISNUMBER(C260),C260&lt;0),1,0),1)</f>
        <v/>
      </c>
      <c r="BK260" s="23">
        <f>IFERROR(ISNUMBER(M260)*IF(ISNUMBER(L260),--(M260&lt;L260-0.5),1)+ISNUMBER(N260)*IF(ISNUMBER(M260),--(N260&lt;M260-0.5),1)+ISNUMBER(O260)*IF(ISNUMBER(N260),--(O260&lt;N260-0.5),1)+ISNUMBER(P260)*IF(ISNUMBER(O260),--(P260&lt;O260-0.5),1)+ISNUMBER(Q260)*IF(ISNUMBER(P260),--(Q260&lt;P260-0.5),1)+ISNUMBER(R260)*IF(ISNUMBER(Q260),--(R260&lt;Q260-0.5),1)+ISNUMBER(S260)*IF(ISNUMBER(R260),--(S260&lt;R260-0.5),1),1)</f>
        <v/>
      </c>
    </row>
    <row r="261">
      <c r="A261" s="23" t="n">
        <v>58</v>
      </c>
      <c r="B261" s="75" t="n">
        <v>1</v>
      </c>
      <c r="C261" s="157" t="n"/>
      <c r="D261" s="157" t="n"/>
      <c r="E261" s="157" t="n"/>
      <c r="F261" s="157" t="n"/>
      <c r="G261" s="157" t="n"/>
      <c r="H261" s="157" t="n"/>
      <c r="I261" s="157" t="n"/>
      <c r="J261" s="157" t="n"/>
      <c r="K261" s="157" t="n"/>
      <c r="L261" s="157" t="n"/>
      <c r="M261" s="157" t="n"/>
      <c r="N261" s="157" t="n"/>
      <c r="O261" s="157" t="n"/>
      <c r="P261" s="157" t="n"/>
      <c r="Q261" s="157" t="n"/>
      <c r="R261" s="157" t="n"/>
      <c r="S261" s="157" t="n"/>
      <c r="T261" s="157" t="n"/>
      <c r="U261" s="157" t="n"/>
      <c r="V261" s="157" t="n"/>
      <c r="W261" s="157" t="n"/>
      <c r="X261" s="157" t="n"/>
      <c r="Y261" s="157" t="n"/>
      <c r="Z261" s="157" t="n"/>
      <c r="AA261" s="157" t="n"/>
      <c r="AB261" s="157" t="n"/>
      <c r="AC261" s="157" t="n"/>
      <c r="AD261" s="157" t="n"/>
      <c r="AE261" s="157" t="n"/>
      <c r="AF261" s="157" t="n"/>
      <c r="AG261" s="157" t="n"/>
      <c r="AH261" s="157" t="n"/>
      <c r="AI261" s="157" t="n"/>
      <c r="AJ261" s="157" t="n"/>
      <c r="AK261" s="157" t="n"/>
      <c r="AL261" s="157" t="n"/>
      <c r="AM261" s="157" t="n"/>
      <c r="AN261" s="157" t="n"/>
      <c r="AO261" s="157" t="n"/>
      <c r="AP261" s="157" t="n"/>
      <c r="AQ261" s="157" t="n"/>
      <c r="AR261" s="157" t="n"/>
      <c r="AS261" s="157" t="n"/>
      <c r="AT261" s="157" t="n"/>
      <c r="AU261" s="157" t="n"/>
      <c r="AV261" s="157" t="n"/>
      <c r="AW261" s="157" t="n"/>
      <c r="AX261" s="157" t="n"/>
      <c r="AY261" s="157" t="n"/>
      <c r="AZ261" s="157" t="n"/>
      <c r="BA261" s="157" t="n"/>
      <c r="BB261" s="157" t="n"/>
      <c r="BC261" s="157" t="n"/>
      <c r="BD261" s="157" t="n"/>
      <c r="BE261" s="157" t="n"/>
      <c r="BF261" s="157" t="n"/>
      <c r="BG261" s="157" t="n"/>
      <c r="BH261" s="158" t="n"/>
      <c r="BI261" s="159" t="n"/>
      <c r="BJ261" s="23">
        <f>IFERROR(ISNUMBER(E261)*IF(ISNUMBER(D261),--(E261&lt;D261-0.5),1)+ISNUMBER(F261)*IF(ISNUMBER(E261),--(F261&lt;E261-0.5),1)+ISNUMBER(G261)*IF(ISNUMBER(F261),--(G261&lt;F261-0.5),1)+ISNUMBER(H261)*IF(ISNUMBER(G261),--(H261&lt;G261-0.5),1)+ISNUMBER(I261)*IF(ISNUMBER(H261),--(I261&lt;H261-0.5),1)+ISNUMBER(J261)*IF(ISNUMBER(I261),--(J261&lt;I261-0.5),1)+ISNUMBER(K261)*IF(ISNUMBER(J261),--(K261&lt;J261-0.5),1)+IF(AND(ISNUMBER(C261),C261&lt;0),1,0),1)</f>
        <v/>
      </c>
      <c r="BK261" s="23">
        <f>IFERROR(ISNUMBER(M261)*IF(ISNUMBER(L261),--(M261&lt;L261-0.5),1)+ISNUMBER(N261)*IF(ISNUMBER(M261),--(N261&lt;M261-0.5),1)+ISNUMBER(O261)*IF(ISNUMBER(N261),--(O261&lt;N261-0.5),1)+ISNUMBER(P261)*IF(ISNUMBER(O261),--(P261&lt;O261-0.5),1)+ISNUMBER(Q261)*IF(ISNUMBER(P261),--(Q261&lt;P261-0.5),1)+ISNUMBER(R261)*IF(ISNUMBER(Q261),--(R261&lt;Q261-0.5),1)+ISNUMBER(S261)*IF(ISNUMBER(R261),--(S261&lt;R261-0.5),1),1)</f>
        <v/>
      </c>
    </row>
    <row r="262">
      <c r="A262" s="23" t="n">
        <v>59</v>
      </c>
      <c r="B262" s="75" t="n">
        <v>1</v>
      </c>
      <c r="C262" s="157" t="n"/>
      <c r="D262" s="157" t="n"/>
      <c r="E262" s="157" t="n"/>
      <c r="F262" s="157" t="n"/>
      <c r="G262" s="157" t="n"/>
      <c r="H262" s="157" t="n"/>
      <c r="I262" s="157" t="n"/>
      <c r="J262" s="157" t="n"/>
      <c r="K262" s="157" t="n"/>
      <c r="L262" s="157" t="n"/>
      <c r="M262" s="157" t="n"/>
      <c r="N262" s="157" t="n"/>
      <c r="O262" s="157" t="n"/>
      <c r="P262" s="157" t="n"/>
      <c r="Q262" s="157" t="n"/>
      <c r="R262" s="157" t="n"/>
      <c r="S262" s="157" t="n"/>
      <c r="T262" s="157" t="n"/>
      <c r="U262" s="157" t="n"/>
      <c r="V262" s="157" t="n"/>
      <c r="W262" s="157" t="n"/>
      <c r="X262" s="157" t="n"/>
      <c r="Y262" s="157" t="n"/>
      <c r="Z262" s="157" t="n"/>
      <c r="AA262" s="157" t="n"/>
      <c r="AB262" s="157" t="n"/>
      <c r="AC262" s="157" t="n"/>
      <c r="AD262" s="157" t="n"/>
      <c r="AE262" s="157" t="n"/>
      <c r="AF262" s="157" t="n"/>
      <c r="AG262" s="157" t="n"/>
      <c r="AH262" s="157" t="n"/>
      <c r="AI262" s="157" t="n"/>
      <c r="AJ262" s="157" t="n"/>
      <c r="AK262" s="157" t="n"/>
      <c r="AL262" s="157" t="n"/>
      <c r="AM262" s="157" t="n"/>
      <c r="AN262" s="157" t="n"/>
      <c r="AO262" s="157" t="n"/>
      <c r="AP262" s="157" t="n"/>
      <c r="AQ262" s="157" t="n"/>
      <c r="AR262" s="157" t="n"/>
      <c r="AS262" s="157" t="n"/>
      <c r="AT262" s="157" t="n"/>
      <c r="AU262" s="157" t="n"/>
      <c r="AV262" s="157" t="n"/>
      <c r="AW262" s="157" t="n"/>
      <c r="AX262" s="157" t="n"/>
      <c r="AY262" s="157" t="n"/>
      <c r="AZ262" s="157" t="n"/>
      <c r="BA262" s="157" t="n"/>
      <c r="BB262" s="157" t="n"/>
      <c r="BC262" s="157" t="n"/>
      <c r="BD262" s="157" t="n"/>
      <c r="BE262" s="157" t="n"/>
      <c r="BF262" s="157" t="n"/>
      <c r="BG262" s="157" t="n"/>
      <c r="BH262" s="158" t="n"/>
      <c r="BI262" s="159" t="n"/>
      <c r="BJ262" s="23">
        <f>IFERROR(ISNUMBER(E262)*IF(ISNUMBER(D262),--(E262&lt;D262-0.5),1)+ISNUMBER(F262)*IF(ISNUMBER(E262),--(F262&lt;E262-0.5),1)+ISNUMBER(G262)*IF(ISNUMBER(F262),--(G262&lt;F262-0.5),1)+ISNUMBER(H262)*IF(ISNUMBER(G262),--(H262&lt;G262-0.5),1)+ISNUMBER(I262)*IF(ISNUMBER(H262),--(I262&lt;H262-0.5),1)+ISNUMBER(J262)*IF(ISNUMBER(I262),--(J262&lt;I262-0.5),1)+ISNUMBER(K262)*IF(ISNUMBER(J262),--(K262&lt;J262-0.5),1)+IF(AND(ISNUMBER(C262),C262&lt;0),1,0),1)</f>
        <v/>
      </c>
      <c r="BK262" s="23">
        <f>IFERROR(ISNUMBER(M262)*IF(ISNUMBER(L262),--(M262&lt;L262-0.5),1)+ISNUMBER(N262)*IF(ISNUMBER(M262),--(N262&lt;M262-0.5),1)+ISNUMBER(O262)*IF(ISNUMBER(N262),--(O262&lt;N262-0.5),1)+ISNUMBER(P262)*IF(ISNUMBER(O262),--(P262&lt;O262-0.5),1)+ISNUMBER(Q262)*IF(ISNUMBER(P262),--(Q262&lt;P262-0.5),1)+ISNUMBER(R262)*IF(ISNUMBER(Q262),--(R262&lt;Q262-0.5),1)+ISNUMBER(S262)*IF(ISNUMBER(R262),--(S262&lt;R262-0.5),1),1)</f>
        <v/>
      </c>
    </row>
    <row r="263">
      <c r="A263" s="23" t="n">
        <v>60</v>
      </c>
      <c r="B263" s="75" t="n">
        <v>1</v>
      </c>
      <c r="C263" s="157" t="n"/>
      <c r="D263" s="157" t="n"/>
      <c r="E263" s="157" t="n"/>
      <c r="F263" s="157" t="n"/>
      <c r="G263" s="157" t="n"/>
      <c r="H263" s="157" t="n"/>
      <c r="I263" s="157" t="n"/>
      <c r="J263" s="157" t="n"/>
      <c r="K263" s="157" t="n"/>
      <c r="L263" s="157" t="n"/>
      <c r="M263" s="157" t="n"/>
      <c r="N263" s="157" t="n"/>
      <c r="O263" s="157" t="n"/>
      <c r="P263" s="157" t="n"/>
      <c r="Q263" s="157" t="n"/>
      <c r="R263" s="157" t="n"/>
      <c r="S263" s="157" t="n"/>
      <c r="T263" s="157" t="n"/>
      <c r="U263" s="157" t="n"/>
      <c r="V263" s="157" t="n"/>
      <c r="W263" s="157" t="n"/>
      <c r="X263" s="157" t="n"/>
      <c r="Y263" s="157" t="n"/>
      <c r="Z263" s="157" t="n"/>
      <c r="AA263" s="157" t="n"/>
      <c r="AB263" s="157" t="n"/>
      <c r="AC263" s="157" t="n"/>
      <c r="AD263" s="157" t="n"/>
      <c r="AE263" s="157" t="n"/>
      <c r="AF263" s="157" t="n"/>
      <c r="AG263" s="157" t="n"/>
      <c r="AH263" s="157" t="n"/>
      <c r="AI263" s="157" t="n"/>
      <c r="AJ263" s="157" t="n"/>
      <c r="AK263" s="157" t="n"/>
      <c r="AL263" s="157" t="n"/>
      <c r="AM263" s="157" t="n"/>
      <c r="AN263" s="157" t="n"/>
      <c r="AO263" s="157" t="n"/>
      <c r="AP263" s="157" t="n"/>
      <c r="AQ263" s="157" t="n"/>
      <c r="AR263" s="157" t="n"/>
      <c r="AS263" s="157" t="n"/>
      <c r="AT263" s="157" t="n"/>
      <c r="AU263" s="157" t="n"/>
      <c r="AV263" s="157" t="n"/>
      <c r="AW263" s="157" t="n"/>
      <c r="AX263" s="157" t="n"/>
      <c r="AY263" s="157" t="n"/>
      <c r="AZ263" s="157" t="n"/>
      <c r="BA263" s="157" t="n"/>
      <c r="BB263" s="157" t="n"/>
      <c r="BC263" s="157" t="n"/>
      <c r="BD263" s="157" t="n"/>
      <c r="BE263" s="157" t="n"/>
      <c r="BF263" s="157" t="n"/>
      <c r="BG263" s="157" t="n"/>
      <c r="BH263" s="158" t="n"/>
      <c r="BI263" s="159" t="n"/>
      <c r="BJ263" s="23">
        <f>IFERROR(ISNUMBER(E263)*IF(ISNUMBER(D263),--(E263&lt;D263-0.5),1)+ISNUMBER(F263)*IF(ISNUMBER(E263),--(F263&lt;E263-0.5),1)+ISNUMBER(G263)*IF(ISNUMBER(F263),--(G263&lt;F263-0.5),1)+ISNUMBER(H263)*IF(ISNUMBER(G263),--(H263&lt;G263-0.5),1)+ISNUMBER(I263)*IF(ISNUMBER(H263),--(I263&lt;H263-0.5),1)+ISNUMBER(J263)*IF(ISNUMBER(I263),--(J263&lt;I263-0.5),1)+ISNUMBER(K263)*IF(ISNUMBER(J263),--(K263&lt;J263-0.5),1)+IF(AND(ISNUMBER(C263),C263&lt;0),1,0),1)</f>
        <v/>
      </c>
      <c r="BK263" s="23">
        <f>IFERROR(ISNUMBER(M263)*IF(ISNUMBER(L263),--(M263&lt;L263-0.5),1)+ISNUMBER(N263)*IF(ISNUMBER(M263),--(N263&lt;M263-0.5),1)+ISNUMBER(O263)*IF(ISNUMBER(N263),--(O263&lt;N263-0.5),1)+ISNUMBER(P263)*IF(ISNUMBER(O263),--(P263&lt;O263-0.5),1)+ISNUMBER(Q263)*IF(ISNUMBER(P263),--(Q263&lt;P263-0.5),1)+ISNUMBER(R263)*IF(ISNUMBER(Q263),--(R263&lt;Q263-0.5),1)+ISNUMBER(S263)*IF(ISNUMBER(R263),--(S263&lt;R263-0.5),1),1)</f>
        <v/>
      </c>
    </row>
    <row r="264"/>
    <row r="265"/>
    <row r="266">
      <c r="A266" s="111" t="inlineStr">
        <is>
          <t>Tier 5: Solar inverter + lithium (~3 kWp / 10 kWh)</t>
        </is>
      </c>
    </row>
    <row r="267">
      <c r="D267" s="151" t="inlineStr">
        <is>
          <t>Cumulative collections</t>
        </is>
      </c>
      <c r="L267" s="151" t="inlineStr">
        <is>
          <t>Cumulative instalments due</t>
        </is>
      </c>
      <c r="T267" s="151" t="inlineStr">
        <is>
          <t>30+ DPD exposure (arrears incl. written off + outstanding)</t>
        </is>
      </c>
      <c r="AB267" s="151" t="inlineStr">
        <is>
          <t>90+ DPD exposure (arrears incl. written off + outstanding)</t>
        </is>
      </c>
      <c r="AJ267" s="151" t="inlineStr">
        <is>
          <t>180+ default exposure (cumulative)</t>
        </is>
      </c>
      <c r="AR267" s="151" t="inlineStr">
        <is>
          <t>Cumulative recoveries (net)</t>
        </is>
      </c>
      <c r="AZ267" s="151" t="inlineStr">
        <is>
          <t>Active accounts</t>
        </is>
      </c>
    </row>
    <row r="268">
      <c r="A268" s="40" t="inlineStr">
        <is>
          <t>Cohort #</t>
        </is>
      </c>
      <c r="B268" s="40" t="inlineStr">
        <is>
          <t>Mode</t>
        </is>
      </c>
      <c r="C268" s="40" t="inlineStr">
        <is>
          <t>Units originated</t>
        </is>
      </c>
      <c r="D268" s="40" t="inlineStr">
        <is>
          <t>M3</t>
        </is>
      </c>
      <c r="E268" s="40" t="inlineStr">
        <is>
          <t>M6</t>
        </is>
      </c>
      <c r="F268" s="40" t="inlineStr">
        <is>
          <t>M12</t>
        </is>
      </c>
      <c r="G268" s="40" t="inlineStr">
        <is>
          <t>M18</t>
        </is>
      </c>
      <c r="H268" s="40" t="inlineStr">
        <is>
          <t>M24</t>
        </is>
      </c>
      <c r="I268" s="40" t="inlineStr">
        <is>
          <t>M36</t>
        </is>
      </c>
      <c r="J268" s="40" t="inlineStr">
        <is>
          <t>M48</t>
        </is>
      </c>
      <c r="K268" s="40" t="inlineStr">
        <is>
          <t>M60</t>
        </is>
      </c>
      <c r="L268" s="40" t="inlineStr">
        <is>
          <t>M3</t>
        </is>
      </c>
      <c r="M268" s="40" t="inlineStr">
        <is>
          <t>M6</t>
        </is>
      </c>
      <c r="N268" s="40" t="inlineStr">
        <is>
          <t>M12</t>
        </is>
      </c>
      <c r="O268" s="40" t="inlineStr">
        <is>
          <t>M18</t>
        </is>
      </c>
      <c r="P268" s="40" t="inlineStr">
        <is>
          <t>M24</t>
        </is>
      </c>
      <c r="Q268" s="40" t="inlineStr">
        <is>
          <t>M36</t>
        </is>
      </c>
      <c r="R268" s="40" t="inlineStr">
        <is>
          <t>M48</t>
        </is>
      </c>
      <c r="S268" s="40" t="inlineStr">
        <is>
          <t>M60</t>
        </is>
      </c>
      <c r="T268" s="40" t="inlineStr">
        <is>
          <t>M3</t>
        </is>
      </c>
      <c r="U268" s="40" t="inlineStr">
        <is>
          <t>M6</t>
        </is>
      </c>
      <c r="V268" s="40" t="inlineStr">
        <is>
          <t>M12</t>
        </is>
      </c>
      <c r="W268" s="40" t="inlineStr">
        <is>
          <t>M18</t>
        </is>
      </c>
      <c r="X268" s="40" t="inlineStr">
        <is>
          <t>M24</t>
        </is>
      </c>
      <c r="Y268" s="40" t="inlineStr">
        <is>
          <t>M36</t>
        </is>
      </c>
      <c r="Z268" s="40" t="inlineStr">
        <is>
          <t>M48</t>
        </is>
      </c>
      <c r="AA268" s="40" t="inlineStr">
        <is>
          <t>M60</t>
        </is>
      </c>
      <c r="AB268" s="40" t="inlineStr">
        <is>
          <t>M3</t>
        </is>
      </c>
      <c r="AC268" s="40" t="inlineStr">
        <is>
          <t>M6</t>
        </is>
      </c>
      <c r="AD268" s="40" t="inlineStr">
        <is>
          <t>M12</t>
        </is>
      </c>
      <c r="AE268" s="40" t="inlineStr">
        <is>
          <t>M18</t>
        </is>
      </c>
      <c r="AF268" s="40" t="inlineStr">
        <is>
          <t>M24</t>
        </is>
      </c>
      <c r="AG268" s="40" t="inlineStr">
        <is>
          <t>M36</t>
        </is>
      </c>
      <c r="AH268" s="40" t="inlineStr">
        <is>
          <t>M48</t>
        </is>
      </c>
      <c r="AI268" s="40" t="inlineStr">
        <is>
          <t>M60</t>
        </is>
      </c>
      <c r="AJ268" s="40" t="inlineStr">
        <is>
          <t>M3</t>
        </is>
      </c>
      <c r="AK268" s="40" t="inlineStr">
        <is>
          <t>M6</t>
        </is>
      </c>
      <c r="AL268" s="40" t="inlineStr">
        <is>
          <t>M12</t>
        </is>
      </c>
      <c r="AM268" s="40" t="inlineStr">
        <is>
          <t>M18</t>
        </is>
      </c>
      <c r="AN268" s="40" t="inlineStr">
        <is>
          <t>M24</t>
        </is>
      </c>
      <c r="AO268" s="40" t="inlineStr">
        <is>
          <t>M36</t>
        </is>
      </c>
      <c r="AP268" s="40" t="inlineStr">
        <is>
          <t>M48</t>
        </is>
      </c>
      <c r="AQ268" s="40" t="inlineStr">
        <is>
          <t>M60</t>
        </is>
      </c>
      <c r="AR268" s="40" t="inlineStr">
        <is>
          <t>M3</t>
        </is>
      </c>
      <c r="AS268" s="40" t="inlineStr">
        <is>
          <t>M6</t>
        </is>
      </c>
      <c r="AT268" s="40" t="inlineStr">
        <is>
          <t>M12</t>
        </is>
      </c>
      <c r="AU268" s="40" t="inlineStr">
        <is>
          <t>M18</t>
        </is>
      </c>
      <c r="AV268" s="40" t="inlineStr">
        <is>
          <t>M24</t>
        </is>
      </c>
      <c r="AW268" s="40" t="inlineStr">
        <is>
          <t>M36</t>
        </is>
      </c>
      <c r="AX268" s="40" t="inlineStr">
        <is>
          <t>M48</t>
        </is>
      </c>
      <c r="AY268" s="40" t="inlineStr">
        <is>
          <t>M60</t>
        </is>
      </c>
      <c r="AZ268" s="40" t="inlineStr">
        <is>
          <t>M3</t>
        </is>
      </c>
      <c r="BA268" s="40" t="inlineStr">
        <is>
          <t>M6</t>
        </is>
      </c>
      <c r="BB268" s="40" t="inlineStr">
        <is>
          <t>M12</t>
        </is>
      </c>
      <c r="BC268" s="40" t="inlineStr">
        <is>
          <t>M18</t>
        </is>
      </c>
      <c r="BD268" s="40" t="inlineStr">
        <is>
          <t>M24</t>
        </is>
      </c>
      <c r="BE268" s="40" t="inlineStr">
        <is>
          <t>M36</t>
        </is>
      </c>
      <c r="BF268" s="40" t="inlineStr">
        <is>
          <t>M48</t>
        </is>
      </c>
      <c r="BG268" s="40" t="inlineStr">
        <is>
          <t>M60</t>
        </is>
      </c>
      <c r="BH268" s="40" t="inlineStr">
        <is>
          <t>Ownership at 2x (%)</t>
        </is>
      </c>
      <c r="BI268" s="40" t="inlineStr">
        <is>
          <t>Notes</t>
        </is>
      </c>
      <c r="BJ268" s="40" t="inlineStr">
        <is>
          <t>Check: collections, units (0 = OK)</t>
        </is>
      </c>
      <c r="BK268" s="40" t="inlineStr">
        <is>
          <t>Check: instalments due (0 = OK)</t>
        </is>
      </c>
    </row>
    <row r="269">
      <c r="A269" s="23" t="n">
        <v>1</v>
      </c>
      <c r="B269" s="75" t="n">
        <v>1</v>
      </c>
      <c r="C269" s="157" t="n"/>
      <c r="D269" s="157" t="n"/>
      <c r="E269" s="157" t="n"/>
      <c r="F269" s="157" t="n"/>
      <c r="G269" s="157" t="n"/>
      <c r="H269" s="157" t="n"/>
      <c r="I269" s="157" t="n"/>
      <c r="J269" s="157" t="n"/>
      <c r="K269" s="157" t="n"/>
      <c r="L269" s="157" t="n"/>
      <c r="M269" s="157" t="n"/>
      <c r="N269" s="157" t="n"/>
      <c r="O269" s="157" t="n"/>
      <c r="P269" s="157" t="n"/>
      <c r="Q269" s="157" t="n"/>
      <c r="R269" s="157" t="n"/>
      <c r="S269" s="157" t="n"/>
      <c r="T269" s="157" t="n"/>
      <c r="U269" s="157" t="n"/>
      <c r="V269" s="157" t="n"/>
      <c r="W269" s="157" t="n"/>
      <c r="X269" s="157" t="n"/>
      <c r="Y269" s="157" t="n"/>
      <c r="Z269" s="157" t="n"/>
      <c r="AA269" s="157" t="n"/>
      <c r="AB269" s="157" t="n"/>
      <c r="AC269" s="157" t="n"/>
      <c r="AD269" s="157" t="n"/>
      <c r="AE269" s="157" t="n"/>
      <c r="AF269" s="157" t="n"/>
      <c r="AG269" s="157" t="n"/>
      <c r="AH269" s="157" t="n"/>
      <c r="AI269" s="157" t="n"/>
      <c r="AJ269" s="157" t="n"/>
      <c r="AK269" s="157" t="n"/>
      <c r="AL269" s="157" t="n"/>
      <c r="AM269" s="157" t="n"/>
      <c r="AN269" s="157" t="n"/>
      <c r="AO269" s="157" t="n"/>
      <c r="AP269" s="157" t="n"/>
      <c r="AQ269" s="157" t="n"/>
      <c r="AR269" s="157" t="n"/>
      <c r="AS269" s="157" t="n"/>
      <c r="AT269" s="157" t="n"/>
      <c r="AU269" s="157" t="n"/>
      <c r="AV269" s="157" t="n"/>
      <c r="AW269" s="157" t="n"/>
      <c r="AX269" s="157" t="n"/>
      <c r="AY269" s="157" t="n"/>
      <c r="AZ269" s="157" t="n"/>
      <c r="BA269" s="157" t="n"/>
      <c r="BB269" s="157" t="n"/>
      <c r="BC269" s="157" t="n"/>
      <c r="BD269" s="157" t="n"/>
      <c r="BE269" s="157" t="n"/>
      <c r="BF269" s="157" t="n"/>
      <c r="BG269" s="157" t="n"/>
      <c r="BH269" s="158" t="n"/>
      <c r="BI269" s="159" t="n"/>
      <c r="BJ269" s="23">
        <f>IFERROR(ISNUMBER(E269)*IF(ISNUMBER(D269),--(E269&lt;D269-0.5),1)+ISNUMBER(F269)*IF(ISNUMBER(E269),--(F269&lt;E269-0.5),1)+ISNUMBER(G269)*IF(ISNUMBER(F269),--(G269&lt;F269-0.5),1)+ISNUMBER(H269)*IF(ISNUMBER(G269),--(H269&lt;G269-0.5),1)+ISNUMBER(I269)*IF(ISNUMBER(H269),--(I269&lt;H269-0.5),1)+ISNUMBER(J269)*IF(ISNUMBER(I269),--(J269&lt;I269-0.5),1)+ISNUMBER(K269)*IF(ISNUMBER(J269),--(K269&lt;J269-0.5),1)+IF(AND(ISNUMBER(C269),C269&lt;0),1,0),1)</f>
        <v/>
      </c>
      <c r="BK269" s="23">
        <f>IFERROR(ISNUMBER(M269)*IF(ISNUMBER(L269),--(M269&lt;L269-0.5),1)+ISNUMBER(N269)*IF(ISNUMBER(M269),--(N269&lt;M269-0.5),1)+ISNUMBER(O269)*IF(ISNUMBER(N269),--(O269&lt;N269-0.5),1)+ISNUMBER(P269)*IF(ISNUMBER(O269),--(P269&lt;O269-0.5),1)+ISNUMBER(Q269)*IF(ISNUMBER(P269),--(Q269&lt;P269-0.5),1)+ISNUMBER(R269)*IF(ISNUMBER(Q269),--(R269&lt;Q269-0.5),1)+ISNUMBER(S269)*IF(ISNUMBER(R269),--(S269&lt;R269-0.5),1),1)</f>
        <v/>
      </c>
    </row>
    <row r="270">
      <c r="A270" s="23" t="n">
        <v>2</v>
      </c>
      <c r="B270" s="75" t="n">
        <v>1</v>
      </c>
      <c r="C270" s="157" t="n"/>
      <c r="D270" s="157" t="n"/>
      <c r="E270" s="157" t="n"/>
      <c r="F270" s="157" t="n"/>
      <c r="G270" s="157" t="n"/>
      <c r="H270" s="157" t="n"/>
      <c r="I270" s="157" t="n"/>
      <c r="J270" s="157" t="n"/>
      <c r="K270" s="157" t="n"/>
      <c r="L270" s="157" t="n"/>
      <c r="M270" s="157" t="n"/>
      <c r="N270" s="157" t="n"/>
      <c r="O270" s="157" t="n"/>
      <c r="P270" s="157" t="n"/>
      <c r="Q270" s="157" t="n"/>
      <c r="R270" s="157" t="n"/>
      <c r="S270" s="157" t="n"/>
      <c r="T270" s="157" t="n"/>
      <c r="U270" s="157" t="n"/>
      <c r="V270" s="157" t="n"/>
      <c r="W270" s="157" t="n"/>
      <c r="X270" s="157" t="n"/>
      <c r="Y270" s="157" t="n"/>
      <c r="Z270" s="157" t="n"/>
      <c r="AA270" s="157" t="n"/>
      <c r="AB270" s="157" t="n"/>
      <c r="AC270" s="157" t="n"/>
      <c r="AD270" s="157" t="n"/>
      <c r="AE270" s="157" t="n"/>
      <c r="AF270" s="157" t="n"/>
      <c r="AG270" s="157" t="n"/>
      <c r="AH270" s="157" t="n"/>
      <c r="AI270" s="157" t="n"/>
      <c r="AJ270" s="157" t="n"/>
      <c r="AK270" s="157" t="n"/>
      <c r="AL270" s="157" t="n"/>
      <c r="AM270" s="157" t="n"/>
      <c r="AN270" s="157" t="n"/>
      <c r="AO270" s="157" t="n"/>
      <c r="AP270" s="157" t="n"/>
      <c r="AQ270" s="157" t="n"/>
      <c r="AR270" s="157" t="n"/>
      <c r="AS270" s="157" t="n"/>
      <c r="AT270" s="157" t="n"/>
      <c r="AU270" s="157" t="n"/>
      <c r="AV270" s="157" t="n"/>
      <c r="AW270" s="157" t="n"/>
      <c r="AX270" s="157" t="n"/>
      <c r="AY270" s="157" t="n"/>
      <c r="AZ270" s="157" t="n"/>
      <c r="BA270" s="157" t="n"/>
      <c r="BB270" s="157" t="n"/>
      <c r="BC270" s="157" t="n"/>
      <c r="BD270" s="157" t="n"/>
      <c r="BE270" s="157" t="n"/>
      <c r="BF270" s="157" t="n"/>
      <c r="BG270" s="157" t="n"/>
      <c r="BH270" s="158" t="n"/>
      <c r="BI270" s="159" t="n"/>
      <c r="BJ270" s="23">
        <f>IFERROR(ISNUMBER(E270)*IF(ISNUMBER(D270),--(E270&lt;D270-0.5),1)+ISNUMBER(F270)*IF(ISNUMBER(E270),--(F270&lt;E270-0.5),1)+ISNUMBER(G270)*IF(ISNUMBER(F270),--(G270&lt;F270-0.5),1)+ISNUMBER(H270)*IF(ISNUMBER(G270),--(H270&lt;G270-0.5),1)+ISNUMBER(I270)*IF(ISNUMBER(H270),--(I270&lt;H270-0.5),1)+ISNUMBER(J270)*IF(ISNUMBER(I270),--(J270&lt;I270-0.5),1)+ISNUMBER(K270)*IF(ISNUMBER(J270),--(K270&lt;J270-0.5),1)+IF(AND(ISNUMBER(C270),C270&lt;0),1,0),1)</f>
        <v/>
      </c>
      <c r="BK270" s="23">
        <f>IFERROR(ISNUMBER(M270)*IF(ISNUMBER(L270),--(M270&lt;L270-0.5),1)+ISNUMBER(N270)*IF(ISNUMBER(M270),--(N270&lt;M270-0.5),1)+ISNUMBER(O270)*IF(ISNUMBER(N270),--(O270&lt;N270-0.5),1)+ISNUMBER(P270)*IF(ISNUMBER(O270),--(P270&lt;O270-0.5),1)+ISNUMBER(Q270)*IF(ISNUMBER(P270),--(Q270&lt;P270-0.5),1)+ISNUMBER(R270)*IF(ISNUMBER(Q270),--(R270&lt;Q270-0.5),1)+ISNUMBER(S270)*IF(ISNUMBER(R270),--(S270&lt;R270-0.5),1),1)</f>
        <v/>
      </c>
    </row>
    <row r="271">
      <c r="A271" s="23" t="n">
        <v>3</v>
      </c>
      <c r="B271" s="75" t="n">
        <v>1</v>
      </c>
      <c r="C271" s="157" t="n"/>
      <c r="D271" s="157" t="n"/>
      <c r="E271" s="157" t="n"/>
      <c r="F271" s="157" t="n"/>
      <c r="G271" s="157" t="n"/>
      <c r="H271" s="157" t="n"/>
      <c r="I271" s="157" t="n"/>
      <c r="J271" s="157" t="n"/>
      <c r="K271" s="157" t="n"/>
      <c r="L271" s="157" t="n"/>
      <c r="M271" s="157" t="n"/>
      <c r="N271" s="157" t="n"/>
      <c r="O271" s="157" t="n"/>
      <c r="P271" s="157" t="n"/>
      <c r="Q271" s="157" t="n"/>
      <c r="R271" s="157" t="n"/>
      <c r="S271" s="157" t="n"/>
      <c r="T271" s="157" t="n"/>
      <c r="U271" s="157" t="n"/>
      <c r="V271" s="157" t="n"/>
      <c r="W271" s="157" t="n"/>
      <c r="X271" s="157" t="n"/>
      <c r="Y271" s="157" t="n"/>
      <c r="Z271" s="157" t="n"/>
      <c r="AA271" s="157" t="n"/>
      <c r="AB271" s="157" t="n"/>
      <c r="AC271" s="157" t="n"/>
      <c r="AD271" s="157" t="n"/>
      <c r="AE271" s="157" t="n"/>
      <c r="AF271" s="157" t="n"/>
      <c r="AG271" s="157" t="n"/>
      <c r="AH271" s="157" t="n"/>
      <c r="AI271" s="157" t="n"/>
      <c r="AJ271" s="157" t="n"/>
      <c r="AK271" s="157" t="n"/>
      <c r="AL271" s="157" t="n"/>
      <c r="AM271" s="157" t="n"/>
      <c r="AN271" s="157" t="n"/>
      <c r="AO271" s="157" t="n"/>
      <c r="AP271" s="157" t="n"/>
      <c r="AQ271" s="157" t="n"/>
      <c r="AR271" s="157" t="n"/>
      <c r="AS271" s="157" t="n"/>
      <c r="AT271" s="157" t="n"/>
      <c r="AU271" s="157" t="n"/>
      <c r="AV271" s="157" t="n"/>
      <c r="AW271" s="157" t="n"/>
      <c r="AX271" s="157" t="n"/>
      <c r="AY271" s="157" t="n"/>
      <c r="AZ271" s="157" t="n"/>
      <c r="BA271" s="157" t="n"/>
      <c r="BB271" s="157" t="n"/>
      <c r="BC271" s="157" t="n"/>
      <c r="BD271" s="157" t="n"/>
      <c r="BE271" s="157" t="n"/>
      <c r="BF271" s="157" t="n"/>
      <c r="BG271" s="157" t="n"/>
      <c r="BH271" s="158" t="n"/>
      <c r="BI271" s="159" t="n"/>
      <c r="BJ271" s="23">
        <f>IFERROR(ISNUMBER(E271)*IF(ISNUMBER(D271),--(E271&lt;D271-0.5),1)+ISNUMBER(F271)*IF(ISNUMBER(E271),--(F271&lt;E271-0.5),1)+ISNUMBER(G271)*IF(ISNUMBER(F271),--(G271&lt;F271-0.5),1)+ISNUMBER(H271)*IF(ISNUMBER(G271),--(H271&lt;G271-0.5),1)+ISNUMBER(I271)*IF(ISNUMBER(H271),--(I271&lt;H271-0.5),1)+ISNUMBER(J271)*IF(ISNUMBER(I271),--(J271&lt;I271-0.5),1)+ISNUMBER(K271)*IF(ISNUMBER(J271),--(K271&lt;J271-0.5),1)+IF(AND(ISNUMBER(C271),C271&lt;0),1,0),1)</f>
        <v/>
      </c>
      <c r="BK271" s="23">
        <f>IFERROR(ISNUMBER(M271)*IF(ISNUMBER(L271),--(M271&lt;L271-0.5),1)+ISNUMBER(N271)*IF(ISNUMBER(M271),--(N271&lt;M271-0.5),1)+ISNUMBER(O271)*IF(ISNUMBER(N271),--(O271&lt;N271-0.5),1)+ISNUMBER(P271)*IF(ISNUMBER(O271),--(P271&lt;O271-0.5),1)+ISNUMBER(Q271)*IF(ISNUMBER(P271),--(Q271&lt;P271-0.5),1)+ISNUMBER(R271)*IF(ISNUMBER(Q271),--(R271&lt;Q271-0.5),1)+ISNUMBER(S271)*IF(ISNUMBER(R271),--(S271&lt;R271-0.5),1),1)</f>
        <v/>
      </c>
    </row>
    <row r="272">
      <c r="A272" s="23" t="n">
        <v>4</v>
      </c>
      <c r="B272" s="75" t="n">
        <v>1</v>
      </c>
      <c r="C272" s="157" t="n"/>
      <c r="D272" s="157" t="n"/>
      <c r="E272" s="157" t="n"/>
      <c r="F272" s="157" t="n"/>
      <c r="G272" s="157" t="n"/>
      <c r="H272" s="157" t="n"/>
      <c r="I272" s="157" t="n"/>
      <c r="J272" s="157" t="n"/>
      <c r="K272" s="157" t="n"/>
      <c r="L272" s="157" t="n"/>
      <c r="M272" s="157" t="n"/>
      <c r="N272" s="157" t="n"/>
      <c r="O272" s="157" t="n"/>
      <c r="P272" s="157" t="n"/>
      <c r="Q272" s="157" t="n"/>
      <c r="R272" s="157" t="n"/>
      <c r="S272" s="157" t="n"/>
      <c r="T272" s="157" t="n"/>
      <c r="U272" s="157" t="n"/>
      <c r="V272" s="157" t="n"/>
      <c r="W272" s="157" t="n"/>
      <c r="X272" s="157" t="n"/>
      <c r="Y272" s="157" t="n"/>
      <c r="Z272" s="157" t="n"/>
      <c r="AA272" s="157" t="n"/>
      <c r="AB272" s="157" t="n"/>
      <c r="AC272" s="157" t="n"/>
      <c r="AD272" s="157" t="n"/>
      <c r="AE272" s="157" t="n"/>
      <c r="AF272" s="157" t="n"/>
      <c r="AG272" s="157" t="n"/>
      <c r="AH272" s="157" t="n"/>
      <c r="AI272" s="157" t="n"/>
      <c r="AJ272" s="157" t="n"/>
      <c r="AK272" s="157" t="n"/>
      <c r="AL272" s="157" t="n"/>
      <c r="AM272" s="157" t="n"/>
      <c r="AN272" s="157" t="n"/>
      <c r="AO272" s="157" t="n"/>
      <c r="AP272" s="157" t="n"/>
      <c r="AQ272" s="157" t="n"/>
      <c r="AR272" s="157" t="n"/>
      <c r="AS272" s="157" t="n"/>
      <c r="AT272" s="157" t="n"/>
      <c r="AU272" s="157" t="n"/>
      <c r="AV272" s="157" t="n"/>
      <c r="AW272" s="157" t="n"/>
      <c r="AX272" s="157" t="n"/>
      <c r="AY272" s="157" t="n"/>
      <c r="AZ272" s="157" t="n"/>
      <c r="BA272" s="157" t="n"/>
      <c r="BB272" s="157" t="n"/>
      <c r="BC272" s="157" t="n"/>
      <c r="BD272" s="157" t="n"/>
      <c r="BE272" s="157" t="n"/>
      <c r="BF272" s="157" t="n"/>
      <c r="BG272" s="157" t="n"/>
      <c r="BH272" s="158" t="n"/>
      <c r="BI272" s="159" t="n"/>
      <c r="BJ272" s="23">
        <f>IFERROR(ISNUMBER(E272)*IF(ISNUMBER(D272),--(E272&lt;D272-0.5),1)+ISNUMBER(F272)*IF(ISNUMBER(E272),--(F272&lt;E272-0.5),1)+ISNUMBER(G272)*IF(ISNUMBER(F272),--(G272&lt;F272-0.5),1)+ISNUMBER(H272)*IF(ISNUMBER(G272),--(H272&lt;G272-0.5),1)+ISNUMBER(I272)*IF(ISNUMBER(H272),--(I272&lt;H272-0.5),1)+ISNUMBER(J272)*IF(ISNUMBER(I272),--(J272&lt;I272-0.5),1)+ISNUMBER(K272)*IF(ISNUMBER(J272),--(K272&lt;J272-0.5),1)+IF(AND(ISNUMBER(C272),C272&lt;0),1,0),1)</f>
        <v/>
      </c>
      <c r="BK272" s="23">
        <f>IFERROR(ISNUMBER(M272)*IF(ISNUMBER(L272),--(M272&lt;L272-0.5),1)+ISNUMBER(N272)*IF(ISNUMBER(M272),--(N272&lt;M272-0.5),1)+ISNUMBER(O272)*IF(ISNUMBER(N272),--(O272&lt;N272-0.5),1)+ISNUMBER(P272)*IF(ISNUMBER(O272),--(P272&lt;O272-0.5),1)+ISNUMBER(Q272)*IF(ISNUMBER(P272),--(Q272&lt;P272-0.5),1)+ISNUMBER(R272)*IF(ISNUMBER(Q272),--(R272&lt;Q272-0.5),1)+ISNUMBER(S272)*IF(ISNUMBER(R272),--(S272&lt;R272-0.5),1),1)</f>
        <v/>
      </c>
    </row>
    <row r="273">
      <c r="A273" s="23" t="n">
        <v>5</v>
      </c>
      <c r="B273" s="75" t="n">
        <v>1</v>
      </c>
      <c r="C273" s="157" t="n"/>
      <c r="D273" s="157" t="n"/>
      <c r="E273" s="157" t="n"/>
      <c r="F273" s="157" t="n"/>
      <c r="G273" s="157" t="n"/>
      <c r="H273" s="157" t="n"/>
      <c r="I273" s="157" t="n"/>
      <c r="J273" s="157" t="n"/>
      <c r="K273" s="157" t="n"/>
      <c r="L273" s="157" t="n"/>
      <c r="M273" s="157" t="n"/>
      <c r="N273" s="157" t="n"/>
      <c r="O273" s="157" t="n"/>
      <c r="P273" s="157" t="n"/>
      <c r="Q273" s="157" t="n"/>
      <c r="R273" s="157" t="n"/>
      <c r="S273" s="157" t="n"/>
      <c r="T273" s="157" t="n"/>
      <c r="U273" s="157" t="n"/>
      <c r="V273" s="157" t="n"/>
      <c r="W273" s="157" t="n"/>
      <c r="X273" s="157" t="n"/>
      <c r="Y273" s="157" t="n"/>
      <c r="Z273" s="157" t="n"/>
      <c r="AA273" s="157" t="n"/>
      <c r="AB273" s="157" t="n"/>
      <c r="AC273" s="157" t="n"/>
      <c r="AD273" s="157" t="n"/>
      <c r="AE273" s="157" t="n"/>
      <c r="AF273" s="157" t="n"/>
      <c r="AG273" s="157" t="n"/>
      <c r="AH273" s="157" t="n"/>
      <c r="AI273" s="157" t="n"/>
      <c r="AJ273" s="157" t="n"/>
      <c r="AK273" s="157" t="n"/>
      <c r="AL273" s="157" t="n"/>
      <c r="AM273" s="157" t="n"/>
      <c r="AN273" s="157" t="n"/>
      <c r="AO273" s="157" t="n"/>
      <c r="AP273" s="157" t="n"/>
      <c r="AQ273" s="157" t="n"/>
      <c r="AR273" s="157" t="n"/>
      <c r="AS273" s="157" t="n"/>
      <c r="AT273" s="157" t="n"/>
      <c r="AU273" s="157" t="n"/>
      <c r="AV273" s="157" t="n"/>
      <c r="AW273" s="157" t="n"/>
      <c r="AX273" s="157" t="n"/>
      <c r="AY273" s="157" t="n"/>
      <c r="AZ273" s="157" t="n"/>
      <c r="BA273" s="157" t="n"/>
      <c r="BB273" s="157" t="n"/>
      <c r="BC273" s="157" t="n"/>
      <c r="BD273" s="157" t="n"/>
      <c r="BE273" s="157" t="n"/>
      <c r="BF273" s="157" t="n"/>
      <c r="BG273" s="157" t="n"/>
      <c r="BH273" s="158" t="n"/>
      <c r="BI273" s="159" t="n"/>
      <c r="BJ273" s="23">
        <f>IFERROR(ISNUMBER(E273)*IF(ISNUMBER(D273),--(E273&lt;D273-0.5),1)+ISNUMBER(F273)*IF(ISNUMBER(E273),--(F273&lt;E273-0.5),1)+ISNUMBER(G273)*IF(ISNUMBER(F273),--(G273&lt;F273-0.5),1)+ISNUMBER(H273)*IF(ISNUMBER(G273),--(H273&lt;G273-0.5),1)+ISNUMBER(I273)*IF(ISNUMBER(H273),--(I273&lt;H273-0.5),1)+ISNUMBER(J273)*IF(ISNUMBER(I273),--(J273&lt;I273-0.5),1)+ISNUMBER(K273)*IF(ISNUMBER(J273),--(K273&lt;J273-0.5),1)+IF(AND(ISNUMBER(C273),C273&lt;0),1,0),1)</f>
        <v/>
      </c>
      <c r="BK273" s="23">
        <f>IFERROR(ISNUMBER(M273)*IF(ISNUMBER(L273),--(M273&lt;L273-0.5),1)+ISNUMBER(N273)*IF(ISNUMBER(M273),--(N273&lt;M273-0.5),1)+ISNUMBER(O273)*IF(ISNUMBER(N273),--(O273&lt;N273-0.5),1)+ISNUMBER(P273)*IF(ISNUMBER(O273),--(P273&lt;O273-0.5),1)+ISNUMBER(Q273)*IF(ISNUMBER(P273),--(Q273&lt;P273-0.5),1)+ISNUMBER(R273)*IF(ISNUMBER(Q273),--(R273&lt;Q273-0.5),1)+ISNUMBER(S273)*IF(ISNUMBER(R273),--(S273&lt;R273-0.5),1),1)</f>
        <v/>
      </c>
    </row>
    <row r="274">
      <c r="A274" s="23" t="n">
        <v>6</v>
      </c>
      <c r="B274" s="75" t="n">
        <v>1</v>
      </c>
      <c r="C274" s="157" t="n"/>
      <c r="D274" s="157" t="n"/>
      <c r="E274" s="157" t="n"/>
      <c r="F274" s="157" t="n"/>
      <c r="G274" s="157" t="n"/>
      <c r="H274" s="157" t="n"/>
      <c r="I274" s="157" t="n"/>
      <c r="J274" s="157" t="n"/>
      <c r="K274" s="157" t="n"/>
      <c r="L274" s="157" t="n"/>
      <c r="M274" s="157" t="n"/>
      <c r="N274" s="157" t="n"/>
      <c r="O274" s="157" t="n"/>
      <c r="P274" s="157" t="n"/>
      <c r="Q274" s="157" t="n"/>
      <c r="R274" s="157" t="n"/>
      <c r="S274" s="157" t="n"/>
      <c r="T274" s="157" t="n"/>
      <c r="U274" s="157" t="n"/>
      <c r="V274" s="157" t="n"/>
      <c r="W274" s="157" t="n"/>
      <c r="X274" s="157" t="n"/>
      <c r="Y274" s="157" t="n"/>
      <c r="Z274" s="157" t="n"/>
      <c r="AA274" s="157" t="n"/>
      <c r="AB274" s="157" t="n"/>
      <c r="AC274" s="157" t="n"/>
      <c r="AD274" s="157" t="n"/>
      <c r="AE274" s="157" t="n"/>
      <c r="AF274" s="157" t="n"/>
      <c r="AG274" s="157" t="n"/>
      <c r="AH274" s="157" t="n"/>
      <c r="AI274" s="157" t="n"/>
      <c r="AJ274" s="157" t="n"/>
      <c r="AK274" s="157" t="n"/>
      <c r="AL274" s="157" t="n"/>
      <c r="AM274" s="157" t="n"/>
      <c r="AN274" s="157" t="n"/>
      <c r="AO274" s="157" t="n"/>
      <c r="AP274" s="157" t="n"/>
      <c r="AQ274" s="157" t="n"/>
      <c r="AR274" s="157" t="n"/>
      <c r="AS274" s="157" t="n"/>
      <c r="AT274" s="157" t="n"/>
      <c r="AU274" s="157" t="n"/>
      <c r="AV274" s="157" t="n"/>
      <c r="AW274" s="157" t="n"/>
      <c r="AX274" s="157" t="n"/>
      <c r="AY274" s="157" t="n"/>
      <c r="AZ274" s="157" t="n"/>
      <c r="BA274" s="157" t="n"/>
      <c r="BB274" s="157" t="n"/>
      <c r="BC274" s="157" t="n"/>
      <c r="BD274" s="157" t="n"/>
      <c r="BE274" s="157" t="n"/>
      <c r="BF274" s="157" t="n"/>
      <c r="BG274" s="157" t="n"/>
      <c r="BH274" s="158" t="n"/>
      <c r="BI274" s="159" t="n"/>
      <c r="BJ274" s="23">
        <f>IFERROR(ISNUMBER(E274)*IF(ISNUMBER(D274),--(E274&lt;D274-0.5),1)+ISNUMBER(F274)*IF(ISNUMBER(E274),--(F274&lt;E274-0.5),1)+ISNUMBER(G274)*IF(ISNUMBER(F274),--(G274&lt;F274-0.5),1)+ISNUMBER(H274)*IF(ISNUMBER(G274),--(H274&lt;G274-0.5),1)+ISNUMBER(I274)*IF(ISNUMBER(H274),--(I274&lt;H274-0.5),1)+ISNUMBER(J274)*IF(ISNUMBER(I274),--(J274&lt;I274-0.5),1)+ISNUMBER(K274)*IF(ISNUMBER(J274),--(K274&lt;J274-0.5),1)+IF(AND(ISNUMBER(C274),C274&lt;0),1,0),1)</f>
        <v/>
      </c>
      <c r="BK274" s="23">
        <f>IFERROR(ISNUMBER(M274)*IF(ISNUMBER(L274),--(M274&lt;L274-0.5),1)+ISNUMBER(N274)*IF(ISNUMBER(M274),--(N274&lt;M274-0.5),1)+ISNUMBER(O274)*IF(ISNUMBER(N274),--(O274&lt;N274-0.5),1)+ISNUMBER(P274)*IF(ISNUMBER(O274),--(P274&lt;O274-0.5),1)+ISNUMBER(Q274)*IF(ISNUMBER(P274),--(Q274&lt;P274-0.5),1)+ISNUMBER(R274)*IF(ISNUMBER(Q274),--(R274&lt;Q274-0.5),1)+ISNUMBER(S274)*IF(ISNUMBER(R274),--(S274&lt;R274-0.5),1),1)</f>
        <v/>
      </c>
    </row>
    <row r="275">
      <c r="A275" s="23" t="n">
        <v>7</v>
      </c>
      <c r="B275" s="75" t="n">
        <v>1</v>
      </c>
      <c r="C275" s="157" t="n"/>
      <c r="D275" s="157" t="n"/>
      <c r="E275" s="157" t="n"/>
      <c r="F275" s="157" t="n"/>
      <c r="G275" s="157" t="n"/>
      <c r="H275" s="157" t="n"/>
      <c r="I275" s="157" t="n"/>
      <c r="J275" s="157" t="n"/>
      <c r="K275" s="157" t="n"/>
      <c r="L275" s="157" t="n"/>
      <c r="M275" s="157" t="n"/>
      <c r="N275" s="157" t="n"/>
      <c r="O275" s="157" t="n"/>
      <c r="P275" s="157" t="n"/>
      <c r="Q275" s="157" t="n"/>
      <c r="R275" s="157" t="n"/>
      <c r="S275" s="157" t="n"/>
      <c r="T275" s="157" t="n"/>
      <c r="U275" s="157" t="n"/>
      <c r="V275" s="157" t="n"/>
      <c r="W275" s="157" t="n"/>
      <c r="X275" s="157" t="n"/>
      <c r="Y275" s="157" t="n"/>
      <c r="Z275" s="157" t="n"/>
      <c r="AA275" s="157" t="n"/>
      <c r="AB275" s="157" t="n"/>
      <c r="AC275" s="157" t="n"/>
      <c r="AD275" s="157" t="n"/>
      <c r="AE275" s="157" t="n"/>
      <c r="AF275" s="157" t="n"/>
      <c r="AG275" s="157" t="n"/>
      <c r="AH275" s="157" t="n"/>
      <c r="AI275" s="157" t="n"/>
      <c r="AJ275" s="157" t="n"/>
      <c r="AK275" s="157" t="n"/>
      <c r="AL275" s="157" t="n"/>
      <c r="AM275" s="157" t="n"/>
      <c r="AN275" s="157" t="n"/>
      <c r="AO275" s="157" t="n"/>
      <c r="AP275" s="157" t="n"/>
      <c r="AQ275" s="157" t="n"/>
      <c r="AR275" s="157" t="n"/>
      <c r="AS275" s="157" t="n"/>
      <c r="AT275" s="157" t="n"/>
      <c r="AU275" s="157" t="n"/>
      <c r="AV275" s="157" t="n"/>
      <c r="AW275" s="157" t="n"/>
      <c r="AX275" s="157" t="n"/>
      <c r="AY275" s="157" t="n"/>
      <c r="AZ275" s="157" t="n"/>
      <c r="BA275" s="157" t="n"/>
      <c r="BB275" s="157" t="n"/>
      <c r="BC275" s="157" t="n"/>
      <c r="BD275" s="157" t="n"/>
      <c r="BE275" s="157" t="n"/>
      <c r="BF275" s="157" t="n"/>
      <c r="BG275" s="157" t="n"/>
      <c r="BH275" s="158" t="n"/>
      <c r="BI275" s="159" t="n"/>
      <c r="BJ275" s="23">
        <f>IFERROR(ISNUMBER(E275)*IF(ISNUMBER(D275),--(E275&lt;D275-0.5),1)+ISNUMBER(F275)*IF(ISNUMBER(E275),--(F275&lt;E275-0.5),1)+ISNUMBER(G275)*IF(ISNUMBER(F275),--(G275&lt;F275-0.5),1)+ISNUMBER(H275)*IF(ISNUMBER(G275),--(H275&lt;G275-0.5),1)+ISNUMBER(I275)*IF(ISNUMBER(H275),--(I275&lt;H275-0.5),1)+ISNUMBER(J275)*IF(ISNUMBER(I275),--(J275&lt;I275-0.5),1)+ISNUMBER(K275)*IF(ISNUMBER(J275),--(K275&lt;J275-0.5),1)+IF(AND(ISNUMBER(C275),C275&lt;0),1,0),1)</f>
        <v/>
      </c>
      <c r="BK275" s="23">
        <f>IFERROR(ISNUMBER(M275)*IF(ISNUMBER(L275),--(M275&lt;L275-0.5),1)+ISNUMBER(N275)*IF(ISNUMBER(M275),--(N275&lt;M275-0.5),1)+ISNUMBER(O275)*IF(ISNUMBER(N275),--(O275&lt;N275-0.5),1)+ISNUMBER(P275)*IF(ISNUMBER(O275),--(P275&lt;O275-0.5),1)+ISNUMBER(Q275)*IF(ISNUMBER(P275),--(Q275&lt;P275-0.5),1)+ISNUMBER(R275)*IF(ISNUMBER(Q275),--(R275&lt;Q275-0.5),1)+ISNUMBER(S275)*IF(ISNUMBER(R275),--(S275&lt;R275-0.5),1),1)</f>
        <v/>
      </c>
    </row>
    <row r="276">
      <c r="A276" s="23" t="n">
        <v>8</v>
      </c>
      <c r="B276" s="75" t="n">
        <v>1</v>
      </c>
      <c r="C276" s="157" t="n"/>
      <c r="D276" s="157" t="n"/>
      <c r="E276" s="157" t="n"/>
      <c r="F276" s="157" t="n"/>
      <c r="G276" s="157" t="n"/>
      <c r="H276" s="157" t="n"/>
      <c r="I276" s="157" t="n"/>
      <c r="J276" s="157" t="n"/>
      <c r="K276" s="157" t="n"/>
      <c r="L276" s="157" t="n"/>
      <c r="M276" s="157" t="n"/>
      <c r="N276" s="157" t="n"/>
      <c r="O276" s="157" t="n"/>
      <c r="P276" s="157" t="n"/>
      <c r="Q276" s="157" t="n"/>
      <c r="R276" s="157" t="n"/>
      <c r="S276" s="157" t="n"/>
      <c r="T276" s="157" t="n"/>
      <c r="U276" s="157" t="n"/>
      <c r="V276" s="157" t="n"/>
      <c r="W276" s="157" t="n"/>
      <c r="X276" s="157" t="n"/>
      <c r="Y276" s="157" t="n"/>
      <c r="Z276" s="157" t="n"/>
      <c r="AA276" s="157" t="n"/>
      <c r="AB276" s="157" t="n"/>
      <c r="AC276" s="157" t="n"/>
      <c r="AD276" s="157" t="n"/>
      <c r="AE276" s="157" t="n"/>
      <c r="AF276" s="157" t="n"/>
      <c r="AG276" s="157" t="n"/>
      <c r="AH276" s="157" t="n"/>
      <c r="AI276" s="157" t="n"/>
      <c r="AJ276" s="157" t="n"/>
      <c r="AK276" s="157" t="n"/>
      <c r="AL276" s="157" t="n"/>
      <c r="AM276" s="157" t="n"/>
      <c r="AN276" s="157" t="n"/>
      <c r="AO276" s="157" t="n"/>
      <c r="AP276" s="157" t="n"/>
      <c r="AQ276" s="157" t="n"/>
      <c r="AR276" s="157" t="n"/>
      <c r="AS276" s="157" t="n"/>
      <c r="AT276" s="157" t="n"/>
      <c r="AU276" s="157" t="n"/>
      <c r="AV276" s="157" t="n"/>
      <c r="AW276" s="157" t="n"/>
      <c r="AX276" s="157" t="n"/>
      <c r="AY276" s="157" t="n"/>
      <c r="AZ276" s="157" t="n"/>
      <c r="BA276" s="157" t="n"/>
      <c r="BB276" s="157" t="n"/>
      <c r="BC276" s="157" t="n"/>
      <c r="BD276" s="157" t="n"/>
      <c r="BE276" s="157" t="n"/>
      <c r="BF276" s="157" t="n"/>
      <c r="BG276" s="157" t="n"/>
      <c r="BH276" s="158" t="n"/>
      <c r="BI276" s="159" t="n"/>
      <c r="BJ276" s="23">
        <f>IFERROR(ISNUMBER(E276)*IF(ISNUMBER(D276),--(E276&lt;D276-0.5),1)+ISNUMBER(F276)*IF(ISNUMBER(E276),--(F276&lt;E276-0.5),1)+ISNUMBER(G276)*IF(ISNUMBER(F276),--(G276&lt;F276-0.5),1)+ISNUMBER(H276)*IF(ISNUMBER(G276),--(H276&lt;G276-0.5),1)+ISNUMBER(I276)*IF(ISNUMBER(H276),--(I276&lt;H276-0.5),1)+ISNUMBER(J276)*IF(ISNUMBER(I276),--(J276&lt;I276-0.5),1)+ISNUMBER(K276)*IF(ISNUMBER(J276),--(K276&lt;J276-0.5),1)+IF(AND(ISNUMBER(C276),C276&lt;0),1,0),1)</f>
        <v/>
      </c>
      <c r="BK276" s="23">
        <f>IFERROR(ISNUMBER(M276)*IF(ISNUMBER(L276),--(M276&lt;L276-0.5),1)+ISNUMBER(N276)*IF(ISNUMBER(M276),--(N276&lt;M276-0.5),1)+ISNUMBER(O276)*IF(ISNUMBER(N276),--(O276&lt;N276-0.5),1)+ISNUMBER(P276)*IF(ISNUMBER(O276),--(P276&lt;O276-0.5),1)+ISNUMBER(Q276)*IF(ISNUMBER(P276),--(Q276&lt;P276-0.5),1)+ISNUMBER(R276)*IF(ISNUMBER(Q276),--(R276&lt;Q276-0.5),1)+ISNUMBER(S276)*IF(ISNUMBER(R276),--(S276&lt;R276-0.5),1),1)</f>
        <v/>
      </c>
    </row>
    <row r="277">
      <c r="A277" s="23" t="n">
        <v>9</v>
      </c>
      <c r="B277" s="75" t="n">
        <v>1</v>
      </c>
      <c r="C277" s="157" t="n"/>
      <c r="D277" s="157" t="n"/>
      <c r="E277" s="157" t="n"/>
      <c r="F277" s="157" t="n"/>
      <c r="G277" s="157" t="n"/>
      <c r="H277" s="157" t="n"/>
      <c r="I277" s="157" t="n"/>
      <c r="J277" s="157" t="n"/>
      <c r="K277" s="157" t="n"/>
      <c r="L277" s="157" t="n"/>
      <c r="M277" s="157" t="n"/>
      <c r="N277" s="157" t="n"/>
      <c r="O277" s="157" t="n"/>
      <c r="P277" s="157" t="n"/>
      <c r="Q277" s="157" t="n"/>
      <c r="R277" s="157" t="n"/>
      <c r="S277" s="157" t="n"/>
      <c r="T277" s="157" t="n"/>
      <c r="U277" s="157" t="n"/>
      <c r="V277" s="157" t="n"/>
      <c r="W277" s="157" t="n"/>
      <c r="X277" s="157" t="n"/>
      <c r="Y277" s="157" t="n"/>
      <c r="Z277" s="157" t="n"/>
      <c r="AA277" s="157" t="n"/>
      <c r="AB277" s="157" t="n"/>
      <c r="AC277" s="157" t="n"/>
      <c r="AD277" s="157" t="n"/>
      <c r="AE277" s="157" t="n"/>
      <c r="AF277" s="157" t="n"/>
      <c r="AG277" s="157" t="n"/>
      <c r="AH277" s="157" t="n"/>
      <c r="AI277" s="157" t="n"/>
      <c r="AJ277" s="157" t="n"/>
      <c r="AK277" s="157" t="n"/>
      <c r="AL277" s="157" t="n"/>
      <c r="AM277" s="157" t="n"/>
      <c r="AN277" s="157" t="n"/>
      <c r="AO277" s="157" t="n"/>
      <c r="AP277" s="157" t="n"/>
      <c r="AQ277" s="157" t="n"/>
      <c r="AR277" s="157" t="n"/>
      <c r="AS277" s="157" t="n"/>
      <c r="AT277" s="157" t="n"/>
      <c r="AU277" s="157" t="n"/>
      <c r="AV277" s="157" t="n"/>
      <c r="AW277" s="157" t="n"/>
      <c r="AX277" s="157" t="n"/>
      <c r="AY277" s="157" t="n"/>
      <c r="AZ277" s="157" t="n"/>
      <c r="BA277" s="157" t="n"/>
      <c r="BB277" s="157" t="n"/>
      <c r="BC277" s="157" t="n"/>
      <c r="BD277" s="157" t="n"/>
      <c r="BE277" s="157" t="n"/>
      <c r="BF277" s="157" t="n"/>
      <c r="BG277" s="157" t="n"/>
      <c r="BH277" s="158" t="n"/>
      <c r="BI277" s="159" t="n"/>
      <c r="BJ277" s="23">
        <f>IFERROR(ISNUMBER(E277)*IF(ISNUMBER(D277),--(E277&lt;D277-0.5),1)+ISNUMBER(F277)*IF(ISNUMBER(E277),--(F277&lt;E277-0.5),1)+ISNUMBER(G277)*IF(ISNUMBER(F277),--(G277&lt;F277-0.5),1)+ISNUMBER(H277)*IF(ISNUMBER(G277),--(H277&lt;G277-0.5),1)+ISNUMBER(I277)*IF(ISNUMBER(H277),--(I277&lt;H277-0.5),1)+ISNUMBER(J277)*IF(ISNUMBER(I277),--(J277&lt;I277-0.5),1)+ISNUMBER(K277)*IF(ISNUMBER(J277),--(K277&lt;J277-0.5),1)+IF(AND(ISNUMBER(C277),C277&lt;0),1,0),1)</f>
        <v/>
      </c>
      <c r="BK277" s="23">
        <f>IFERROR(ISNUMBER(M277)*IF(ISNUMBER(L277),--(M277&lt;L277-0.5),1)+ISNUMBER(N277)*IF(ISNUMBER(M277),--(N277&lt;M277-0.5),1)+ISNUMBER(O277)*IF(ISNUMBER(N277),--(O277&lt;N277-0.5),1)+ISNUMBER(P277)*IF(ISNUMBER(O277),--(P277&lt;O277-0.5),1)+ISNUMBER(Q277)*IF(ISNUMBER(P277),--(Q277&lt;P277-0.5),1)+ISNUMBER(R277)*IF(ISNUMBER(Q277),--(R277&lt;Q277-0.5),1)+ISNUMBER(S277)*IF(ISNUMBER(R277),--(S277&lt;R277-0.5),1),1)</f>
        <v/>
      </c>
    </row>
    <row r="278">
      <c r="A278" s="23" t="n">
        <v>10</v>
      </c>
      <c r="B278" s="75" t="n">
        <v>1</v>
      </c>
      <c r="C278" s="157" t="n"/>
      <c r="D278" s="157" t="n"/>
      <c r="E278" s="157" t="n"/>
      <c r="F278" s="157" t="n"/>
      <c r="G278" s="157" t="n"/>
      <c r="H278" s="157" t="n"/>
      <c r="I278" s="157" t="n"/>
      <c r="J278" s="157" t="n"/>
      <c r="K278" s="157" t="n"/>
      <c r="L278" s="157" t="n"/>
      <c r="M278" s="157" t="n"/>
      <c r="N278" s="157" t="n"/>
      <c r="O278" s="157" t="n"/>
      <c r="P278" s="157" t="n"/>
      <c r="Q278" s="157" t="n"/>
      <c r="R278" s="157" t="n"/>
      <c r="S278" s="157" t="n"/>
      <c r="T278" s="157" t="n"/>
      <c r="U278" s="157" t="n"/>
      <c r="V278" s="157" t="n"/>
      <c r="W278" s="157" t="n"/>
      <c r="X278" s="157" t="n"/>
      <c r="Y278" s="157" t="n"/>
      <c r="Z278" s="157" t="n"/>
      <c r="AA278" s="157" t="n"/>
      <c r="AB278" s="157" t="n"/>
      <c r="AC278" s="157" t="n"/>
      <c r="AD278" s="157" t="n"/>
      <c r="AE278" s="157" t="n"/>
      <c r="AF278" s="157" t="n"/>
      <c r="AG278" s="157" t="n"/>
      <c r="AH278" s="157" t="n"/>
      <c r="AI278" s="157" t="n"/>
      <c r="AJ278" s="157" t="n"/>
      <c r="AK278" s="157" t="n"/>
      <c r="AL278" s="157" t="n"/>
      <c r="AM278" s="157" t="n"/>
      <c r="AN278" s="157" t="n"/>
      <c r="AO278" s="157" t="n"/>
      <c r="AP278" s="157" t="n"/>
      <c r="AQ278" s="157" t="n"/>
      <c r="AR278" s="157" t="n"/>
      <c r="AS278" s="157" t="n"/>
      <c r="AT278" s="157" t="n"/>
      <c r="AU278" s="157" t="n"/>
      <c r="AV278" s="157" t="n"/>
      <c r="AW278" s="157" t="n"/>
      <c r="AX278" s="157" t="n"/>
      <c r="AY278" s="157" t="n"/>
      <c r="AZ278" s="157" t="n"/>
      <c r="BA278" s="157" t="n"/>
      <c r="BB278" s="157" t="n"/>
      <c r="BC278" s="157" t="n"/>
      <c r="BD278" s="157" t="n"/>
      <c r="BE278" s="157" t="n"/>
      <c r="BF278" s="157" t="n"/>
      <c r="BG278" s="157" t="n"/>
      <c r="BH278" s="158" t="n"/>
      <c r="BI278" s="159" t="n"/>
      <c r="BJ278" s="23">
        <f>IFERROR(ISNUMBER(E278)*IF(ISNUMBER(D278),--(E278&lt;D278-0.5),1)+ISNUMBER(F278)*IF(ISNUMBER(E278),--(F278&lt;E278-0.5),1)+ISNUMBER(G278)*IF(ISNUMBER(F278),--(G278&lt;F278-0.5),1)+ISNUMBER(H278)*IF(ISNUMBER(G278),--(H278&lt;G278-0.5),1)+ISNUMBER(I278)*IF(ISNUMBER(H278),--(I278&lt;H278-0.5),1)+ISNUMBER(J278)*IF(ISNUMBER(I278),--(J278&lt;I278-0.5),1)+ISNUMBER(K278)*IF(ISNUMBER(J278),--(K278&lt;J278-0.5),1)+IF(AND(ISNUMBER(C278),C278&lt;0),1,0),1)</f>
        <v/>
      </c>
      <c r="BK278" s="23">
        <f>IFERROR(ISNUMBER(M278)*IF(ISNUMBER(L278),--(M278&lt;L278-0.5),1)+ISNUMBER(N278)*IF(ISNUMBER(M278),--(N278&lt;M278-0.5),1)+ISNUMBER(O278)*IF(ISNUMBER(N278),--(O278&lt;N278-0.5),1)+ISNUMBER(P278)*IF(ISNUMBER(O278),--(P278&lt;O278-0.5),1)+ISNUMBER(Q278)*IF(ISNUMBER(P278),--(Q278&lt;P278-0.5),1)+ISNUMBER(R278)*IF(ISNUMBER(Q278),--(R278&lt;Q278-0.5),1)+ISNUMBER(S278)*IF(ISNUMBER(R278),--(S278&lt;R278-0.5),1),1)</f>
        <v/>
      </c>
    </row>
    <row r="279">
      <c r="A279" s="23" t="n">
        <v>11</v>
      </c>
      <c r="B279" s="75" t="n">
        <v>1</v>
      </c>
      <c r="C279" s="157" t="n"/>
      <c r="D279" s="157" t="n"/>
      <c r="E279" s="157" t="n"/>
      <c r="F279" s="157" t="n"/>
      <c r="G279" s="157" t="n"/>
      <c r="H279" s="157" t="n"/>
      <c r="I279" s="157" t="n"/>
      <c r="J279" s="157" t="n"/>
      <c r="K279" s="157" t="n"/>
      <c r="L279" s="157" t="n"/>
      <c r="M279" s="157" t="n"/>
      <c r="N279" s="157" t="n"/>
      <c r="O279" s="157" t="n"/>
      <c r="P279" s="157" t="n"/>
      <c r="Q279" s="157" t="n"/>
      <c r="R279" s="157" t="n"/>
      <c r="S279" s="157" t="n"/>
      <c r="T279" s="157" t="n"/>
      <c r="U279" s="157" t="n"/>
      <c r="V279" s="157" t="n"/>
      <c r="W279" s="157" t="n"/>
      <c r="X279" s="157" t="n"/>
      <c r="Y279" s="157" t="n"/>
      <c r="Z279" s="157" t="n"/>
      <c r="AA279" s="157" t="n"/>
      <c r="AB279" s="157" t="n"/>
      <c r="AC279" s="157" t="n"/>
      <c r="AD279" s="157" t="n"/>
      <c r="AE279" s="157" t="n"/>
      <c r="AF279" s="157" t="n"/>
      <c r="AG279" s="157" t="n"/>
      <c r="AH279" s="157" t="n"/>
      <c r="AI279" s="157" t="n"/>
      <c r="AJ279" s="157" t="n"/>
      <c r="AK279" s="157" t="n"/>
      <c r="AL279" s="157" t="n"/>
      <c r="AM279" s="157" t="n"/>
      <c r="AN279" s="157" t="n"/>
      <c r="AO279" s="157" t="n"/>
      <c r="AP279" s="157" t="n"/>
      <c r="AQ279" s="157" t="n"/>
      <c r="AR279" s="157" t="n"/>
      <c r="AS279" s="157" t="n"/>
      <c r="AT279" s="157" t="n"/>
      <c r="AU279" s="157" t="n"/>
      <c r="AV279" s="157" t="n"/>
      <c r="AW279" s="157" t="n"/>
      <c r="AX279" s="157" t="n"/>
      <c r="AY279" s="157" t="n"/>
      <c r="AZ279" s="157" t="n"/>
      <c r="BA279" s="157" t="n"/>
      <c r="BB279" s="157" t="n"/>
      <c r="BC279" s="157" t="n"/>
      <c r="BD279" s="157" t="n"/>
      <c r="BE279" s="157" t="n"/>
      <c r="BF279" s="157" t="n"/>
      <c r="BG279" s="157" t="n"/>
      <c r="BH279" s="158" t="n"/>
      <c r="BI279" s="159" t="n"/>
      <c r="BJ279" s="23">
        <f>IFERROR(ISNUMBER(E279)*IF(ISNUMBER(D279),--(E279&lt;D279-0.5),1)+ISNUMBER(F279)*IF(ISNUMBER(E279),--(F279&lt;E279-0.5),1)+ISNUMBER(G279)*IF(ISNUMBER(F279),--(G279&lt;F279-0.5),1)+ISNUMBER(H279)*IF(ISNUMBER(G279),--(H279&lt;G279-0.5),1)+ISNUMBER(I279)*IF(ISNUMBER(H279),--(I279&lt;H279-0.5),1)+ISNUMBER(J279)*IF(ISNUMBER(I279),--(J279&lt;I279-0.5),1)+ISNUMBER(K279)*IF(ISNUMBER(J279),--(K279&lt;J279-0.5),1)+IF(AND(ISNUMBER(C279),C279&lt;0),1,0),1)</f>
        <v/>
      </c>
      <c r="BK279" s="23">
        <f>IFERROR(ISNUMBER(M279)*IF(ISNUMBER(L279),--(M279&lt;L279-0.5),1)+ISNUMBER(N279)*IF(ISNUMBER(M279),--(N279&lt;M279-0.5),1)+ISNUMBER(O279)*IF(ISNUMBER(N279),--(O279&lt;N279-0.5),1)+ISNUMBER(P279)*IF(ISNUMBER(O279),--(P279&lt;O279-0.5),1)+ISNUMBER(Q279)*IF(ISNUMBER(P279),--(Q279&lt;P279-0.5),1)+ISNUMBER(R279)*IF(ISNUMBER(Q279),--(R279&lt;Q279-0.5),1)+ISNUMBER(S279)*IF(ISNUMBER(R279),--(S279&lt;R279-0.5),1),1)</f>
        <v/>
      </c>
    </row>
    <row r="280">
      <c r="A280" s="23" t="n">
        <v>12</v>
      </c>
      <c r="B280" s="75" t="n">
        <v>1</v>
      </c>
      <c r="C280" s="157" t="n"/>
      <c r="D280" s="157" t="n"/>
      <c r="E280" s="157" t="n"/>
      <c r="F280" s="157" t="n"/>
      <c r="G280" s="157" t="n"/>
      <c r="H280" s="157" t="n"/>
      <c r="I280" s="157" t="n"/>
      <c r="J280" s="157" t="n"/>
      <c r="K280" s="157" t="n"/>
      <c r="L280" s="157" t="n"/>
      <c r="M280" s="157" t="n"/>
      <c r="N280" s="157" t="n"/>
      <c r="O280" s="157" t="n"/>
      <c r="P280" s="157" t="n"/>
      <c r="Q280" s="157" t="n"/>
      <c r="R280" s="157" t="n"/>
      <c r="S280" s="157" t="n"/>
      <c r="T280" s="157" t="n"/>
      <c r="U280" s="157" t="n"/>
      <c r="V280" s="157" t="n"/>
      <c r="W280" s="157" t="n"/>
      <c r="X280" s="157" t="n"/>
      <c r="Y280" s="157" t="n"/>
      <c r="Z280" s="157" t="n"/>
      <c r="AA280" s="157" t="n"/>
      <c r="AB280" s="157" t="n"/>
      <c r="AC280" s="157" t="n"/>
      <c r="AD280" s="157" t="n"/>
      <c r="AE280" s="157" t="n"/>
      <c r="AF280" s="157" t="n"/>
      <c r="AG280" s="157" t="n"/>
      <c r="AH280" s="157" t="n"/>
      <c r="AI280" s="157" t="n"/>
      <c r="AJ280" s="157" t="n"/>
      <c r="AK280" s="157" t="n"/>
      <c r="AL280" s="157" t="n"/>
      <c r="AM280" s="157" t="n"/>
      <c r="AN280" s="157" t="n"/>
      <c r="AO280" s="157" t="n"/>
      <c r="AP280" s="157" t="n"/>
      <c r="AQ280" s="157" t="n"/>
      <c r="AR280" s="157" t="n"/>
      <c r="AS280" s="157" t="n"/>
      <c r="AT280" s="157" t="n"/>
      <c r="AU280" s="157" t="n"/>
      <c r="AV280" s="157" t="n"/>
      <c r="AW280" s="157" t="n"/>
      <c r="AX280" s="157" t="n"/>
      <c r="AY280" s="157" t="n"/>
      <c r="AZ280" s="157" t="n"/>
      <c r="BA280" s="157" t="n"/>
      <c r="BB280" s="157" t="n"/>
      <c r="BC280" s="157" t="n"/>
      <c r="BD280" s="157" t="n"/>
      <c r="BE280" s="157" t="n"/>
      <c r="BF280" s="157" t="n"/>
      <c r="BG280" s="157" t="n"/>
      <c r="BH280" s="158" t="n"/>
      <c r="BI280" s="159" t="n"/>
      <c r="BJ280" s="23">
        <f>IFERROR(ISNUMBER(E280)*IF(ISNUMBER(D280),--(E280&lt;D280-0.5),1)+ISNUMBER(F280)*IF(ISNUMBER(E280),--(F280&lt;E280-0.5),1)+ISNUMBER(G280)*IF(ISNUMBER(F280),--(G280&lt;F280-0.5),1)+ISNUMBER(H280)*IF(ISNUMBER(G280),--(H280&lt;G280-0.5),1)+ISNUMBER(I280)*IF(ISNUMBER(H280),--(I280&lt;H280-0.5),1)+ISNUMBER(J280)*IF(ISNUMBER(I280),--(J280&lt;I280-0.5),1)+ISNUMBER(K280)*IF(ISNUMBER(J280),--(K280&lt;J280-0.5),1)+IF(AND(ISNUMBER(C280),C280&lt;0),1,0),1)</f>
        <v/>
      </c>
      <c r="BK280" s="23">
        <f>IFERROR(ISNUMBER(M280)*IF(ISNUMBER(L280),--(M280&lt;L280-0.5),1)+ISNUMBER(N280)*IF(ISNUMBER(M280),--(N280&lt;M280-0.5),1)+ISNUMBER(O280)*IF(ISNUMBER(N280),--(O280&lt;N280-0.5),1)+ISNUMBER(P280)*IF(ISNUMBER(O280),--(P280&lt;O280-0.5),1)+ISNUMBER(Q280)*IF(ISNUMBER(P280),--(Q280&lt;P280-0.5),1)+ISNUMBER(R280)*IF(ISNUMBER(Q280),--(R280&lt;Q280-0.5),1)+ISNUMBER(S280)*IF(ISNUMBER(R280),--(S280&lt;R280-0.5),1),1)</f>
        <v/>
      </c>
    </row>
    <row r="281">
      <c r="A281" s="23" t="n">
        <v>13</v>
      </c>
      <c r="B281" s="75" t="n">
        <v>1</v>
      </c>
      <c r="C281" s="157" t="n"/>
      <c r="D281" s="157" t="n"/>
      <c r="E281" s="157" t="n"/>
      <c r="F281" s="157" t="n"/>
      <c r="G281" s="157" t="n"/>
      <c r="H281" s="157" t="n"/>
      <c r="I281" s="157" t="n"/>
      <c r="J281" s="157" t="n"/>
      <c r="K281" s="157" t="n"/>
      <c r="L281" s="157" t="n"/>
      <c r="M281" s="157" t="n"/>
      <c r="N281" s="157" t="n"/>
      <c r="O281" s="157" t="n"/>
      <c r="P281" s="157" t="n"/>
      <c r="Q281" s="157" t="n"/>
      <c r="R281" s="157" t="n"/>
      <c r="S281" s="157" t="n"/>
      <c r="T281" s="157" t="n"/>
      <c r="U281" s="157" t="n"/>
      <c r="V281" s="157" t="n"/>
      <c r="W281" s="157" t="n"/>
      <c r="X281" s="157" t="n"/>
      <c r="Y281" s="157" t="n"/>
      <c r="Z281" s="157" t="n"/>
      <c r="AA281" s="157" t="n"/>
      <c r="AB281" s="157" t="n"/>
      <c r="AC281" s="157" t="n"/>
      <c r="AD281" s="157" t="n"/>
      <c r="AE281" s="157" t="n"/>
      <c r="AF281" s="157" t="n"/>
      <c r="AG281" s="157" t="n"/>
      <c r="AH281" s="157" t="n"/>
      <c r="AI281" s="157" t="n"/>
      <c r="AJ281" s="157" t="n"/>
      <c r="AK281" s="157" t="n"/>
      <c r="AL281" s="157" t="n"/>
      <c r="AM281" s="157" t="n"/>
      <c r="AN281" s="157" t="n"/>
      <c r="AO281" s="157" t="n"/>
      <c r="AP281" s="157" t="n"/>
      <c r="AQ281" s="157" t="n"/>
      <c r="AR281" s="157" t="n"/>
      <c r="AS281" s="157" t="n"/>
      <c r="AT281" s="157" t="n"/>
      <c r="AU281" s="157" t="n"/>
      <c r="AV281" s="157" t="n"/>
      <c r="AW281" s="157" t="n"/>
      <c r="AX281" s="157" t="n"/>
      <c r="AY281" s="157" t="n"/>
      <c r="AZ281" s="157" t="n"/>
      <c r="BA281" s="157" t="n"/>
      <c r="BB281" s="157" t="n"/>
      <c r="BC281" s="157" t="n"/>
      <c r="BD281" s="157" t="n"/>
      <c r="BE281" s="157" t="n"/>
      <c r="BF281" s="157" t="n"/>
      <c r="BG281" s="157" t="n"/>
      <c r="BH281" s="158" t="n"/>
      <c r="BI281" s="159" t="n"/>
      <c r="BJ281" s="23">
        <f>IFERROR(ISNUMBER(E281)*IF(ISNUMBER(D281),--(E281&lt;D281-0.5),1)+ISNUMBER(F281)*IF(ISNUMBER(E281),--(F281&lt;E281-0.5),1)+ISNUMBER(G281)*IF(ISNUMBER(F281),--(G281&lt;F281-0.5),1)+ISNUMBER(H281)*IF(ISNUMBER(G281),--(H281&lt;G281-0.5),1)+ISNUMBER(I281)*IF(ISNUMBER(H281),--(I281&lt;H281-0.5),1)+ISNUMBER(J281)*IF(ISNUMBER(I281),--(J281&lt;I281-0.5),1)+ISNUMBER(K281)*IF(ISNUMBER(J281),--(K281&lt;J281-0.5),1)+IF(AND(ISNUMBER(C281),C281&lt;0),1,0),1)</f>
        <v/>
      </c>
      <c r="BK281" s="23">
        <f>IFERROR(ISNUMBER(M281)*IF(ISNUMBER(L281),--(M281&lt;L281-0.5),1)+ISNUMBER(N281)*IF(ISNUMBER(M281),--(N281&lt;M281-0.5),1)+ISNUMBER(O281)*IF(ISNUMBER(N281),--(O281&lt;N281-0.5),1)+ISNUMBER(P281)*IF(ISNUMBER(O281),--(P281&lt;O281-0.5),1)+ISNUMBER(Q281)*IF(ISNUMBER(P281),--(Q281&lt;P281-0.5),1)+ISNUMBER(R281)*IF(ISNUMBER(Q281),--(R281&lt;Q281-0.5),1)+ISNUMBER(S281)*IF(ISNUMBER(R281),--(S281&lt;R281-0.5),1),1)</f>
        <v/>
      </c>
    </row>
    <row r="282">
      <c r="A282" s="23" t="n">
        <v>14</v>
      </c>
      <c r="B282" s="75" t="n">
        <v>1</v>
      </c>
      <c r="C282" s="157" t="n"/>
      <c r="D282" s="157" t="n"/>
      <c r="E282" s="157" t="n"/>
      <c r="F282" s="157" t="n"/>
      <c r="G282" s="157" t="n"/>
      <c r="H282" s="157" t="n"/>
      <c r="I282" s="157" t="n"/>
      <c r="J282" s="157" t="n"/>
      <c r="K282" s="157" t="n"/>
      <c r="L282" s="157" t="n"/>
      <c r="M282" s="157" t="n"/>
      <c r="N282" s="157" t="n"/>
      <c r="O282" s="157" t="n"/>
      <c r="P282" s="157" t="n"/>
      <c r="Q282" s="157" t="n"/>
      <c r="R282" s="157" t="n"/>
      <c r="S282" s="157" t="n"/>
      <c r="T282" s="157" t="n"/>
      <c r="U282" s="157" t="n"/>
      <c r="V282" s="157" t="n"/>
      <c r="W282" s="157" t="n"/>
      <c r="X282" s="157" t="n"/>
      <c r="Y282" s="157" t="n"/>
      <c r="Z282" s="157" t="n"/>
      <c r="AA282" s="157" t="n"/>
      <c r="AB282" s="157" t="n"/>
      <c r="AC282" s="157" t="n"/>
      <c r="AD282" s="157" t="n"/>
      <c r="AE282" s="157" t="n"/>
      <c r="AF282" s="157" t="n"/>
      <c r="AG282" s="157" t="n"/>
      <c r="AH282" s="157" t="n"/>
      <c r="AI282" s="157" t="n"/>
      <c r="AJ282" s="157" t="n"/>
      <c r="AK282" s="157" t="n"/>
      <c r="AL282" s="157" t="n"/>
      <c r="AM282" s="157" t="n"/>
      <c r="AN282" s="157" t="n"/>
      <c r="AO282" s="157" t="n"/>
      <c r="AP282" s="157" t="n"/>
      <c r="AQ282" s="157" t="n"/>
      <c r="AR282" s="157" t="n"/>
      <c r="AS282" s="157" t="n"/>
      <c r="AT282" s="157" t="n"/>
      <c r="AU282" s="157" t="n"/>
      <c r="AV282" s="157" t="n"/>
      <c r="AW282" s="157" t="n"/>
      <c r="AX282" s="157" t="n"/>
      <c r="AY282" s="157" t="n"/>
      <c r="AZ282" s="157" t="n"/>
      <c r="BA282" s="157" t="n"/>
      <c r="BB282" s="157" t="n"/>
      <c r="BC282" s="157" t="n"/>
      <c r="BD282" s="157" t="n"/>
      <c r="BE282" s="157" t="n"/>
      <c r="BF282" s="157" t="n"/>
      <c r="BG282" s="157" t="n"/>
      <c r="BH282" s="158" t="n"/>
      <c r="BI282" s="159" t="n"/>
      <c r="BJ282" s="23">
        <f>IFERROR(ISNUMBER(E282)*IF(ISNUMBER(D282),--(E282&lt;D282-0.5),1)+ISNUMBER(F282)*IF(ISNUMBER(E282),--(F282&lt;E282-0.5),1)+ISNUMBER(G282)*IF(ISNUMBER(F282),--(G282&lt;F282-0.5),1)+ISNUMBER(H282)*IF(ISNUMBER(G282),--(H282&lt;G282-0.5),1)+ISNUMBER(I282)*IF(ISNUMBER(H282),--(I282&lt;H282-0.5),1)+ISNUMBER(J282)*IF(ISNUMBER(I282),--(J282&lt;I282-0.5),1)+ISNUMBER(K282)*IF(ISNUMBER(J282),--(K282&lt;J282-0.5),1)+IF(AND(ISNUMBER(C282),C282&lt;0),1,0),1)</f>
        <v/>
      </c>
      <c r="BK282" s="23">
        <f>IFERROR(ISNUMBER(M282)*IF(ISNUMBER(L282),--(M282&lt;L282-0.5),1)+ISNUMBER(N282)*IF(ISNUMBER(M282),--(N282&lt;M282-0.5),1)+ISNUMBER(O282)*IF(ISNUMBER(N282),--(O282&lt;N282-0.5),1)+ISNUMBER(P282)*IF(ISNUMBER(O282),--(P282&lt;O282-0.5),1)+ISNUMBER(Q282)*IF(ISNUMBER(P282),--(Q282&lt;P282-0.5),1)+ISNUMBER(R282)*IF(ISNUMBER(Q282),--(R282&lt;Q282-0.5),1)+ISNUMBER(S282)*IF(ISNUMBER(R282),--(S282&lt;R282-0.5),1),1)</f>
        <v/>
      </c>
    </row>
    <row r="283">
      <c r="A283" s="23" t="n">
        <v>15</v>
      </c>
      <c r="B283" s="75" t="n">
        <v>1</v>
      </c>
      <c r="C283" s="157" t="n"/>
      <c r="D283" s="157" t="n"/>
      <c r="E283" s="157" t="n"/>
      <c r="F283" s="157" t="n"/>
      <c r="G283" s="157" t="n"/>
      <c r="H283" s="157" t="n"/>
      <c r="I283" s="157" t="n"/>
      <c r="J283" s="157" t="n"/>
      <c r="K283" s="157" t="n"/>
      <c r="L283" s="157" t="n"/>
      <c r="M283" s="157" t="n"/>
      <c r="N283" s="157" t="n"/>
      <c r="O283" s="157" t="n"/>
      <c r="P283" s="157" t="n"/>
      <c r="Q283" s="157" t="n"/>
      <c r="R283" s="157" t="n"/>
      <c r="S283" s="157" t="n"/>
      <c r="T283" s="157" t="n"/>
      <c r="U283" s="157" t="n"/>
      <c r="V283" s="157" t="n"/>
      <c r="W283" s="157" t="n"/>
      <c r="X283" s="157" t="n"/>
      <c r="Y283" s="157" t="n"/>
      <c r="Z283" s="157" t="n"/>
      <c r="AA283" s="157" t="n"/>
      <c r="AB283" s="157" t="n"/>
      <c r="AC283" s="157" t="n"/>
      <c r="AD283" s="157" t="n"/>
      <c r="AE283" s="157" t="n"/>
      <c r="AF283" s="157" t="n"/>
      <c r="AG283" s="157" t="n"/>
      <c r="AH283" s="157" t="n"/>
      <c r="AI283" s="157" t="n"/>
      <c r="AJ283" s="157" t="n"/>
      <c r="AK283" s="157" t="n"/>
      <c r="AL283" s="157" t="n"/>
      <c r="AM283" s="157" t="n"/>
      <c r="AN283" s="157" t="n"/>
      <c r="AO283" s="157" t="n"/>
      <c r="AP283" s="157" t="n"/>
      <c r="AQ283" s="157" t="n"/>
      <c r="AR283" s="157" t="n"/>
      <c r="AS283" s="157" t="n"/>
      <c r="AT283" s="157" t="n"/>
      <c r="AU283" s="157" t="n"/>
      <c r="AV283" s="157" t="n"/>
      <c r="AW283" s="157" t="n"/>
      <c r="AX283" s="157" t="n"/>
      <c r="AY283" s="157" t="n"/>
      <c r="AZ283" s="157" t="n"/>
      <c r="BA283" s="157" t="n"/>
      <c r="BB283" s="157" t="n"/>
      <c r="BC283" s="157" t="n"/>
      <c r="BD283" s="157" t="n"/>
      <c r="BE283" s="157" t="n"/>
      <c r="BF283" s="157" t="n"/>
      <c r="BG283" s="157" t="n"/>
      <c r="BH283" s="158" t="n"/>
      <c r="BI283" s="159" t="n"/>
      <c r="BJ283" s="23">
        <f>IFERROR(ISNUMBER(E283)*IF(ISNUMBER(D283),--(E283&lt;D283-0.5),1)+ISNUMBER(F283)*IF(ISNUMBER(E283),--(F283&lt;E283-0.5),1)+ISNUMBER(G283)*IF(ISNUMBER(F283),--(G283&lt;F283-0.5),1)+ISNUMBER(H283)*IF(ISNUMBER(G283),--(H283&lt;G283-0.5),1)+ISNUMBER(I283)*IF(ISNUMBER(H283),--(I283&lt;H283-0.5),1)+ISNUMBER(J283)*IF(ISNUMBER(I283),--(J283&lt;I283-0.5),1)+ISNUMBER(K283)*IF(ISNUMBER(J283),--(K283&lt;J283-0.5),1)+IF(AND(ISNUMBER(C283),C283&lt;0),1,0),1)</f>
        <v/>
      </c>
      <c r="BK283" s="23">
        <f>IFERROR(ISNUMBER(M283)*IF(ISNUMBER(L283),--(M283&lt;L283-0.5),1)+ISNUMBER(N283)*IF(ISNUMBER(M283),--(N283&lt;M283-0.5),1)+ISNUMBER(O283)*IF(ISNUMBER(N283),--(O283&lt;N283-0.5),1)+ISNUMBER(P283)*IF(ISNUMBER(O283),--(P283&lt;O283-0.5),1)+ISNUMBER(Q283)*IF(ISNUMBER(P283),--(Q283&lt;P283-0.5),1)+ISNUMBER(R283)*IF(ISNUMBER(Q283),--(R283&lt;Q283-0.5),1)+ISNUMBER(S283)*IF(ISNUMBER(R283),--(S283&lt;R283-0.5),1),1)</f>
        <v/>
      </c>
    </row>
    <row r="284">
      <c r="A284" s="23" t="n">
        <v>16</v>
      </c>
      <c r="B284" s="75" t="n">
        <v>1</v>
      </c>
      <c r="C284" s="157" t="n"/>
      <c r="D284" s="157" t="n"/>
      <c r="E284" s="157" t="n"/>
      <c r="F284" s="157" t="n"/>
      <c r="G284" s="157" t="n"/>
      <c r="H284" s="157" t="n"/>
      <c r="I284" s="157" t="n"/>
      <c r="J284" s="157" t="n"/>
      <c r="K284" s="157" t="n"/>
      <c r="L284" s="157" t="n"/>
      <c r="M284" s="157" t="n"/>
      <c r="N284" s="157" t="n"/>
      <c r="O284" s="157" t="n"/>
      <c r="P284" s="157" t="n"/>
      <c r="Q284" s="157" t="n"/>
      <c r="R284" s="157" t="n"/>
      <c r="S284" s="157" t="n"/>
      <c r="T284" s="157" t="n"/>
      <c r="U284" s="157" t="n"/>
      <c r="V284" s="157" t="n"/>
      <c r="W284" s="157" t="n"/>
      <c r="X284" s="157" t="n"/>
      <c r="Y284" s="157" t="n"/>
      <c r="Z284" s="157" t="n"/>
      <c r="AA284" s="157" t="n"/>
      <c r="AB284" s="157" t="n"/>
      <c r="AC284" s="157" t="n"/>
      <c r="AD284" s="157" t="n"/>
      <c r="AE284" s="157" t="n"/>
      <c r="AF284" s="157" t="n"/>
      <c r="AG284" s="157" t="n"/>
      <c r="AH284" s="157" t="n"/>
      <c r="AI284" s="157" t="n"/>
      <c r="AJ284" s="157" t="n"/>
      <c r="AK284" s="157" t="n"/>
      <c r="AL284" s="157" t="n"/>
      <c r="AM284" s="157" t="n"/>
      <c r="AN284" s="157" t="n"/>
      <c r="AO284" s="157" t="n"/>
      <c r="AP284" s="157" t="n"/>
      <c r="AQ284" s="157" t="n"/>
      <c r="AR284" s="157" t="n"/>
      <c r="AS284" s="157" t="n"/>
      <c r="AT284" s="157" t="n"/>
      <c r="AU284" s="157" t="n"/>
      <c r="AV284" s="157" t="n"/>
      <c r="AW284" s="157" t="n"/>
      <c r="AX284" s="157" t="n"/>
      <c r="AY284" s="157" t="n"/>
      <c r="AZ284" s="157" t="n"/>
      <c r="BA284" s="157" t="n"/>
      <c r="BB284" s="157" t="n"/>
      <c r="BC284" s="157" t="n"/>
      <c r="BD284" s="157" t="n"/>
      <c r="BE284" s="157" t="n"/>
      <c r="BF284" s="157" t="n"/>
      <c r="BG284" s="157" t="n"/>
      <c r="BH284" s="158" t="n"/>
      <c r="BI284" s="159" t="n"/>
      <c r="BJ284" s="23">
        <f>IFERROR(ISNUMBER(E284)*IF(ISNUMBER(D284),--(E284&lt;D284-0.5),1)+ISNUMBER(F284)*IF(ISNUMBER(E284),--(F284&lt;E284-0.5),1)+ISNUMBER(G284)*IF(ISNUMBER(F284),--(G284&lt;F284-0.5),1)+ISNUMBER(H284)*IF(ISNUMBER(G284),--(H284&lt;G284-0.5),1)+ISNUMBER(I284)*IF(ISNUMBER(H284),--(I284&lt;H284-0.5),1)+ISNUMBER(J284)*IF(ISNUMBER(I284),--(J284&lt;I284-0.5),1)+ISNUMBER(K284)*IF(ISNUMBER(J284),--(K284&lt;J284-0.5),1)+IF(AND(ISNUMBER(C284),C284&lt;0),1,0),1)</f>
        <v/>
      </c>
      <c r="BK284" s="23">
        <f>IFERROR(ISNUMBER(M284)*IF(ISNUMBER(L284),--(M284&lt;L284-0.5),1)+ISNUMBER(N284)*IF(ISNUMBER(M284),--(N284&lt;M284-0.5),1)+ISNUMBER(O284)*IF(ISNUMBER(N284),--(O284&lt;N284-0.5),1)+ISNUMBER(P284)*IF(ISNUMBER(O284),--(P284&lt;O284-0.5),1)+ISNUMBER(Q284)*IF(ISNUMBER(P284),--(Q284&lt;P284-0.5),1)+ISNUMBER(R284)*IF(ISNUMBER(Q284),--(R284&lt;Q284-0.5),1)+ISNUMBER(S284)*IF(ISNUMBER(R284),--(S284&lt;R284-0.5),1),1)</f>
        <v/>
      </c>
    </row>
    <row r="285">
      <c r="A285" s="23" t="n">
        <v>17</v>
      </c>
      <c r="B285" s="75" t="n">
        <v>1</v>
      </c>
      <c r="C285" s="157" t="n"/>
      <c r="D285" s="157" t="n"/>
      <c r="E285" s="157" t="n"/>
      <c r="F285" s="157" t="n"/>
      <c r="G285" s="157" t="n"/>
      <c r="H285" s="157" t="n"/>
      <c r="I285" s="157" t="n"/>
      <c r="J285" s="157" t="n"/>
      <c r="K285" s="157" t="n"/>
      <c r="L285" s="157" t="n"/>
      <c r="M285" s="157" t="n"/>
      <c r="N285" s="157" t="n"/>
      <c r="O285" s="157" t="n"/>
      <c r="P285" s="157" t="n"/>
      <c r="Q285" s="157" t="n"/>
      <c r="R285" s="157" t="n"/>
      <c r="S285" s="157" t="n"/>
      <c r="T285" s="157" t="n"/>
      <c r="U285" s="157" t="n"/>
      <c r="V285" s="157" t="n"/>
      <c r="W285" s="157" t="n"/>
      <c r="X285" s="157" t="n"/>
      <c r="Y285" s="157" t="n"/>
      <c r="Z285" s="157" t="n"/>
      <c r="AA285" s="157" t="n"/>
      <c r="AB285" s="157" t="n"/>
      <c r="AC285" s="157" t="n"/>
      <c r="AD285" s="157" t="n"/>
      <c r="AE285" s="157" t="n"/>
      <c r="AF285" s="157" t="n"/>
      <c r="AG285" s="157" t="n"/>
      <c r="AH285" s="157" t="n"/>
      <c r="AI285" s="157" t="n"/>
      <c r="AJ285" s="157" t="n"/>
      <c r="AK285" s="157" t="n"/>
      <c r="AL285" s="157" t="n"/>
      <c r="AM285" s="157" t="n"/>
      <c r="AN285" s="157" t="n"/>
      <c r="AO285" s="157" t="n"/>
      <c r="AP285" s="157" t="n"/>
      <c r="AQ285" s="157" t="n"/>
      <c r="AR285" s="157" t="n"/>
      <c r="AS285" s="157" t="n"/>
      <c r="AT285" s="157" t="n"/>
      <c r="AU285" s="157" t="n"/>
      <c r="AV285" s="157" t="n"/>
      <c r="AW285" s="157" t="n"/>
      <c r="AX285" s="157" t="n"/>
      <c r="AY285" s="157" t="n"/>
      <c r="AZ285" s="157" t="n"/>
      <c r="BA285" s="157" t="n"/>
      <c r="BB285" s="157" t="n"/>
      <c r="BC285" s="157" t="n"/>
      <c r="BD285" s="157" t="n"/>
      <c r="BE285" s="157" t="n"/>
      <c r="BF285" s="157" t="n"/>
      <c r="BG285" s="157" t="n"/>
      <c r="BH285" s="158" t="n"/>
      <c r="BI285" s="159" t="n"/>
      <c r="BJ285" s="23">
        <f>IFERROR(ISNUMBER(E285)*IF(ISNUMBER(D285),--(E285&lt;D285-0.5),1)+ISNUMBER(F285)*IF(ISNUMBER(E285),--(F285&lt;E285-0.5),1)+ISNUMBER(G285)*IF(ISNUMBER(F285),--(G285&lt;F285-0.5),1)+ISNUMBER(H285)*IF(ISNUMBER(G285),--(H285&lt;G285-0.5),1)+ISNUMBER(I285)*IF(ISNUMBER(H285),--(I285&lt;H285-0.5),1)+ISNUMBER(J285)*IF(ISNUMBER(I285),--(J285&lt;I285-0.5),1)+ISNUMBER(K285)*IF(ISNUMBER(J285),--(K285&lt;J285-0.5),1)+IF(AND(ISNUMBER(C285),C285&lt;0),1,0),1)</f>
        <v/>
      </c>
      <c r="BK285" s="23">
        <f>IFERROR(ISNUMBER(M285)*IF(ISNUMBER(L285),--(M285&lt;L285-0.5),1)+ISNUMBER(N285)*IF(ISNUMBER(M285),--(N285&lt;M285-0.5),1)+ISNUMBER(O285)*IF(ISNUMBER(N285),--(O285&lt;N285-0.5),1)+ISNUMBER(P285)*IF(ISNUMBER(O285),--(P285&lt;O285-0.5),1)+ISNUMBER(Q285)*IF(ISNUMBER(P285),--(Q285&lt;P285-0.5),1)+ISNUMBER(R285)*IF(ISNUMBER(Q285),--(R285&lt;Q285-0.5),1)+ISNUMBER(S285)*IF(ISNUMBER(R285),--(S285&lt;R285-0.5),1),1)</f>
        <v/>
      </c>
    </row>
    <row r="286">
      <c r="A286" s="23" t="n">
        <v>18</v>
      </c>
      <c r="B286" s="75" t="n">
        <v>1</v>
      </c>
      <c r="C286" s="157" t="n"/>
      <c r="D286" s="157" t="n"/>
      <c r="E286" s="157" t="n"/>
      <c r="F286" s="157" t="n"/>
      <c r="G286" s="157" t="n"/>
      <c r="H286" s="157" t="n"/>
      <c r="I286" s="157" t="n"/>
      <c r="J286" s="157" t="n"/>
      <c r="K286" s="157" t="n"/>
      <c r="L286" s="157" t="n"/>
      <c r="M286" s="157" t="n"/>
      <c r="N286" s="157" t="n"/>
      <c r="O286" s="157" t="n"/>
      <c r="P286" s="157" t="n"/>
      <c r="Q286" s="157" t="n"/>
      <c r="R286" s="157" t="n"/>
      <c r="S286" s="157" t="n"/>
      <c r="T286" s="157" t="n"/>
      <c r="U286" s="157" t="n"/>
      <c r="V286" s="157" t="n"/>
      <c r="W286" s="157" t="n"/>
      <c r="X286" s="157" t="n"/>
      <c r="Y286" s="157" t="n"/>
      <c r="Z286" s="157" t="n"/>
      <c r="AA286" s="157" t="n"/>
      <c r="AB286" s="157" t="n"/>
      <c r="AC286" s="157" t="n"/>
      <c r="AD286" s="157" t="n"/>
      <c r="AE286" s="157" t="n"/>
      <c r="AF286" s="157" t="n"/>
      <c r="AG286" s="157" t="n"/>
      <c r="AH286" s="157" t="n"/>
      <c r="AI286" s="157" t="n"/>
      <c r="AJ286" s="157" t="n"/>
      <c r="AK286" s="157" t="n"/>
      <c r="AL286" s="157" t="n"/>
      <c r="AM286" s="157" t="n"/>
      <c r="AN286" s="157" t="n"/>
      <c r="AO286" s="157" t="n"/>
      <c r="AP286" s="157" t="n"/>
      <c r="AQ286" s="157" t="n"/>
      <c r="AR286" s="157" t="n"/>
      <c r="AS286" s="157" t="n"/>
      <c r="AT286" s="157" t="n"/>
      <c r="AU286" s="157" t="n"/>
      <c r="AV286" s="157" t="n"/>
      <c r="AW286" s="157" t="n"/>
      <c r="AX286" s="157" t="n"/>
      <c r="AY286" s="157" t="n"/>
      <c r="AZ286" s="157" t="n"/>
      <c r="BA286" s="157" t="n"/>
      <c r="BB286" s="157" t="n"/>
      <c r="BC286" s="157" t="n"/>
      <c r="BD286" s="157" t="n"/>
      <c r="BE286" s="157" t="n"/>
      <c r="BF286" s="157" t="n"/>
      <c r="BG286" s="157" t="n"/>
      <c r="BH286" s="158" t="n"/>
      <c r="BI286" s="159" t="n"/>
      <c r="BJ286" s="23">
        <f>IFERROR(ISNUMBER(E286)*IF(ISNUMBER(D286),--(E286&lt;D286-0.5),1)+ISNUMBER(F286)*IF(ISNUMBER(E286),--(F286&lt;E286-0.5),1)+ISNUMBER(G286)*IF(ISNUMBER(F286),--(G286&lt;F286-0.5),1)+ISNUMBER(H286)*IF(ISNUMBER(G286),--(H286&lt;G286-0.5),1)+ISNUMBER(I286)*IF(ISNUMBER(H286),--(I286&lt;H286-0.5),1)+ISNUMBER(J286)*IF(ISNUMBER(I286),--(J286&lt;I286-0.5),1)+ISNUMBER(K286)*IF(ISNUMBER(J286),--(K286&lt;J286-0.5),1)+IF(AND(ISNUMBER(C286),C286&lt;0),1,0),1)</f>
        <v/>
      </c>
      <c r="BK286" s="23">
        <f>IFERROR(ISNUMBER(M286)*IF(ISNUMBER(L286),--(M286&lt;L286-0.5),1)+ISNUMBER(N286)*IF(ISNUMBER(M286),--(N286&lt;M286-0.5),1)+ISNUMBER(O286)*IF(ISNUMBER(N286),--(O286&lt;N286-0.5),1)+ISNUMBER(P286)*IF(ISNUMBER(O286),--(P286&lt;O286-0.5),1)+ISNUMBER(Q286)*IF(ISNUMBER(P286),--(Q286&lt;P286-0.5),1)+ISNUMBER(R286)*IF(ISNUMBER(Q286),--(R286&lt;Q286-0.5),1)+ISNUMBER(S286)*IF(ISNUMBER(R286),--(S286&lt;R286-0.5),1),1)</f>
        <v/>
      </c>
    </row>
    <row r="287">
      <c r="A287" s="23" t="n">
        <v>19</v>
      </c>
      <c r="B287" s="75" t="n">
        <v>1</v>
      </c>
      <c r="C287" s="157" t="n"/>
      <c r="D287" s="157" t="n"/>
      <c r="E287" s="157" t="n"/>
      <c r="F287" s="157" t="n"/>
      <c r="G287" s="157" t="n"/>
      <c r="H287" s="157" t="n"/>
      <c r="I287" s="157" t="n"/>
      <c r="J287" s="157" t="n"/>
      <c r="K287" s="157" t="n"/>
      <c r="L287" s="157" t="n"/>
      <c r="M287" s="157" t="n"/>
      <c r="N287" s="157" t="n"/>
      <c r="O287" s="157" t="n"/>
      <c r="P287" s="157" t="n"/>
      <c r="Q287" s="157" t="n"/>
      <c r="R287" s="157" t="n"/>
      <c r="S287" s="157" t="n"/>
      <c r="T287" s="157" t="n"/>
      <c r="U287" s="157" t="n"/>
      <c r="V287" s="157" t="n"/>
      <c r="W287" s="157" t="n"/>
      <c r="X287" s="157" t="n"/>
      <c r="Y287" s="157" t="n"/>
      <c r="Z287" s="157" t="n"/>
      <c r="AA287" s="157" t="n"/>
      <c r="AB287" s="157" t="n"/>
      <c r="AC287" s="157" t="n"/>
      <c r="AD287" s="157" t="n"/>
      <c r="AE287" s="157" t="n"/>
      <c r="AF287" s="157" t="n"/>
      <c r="AG287" s="157" t="n"/>
      <c r="AH287" s="157" t="n"/>
      <c r="AI287" s="157" t="n"/>
      <c r="AJ287" s="157" t="n"/>
      <c r="AK287" s="157" t="n"/>
      <c r="AL287" s="157" t="n"/>
      <c r="AM287" s="157" t="n"/>
      <c r="AN287" s="157" t="n"/>
      <c r="AO287" s="157" t="n"/>
      <c r="AP287" s="157" t="n"/>
      <c r="AQ287" s="157" t="n"/>
      <c r="AR287" s="157" t="n"/>
      <c r="AS287" s="157" t="n"/>
      <c r="AT287" s="157" t="n"/>
      <c r="AU287" s="157" t="n"/>
      <c r="AV287" s="157" t="n"/>
      <c r="AW287" s="157" t="n"/>
      <c r="AX287" s="157" t="n"/>
      <c r="AY287" s="157" t="n"/>
      <c r="AZ287" s="157" t="n"/>
      <c r="BA287" s="157" t="n"/>
      <c r="BB287" s="157" t="n"/>
      <c r="BC287" s="157" t="n"/>
      <c r="BD287" s="157" t="n"/>
      <c r="BE287" s="157" t="n"/>
      <c r="BF287" s="157" t="n"/>
      <c r="BG287" s="157" t="n"/>
      <c r="BH287" s="158" t="n"/>
      <c r="BI287" s="159" t="n"/>
      <c r="BJ287" s="23">
        <f>IFERROR(ISNUMBER(E287)*IF(ISNUMBER(D287),--(E287&lt;D287-0.5),1)+ISNUMBER(F287)*IF(ISNUMBER(E287),--(F287&lt;E287-0.5),1)+ISNUMBER(G287)*IF(ISNUMBER(F287),--(G287&lt;F287-0.5),1)+ISNUMBER(H287)*IF(ISNUMBER(G287),--(H287&lt;G287-0.5),1)+ISNUMBER(I287)*IF(ISNUMBER(H287),--(I287&lt;H287-0.5),1)+ISNUMBER(J287)*IF(ISNUMBER(I287),--(J287&lt;I287-0.5),1)+ISNUMBER(K287)*IF(ISNUMBER(J287),--(K287&lt;J287-0.5),1)+IF(AND(ISNUMBER(C287),C287&lt;0),1,0),1)</f>
        <v/>
      </c>
      <c r="BK287" s="23">
        <f>IFERROR(ISNUMBER(M287)*IF(ISNUMBER(L287),--(M287&lt;L287-0.5),1)+ISNUMBER(N287)*IF(ISNUMBER(M287),--(N287&lt;M287-0.5),1)+ISNUMBER(O287)*IF(ISNUMBER(N287),--(O287&lt;N287-0.5),1)+ISNUMBER(P287)*IF(ISNUMBER(O287),--(P287&lt;O287-0.5),1)+ISNUMBER(Q287)*IF(ISNUMBER(P287),--(Q287&lt;P287-0.5),1)+ISNUMBER(R287)*IF(ISNUMBER(Q287),--(R287&lt;Q287-0.5),1)+ISNUMBER(S287)*IF(ISNUMBER(R287),--(S287&lt;R287-0.5),1),1)</f>
        <v/>
      </c>
    </row>
    <row r="288">
      <c r="A288" s="23" t="n">
        <v>20</v>
      </c>
      <c r="B288" s="75" t="n">
        <v>1</v>
      </c>
      <c r="C288" s="157" t="n"/>
      <c r="D288" s="157" t="n"/>
      <c r="E288" s="157" t="n"/>
      <c r="F288" s="157" t="n"/>
      <c r="G288" s="157" t="n"/>
      <c r="H288" s="157" t="n"/>
      <c r="I288" s="157" t="n"/>
      <c r="J288" s="157" t="n"/>
      <c r="K288" s="157" t="n"/>
      <c r="L288" s="157" t="n"/>
      <c r="M288" s="157" t="n"/>
      <c r="N288" s="157" t="n"/>
      <c r="O288" s="157" t="n"/>
      <c r="P288" s="157" t="n"/>
      <c r="Q288" s="157" t="n"/>
      <c r="R288" s="157" t="n"/>
      <c r="S288" s="157" t="n"/>
      <c r="T288" s="157" t="n"/>
      <c r="U288" s="157" t="n"/>
      <c r="V288" s="157" t="n"/>
      <c r="W288" s="157" t="n"/>
      <c r="X288" s="157" t="n"/>
      <c r="Y288" s="157" t="n"/>
      <c r="Z288" s="157" t="n"/>
      <c r="AA288" s="157" t="n"/>
      <c r="AB288" s="157" t="n"/>
      <c r="AC288" s="157" t="n"/>
      <c r="AD288" s="157" t="n"/>
      <c r="AE288" s="157" t="n"/>
      <c r="AF288" s="157" t="n"/>
      <c r="AG288" s="157" t="n"/>
      <c r="AH288" s="157" t="n"/>
      <c r="AI288" s="157" t="n"/>
      <c r="AJ288" s="157" t="n"/>
      <c r="AK288" s="157" t="n"/>
      <c r="AL288" s="157" t="n"/>
      <c r="AM288" s="157" t="n"/>
      <c r="AN288" s="157" t="n"/>
      <c r="AO288" s="157" t="n"/>
      <c r="AP288" s="157" t="n"/>
      <c r="AQ288" s="157" t="n"/>
      <c r="AR288" s="157" t="n"/>
      <c r="AS288" s="157" t="n"/>
      <c r="AT288" s="157" t="n"/>
      <c r="AU288" s="157" t="n"/>
      <c r="AV288" s="157" t="n"/>
      <c r="AW288" s="157" t="n"/>
      <c r="AX288" s="157" t="n"/>
      <c r="AY288" s="157" t="n"/>
      <c r="AZ288" s="157" t="n"/>
      <c r="BA288" s="157" t="n"/>
      <c r="BB288" s="157" t="n"/>
      <c r="BC288" s="157" t="n"/>
      <c r="BD288" s="157" t="n"/>
      <c r="BE288" s="157" t="n"/>
      <c r="BF288" s="157" t="n"/>
      <c r="BG288" s="157" t="n"/>
      <c r="BH288" s="158" t="n"/>
      <c r="BI288" s="159" t="n"/>
      <c r="BJ288" s="23">
        <f>IFERROR(ISNUMBER(E288)*IF(ISNUMBER(D288),--(E288&lt;D288-0.5),1)+ISNUMBER(F288)*IF(ISNUMBER(E288),--(F288&lt;E288-0.5),1)+ISNUMBER(G288)*IF(ISNUMBER(F288),--(G288&lt;F288-0.5),1)+ISNUMBER(H288)*IF(ISNUMBER(G288),--(H288&lt;G288-0.5),1)+ISNUMBER(I288)*IF(ISNUMBER(H288),--(I288&lt;H288-0.5),1)+ISNUMBER(J288)*IF(ISNUMBER(I288),--(J288&lt;I288-0.5),1)+ISNUMBER(K288)*IF(ISNUMBER(J288),--(K288&lt;J288-0.5),1)+IF(AND(ISNUMBER(C288),C288&lt;0),1,0),1)</f>
        <v/>
      </c>
      <c r="BK288" s="23">
        <f>IFERROR(ISNUMBER(M288)*IF(ISNUMBER(L288),--(M288&lt;L288-0.5),1)+ISNUMBER(N288)*IF(ISNUMBER(M288),--(N288&lt;M288-0.5),1)+ISNUMBER(O288)*IF(ISNUMBER(N288),--(O288&lt;N288-0.5),1)+ISNUMBER(P288)*IF(ISNUMBER(O288),--(P288&lt;O288-0.5),1)+ISNUMBER(Q288)*IF(ISNUMBER(P288),--(Q288&lt;P288-0.5),1)+ISNUMBER(R288)*IF(ISNUMBER(Q288),--(R288&lt;Q288-0.5),1)+ISNUMBER(S288)*IF(ISNUMBER(R288),--(S288&lt;R288-0.5),1),1)</f>
        <v/>
      </c>
    </row>
    <row r="289">
      <c r="A289" s="23" t="n">
        <v>21</v>
      </c>
      <c r="B289" s="75" t="n">
        <v>1</v>
      </c>
      <c r="C289" s="157" t="n"/>
      <c r="D289" s="157" t="n"/>
      <c r="E289" s="157" t="n"/>
      <c r="F289" s="157" t="n"/>
      <c r="G289" s="157" t="n"/>
      <c r="H289" s="157" t="n"/>
      <c r="I289" s="157" t="n"/>
      <c r="J289" s="157" t="n"/>
      <c r="K289" s="157" t="n"/>
      <c r="L289" s="157" t="n"/>
      <c r="M289" s="157" t="n"/>
      <c r="N289" s="157" t="n"/>
      <c r="O289" s="157" t="n"/>
      <c r="P289" s="157" t="n"/>
      <c r="Q289" s="157" t="n"/>
      <c r="R289" s="157" t="n"/>
      <c r="S289" s="157" t="n"/>
      <c r="T289" s="157" t="n"/>
      <c r="U289" s="157" t="n"/>
      <c r="V289" s="157" t="n"/>
      <c r="W289" s="157" t="n"/>
      <c r="X289" s="157" t="n"/>
      <c r="Y289" s="157" t="n"/>
      <c r="Z289" s="157" t="n"/>
      <c r="AA289" s="157" t="n"/>
      <c r="AB289" s="157" t="n"/>
      <c r="AC289" s="157" t="n"/>
      <c r="AD289" s="157" t="n"/>
      <c r="AE289" s="157" t="n"/>
      <c r="AF289" s="157" t="n"/>
      <c r="AG289" s="157" t="n"/>
      <c r="AH289" s="157" t="n"/>
      <c r="AI289" s="157" t="n"/>
      <c r="AJ289" s="157" t="n"/>
      <c r="AK289" s="157" t="n"/>
      <c r="AL289" s="157" t="n"/>
      <c r="AM289" s="157" t="n"/>
      <c r="AN289" s="157" t="n"/>
      <c r="AO289" s="157" t="n"/>
      <c r="AP289" s="157" t="n"/>
      <c r="AQ289" s="157" t="n"/>
      <c r="AR289" s="157" t="n"/>
      <c r="AS289" s="157" t="n"/>
      <c r="AT289" s="157" t="n"/>
      <c r="AU289" s="157" t="n"/>
      <c r="AV289" s="157" t="n"/>
      <c r="AW289" s="157" t="n"/>
      <c r="AX289" s="157" t="n"/>
      <c r="AY289" s="157" t="n"/>
      <c r="AZ289" s="157" t="n"/>
      <c r="BA289" s="157" t="n"/>
      <c r="BB289" s="157" t="n"/>
      <c r="BC289" s="157" t="n"/>
      <c r="BD289" s="157" t="n"/>
      <c r="BE289" s="157" t="n"/>
      <c r="BF289" s="157" t="n"/>
      <c r="BG289" s="157" t="n"/>
      <c r="BH289" s="158" t="n"/>
      <c r="BI289" s="159" t="n"/>
      <c r="BJ289" s="23">
        <f>IFERROR(ISNUMBER(E289)*IF(ISNUMBER(D289),--(E289&lt;D289-0.5),1)+ISNUMBER(F289)*IF(ISNUMBER(E289),--(F289&lt;E289-0.5),1)+ISNUMBER(G289)*IF(ISNUMBER(F289),--(G289&lt;F289-0.5),1)+ISNUMBER(H289)*IF(ISNUMBER(G289),--(H289&lt;G289-0.5),1)+ISNUMBER(I289)*IF(ISNUMBER(H289),--(I289&lt;H289-0.5),1)+ISNUMBER(J289)*IF(ISNUMBER(I289),--(J289&lt;I289-0.5),1)+ISNUMBER(K289)*IF(ISNUMBER(J289),--(K289&lt;J289-0.5),1)+IF(AND(ISNUMBER(C289),C289&lt;0),1,0),1)</f>
        <v/>
      </c>
      <c r="BK289" s="23">
        <f>IFERROR(ISNUMBER(M289)*IF(ISNUMBER(L289),--(M289&lt;L289-0.5),1)+ISNUMBER(N289)*IF(ISNUMBER(M289),--(N289&lt;M289-0.5),1)+ISNUMBER(O289)*IF(ISNUMBER(N289),--(O289&lt;N289-0.5),1)+ISNUMBER(P289)*IF(ISNUMBER(O289),--(P289&lt;O289-0.5),1)+ISNUMBER(Q289)*IF(ISNUMBER(P289),--(Q289&lt;P289-0.5),1)+ISNUMBER(R289)*IF(ISNUMBER(Q289),--(R289&lt;Q289-0.5),1)+ISNUMBER(S289)*IF(ISNUMBER(R289),--(S289&lt;R289-0.5),1),1)</f>
        <v/>
      </c>
    </row>
    <row r="290">
      <c r="A290" s="23" t="n">
        <v>22</v>
      </c>
      <c r="B290" s="75" t="n">
        <v>1</v>
      </c>
      <c r="C290" s="157" t="n"/>
      <c r="D290" s="157" t="n"/>
      <c r="E290" s="157" t="n"/>
      <c r="F290" s="157" t="n"/>
      <c r="G290" s="157" t="n"/>
      <c r="H290" s="157" t="n"/>
      <c r="I290" s="157" t="n"/>
      <c r="J290" s="157" t="n"/>
      <c r="K290" s="157" t="n"/>
      <c r="L290" s="157" t="n"/>
      <c r="M290" s="157" t="n"/>
      <c r="N290" s="157" t="n"/>
      <c r="O290" s="157" t="n"/>
      <c r="P290" s="157" t="n"/>
      <c r="Q290" s="157" t="n"/>
      <c r="R290" s="157" t="n"/>
      <c r="S290" s="157" t="n"/>
      <c r="T290" s="157" t="n"/>
      <c r="U290" s="157" t="n"/>
      <c r="V290" s="157" t="n"/>
      <c r="W290" s="157" t="n"/>
      <c r="X290" s="157" t="n"/>
      <c r="Y290" s="157" t="n"/>
      <c r="Z290" s="157" t="n"/>
      <c r="AA290" s="157" t="n"/>
      <c r="AB290" s="157" t="n"/>
      <c r="AC290" s="157" t="n"/>
      <c r="AD290" s="157" t="n"/>
      <c r="AE290" s="157" t="n"/>
      <c r="AF290" s="157" t="n"/>
      <c r="AG290" s="157" t="n"/>
      <c r="AH290" s="157" t="n"/>
      <c r="AI290" s="157" t="n"/>
      <c r="AJ290" s="157" t="n"/>
      <c r="AK290" s="157" t="n"/>
      <c r="AL290" s="157" t="n"/>
      <c r="AM290" s="157" t="n"/>
      <c r="AN290" s="157" t="n"/>
      <c r="AO290" s="157" t="n"/>
      <c r="AP290" s="157" t="n"/>
      <c r="AQ290" s="157" t="n"/>
      <c r="AR290" s="157" t="n"/>
      <c r="AS290" s="157" t="n"/>
      <c r="AT290" s="157" t="n"/>
      <c r="AU290" s="157" t="n"/>
      <c r="AV290" s="157" t="n"/>
      <c r="AW290" s="157" t="n"/>
      <c r="AX290" s="157" t="n"/>
      <c r="AY290" s="157" t="n"/>
      <c r="AZ290" s="157" t="n"/>
      <c r="BA290" s="157" t="n"/>
      <c r="BB290" s="157" t="n"/>
      <c r="BC290" s="157" t="n"/>
      <c r="BD290" s="157" t="n"/>
      <c r="BE290" s="157" t="n"/>
      <c r="BF290" s="157" t="n"/>
      <c r="BG290" s="157" t="n"/>
      <c r="BH290" s="158" t="n"/>
      <c r="BI290" s="159" t="n"/>
      <c r="BJ290" s="23">
        <f>IFERROR(ISNUMBER(E290)*IF(ISNUMBER(D290),--(E290&lt;D290-0.5),1)+ISNUMBER(F290)*IF(ISNUMBER(E290),--(F290&lt;E290-0.5),1)+ISNUMBER(G290)*IF(ISNUMBER(F290),--(G290&lt;F290-0.5),1)+ISNUMBER(H290)*IF(ISNUMBER(G290),--(H290&lt;G290-0.5),1)+ISNUMBER(I290)*IF(ISNUMBER(H290),--(I290&lt;H290-0.5),1)+ISNUMBER(J290)*IF(ISNUMBER(I290),--(J290&lt;I290-0.5),1)+ISNUMBER(K290)*IF(ISNUMBER(J290),--(K290&lt;J290-0.5),1)+IF(AND(ISNUMBER(C290),C290&lt;0),1,0),1)</f>
        <v/>
      </c>
      <c r="BK290" s="23">
        <f>IFERROR(ISNUMBER(M290)*IF(ISNUMBER(L290),--(M290&lt;L290-0.5),1)+ISNUMBER(N290)*IF(ISNUMBER(M290),--(N290&lt;M290-0.5),1)+ISNUMBER(O290)*IF(ISNUMBER(N290),--(O290&lt;N290-0.5),1)+ISNUMBER(P290)*IF(ISNUMBER(O290),--(P290&lt;O290-0.5),1)+ISNUMBER(Q290)*IF(ISNUMBER(P290),--(Q290&lt;P290-0.5),1)+ISNUMBER(R290)*IF(ISNUMBER(Q290),--(R290&lt;Q290-0.5),1)+ISNUMBER(S290)*IF(ISNUMBER(R290),--(S290&lt;R290-0.5),1),1)</f>
        <v/>
      </c>
    </row>
    <row r="291">
      <c r="A291" s="23" t="n">
        <v>23</v>
      </c>
      <c r="B291" s="75" t="n">
        <v>1</v>
      </c>
      <c r="C291" s="157" t="n"/>
      <c r="D291" s="157" t="n"/>
      <c r="E291" s="157" t="n"/>
      <c r="F291" s="157" t="n"/>
      <c r="G291" s="157" t="n"/>
      <c r="H291" s="157" t="n"/>
      <c r="I291" s="157" t="n"/>
      <c r="J291" s="157" t="n"/>
      <c r="K291" s="157" t="n"/>
      <c r="L291" s="157" t="n"/>
      <c r="M291" s="157" t="n"/>
      <c r="N291" s="157" t="n"/>
      <c r="O291" s="157" t="n"/>
      <c r="P291" s="157" t="n"/>
      <c r="Q291" s="157" t="n"/>
      <c r="R291" s="157" t="n"/>
      <c r="S291" s="157" t="n"/>
      <c r="T291" s="157" t="n"/>
      <c r="U291" s="157" t="n"/>
      <c r="V291" s="157" t="n"/>
      <c r="W291" s="157" t="n"/>
      <c r="X291" s="157" t="n"/>
      <c r="Y291" s="157" t="n"/>
      <c r="Z291" s="157" t="n"/>
      <c r="AA291" s="157" t="n"/>
      <c r="AB291" s="157" t="n"/>
      <c r="AC291" s="157" t="n"/>
      <c r="AD291" s="157" t="n"/>
      <c r="AE291" s="157" t="n"/>
      <c r="AF291" s="157" t="n"/>
      <c r="AG291" s="157" t="n"/>
      <c r="AH291" s="157" t="n"/>
      <c r="AI291" s="157" t="n"/>
      <c r="AJ291" s="157" t="n"/>
      <c r="AK291" s="157" t="n"/>
      <c r="AL291" s="157" t="n"/>
      <c r="AM291" s="157" t="n"/>
      <c r="AN291" s="157" t="n"/>
      <c r="AO291" s="157" t="n"/>
      <c r="AP291" s="157" t="n"/>
      <c r="AQ291" s="157" t="n"/>
      <c r="AR291" s="157" t="n"/>
      <c r="AS291" s="157" t="n"/>
      <c r="AT291" s="157" t="n"/>
      <c r="AU291" s="157" t="n"/>
      <c r="AV291" s="157" t="n"/>
      <c r="AW291" s="157" t="n"/>
      <c r="AX291" s="157" t="n"/>
      <c r="AY291" s="157" t="n"/>
      <c r="AZ291" s="157" t="n"/>
      <c r="BA291" s="157" t="n"/>
      <c r="BB291" s="157" t="n"/>
      <c r="BC291" s="157" t="n"/>
      <c r="BD291" s="157" t="n"/>
      <c r="BE291" s="157" t="n"/>
      <c r="BF291" s="157" t="n"/>
      <c r="BG291" s="157" t="n"/>
      <c r="BH291" s="158" t="n"/>
      <c r="BI291" s="159" t="n"/>
      <c r="BJ291" s="23">
        <f>IFERROR(ISNUMBER(E291)*IF(ISNUMBER(D291),--(E291&lt;D291-0.5),1)+ISNUMBER(F291)*IF(ISNUMBER(E291),--(F291&lt;E291-0.5),1)+ISNUMBER(G291)*IF(ISNUMBER(F291),--(G291&lt;F291-0.5),1)+ISNUMBER(H291)*IF(ISNUMBER(G291),--(H291&lt;G291-0.5),1)+ISNUMBER(I291)*IF(ISNUMBER(H291),--(I291&lt;H291-0.5),1)+ISNUMBER(J291)*IF(ISNUMBER(I291),--(J291&lt;I291-0.5),1)+ISNUMBER(K291)*IF(ISNUMBER(J291),--(K291&lt;J291-0.5),1)+IF(AND(ISNUMBER(C291),C291&lt;0),1,0),1)</f>
        <v/>
      </c>
      <c r="BK291" s="23">
        <f>IFERROR(ISNUMBER(M291)*IF(ISNUMBER(L291),--(M291&lt;L291-0.5),1)+ISNUMBER(N291)*IF(ISNUMBER(M291),--(N291&lt;M291-0.5),1)+ISNUMBER(O291)*IF(ISNUMBER(N291),--(O291&lt;N291-0.5),1)+ISNUMBER(P291)*IF(ISNUMBER(O291),--(P291&lt;O291-0.5),1)+ISNUMBER(Q291)*IF(ISNUMBER(P291),--(Q291&lt;P291-0.5),1)+ISNUMBER(R291)*IF(ISNUMBER(Q291),--(R291&lt;Q291-0.5),1)+ISNUMBER(S291)*IF(ISNUMBER(R291),--(S291&lt;R291-0.5),1),1)</f>
        <v/>
      </c>
    </row>
    <row r="292">
      <c r="A292" s="23" t="n">
        <v>24</v>
      </c>
      <c r="B292" s="75" t="n">
        <v>1</v>
      </c>
      <c r="C292" s="157" t="n"/>
      <c r="D292" s="157" t="n"/>
      <c r="E292" s="157" t="n"/>
      <c r="F292" s="157" t="n"/>
      <c r="G292" s="157" t="n"/>
      <c r="H292" s="157" t="n"/>
      <c r="I292" s="157" t="n"/>
      <c r="J292" s="157" t="n"/>
      <c r="K292" s="157" t="n"/>
      <c r="L292" s="157" t="n"/>
      <c r="M292" s="157" t="n"/>
      <c r="N292" s="157" t="n"/>
      <c r="O292" s="157" t="n"/>
      <c r="P292" s="157" t="n"/>
      <c r="Q292" s="157" t="n"/>
      <c r="R292" s="157" t="n"/>
      <c r="S292" s="157" t="n"/>
      <c r="T292" s="157" t="n"/>
      <c r="U292" s="157" t="n"/>
      <c r="V292" s="157" t="n"/>
      <c r="W292" s="157" t="n"/>
      <c r="X292" s="157" t="n"/>
      <c r="Y292" s="157" t="n"/>
      <c r="Z292" s="157" t="n"/>
      <c r="AA292" s="157" t="n"/>
      <c r="AB292" s="157" t="n"/>
      <c r="AC292" s="157" t="n"/>
      <c r="AD292" s="157" t="n"/>
      <c r="AE292" s="157" t="n"/>
      <c r="AF292" s="157" t="n"/>
      <c r="AG292" s="157" t="n"/>
      <c r="AH292" s="157" t="n"/>
      <c r="AI292" s="157" t="n"/>
      <c r="AJ292" s="157" t="n"/>
      <c r="AK292" s="157" t="n"/>
      <c r="AL292" s="157" t="n"/>
      <c r="AM292" s="157" t="n"/>
      <c r="AN292" s="157" t="n"/>
      <c r="AO292" s="157" t="n"/>
      <c r="AP292" s="157" t="n"/>
      <c r="AQ292" s="157" t="n"/>
      <c r="AR292" s="157" t="n"/>
      <c r="AS292" s="157" t="n"/>
      <c r="AT292" s="157" t="n"/>
      <c r="AU292" s="157" t="n"/>
      <c r="AV292" s="157" t="n"/>
      <c r="AW292" s="157" t="n"/>
      <c r="AX292" s="157" t="n"/>
      <c r="AY292" s="157" t="n"/>
      <c r="AZ292" s="157" t="n"/>
      <c r="BA292" s="157" t="n"/>
      <c r="BB292" s="157" t="n"/>
      <c r="BC292" s="157" t="n"/>
      <c r="BD292" s="157" t="n"/>
      <c r="BE292" s="157" t="n"/>
      <c r="BF292" s="157" t="n"/>
      <c r="BG292" s="157" t="n"/>
      <c r="BH292" s="158" t="n"/>
      <c r="BI292" s="159" t="n"/>
      <c r="BJ292" s="23">
        <f>IFERROR(ISNUMBER(E292)*IF(ISNUMBER(D292),--(E292&lt;D292-0.5),1)+ISNUMBER(F292)*IF(ISNUMBER(E292),--(F292&lt;E292-0.5),1)+ISNUMBER(G292)*IF(ISNUMBER(F292),--(G292&lt;F292-0.5),1)+ISNUMBER(H292)*IF(ISNUMBER(G292),--(H292&lt;G292-0.5),1)+ISNUMBER(I292)*IF(ISNUMBER(H292),--(I292&lt;H292-0.5),1)+ISNUMBER(J292)*IF(ISNUMBER(I292),--(J292&lt;I292-0.5),1)+ISNUMBER(K292)*IF(ISNUMBER(J292),--(K292&lt;J292-0.5),1)+IF(AND(ISNUMBER(C292),C292&lt;0),1,0),1)</f>
        <v/>
      </c>
      <c r="BK292" s="23">
        <f>IFERROR(ISNUMBER(M292)*IF(ISNUMBER(L292),--(M292&lt;L292-0.5),1)+ISNUMBER(N292)*IF(ISNUMBER(M292),--(N292&lt;M292-0.5),1)+ISNUMBER(O292)*IF(ISNUMBER(N292),--(O292&lt;N292-0.5),1)+ISNUMBER(P292)*IF(ISNUMBER(O292),--(P292&lt;O292-0.5),1)+ISNUMBER(Q292)*IF(ISNUMBER(P292),--(Q292&lt;P292-0.5),1)+ISNUMBER(R292)*IF(ISNUMBER(Q292),--(R292&lt;Q292-0.5),1)+ISNUMBER(S292)*IF(ISNUMBER(R292),--(S292&lt;R292-0.5),1),1)</f>
        <v/>
      </c>
    </row>
    <row r="293">
      <c r="A293" s="23" t="n">
        <v>25</v>
      </c>
      <c r="B293" s="75" t="n">
        <v>1</v>
      </c>
      <c r="C293" s="157" t="n"/>
      <c r="D293" s="157" t="n"/>
      <c r="E293" s="157" t="n"/>
      <c r="F293" s="157" t="n"/>
      <c r="G293" s="157" t="n"/>
      <c r="H293" s="157" t="n"/>
      <c r="I293" s="157" t="n"/>
      <c r="J293" s="157" t="n"/>
      <c r="K293" s="157" t="n"/>
      <c r="L293" s="157" t="n"/>
      <c r="M293" s="157" t="n"/>
      <c r="N293" s="157" t="n"/>
      <c r="O293" s="157" t="n"/>
      <c r="P293" s="157" t="n"/>
      <c r="Q293" s="157" t="n"/>
      <c r="R293" s="157" t="n"/>
      <c r="S293" s="157" t="n"/>
      <c r="T293" s="157" t="n"/>
      <c r="U293" s="157" t="n"/>
      <c r="V293" s="157" t="n"/>
      <c r="W293" s="157" t="n"/>
      <c r="X293" s="157" t="n"/>
      <c r="Y293" s="157" t="n"/>
      <c r="Z293" s="157" t="n"/>
      <c r="AA293" s="157" t="n"/>
      <c r="AB293" s="157" t="n"/>
      <c r="AC293" s="157" t="n"/>
      <c r="AD293" s="157" t="n"/>
      <c r="AE293" s="157" t="n"/>
      <c r="AF293" s="157" t="n"/>
      <c r="AG293" s="157" t="n"/>
      <c r="AH293" s="157" t="n"/>
      <c r="AI293" s="157" t="n"/>
      <c r="AJ293" s="157" t="n"/>
      <c r="AK293" s="157" t="n"/>
      <c r="AL293" s="157" t="n"/>
      <c r="AM293" s="157" t="n"/>
      <c r="AN293" s="157" t="n"/>
      <c r="AO293" s="157" t="n"/>
      <c r="AP293" s="157" t="n"/>
      <c r="AQ293" s="157" t="n"/>
      <c r="AR293" s="157" t="n"/>
      <c r="AS293" s="157" t="n"/>
      <c r="AT293" s="157" t="n"/>
      <c r="AU293" s="157" t="n"/>
      <c r="AV293" s="157" t="n"/>
      <c r="AW293" s="157" t="n"/>
      <c r="AX293" s="157" t="n"/>
      <c r="AY293" s="157" t="n"/>
      <c r="AZ293" s="157" t="n"/>
      <c r="BA293" s="157" t="n"/>
      <c r="BB293" s="157" t="n"/>
      <c r="BC293" s="157" t="n"/>
      <c r="BD293" s="157" t="n"/>
      <c r="BE293" s="157" t="n"/>
      <c r="BF293" s="157" t="n"/>
      <c r="BG293" s="157" t="n"/>
      <c r="BH293" s="158" t="n"/>
      <c r="BI293" s="159" t="n"/>
      <c r="BJ293" s="23">
        <f>IFERROR(ISNUMBER(E293)*IF(ISNUMBER(D293),--(E293&lt;D293-0.5),1)+ISNUMBER(F293)*IF(ISNUMBER(E293),--(F293&lt;E293-0.5),1)+ISNUMBER(G293)*IF(ISNUMBER(F293),--(G293&lt;F293-0.5),1)+ISNUMBER(H293)*IF(ISNUMBER(G293),--(H293&lt;G293-0.5),1)+ISNUMBER(I293)*IF(ISNUMBER(H293),--(I293&lt;H293-0.5),1)+ISNUMBER(J293)*IF(ISNUMBER(I293),--(J293&lt;I293-0.5),1)+ISNUMBER(K293)*IF(ISNUMBER(J293),--(K293&lt;J293-0.5),1)+IF(AND(ISNUMBER(C293),C293&lt;0),1,0),1)</f>
        <v/>
      </c>
      <c r="BK293" s="23">
        <f>IFERROR(ISNUMBER(M293)*IF(ISNUMBER(L293),--(M293&lt;L293-0.5),1)+ISNUMBER(N293)*IF(ISNUMBER(M293),--(N293&lt;M293-0.5),1)+ISNUMBER(O293)*IF(ISNUMBER(N293),--(O293&lt;N293-0.5),1)+ISNUMBER(P293)*IF(ISNUMBER(O293),--(P293&lt;O293-0.5),1)+ISNUMBER(Q293)*IF(ISNUMBER(P293),--(Q293&lt;P293-0.5),1)+ISNUMBER(R293)*IF(ISNUMBER(Q293),--(R293&lt;Q293-0.5),1)+ISNUMBER(S293)*IF(ISNUMBER(R293),--(S293&lt;R293-0.5),1),1)</f>
        <v/>
      </c>
    </row>
    <row r="294">
      <c r="A294" s="23" t="n">
        <v>26</v>
      </c>
      <c r="B294" s="75" t="n">
        <v>1</v>
      </c>
      <c r="C294" s="157" t="n"/>
      <c r="D294" s="157" t="n"/>
      <c r="E294" s="157" t="n"/>
      <c r="F294" s="157" t="n"/>
      <c r="G294" s="157" t="n"/>
      <c r="H294" s="157" t="n"/>
      <c r="I294" s="157" t="n"/>
      <c r="J294" s="157" t="n"/>
      <c r="K294" s="157" t="n"/>
      <c r="L294" s="157" t="n"/>
      <c r="M294" s="157" t="n"/>
      <c r="N294" s="157" t="n"/>
      <c r="O294" s="157" t="n"/>
      <c r="P294" s="157" t="n"/>
      <c r="Q294" s="157" t="n"/>
      <c r="R294" s="157" t="n"/>
      <c r="S294" s="157" t="n"/>
      <c r="T294" s="157" t="n"/>
      <c r="U294" s="157" t="n"/>
      <c r="V294" s="157" t="n"/>
      <c r="W294" s="157" t="n"/>
      <c r="X294" s="157" t="n"/>
      <c r="Y294" s="157" t="n"/>
      <c r="Z294" s="157" t="n"/>
      <c r="AA294" s="157" t="n"/>
      <c r="AB294" s="157" t="n"/>
      <c r="AC294" s="157" t="n"/>
      <c r="AD294" s="157" t="n"/>
      <c r="AE294" s="157" t="n"/>
      <c r="AF294" s="157" t="n"/>
      <c r="AG294" s="157" t="n"/>
      <c r="AH294" s="157" t="n"/>
      <c r="AI294" s="157" t="n"/>
      <c r="AJ294" s="157" t="n"/>
      <c r="AK294" s="157" t="n"/>
      <c r="AL294" s="157" t="n"/>
      <c r="AM294" s="157" t="n"/>
      <c r="AN294" s="157" t="n"/>
      <c r="AO294" s="157" t="n"/>
      <c r="AP294" s="157" t="n"/>
      <c r="AQ294" s="157" t="n"/>
      <c r="AR294" s="157" t="n"/>
      <c r="AS294" s="157" t="n"/>
      <c r="AT294" s="157" t="n"/>
      <c r="AU294" s="157" t="n"/>
      <c r="AV294" s="157" t="n"/>
      <c r="AW294" s="157" t="n"/>
      <c r="AX294" s="157" t="n"/>
      <c r="AY294" s="157" t="n"/>
      <c r="AZ294" s="157" t="n"/>
      <c r="BA294" s="157" t="n"/>
      <c r="BB294" s="157" t="n"/>
      <c r="BC294" s="157" t="n"/>
      <c r="BD294" s="157" t="n"/>
      <c r="BE294" s="157" t="n"/>
      <c r="BF294" s="157" t="n"/>
      <c r="BG294" s="157" t="n"/>
      <c r="BH294" s="158" t="n"/>
      <c r="BI294" s="159" t="n"/>
      <c r="BJ294" s="23">
        <f>IFERROR(ISNUMBER(E294)*IF(ISNUMBER(D294),--(E294&lt;D294-0.5),1)+ISNUMBER(F294)*IF(ISNUMBER(E294),--(F294&lt;E294-0.5),1)+ISNUMBER(G294)*IF(ISNUMBER(F294),--(G294&lt;F294-0.5),1)+ISNUMBER(H294)*IF(ISNUMBER(G294),--(H294&lt;G294-0.5),1)+ISNUMBER(I294)*IF(ISNUMBER(H294),--(I294&lt;H294-0.5),1)+ISNUMBER(J294)*IF(ISNUMBER(I294),--(J294&lt;I294-0.5),1)+ISNUMBER(K294)*IF(ISNUMBER(J294),--(K294&lt;J294-0.5),1)+IF(AND(ISNUMBER(C294),C294&lt;0),1,0),1)</f>
        <v/>
      </c>
      <c r="BK294" s="23">
        <f>IFERROR(ISNUMBER(M294)*IF(ISNUMBER(L294),--(M294&lt;L294-0.5),1)+ISNUMBER(N294)*IF(ISNUMBER(M294),--(N294&lt;M294-0.5),1)+ISNUMBER(O294)*IF(ISNUMBER(N294),--(O294&lt;N294-0.5),1)+ISNUMBER(P294)*IF(ISNUMBER(O294),--(P294&lt;O294-0.5),1)+ISNUMBER(Q294)*IF(ISNUMBER(P294),--(Q294&lt;P294-0.5),1)+ISNUMBER(R294)*IF(ISNUMBER(Q294),--(R294&lt;Q294-0.5),1)+ISNUMBER(S294)*IF(ISNUMBER(R294),--(S294&lt;R294-0.5),1),1)</f>
        <v/>
      </c>
    </row>
    <row r="295">
      <c r="A295" s="23" t="n">
        <v>27</v>
      </c>
      <c r="B295" s="75" t="n">
        <v>1</v>
      </c>
      <c r="C295" s="157" t="n"/>
      <c r="D295" s="157" t="n"/>
      <c r="E295" s="157" t="n"/>
      <c r="F295" s="157" t="n"/>
      <c r="G295" s="157" t="n"/>
      <c r="H295" s="157" t="n"/>
      <c r="I295" s="157" t="n"/>
      <c r="J295" s="157" t="n"/>
      <c r="K295" s="157" t="n"/>
      <c r="L295" s="157" t="n"/>
      <c r="M295" s="157" t="n"/>
      <c r="N295" s="157" t="n"/>
      <c r="O295" s="157" t="n"/>
      <c r="P295" s="157" t="n"/>
      <c r="Q295" s="157" t="n"/>
      <c r="R295" s="157" t="n"/>
      <c r="S295" s="157" t="n"/>
      <c r="T295" s="157" t="n"/>
      <c r="U295" s="157" t="n"/>
      <c r="V295" s="157" t="n"/>
      <c r="W295" s="157" t="n"/>
      <c r="X295" s="157" t="n"/>
      <c r="Y295" s="157" t="n"/>
      <c r="Z295" s="157" t="n"/>
      <c r="AA295" s="157" t="n"/>
      <c r="AB295" s="157" t="n"/>
      <c r="AC295" s="157" t="n"/>
      <c r="AD295" s="157" t="n"/>
      <c r="AE295" s="157" t="n"/>
      <c r="AF295" s="157" t="n"/>
      <c r="AG295" s="157" t="n"/>
      <c r="AH295" s="157" t="n"/>
      <c r="AI295" s="157" t="n"/>
      <c r="AJ295" s="157" t="n"/>
      <c r="AK295" s="157" t="n"/>
      <c r="AL295" s="157" t="n"/>
      <c r="AM295" s="157" t="n"/>
      <c r="AN295" s="157" t="n"/>
      <c r="AO295" s="157" t="n"/>
      <c r="AP295" s="157" t="n"/>
      <c r="AQ295" s="157" t="n"/>
      <c r="AR295" s="157" t="n"/>
      <c r="AS295" s="157" t="n"/>
      <c r="AT295" s="157" t="n"/>
      <c r="AU295" s="157" t="n"/>
      <c r="AV295" s="157" t="n"/>
      <c r="AW295" s="157" t="n"/>
      <c r="AX295" s="157" t="n"/>
      <c r="AY295" s="157" t="n"/>
      <c r="AZ295" s="157" t="n"/>
      <c r="BA295" s="157" t="n"/>
      <c r="BB295" s="157" t="n"/>
      <c r="BC295" s="157" t="n"/>
      <c r="BD295" s="157" t="n"/>
      <c r="BE295" s="157" t="n"/>
      <c r="BF295" s="157" t="n"/>
      <c r="BG295" s="157" t="n"/>
      <c r="BH295" s="158" t="n"/>
      <c r="BI295" s="159" t="n"/>
      <c r="BJ295" s="23">
        <f>IFERROR(ISNUMBER(E295)*IF(ISNUMBER(D295),--(E295&lt;D295-0.5),1)+ISNUMBER(F295)*IF(ISNUMBER(E295),--(F295&lt;E295-0.5),1)+ISNUMBER(G295)*IF(ISNUMBER(F295),--(G295&lt;F295-0.5),1)+ISNUMBER(H295)*IF(ISNUMBER(G295),--(H295&lt;G295-0.5),1)+ISNUMBER(I295)*IF(ISNUMBER(H295),--(I295&lt;H295-0.5),1)+ISNUMBER(J295)*IF(ISNUMBER(I295),--(J295&lt;I295-0.5),1)+ISNUMBER(K295)*IF(ISNUMBER(J295),--(K295&lt;J295-0.5),1)+IF(AND(ISNUMBER(C295),C295&lt;0),1,0),1)</f>
        <v/>
      </c>
      <c r="BK295" s="23">
        <f>IFERROR(ISNUMBER(M295)*IF(ISNUMBER(L295),--(M295&lt;L295-0.5),1)+ISNUMBER(N295)*IF(ISNUMBER(M295),--(N295&lt;M295-0.5),1)+ISNUMBER(O295)*IF(ISNUMBER(N295),--(O295&lt;N295-0.5),1)+ISNUMBER(P295)*IF(ISNUMBER(O295),--(P295&lt;O295-0.5),1)+ISNUMBER(Q295)*IF(ISNUMBER(P295),--(Q295&lt;P295-0.5),1)+ISNUMBER(R295)*IF(ISNUMBER(Q295),--(R295&lt;Q295-0.5),1)+ISNUMBER(S295)*IF(ISNUMBER(R295),--(S295&lt;R295-0.5),1),1)</f>
        <v/>
      </c>
    </row>
    <row r="296">
      <c r="A296" s="23" t="n">
        <v>28</v>
      </c>
      <c r="B296" s="75" t="n">
        <v>1</v>
      </c>
      <c r="C296" s="157" t="n"/>
      <c r="D296" s="157" t="n"/>
      <c r="E296" s="157" t="n"/>
      <c r="F296" s="157" t="n"/>
      <c r="G296" s="157" t="n"/>
      <c r="H296" s="157" t="n"/>
      <c r="I296" s="157" t="n"/>
      <c r="J296" s="157" t="n"/>
      <c r="K296" s="157" t="n"/>
      <c r="L296" s="157" t="n"/>
      <c r="M296" s="157" t="n"/>
      <c r="N296" s="157" t="n"/>
      <c r="O296" s="157" t="n"/>
      <c r="P296" s="157" t="n"/>
      <c r="Q296" s="157" t="n"/>
      <c r="R296" s="157" t="n"/>
      <c r="S296" s="157" t="n"/>
      <c r="T296" s="157" t="n"/>
      <c r="U296" s="157" t="n"/>
      <c r="V296" s="157" t="n"/>
      <c r="W296" s="157" t="n"/>
      <c r="X296" s="157" t="n"/>
      <c r="Y296" s="157" t="n"/>
      <c r="Z296" s="157" t="n"/>
      <c r="AA296" s="157" t="n"/>
      <c r="AB296" s="157" t="n"/>
      <c r="AC296" s="157" t="n"/>
      <c r="AD296" s="157" t="n"/>
      <c r="AE296" s="157" t="n"/>
      <c r="AF296" s="157" t="n"/>
      <c r="AG296" s="157" t="n"/>
      <c r="AH296" s="157" t="n"/>
      <c r="AI296" s="157" t="n"/>
      <c r="AJ296" s="157" t="n"/>
      <c r="AK296" s="157" t="n"/>
      <c r="AL296" s="157" t="n"/>
      <c r="AM296" s="157" t="n"/>
      <c r="AN296" s="157" t="n"/>
      <c r="AO296" s="157" t="n"/>
      <c r="AP296" s="157" t="n"/>
      <c r="AQ296" s="157" t="n"/>
      <c r="AR296" s="157" t="n"/>
      <c r="AS296" s="157" t="n"/>
      <c r="AT296" s="157" t="n"/>
      <c r="AU296" s="157" t="n"/>
      <c r="AV296" s="157" t="n"/>
      <c r="AW296" s="157" t="n"/>
      <c r="AX296" s="157" t="n"/>
      <c r="AY296" s="157" t="n"/>
      <c r="AZ296" s="157" t="n"/>
      <c r="BA296" s="157" t="n"/>
      <c r="BB296" s="157" t="n"/>
      <c r="BC296" s="157" t="n"/>
      <c r="BD296" s="157" t="n"/>
      <c r="BE296" s="157" t="n"/>
      <c r="BF296" s="157" t="n"/>
      <c r="BG296" s="157" t="n"/>
      <c r="BH296" s="158" t="n"/>
      <c r="BI296" s="159" t="n"/>
      <c r="BJ296" s="23">
        <f>IFERROR(ISNUMBER(E296)*IF(ISNUMBER(D296),--(E296&lt;D296-0.5),1)+ISNUMBER(F296)*IF(ISNUMBER(E296),--(F296&lt;E296-0.5),1)+ISNUMBER(G296)*IF(ISNUMBER(F296),--(G296&lt;F296-0.5),1)+ISNUMBER(H296)*IF(ISNUMBER(G296),--(H296&lt;G296-0.5),1)+ISNUMBER(I296)*IF(ISNUMBER(H296),--(I296&lt;H296-0.5),1)+ISNUMBER(J296)*IF(ISNUMBER(I296),--(J296&lt;I296-0.5),1)+ISNUMBER(K296)*IF(ISNUMBER(J296),--(K296&lt;J296-0.5),1)+IF(AND(ISNUMBER(C296),C296&lt;0),1,0),1)</f>
        <v/>
      </c>
      <c r="BK296" s="23">
        <f>IFERROR(ISNUMBER(M296)*IF(ISNUMBER(L296),--(M296&lt;L296-0.5),1)+ISNUMBER(N296)*IF(ISNUMBER(M296),--(N296&lt;M296-0.5),1)+ISNUMBER(O296)*IF(ISNUMBER(N296),--(O296&lt;N296-0.5),1)+ISNUMBER(P296)*IF(ISNUMBER(O296),--(P296&lt;O296-0.5),1)+ISNUMBER(Q296)*IF(ISNUMBER(P296),--(Q296&lt;P296-0.5),1)+ISNUMBER(R296)*IF(ISNUMBER(Q296),--(R296&lt;Q296-0.5),1)+ISNUMBER(S296)*IF(ISNUMBER(R296),--(S296&lt;R296-0.5),1),1)</f>
        <v/>
      </c>
    </row>
    <row r="297">
      <c r="A297" s="23" t="n">
        <v>29</v>
      </c>
      <c r="B297" s="75" t="n">
        <v>1</v>
      </c>
      <c r="C297" s="157" t="n"/>
      <c r="D297" s="157" t="n"/>
      <c r="E297" s="157" t="n"/>
      <c r="F297" s="157" t="n"/>
      <c r="G297" s="157" t="n"/>
      <c r="H297" s="157" t="n"/>
      <c r="I297" s="157" t="n"/>
      <c r="J297" s="157" t="n"/>
      <c r="K297" s="157" t="n"/>
      <c r="L297" s="157" t="n"/>
      <c r="M297" s="157" t="n"/>
      <c r="N297" s="157" t="n"/>
      <c r="O297" s="157" t="n"/>
      <c r="P297" s="157" t="n"/>
      <c r="Q297" s="157" t="n"/>
      <c r="R297" s="157" t="n"/>
      <c r="S297" s="157" t="n"/>
      <c r="T297" s="157" t="n"/>
      <c r="U297" s="157" t="n"/>
      <c r="V297" s="157" t="n"/>
      <c r="W297" s="157" t="n"/>
      <c r="X297" s="157" t="n"/>
      <c r="Y297" s="157" t="n"/>
      <c r="Z297" s="157" t="n"/>
      <c r="AA297" s="157" t="n"/>
      <c r="AB297" s="157" t="n"/>
      <c r="AC297" s="157" t="n"/>
      <c r="AD297" s="157" t="n"/>
      <c r="AE297" s="157" t="n"/>
      <c r="AF297" s="157" t="n"/>
      <c r="AG297" s="157" t="n"/>
      <c r="AH297" s="157" t="n"/>
      <c r="AI297" s="157" t="n"/>
      <c r="AJ297" s="157" t="n"/>
      <c r="AK297" s="157" t="n"/>
      <c r="AL297" s="157" t="n"/>
      <c r="AM297" s="157" t="n"/>
      <c r="AN297" s="157" t="n"/>
      <c r="AO297" s="157" t="n"/>
      <c r="AP297" s="157" t="n"/>
      <c r="AQ297" s="157" t="n"/>
      <c r="AR297" s="157" t="n"/>
      <c r="AS297" s="157" t="n"/>
      <c r="AT297" s="157" t="n"/>
      <c r="AU297" s="157" t="n"/>
      <c r="AV297" s="157" t="n"/>
      <c r="AW297" s="157" t="n"/>
      <c r="AX297" s="157" t="n"/>
      <c r="AY297" s="157" t="n"/>
      <c r="AZ297" s="157" t="n"/>
      <c r="BA297" s="157" t="n"/>
      <c r="BB297" s="157" t="n"/>
      <c r="BC297" s="157" t="n"/>
      <c r="BD297" s="157" t="n"/>
      <c r="BE297" s="157" t="n"/>
      <c r="BF297" s="157" t="n"/>
      <c r="BG297" s="157" t="n"/>
      <c r="BH297" s="158" t="n"/>
      <c r="BI297" s="159" t="n"/>
      <c r="BJ297" s="23">
        <f>IFERROR(ISNUMBER(E297)*IF(ISNUMBER(D297),--(E297&lt;D297-0.5),1)+ISNUMBER(F297)*IF(ISNUMBER(E297),--(F297&lt;E297-0.5),1)+ISNUMBER(G297)*IF(ISNUMBER(F297),--(G297&lt;F297-0.5),1)+ISNUMBER(H297)*IF(ISNUMBER(G297),--(H297&lt;G297-0.5),1)+ISNUMBER(I297)*IF(ISNUMBER(H297),--(I297&lt;H297-0.5),1)+ISNUMBER(J297)*IF(ISNUMBER(I297),--(J297&lt;I297-0.5),1)+ISNUMBER(K297)*IF(ISNUMBER(J297),--(K297&lt;J297-0.5),1)+IF(AND(ISNUMBER(C297),C297&lt;0),1,0),1)</f>
        <v/>
      </c>
      <c r="BK297" s="23">
        <f>IFERROR(ISNUMBER(M297)*IF(ISNUMBER(L297),--(M297&lt;L297-0.5),1)+ISNUMBER(N297)*IF(ISNUMBER(M297),--(N297&lt;M297-0.5),1)+ISNUMBER(O297)*IF(ISNUMBER(N297),--(O297&lt;N297-0.5),1)+ISNUMBER(P297)*IF(ISNUMBER(O297),--(P297&lt;O297-0.5),1)+ISNUMBER(Q297)*IF(ISNUMBER(P297),--(Q297&lt;P297-0.5),1)+ISNUMBER(R297)*IF(ISNUMBER(Q297),--(R297&lt;Q297-0.5),1)+ISNUMBER(S297)*IF(ISNUMBER(R297),--(S297&lt;R297-0.5),1),1)</f>
        <v/>
      </c>
    </row>
    <row r="298">
      <c r="A298" s="23" t="n">
        <v>30</v>
      </c>
      <c r="B298" s="75" t="n">
        <v>1</v>
      </c>
      <c r="C298" s="157" t="n"/>
      <c r="D298" s="157" t="n"/>
      <c r="E298" s="157" t="n"/>
      <c r="F298" s="157" t="n"/>
      <c r="G298" s="157" t="n"/>
      <c r="H298" s="157" t="n"/>
      <c r="I298" s="157" t="n"/>
      <c r="J298" s="157" t="n"/>
      <c r="K298" s="157" t="n"/>
      <c r="L298" s="157" t="n"/>
      <c r="M298" s="157" t="n"/>
      <c r="N298" s="157" t="n"/>
      <c r="O298" s="157" t="n"/>
      <c r="P298" s="157" t="n"/>
      <c r="Q298" s="157" t="n"/>
      <c r="R298" s="157" t="n"/>
      <c r="S298" s="157" t="n"/>
      <c r="T298" s="157" t="n"/>
      <c r="U298" s="157" t="n"/>
      <c r="V298" s="157" t="n"/>
      <c r="W298" s="157" t="n"/>
      <c r="X298" s="157" t="n"/>
      <c r="Y298" s="157" t="n"/>
      <c r="Z298" s="157" t="n"/>
      <c r="AA298" s="157" t="n"/>
      <c r="AB298" s="157" t="n"/>
      <c r="AC298" s="157" t="n"/>
      <c r="AD298" s="157" t="n"/>
      <c r="AE298" s="157" t="n"/>
      <c r="AF298" s="157" t="n"/>
      <c r="AG298" s="157" t="n"/>
      <c r="AH298" s="157" t="n"/>
      <c r="AI298" s="157" t="n"/>
      <c r="AJ298" s="157" t="n"/>
      <c r="AK298" s="157" t="n"/>
      <c r="AL298" s="157" t="n"/>
      <c r="AM298" s="157" t="n"/>
      <c r="AN298" s="157" t="n"/>
      <c r="AO298" s="157" t="n"/>
      <c r="AP298" s="157" t="n"/>
      <c r="AQ298" s="157" t="n"/>
      <c r="AR298" s="157" t="n"/>
      <c r="AS298" s="157" t="n"/>
      <c r="AT298" s="157" t="n"/>
      <c r="AU298" s="157" t="n"/>
      <c r="AV298" s="157" t="n"/>
      <c r="AW298" s="157" t="n"/>
      <c r="AX298" s="157" t="n"/>
      <c r="AY298" s="157" t="n"/>
      <c r="AZ298" s="157" t="n"/>
      <c r="BA298" s="157" t="n"/>
      <c r="BB298" s="157" t="n"/>
      <c r="BC298" s="157" t="n"/>
      <c r="BD298" s="157" t="n"/>
      <c r="BE298" s="157" t="n"/>
      <c r="BF298" s="157" t="n"/>
      <c r="BG298" s="157" t="n"/>
      <c r="BH298" s="158" t="n"/>
      <c r="BI298" s="159" t="n"/>
      <c r="BJ298" s="23">
        <f>IFERROR(ISNUMBER(E298)*IF(ISNUMBER(D298),--(E298&lt;D298-0.5),1)+ISNUMBER(F298)*IF(ISNUMBER(E298),--(F298&lt;E298-0.5),1)+ISNUMBER(G298)*IF(ISNUMBER(F298),--(G298&lt;F298-0.5),1)+ISNUMBER(H298)*IF(ISNUMBER(G298),--(H298&lt;G298-0.5),1)+ISNUMBER(I298)*IF(ISNUMBER(H298),--(I298&lt;H298-0.5),1)+ISNUMBER(J298)*IF(ISNUMBER(I298),--(J298&lt;I298-0.5),1)+ISNUMBER(K298)*IF(ISNUMBER(J298),--(K298&lt;J298-0.5),1)+IF(AND(ISNUMBER(C298),C298&lt;0),1,0),1)</f>
        <v/>
      </c>
      <c r="BK298" s="23">
        <f>IFERROR(ISNUMBER(M298)*IF(ISNUMBER(L298),--(M298&lt;L298-0.5),1)+ISNUMBER(N298)*IF(ISNUMBER(M298),--(N298&lt;M298-0.5),1)+ISNUMBER(O298)*IF(ISNUMBER(N298),--(O298&lt;N298-0.5),1)+ISNUMBER(P298)*IF(ISNUMBER(O298),--(P298&lt;O298-0.5),1)+ISNUMBER(Q298)*IF(ISNUMBER(P298),--(Q298&lt;P298-0.5),1)+ISNUMBER(R298)*IF(ISNUMBER(Q298),--(R298&lt;Q298-0.5),1)+ISNUMBER(S298)*IF(ISNUMBER(R298),--(S298&lt;R298-0.5),1),1)</f>
        <v/>
      </c>
    </row>
    <row r="299">
      <c r="A299" s="23" t="n">
        <v>31</v>
      </c>
      <c r="B299" s="75" t="n">
        <v>1</v>
      </c>
      <c r="C299" s="157" t="n"/>
      <c r="D299" s="157" t="n"/>
      <c r="E299" s="157" t="n"/>
      <c r="F299" s="157" t="n"/>
      <c r="G299" s="157" t="n"/>
      <c r="H299" s="157" t="n"/>
      <c r="I299" s="157" t="n"/>
      <c r="J299" s="157" t="n"/>
      <c r="K299" s="157" t="n"/>
      <c r="L299" s="157" t="n"/>
      <c r="M299" s="157" t="n"/>
      <c r="N299" s="157" t="n"/>
      <c r="O299" s="157" t="n"/>
      <c r="P299" s="157" t="n"/>
      <c r="Q299" s="157" t="n"/>
      <c r="R299" s="157" t="n"/>
      <c r="S299" s="157" t="n"/>
      <c r="T299" s="157" t="n"/>
      <c r="U299" s="157" t="n"/>
      <c r="V299" s="157" t="n"/>
      <c r="W299" s="157" t="n"/>
      <c r="X299" s="157" t="n"/>
      <c r="Y299" s="157" t="n"/>
      <c r="Z299" s="157" t="n"/>
      <c r="AA299" s="157" t="n"/>
      <c r="AB299" s="157" t="n"/>
      <c r="AC299" s="157" t="n"/>
      <c r="AD299" s="157" t="n"/>
      <c r="AE299" s="157" t="n"/>
      <c r="AF299" s="157" t="n"/>
      <c r="AG299" s="157" t="n"/>
      <c r="AH299" s="157" t="n"/>
      <c r="AI299" s="157" t="n"/>
      <c r="AJ299" s="157" t="n"/>
      <c r="AK299" s="157" t="n"/>
      <c r="AL299" s="157" t="n"/>
      <c r="AM299" s="157" t="n"/>
      <c r="AN299" s="157" t="n"/>
      <c r="AO299" s="157" t="n"/>
      <c r="AP299" s="157" t="n"/>
      <c r="AQ299" s="157" t="n"/>
      <c r="AR299" s="157" t="n"/>
      <c r="AS299" s="157" t="n"/>
      <c r="AT299" s="157" t="n"/>
      <c r="AU299" s="157" t="n"/>
      <c r="AV299" s="157" t="n"/>
      <c r="AW299" s="157" t="n"/>
      <c r="AX299" s="157" t="n"/>
      <c r="AY299" s="157" t="n"/>
      <c r="AZ299" s="157" t="n"/>
      <c r="BA299" s="157" t="n"/>
      <c r="BB299" s="157" t="n"/>
      <c r="BC299" s="157" t="n"/>
      <c r="BD299" s="157" t="n"/>
      <c r="BE299" s="157" t="n"/>
      <c r="BF299" s="157" t="n"/>
      <c r="BG299" s="157" t="n"/>
      <c r="BH299" s="158" t="n"/>
      <c r="BI299" s="159" t="n"/>
      <c r="BJ299" s="23">
        <f>IFERROR(ISNUMBER(E299)*IF(ISNUMBER(D299),--(E299&lt;D299-0.5),1)+ISNUMBER(F299)*IF(ISNUMBER(E299),--(F299&lt;E299-0.5),1)+ISNUMBER(G299)*IF(ISNUMBER(F299),--(G299&lt;F299-0.5),1)+ISNUMBER(H299)*IF(ISNUMBER(G299),--(H299&lt;G299-0.5),1)+ISNUMBER(I299)*IF(ISNUMBER(H299),--(I299&lt;H299-0.5),1)+ISNUMBER(J299)*IF(ISNUMBER(I299),--(J299&lt;I299-0.5),1)+ISNUMBER(K299)*IF(ISNUMBER(J299),--(K299&lt;J299-0.5),1)+IF(AND(ISNUMBER(C299),C299&lt;0),1,0),1)</f>
        <v/>
      </c>
      <c r="BK299" s="23">
        <f>IFERROR(ISNUMBER(M299)*IF(ISNUMBER(L299),--(M299&lt;L299-0.5),1)+ISNUMBER(N299)*IF(ISNUMBER(M299),--(N299&lt;M299-0.5),1)+ISNUMBER(O299)*IF(ISNUMBER(N299),--(O299&lt;N299-0.5),1)+ISNUMBER(P299)*IF(ISNUMBER(O299),--(P299&lt;O299-0.5),1)+ISNUMBER(Q299)*IF(ISNUMBER(P299),--(Q299&lt;P299-0.5),1)+ISNUMBER(R299)*IF(ISNUMBER(Q299),--(R299&lt;Q299-0.5),1)+ISNUMBER(S299)*IF(ISNUMBER(R299),--(S299&lt;R299-0.5),1),1)</f>
        <v/>
      </c>
    </row>
    <row r="300">
      <c r="A300" s="23" t="n">
        <v>32</v>
      </c>
      <c r="B300" s="75" t="n">
        <v>1</v>
      </c>
      <c r="C300" s="157" t="n"/>
      <c r="D300" s="157" t="n"/>
      <c r="E300" s="157" t="n"/>
      <c r="F300" s="157" t="n"/>
      <c r="G300" s="157" t="n"/>
      <c r="H300" s="157" t="n"/>
      <c r="I300" s="157" t="n"/>
      <c r="J300" s="157" t="n"/>
      <c r="K300" s="157" t="n"/>
      <c r="L300" s="157" t="n"/>
      <c r="M300" s="157" t="n"/>
      <c r="N300" s="157" t="n"/>
      <c r="O300" s="157" t="n"/>
      <c r="P300" s="157" t="n"/>
      <c r="Q300" s="157" t="n"/>
      <c r="R300" s="157" t="n"/>
      <c r="S300" s="157" t="n"/>
      <c r="T300" s="157" t="n"/>
      <c r="U300" s="157" t="n"/>
      <c r="V300" s="157" t="n"/>
      <c r="W300" s="157" t="n"/>
      <c r="X300" s="157" t="n"/>
      <c r="Y300" s="157" t="n"/>
      <c r="Z300" s="157" t="n"/>
      <c r="AA300" s="157" t="n"/>
      <c r="AB300" s="157" t="n"/>
      <c r="AC300" s="157" t="n"/>
      <c r="AD300" s="157" t="n"/>
      <c r="AE300" s="157" t="n"/>
      <c r="AF300" s="157" t="n"/>
      <c r="AG300" s="157" t="n"/>
      <c r="AH300" s="157" t="n"/>
      <c r="AI300" s="157" t="n"/>
      <c r="AJ300" s="157" t="n"/>
      <c r="AK300" s="157" t="n"/>
      <c r="AL300" s="157" t="n"/>
      <c r="AM300" s="157" t="n"/>
      <c r="AN300" s="157" t="n"/>
      <c r="AO300" s="157" t="n"/>
      <c r="AP300" s="157" t="n"/>
      <c r="AQ300" s="157" t="n"/>
      <c r="AR300" s="157" t="n"/>
      <c r="AS300" s="157" t="n"/>
      <c r="AT300" s="157" t="n"/>
      <c r="AU300" s="157" t="n"/>
      <c r="AV300" s="157" t="n"/>
      <c r="AW300" s="157" t="n"/>
      <c r="AX300" s="157" t="n"/>
      <c r="AY300" s="157" t="n"/>
      <c r="AZ300" s="157" t="n"/>
      <c r="BA300" s="157" t="n"/>
      <c r="BB300" s="157" t="n"/>
      <c r="BC300" s="157" t="n"/>
      <c r="BD300" s="157" t="n"/>
      <c r="BE300" s="157" t="n"/>
      <c r="BF300" s="157" t="n"/>
      <c r="BG300" s="157" t="n"/>
      <c r="BH300" s="158" t="n"/>
      <c r="BI300" s="159" t="n"/>
      <c r="BJ300" s="23">
        <f>IFERROR(ISNUMBER(E300)*IF(ISNUMBER(D300),--(E300&lt;D300-0.5),1)+ISNUMBER(F300)*IF(ISNUMBER(E300),--(F300&lt;E300-0.5),1)+ISNUMBER(G300)*IF(ISNUMBER(F300),--(G300&lt;F300-0.5),1)+ISNUMBER(H300)*IF(ISNUMBER(G300),--(H300&lt;G300-0.5),1)+ISNUMBER(I300)*IF(ISNUMBER(H300),--(I300&lt;H300-0.5),1)+ISNUMBER(J300)*IF(ISNUMBER(I300),--(J300&lt;I300-0.5),1)+ISNUMBER(K300)*IF(ISNUMBER(J300),--(K300&lt;J300-0.5),1)+IF(AND(ISNUMBER(C300),C300&lt;0),1,0),1)</f>
        <v/>
      </c>
      <c r="BK300" s="23">
        <f>IFERROR(ISNUMBER(M300)*IF(ISNUMBER(L300),--(M300&lt;L300-0.5),1)+ISNUMBER(N300)*IF(ISNUMBER(M300),--(N300&lt;M300-0.5),1)+ISNUMBER(O300)*IF(ISNUMBER(N300),--(O300&lt;N300-0.5),1)+ISNUMBER(P300)*IF(ISNUMBER(O300),--(P300&lt;O300-0.5),1)+ISNUMBER(Q300)*IF(ISNUMBER(P300),--(Q300&lt;P300-0.5),1)+ISNUMBER(R300)*IF(ISNUMBER(Q300),--(R300&lt;Q300-0.5),1)+ISNUMBER(S300)*IF(ISNUMBER(R300),--(S300&lt;R300-0.5),1),1)</f>
        <v/>
      </c>
    </row>
    <row r="301">
      <c r="A301" s="23" t="n">
        <v>33</v>
      </c>
      <c r="B301" s="75" t="n">
        <v>1</v>
      </c>
      <c r="C301" s="157" t="n"/>
      <c r="D301" s="157" t="n"/>
      <c r="E301" s="157" t="n"/>
      <c r="F301" s="157" t="n"/>
      <c r="G301" s="157" t="n"/>
      <c r="H301" s="157" t="n"/>
      <c r="I301" s="157" t="n"/>
      <c r="J301" s="157" t="n"/>
      <c r="K301" s="157" t="n"/>
      <c r="L301" s="157" t="n"/>
      <c r="M301" s="157" t="n"/>
      <c r="N301" s="157" t="n"/>
      <c r="O301" s="157" t="n"/>
      <c r="P301" s="157" t="n"/>
      <c r="Q301" s="157" t="n"/>
      <c r="R301" s="157" t="n"/>
      <c r="S301" s="157" t="n"/>
      <c r="T301" s="157" t="n"/>
      <c r="U301" s="157" t="n"/>
      <c r="V301" s="157" t="n"/>
      <c r="W301" s="157" t="n"/>
      <c r="X301" s="157" t="n"/>
      <c r="Y301" s="157" t="n"/>
      <c r="Z301" s="157" t="n"/>
      <c r="AA301" s="157" t="n"/>
      <c r="AB301" s="157" t="n"/>
      <c r="AC301" s="157" t="n"/>
      <c r="AD301" s="157" t="n"/>
      <c r="AE301" s="157" t="n"/>
      <c r="AF301" s="157" t="n"/>
      <c r="AG301" s="157" t="n"/>
      <c r="AH301" s="157" t="n"/>
      <c r="AI301" s="157" t="n"/>
      <c r="AJ301" s="157" t="n"/>
      <c r="AK301" s="157" t="n"/>
      <c r="AL301" s="157" t="n"/>
      <c r="AM301" s="157" t="n"/>
      <c r="AN301" s="157" t="n"/>
      <c r="AO301" s="157" t="n"/>
      <c r="AP301" s="157" t="n"/>
      <c r="AQ301" s="157" t="n"/>
      <c r="AR301" s="157" t="n"/>
      <c r="AS301" s="157" t="n"/>
      <c r="AT301" s="157" t="n"/>
      <c r="AU301" s="157" t="n"/>
      <c r="AV301" s="157" t="n"/>
      <c r="AW301" s="157" t="n"/>
      <c r="AX301" s="157" t="n"/>
      <c r="AY301" s="157" t="n"/>
      <c r="AZ301" s="157" t="n"/>
      <c r="BA301" s="157" t="n"/>
      <c r="BB301" s="157" t="n"/>
      <c r="BC301" s="157" t="n"/>
      <c r="BD301" s="157" t="n"/>
      <c r="BE301" s="157" t="n"/>
      <c r="BF301" s="157" t="n"/>
      <c r="BG301" s="157" t="n"/>
      <c r="BH301" s="158" t="n"/>
      <c r="BI301" s="159" t="n"/>
      <c r="BJ301" s="23">
        <f>IFERROR(ISNUMBER(E301)*IF(ISNUMBER(D301),--(E301&lt;D301-0.5),1)+ISNUMBER(F301)*IF(ISNUMBER(E301),--(F301&lt;E301-0.5),1)+ISNUMBER(G301)*IF(ISNUMBER(F301),--(G301&lt;F301-0.5),1)+ISNUMBER(H301)*IF(ISNUMBER(G301),--(H301&lt;G301-0.5),1)+ISNUMBER(I301)*IF(ISNUMBER(H301),--(I301&lt;H301-0.5),1)+ISNUMBER(J301)*IF(ISNUMBER(I301),--(J301&lt;I301-0.5),1)+ISNUMBER(K301)*IF(ISNUMBER(J301),--(K301&lt;J301-0.5),1)+IF(AND(ISNUMBER(C301),C301&lt;0),1,0),1)</f>
        <v/>
      </c>
      <c r="BK301" s="23">
        <f>IFERROR(ISNUMBER(M301)*IF(ISNUMBER(L301),--(M301&lt;L301-0.5),1)+ISNUMBER(N301)*IF(ISNUMBER(M301),--(N301&lt;M301-0.5),1)+ISNUMBER(O301)*IF(ISNUMBER(N301),--(O301&lt;N301-0.5),1)+ISNUMBER(P301)*IF(ISNUMBER(O301),--(P301&lt;O301-0.5),1)+ISNUMBER(Q301)*IF(ISNUMBER(P301),--(Q301&lt;P301-0.5),1)+ISNUMBER(R301)*IF(ISNUMBER(Q301),--(R301&lt;Q301-0.5),1)+ISNUMBER(S301)*IF(ISNUMBER(R301),--(S301&lt;R301-0.5),1),1)</f>
        <v/>
      </c>
    </row>
    <row r="302">
      <c r="A302" s="23" t="n">
        <v>34</v>
      </c>
      <c r="B302" s="75" t="n">
        <v>1</v>
      </c>
      <c r="C302" s="157" t="n"/>
      <c r="D302" s="157" t="n"/>
      <c r="E302" s="157" t="n"/>
      <c r="F302" s="157" t="n"/>
      <c r="G302" s="157" t="n"/>
      <c r="H302" s="157" t="n"/>
      <c r="I302" s="157" t="n"/>
      <c r="J302" s="157" t="n"/>
      <c r="K302" s="157" t="n"/>
      <c r="L302" s="157" t="n"/>
      <c r="M302" s="157" t="n"/>
      <c r="N302" s="157" t="n"/>
      <c r="O302" s="157" t="n"/>
      <c r="P302" s="157" t="n"/>
      <c r="Q302" s="157" t="n"/>
      <c r="R302" s="157" t="n"/>
      <c r="S302" s="157" t="n"/>
      <c r="T302" s="157" t="n"/>
      <c r="U302" s="157" t="n"/>
      <c r="V302" s="157" t="n"/>
      <c r="W302" s="157" t="n"/>
      <c r="X302" s="157" t="n"/>
      <c r="Y302" s="157" t="n"/>
      <c r="Z302" s="157" t="n"/>
      <c r="AA302" s="157" t="n"/>
      <c r="AB302" s="157" t="n"/>
      <c r="AC302" s="157" t="n"/>
      <c r="AD302" s="157" t="n"/>
      <c r="AE302" s="157" t="n"/>
      <c r="AF302" s="157" t="n"/>
      <c r="AG302" s="157" t="n"/>
      <c r="AH302" s="157" t="n"/>
      <c r="AI302" s="157" t="n"/>
      <c r="AJ302" s="157" t="n"/>
      <c r="AK302" s="157" t="n"/>
      <c r="AL302" s="157" t="n"/>
      <c r="AM302" s="157" t="n"/>
      <c r="AN302" s="157" t="n"/>
      <c r="AO302" s="157" t="n"/>
      <c r="AP302" s="157" t="n"/>
      <c r="AQ302" s="157" t="n"/>
      <c r="AR302" s="157" t="n"/>
      <c r="AS302" s="157" t="n"/>
      <c r="AT302" s="157" t="n"/>
      <c r="AU302" s="157" t="n"/>
      <c r="AV302" s="157" t="n"/>
      <c r="AW302" s="157" t="n"/>
      <c r="AX302" s="157" t="n"/>
      <c r="AY302" s="157" t="n"/>
      <c r="AZ302" s="157" t="n"/>
      <c r="BA302" s="157" t="n"/>
      <c r="BB302" s="157" t="n"/>
      <c r="BC302" s="157" t="n"/>
      <c r="BD302" s="157" t="n"/>
      <c r="BE302" s="157" t="n"/>
      <c r="BF302" s="157" t="n"/>
      <c r="BG302" s="157" t="n"/>
      <c r="BH302" s="158" t="n"/>
      <c r="BI302" s="159" t="n"/>
      <c r="BJ302" s="23">
        <f>IFERROR(ISNUMBER(E302)*IF(ISNUMBER(D302),--(E302&lt;D302-0.5),1)+ISNUMBER(F302)*IF(ISNUMBER(E302),--(F302&lt;E302-0.5),1)+ISNUMBER(G302)*IF(ISNUMBER(F302),--(G302&lt;F302-0.5),1)+ISNUMBER(H302)*IF(ISNUMBER(G302),--(H302&lt;G302-0.5),1)+ISNUMBER(I302)*IF(ISNUMBER(H302),--(I302&lt;H302-0.5),1)+ISNUMBER(J302)*IF(ISNUMBER(I302),--(J302&lt;I302-0.5),1)+ISNUMBER(K302)*IF(ISNUMBER(J302),--(K302&lt;J302-0.5),1)+IF(AND(ISNUMBER(C302),C302&lt;0),1,0),1)</f>
        <v/>
      </c>
      <c r="BK302" s="23">
        <f>IFERROR(ISNUMBER(M302)*IF(ISNUMBER(L302),--(M302&lt;L302-0.5),1)+ISNUMBER(N302)*IF(ISNUMBER(M302),--(N302&lt;M302-0.5),1)+ISNUMBER(O302)*IF(ISNUMBER(N302),--(O302&lt;N302-0.5),1)+ISNUMBER(P302)*IF(ISNUMBER(O302),--(P302&lt;O302-0.5),1)+ISNUMBER(Q302)*IF(ISNUMBER(P302),--(Q302&lt;P302-0.5),1)+ISNUMBER(R302)*IF(ISNUMBER(Q302),--(R302&lt;Q302-0.5),1)+ISNUMBER(S302)*IF(ISNUMBER(R302),--(S302&lt;R302-0.5),1),1)</f>
        <v/>
      </c>
    </row>
    <row r="303">
      <c r="A303" s="23" t="n">
        <v>35</v>
      </c>
      <c r="B303" s="75" t="n">
        <v>1</v>
      </c>
      <c r="C303" s="157" t="n"/>
      <c r="D303" s="157" t="n"/>
      <c r="E303" s="157" t="n"/>
      <c r="F303" s="157" t="n"/>
      <c r="G303" s="157" t="n"/>
      <c r="H303" s="157" t="n"/>
      <c r="I303" s="157" t="n"/>
      <c r="J303" s="157" t="n"/>
      <c r="K303" s="157" t="n"/>
      <c r="L303" s="157" t="n"/>
      <c r="M303" s="157" t="n"/>
      <c r="N303" s="157" t="n"/>
      <c r="O303" s="157" t="n"/>
      <c r="P303" s="157" t="n"/>
      <c r="Q303" s="157" t="n"/>
      <c r="R303" s="157" t="n"/>
      <c r="S303" s="157" t="n"/>
      <c r="T303" s="157" t="n"/>
      <c r="U303" s="157" t="n"/>
      <c r="V303" s="157" t="n"/>
      <c r="W303" s="157" t="n"/>
      <c r="X303" s="157" t="n"/>
      <c r="Y303" s="157" t="n"/>
      <c r="Z303" s="157" t="n"/>
      <c r="AA303" s="157" t="n"/>
      <c r="AB303" s="157" t="n"/>
      <c r="AC303" s="157" t="n"/>
      <c r="AD303" s="157" t="n"/>
      <c r="AE303" s="157" t="n"/>
      <c r="AF303" s="157" t="n"/>
      <c r="AG303" s="157" t="n"/>
      <c r="AH303" s="157" t="n"/>
      <c r="AI303" s="157" t="n"/>
      <c r="AJ303" s="157" t="n"/>
      <c r="AK303" s="157" t="n"/>
      <c r="AL303" s="157" t="n"/>
      <c r="AM303" s="157" t="n"/>
      <c r="AN303" s="157" t="n"/>
      <c r="AO303" s="157" t="n"/>
      <c r="AP303" s="157" t="n"/>
      <c r="AQ303" s="157" t="n"/>
      <c r="AR303" s="157" t="n"/>
      <c r="AS303" s="157" t="n"/>
      <c r="AT303" s="157" t="n"/>
      <c r="AU303" s="157" t="n"/>
      <c r="AV303" s="157" t="n"/>
      <c r="AW303" s="157" t="n"/>
      <c r="AX303" s="157" t="n"/>
      <c r="AY303" s="157" t="n"/>
      <c r="AZ303" s="157" t="n"/>
      <c r="BA303" s="157" t="n"/>
      <c r="BB303" s="157" t="n"/>
      <c r="BC303" s="157" t="n"/>
      <c r="BD303" s="157" t="n"/>
      <c r="BE303" s="157" t="n"/>
      <c r="BF303" s="157" t="n"/>
      <c r="BG303" s="157" t="n"/>
      <c r="BH303" s="158" t="n"/>
      <c r="BI303" s="159" t="n"/>
      <c r="BJ303" s="23">
        <f>IFERROR(ISNUMBER(E303)*IF(ISNUMBER(D303),--(E303&lt;D303-0.5),1)+ISNUMBER(F303)*IF(ISNUMBER(E303),--(F303&lt;E303-0.5),1)+ISNUMBER(G303)*IF(ISNUMBER(F303),--(G303&lt;F303-0.5),1)+ISNUMBER(H303)*IF(ISNUMBER(G303),--(H303&lt;G303-0.5),1)+ISNUMBER(I303)*IF(ISNUMBER(H303),--(I303&lt;H303-0.5),1)+ISNUMBER(J303)*IF(ISNUMBER(I303),--(J303&lt;I303-0.5),1)+ISNUMBER(K303)*IF(ISNUMBER(J303),--(K303&lt;J303-0.5),1)+IF(AND(ISNUMBER(C303),C303&lt;0),1,0),1)</f>
        <v/>
      </c>
      <c r="BK303" s="23">
        <f>IFERROR(ISNUMBER(M303)*IF(ISNUMBER(L303),--(M303&lt;L303-0.5),1)+ISNUMBER(N303)*IF(ISNUMBER(M303),--(N303&lt;M303-0.5),1)+ISNUMBER(O303)*IF(ISNUMBER(N303),--(O303&lt;N303-0.5),1)+ISNUMBER(P303)*IF(ISNUMBER(O303),--(P303&lt;O303-0.5),1)+ISNUMBER(Q303)*IF(ISNUMBER(P303),--(Q303&lt;P303-0.5),1)+ISNUMBER(R303)*IF(ISNUMBER(Q303),--(R303&lt;Q303-0.5),1)+ISNUMBER(S303)*IF(ISNUMBER(R303),--(S303&lt;R303-0.5),1),1)</f>
        <v/>
      </c>
    </row>
    <row r="304">
      <c r="A304" s="23" t="n">
        <v>36</v>
      </c>
      <c r="B304" s="75" t="n">
        <v>1</v>
      </c>
      <c r="C304" s="157" t="n"/>
      <c r="D304" s="157" t="n"/>
      <c r="E304" s="157" t="n"/>
      <c r="F304" s="157" t="n"/>
      <c r="G304" s="157" t="n"/>
      <c r="H304" s="157" t="n"/>
      <c r="I304" s="157" t="n"/>
      <c r="J304" s="157" t="n"/>
      <c r="K304" s="157" t="n"/>
      <c r="L304" s="157" t="n"/>
      <c r="M304" s="157" t="n"/>
      <c r="N304" s="157" t="n"/>
      <c r="O304" s="157" t="n"/>
      <c r="P304" s="157" t="n"/>
      <c r="Q304" s="157" t="n"/>
      <c r="R304" s="157" t="n"/>
      <c r="S304" s="157" t="n"/>
      <c r="T304" s="157" t="n"/>
      <c r="U304" s="157" t="n"/>
      <c r="V304" s="157" t="n"/>
      <c r="W304" s="157" t="n"/>
      <c r="X304" s="157" t="n"/>
      <c r="Y304" s="157" t="n"/>
      <c r="Z304" s="157" t="n"/>
      <c r="AA304" s="157" t="n"/>
      <c r="AB304" s="157" t="n"/>
      <c r="AC304" s="157" t="n"/>
      <c r="AD304" s="157" t="n"/>
      <c r="AE304" s="157" t="n"/>
      <c r="AF304" s="157" t="n"/>
      <c r="AG304" s="157" t="n"/>
      <c r="AH304" s="157" t="n"/>
      <c r="AI304" s="157" t="n"/>
      <c r="AJ304" s="157" t="n"/>
      <c r="AK304" s="157" t="n"/>
      <c r="AL304" s="157" t="n"/>
      <c r="AM304" s="157" t="n"/>
      <c r="AN304" s="157" t="n"/>
      <c r="AO304" s="157" t="n"/>
      <c r="AP304" s="157" t="n"/>
      <c r="AQ304" s="157" t="n"/>
      <c r="AR304" s="157" t="n"/>
      <c r="AS304" s="157" t="n"/>
      <c r="AT304" s="157" t="n"/>
      <c r="AU304" s="157" t="n"/>
      <c r="AV304" s="157" t="n"/>
      <c r="AW304" s="157" t="n"/>
      <c r="AX304" s="157" t="n"/>
      <c r="AY304" s="157" t="n"/>
      <c r="AZ304" s="157" t="n"/>
      <c r="BA304" s="157" t="n"/>
      <c r="BB304" s="157" t="n"/>
      <c r="BC304" s="157" t="n"/>
      <c r="BD304" s="157" t="n"/>
      <c r="BE304" s="157" t="n"/>
      <c r="BF304" s="157" t="n"/>
      <c r="BG304" s="157" t="n"/>
      <c r="BH304" s="158" t="n"/>
      <c r="BI304" s="159" t="n"/>
      <c r="BJ304" s="23">
        <f>IFERROR(ISNUMBER(E304)*IF(ISNUMBER(D304),--(E304&lt;D304-0.5),1)+ISNUMBER(F304)*IF(ISNUMBER(E304),--(F304&lt;E304-0.5),1)+ISNUMBER(G304)*IF(ISNUMBER(F304),--(G304&lt;F304-0.5),1)+ISNUMBER(H304)*IF(ISNUMBER(G304),--(H304&lt;G304-0.5),1)+ISNUMBER(I304)*IF(ISNUMBER(H304),--(I304&lt;H304-0.5),1)+ISNUMBER(J304)*IF(ISNUMBER(I304),--(J304&lt;I304-0.5),1)+ISNUMBER(K304)*IF(ISNUMBER(J304),--(K304&lt;J304-0.5),1)+IF(AND(ISNUMBER(C304),C304&lt;0),1,0),1)</f>
        <v/>
      </c>
      <c r="BK304" s="23">
        <f>IFERROR(ISNUMBER(M304)*IF(ISNUMBER(L304),--(M304&lt;L304-0.5),1)+ISNUMBER(N304)*IF(ISNUMBER(M304),--(N304&lt;M304-0.5),1)+ISNUMBER(O304)*IF(ISNUMBER(N304),--(O304&lt;N304-0.5),1)+ISNUMBER(P304)*IF(ISNUMBER(O304),--(P304&lt;O304-0.5),1)+ISNUMBER(Q304)*IF(ISNUMBER(P304),--(Q304&lt;P304-0.5),1)+ISNUMBER(R304)*IF(ISNUMBER(Q304),--(R304&lt;Q304-0.5),1)+ISNUMBER(S304)*IF(ISNUMBER(R304),--(S304&lt;R304-0.5),1),1)</f>
        <v/>
      </c>
    </row>
    <row r="305">
      <c r="A305" s="23" t="n">
        <v>37</v>
      </c>
      <c r="B305" s="75" t="n">
        <v>1</v>
      </c>
      <c r="C305" s="157" t="n"/>
      <c r="D305" s="157" t="n"/>
      <c r="E305" s="157" t="n"/>
      <c r="F305" s="157" t="n"/>
      <c r="G305" s="157" t="n"/>
      <c r="H305" s="157" t="n"/>
      <c r="I305" s="157" t="n"/>
      <c r="J305" s="157" t="n"/>
      <c r="K305" s="157" t="n"/>
      <c r="L305" s="157" t="n"/>
      <c r="M305" s="157" t="n"/>
      <c r="N305" s="157" t="n"/>
      <c r="O305" s="157" t="n"/>
      <c r="P305" s="157" t="n"/>
      <c r="Q305" s="157" t="n"/>
      <c r="R305" s="157" t="n"/>
      <c r="S305" s="157" t="n"/>
      <c r="T305" s="157" t="n"/>
      <c r="U305" s="157" t="n"/>
      <c r="V305" s="157" t="n"/>
      <c r="W305" s="157" t="n"/>
      <c r="X305" s="157" t="n"/>
      <c r="Y305" s="157" t="n"/>
      <c r="Z305" s="157" t="n"/>
      <c r="AA305" s="157" t="n"/>
      <c r="AB305" s="157" t="n"/>
      <c r="AC305" s="157" t="n"/>
      <c r="AD305" s="157" t="n"/>
      <c r="AE305" s="157" t="n"/>
      <c r="AF305" s="157" t="n"/>
      <c r="AG305" s="157" t="n"/>
      <c r="AH305" s="157" t="n"/>
      <c r="AI305" s="157" t="n"/>
      <c r="AJ305" s="157" t="n"/>
      <c r="AK305" s="157" t="n"/>
      <c r="AL305" s="157" t="n"/>
      <c r="AM305" s="157" t="n"/>
      <c r="AN305" s="157" t="n"/>
      <c r="AO305" s="157" t="n"/>
      <c r="AP305" s="157" t="n"/>
      <c r="AQ305" s="157" t="n"/>
      <c r="AR305" s="157" t="n"/>
      <c r="AS305" s="157" t="n"/>
      <c r="AT305" s="157" t="n"/>
      <c r="AU305" s="157" t="n"/>
      <c r="AV305" s="157" t="n"/>
      <c r="AW305" s="157" t="n"/>
      <c r="AX305" s="157" t="n"/>
      <c r="AY305" s="157" t="n"/>
      <c r="AZ305" s="157" t="n"/>
      <c r="BA305" s="157" t="n"/>
      <c r="BB305" s="157" t="n"/>
      <c r="BC305" s="157" t="n"/>
      <c r="BD305" s="157" t="n"/>
      <c r="BE305" s="157" t="n"/>
      <c r="BF305" s="157" t="n"/>
      <c r="BG305" s="157" t="n"/>
      <c r="BH305" s="158" t="n"/>
      <c r="BI305" s="159" t="n"/>
      <c r="BJ305" s="23">
        <f>IFERROR(ISNUMBER(E305)*IF(ISNUMBER(D305),--(E305&lt;D305-0.5),1)+ISNUMBER(F305)*IF(ISNUMBER(E305),--(F305&lt;E305-0.5),1)+ISNUMBER(G305)*IF(ISNUMBER(F305),--(G305&lt;F305-0.5),1)+ISNUMBER(H305)*IF(ISNUMBER(G305),--(H305&lt;G305-0.5),1)+ISNUMBER(I305)*IF(ISNUMBER(H305),--(I305&lt;H305-0.5),1)+ISNUMBER(J305)*IF(ISNUMBER(I305),--(J305&lt;I305-0.5),1)+ISNUMBER(K305)*IF(ISNUMBER(J305),--(K305&lt;J305-0.5),1)+IF(AND(ISNUMBER(C305),C305&lt;0),1,0),1)</f>
        <v/>
      </c>
      <c r="BK305" s="23">
        <f>IFERROR(ISNUMBER(M305)*IF(ISNUMBER(L305),--(M305&lt;L305-0.5),1)+ISNUMBER(N305)*IF(ISNUMBER(M305),--(N305&lt;M305-0.5),1)+ISNUMBER(O305)*IF(ISNUMBER(N305),--(O305&lt;N305-0.5),1)+ISNUMBER(P305)*IF(ISNUMBER(O305),--(P305&lt;O305-0.5),1)+ISNUMBER(Q305)*IF(ISNUMBER(P305),--(Q305&lt;P305-0.5),1)+ISNUMBER(R305)*IF(ISNUMBER(Q305),--(R305&lt;Q305-0.5),1)+ISNUMBER(S305)*IF(ISNUMBER(R305),--(S305&lt;R305-0.5),1),1)</f>
        <v/>
      </c>
    </row>
    <row r="306">
      <c r="A306" s="23" t="n">
        <v>38</v>
      </c>
      <c r="B306" s="75" t="n">
        <v>1</v>
      </c>
      <c r="C306" s="157" t="n"/>
      <c r="D306" s="157" t="n"/>
      <c r="E306" s="157" t="n"/>
      <c r="F306" s="157" t="n"/>
      <c r="G306" s="157" t="n"/>
      <c r="H306" s="157" t="n"/>
      <c r="I306" s="157" t="n"/>
      <c r="J306" s="157" t="n"/>
      <c r="K306" s="157" t="n"/>
      <c r="L306" s="157" t="n"/>
      <c r="M306" s="157" t="n"/>
      <c r="N306" s="157" t="n"/>
      <c r="O306" s="157" t="n"/>
      <c r="P306" s="157" t="n"/>
      <c r="Q306" s="157" t="n"/>
      <c r="R306" s="157" t="n"/>
      <c r="S306" s="157" t="n"/>
      <c r="T306" s="157" t="n"/>
      <c r="U306" s="157" t="n"/>
      <c r="V306" s="157" t="n"/>
      <c r="W306" s="157" t="n"/>
      <c r="X306" s="157" t="n"/>
      <c r="Y306" s="157" t="n"/>
      <c r="Z306" s="157" t="n"/>
      <c r="AA306" s="157" t="n"/>
      <c r="AB306" s="157" t="n"/>
      <c r="AC306" s="157" t="n"/>
      <c r="AD306" s="157" t="n"/>
      <c r="AE306" s="157" t="n"/>
      <c r="AF306" s="157" t="n"/>
      <c r="AG306" s="157" t="n"/>
      <c r="AH306" s="157" t="n"/>
      <c r="AI306" s="157" t="n"/>
      <c r="AJ306" s="157" t="n"/>
      <c r="AK306" s="157" t="n"/>
      <c r="AL306" s="157" t="n"/>
      <c r="AM306" s="157" t="n"/>
      <c r="AN306" s="157" t="n"/>
      <c r="AO306" s="157" t="n"/>
      <c r="AP306" s="157" t="n"/>
      <c r="AQ306" s="157" t="n"/>
      <c r="AR306" s="157" t="n"/>
      <c r="AS306" s="157" t="n"/>
      <c r="AT306" s="157" t="n"/>
      <c r="AU306" s="157" t="n"/>
      <c r="AV306" s="157" t="n"/>
      <c r="AW306" s="157" t="n"/>
      <c r="AX306" s="157" t="n"/>
      <c r="AY306" s="157" t="n"/>
      <c r="AZ306" s="157" t="n"/>
      <c r="BA306" s="157" t="n"/>
      <c r="BB306" s="157" t="n"/>
      <c r="BC306" s="157" t="n"/>
      <c r="BD306" s="157" t="n"/>
      <c r="BE306" s="157" t="n"/>
      <c r="BF306" s="157" t="n"/>
      <c r="BG306" s="157" t="n"/>
      <c r="BH306" s="158" t="n"/>
      <c r="BI306" s="159" t="n"/>
      <c r="BJ306" s="23">
        <f>IFERROR(ISNUMBER(E306)*IF(ISNUMBER(D306),--(E306&lt;D306-0.5),1)+ISNUMBER(F306)*IF(ISNUMBER(E306),--(F306&lt;E306-0.5),1)+ISNUMBER(G306)*IF(ISNUMBER(F306),--(G306&lt;F306-0.5),1)+ISNUMBER(H306)*IF(ISNUMBER(G306),--(H306&lt;G306-0.5),1)+ISNUMBER(I306)*IF(ISNUMBER(H306),--(I306&lt;H306-0.5),1)+ISNUMBER(J306)*IF(ISNUMBER(I306),--(J306&lt;I306-0.5),1)+ISNUMBER(K306)*IF(ISNUMBER(J306),--(K306&lt;J306-0.5),1)+IF(AND(ISNUMBER(C306),C306&lt;0),1,0),1)</f>
        <v/>
      </c>
      <c r="BK306" s="23">
        <f>IFERROR(ISNUMBER(M306)*IF(ISNUMBER(L306),--(M306&lt;L306-0.5),1)+ISNUMBER(N306)*IF(ISNUMBER(M306),--(N306&lt;M306-0.5),1)+ISNUMBER(O306)*IF(ISNUMBER(N306),--(O306&lt;N306-0.5),1)+ISNUMBER(P306)*IF(ISNUMBER(O306),--(P306&lt;O306-0.5),1)+ISNUMBER(Q306)*IF(ISNUMBER(P306),--(Q306&lt;P306-0.5),1)+ISNUMBER(R306)*IF(ISNUMBER(Q306),--(R306&lt;Q306-0.5),1)+ISNUMBER(S306)*IF(ISNUMBER(R306),--(S306&lt;R306-0.5),1),1)</f>
        <v/>
      </c>
    </row>
    <row r="307">
      <c r="A307" s="23" t="n">
        <v>39</v>
      </c>
      <c r="B307" s="75" t="n">
        <v>1</v>
      </c>
      <c r="C307" s="157" t="n"/>
      <c r="D307" s="157" t="n"/>
      <c r="E307" s="157" t="n"/>
      <c r="F307" s="157" t="n"/>
      <c r="G307" s="157" t="n"/>
      <c r="H307" s="157" t="n"/>
      <c r="I307" s="157" t="n"/>
      <c r="J307" s="157" t="n"/>
      <c r="K307" s="157" t="n"/>
      <c r="L307" s="157" t="n"/>
      <c r="M307" s="157" t="n"/>
      <c r="N307" s="157" t="n"/>
      <c r="O307" s="157" t="n"/>
      <c r="P307" s="157" t="n"/>
      <c r="Q307" s="157" t="n"/>
      <c r="R307" s="157" t="n"/>
      <c r="S307" s="157" t="n"/>
      <c r="T307" s="157" t="n"/>
      <c r="U307" s="157" t="n"/>
      <c r="V307" s="157" t="n"/>
      <c r="W307" s="157" t="n"/>
      <c r="X307" s="157" t="n"/>
      <c r="Y307" s="157" t="n"/>
      <c r="Z307" s="157" t="n"/>
      <c r="AA307" s="157" t="n"/>
      <c r="AB307" s="157" t="n"/>
      <c r="AC307" s="157" t="n"/>
      <c r="AD307" s="157" t="n"/>
      <c r="AE307" s="157" t="n"/>
      <c r="AF307" s="157" t="n"/>
      <c r="AG307" s="157" t="n"/>
      <c r="AH307" s="157" t="n"/>
      <c r="AI307" s="157" t="n"/>
      <c r="AJ307" s="157" t="n"/>
      <c r="AK307" s="157" t="n"/>
      <c r="AL307" s="157" t="n"/>
      <c r="AM307" s="157" t="n"/>
      <c r="AN307" s="157" t="n"/>
      <c r="AO307" s="157" t="n"/>
      <c r="AP307" s="157" t="n"/>
      <c r="AQ307" s="157" t="n"/>
      <c r="AR307" s="157" t="n"/>
      <c r="AS307" s="157" t="n"/>
      <c r="AT307" s="157" t="n"/>
      <c r="AU307" s="157" t="n"/>
      <c r="AV307" s="157" t="n"/>
      <c r="AW307" s="157" t="n"/>
      <c r="AX307" s="157" t="n"/>
      <c r="AY307" s="157" t="n"/>
      <c r="AZ307" s="157" t="n"/>
      <c r="BA307" s="157" t="n"/>
      <c r="BB307" s="157" t="n"/>
      <c r="BC307" s="157" t="n"/>
      <c r="BD307" s="157" t="n"/>
      <c r="BE307" s="157" t="n"/>
      <c r="BF307" s="157" t="n"/>
      <c r="BG307" s="157" t="n"/>
      <c r="BH307" s="158" t="n"/>
      <c r="BI307" s="159" t="n"/>
      <c r="BJ307" s="23">
        <f>IFERROR(ISNUMBER(E307)*IF(ISNUMBER(D307),--(E307&lt;D307-0.5),1)+ISNUMBER(F307)*IF(ISNUMBER(E307),--(F307&lt;E307-0.5),1)+ISNUMBER(G307)*IF(ISNUMBER(F307),--(G307&lt;F307-0.5),1)+ISNUMBER(H307)*IF(ISNUMBER(G307),--(H307&lt;G307-0.5),1)+ISNUMBER(I307)*IF(ISNUMBER(H307),--(I307&lt;H307-0.5),1)+ISNUMBER(J307)*IF(ISNUMBER(I307),--(J307&lt;I307-0.5),1)+ISNUMBER(K307)*IF(ISNUMBER(J307),--(K307&lt;J307-0.5),1)+IF(AND(ISNUMBER(C307),C307&lt;0),1,0),1)</f>
        <v/>
      </c>
      <c r="BK307" s="23">
        <f>IFERROR(ISNUMBER(M307)*IF(ISNUMBER(L307),--(M307&lt;L307-0.5),1)+ISNUMBER(N307)*IF(ISNUMBER(M307),--(N307&lt;M307-0.5),1)+ISNUMBER(O307)*IF(ISNUMBER(N307),--(O307&lt;N307-0.5),1)+ISNUMBER(P307)*IF(ISNUMBER(O307),--(P307&lt;O307-0.5),1)+ISNUMBER(Q307)*IF(ISNUMBER(P307),--(Q307&lt;P307-0.5),1)+ISNUMBER(R307)*IF(ISNUMBER(Q307),--(R307&lt;Q307-0.5),1)+ISNUMBER(S307)*IF(ISNUMBER(R307),--(S307&lt;R307-0.5),1),1)</f>
        <v/>
      </c>
    </row>
    <row r="308">
      <c r="A308" s="23" t="n">
        <v>40</v>
      </c>
      <c r="B308" s="75" t="n">
        <v>1</v>
      </c>
      <c r="C308" s="157" t="n"/>
      <c r="D308" s="157" t="n"/>
      <c r="E308" s="157" t="n"/>
      <c r="F308" s="157" t="n"/>
      <c r="G308" s="157" t="n"/>
      <c r="H308" s="157" t="n"/>
      <c r="I308" s="157" t="n"/>
      <c r="J308" s="157" t="n"/>
      <c r="K308" s="157" t="n"/>
      <c r="L308" s="157" t="n"/>
      <c r="M308" s="157" t="n"/>
      <c r="N308" s="157" t="n"/>
      <c r="O308" s="157" t="n"/>
      <c r="P308" s="157" t="n"/>
      <c r="Q308" s="157" t="n"/>
      <c r="R308" s="157" t="n"/>
      <c r="S308" s="157" t="n"/>
      <c r="T308" s="157" t="n"/>
      <c r="U308" s="157" t="n"/>
      <c r="V308" s="157" t="n"/>
      <c r="W308" s="157" t="n"/>
      <c r="X308" s="157" t="n"/>
      <c r="Y308" s="157" t="n"/>
      <c r="Z308" s="157" t="n"/>
      <c r="AA308" s="157" t="n"/>
      <c r="AB308" s="157" t="n"/>
      <c r="AC308" s="157" t="n"/>
      <c r="AD308" s="157" t="n"/>
      <c r="AE308" s="157" t="n"/>
      <c r="AF308" s="157" t="n"/>
      <c r="AG308" s="157" t="n"/>
      <c r="AH308" s="157" t="n"/>
      <c r="AI308" s="157" t="n"/>
      <c r="AJ308" s="157" t="n"/>
      <c r="AK308" s="157" t="n"/>
      <c r="AL308" s="157" t="n"/>
      <c r="AM308" s="157" t="n"/>
      <c r="AN308" s="157" t="n"/>
      <c r="AO308" s="157" t="n"/>
      <c r="AP308" s="157" t="n"/>
      <c r="AQ308" s="157" t="n"/>
      <c r="AR308" s="157" t="n"/>
      <c r="AS308" s="157" t="n"/>
      <c r="AT308" s="157" t="n"/>
      <c r="AU308" s="157" t="n"/>
      <c r="AV308" s="157" t="n"/>
      <c r="AW308" s="157" t="n"/>
      <c r="AX308" s="157" t="n"/>
      <c r="AY308" s="157" t="n"/>
      <c r="AZ308" s="157" t="n"/>
      <c r="BA308" s="157" t="n"/>
      <c r="BB308" s="157" t="n"/>
      <c r="BC308" s="157" t="n"/>
      <c r="BD308" s="157" t="n"/>
      <c r="BE308" s="157" t="n"/>
      <c r="BF308" s="157" t="n"/>
      <c r="BG308" s="157" t="n"/>
      <c r="BH308" s="158" t="n"/>
      <c r="BI308" s="159" t="n"/>
      <c r="BJ308" s="23">
        <f>IFERROR(ISNUMBER(E308)*IF(ISNUMBER(D308),--(E308&lt;D308-0.5),1)+ISNUMBER(F308)*IF(ISNUMBER(E308),--(F308&lt;E308-0.5),1)+ISNUMBER(G308)*IF(ISNUMBER(F308),--(G308&lt;F308-0.5),1)+ISNUMBER(H308)*IF(ISNUMBER(G308),--(H308&lt;G308-0.5),1)+ISNUMBER(I308)*IF(ISNUMBER(H308),--(I308&lt;H308-0.5),1)+ISNUMBER(J308)*IF(ISNUMBER(I308),--(J308&lt;I308-0.5),1)+ISNUMBER(K308)*IF(ISNUMBER(J308),--(K308&lt;J308-0.5),1)+IF(AND(ISNUMBER(C308),C308&lt;0),1,0),1)</f>
        <v/>
      </c>
      <c r="BK308" s="23">
        <f>IFERROR(ISNUMBER(M308)*IF(ISNUMBER(L308),--(M308&lt;L308-0.5),1)+ISNUMBER(N308)*IF(ISNUMBER(M308),--(N308&lt;M308-0.5),1)+ISNUMBER(O308)*IF(ISNUMBER(N308),--(O308&lt;N308-0.5),1)+ISNUMBER(P308)*IF(ISNUMBER(O308),--(P308&lt;O308-0.5),1)+ISNUMBER(Q308)*IF(ISNUMBER(P308),--(Q308&lt;P308-0.5),1)+ISNUMBER(R308)*IF(ISNUMBER(Q308),--(R308&lt;Q308-0.5),1)+ISNUMBER(S308)*IF(ISNUMBER(R308),--(S308&lt;R308-0.5),1),1)</f>
        <v/>
      </c>
    </row>
    <row r="309">
      <c r="A309" s="23" t="n">
        <v>41</v>
      </c>
      <c r="B309" s="75" t="n">
        <v>1</v>
      </c>
      <c r="C309" s="157" t="n"/>
      <c r="D309" s="157" t="n"/>
      <c r="E309" s="157" t="n"/>
      <c r="F309" s="157" t="n"/>
      <c r="G309" s="157" t="n"/>
      <c r="H309" s="157" t="n"/>
      <c r="I309" s="157" t="n"/>
      <c r="J309" s="157" t="n"/>
      <c r="K309" s="157" t="n"/>
      <c r="L309" s="157" t="n"/>
      <c r="M309" s="157" t="n"/>
      <c r="N309" s="157" t="n"/>
      <c r="O309" s="157" t="n"/>
      <c r="P309" s="157" t="n"/>
      <c r="Q309" s="157" t="n"/>
      <c r="R309" s="157" t="n"/>
      <c r="S309" s="157" t="n"/>
      <c r="T309" s="157" t="n"/>
      <c r="U309" s="157" t="n"/>
      <c r="V309" s="157" t="n"/>
      <c r="W309" s="157" t="n"/>
      <c r="X309" s="157" t="n"/>
      <c r="Y309" s="157" t="n"/>
      <c r="Z309" s="157" t="n"/>
      <c r="AA309" s="157" t="n"/>
      <c r="AB309" s="157" t="n"/>
      <c r="AC309" s="157" t="n"/>
      <c r="AD309" s="157" t="n"/>
      <c r="AE309" s="157" t="n"/>
      <c r="AF309" s="157" t="n"/>
      <c r="AG309" s="157" t="n"/>
      <c r="AH309" s="157" t="n"/>
      <c r="AI309" s="157" t="n"/>
      <c r="AJ309" s="157" t="n"/>
      <c r="AK309" s="157" t="n"/>
      <c r="AL309" s="157" t="n"/>
      <c r="AM309" s="157" t="n"/>
      <c r="AN309" s="157" t="n"/>
      <c r="AO309" s="157" t="n"/>
      <c r="AP309" s="157" t="n"/>
      <c r="AQ309" s="157" t="n"/>
      <c r="AR309" s="157" t="n"/>
      <c r="AS309" s="157" t="n"/>
      <c r="AT309" s="157" t="n"/>
      <c r="AU309" s="157" t="n"/>
      <c r="AV309" s="157" t="n"/>
      <c r="AW309" s="157" t="n"/>
      <c r="AX309" s="157" t="n"/>
      <c r="AY309" s="157" t="n"/>
      <c r="AZ309" s="157" t="n"/>
      <c r="BA309" s="157" t="n"/>
      <c r="BB309" s="157" t="n"/>
      <c r="BC309" s="157" t="n"/>
      <c r="BD309" s="157" t="n"/>
      <c r="BE309" s="157" t="n"/>
      <c r="BF309" s="157" t="n"/>
      <c r="BG309" s="157" t="n"/>
      <c r="BH309" s="158" t="n"/>
      <c r="BI309" s="159" t="n"/>
      <c r="BJ309" s="23">
        <f>IFERROR(ISNUMBER(E309)*IF(ISNUMBER(D309),--(E309&lt;D309-0.5),1)+ISNUMBER(F309)*IF(ISNUMBER(E309),--(F309&lt;E309-0.5),1)+ISNUMBER(G309)*IF(ISNUMBER(F309),--(G309&lt;F309-0.5),1)+ISNUMBER(H309)*IF(ISNUMBER(G309),--(H309&lt;G309-0.5),1)+ISNUMBER(I309)*IF(ISNUMBER(H309),--(I309&lt;H309-0.5),1)+ISNUMBER(J309)*IF(ISNUMBER(I309),--(J309&lt;I309-0.5),1)+ISNUMBER(K309)*IF(ISNUMBER(J309),--(K309&lt;J309-0.5),1)+IF(AND(ISNUMBER(C309),C309&lt;0),1,0),1)</f>
        <v/>
      </c>
      <c r="BK309" s="23">
        <f>IFERROR(ISNUMBER(M309)*IF(ISNUMBER(L309),--(M309&lt;L309-0.5),1)+ISNUMBER(N309)*IF(ISNUMBER(M309),--(N309&lt;M309-0.5),1)+ISNUMBER(O309)*IF(ISNUMBER(N309),--(O309&lt;N309-0.5),1)+ISNUMBER(P309)*IF(ISNUMBER(O309),--(P309&lt;O309-0.5),1)+ISNUMBER(Q309)*IF(ISNUMBER(P309),--(Q309&lt;P309-0.5),1)+ISNUMBER(R309)*IF(ISNUMBER(Q309),--(R309&lt;Q309-0.5),1)+ISNUMBER(S309)*IF(ISNUMBER(R309),--(S309&lt;R309-0.5),1),1)</f>
        <v/>
      </c>
    </row>
    <row r="310">
      <c r="A310" s="23" t="n">
        <v>42</v>
      </c>
      <c r="B310" s="75" t="n">
        <v>1</v>
      </c>
      <c r="C310" s="157" t="n"/>
      <c r="D310" s="157" t="n"/>
      <c r="E310" s="157" t="n"/>
      <c r="F310" s="157" t="n"/>
      <c r="G310" s="157" t="n"/>
      <c r="H310" s="157" t="n"/>
      <c r="I310" s="157" t="n"/>
      <c r="J310" s="157" t="n"/>
      <c r="K310" s="157" t="n"/>
      <c r="L310" s="157" t="n"/>
      <c r="M310" s="157" t="n"/>
      <c r="N310" s="157" t="n"/>
      <c r="O310" s="157" t="n"/>
      <c r="P310" s="157" t="n"/>
      <c r="Q310" s="157" t="n"/>
      <c r="R310" s="157" t="n"/>
      <c r="S310" s="157" t="n"/>
      <c r="T310" s="157" t="n"/>
      <c r="U310" s="157" t="n"/>
      <c r="V310" s="157" t="n"/>
      <c r="W310" s="157" t="n"/>
      <c r="X310" s="157" t="n"/>
      <c r="Y310" s="157" t="n"/>
      <c r="Z310" s="157" t="n"/>
      <c r="AA310" s="157" t="n"/>
      <c r="AB310" s="157" t="n"/>
      <c r="AC310" s="157" t="n"/>
      <c r="AD310" s="157" t="n"/>
      <c r="AE310" s="157" t="n"/>
      <c r="AF310" s="157" t="n"/>
      <c r="AG310" s="157" t="n"/>
      <c r="AH310" s="157" t="n"/>
      <c r="AI310" s="157" t="n"/>
      <c r="AJ310" s="157" t="n"/>
      <c r="AK310" s="157" t="n"/>
      <c r="AL310" s="157" t="n"/>
      <c r="AM310" s="157" t="n"/>
      <c r="AN310" s="157" t="n"/>
      <c r="AO310" s="157" t="n"/>
      <c r="AP310" s="157" t="n"/>
      <c r="AQ310" s="157" t="n"/>
      <c r="AR310" s="157" t="n"/>
      <c r="AS310" s="157" t="n"/>
      <c r="AT310" s="157" t="n"/>
      <c r="AU310" s="157" t="n"/>
      <c r="AV310" s="157" t="n"/>
      <c r="AW310" s="157" t="n"/>
      <c r="AX310" s="157" t="n"/>
      <c r="AY310" s="157" t="n"/>
      <c r="AZ310" s="157" t="n"/>
      <c r="BA310" s="157" t="n"/>
      <c r="BB310" s="157" t="n"/>
      <c r="BC310" s="157" t="n"/>
      <c r="BD310" s="157" t="n"/>
      <c r="BE310" s="157" t="n"/>
      <c r="BF310" s="157" t="n"/>
      <c r="BG310" s="157" t="n"/>
      <c r="BH310" s="158" t="n"/>
      <c r="BI310" s="159" t="n"/>
      <c r="BJ310" s="23">
        <f>IFERROR(ISNUMBER(E310)*IF(ISNUMBER(D310),--(E310&lt;D310-0.5),1)+ISNUMBER(F310)*IF(ISNUMBER(E310),--(F310&lt;E310-0.5),1)+ISNUMBER(G310)*IF(ISNUMBER(F310),--(G310&lt;F310-0.5),1)+ISNUMBER(H310)*IF(ISNUMBER(G310),--(H310&lt;G310-0.5),1)+ISNUMBER(I310)*IF(ISNUMBER(H310),--(I310&lt;H310-0.5),1)+ISNUMBER(J310)*IF(ISNUMBER(I310),--(J310&lt;I310-0.5),1)+ISNUMBER(K310)*IF(ISNUMBER(J310),--(K310&lt;J310-0.5),1)+IF(AND(ISNUMBER(C310),C310&lt;0),1,0),1)</f>
        <v/>
      </c>
      <c r="BK310" s="23">
        <f>IFERROR(ISNUMBER(M310)*IF(ISNUMBER(L310),--(M310&lt;L310-0.5),1)+ISNUMBER(N310)*IF(ISNUMBER(M310),--(N310&lt;M310-0.5),1)+ISNUMBER(O310)*IF(ISNUMBER(N310),--(O310&lt;N310-0.5),1)+ISNUMBER(P310)*IF(ISNUMBER(O310),--(P310&lt;O310-0.5),1)+ISNUMBER(Q310)*IF(ISNUMBER(P310),--(Q310&lt;P310-0.5),1)+ISNUMBER(R310)*IF(ISNUMBER(Q310),--(R310&lt;Q310-0.5),1)+ISNUMBER(S310)*IF(ISNUMBER(R310),--(S310&lt;R310-0.5),1),1)</f>
        <v/>
      </c>
    </row>
    <row r="311">
      <c r="A311" s="23" t="n">
        <v>43</v>
      </c>
      <c r="B311" s="75" t="n">
        <v>1</v>
      </c>
      <c r="C311" s="157" t="n"/>
      <c r="D311" s="157" t="n"/>
      <c r="E311" s="157" t="n"/>
      <c r="F311" s="157" t="n"/>
      <c r="G311" s="157" t="n"/>
      <c r="H311" s="157" t="n"/>
      <c r="I311" s="157" t="n"/>
      <c r="J311" s="157" t="n"/>
      <c r="K311" s="157" t="n"/>
      <c r="L311" s="157" t="n"/>
      <c r="M311" s="157" t="n"/>
      <c r="N311" s="157" t="n"/>
      <c r="O311" s="157" t="n"/>
      <c r="P311" s="157" t="n"/>
      <c r="Q311" s="157" t="n"/>
      <c r="R311" s="157" t="n"/>
      <c r="S311" s="157" t="n"/>
      <c r="T311" s="157" t="n"/>
      <c r="U311" s="157" t="n"/>
      <c r="V311" s="157" t="n"/>
      <c r="W311" s="157" t="n"/>
      <c r="X311" s="157" t="n"/>
      <c r="Y311" s="157" t="n"/>
      <c r="Z311" s="157" t="n"/>
      <c r="AA311" s="157" t="n"/>
      <c r="AB311" s="157" t="n"/>
      <c r="AC311" s="157" t="n"/>
      <c r="AD311" s="157" t="n"/>
      <c r="AE311" s="157" t="n"/>
      <c r="AF311" s="157" t="n"/>
      <c r="AG311" s="157" t="n"/>
      <c r="AH311" s="157" t="n"/>
      <c r="AI311" s="157" t="n"/>
      <c r="AJ311" s="157" t="n"/>
      <c r="AK311" s="157" t="n"/>
      <c r="AL311" s="157" t="n"/>
      <c r="AM311" s="157" t="n"/>
      <c r="AN311" s="157" t="n"/>
      <c r="AO311" s="157" t="n"/>
      <c r="AP311" s="157" t="n"/>
      <c r="AQ311" s="157" t="n"/>
      <c r="AR311" s="157" t="n"/>
      <c r="AS311" s="157" t="n"/>
      <c r="AT311" s="157" t="n"/>
      <c r="AU311" s="157" t="n"/>
      <c r="AV311" s="157" t="n"/>
      <c r="AW311" s="157" t="n"/>
      <c r="AX311" s="157" t="n"/>
      <c r="AY311" s="157" t="n"/>
      <c r="AZ311" s="157" t="n"/>
      <c r="BA311" s="157" t="n"/>
      <c r="BB311" s="157" t="n"/>
      <c r="BC311" s="157" t="n"/>
      <c r="BD311" s="157" t="n"/>
      <c r="BE311" s="157" t="n"/>
      <c r="BF311" s="157" t="n"/>
      <c r="BG311" s="157" t="n"/>
      <c r="BH311" s="158" t="n"/>
      <c r="BI311" s="159" t="n"/>
      <c r="BJ311" s="23">
        <f>IFERROR(ISNUMBER(E311)*IF(ISNUMBER(D311),--(E311&lt;D311-0.5),1)+ISNUMBER(F311)*IF(ISNUMBER(E311),--(F311&lt;E311-0.5),1)+ISNUMBER(G311)*IF(ISNUMBER(F311),--(G311&lt;F311-0.5),1)+ISNUMBER(H311)*IF(ISNUMBER(G311),--(H311&lt;G311-0.5),1)+ISNUMBER(I311)*IF(ISNUMBER(H311),--(I311&lt;H311-0.5),1)+ISNUMBER(J311)*IF(ISNUMBER(I311),--(J311&lt;I311-0.5),1)+ISNUMBER(K311)*IF(ISNUMBER(J311),--(K311&lt;J311-0.5),1)+IF(AND(ISNUMBER(C311),C311&lt;0),1,0),1)</f>
        <v/>
      </c>
      <c r="BK311" s="23">
        <f>IFERROR(ISNUMBER(M311)*IF(ISNUMBER(L311),--(M311&lt;L311-0.5),1)+ISNUMBER(N311)*IF(ISNUMBER(M311),--(N311&lt;M311-0.5),1)+ISNUMBER(O311)*IF(ISNUMBER(N311),--(O311&lt;N311-0.5),1)+ISNUMBER(P311)*IF(ISNUMBER(O311),--(P311&lt;O311-0.5),1)+ISNUMBER(Q311)*IF(ISNUMBER(P311),--(Q311&lt;P311-0.5),1)+ISNUMBER(R311)*IF(ISNUMBER(Q311),--(R311&lt;Q311-0.5),1)+ISNUMBER(S311)*IF(ISNUMBER(R311),--(S311&lt;R311-0.5),1),1)</f>
        <v/>
      </c>
    </row>
    <row r="312">
      <c r="A312" s="23" t="n">
        <v>44</v>
      </c>
      <c r="B312" s="75" t="n">
        <v>1</v>
      </c>
      <c r="C312" s="157" t="n"/>
      <c r="D312" s="157" t="n"/>
      <c r="E312" s="157" t="n"/>
      <c r="F312" s="157" t="n"/>
      <c r="G312" s="157" t="n"/>
      <c r="H312" s="157" t="n"/>
      <c r="I312" s="157" t="n"/>
      <c r="J312" s="157" t="n"/>
      <c r="K312" s="157" t="n"/>
      <c r="L312" s="157" t="n"/>
      <c r="M312" s="157" t="n"/>
      <c r="N312" s="157" t="n"/>
      <c r="O312" s="157" t="n"/>
      <c r="P312" s="157" t="n"/>
      <c r="Q312" s="157" t="n"/>
      <c r="R312" s="157" t="n"/>
      <c r="S312" s="157" t="n"/>
      <c r="T312" s="157" t="n"/>
      <c r="U312" s="157" t="n"/>
      <c r="V312" s="157" t="n"/>
      <c r="W312" s="157" t="n"/>
      <c r="X312" s="157" t="n"/>
      <c r="Y312" s="157" t="n"/>
      <c r="Z312" s="157" t="n"/>
      <c r="AA312" s="157" t="n"/>
      <c r="AB312" s="157" t="n"/>
      <c r="AC312" s="157" t="n"/>
      <c r="AD312" s="157" t="n"/>
      <c r="AE312" s="157" t="n"/>
      <c r="AF312" s="157" t="n"/>
      <c r="AG312" s="157" t="n"/>
      <c r="AH312" s="157" t="n"/>
      <c r="AI312" s="157" t="n"/>
      <c r="AJ312" s="157" t="n"/>
      <c r="AK312" s="157" t="n"/>
      <c r="AL312" s="157" t="n"/>
      <c r="AM312" s="157" t="n"/>
      <c r="AN312" s="157" t="n"/>
      <c r="AO312" s="157" t="n"/>
      <c r="AP312" s="157" t="n"/>
      <c r="AQ312" s="157" t="n"/>
      <c r="AR312" s="157" t="n"/>
      <c r="AS312" s="157" t="n"/>
      <c r="AT312" s="157" t="n"/>
      <c r="AU312" s="157" t="n"/>
      <c r="AV312" s="157" t="n"/>
      <c r="AW312" s="157" t="n"/>
      <c r="AX312" s="157" t="n"/>
      <c r="AY312" s="157" t="n"/>
      <c r="AZ312" s="157" t="n"/>
      <c r="BA312" s="157" t="n"/>
      <c r="BB312" s="157" t="n"/>
      <c r="BC312" s="157" t="n"/>
      <c r="BD312" s="157" t="n"/>
      <c r="BE312" s="157" t="n"/>
      <c r="BF312" s="157" t="n"/>
      <c r="BG312" s="157" t="n"/>
      <c r="BH312" s="158" t="n"/>
      <c r="BI312" s="159" t="n"/>
      <c r="BJ312" s="23">
        <f>IFERROR(ISNUMBER(E312)*IF(ISNUMBER(D312),--(E312&lt;D312-0.5),1)+ISNUMBER(F312)*IF(ISNUMBER(E312),--(F312&lt;E312-0.5),1)+ISNUMBER(G312)*IF(ISNUMBER(F312),--(G312&lt;F312-0.5),1)+ISNUMBER(H312)*IF(ISNUMBER(G312),--(H312&lt;G312-0.5),1)+ISNUMBER(I312)*IF(ISNUMBER(H312),--(I312&lt;H312-0.5),1)+ISNUMBER(J312)*IF(ISNUMBER(I312),--(J312&lt;I312-0.5),1)+ISNUMBER(K312)*IF(ISNUMBER(J312),--(K312&lt;J312-0.5),1)+IF(AND(ISNUMBER(C312),C312&lt;0),1,0),1)</f>
        <v/>
      </c>
      <c r="BK312" s="23">
        <f>IFERROR(ISNUMBER(M312)*IF(ISNUMBER(L312),--(M312&lt;L312-0.5),1)+ISNUMBER(N312)*IF(ISNUMBER(M312),--(N312&lt;M312-0.5),1)+ISNUMBER(O312)*IF(ISNUMBER(N312),--(O312&lt;N312-0.5),1)+ISNUMBER(P312)*IF(ISNUMBER(O312),--(P312&lt;O312-0.5),1)+ISNUMBER(Q312)*IF(ISNUMBER(P312),--(Q312&lt;P312-0.5),1)+ISNUMBER(R312)*IF(ISNUMBER(Q312),--(R312&lt;Q312-0.5),1)+ISNUMBER(S312)*IF(ISNUMBER(R312),--(S312&lt;R312-0.5),1),1)</f>
        <v/>
      </c>
    </row>
    <row r="313">
      <c r="A313" s="23" t="n">
        <v>45</v>
      </c>
      <c r="B313" s="75" t="n">
        <v>1</v>
      </c>
      <c r="C313" s="157" t="n"/>
      <c r="D313" s="157" t="n"/>
      <c r="E313" s="157" t="n"/>
      <c r="F313" s="157" t="n"/>
      <c r="G313" s="157" t="n"/>
      <c r="H313" s="157" t="n"/>
      <c r="I313" s="157" t="n"/>
      <c r="J313" s="157" t="n"/>
      <c r="K313" s="157" t="n"/>
      <c r="L313" s="157" t="n"/>
      <c r="M313" s="157" t="n"/>
      <c r="N313" s="157" t="n"/>
      <c r="O313" s="157" t="n"/>
      <c r="P313" s="157" t="n"/>
      <c r="Q313" s="157" t="n"/>
      <c r="R313" s="157" t="n"/>
      <c r="S313" s="157" t="n"/>
      <c r="T313" s="157" t="n"/>
      <c r="U313" s="157" t="n"/>
      <c r="V313" s="157" t="n"/>
      <c r="W313" s="157" t="n"/>
      <c r="X313" s="157" t="n"/>
      <c r="Y313" s="157" t="n"/>
      <c r="Z313" s="157" t="n"/>
      <c r="AA313" s="157" t="n"/>
      <c r="AB313" s="157" t="n"/>
      <c r="AC313" s="157" t="n"/>
      <c r="AD313" s="157" t="n"/>
      <c r="AE313" s="157" t="n"/>
      <c r="AF313" s="157" t="n"/>
      <c r="AG313" s="157" t="n"/>
      <c r="AH313" s="157" t="n"/>
      <c r="AI313" s="157" t="n"/>
      <c r="AJ313" s="157" t="n"/>
      <c r="AK313" s="157" t="n"/>
      <c r="AL313" s="157" t="n"/>
      <c r="AM313" s="157" t="n"/>
      <c r="AN313" s="157" t="n"/>
      <c r="AO313" s="157" t="n"/>
      <c r="AP313" s="157" t="n"/>
      <c r="AQ313" s="157" t="n"/>
      <c r="AR313" s="157" t="n"/>
      <c r="AS313" s="157" t="n"/>
      <c r="AT313" s="157" t="n"/>
      <c r="AU313" s="157" t="n"/>
      <c r="AV313" s="157" t="n"/>
      <c r="AW313" s="157" t="n"/>
      <c r="AX313" s="157" t="n"/>
      <c r="AY313" s="157" t="n"/>
      <c r="AZ313" s="157" t="n"/>
      <c r="BA313" s="157" t="n"/>
      <c r="BB313" s="157" t="n"/>
      <c r="BC313" s="157" t="n"/>
      <c r="BD313" s="157" t="n"/>
      <c r="BE313" s="157" t="n"/>
      <c r="BF313" s="157" t="n"/>
      <c r="BG313" s="157" t="n"/>
      <c r="BH313" s="158" t="n"/>
      <c r="BI313" s="159" t="n"/>
      <c r="BJ313" s="23">
        <f>IFERROR(ISNUMBER(E313)*IF(ISNUMBER(D313),--(E313&lt;D313-0.5),1)+ISNUMBER(F313)*IF(ISNUMBER(E313),--(F313&lt;E313-0.5),1)+ISNUMBER(G313)*IF(ISNUMBER(F313),--(G313&lt;F313-0.5),1)+ISNUMBER(H313)*IF(ISNUMBER(G313),--(H313&lt;G313-0.5),1)+ISNUMBER(I313)*IF(ISNUMBER(H313),--(I313&lt;H313-0.5),1)+ISNUMBER(J313)*IF(ISNUMBER(I313),--(J313&lt;I313-0.5),1)+ISNUMBER(K313)*IF(ISNUMBER(J313),--(K313&lt;J313-0.5),1)+IF(AND(ISNUMBER(C313),C313&lt;0),1,0),1)</f>
        <v/>
      </c>
      <c r="BK313" s="23">
        <f>IFERROR(ISNUMBER(M313)*IF(ISNUMBER(L313),--(M313&lt;L313-0.5),1)+ISNUMBER(N313)*IF(ISNUMBER(M313),--(N313&lt;M313-0.5),1)+ISNUMBER(O313)*IF(ISNUMBER(N313),--(O313&lt;N313-0.5),1)+ISNUMBER(P313)*IF(ISNUMBER(O313),--(P313&lt;O313-0.5),1)+ISNUMBER(Q313)*IF(ISNUMBER(P313),--(Q313&lt;P313-0.5),1)+ISNUMBER(R313)*IF(ISNUMBER(Q313),--(R313&lt;Q313-0.5),1)+ISNUMBER(S313)*IF(ISNUMBER(R313),--(S313&lt;R313-0.5),1),1)</f>
        <v/>
      </c>
    </row>
    <row r="314">
      <c r="A314" s="23" t="n">
        <v>46</v>
      </c>
      <c r="B314" s="75" t="n">
        <v>1</v>
      </c>
      <c r="C314" s="157" t="n"/>
      <c r="D314" s="157" t="n"/>
      <c r="E314" s="157" t="n"/>
      <c r="F314" s="157" t="n"/>
      <c r="G314" s="157" t="n"/>
      <c r="H314" s="157" t="n"/>
      <c r="I314" s="157" t="n"/>
      <c r="J314" s="157" t="n"/>
      <c r="K314" s="157" t="n"/>
      <c r="L314" s="157" t="n"/>
      <c r="M314" s="157" t="n"/>
      <c r="N314" s="157" t="n"/>
      <c r="O314" s="157" t="n"/>
      <c r="P314" s="157" t="n"/>
      <c r="Q314" s="157" t="n"/>
      <c r="R314" s="157" t="n"/>
      <c r="S314" s="157" t="n"/>
      <c r="T314" s="157" t="n"/>
      <c r="U314" s="157" t="n"/>
      <c r="V314" s="157" t="n"/>
      <c r="W314" s="157" t="n"/>
      <c r="X314" s="157" t="n"/>
      <c r="Y314" s="157" t="n"/>
      <c r="Z314" s="157" t="n"/>
      <c r="AA314" s="157" t="n"/>
      <c r="AB314" s="157" t="n"/>
      <c r="AC314" s="157" t="n"/>
      <c r="AD314" s="157" t="n"/>
      <c r="AE314" s="157" t="n"/>
      <c r="AF314" s="157" t="n"/>
      <c r="AG314" s="157" t="n"/>
      <c r="AH314" s="157" t="n"/>
      <c r="AI314" s="157" t="n"/>
      <c r="AJ314" s="157" t="n"/>
      <c r="AK314" s="157" t="n"/>
      <c r="AL314" s="157" t="n"/>
      <c r="AM314" s="157" t="n"/>
      <c r="AN314" s="157" t="n"/>
      <c r="AO314" s="157" t="n"/>
      <c r="AP314" s="157" t="n"/>
      <c r="AQ314" s="157" t="n"/>
      <c r="AR314" s="157" t="n"/>
      <c r="AS314" s="157" t="n"/>
      <c r="AT314" s="157" t="n"/>
      <c r="AU314" s="157" t="n"/>
      <c r="AV314" s="157" t="n"/>
      <c r="AW314" s="157" t="n"/>
      <c r="AX314" s="157" t="n"/>
      <c r="AY314" s="157" t="n"/>
      <c r="AZ314" s="157" t="n"/>
      <c r="BA314" s="157" t="n"/>
      <c r="BB314" s="157" t="n"/>
      <c r="BC314" s="157" t="n"/>
      <c r="BD314" s="157" t="n"/>
      <c r="BE314" s="157" t="n"/>
      <c r="BF314" s="157" t="n"/>
      <c r="BG314" s="157" t="n"/>
      <c r="BH314" s="158" t="n"/>
      <c r="BI314" s="159" t="n"/>
      <c r="BJ314" s="23">
        <f>IFERROR(ISNUMBER(E314)*IF(ISNUMBER(D314),--(E314&lt;D314-0.5),1)+ISNUMBER(F314)*IF(ISNUMBER(E314),--(F314&lt;E314-0.5),1)+ISNUMBER(G314)*IF(ISNUMBER(F314),--(G314&lt;F314-0.5),1)+ISNUMBER(H314)*IF(ISNUMBER(G314),--(H314&lt;G314-0.5),1)+ISNUMBER(I314)*IF(ISNUMBER(H314),--(I314&lt;H314-0.5),1)+ISNUMBER(J314)*IF(ISNUMBER(I314),--(J314&lt;I314-0.5),1)+ISNUMBER(K314)*IF(ISNUMBER(J314),--(K314&lt;J314-0.5),1)+IF(AND(ISNUMBER(C314),C314&lt;0),1,0),1)</f>
        <v/>
      </c>
      <c r="BK314" s="23">
        <f>IFERROR(ISNUMBER(M314)*IF(ISNUMBER(L314),--(M314&lt;L314-0.5),1)+ISNUMBER(N314)*IF(ISNUMBER(M314),--(N314&lt;M314-0.5),1)+ISNUMBER(O314)*IF(ISNUMBER(N314),--(O314&lt;N314-0.5),1)+ISNUMBER(P314)*IF(ISNUMBER(O314),--(P314&lt;O314-0.5),1)+ISNUMBER(Q314)*IF(ISNUMBER(P314),--(Q314&lt;P314-0.5),1)+ISNUMBER(R314)*IF(ISNUMBER(Q314),--(R314&lt;Q314-0.5),1)+ISNUMBER(S314)*IF(ISNUMBER(R314),--(S314&lt;R314-0.5),1),1)</f>
        <v/>
      </c>
    </row>
    <row r="315">
      <c r="A315" s="23" t="n">
        <v>47</v>
      </c>
      <c r="B315" s="75" t="n">
        <v>1</v>
      </c>
      <c r="C315" s="157" t="n"/>
      <c r="D315" s="157" t="n"/>
      <c r="E315" s="157" t="n"/>
      <c r="F315" s="157" t="n"/>
      <c r="G315" s="157" t="n"/>
      <c r="H315" s="157" t="n"/>
      <c r="I315" s="157" t="n"/>
      <c r="J315" s="157" t="n"/>
      <c r="K315" s="157" t="n"/>
      <c r="L315" s="157" t="n"/>
      <c r="M315" s="157" t="n"/>
      <c r="N315" s="157" t="n"/>
      <c r="O315" s="157" t="n"/>
      <c r="P315" s="157" t="n"/>
      <c r="Q315" s="157" t="n"/>
      <c r="R315" s="157" t="n"/>
      <c r="S315" s="157" t="n"/>
      <c r="T315" s="157" t="n"/>
      <c r="U315" s="157" t="n"/>
      <c r="V315" s="157" t="n"/>
      <c r="W315" s="157" t="n"/>
      <c r="X315" s="157" t="n"/>
      <c r="Y315" s="157" t="n"/>
      <c r="Z315" s="157" t="n"/>
      <c r="AA315" s="157" t="n"/>
      <c r="AB315" s="157" t="n"/>
      <c r="AC315" s="157" t="n"/>
      <c r="AD315" s="157" t="n"/>
      <c r="AE315" s="157" t="n"/>
      <c r="AF315" s="157" t="n"/>
      <c r="AG315" s="157" t="n"/>
      <c r="AH315" s="157" t="n"/>
      <c r="AI315" s="157" t="n"/>
      <c r="AJ315" s="157" t="n"/>
      <c r="AK315" s="157" t="n"/>
      <c r="AL315" s="157" t="n"/>
      <c r="AM315" s="157" t="n"/>
      <c r="AN315" s="157" t="n"/>
      <c r="AO315" s="157" t="n"/>
      <c r="AP315" s="157" t="n"/>
      <c r="AQ315" s="157" t="n"/>
      <c r="AR315" s="157" t="n"/>
      <c r="AS315" s="157" t="n"/>
      <c r="AT315" s="157" t="n"/>
      <c r="AU315" s="157" t="n"/>
      <c r="AV315" s="157" t="n"/>
      <c r="AW315" s="157" t="n"/>
      <c r="AX315" s="157" t="n"/>
      <c r="AY315" s="157" t="n"/>
      <c r="AZ315" s="157" t="n"/>
      <c r="BA315" s="157" t="n"/>
      <c r="BB315" s="157" t="n"/>
      <c r="BC315" s="157" t="n"/>
      <c r="BD315" s="157" t="n"/>
      <c r="BE315" s="157" t="n"/>
      <c r="BF315" s="157" t="n"/>
      <c r="BG315" s="157" t="n"/>
      <c r="BH315" s="158" t="n"/>
      <c r="BI315" s="159" t="n"/>
      <c r="BJ315" s="23">
        <f>IFERROR(ISNUMBER(E315)*IF(ISNUMBER(D315),--(E315&lt;D315-0.5),1)+ISNUMBER(F315)*IF(ISNUMBER(E315),--(F315&lt;E315-0.5),1)+ISNUMBER(G315)*IF(ISNUMBER(F315),--(G315&lt;F315-0.5),1)+ISNUMBER(H315)*IF(ISNUMBER(G315),--(H315&lt;G315-0.5),1)+ISNUMBER(I315)*IF(ISNUMBER(H315),--(I315&lt;H315-0.5),1)+ISNUMBER(J315)*IF(ISNUMBER(I315),--(J315&lt;I315-0.5),1)+ISNUMBER(K315)*IF(ISNUMBER(J315),--(K315&lt;J315-0.5),1)+IF(AND(ISNUMBER(C315),C315&lt;0),1,0),1)</f>
        <v/>
      </c>
      <c r="BK315" s="23">
        <f>IFERROR(ISNUMBER(M315)*IF(ISNUMBER(L315),--(M315&lt;L315-0.5),1)+ISNUMBER(N315)*IF(ISNUMBER(M315),--(N315&lt;M315-0.5),1)+ISNUMBER(O315)*IF(ISNUMBER(N315),--(O315&lt;N315-0.5),1)+ISNUMBER(P315)*IF(ISNUMBER(O315),--(P315&lt;O315-0.5),1)+ISNUMBER(Q315)*IF(ISNUMBER(P315),--(Q315&lt;P315-0.5),1)+ISNUMBER(R315)*IF(ISNUMBER(Q315),--(R315&lt;Q315-0.5),1)+ISNUMBER(S315)*IF(ISNUMBER(R315),--(S315&lt;R315-0.5),1),1)</f>
        <v/>
      </c>
    </row>
    <row r="316">
      <c r="A316" s="23" t="n">
        <v>48</v>
      </c>
      <c r="B316" s="75" t="n">
        <v>1</v>
      </c>
      <c r="C316" s="157" t="n"/>
      <c r="D316" s="157" t="n"/>
      <c r="E316" s="157" t="n"/>
      <c r="F316" s="157" t="n"/>
      <c r="G316" s="157" t="n"/>
      <c r="H316" s="157" t="n"/>
      <c r="I316" s="157" t="n"/>
      <c r="J316" s="157" t="n"/>
      <c r="K316" s="157" t="n"/>
      <c r="L316" s="157" t="n"/>
      <c r="M316" s="157" t="n"/>
      <c r="N316" s="157" t="n"/>
      <c r="O316" s="157" t="n"/>
      <c r="P316" s="157" t="n"/>
      <c r="Q316" s="157" t="n"/>
      <c r="R316" s="157" t="n"/>
      <c r="S316" s="157" t="n"/>
      <c r="T316" s="157" t="n"/>
      <c r="U316" s="157" t="n"/>
      <c r="V316" s="157" t="n"/>
      <c r="W316" s="157" t="n"/>
      <c r="X316" s="157" t="n"/>
      <c r="Y316" s="157" t="n"/>
      <c r="Z316" s="157" t="n"/>
      <c r="AA316" s="157" t="n"/>
      <c r="AB316" s="157" t="n"/>
      <c r="AC316" s="157" t="n"/>
      <c r="AD316" s="157" t="n"/>
      <c r="AE316" s="157" t="n"/>
      <c r="AF316" s="157" t="n"/>
      <c r="AG316" s="157" t="n"/>
      <c r="AH316" s="157" t="n"/>
      <c r="AI316" s="157" t="n"/>
      <c r="AJ316" s="157" t="n"/>
      <c r="AK316" s="157" t="n"/>
      <c r="AL316" s="157" t="n"/>
      <c r="AM316" s="157" t="n"/>
      <c r="AN316" s="157" t="n"/>
      <c r="AO316" s="157" t="n"/>
      <c r="AP316" s="157" t="n"/>
      <c r="AQ316" s="157" t="n"/>
      <c r="AR316" s="157" t="n"/>
      <c r="AS316" s="157" t="n"/>
      <c r="AT316" s="157" t="n"/>
      <c r="AU316" s="157" t="n"/>
      <c r="AV316" s="157" t="n"/>
      <c r="AW316" s="157" t="n"/>
      <c r="AX316" s="157" t="n"/>
      <c r="AY316" s="157" t="n"/>
      <c r="AZ316" s="157" t="n"/>
      <c r="BA316" s="157" t="n"/>
      <c r="BB316" s="157" t="n"/>
      <c r="BC316" s="157" t="n"/>
      <c r="BD316" s="157" t="n"/>
      <c r="BE316" s="157" t="n"/>
      <c r="BF316" s="157" t="n"/>
      <c r="BG316" s="157" t="n"/>
      <c r="BH316" s="158" t="n"/>
      <c r="BI316" s="159" t="n"/>
      <c r="BJ316" s="23">
        <f>IFERROR(ISNUMBER(E316)*IF(ISNUMBER(D316),--(E316&lt;D316-0.5),1)+ISNUMBER(F316)*IF(ISNUMBER(E316),--(F316&lt;E316-0.5),1)+ISNUMBER(G316)*IF(ISNUMBER(F316),--(G316&lt;F316-0.5),1)+ISNUMBER(H316)*IF(ISNUMBER(G316),--(H316&lt;G316-0.5),1)+ISNUMBER(I316)*IF(ISNUMBER(H316),--(I316&lt;H316-0.5),1)+ISNUMBER(J316)*IF(ISNUMBER(I316),--(J316&lt;I316-0.5),1)+ISNUMBER(K316)*IF(ISNUMBER(J316),--(K316&lt;J316-0.5),1)+IF(AND(ISNUMBER(C316),C316&lt;0),1,0),1)</f>
        <v/>
      </c>
      <c r="BK316" s="23">
        <f>IFERROR(ISNUMBER(M316)*IF(ISNUMBER(L316),--(M316&lt;L316-0.5),1)+ISNUMBER(N316)*IF(ISNUMBER(M316),--(N316&lt;M316-0.5),1)+ISNUMBER(O316)*IF(ISNUMBER(N316),--(O316&lt;N316-0.5),1)+ISNUMBER(P316)*IF(ISNUMBER(O316),--(P316&lt;O316-0.5),1)+ISNUMBER(Q316)*IF(ISNUMBER(P316),--(Q316&lt;P316-0.5),1)+ISNUMBER(R316)*IF(ISNUMBER(Q316),--(R316&lt;Q316-0.5),1)+ISNUMBER(S316)*IF(ISNUMBER(R316),--(S316&lt;R316-0.5),1),1)</f>
        <v/>
      </c>
    </row>
    <row r="317">
      <c r="A317" s="23" t="n">
        <v>49</v>
      </c>
      <c r="B317" s="75" t="n">
        <v>1</v>
      </c>
      <c r="C317" s="157" t="n"/>
      <c r="D317" s="157" t="n"/>
      <c r="E317" s="157" t="n"/>
      <c r="F317" s="157" t="n"/>
      <c r="G317" s="157" t="n"/>
      <c r="H317" s="157" t="n"/>
      <c r="I317" s="157" t="n"/>
      <c r="J317" s="157" t="n"/>
      <c r="K317" s="157" t="n"/>
      <c r="L317" s="157" t="n"/>
      <c r="M317" s="157" t="n"/>
      <c r="N317" s="157" t="n"/>
      <c r="O317" s="157" t="n"/>
      <c r="P317" s="157" t="n"/>
      <c r="Q317" s="157" t="n"/>
      <c r="R317" s="157" t="n"/>
      <c r="S317" s="157" t="n"/>
      <c r="T317" s="157" t="n"/>
      <c r="U317" s="157" t="n"/>
      <c r="V317" s="157" t="n"/>
      <c r="W317" s="157" t="n"/>
      <c r="X317" s="157" t="n"/>
      <c r="Y317" s="157" t="n"/>
      <c r="Z317" s="157" t="n"/>
      <c r="AA317" s="157" t="n"/>
      <c r="AB317" s="157" t="n"/>
      <c r="AC317" s="157" t="n"/>
      <c r="AD317" s="157" t="n"/>
      <c r="AE317" s="157" t="n"/>
      <c r="AF317" s="157" t="n"/>
      <c r="AG317" s="157" t="n"/>
      <c r="AH317" s="157" t="n"/>
      <c r="AI317" s="157" t="n"/>
      <c r="AJ317" s="157" t="n"/>
      <c r="AK317" s="157" t="n"/>
      <c r="AL317" s="157" t="n"/>
      <c r="AM317" s="157" t="n"/>
      <c r="AN317" s="157" t="n"/>
      <c r="AO317" s="157" t="n"/>
      <c r="AP317" s="157" t="n"/>
      <c r="AQ317" s="157" t="n"/>
      <c r="AR317" s="157" t="n"/>
      <c r="AS317" s="157" t="n"/>
      <c r="AT317" s="157" t="n"/>
      <c r="AU317" s="157" t="n"/>
      <c r="AV317" s="157" t="n"/>
      <c r="AW317" s="157" t="n"/>
      <c r="AX317" s="157" t="n"/>
      <c r="AY317" s="157" t="n"/>
      <c r="AZ317" s="157" t="n"/>
      <c r="BA317" s="157" t="n"/>
      <c r="BB317" s="157" t="n"/>
      <c r="BC317" s="157" t="n"/>
      <c r="BD317" s="157" t="n"/>
      <c r="BE317" s="157" t="n"/>
      <c r="BF317" s="157" t="n"/>
      <c r="BG317" s="157" t="n"/>
      <c r="BH317" s="158" t="n"/>
      <c r="BI317" s="159" t="n"/>
      <c r="BJ317" s="23">
        <f>IFERROR(ISNUMBER(E317)*IF(ISNUMBER(D317),--(E317&lt;D317-0.5),1)+ISNUMBER(F317)*IF(ISNUMBER(E317),--(F317&lt;E317-0.5),1)+ISNUMBER(G317)*IF(ISNUMBER(F317),--(G317&lt;F317-0.5),1)+ISNUMBER(H317)*IF(ISNUMBER(G317),--(H317&lt;G317-0.5),1)+ISNUMBER(I317)*IF(ISNUMBER(H317),--(I317&lt;H317-0.5),1)+ISNUMBER(J317)*IF(ISNUMBER(I317),--(J317&lt;I317-0.5),1)+ISNUMBER(K317)*IF(ISNUMBER(J317),--(K317&lt;J317-0.5),1)+IF(AND(ISNUMBER(C317),C317&lt;0),1,0),1)</f>
        <v/>
      </c>
      <c r="BK317" s="23">
        <f>IFERROR(ISNUMBER(M317)*IF(ISNUMBER(L317),--(M317&lt;L317-0.5),1)+ISNUMBER(N317)*IF(ISNUMBER(M317),--(N317&lt;M317-0.5),1)+ISNUMBER(O317)*IF(ISNUMBER(N317),--(O317&lt;N317-0.5),1)+ISNUMBER(P317)*IF(ISNUMBER(O317),--(P317&lt;O317-0.5),1)+ISNUMBER(Q317)*IF(ISNUMBER(P317),--(Q317&lt;P317-0.5),1)+ISNUMBER(R317)*IF(ISNUMBER(Q317),--(R317&lt;Q317-0.5),1)+ISNUMBER(S317)*IF(ISNUMBER(R317),--(S317&lt;R317-0.5),1),1)</f>
        <v/>
      </c>
    </row>
    <row r="318">
      <c r="A318" s="23" t="n">
        <v>50</v>
      </c>
      <c r="B318" s="75" t="n">
        <v>1</v>
      </c>
      <c r="C318" s="157" t="n"/>
      <c r="D318" s="157" t="n"/>
      <c r="E318" s="157" t="n"/>
      <c r="F318" s="157" t="n"/>
      <c r="G318" s="157" t="n"/>
      <c r="H318" s="157" t="n"/>
      <c r="I318" s="157" t="n"/>
      <c r="J318" s="157" t="n"/>
      <c r="K318" s="157" t="n"/>
      <c r="L318" s="157" t="n"/>
      <c r="M318" s="157" t="n"/>
      <c r="N318" s="157" t="n"/>
      <c r="O318" s="157" t="n"/>
      <c r="P318" s="157" t="n"/>
      <c r="Q318" s="157" t="n"/>
      <c r="R318" s="157" t="n"/>
      <c r="S318" s="157" t="n"/>
      <c r="T318" s="157" t="n"/>
      <c r="U318" s="157" t="n"/>
      <c r="V318" s="157" t="n"/>
      <c r="W318" s="157" t="n"/>
      <c r="X318" s="157" t="n"/>
      <c r="Y318" s="157" t="n"/>
      <c r="Z318" s="157" t="n"/>
      <c r="AA318" s="157" t="n"/>
      <c r="AB318" s="157" t="n"/>
      <c r="AC318" s="157" t="n"/>
      <c r="AD318" s="157" t="n"/>
      <c r="AE318" s="157" t="n"/>
      <c r="AF318" s="157" t="n"/>
      <c r="AG318" s="157" t="n"/>
      <c r="AH318" s="157" t="n"/>
      <c r="AI318" s="157" t="n"/>
      <c r="AJ318" s="157" t="n"/>
      <c r="AK318" s="157" t="n"/>
      <c r="AL318" s="157" t="n"/>
      <c r="AM318" s="157" t="n"/>
      <c r="AN318" s="157" t="n"/>
      <c r="AO318" s="157" t="n"/>
      <c r="AP318" s="157" t="n"/>
      <c r="AQ318" s="157" t="n"/>
      <c r="AR318" s="157" t="n"/>
      <c r="AS318" s="157" t="n"/>
      <c r="AT318" s="157" t="n"/>
      <c r="AU318" s="157" t="n"/>
      <c r="AV318" s="157" t="n"/>
      <c r="AW318" s="157" t="n"/>
      <c r="AX318" s="157" t="n"/>
      <c r="AY318" s="157" t="n"/>
      <c r="AZ318" s="157" t="n"/>
      <c r="BA318" s="157" t="n"/>
      <c r="BB318" s="157" t="n"/>
      <c r="BC318" s="157" t="n"/>
      <c r="BD318" s="157" t="n"/>
      <c r="BE318" s="157" t="n"/>
      <c r="BF318" s="157" t="n"/>
      <c r="BG318" s="157" t="n"/>
      <c r="BH318" s="158" t="n"/>
      <c r="BI318" s="159" t="n"/>
      <c r="BJ318" s="23">
        <f>IFERROR(ISNUMBER(E318)*IF(ISNUMBER(D318),--(E318&lt;D318-0.5),1)+ISNUMBER(F318)*IF(ISNUMBER(E318),--(F318&lt;E318-0.5),1)+ISNUMBER(G318)*IF(ISNUMBER(F318),--(G318&lt;F318-0.5),1)+ISNUMBER(H318)*IF(ISNUMBER(G318),--(H318&lt;G318-0.5),1)+ISNUMBER(I318)*IF(ISNUMBER(H318),--(I318&lt;H318-0.5),1)+ISNUMBER(J318)*IF(ISNUMBER(I318),--(J318&lt;I318-0.5),1)+ISNUMBER(K318)*IF(ISNUMBER(J318),--(K318&lt;J318-0.5),1)+IF(AND(ISNUMBER(C318),C318&lt;0),1,0),1)</f>
        <v/>
      </c>
      <c r="BK318" s="23">
        <f>IFERROR(ISNUMBER(M318)*IF(ISNUMBER(L318),--(M318&lt;L318-0.5),1)+ISNUMBER(N318)*IF(ISNUMBER(M318),--(N318&lt;M318-0.5),1)+ISNUMBER(O318)*IF(ISNUMBER(N318),--(O318&lt;N318-0.5),1)+ISNUMBER(P318)*IF(ISNUMBER(O318),--(P318&lt;O318-0.5),1)+ISNUMBER(Q318)*IF(ISNUMBER(P318),--(Q318&lt;P318-0.5),1)+ISNUMBER(R318)*IF(ISNUMBER(Q318),--(R318&lt;Q318-0.5),1)+ISNUMBER(S318)*IF(ISNUMBER(R318),--(S318&lt;R318-0.5),1),1)</f>
        <v/>
      </c>
    </row>
    <row r="319">
      <c r="A319" s="23" t="n">
        <v>51</v>
      </c>
      <c r="B319" s="75" t="n">
        <v>1</v>
      </c>
      <c r="C319" s="157" t="n"/>
      <c r="D319" s="157" t="n"/>
      <c r="E319" s="157" t="n"/>
      <c r="F319" s="157" t="n"/>
      <c r="G319" s="157" t="n"/>
      <c r="H319" s="157" t="n"/>
      <c r="I319" s="157" t="n"/>
      <c r="J319" s="157" t="n"/>
      <c r="K319" s="157" t="n"/>
      <c r="L319" s="157" t="n"/>
      <c r="M319" s="157" t="n"/>
      <c r="N319" s="157" t="n"/>
      <c r="O319" s="157" t="n"/>
      <c r="P319" s="157" t="n"/>
      <c r="Q319" s="157" t="n"/>
      <c r="R319" s="157" t="n"/>
      <c r="S319" s="157" t="n"/>
      <c r="T319" s="157" t="n"/>
      <c r="U319" s="157" t="n"/>
      <c r="V319" s="157" t="n"/>
      <c r="W319" s="157" t="n"/>
      <c r="X319" s="157" t="n"/>
      <c r="Y319" s="157" t="n"/>
      <c r="Z319" s="157" t="n"/>
      <c r="AA319" s="157" t="n"/>
      <c r="AB319" s="157" t="n"/>
      <c r="AC319" s="157" t="n"/>
      <c r="AD319" s="157" t="n"/>
      <c r="AE319" s="157" t="n"/>
      <c r="AF319" s="157" t="n"/>
      <c r="AG319" s="157" t="n"/>
      <c r="AH319" s="157" t="n"/>
      <c r="AI319" s="157" t="n"/>
      <c r="AJ319" s="157" t="n"/>
      <c r="AK319" s="157" t="n"/>
      <c r="AL319" s="157" t="n"/>
      <c r="AM319" s="157" t="n"/>
      <c r="AN319" s="157" t="n"/>
      <c r="AO319" s="157" t="n"/>
      <c r="AP319" s="157" t="n"/>
      <c r="AQ319" s="157" t="n"/>
      <c r="AR319" s="157" t="n"/>
      <c r="AS319" s="157" t="n"/>
      <c r="AT319" s="157" t="n"/>
      <c r="AU319" s="157" t="n"/>
      <c r="AV319" s="157" t="n"/>
      <c r="AW319" s="157" t="n"/>
      <c r="AX319" s="157" t="n"/>
      <c r="AY319" s="157" t="n"/>
      <c r="AZ319" s="157" t="n"/>
      <c r="BA319" s="157" t="n"/>
      <c r="BB319" s="157" t="n"/>
      <c r="BC319" s="157" t="n"/>
      <c r="BD319" s="157" t="n"/>
      <c r="BE319" s="157" t="n"/>
      <c r="BF319" s="157" t="n"/>
      <c r="BG319" s="157" t="n"/>
      <c r="BH319" s="158" t="n"/>
      <c r="BI319" s="159" t="n"/>
      <c r="BJ319" s="23">
        <f>IFERROR(ISNUMBER(E319)*IF(ISNUMBER(D319),--(E319&lt;D319-0.5),1)+ISNUMBER(F319)*IF(ISNUMBER(E319),--(F319&lt;E319-0.5),1)+ISNUMBER(G319)*IF(ISNUMBER(F319),--(G319&lt;F319-0.5),1)+ISNUMBER(H319)*IF(ISNUMBER(G319),--(H319&lt;G319-0.5),1)+ISNUMBER(I319)*IF(ISNUMBER(H319),--(I319&lt;H319-0.5),1)+ISNUMBER(J319)*IF(ISNUMBER(I319),--(J319&lt;I319-0.5),1)+ISNUMBER(K319)*IF(ISNUMBER(J319),--(K319&lt;J319-0.5),1)+IF(AND(ISNUMBER(C319),C319&lt;0),1,0),1)</f>
        <v/>
      </c>
      <c r="BK319" s="23">
        <f>IFERROR(ISNUMBER(M319)*IF(ISNUMBER(L319),--(M319&lt;L319-0.5),1)+ISNUMBER(N319)*IF(ISNUMBER(M319),--(N319&lt;M319-0.5),1)+ISNUMBER(O319)*IF(ISNUMBER(N319),--(O319&lt;N319-0.5),1)+ISNUMBER(P319)*IF(ISNUMBER(O319),--(P319&lt;O319-0.5),1)+ISNUMBER(Q319)*IF(ISNUMBER(P319),--(Q319&lt;P319-0.5),1)+ISNUMBER(R319)*IF(ISNUMBER(Q319),--(R319&lt;Q319-0.5),1)+ISNUMBER(S319)*IF(ISNUMBER(R319),--(S319&lt;R319-0.5),1),1)</f>
        <v/>
      </c>
    </row>
    <row r="320">
      <c r="A320" s="23" t="n">
        <v>52</v>
      </c>
      <c r="B320" s="75" t="n">
        <v>1</v>
      </c>
      <c r="C320" s="157" t="n"/>
      <c r="D320" s="157" t="n"/>
      <c r="E320" s="157" t="n"/>
      <c r="F320" s="157" t="n"/>
      <c r="G320" s="157" t="n"/>
      <c r="H320" s="157" t="n"/>
      <c r="I320" s="157" t="n"/>
      <c r="J320" s="157" t="n"/>
      <c r="K320" s="157" t="n"/>
      <c r="L320" s="157" t="n"/>
      <c r="M320" s="157" t="n"/>
      <c r="N320" s="157" t="n"/>
      <c r="O320" s="157" t="n"/>
      <c r="P320" s="157" t="n"/>
      <c r="Q320" s="157" t="n"/>
      <c r="R320" s="157" t="n"/>
      <c r="S320" s="157" t="n"/>
      <c r="T320" s="157" t="n"/>
      <c r="U320" s="157" t="n"/>
      <c r="V320" s="157" t="n"/>
      <c r="W320" s="157" t="n"/>
      <c r="X320" s="157" t="n"/>
      <c r="Y320" s="157" t="n"/>
      <c r="Z320" s="157" t="n"/>
      <c r="AA320" s="157" t="n"/>
      <c r="AB320" s="157" t="n"/>
      <c r="AC320" s="157" t="n"/>
      <c r="AD320" s="157" t="n"/>
      <c r="AE320" s="157" t="n"/>
      <c r="AF320" s="157" t="n"/>
      <c r="AG320" s="157" t="n"/>
      <c r="AH320" s="157" t="n"/>
      <c r="AI320" s="157" t="n"/>
      <c r="AJ320" s="157" t="n"/>
      <c r="AK320" s="157" t="n"/>
      <c r="AL320" s="157" t="n"/>
      <c r="AM320" s="157" t="n"/>
      <c r="AN320" s="157" t="n"/>
      <c r="AO320" s="157" t="n"/>
      <c r="AP320" s="157" t="n"/>
      <c r="AQ320" s="157" t="n"/>
      <c r="AR320" s="157" t="n"/>
      <c r="AS320" s="157" t="n"/>
      <c r="AT320" s="157" t="n"/>
      <c r="AU320" s="157" t="n"/>
      <c r="AV320" s="157" t="n"/>
      <c r="AW320" s="157" t="n"/>
      <c r="AX320" s="157" t="n"/>
      <c r="AY320" s="157" t="n"/>
      <c r="AZ320" s="157" t="n"/>
      <c r="BA320" s="157" t="n"/>
      <c r="BB320" s="157" t="n"/>
      <c r="BC320" s="157" t="n"/>
      <c r="BD320" s="157" t="n"/>
      <c r="BE320" s="157" t="n"/>
      <c r="BF320" s="157" t="n"/>
      <c r="BG320" s="157" t="n"/>
      <c r="BH320" s="158" t="n"/>
      <c r="BI320" s="159" t="n"/>
      <c r="BJ320" s="23">
        <f>IFERROR(ISNUMBER(E320)*IF(ISNUMBER(D320),--(E320&lt;D320-0.5),1)+ISNUMBER(F320)*IF(ISNUMBER(E320),--(F320&lt;E320-0.5),1)+ISNUMBER(G320)*IF(ISNUMBER(F320),--(G320&lt;F320-0.5),1)+ISNUMBER(H320)*IF(ISNUMBER(G320),--(H320&lt;G320-0.5),1)+ISNUMBER(I320)*IF(ISNUMBER(H320),--(I320&lt;H320-0.5),1)+ISNUMBER(J320)*IF(ISNUMBER(I320),--(J320&lt;I320-0.5),1)+ISNUMBER(K320)*IF(ISNUMBER(J320),--(K320&lt;J320-0.5),1)+IF(AND(ISNUMBER(C320),C320&lt;0),1,0),1)</f>
        <v/>
      </c>
      <c r="BK320" s="23">
        <f>IFERROR(ISNUMBER(M320)*IF(ISNUMBER(L320),--(M320&lt;L320-0.5),1)+ISNUMBER(N320)*IF(ISNUMBER(M320),--(N320&lt;M320-0.5),1)+ISNUMBER(O320)*IF(ISNUMBER(N320),--(O320&lt;N320-0.5),1)+ISNUMBER(P320)*IF(ISNUMBER(O320),--(P320&lt;O320-0.5),1)+ISNUMBER(Q320)*IF(ISNUMBER(P320),--(Q320&lt;P320-0.5),1)+ISNUMBER(R320)*IF(ISNUMBER(Q320),--(R320&lt;Q320-0.5),1)+ISNUMBER(S320)*IF(ISNUMBER(R320),--(S320&lt;R320-0.5),1),1)</f>
        <v/>
      </c>
    </row>
    <row r="321">
      <c r="A321" s="23" t="n">
        <v>53</v>
      </c>
      <c r="B321" s="75" t="n">
        <v>1</v>
      </c>
      <c r="C321" s="157" t="n"/>
      <c r="D321" s="157" t="n"/>
      <c r="E321" s="157" t="n"/>
      <c r="F321" s="157" t="n"/>
      <c r="G321" s="157" t="n"/>
      <c r="H321" s="157" t="n"/>
      <c r="I321" s="157" t="n"/>
      <c r="J321" s="157" t="n"/>
      <c r="K321" s="157" t="n"/>
      <c r="L321" s="157" t="n"/>
      <c r="M321" s="157" t="n"/>
      <c r="N321" s="157" t="n"/>
      <c r="O321" s="157" t="n"/>
      <c r="P321" s="157" t="n"/>
      <c r="Q321" s="157" t="n"/>
      <c r="R321" s="157" t="n"/>
      <c r="S321" s="157" t="n"/>
      <c r="T321" s="157" t="n"/>
      <c r="U321" s="157" t="n"/>
      <c r="V321" s="157" t="n"/>
      <c r="W321" s="157" t="n"/>
      <c r="X321" s="157" t="n"/>
      <c r="Y321" s="157" t="n"/>
      <c r="Z321" s="157" t="n"/>
      <c r="AA321" s="157" t="n"/>
      <c r="AB321" s="157" t="n"/>
      <c r="AC321" s="157" t="n"/>
      <c r="AD321" s="157" t="n"/>
      <c r="AE321" s="157" t="n"/>
      <c r="AF321" s="157" t="n"/>
      <c r="AG321" s="157" t="n"/>
      <c r="AH321" s="157" t="n"/>
      <c r="AI321" s="157" t="n"/>
      <c r="AJ321" s="157" t="n"/>
      <c r="AK321" s="157" t="n"/>
      <c r="AL321" s="157" t="n"/>
      <c r="AM321" s="157" t="n"/>
      <c r="AN321" s="157" t="n"/>
      <c r="AO321" s="157" t="n"/>
      <c r="AP321" s="157" t="n"/>
      <c r="AQ321" s="157" t="n"/>
      <c r="AR321" s="157" t="n"/>
      <c r="AS321" s="157" t="n"/>
      <c r="AT321" s="157" t="n"/>
      <c r="AU321" s="157" t="n"/>
      <c r="AV321" s="157" t="n"/>
      <c r="AW321" s="157" t="n"/>
      <c r="AX321" s="157" t="n"/>
      <c r="AY321" s="157" t="n"/>
      <c r="AZ321" s="157" t="n"/>
      <c r="BA321" s="157" t="n"/>
      <c r="BB321" s="157" t="n"/>
      <c r="BC321" s="157" t="n"/>
      <c r="BD321" s="157" t="n"/>
      <c r="BE321" s="157" t="n"/>
      <c r="BF321" s="157" t="n"/>
      <c r="BG321" s="157" t="n"/>
      <c r="BH321" s="158" t="n"/>
      <c r="BI321" s="159" t="n"/>
      <c r="BJ321" s="23">
        <f>IFERROR(ISNUMBER(E321)*IF(ISNUMBER(D321),--(E321&lt;D321-0.5),1)+ISNUMBER(F321)*IF(ISNUMBER(E321),--(F321&lt;E321-0.5),1)+ISNUMBER(G321)*IF(ISNUMBER(F321),--(G321&lt;F321-0.5),1)+ISNUMBER(H321)*IF(ISNUMBER(G321),--(H321&lt;G321-0.5),1)+ISNUMBER(I321)*IF(ISNUMBER(H321),--(I321&lt;H321-0.5),1)+ISNUMBER(J321)*IF(ISNUMBER(I321),--(J321&lt;I321-0.5),1)+ISNUMBER(K321)*IF(ISNUMBER(J321),--(K321&lt;J321-0.5),1)+IF(AND(ISNUMBER(C321),C321&lt;0),1,0),1)</f>
        <v/>
      </c>
      <c r="BK321" s="23">
        <f>IFERROR(ISNUMBER(M321)*IF(ISNUMBER(L321),--(M321&lt;L321-0.5),1)+ISNUMBER(N321)*IF(ISNUMBER(M321),--(N321&lt;M321-0.5),1)+ISNUMBER(O321)*IF(ISNUMBER(N321),--(O321&lt;N321-0.5),1)+ISNUMBER(P321)*IF(ISNUMBER(O321),--(P321&lt;O321-0.5),1)+ISNUMBER(Q321)*IF(ISNUMBER(P321),--(Q321&lt;P321-0.5),1)+ISNUMBER(R321)*IF(ISNUMBER(Q321),--(R321&lt;Q321-0.5),1)+ISNUMBER(S321)*IF(ISNUMBER(R321),--(S321&lt;R321-0.5),1),1)</f>
        <v/>
      </c>
    </row>
    <row r="322">
      <c r="A322" s="23" t="n">
        <v>54</v>
      </c>
      <c r="B322" s="75" t="n">
        <v>1</v>
      </c>
      <c r="C322" s="157" t="n"/>
      <c r="D322" s="157" t="n"/>
      <c r="E322" s="157" t="n"/>
      <c r="F322" s="157" t="n"/>
      <c r="G322" s="157" t="n"/>
      <c r="H322" s="157" t="n"/>
      <c r="I322" s="157" t="n"/>
      <c r="J322" s="157" t="n"/>
      <c r="K322" s="157" t="n"/>
      <c r="L322" s="157" t="n"/>
      <c r="M322" s="157" t="n"/>
      <c r="N322" s="157" t="n"/>
      <c r="O322" s="157" t="n"/>
      <c r="P322" s="157" t="n"/>
      <c r="Q322" s="157" t="n"/>
      <c r="R322" s="157" t="n"/>
      <c r="S322" s="157" t="n"/>
      <c r="T322" s="157" t="n"/>
      <c r="U322" s="157" t="n"/>
      <c r="V322" s="157" t="n"/>
      <c r="W322" s="157" t="n"/>
      <c r="X322" s="157" t="n"/>
      <c r="Y322" s="157" t="n"/>
      <c r="Z322" s="157" t="n"/>
      <c r="AA322" s="157" t="n"/>
      <c r="AB322" s="157" t="n"/>
      <c r="AC322" s="157" t="n"/>
      <c r="AD322" s="157" t="n"/>
      <c r="AE322" s="157" t="n"/>
      <c r="AF322" s="157" t="n"/>
      <c r="AG322" s="157" t="n"/>
      <c r="AH322" s="157" t="n"/>
      <c r="AI322" s="157" t="n"/>
      <c r="AJ322" s="157" t="n"/>
      <c r="AK322" s="157" t="n"/>
      <c r="AL322" s="157" t="n"/>
      <c r="AM322" s="157" t="n"/>
      <c r="AN322" s="157" t="n"/>
      <c r="AO322" s="157" t="n"/>
      <c r="AP322" s="157" t="n"/>
      <c r="AQ322" s="157" t="n"/>
      <c r="AR322" s="157" t="n"/>
      <c r="AS322" s="157" t="n"/>
      <c r="AT322" s="157" t="n"/>
      <c r="AU322" s="157" t="n"/>
      <c r="AV322" s="157" t="n"/>
      <c r="AW322" s="157" t="n"/>
      <c r="AX322" s="157" t="n"/>
      <c r="AY322" s="157" t="n"/>
      <c r="AZ322" s="157" t="n"/>
      <c r="BA322" s="157" t="n"/>
      <c r="BB322" s="157" t="n"/>
      <c r="BC322" s="157" t="n"/>
      <c r="BD322" s="157" t="n"/>
      <c r="BE322" s="157" t="n"/>
      <c r="BF322" s="157" t="n"/>
      <c r="BG322" s="157" t="n"/>
      <c r="BH322" s="158" t="n"/>
      <c r="BI322" s="159" t="n"/>
      <c r="BJ322" s="23">
        <f>IFERROR(ISNUMBER(E322)*IF(ISNUMBER(D322),--(E322&lt;D322-0.5),1)+ISNUMBER(F322)*IF(ISNUMBER(E322),--(F322&lt;E322-0.5),1)+ISNUMBER(G322)*IF(ISNUMBER(F322),--(G322&lt;F322-0.5),1)+ISNUMBER(H322)*IF(ISNUMBER(G322),--(H322&lt;G322-0.5),1)+ISNUMBER(I322)*IF(ISNUMBER(H322),--(I322&lt;H322-0.5),1)+ISNUMBER(J322)*IF(ISNUMBER(I322),--(J322&lt;I322-0.5),1)+ISNUMBER(K322)*IF(ISNUMBER(J322),--(K322&lt;J322-0.5),1)+IF(AND(ISNUMBER(C322),C322&lt;0),1,0),1)</f>
        <v/>
      </c>
      <c r="BK322" s="23">
        <f>IFERROR(ISNUMBER(M322)*IF(ISNUMBER(L322),--(M322&lt;L322-0.5),1)+ISNUMBER(N322)*IF(ISNUMBER(M322),--(N322&lt;M322-0.5),1)+ISNUMBER(O322)*IF(ISNUMBER(N322),--(O322&lt;N322-0.5),1)+ISNUMBER(P322)*IF(ISNUMBER(O322),--(P322&lt;O322-0.5),1)+ISNUMBER(Q322)*IF(ISNUMBER(P322),--(Q322&lt;P322-0.5),1)+ISNUMBER(R322)*IF(ISNUMBER(Q322),--(R322&lt;Q322-0.5),1)+ISNUMBER(S322)*IF(ISNUMBER(R322),--(S322&lt;R322-0.5),1),1)</f>
        <v/>
      </c>
    </row>
    <row r="323">
      <c r="A323" s="23" t="n">
        <v>55</v>
      </c>
      <c r="B323" s="75" t="n">
        <v>1</v>
      </c>
      <c r="C323" s="157" t="n"/>
      <c r="D323" s="157" t="n"/>
      <c r="E323" s="157" t="n"/>
      <c r="F323" s="157" t="n"/>
      <c r="G323" s="157" t="n"/>
      <c r="H323" s="157" t="n"/>
      <c r="I323" s="157" t="n"/>
      <c r="J323" s="157" t="n"/>
      <c r="K323" s="157" t="n"/>
      <c r="L323" s="157" t="n"/>
      <c r="M323" s="157" t="n"/>
      <c r="N323" s="157" t="n"/>
      <c r="O323" s="157" t="n"/>
      <c r="P323" s="157" t="n"/>
      <c r="Q323" s="157" t="n"/>
      <c r="R323" s="157" t="n"/>
      <c r="S323" s="157" t="n"/>
      <c r="T323" s="157" t="n"/>
      <c r="U323" s="157" t="n"/>
      <c r="V323" s="157" t="n"/>
      <c r="W323" s="157" t="n"/>
      <c r="X323" s="157" t="n"/>
      <c r="Y323" s="157" t="n"/>
      <c r="Z323" s="157" t="n"/>
      <c r="AA323" s="157" t="n"/>
      <c r="AB323" s="157" t="n"/>
      <c r="AC323" s="157" t="n"/>
      <c r="AD323" s="157" t="n"/>
      <c r="AE323" s="157" t="n"/>
      <c r="AF323" s="157" t="n"/>
      <c r="AG323" s="157" t="n"/>
      <c r="AH323" s="157" t="n"/>
      <c r="AI323" s="157" t="n"/>
      <c r="AJ323" s="157" t="n"/>
      <c r="AK323" s="157" t="n"/>
      <c r="AL323" s="157" t="n"/>
      <c r="AM323" s="157" t="n"/>
      <c r="AN323" s="157" t="n"/>
      <c r="AO323" s="157" t="n"/>
      <c r="AP323" s="157" t="n"/>
      <c r="AQ323" s="157" t="n"/>
      <c r="AR323" s="157" t="n"/>
      <c r="AS323" s="157" t="n"/>
      <c r="AT323" s="157" t="n"/>
      <c r="AU323" s="157" t="n"/>
      <c r="AV323" s="157" t="n"/>
      <c r="AW323" s="157" t="n"/>
      <c r="AX323" s="157" t="n"/>
      <c r="AY323" s="157" t="n"/>
      <c r="AZ323" s="157" t="n"/>
      <c r="BA323" s="157" t="n"/>
      <c r="BB323" s="157" t="n"/>
      <c r="BC323" s="157" t="n"/>
      <c r="BD323" s="157" t="n"/>
      <c r="BE323" s="157" t="n"/>
      <c r="BF323" s="157" t="n"/>
      <c r="BG323" s="157" t="n"/>
      <c r="BH323" s="158" t="n"/>
      <c r="BI323" s="159" t="n"/>
      <c r="BJ323" s="23">
        <f>IFERROR(ISNUMBER(E323)*IF(ISNUMBER(D323),--(E323&lt;D323-0.5),1)+ISNUMBER(F323)*IF(ISNUMBER(E323),--(F323&lt;E323-0.5),1)+ISNUMBER(G323)*IF(ISNUMBER(F323),--(G323&lt;F323-0.5),1)+ISNUMBER(H323)*IF(ISNUMBER(G323),--(H323&lt;G323-0.5),1)+ISNUMBER(I323)*IF(ISNUMBER(H323),--(I323&lt;H323-0.5),1)+ISNUMBER(J323)*IF(ISNUMBER(I323),--(J323&lt;I323-0.5),1)+ISNUMBER(K323)*IF(ISNUMBER(J323),--(K323&lt;J323-0.5),1)+IF(AND(ISNUMBER(C323),C323&lt;0),1,0),1)</f>
        <v/>
      </c>
      <c r="BK323" s="23">
        <f>IFERROR(ISNUMBER(M323)*IF(ISNUMBER(L323),--(M323&lt;L323-0.5),1)+ISNUMBER(N323)*IF(ISNUMBER(M323),--(N323&lt;M323-0.5),1)+ISNUMBER(O323)*IF(ISNUMBER(N323),--(O323&lt;N323-0.5),1)+ISNUMBER(P323)*IF(ISNUMBER(O323),--(P323&lt;O323-0.5),1)+ISNUMBER(Q323)*IF(ISNUMBER(P323),--(Q323&lt;P323-0.5),1)+ISNUMBER(R323)*IF(ISNUMBER(Q323),--(R323&lt;Q323-0.5),1)+ISNUMBER(S323)*IF(ISNUMBER(R323),--(S323&lt;R323-0.5),1),1)</f>
        <v/>
      </c>
    </row>
    <row r="324">
      <c r="A324" s="23" t="n">
        <v>56</v>
      </c>
      <c r="B324" s="75" t="n">
        <v>1</v>
      </c>
      <c r="C324" s="157" t="n"/>
      <c r="D324" s="157" t="n"/>
      <c r="E324" s="157" t="n"/>
      <c r="F324" s="157" t="n"/>
      <c r="G324" s="157" t="n"/>
      <c r="H324" s="157" t="n"/>
      <c r="I324" s="157" t="n"/>
      <c r="J324" s="157" t="n"/>
      <c r="K324" s="157" t="n"/>
      <c r="L324" s="157" t="n"/>
      <c r="M324" s="157" t="n"/>
      <c r="N324" s="157" t="n"/>
      <c r="O324" s="157" t="n"/>
      <c r="P324" s="157" t="n"/>
      <c r="Q324" s="157" t="n"/>
      <c r="R324" s="157" t="n"/>
      <c r="S324" s="157" t="n"/>
      <c r="T324" s="157" t="n"/>
      <c r="U324" s="157" t="n"/>
      <c r="V324" s="157" t="n"/>
      <c r="W324" s="157" t="n"/>
      <c r="X324" s="157" t="n"/>
      <c r="Y324" s="157" t="n"/>
      <c r="Z324" s="157" t="n"/>
      <c r="AA324" s="157" t="n"/>
      <c r="AB324" s="157" t="n"/>
      <c r="AC324" s="157" t="n"/>
      <c r="AD324" s="157" t="n"/>
      <c r="AE324" s="157" t="n"/>
      <c r="AF324" s="157" t="n"/>
      <c r="AG324" s="157" t="n"/>
      <c r="AH324" s="157" t="n"/>
      <c r="AI324" s="157" t="n"/>
      <c r="AJ324" s="157" t="n"/>
      <c r="AK324" s="157" t="n"/>
      <c r="AL324" s="157" t="n"/>
      <c r="AM324" s="157" t="n"/>
      <c r="AN324" s="157" t="n"/>
      <c r="AO324" s="157" t="n"/>
      <c r="AP324" s="157" t="n"/>
      <c r="AQ324" s="157" t="n"/>
      <c r="AR324" s="157" t="n"/>
      <c r="AS324" s="157" t="n"/>
      <c r="AT324" s="157" t="n"/>
      <c r="AU324" s="157" t="n"/>
      <c r="AV324" s="157" t="n"/>
      <c r="AW324" s="157" t="n"/>
      <c r="AX324" s="157" t="n"/>
      <c r="AY324" s="157" t="n"/>
      <c r="AZ324" s="157" t="n"/>
      <c r="BA324" s="157" t="n"/>
      <c r="BB324" s="157" t="n"/>
      <c r="BC324" s="157" t="n"/>
      <c r="BD324" s="157" t="n"/>
      <c r="BE324" s="157" t="n"/>
      <c r="BF324" s="157" t="n"/>
      <c r="BG324" s="157" t="n"/>
      <c r="BH324" s="158" t="n"/>
      <c r="BI324" s="159" t="n"/>
      <c r="BJ324" s="23">
        <f>IFERROR(ISNUMBER(E324)*IF(ISNUMBER(D324),--(E324&lt;D324-0.5),1)+ISNUMBER(F324)*IF(ISNUMBER(E324),--(F324&lt;E324-0.5),1)+ISNUMBER(G324)*IF(ISNUMBER(F324),--(G324&lt;F324-0.5),1)+ISNUMBER(H324)*IF(ISNUMBER(G324),--(H324&lt;G324-0.5),1)+ISNUMBER(I324)*IF(ISNUMBER(H324),--(I324&lt;H324-0.5),1)+ISNUMBER(J324)*IF(ISNUMBER(I324),--(J324&lt;I324-0.5),1)+ISNUMBER(K324)*IF(ISNUMBER(J324),--(K324&lt;J324-0.5),1)+IF(AND(ISNUMBER(C324),C324&lt;0),1,0),1)</f>
        <v/>
      </c>
      <c r="BK324" s="23">
        <f>IFERROR(ISNUMBER(M324)*IF(ISNUMBER(L324),--(M324&lt;L324-0.5),1)+ISNUMBER(N324)*IF(ISNUMBER(M324),--(N324&lt;M324-0.5),1)+ISNUMBER(O324)*IF(ISNUMBER(N324),--(O324&lt;N324-0.5),1)+ISNUMBER(P324)*IF(ISNUMBER(O324),--(P324&lt;O324-0.5),1)+ISNUMBER(Q324)*IF(ISNUMBER(P324),--(Q324&lt;P324-0.5),1)+ISNUMBER(R324)*IF(ISNUMBER(Q324),--(R324&lt;Q324-0.5),1)+ISNUMBER(S324)*IF(ISNUMBER(R324),--(S324&lt;R324-0.5),1),1)</f>
        <v/>
      </c>
    </row>
    <row r="325">
      <c r="A325" s="23" t="n">
        <v>57</v>
      </c>
      <c r="B325" s="75" t="n">
        <v>1</v>
      </c>
      <c r="C325" s="157" t="n"/>
      <c r="D325" s="157" t="n"/>
      <c r="E325" s="157" t="n"/>
      <c r="F325" s="157" t="n"/>
      <c r="G325" s="157" t="n"/>
      <c r="H325" s="157" t="n"/>
      <c r="I325" s="157" t="n"/>
      <c r="J325" s="157" t="n"/>
      <c r="K325" s="157" t="n"/>
      <c r="L325" s="157" t="n"/>
      <c r="M325" s="157" t="n"/>
      <c r="N325" s="157" t="n"/>
      <c r="O325" s="157" t="n"/>
      <c r="P325" s="157" t="n"/>
      <c r="Q325" s="157" t="n"/>
      <c r="R325" s="157" t="n"/>
      <c r="S325" s="157" t="n"/>
      <c r="T325" s="157" t="n"/>
      <c r="U325" s="157" t="n"/>
      <c r="V325" s="157" t="n"/>
      <c r="W325" s="157" t="n"/>
      <c r="X325" s="157" t="n"/>
      <c r="Y325" s="157" t="n"/>
      <c r="Z325" s="157" t="n"/>
      <c r="AA325" s="157" t="n"/>
      <c r="AB325" s="157" t="n"/>
      <c r="AC325" s="157" t="n"/>
      <c r="AD325" s="157" t="n"/>
      <c r="AE325" s="157" t="n"/>
      <c r="AF325" s="157" t="n"/>
      <c r="AG325" s="157" t="n"/>
      <c r="AH325" s="157" t="n"/>
      <c r="AI325" s="157" t="n"/>
      <c r="AJ325" s="157" t="n"/>
      <c r="AK325" s="157" t="n"/>
      <c r="AL325" s="157" t="n"/>
      <c r="AM325" s="157" t="n"/>
      <c r="AN325" s="157" t="n"/>
      <c r="AO325" s="157" t="n"/>
      <c r="AP325" s="157" t="n"/>
      <c r="AQ325" s="157" t="n"/>
      <c r="AR325" s="157" t="n"/>
      <c r="AS325" s="157" t="n"/>
      <c r="AT325" s="157" t="n"/>
      <c r="AU325" s="157" t="n"/>
      <c r="AV325" s="157" t="n"/>
      <c r="AW325" s="157" t="n"/>
      <c r="AX325" s="157" t="n"/>
      <c r="AY325" s="157" t="n"/>
      <c r="AZ325" s="157" t="n"/>
      <c r="BA325" s="157" t="n"/>
      <c r="BB325" s="157" t="n"/>
      <c r="BC325" s="157" t="n"/>
      <c r="BD325" s="157" t="n"/>
      <c r="BE325" s="157" t="n"/>
      <c r="BF325" s="157" t="n"/>
      <c r="BG325" s="157" t="n"/>
      <c r="BH325" s="158" t="n"/>
      <c r="BI325" s="159" t="n"/>
      <c r="BJ325" s="23">
        <f>IFERROR(ISNUMBER(E325)*IF(ISNUMBER(D325),--(E325&lt;D325-0.5),1)+ISNUMBER(F325)*IF(ISNUMBER(E325),--(F325&lt;E325-0.5),1)+ISNUMBER(G325)*IF(ISNUMBER(F325),--(G325&lt;F325-0.5),1)+ISNUMBER(H325)*IF(ISNUMBER(G325),--(H325&lt;G325-0.5),1)+ISNUMBER(I325)*IF(ISNUMBER(H325),--(I325&lt;H325-0.5),1)+ISNUMBER(J325)*IF(ISNUMBER(I325),--(J325&lt;I325-0.5),1)+ISNUMBER(K325)*IF(ISNUMBER(J325),--(K325&lt;J325-0.5),1)+IF(AND(ISNUMBER(C325),C325&lt;0),1,0),1)</f>
        <v/>
      </c>
      <c r="BK325" s="23">
        <f>IFERROR(ISNUMBER(M325)*IF(ISNUMBER(L325),--(M325&lt;L325-0.5),1)+ISNUMBER(N325)*IF(ISNUMBER(M325),--(N325&lt;M325-0.5),1)+ISNUMBER(O325)*IF(ISNUMBER(N325),--(O325&lt;N325-0.5),1)+ISNUMBER(P325)*IF(ISNUMBER(O325),--(P325&lt;O325-0.5),1)+ISNUMBER(Q325)*IF(ISNUMBER(P325),--(Q325&lt;P325-0.5),1)+ISNUMBER(R325)*IF(ISNUMBER(Q325),--(R325&lt;Q325-0.5),1)+ISNUMBER(S325)*IF(ISNUMBER(R325),--(S325&lt;R325-0.5),1),1)</f>
        <v/>
      </c>
    </row>
    <row r="326">
      <c r="A326" s="23" t="n">
        <v>58</v>
      </c>
      <c r="B326" s="75" t="n">
        <v>1</v>
      </c>
      <c r="C326" s="157" t="n"/>
      <c r="D326" s="157" t="n"/>
      <c r="E326" s="157" t="n"/>
      <c r="F326" s="157" t="n"/>
      <c r="G326" s="157" t="n"/>
      <c r="H326" s="157" t="n"/>
      <c r="I326" s="157" t="n"/>
      <c r="J326" s="157" t="n"/>
      <c r="K326" s="157" t="n"/>
      <c r="L326" s="157" t="n"/>
      <c r="M326" s="157" t="n"/>
      <c r="N326" s="157" t="n"/>
      <c r="O326" s="157" t="n"/>
      <c r="P326" s="157" t="n"/>
      <c r="Q326" s="157" t="n"/>
      <c r="R326" s="157" t="n"/>
      <c r="S326" s="157" t="n"/>
      <c r="T326" s="157" t="n"/>
      <c r="U326" s="157" t="n"/>
      <c r="V326" s="157" t="n"/>
      <c r="W326" s="157" t="n"/>
      <c r="X326" s="157" t="n"/>
      <c r="Y326" s="157" t="n"/>
      <c r="Z326" s="157" t="n"/>
      <c r="AA326" s="157" t="n"/>
      <c r="AB326" s="157" t="n"/>
      <c r="AC326" s="157" t="n"/>
      <c r="AD326" s="157" t="n"/>
      <c r="AE326" s="157" t="n"/>
      <c r="AF326" s="157" t="n"/>
      <c r="AG326" s="157" t="n"/>
      <c r="AH326" s="157" t="n"/>
      <c r="AI326" s="157" t="n"/>
      <c r="AJ326" s="157" t="n"/>
      <c r="AK326" s="157" t="n"/>
      <c r="AL326" s="157" t="n"/>
      <c r="AM326" s="157" t="n"/>
      <c r="AN326" s="157" t="n"/>
      <c r="AO326" s="157" t="n"/>
      <c r="AP326" s="157" t="n"/>
      <c r="AQ326" s="157" t="n"/>
      <c r="AR326" s="157" t="n"/>
      <c r="AS326" s="157" t="n"/>
      <c r="AT326" s="157" t="n"/>
      <c r="AU326" s="157" t="n"/>
      <c r="AV326" s="157" t="n"/>
      <c r="AW326" s="157" t="n"/>
      <c r="AX326" s="157" t="n"/>
      <c r="AY326" s="157" t="n"/>
      <c r="AZ326" s="157" t="n"/>
      <c r="BA326" s="157" t="n"/>
      <c r="BB326" s="157" t="n"/>
      <c r="BC326" s="157" t="n"/>
      <c r="BD326" s="157" t="n"/>
      <c r="BE326" s="157" t="n"/>
      <c r="BF326" s="157" t="n"/>
      <c r="BG326" s="157" t="n"/>
      <c r="BH326" s="158" t="n"/>
      <c r="BI326" s="159" t="n"/>
      <c r="BJ326" s="23">
        <f>IFERROR(ISNUMBER(E326)*IF(ISNUMBER(D326),--(E326&lt;D326-0.5),1)+ISNUMBER(F326)*IF(ISNUMBER(E326),--(F326&lt;E326-0.5),1)+ISNUMBER(G326)*IF(ISNUMBER(F326),--(G326&lt;F326-0.5),1)+ISNUMBER(H326)*IF(ISNUMBER(G326),--(H326&lt;G326-0.5),1)+ISNUMBER(I326)*IF(ISNUMBER(H326),--(I326&lt;H326-0.5),1)+ISNUMBER(J326)*IF(ISNUMBER(I326),--(J326&lt;I326-0.5),1)+ISNUMBER(K326)*IF(ISNUMBER(J326),--(K326&lt;J326-0.5),1)+IF(AND(ISNUMBER(C326),C326&lt;0),1,0),1)</f>
        <v/>
      </c>
      <c r="BK326" s="23">
        <f>IFERROR(ISNUMBER(M326)*IF(ISNUMBER(L326),--(M326&lt;L326-0.5),1)+ISNUMBER(N326)*IF(ISNUMBER(M326),--(N326&lt;M326-0.5),1)+ISNUMBER(O326)*IF(ISNUMBER(N326),--(O326&lt;N326-0.5),1)+ISNUMBER(P326)*IF(ISNUMBER(O326),--(P326&lt;O326-0.5),1)+ISNUMBER(Q326)*IF(ISNUMBER(P326),--(Q326&lt;P326-0.5),1)+ISNUMBER(R326)*IF(ISNUMBER(Q326),--(R326&lt;Q326-0.5),1)+ISNUMBER(S326)*IF(ISNUMBER(R326),--(S326&lt;R326-0.5),1),1)</f>
        <v/>
      </c>
    </row>
    <row r="327">
      <c r="A327" s="23" t="n">
        <v>59</v>
      </c>
      <c r="B327" s="75" t="n">
        <v>1</v>
      </c>
      <c r="C327" s="157" t="n"/>
      <c r="D327" s="157" t="n"/>
      <c r="E327" s="157" t="n"/>
      <c r="F327" s="157" t="n"/>
      <c r="G327" s="157" t="n"/>
      <c r="H327" s="157" t="n"/>
      <c r="I327" s="157" t="n"/>
      <c r="J327" s="157" t="n"/>
      <c r="K327" s="157" t="n"/>
      <c r="L327" s="157" t="n"/>
      <c r="M327" s="157" t="n"/>
      <c r="N327" s="157" t="n"/>
      <c r="O327" s="157" t="n"/>
      <c r="P327" s="157" t="n"/>
      <c r="Q327" s="157" t="n"/>
      <c r="R327" s="157" t="n"/>
      <c r="S327" s="157" t="n"/>
      <c r="T327" s="157" t="n"/>
      <c r="U327" s="157" t="n"/>
      <c r="V327" s="157" t="n"/>
      <c r="W327" s="157" t="n"/>
      <c r="X327" s="157" t="n"/>
      <c r="Y327" s="157" t="n"/>
      <c r="Z327" s="157" t="n"/>
      <c r="AA327" s="157" t="n"/>
      <c r="AB327" s="157" t="n"/>
      <c r="AC327" s="157" t="n"/>
      <c r="AD327" s="157" t="n"/>
      <c r="AE327" s="157" t="n"/>
      <c r="AF327" s="157" t="n"/>
      <c r="AG327" s="157" t="n"/>
      <c r="AH327" s="157" t="n"/>
      <c r="AI327" s="157" t="n"/>
      <c r="AJ327" s="157" t="n"/>
      <c r="AK327" s="157" t="n"/>
      <c r="AL327" s="157" t="n"/>
      <c r="AM327" s="157" t="n"/>
      <c r="AN327" s="157" t="n"/>
      <c r="AO327" s="157" t="n"/>
      <c r="AP327" s="157" t="n"/>
      <c r="AQ327" s="157" t="n"/>
      <c r="AR327" s="157" t="n"/>
      <c r="AS327" s="157" t="n"/>
      <c r="AT327" s="157" t="n"/>
      <c r="AU327" s="157" t="n"/>
      <c r="AV327" s="157" t="n"/>
      <c r="AW327" s="157" t="n"/>
      <c r="AX327" s="157" t="n"/>
      <c r="AY327" s="157" t="n"/>
      <c r="AZ327" s="157" t="n"/>
      <c r="BA327" s="157" t="n"/>
      <c r="BB327" s="157" t="n"/>
      <c r="BC327" s="157" t="n"/>
      <c r="BD327" s="157" t="n"/>
      <c r="BE327" s="157" t="n"/>
      <c r="BF327" s="157" t="n"/>
      <c r="BG327" s="157" t="n"/>
      <c r="BH327" s="158" t="n"/>
      <c r="BI327" s="159" t="n"/>
      <c r="BJ327" s="23">
        <f>IFERROR(ISNUMBER(E327)*IF(ISNUMBER(D327),--(E327&lt;D327-0.5),1)+ISNUMBER(F327)*IF(ISNUMBER(E327),--(F327&lt;E327-0.5),1)+ISNUMBER(G327)*IF(ISNUMBER(F327),--(G327&lt;F327-0.5),1)+ISNUMBER(H327)*IF(ISNUMBER(G327),--(H327&lt;G327-0.5),1)+ISNUMBER(I327)*IF(ISNUMBER(H327),--(I327&lt;H327-0.5),1)+ISNUMBER(J327)*IF(ISNUMBER(I327),--(J327&lt;I327-0.5),1)+ISNUMBER(K327)*IF(ISNUMBER(J327),--(K327&lt;J327-0.5),1)+IF(AND(ISNUMBER(C327),C327&lt;0),1,0),1)</f>
        <v/>
      </c>
      <c r="BK327" s="23">
        <f>IFERROR(ISNUMBER(M327)*IF(ISNUMBER(L327),--(M327&lt;L327-0.5),1)+ISNUMBER(N327)*IF(ISNUMBER(M327),--(N327&lt;M327-0.5),1)+ISNUMBER(O327)*IF(ISNUMBER(N327),--(O327&lt;N327-0.5),1)+ISNUMBER(P327)*IF(ISNUMBER(O327),--(P327&lt;O327-0.5),1)+ISNUMBER(Q327)*IF(ISNUMBER(P327),--(Q327&lt;P327-0.5),1)+ISNUMBER(R327)*IF(ISNUMBER(Q327),--(R327&lt;Q327-0.5),1)+ISNUMBER(S327)*IF(ISNUMBER(R327),--(S327&lt;R327-0.5),1),1)</f>
        <v/>
      </c>
    </row>
    <row r="328">
      <c r="A328" s="23" t="n">
        <v>60</v>
      </c>
      <c r="B328" s="75" t="n">
        <v>1</v>
      </c>
      <c r="C328" s="157" t="n"/>
      <c r="D328" s="157" t="n"/>
      <c r="E328" s="157" t="n"/>
      <c r="F328" s="157" t="n"/>
      <c r="G328" s="157" t="n"/>
      <c r="H328" s="157" t="n"/>
      <c r="I328" s="157" t="n"/>
      <c r="J328" s="157" t="n"/>
      <c r="K328" s="157" t="n"/>
      <c r="L328" s="157" t="n"/>
      <c r="M328" s="157" t="n"/>
      <c r="N328" s="157" t="n"/>
      <c r="O328" s="157" t="n"/>
      <c r="P328" s="157" t="n"/>
      <c r="Q328" s="157" t="n"/>
      <c r="R328" s="157" t="n"/>
      <c r="S328" s="157" t="n"/>
      <c r="T328" s="157" t="n"/>
      <c r="U328" s="157" t="n"/>
      <c r="V328" s="157" t="n"/>
      <c r="W328" s="157" t="n"/>
      <c r="X328" s="157" t="n"/>
      <c r="Y328" s="157" t="n"/>
      <c r="Z328" s="157" t="n"/>
      <c r="AA328" s="157" t="n"/>
      <c r="AB328" s="157" t="n"/>
      <c r="AC328" s="157" t="n"/>
      <c r="AD328" s="157" t="n"/>
      <c r="AE328" s="157" t="n"/>
      <c r="AF328" s="157" t="n"/>
      <c r="AG328" s="157" t="n"/>
      <c r="AH328" s="157" t="n"/>
      <c r="AI328" s="157" t="n"/>
      <c r="AJ328" s="157" t="n"/>
      <c r="AK328" s="157" t="n"/>
      <c r="AL328" s="157" t="n"/>
      <c r="AM328" s="157" t="n"/>
      <c r="AN328" s="157" t="n"/>
      <c r="AO328" s="157" t="n"/>
      <c r="AP328" s="157" t="n"/>
      <c r="AQ328" s="157" t="n"/>
      <c r="AR328" s="157" t="n"/>
      <c r="AS328" s="157" t="n"/>
      <c r="AT328" s="157" t="n"/>
      <c r="AU328" s="157" t="n"/>
      <c r="AV328" s="157" t="n"/>
      <c r="AW328" s="157" t="n"/>
      <c r="AX328" s="157" t="n"/>
      <c r="AY328" s="157" t="n"/>
      <c r="AZ328" s="157" t="n"/>
      <c r="BA328" s="157" t="n"/>
      <c r="BB328" s="157" t="n"/>
      <c r="BC328" s="157" t="n"/>
      <c r="BD328" s="157" t="n"/>
      <c r="BE328" s="157" t="n"/>
      <c r="BF328" s="157" t="n"/>
      <c r="BG328" s="157" t="n"/>
      <c r="BH328" s="158" t="n"/>
      <c r="BI328" s="159" t="n"/>
      <c r="BJ328" s="23">
        <f>IFERROR(ISNUMBER(E328)*IF(ISNUMBER(D328),--(E328&lt;D328-0.5),1)+ISNUMBER(F328)*IF(ISNUMBER(E328),--(F328&lt;E328-0.5),1)+ISNUMBER(G328)*IF(ISNUMBER(F328),--(G328&lt;F328-0.5),1)+ISNUMBER(H328)*IF(ISNUMBER(G328),--(H328&lt;G328-0.5),1)+ISNUMBER(I328)*IF(ISNUMBER(H328),--(I328&lt;H328-0.5),1)+ISNUMBER(J328)*IF(ISNUMBER(I328),--(J328&lt;I328-0.5),1)+ISNUMBER(K328)*IF(ISNUMBER(J328),--(K328&lt;J328-0.5),1)+IF(AND(ISNUMBER(C328),C328&lt;0),1,0),1)</f>
        <v/>
      </c>
      <c r="BK328" s="23">
        <f>IFERROR(ISNUMBER(M328)*IF(ISNUMBER(L328),--(M328&lt;L328-0.5),1)+ISNUMBER(N328)*IF(ISNUMBER(M328),--(N328&lt;M328-0.5),1)+ISNUMBER(O328)*IF(ISNUMBER(N328),--(O328&lt;N328-0.5),1)+ISNUMBER(P328)*IF(ISNUMBER(O328),--(P328&lt;O328-0.5),1)+ISNUMBER(Q328)*IF(ISNUMBER(P328),--(Q328&lt;P328-0.5),1)+ISNUMBER(R328)*IF(ISNUMBER(Q328),--(R328&lt;Q328-0.5),1)+ISNUMBER(S328)*IF(ISNUMBER(R328),--(S328&lt;R328-0.5),1),1)</f>
        <v/>
      </c>
    </row>
  </sheetData>
  <dataValidations count="1">
    <dataValidation sqref="B9 B10 B11 B12 B13 B14 B15 B16 B17 B18 B19 B20 B21 B22 B23 B24 B25 B26 B27 B28 B29 B30 B31 B32 B33 B34 B35 B36 B37 B38 B39 B40 B41 B42 B43 B44 B45 B46 B47 B48 B49 B50 B51 B52 B53 B54 B55 B56 B57 B58 B59 B60 B61 B62 B63 B64 B65 B66 B67 B68 B74 B75 B76 B77 B78 B79 B80 B81 B82 B83 B84 B85 B86 B87 B88 B89 B90 B91 B92 B93 B94 B95 B96 B97 B98 B99 B100 B101 B102 B103 B104 B105 B106 B107 B108 B109 B110 B111 B112 B113 B114 B115 B116 B117 B118 B119 B120 B121 B122 B123 B124 B125 B126 B127 B128 B129 B130 B131 B132 B133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showDropDown="0" showInputMessage="0" showErrorMessage="1" allowBlank="0" error="Enter 1 or 2." type="whole" errorStyle="stop" operator="between">
      <formula1>1</formula1>
      <formula2>2</formula2>
    </dataValidation>
  </dataValidations>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45.xml><?xml version="1.0" encoding="utf-8"?>
<worksheet xmlns="http://schemas.openxmlformats.org/spreadsheetml/2006/main">
  <sheetPr>
    <outlinePr summaryBelow="1" summaryRight="1"/>
    <pageSetUpPr fitToPage="1"/>
  </sheetPr>
  <dimension ref="A1:BL24"/>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7" t="inlineStr">
        <is>
          <t>Timeline</t>
        </is>
      </c>
    </row>
    <row r="2">
      <c r="A2" s="18" t="inlineStr">
        <is>
          <t>[FORECAST]  Dates, FX path and indices</t>
        </is>
      </c>
    </row>
    <row r="3"/>
    <row r="4">
      <c r="A4" s="94" t="inlineStr">
        <is>
          <t>Month #</t>
        </is>
      </c>
      <c r="B4" s="95" t="n"/>
      <c r="C4" s="95" t="n"/>
      <c r="D4" s="94" t="inlineStr">
        <is>
          <t>Opening</t>
        </is>
      </c>
      <c r="E4" s="160" t="n">
        <v>1</v>
      </c>
      <c r="F4" s="160" t="n">
        <v>2</v>
      </c>
      <c r="G4" s="160" t="n">
        <v>3</v>
      </c>
      <c r="H4" s="160" t="n">
        <v>4</v>
      </c>
      <c r="I4" s="160" t="n">
        <v>5</v>
      </c>
      <c r="J4" s="160" t="n">
        <v>6</v>
      </c>
      <c r="K4" s="160" t="n">
        <v>7</v>
      </c>
      <c r="L4" s="160" t="n">
        <v>8</v>
      </c>
      <c r="M4" s="160" t="n">
        <v>9</v>
      </c>
      <c r="N4" s="160" t="n">
        <v>10</v>
      </c>
      <c r="O4" s="160" t="n">
        <v>11</v>
      </c>
      <c r="P4" s="160" t="n">
        <v>12</v>
      </c>
      <c r="Q4" s="160" t="n">
        <v>13</v>
      </c>
      <c r="R4" s="160" t="n">
        <v>14</v>
      </c>
      <c r="S4" s="160" t="n">
        <v>15</v>
      </c>
      <c r="T4" s="160" t="n">
        <v>16</v>
      </c>
      <c r="U4" s="160" t="n">
        <v>17</v>
      </c>
      <c r="V4" s="160" t="n">
        <v>18</v>
      </c>
      <c r="W4" s="160" t="n">
        <v>19</v>
      </c>
      <c r="X4" s="160" t="n">
        <v>20</v>
      </c>
      <c r="Y4" s="160" t="n">
        <v>21</v>
      </c>
      <c r="Z4" s="160" t="n">
        <v>22</v>
      </c>
      <c r="AA4" s="160" t="n">
        <v>23</v>
      </c>
      <c r="AB4" s="160" t="n">
        <v>24</v>
      </c>
      <c r="AC4" s="160" t="n">
        <v>25</v>
      </c>
      <c r="AD4" s="160" t="n">
        <v>26</v>
      </c>
      <c r="AE4" s="160" t="n">
        <v>27</v>
      </c>
      <c r="AF4" s="160" t="n">
        <v>28</v>
      </c>
      <c r="AG4" s="160" t="n">
        <v>29</v>
      </c>
      <c r="AH4" s="160" t="n">
        <v>30</v>
      </c>
      <c r="AI4" s="160" t="n">
        <v>31</v>
      </c>
      <c r="AJ4" s="160" t="n">
        <v>32</v>
      </c>
      <c r="AK4" s="160" t="n">
        <v>33</v>
      </c>
      <c r="AL4" s="160" t="n">
        <v>34</v>
      </c>
      <c r="AM4" s="160" t="n">
        <v>35</v>
      </c>
      <c r="AN4" s="160" t="n">
        <v>36</v>
      </c>
      <c r="AO4" s="160" t="n">
        <v>37</v>
      </c>
      <c r="AP4" s="160" t="n">
        <v>38</v>
      </c>
      <c r="AQ4" s="160" t="n">
        <v>39</v>
      </c>
      <c r="AR4" s="160" t="n">
        <v>40</v>
      </c>
      <c r="AS4" s="160" t="n">
        <v>41</v>
      </c>
      <c r="AT4" s="160" t="n">
        <v>42</v>
      </c>
      <c r="AU4" s="160" t="n">
        <v>43</v>
      </c>
      <c r="AV4" s="160" t="n">
        <v>44</v>
      </c>
      <c r="AW4" s="160" t="n">
        <v>45</v>
      </c>
      <c r="AX4" s="160" t="n">
        <v>46</v>
      </c>
      <c r="AY4" s="160" t="n">
        <v>47</v>
      </c>
      <c r="AZ4" s="160" t="n">
        <v>48</v>
      </c>
      <c r="BA4" s="160" t="n">
        <v>49</v>
      </c>
      <c r="BB4" s="160" t="n">
        <v>50</v>
      </c>
      <c r="BC4" s="160" t="n">
        <v>51</v>
      </c>
      <c r="BD4" s="160" t="n">
        <v>52</v>
      </c>
      <c r="BE4" s="160" t="n">
        <v>53</v>
      </c>
      <c r="BF4" s="160" t="n">
        <v>54</v>
      </c>
      <c r="BG4" s="160" t="n">
        <v>55</v>
      </c>
      <c r="BH4" s="160" t="n">
        <v>56</v>
      </c>
      <c r="BI4" s="160" t="n">
        <v>57</v>
      </c>
      <c r="BJ4" s="160" t="n">
        <v>58</v>
      </c>
      <c r="BK4" s="160" t="n">
        <v>59</v>
      </c>
      <c r="BL4" s="160" t="n">
        <v>60</v>
      </c>
    </row>
    <row r="5">
      <c r="A5" s="94" t="inlineStr">
        <is>
          <t>Period end</t>
        </is>
      </c>
      <c r="B5" s="95" t="n"/>
      <c r="C5" s="95" t="n"/>
      <c r="D5" s="94" t="n"/>
      <c r="E5" s="161">
        <f>EOMONTH(Inputs!$C$6,0)</f>
        <v/>
      </c>
      <c r="F5" s="161">
        <f>EOMONTH(Inputs!$C$6,1)</f>
        <v/>
      </c>
      <c r="G5" s="161">
        <f>EOMONTH(Inputs!$C$6,2)</f>
        <v/>
      </c>
      <c r="H5" s="161">
        <f>EOMONTH(Inputs!$C$6,3)</f>
        <v/>
      </c>
      <c r="I5" s="161">
        <f>EOMONTH(Inputs!$C$6,4)</f>
        <v/>
      </c>
      <c r="J5" s="161">
        <f>EOMONTH(Inputs!$C$6,5)</f>
        <v/>
      </c>
      <c r="K5" s="161">
        <f>EOMONTH(Inputs!$C$6,6)</f>
        <v/>
      </c>
      <c r="L5" s="161">
        <f>EOMONTH(Inputs!$C$6,7)</f>
        <v/>
      </c>
      <c r="M5" s="161">
        <f>EOMONTH(Inputs!$C$6,8)</f>
        <v/>
      </c>
      <c r="N5" s="161">
        <f>EOMONTH(Inputs!$C$6,9)</f>
        <v/>
      </c>
      <c r="O5" s="161">
        <f>EOMONTH(Inputs!$C$6,10)</f>
        <v/>
      </c>
      <c r="P5" s="161">
        <f>EOMONTH(Inputs!$C$6,11)</f>
        <v/>
      </c>
      <c r="Q5" s="161">
        <f>EOMONTH(Inputs!$C$6,12)</f>
        <v/>
      </c>
      <c r="R5" s="161">
        <f>EOMONTH(Inputs!$C$6,13)</f>
        <v/>
      </c>
      <c r="S5" s="161">
        <f>EOMONTH(Inputs!$C$6,14)</f>
        <v/>
      </c>
      <c r="T5" s="161">
        <f>EOMONTH(Inputs!$C$6,15)</f>
        <v/>
      </c>
      <c r="U5" s="161">
        <f>EOMONTH(Inputs!$C$6,16)</f>
        <v/>
      </c>
      <c r="V5" s="161">
        <f>EOMONTH(Inputs!$C$6,17)</f>
        <v/>
      </c>
      <c r="W5" s="161">
        <f>EOMONTH(Inputs!$C$6,18)</f>
        <v/>
      </c>
      <c r="X5" s="161">
        <f>EOMONTH(Inputs!$C$6,19)</f>
        <v/>
      </c>
      <c r="Y5" s="161">
        <f>EOMONTH(Inputs!$C$6,20)</f>
        <v/>
      </c>
      <c r="Z5" s="161">
        <f>EOMONTH(Inputs!$C$6,21)</f>
        <v/>
      </c>
      <c r="AA5" s="161">
        <f>EOMONTH(Inputs!$C$6,22)</f>
        <v/>
      </c>
      <c r="AB5" s="161">
        <f>EOMONTH(Inputs!$C$6,23)</f>
        <v/>
      </c>
      <c r="AC5" s="161">
        <f>EOMONTH(Inputs!$C$6,24)</f>
        <v/>
      </c>
      <c r="AD5" s="161">
        <f>EOMONTH(Inputs!$C$6,25)</f>
        <v/>
      </c>
      <c r="AE5" s="161">
        <f>EOMONTH(Inputs!$C$6,26)</f>
        <v/>
      </c>
      <c r="AF5" s="161">
        <f>EOMONTH(Inputs!$C$6,27)</f>
        <v/>
      </c>
      <c r="AG5" s="161">
        <f>EOMONTH(Inputs!$C$6,28)</f>
        <v/>
      </c>
      <c r="AH5" s="161">
        <f>EOMONTH(Inputs!$C$6,29)</f>
        <v/>
      </c>
      <c r="AI5" s="161">
        <f>EOMONTH(Inputs!$C$6,30)</f>
        <v/>
      </c>
      <c r="AJ5" s="161">
        <f>EOMONTH(Inputs!$C$6,31)</f>
        <v/>
      </c>
      <c r="AK5" s="161">
        <f>EOMONTH(Inputs!$C$6,32)</f>
        <v/>
      </c>
      <c r="AL5" s="161">
        <f>EOMONTH(Inputs!$C$6,33)</f>
        <v/>
      </c>
      <c r="AM5" s="161">
        <f>EOMONTH(Inputs!$C$6,34)</f>
        <v/>
      </c>
      <c r="AN5" s="161">
        <f>EOMONTH(Inputs!$C$6,35)</f>
        <v/>
      </c>
      <c r="AO5" s="161">
        <f>EOMONTH(Inputs!$C$6,36)</f>
        <v/>
      </c>
      <c r="AP5" s="161">
        <f>EOMONTH(Inputs!$C$6,37)</f>
        <v/>
      </c>
      <c r="AQ5" s="161">
        <f>EOMONTH(Inputs!$C$6,38)</f>
        <v/>
      </c>
      <c r="AR5" s="161">
        <f>EOMONTH(Inputs!$C$6,39)</f>
        <v/>
      </c>
      <c r="AS5" s="161">
        <f>EOMONTH(Inputs!$C$6,40)</f>
        <v/>
      </c>
      <c r="AT5" s="161">
        <f>EOMONTH(Inputs!$C$6,41)</f>
        <v/>
      </c>
      <c r="AU5" s="161">
        <f>EOMONTH(Inputs!$C$6,42)</f>
        <v/>
      </c>
      <c r="AV5" s="161">
        <f>EOMONTH(Inputs!$C$6,43)</f>
        <v/>
      </c>
      <c r="AW5" s="161">
        <f>EOMONTH(Inputs!$C$6,44)</f>
        <v/>
      </c>
      <c r="AX5" s="161">
        <f>EOMONTH(Inputs!$C$6,45)</f>
        <v/>
      </c>
      <c r="AY5" s="161">
        <f>EOMONTH(Inputs!$C$6,46)</f>
        <v/>
      </c>
      <c r="AZ5" s="161">
        <f>EOMONTH(Inputs!$C$6,47)</f>
        <v/>
      </c>
      <c r="BA5" s="161">
        <f>EOMONTH(Inputs!$C$6,48)</f>
        <v/>
      </c>
      <c r="BB5" s="161">
        <f>EOMONTH(Inputs!$C$6,49)</f>
        <v/>
      </c>
      <c r="BC5" s="161">
        <f>EOMONTH(Inputs!$C$6,50)</f>
        <v/>
      </c>
      <c r="BD5" s="161">
        <f>EOMONTH(Inputs!$C$6,51)</f>
        <v/>
      </c>
      <c r="BE5" s="161">
        <f>EOMONTH(Inputs!$C$6,52)</f>
        <v/>
      </c>
      <c r="BF5" s="161">
        <f>EOMONTH(Inputs!$C$6,53)</f>
        <v/>
      </c>
      <c r="BG5" s="161">
        <f>EOMONTH(Inputs!$C$6,54)</f>
        <v/>
      </c>
      <c r="BH5" s="161">
        <f>EOMONTH(Inputs!$C$6,55)</f>
        <v/>
      </c>
      <c r="BI5" s="161">
        <f>EOMONTH(Inputs!$C$6,56)</f>
        <v/>
      </c>
      <c r="BJ5" s="161">
        <f>EOMONTH(Inputs!$C$6,57)</f>
        <v/>
      </c>
      <c r="BK5" s="161">
        <f>EOMONTH(Inputs!$C$6,58)</f>
        <v/>
      </c>
      <c r="BL5" s="161">
        <f>EOMONTH(Inputs!$C$6,59)</f>
        <v/>
      </c>
    </row>
    <row r="6">
      <c r="A6" s="94" t="inlineStr">
        <is>
          <t>Year #</t>
        </is>
      </c>
      <c r="B6" s="95" t="n"/>
      <c r="C6" s="95" t="n"/>
      <c r="D6" s="94" t="n"/>
      <c r="E6" s="160">
        <f>INT((E4-1)/12)+1</f>
        <v/>
      </c>
      <c r="F6" s="160">
        <f>INT((F4-1)/12)+1</f>
        <v/>
      </c>
      <c r="G6" s="160">
        <f>INT((G4-1)/12)+1</f>
        <v/>
      </c>
      <c r="H6" s="160">
        <f>INT((H4-1)/12)+1</f>
        <v/>
      </c>
      <c r="I6" s="160">
        <f>INT((I4-1)/12)+1</f>
        <v/>
      </c>
      <c r="J6" s="160">
        <f>INT((J4-1)/12)+1</f>
        <v/>
      </c>
      <c r="K6" s="160">
        <f>INT((K4-1)/12)+1</f>
        <v/>
      </c>
      <c r="L6" s="160">
        <f>INT((L4-1)/12)+1</f>
        <v/>
      </c>
      <c r="M6" s="160">
        <f>INT((M4-1)/12)+1</f>
        <v/>
      </c>
      <c r="N6" s="160">
        <f>INT((N4-1)/12)+1</f>
        <v/>
      </c>
      <c r="O6" s="160">
        <f>INT((O4-1)/12)+1</f>
        <v/>
      </c>
      <c r="P6" s="160">
        <f>INT((P4-1)/12)+1</f>
        <v/>
      </c>
      <c r="Q6" s="160">
        <f>INT((Q4-1)/12)+1</f>
        <v/>
      </c>
      <c r="R6" s="160">
        <f>INT((R4-1)/12)+1</f>
        <v/>
      </c>
      <c r="S6" s="160">
        <f>INT((S4-1)/12)+1</f>
        <v/>
      </c>
      <c r="T6" s="160">
        <f>INT((T4-1)/12)+1</f>
        <v/>
      </c>
      <c r="U6" s="160">
        <f>INT((U4-1)/12)+1</f>
        <v/>
      </c>
      <c r="V6" s="160">
        <f>INT((V4-1)/12)+1</f>
        <v/>
      </c>
      <c r="W6" s="160">
        <f>INT((W4-1)/12)+1</f>
        <v/>
      </c>
      <c r="X6" s="160">
        <f>INT((X4-1)/12)+1</f>
        <v/>
      </c>
      <c r="Y6" s="160">
        <f>INT((Y4-1)/12)+1</f>
        <v/>
      </c>
      <c r="Z6" s="160">
        <f>INT((Z4-1)/12)+1</f>
        <v/>
      </c>
      <c r="AA6" s="160">
        <f>INT((AA4-1)/12)+1</f>
        <v/>
      </c>
      <c r="AB6" s="160">
        <f>INT((AB4-1)/12)+1</f>
        <v/>
      </c>
      <c r="AC6" s="160">
        <f>INT((AC4-1)/12)+1</f>
        <v/>
      </c>
      <c r="AD6" s="160">
        <f>INT((AD4-1)/12)+1</f>
        <v/>
      </c>
      <c r="AE6" s="160">
        <f>INT((AE4-1)/12)+1</f>
        <v/>
      </c>
      <c r="AF6" s="160">
        <f>INT((AF4-1)/12)+1</f>
        <v/>
      </c>
      <c r="AG6" s="160">
        <f>INT((AG4-1)/12)+1</f>
        <v/>
      </c>
      <c r="AH6" s="160">
        <f>INT((AH4-1)/12)+1</f>
        <v/>
      </c>
      <c r="AI6" s="160">
        <f>INT((AI4-1)/12)+1</f>
        <v/>
      </c>
      <c r="AJ6" s="160">
        <f>INT((AJ4-1)/12)+1</f>
        <v/>
      </c>
      <c r="AK6" s="160">
        <f>INT((AK4-1)/12)+1</f>
        <v/>
      </c>
      <c r="AL6" s="160">
        <f>INT((AL4-1)/12)+1</f>
        <v/>
      </c>
      <c r="AM6" s="160">
        <f>INT((AM4-1)/12)+1</f>
        <v/>
      </c>
      <c r="AN6" s="160">
        <f>INT((AN4-1)/12)+1</f>
        <v/>
      </c>
      <c r="AO6" s="160">
        <f>INT((AO4-1)/12)+1</f>
        <v/>
      </c>
      <c r="AP6" s="160">
        <f>INT((AP4-1)/12)+1</f>
        <v/>
      </c>
      <c r="AQ6" s="160">
        <f>INT((AQ4-1)/12)+1</f>
        <v/>
      </c>
      <c r="AR6" s="160">
        <f>INT((AR4-1)/12)+1</f>
        <v/>
      </c>
      <c r="AS6" s="160">
        <f>INT((AS4-1)/12)+1</f>
        <v/>
      </c>
      <c r="AT6" s="160">
        <f>INT((AT4-1)/12)+1</f>
        <v/>
      </c>
      <c r="AU6" s="160">
        <f>INT((AU4-1)/12)+1</f>
        <v/>
      </c>
      <c r="AV6" s="160">
        <f>INT((AV4-1)/12)+1</f>
        <v/>
      </c>
      <c r="AW6" s="160">
        <f>INT((AW4-1)/12)+1</f>
        <v/>
      </c>
      <c r="AX6" s="160">
        <f>INT((AX4-1)/12)+1</f>
        <v/>
      </c>
      <c r="AY6" s="160">
        <f>INT((AY4-1)/12)+1</f>
        <v/>
      </c>
      <c r="AZ6" s="160">
        <f>INT((AZ4-1)/12)+1</f>
        <v/>
      </c>
      <c r="BA6" s="160">
        <f>INT((BA4-1)/12)+1</f>
        <v/>
      </c>
      <c r="BB6" s="160">
        <f>INT((BB4-1)/12)+1</f>
        <v/>
      </c>
      <c r="BC6" s="160">
        <f>INT((BC4-1)/12)+1</f>
        <v/>
      </c>
      <c r="BD6" s="160">
        <f>INT((BD4-1)/12)+1</f>
        <v/>
      </c>
      <c r="BE6" s="160">
        <f>INT((BE4-1)/12)+1</f>
        <v/>
      </c>
      <c r="BF6" s="160">
        <f>INT((BF4-1)/12)+1</f>
        <v/>
      </c>
      <c r="BG6" s="160">
        <f>INT((BG4-1)/12)+1</f>
        <v/>
      </c>
      <c r="BH6" s="160">
        <f>INT((BH4-1)/12)+1</f>
        <v/>
      </c>
      <c r="BI6" s="160">
        <f>INT((BI4-1)/12)+1</f>
        <v/>
      </c>
      <c r="BJ6" s="160">
        <f>INT((BJ4-1)/12)+1</f>
        <v/>
      </c>
      <c r="BK6" s="160">
        <f>INT((BK4-1)/12)+1</f>
        <v/>
      </c>
      <c r="BL6" s="160">
        <f>INT((BL4-1)/12)+1</f>
        <v/>
      </c>
    </row>
    <row r="7"/>
    <row r="8">
      <c r="A8" s="98" t="inlineStr">
        <is>
          <t>FX rate</t>
        </is>
      </c>
      <c r="B8" s="65" t="inlineStr">
        <is>
          <t>LCY / USD</t>
        </is>
      </c>
      <c r="D8" s="49">
        <f>Inputs!$C$10</f>
        <v/>
      </c>
      <c r="E8" s="92">
        <f>D8*(1+Scenarios!$G$10)^(1/12)</f>
        <v/>
      </c>
      <c r="F8" s="92">
        <f>E8*(1+Scenarios!$G$10)^(1/12)</f>
        <v/>
      </c>
      <c r="G8" s="92">
        <f>F8*(1+Scenarios!$G$10)^(1/12)</f>
        <v/>
      </c>
      <c r="H8" s="92">
        <f>G8*(1+Scenarios!$G$10)^(1/12)</f>
        <v/>
      </c>
      <c r="I8" s="92">
        <f>H8*(1+Scenarios!$G$10)^(1/12)</f>
        <v/>
      </c>
      <c r="J8" s="92">
        <f>I8*(1+Scenarios!$G$10)^(1/12)</f>
        <v/>
      </c>
      <c r="K8" s="92">
        <f>J8*(1+Scenarios!$G$10)^(1/12)</f>
        <v/>
      </c>
      <c r="L8" s="92">
        <f>K8*(1+Scenarios!$G$10)^(1/12)</f>
        <v/>
      </c>
      <c r="M8" s="92">
        <f>L8*(1+Scenarios!$G$10)^(1/12)</f>
        <v/>
      </c>
      <c r="N8" s="92">
        <f>M8*(1+Scenarios!$G$10)^(1/12)</f>
        <v/>
      </c>
      <c r="O8" s="92">
        <f>N8*(1+Scenarios!$G$10)^(1/12)</f>
        <v/>
      </c>
      <c r="P8" s="92">
        <f>O8*(1+Scenarios!$G$10)^(1/12)</f>
        <v/>
      </c>
      <c r="Q8" s="92">
        <f>P8*(1+Scenarios!$G$10)^(1/12)</f>
        <v/>
      </c>
      <c r="R8" s="92">
        <f>Q8*(1+Scenarios!$G$10)^(1/12)</f>
        <v/>
      </c>
      <c r="S8" s="92">
        <f>R8*(1+Scenarios!$G$10)^(1/12)</f>
        <v/>
      </c>
      <c r="T8" s="92">
        <f>S8*(1+Scenarios!$G$10)^(1/12)</f>
        <v/>
      </c>
      <c r="U8" s="92">
        <f>T8*(1+Scenarios!$G$10)^(1/12)</f>
        <v/>
      </c>
      <c r="V8" s="92">
        <f>U8*(1+Scenarios!$G$10)^(1/12)</f>
        <v/>
      </c>
      <c r="W8" s="92">
        <f>V8*(1+Scenarios!$G$10)^(1/12)</f>
        <v/>
      </c>
      <c r="X8" s="92">
        <f>W8*(1+Scenarios!$G$10)^(1/12)</f>
        <v/>
      </c>
      <c r="Y8" s="92">
        <f>X8*(1+Scenarios!$G$10)^(1/12)</f>
        <v/>
      </c>
      <c r="Z8" s="92">
        <f>Y8*(1+Scenarios!$G$10)^(1/12)</f>
        <v/>
      </c>
      <c r="AA8" s="92">
        <f>Z8*(1+Scenarios!$G$10)^(1/12)</f>
        <v/>
      </c>
      <c r="AB8" s="92">
        <f>AA8*(1+Scenarios!$G$10)^(1/12)</f>
        <v/>
      </c>
      <c r="AC8" s="92">
        <f>AB8*(1+Scenarios!$G$10)^(1/12)</f>
        <v/>
      </c>
      <c r="AD8" s="92">
        <f>AC8*(1+Scenarios!$G$10)^(1/12)</f>
        <v/>
      </c>
      <c r="AE8" s="92">
        <f>AD8*(1+Scenarios!$G$10)^(1/12)</f>
        <v/>
      </c>
      <c r="AF8" s="92">
        <f>AE8*(1+Scenarios!$G$10)^(1/12)</f>
        <v/>
      </c>
      <c r="AG8" s="92">
        <f>AF8*(1+Scenarios!$G$10)^(1/12)</f>
        <v/>
      </c>
      <c r="AH8" s="92">
        <f>AG8*(1+Scenarios!$G$10)^(1/12)</f>
        <v/>
      </c>
      <c r="AI8" s="92">
        <f>AH8*(1+Scenarios!$G$10)^(1/12)</f>
        <v/>
      </c>
      <c r="AJ8" s="92">
        <f>AI8*(1+Scenarios!$G$10)^(1/12)</f>
        <v/>
      </c>
      <c r="AK8" s="92">
        <f>AJ8*(1+Scenarios!$G$10)^(1/12)</f>
        <v/>
      </c>
      <c r="AL8" s="92">
        <f>AK8*(1+Scenarios!$G$10)^(1/12)</f>
        <v/>
      </c>
      <c r="AM8" s="92">
        <f>AL8*(1+Scenarios!$G$10)^(1/12)</f>
        <v/>
      </c>
      <c r="AN8" s="92">
        <f>AM8*(1+Scenarios!$G$10)^(1/12)</f>
        <v/>
      </c>
      <c r="AO8" s="92">
        <f>AN8*(1+Scenarios!$G$10)^(1/12)</f>
        <v/>
      </c>
      <c r="AP8" s="92">
        <f>AO8*(1+Scenarios!$G$10)^(1/12)</f>
        <v/>
      </c>
      <c r="AQ8" s="92">
        <f>AP8*(1+Scenarios!$G$10)^(1/12)</f>
        <v/>
      </c>
      <c r="AR8" s="92">
        <f>AQ8*(1+Scenarios!$G$10)^(1/12)</f>
        <v/>
      </c>
      <c r="AS8" s="92">
        <f>AR8*(1+Scenarios!$G$10)^(1/12)</f>
        <v/>
      </c>
      <c r="AT8" s="92">
        <f>AS8*(1+Scenarios!$G$10)^(1/12)</f>
        <v/>
      </c>
      <c r="AU8" s="92">
        <f>AT8*(1+Scenarios!$G$10)^(1/12)</f>
        <v/>
      </c>
      <c r="AV8" s="92">
        <f>AU8*(1+Scenarios!$G$10)^(1/12)</f>
        <v/>
      </c>
      <c r="AW8" s="92">
        <f>AV8*(1+Scenarios!$G$10)^(1/12)</f>
        <v/>
      </c>
      <c r="AX8" s="92">
        <f>AW8*(1+Scenarios!$G$10)^(1/12)</f>
        <v/>
      </c>
      <c r="AY8" s="92">
        <f>AX8*(1+Scenarios!$G$10)^(1/12)</f>
        <v/>
      </c>
      <c r="AZ8" s="92">
        <f>AY8*(1+Scenarios!$G$10)^(1/12)</f>
        <v/>
      </c>
      <c r="BA8" s="92">
        <f>AZ8*(1+Scenarios!$G$10)^(1/12)</f>
        <v/>
      </c>
      <c r="BB8" s="92">
        <f>BA8*(1+Scenarios!$G$10)^(1/12)</f>
        <v/>
      </c>
      <c r="BC8" s="92">
        <f>BB8*(1+Scenarios!$G$10)^(1/12)</f>
        <v/>
      </c>
      <c r="BD8" s="92">
        <f>BC8*(1+Scenarios!$G$10)^(1/12)</f>
        <v/>
      </c>
      <c r="BE8" s="92">
        <f>BD8*(1+Scenarios!$G$10)^(1/12)</f>
        <v/>
      </c>
      <c r="BF8" s="92">
        <f>BE8*(1+Scenarios!$G$10)^(1/12)</f>
        <v/>
      </c>
      <c r="BG8" s="92">
        <f>BF8*(1+Scenarios!$G$10)^(1/12)</f>
        <v/>
      </c>
      <c r="BH8" s="92">
        <f>BG8*(1+Scenarios!$G$10)^(1/12)</f>
        <v/>
      </c>
      <c r="BI8" s="92">
        <f>BH8*(1+Scenarios!$G$10)^(1/12)</f>
        <v/>
      </c>
      <c r="BJ8" s="92">
        <f>BI8*(1+Scenarios!$G$10)^(1/12)</f>
        <v/>
      </c>
      <c r="BK8" s="92">
        <f>BJ8*(1+Scenarios!$G$10)^(1/12)</f>
        <v/>
      </c>
      <c r="BL8" s="92">
        <f>BK8*(1+Scenarios!$G$10)^(1/12)</f>
        <v/>
      </c>
    </row>
    <row r="9">
      <c r="A9" s="98" t="inlineStr">
        <is>
          <t>Opex inflation index</t>
        </is>
      </c>
      <c r="B9" s="65" t="inlineStr">
        <is>
          <t>index</t>
        </is>
      </c>
      <c r="E9" s="92">
        <f>(1+Inputs!$C$11)^((E$4-1)/12)</f>
        <v/>
      </c>
      <c r="F9" s="92">
        <f>(1+Inputs!$C$11)^((F$4-1)/12)</f>
        <v/>
      </c>
      <c r="G9" s="92">
        <f>(1+Inputs!$C$11)^((G$4-1)/12)</f>
        <v/>
      </c>
      <c r="H9" s="92">
        <f>(1+Inputs!$C$11)^((H$4-1)/12)</f>
        <v/>
      </c>
      <c r="I9" s="92">
        <f>(1+Inputs!$C$11)^((I$4-1)/12)</f>
        <v/>
      </c>
      <c r="J9" s="92">
        <f>(1+Inputs!$C$11)^((J$4-1)/12)</f>
        <v/>
      </c>
      <c r="K9" s="92">
        <f>(1+Inputs!$C$11)^((K$4-1)/12)</f>
        <v/>
      </c>
      <c r="L9" s="92">
        <f>(1+Inputs!$C$11)^((L$4-1)/12)</f>
        <v/>
      </c>
      <c r="M9" s="92">
        <f>(1+Inputs!$C$11)^((M$4-1)/12)</f>
        <v/>
      </c>
      <c r="N9" s="92">
        <f>(1+Inputs!$C$11)^((N$4-1)/12)</f>
        <v/>
      </c>
      <c r="O9" s="92">
        <f>(1+Inputs!$C$11)^((O$4-1)/12)</f>
        <v/>
      </c>
      <c r="P9" s="92">
        <f>(1+Inputs!$C$11)^((P$4-1)/12)</f>
        <v/>
      </c>
      <c r="Q9" s="92">
        <f>(1+Inputs!$C$11)^((Q$4-1)/12)</f>
        <v/>
      </c>
      <c r="R9" s="92">
        <f>(1+Inputs!$C$11)^((R$4-1)/12)</f>
        <v/>
      </c>
      <c r="S9" s="92">
        <f>(1+Inputs!$C$11)^((S$4-1)/12)</f>
        <v/>
      </c>
      <c r="T9" s="92">
        <f>(1+Inputs!$C$11)^((T$4-1)/12)</f>
        <v/>
      </c>
      <c r="U9" s="92">
        <f>(1+Inputs!$C$11)^((U$4-1)/12)</f>
        <v/>
      </c>
      <c r="V9" s="92">
        <f>(1+Inputs!$C$11)^((V$4-1)/12)</f>
        <v/>
      </c>
      <c r="W9" s="92">
        <f>(1+Inputs!$C$11)^((W$4-1)/12)</f>
        <v/>
      </c>
      <c r="X9" s="92">
        <f>(1+Inputs!$C$11)^((X$4-1)/12)</f>
        <v/>
      </c>
      <c r="Y9" s="92">
        <f>(1+Inputs!$C$11)^((Y$4-1)/12)</f>
        <v/>
      </c>
      <c r="Z9" s="92">
        <f>(1+Inputs!$C$11)^((Z$4-1)/12)</f>
        <v/>
      </c>
      <c r="AA9" s="92">
        <f>(1+Inputs!$C$11)^((AA$4-1)/12)</f>
        <v/>
      </c>
      <c r="AB9" s="92">
        <f>(1+Inputs!$C$11)^((AB$4-1)/12)</f>
        <v/>
      </c>
      <c r="AC9" s="92">
        <f>(1+Inputs!$C$11)^((AC$4-1)/12)</f>
        <v/>
      </c>
      <c r="AD9" s="92">
        <f>(1+Inputs!$C$11)^((AD$4-1)/12)</f>
        <v/>
      </c>
      <c r="AE9" s="92">
        <f>(1+Inputs!$C$11)^((AE$4-1)/12)</f>
        <v/>
      </c>
      <c r="AF9" s="92">
        <f>(1+Inputs!$C$11)^((AF$4-1)/12)</f>
        <v/>
      </c>
      <c r="AG9" s="92">
        <f>(1+Inputs!$C$11)^((AG$4-1)/12)</f>
        <v/>
      </c>
      <c r="AH9" s="92">
        <f>(1+Inputs!$C$11)^((AH$4-1)/12)</f>
        <v/>
      </c>
      <c r="AI9" s="92">
        <f>(1+Inputs!$C$11)^((AI$4-1)/12)</f>
        <v/>
      </c>
      <c r="AJ9" s="92">
        <f>(1+Inputs!$C$11)^((AJ$4-1)/12)</f>
        <v/>
      </c>
      <c r="AK9" s="92">
        <f>(1+Inputs!$C$11)^((AK$4-1)/12)</f>
        <v/>
      </c>
      <c r="AL9" s="92">
        <f>(1+Inputs!$C$11)^((AL$4-1)/12)</f>
        <v/>
      </c>
      <c r="AM9" s="92">
        <f>(1+Inputs!$C$11)^((AM$4-1)/12)</f>
        <v/>
      </c>
      <c r="AN9" s="92">
        <f>(1+Inputs!$C$11)^((AN$4-1)/12)</f>
        <v/>
      </c>
      <c r="AO9" s="92">
        <f>(1+Inputs!$C$11)^((AO$4-1)/12)</f>
        <v/>
      </c>
      <c r="AP9" s="92">
        <f>(1+Inputs!$C$11)^((AP$4-1)/12)</f>
        <v/>
      </c>
      <c r="AQ9" s="92">
        <f>(1+Inputs!$C$11)^((AQ$4-1)/12)</f>
        <v/>
      </c>
      <c r="AR9" s="92">
        <f>(1+Inputs!$C$11)^((AR$4-1)/12)</f>
        <v/>
      </c>
      <c r="AS9" s="92">
        <f>(1+Inputs!$C$11)^((AS$4-1)/12)</f>
        <v/>
      </c>
      <c r="AT9" s="92">
        <f>(1+Inputs!$C$11)^((AT$4-1)/12)</f>
        <v/>
      </c>
      <c r="AU9" s="92">
        <f>(1+Inputs!$C$11)^((AU$4-1)/12)</f>
        <v/>
      </c>
      <c r="AV9" s="92">
        <f>(1+Inputs!$C$11)^((AV$4-1)/12)</f>
        <v/>
      </c>
      <c r="AW9" s="92">
        <f>(1+Inputs!$C$11)^((AW$4-1)/12)</f>
        <v/>
      </c>
      <c r="AX9" s="92">
        <f>(1+Inputs!$C$11)^((AX$4-1)/12)</f>
        <v/>
      </c>
      <c r="AY9" s="92">
        <f>(1+Inputs!$C$11)^((AY$4-1)/12)</f>
        <v/>
      </c>
      <c r="AZ9" s="92">
        <f>(1+Inputs!$C$11)^((AZ$4-1)/12)</f>
        <v/>
      </c>
      <c r="BA9" s="92">
        <f>(1+Inputs!$C$11)^((BA$4-1)/12)</f>
        <v/>
      </c>
      <c r="BB9" s="92">
        <f>(1+Inputs!$C$11)^((BB$4-1)/12)</f>
        <v/>
      </c>
      <c r="BC9" s="92">
        <f>(1+Inputs!$C$11)^((BC$4-1)/12)</f>
        <v/>
      </c>
      <c r="BD9" s="92">
        <f>(1+Inputs!$C$11)^((BD$4-1)/12)</f>
        <v/>
      </c>
      <c r="BE9" s="92">
        <f>(1+Inputs!$C$11)^((BE$4-1)/12)</f>
        <v/>
      </c>
      <c r="BF9" s="92">
        <f>(1+Inputs!$C$11)^((BF$4-1)/12)</f>
        <v/>
      </c>
      <c r="BG9" s="92">
        <f>(1+Inputs!$C$11)^((BG$4-1)/12)</f>
        <v/>
      </c>
      <c r="BH9" s="92">
        <f>(1+Inputs!$C$11)^((BH$4-1)/12)</f>
        <v/>
      </c>
      <c r="BI9" s="92">
        <f>(1+Inputs!$C$11)^((BI$4-1)/12)</f>
        <v/>
      </c>
      <c r="BJ9" s="92">
        <f>(1+Inputs!$C$11)^((BJ$4-1)/12)</f>
        <v/>
      </c>
      <c r="BK9" s="92">
        <f>(1+Inputs!$C$11)^((BK$4-1)/12)</f>
        <v/>
      </c>
      <c r="BL9" s="92">
        <f>(1+Inputs!$C$11)^((BL$4-1)/12)</f>
        <v/>
      </c>
    </row>
    <row r="10">
      <c r="A10" s="98" t="inlineStr">
        <is>
          <t>Price index on new contracts</t>
        </is>
      </c>
      <c r="B10" s="65" t="inlineStr">
        <is>
          <t>index</t>
        </is>
      </c>
      <c r="E10" s="92">
        <f>(1+Inputs!$C$13)^((E$4-1)/12)*(E$8/Inputs!$C$10)^Inputs!$C$14</f>
        <v/>
      </c>
      <c r="F10" s="92">
        <f>(1+Inputs!$C$13)^((F$4-1)/12)*(F$8/Inputs!$C$10)^Inputs!$C$14</f>
        <v/>
      </c>
      <c r="G10" s="92">
        <f>(1+Inputs!$C$13)^((G$4-1)/12)*(G$8/Inputs!$C$10)^Inputs!$C$14</f>
        <v/>
      </c>
      <c r="H10" s="92">
        <f>(1+Inputs!$C$13)^((H$4-1)/12)*(H$8/Inputs!$C$10)^Inputs!$C$14</f>
        <v/>
      </c>
      <c r="I10" s="92">
        <f>(1+Inputs!$C$13)^((I$4-1)/12)*(I$8/Inputs!$C$10)^Inputs!$C$14</f>
        <v/>
      </c>
      <c r="J10" s="92">
        <f>(1+Inputs!$C$13)^((J$4-1)/12)*(J$8/Inputs!$C$10)^Inputs!$C$14</f>
        <v/>
      </c>
      <c r="K10" s="92">
        <f>(1+Inputs!$C$13)^((K$4-1)/12)*(K$8/Inputs!$C$10)^Inputs!$C$14</f>
        <v/>
      </c>
      <c r="L10" s="92">
        <f>(1+Inputs!$C$13)^((L$4-1)/12)*(L$8/Inputs!$C$10)^Inputs!$C$14</f>
        <v/>
      </c>
      <c r="M10" s="92">
        <f>(1+Inputs!$C$13)^((M$4-1)/12)*(M$8/Inputs!$C$10)^Inputs!$C$14</f>
        <v/>
      </c>
      <c r="N10" s="92">
        <f>(1+Inputs!$C$13)^((N$4-1)/12)*(N$8/Inputs!$C$10)^Inputs!$C$14</f>
        <v/>
      </c>
      <c r="O10" s="92">
        <f>(1+Inputs!$C$13)^((O$4-1)/12)*(O$8/Inputs!$C$10)^Inputs!$C$14</f>
        <v/>
      </c>
      <c r="P10" s="92">
        <f>(1+Inputs!$C$13)^((P$4-1)/12)*(P$8/Inputs!$C$10)^Inputs!$C$14</f>
        <v/>
      </c>
      <c r="Q10" s="92">
        <f>(1+Inputs!$C$13)^((Q$4-1)/12)*(Q$8/Inputs!$C$10)^Inputs!$C$14</f>
        <v/>
      </c>
      <c r="R10" s="92">
        <f>(1+Inputs!$C$13)^((R$4-1)/12)*(R$8/Inputs!$C$10)^Inputs!$C$14</f>
        <v/>
      </c>
      <c r="S10" s="92">
        <f>(1+Inputs!$C$13)^((S$4-1)/12)*(S$8/Inputs!$C$10)^Inputs!$C$14</f>
        <v/>
      </c>
      <c r="T10" s="92">
        <f>(1+Inputs!$C$13)^((T$4-1)/12)*(T$8/Inputs!$C$10)^Inputs!$C$14</f>
        <v/>
      </c>
      <c r="U10" s="92">
        <f>(1+Inputs!$C$13)^((U$4-1)/12)*(U$8/Inputs!$C$10)^Inputs!$C$14</f>
        <v/>
      </c>
      <c r="V10" s="92">
        <f>(1+Inputs!$C$13)^((V$4-1)/12)*(V$8/Inputs!$C$10)^Inputs!$C$14</f>
        <v/>
      </c>
      <c r="W10" s="92">
        <f>(1+Inputs!$C$13)^((W$4-1)/12)*(W$8/Inputs!$C$10)^Inputs!$C$14</f>
        <v/>
      </c>
      <c r="X10" s="92">
        <f>(1+Inputs!$C$13)^((X$4-1)/12)*(X$8/Inputs!$C$10)^Inputs!$C$14</f>
        <v/>
      </c>
      <c r="Y10" s="92">
        <f>(1+Inputs!$C$13)^((Y$4-1)/12)*(Y$8/Inputs!$C$10)^Inputs!$C$14</f>
        <v/>
      </c>
      <c r="Z10" s="92">
        <f>(1+Inputs!$C$13)^((Z$4-1)/12)*(Z$8/Inputs!$C$10)^Inputs!$C$14</f>
        <v/>
      </c>
      <c r="AA10" s="92">
        <f>(1+Inputs!$C$13)^((AA$4-1)/12)*(AA$8/Inputs!$C$10)^Inputs!$C$14</f>
        <v/>
      </c>
      <c r="AB10" s="92">
        <f>(1+Inputs!$C$13)^((AB$4-1)/12)*(AB$8/Inputs!$C$10)^Inputs!$C$14</f>
        <v/>
      </c>
      <c r="AC10" s="92">
        <f>(1+Inputs!$C$13)^((AC$4-1)/12)*(AC$8/Inputs!$C$10)^Inputs!$C$14</f>
        <v/>
      </c>
      <c r="AD10" s="92">
        <f>(1+Inputs!$C$13)^((AD$4-1)/12)*(AD$8/Inputs!$C$10)^Inputs!$C$14</f>
        <v/>
      </c>
      <c r="AE10" s="92">
        <f>(1+Inputs!$C$13)^((AE$4-1)/12)*(AE$8/Inputs!$C$10)^Inputs!$C$14</f>
        <v/>
      </c>
      <c r="AF10" s="92">
        <f>(1+Inputs!$C$13)^((AF$4-1)/12)*(AF$8/Inputs!$C$10)^Inputs!$C$14</f>
        <v/>
      </c>
      <c r="AG10" s="92">
        <f>(1+Inputs!$C$13)^((AG$4-1)/12)*(AG$8/Inputs!$C$10)^Inputs!$C$14</f>
        <v/>
      </c>
      <c r="AH10" s="92">
        <f>(1+Inputs!$C$13)^((AH$4-1)/12)*(AH$8/Inputs!$C$10)^Inputs!$C$14</f>
        <v/>
      </c>
      <c r="AI10" s="92">
        <f>(1+Inputs!$C$13)^((AI$4-1)/12)*(AI$8/Inputs!$C$10)^Inputs!$C$14</f>
        <v/>
      </c>
      <c r="AJ10" s="92">
        <f>(1+Inputs!$C$13)^((AJ$4-1)/12)*(AJ$8/Inputs!$C$10)^Inputs!$C$14</f>
        <v/>
      </c>
      <c r="AK10" s="92">
        <f>(1+Inputs!$C$13)^((AK$4-1)/12)*(AK$8/Inputs!$C$10)^Inputs!$C$14</f>
        <v/>
      </c>
      <c r="AL10" s="92">
        <f>(1+Inputs!$C$13)^((AL$4-1)/12)*(AL$8/Inputs!$C$10)^Inputs!$C$14</f>
        <v/>
      </c>
      <c r="AM10" s="92">
        <f>(1+Inputs!$C$13)^((AM$4-1)/12)*(AM$8/Inputs!$C$10)^Inputs!$C$14</f>
        <v/>
      </c>
      <c r="AN10" s="92">
        <f>(1+Inputs!$C$13)^((AN$4-1)/12)*(AN$8/Inputs!$C$10)^Inputs!$C$14</f>
        <v/>
      </c>
      <c r="AO10" s="92">
        <f>(1+Inputs!$C$13)^((AO$4-1)/12)*(AO$8/Inputs!$C$10)^Inputs!$C$14</f>
        <v/>
      </c>
      <c r="AP10" s="92">
        <f>(1+Inputs!$C$13)^((AP$4-1)/12)*(AP$8/Inputs!$C$10)^Inputs!$C$14</f>
        <v/>
      </c>
      <c r="AQ10" s="92">
        <f>(1+Inputs!$C$13)^((AQ$4-1)/12)*(AQ$8/Inputs!$C$10)^Inputs!$C$14</f>
        <v/>
      </c>
      <c r="AR10" s="92">
        <f>(1+Inputs!$C$13)^((AR$4-1)/12)*(AR$8/Inputs!$C$10)^Inputs!$C$14</f>
        <v/>
      </c>
      <c r="AS10" s="92">
        <f>(1+Inputs!$C$13)^((AS$4-1)/12)*(AS$8/Inputs!$C$10)^Inputs!$C$14</f>
        <v/>
      </c>
      <c r="AT10" s="92">
        <f>(1+Inputs!$C$13)^((AT$4-1)/12)*(AT$8/Inputs!$C$10)^Inputs!$C$14</f>
        <v/>
      </c>
      <c r="AU10" s="92">
        <f>(1+Inputs!$C$13)^((AU$4-1)/12)*(AU$8/Inputs!$C$10)^Inputs!$C$14</f>
        <v/>
      </c>
      <c r="AV10" s="92">
        <f>(1+Inputs!$C$13)^((AV$4-1)/12)*(AV$8/Inputs!$C$10)^Inputs!$C$14</f>
        <v/>
      </c>
      <c r="AW10" s="92">
        <f>(1+Inputs!$C$13)^((AW$4-1)/12)*(AW$8/Inputs!$C$10)^Inputs!$C$14</f>
        <v/>
      </c>
      <c r="AX10" s="92">
        <f>(1+Inputs!$C$13)^((AX$4-1)/12)*(AX$8/Inputs!$C$10)^Inputs!$C$14</f>
        <v/>
      </c>
      <c r="AY10" s="92">
        <f>(1+Inputs!$C$13)^((AY$4-1)/12)*(AY$8/Inputs!$C$10)^Inputs!$C$14</f>
        <v/>
      </c>
      <c r="AZ10" s="92">
        <f>(1+Inputs!$C$13)^((AZ$4-1)/12)*(AZ$8/Inputs!$C$10)^Inputs!$C$14</f>
        <v/>
      </c>
      <c r="BA10" s="92">
        <f>(1+Inputs!$C$13)^((BA$4-1)/12)*(BA$8/Inputs!$C$10)^Inputs!$C$14</f>
        <v/>
      </c>
      <c r="BB10" s="92">
        <f>(1+Inputs!$C$13)^((BB$4-1)/12)*(BB$8/Inputs!$C$10)^Inputs!$C$14</f>
        <v/>
      </c>
      <c r="BC10" s="92">
        <f>(1+Inputs!$C$13)^((BC$4-1)/12)*(BC$8/Inputs!$C$10)^Inputs!$C$14</f>
        <v/>
      </c>
      <c r="BD10" s="92">
        <f>(1+Inputs!$C$13)^((BD$4-1)/12)*(BD$8/Inputs!$C$10)^Inputs!$C$14</f>
        <v/>
      </c>
      <c r="BE10" s="92">
        <f>(1+Inputs!$C$13)^((BE$4-1)/12)*(BE$8/Inputs!$C$10)^Inputs!$C$14</f>
        <v/>
      </c>
      <c r="BF10" s="92">
        <f>(1+Inputs!$C$13)^((BF$4-1)/12)*(BF$8/Inputs!$C$10)^Inputs!$C$14</f>
        <v/>
      </c>
      <c r="BG10" s="92">
        <f>(1+Inputs!$C$13)^((BG$4-1)/12)*(BG$8/Inputs!$C$10)^Inputs!$C$14</f>
        <v/>
      </c>
      <c r="BH10" s="92">
        <f>(1+Inputs!$C$13)^((BH$4-1)/12)*(BH$8/Inputs!$C$10)^Inputs!$C$14</f>
        <v/>
      </c>
      <c r="BI10" s="92">
        <f>(1+Inputs!$C$13)^((BI$4-1)/12)*(BI$8/Inputs!$C$10)^Inputs!$C$14</f>
        <v/>
      </c>
      <c r="BJ10" s="92">
        <f>(1+Inputs!$C$13)^((BJ$4-1)/12)*(BJ$8/Inputs!$C$10)^Inputs!$C$14</f>
        <v/>
      </c>
      <c r="BK10" s="92">
        <f>(1+Inputs!$C$13)^((BK$4-1)/12)*(BK$8/Inputs!$C$10)^Inputs!$C$14</f>
        <v/>
      </c>
      <c r="BL10" s="92">
        <f>(1+Inputs!$C$13)^((BL$4-1)/12)*(BL$8/Inputs!$C$10)^Inputs!$C$14</f>
        <v/>
      </c>
    </row>
    <row r="11">
      <c r="A11" s="98" t="inlineStr">
        <is>
          <t>Total units sold (scenario)</t>
        </is>
      </c>
      <c r="B11" s="65" t="inlineStr">
        <is>
          <t>units</t>
        </is>
      </c>
      <c r="C11" s="105">
        <f>SUM(E11:BL11)</f>
        <v/>
      </c>
      <c r="E11" s="80">
        <f>CHOOSE(E$6,Inputs!$C$17,Inputs!$C$18,Inputs!$C$19,Inputs!$C$20,Inputs!$C$21)/12*Scenarios!$G$8</f>
        <v/>
      </c>
      <c r="F11" s="80">
        <f>CHOOSE(F$6,Inputs!$C$17,Inputs!$C$18,Inputs!$C$19,Inputs!$C$20,Inputs!$C$21)/12*Scenarios!$G$8</f>
        <v/>
      </c>
      <c r="G11" s="80">
        <f>CHOOSE(G$6,Inputs!$C$17,Inputs!$C$18,Inputs!$C$19,Inputs!$C$20,Inputs!$C$21)/12*Scenarios!$G$8</f>
        <v/>
      </c>
      <c r="H11" s="80">
        <f>CHOOSE(H$6,Inputs!$C$17,Inputs!$C$18,Inputs!$C$19,Inputs!$C$20,Inputs!$C$21)/12*Scenarios!$G$8</f>
        <v/>
      </c>
      <c r="I11" s="80">
        <f>CHOOSE(I$6,Inputs!$C$17,Inputs!$C$18,Inputs!$C$19,Inputs!$C$20,Inputs!$C$21)/12*Scenarios!$G$8</f>
        <v/>
      </c>
      <c r="J11" s="80">
        <f>CHOOSE(J$6,Inputs!$C$17,Inputs!$C$18,Inputs!$C$19,Inputs!$C$20,Inputs!$C$21)/12*Scenarios!$G$8</f>
        <v/>
      </c>
      <c r="K11" s="80">
        <f>CHOOSE(K$6,Inputs!$C$17,Inputs!$C$18,Inputs!$C$19,Inputs!$C$20,Inputs!$C$21)/12*Scenarios!$G$8</f>
        <v/>
      </c>
      <c r="L11" s="80">
        <f>CHOOSE(L$6,Inputs!$C$17,Inputs!$C$18,Inputs!$C$19,Inputs!$C$20,Inputs!$C$21)/12*Scenarios!$G$8</f>
        <v/>
      </c>
      <c r="M11" s="80">
        <f>CHOOSE(M$6,Inputs!$C$17,Inputs!$C$18,Inputs!$C$19,Inputs!$C$20,Inputs!$C$21)/12*Scenarios!$G$8</f>
        <v/>
      </c>
      <c r="N11" s="80">
        <f>CHOOSE(N$6,Inputs!$C$17,Inputs!$C$18,Inputs!$C$19,Inputs!$C$20,Inputs!$C$21)/12*Scenarios!$G$8</f>
        <v/>
      </c>
      <c r="O11" s="80">
        <f>CHOOSE(O$6,Inputs!$C$17,Inputs!$C$18,Inputs!$C$19,Inputs!$C$20,Inputs!$C$21)/12*Scenarios!$G$8</f>
        <v/>
      </c>
      <c r="P11" s="80">
        <f>CHOOSE(P$6,Inputs!$C$17,Inputs!$C$18,Inputs!$C$19,Inputs!$C$20,Inputs!$C$21)/12*Scenarios!$G$8</f>
        <v/>
      </c>
      <c r="Q11" s="80">
        <f>CHOOSE(Q$6,Inputs!$C$17,Inputs!$C$18,Inputs!$C$19,Inputs!$C$20,Inputs!$C$21)/12*Scenarios!$G$8</f>
        <v/>
      </c>
      <c r="R11" s="80">
        <f>CHOOSE(R$6,Inputs!$C$17,Inputs!$C$18,Inputs!$C$19,Inputs!$C$20,Inputs!$C$21)/12*Scenarios!$G$8</f>
        <v/>
      </c>
      <c r="S11" s="80">
        <f>CHOOSE(S$6,Inputs!$C$17,Inputs!$C$18,Inputs!$C$19,Inputs!$C$20,Inputs!$C$21)/12*Scenarios!$G$8</f>
        <v/>
      </c>
      <c r="T11" s="80">
        <f>CHOOSE(T$6,Inputs!$C$17,Inputs!$C$18,Inputs!$C$19,Inputs!$C$20,Inputs!$C$21)/12*Scenarios!$G$8</f>
        <v/>
      </c>
      <c r="U11" s="80">
        <f>CHOOSE(U$6,Inputs!$C$17,Inputs!$C$18,Inputs!$C$19,Inputs!$C$20,Inputs!$C$21)/12*Scenarios!$G$8</f>
        <v/>
      </c>
      <c r="V11" s="80">
        <f>CHOOSE(V$6,Inputs!$C$17,Inputs!$C$18,Inputs!$C$19,Inputs!$C$20,Inputs!$C$21)/12*Scenarios!$G$8</f>
        <v/>
      </c>
      <c r="W11" s="80">
        <f>CHOOSE(W$6,Inputs!$C$17,Inputs!$C$18,Inputs!$C$19,Inputs!$C$20,Inputs!$C$21)/12*Scenarios!$G$8</f>
        <v/>
      </c>
      <c r="X11" s="80">
        <f>CHOOSE(X$6,Inputs!$C$17,Inputs!$C$18,Inputs!$C$19,Inputs!$C$20,Inputs!$C$21)/12*Scenarios!$G$8</f>
        <v/>
      </c>
      <c r="Y11" s="80">
        <f>CHOOSE(Y$6,Inputs!$C$17,Inputs!$C$18,Inputs!$C$19,Inputs!$C$20,Inputs!$C$21)/12*Scenarios!$G$8</f>
        <v/>
      </c>
      <c r="Z11" s="80">
        <f>CHOOSE(Z$6,Inputs!$C$17,Inputs!$C$18,Inputs!$C$19,Inputs!$C$20,Inputs!$C$21)/12*Scenarios!$G$8</f>
        <v/>
      </c>
      <c r="AA11" s="80">
        <f>CHOOSE(AA$6,Inputs!$C$17,Inputs!$C$18,Inputs!$C$19,Inputs!$C$20,Inputs!$C$21)/12*Scenarios!$G$8</f>
        <v/>
      </c>
      <c r="AB11" s="80">
        <f>CHOOSE(AB$6,Inputs!$C$17,Inputs!$C$18,Inputs!$C$19,Inputs!$C$20,Inputs!$C$21)/12*Scenarios!$G$8</f>
        <v/>
      </c>
      <c r="AC11" s="80">
        <f>CHOOSE(AC$6,Inputs!$C$17,Inputs!$C$18,Inputs!$C$19,Inputs!$C$20,Inputs!$C$21)/12*Scenarios!$G$8</f>
        <v/>
      </c>
      <c r="AD11" s="80">
        <f>CHOOSE(AD$6,Inputs!$C$17,Inputs!$C$18,Inputs!$C$19,Inputs!$C$20,Inputs!$C$21)/12*Scenarios!$G$8</f>
        <v/>
      </c>
      <c r="AE11" s="80">
        <f>CHOOSE(AE$6,Inputs!$C$17,Inputs!$C$18,Inputs!$C$19,Inputs!$C$20,Inputs!$C$21)/12*Scenarios!$G$8</f>
        <v/>
      </c>
      <c r="AF11" s="80">
        <f>CHOOSE(AF$6,Inputs!$C$17,Inputs!$C$18,Inputs!$C$19,Inputs!$C$20,Inputs!$C$21)/12*Scenarios!$G$8</f>
        <v/>
      </c>
      <c r="AG11" s="80">
        <f>CHOOSE(AG$6,Inputs!$C$17,Inputs!$C$18,Inputs!$C$19,Inputs!$C$20,Inputs!$C$21)/12*Scenarios!$G$8</f>
        <v/>
      </c>
      <c r="AH11" s="80">
        <f>CHOOSE(AH$6,Inputs!$C$17,Inputs!$C$18,Inputs!$C$19,Inputs!$C$20,Inputs!$C$21)/12*Scenarios!$G$8</f>
        <v/>
      </c>
      <c r="AI11" s="80">
        <f>CHOOSE(AI$6,Inputs!$C$17,Inputs!$C$18,Inputs!$C$19,Inputs!$C$20,Inputs!$C$21)/12*Scenarios!$G$8</f>
        <v/>
      </c>
      <c r="AJ11" s="80">
        <f>CHOOSE(AJ$6,Inputs!$C$17,Inputs!$C$18,Inputs!$C$19,Inputs!$C$20,Inputs!$C$21)/12*Scenarios!$G$8</f>
        <v/>
      </c>
      <c r="AK11" s="80">
        <f>CHOOSE(AK$6,Inputs!$C$17,Inputs!$C$18,Inputs!$C$19,Inputs!$C$20,Inputs!$C$21)/12*Scenarios!$G$8</f>
        <v/>
      </c>
      <c r="AL11" s="80">
        <f>CHOOSE(AL$6,Inputs!$C$17,Inputs!$C$18,Inputs!$C$19,Inputs!$C$20,Inputs!$C$21)/12*Scenarios!$G$8</f>
        <v/>
      </c>
      <c r="AM11" s="80">
        <f>CHOOSE(AM$6,Inputs!$C$17,Inputs!$C$18,Inputs!$C$19,Inputs!$C$20,Inputs!$C$21)/12*Scenarios!$G$8</f>
        <v/>
      </c>
      <c r="AN11" s="80">
        <f>CHOOSE(AN$6,Inputs!$C$17,Inputs!$C$18,Inputs!$C$19,Inputs!$C$20,Inputs!$C$21)/12*Scenarios!$G$8</f>
        <v/>
      </c>
      <c r="AO11" s="80">
        <f>CHOOSE(AO$6,Inputs!$C$17,Inputs!$C$18,Inputs!$C$19,Inputs!$C$20,Inputs!$C$21)/12*Scenarios!$G$8</f>
        <v/>
      </c>
      <c r="AP11" s="80">
        <f>CHOOSE(AP$6,Inputs!$C$17,Inputs!$C$18,Inputs!$C$19,Inputs!$C$20,Inputs!$C$21)/12*Scenarios!$G$8</f>
        <v/>
      </c>
      <c r="AQ11" s="80">
        <f>CHOOSE(AQ$6,Inputs!$C$17,Inputs!$C$18,Inputs!$C$19,Inputs!$C$20,Inputs!$C$21)/12*Scenarios!$G$8</f>
        <v/>
      </c>
      <c r="AR11" s="80">
        <f>CHOOSE(AR$6,Inputs!$C$17,Inputs!$C$18,Inputs!$C$19,Inputs!$C$20,Inputs!$C$21)/12*Scenarios!$G$8</f>
        <v/>
      </c>
      <c r="AS11" s="80">
        <f>CHOOSE(AS$6,Inputs!$C$17,Inputs!$C$18,Inputs!$C$19,Inputs!$C$20,Inputs!$C$21)/12*Scenarios!$G$8</f>
        <v/>
      </c>
      <c r="AT11" s="80">
        <f>CHOOSE(AT$6,Inputs!$C$17,Inputs!$C$18,Inputs!$C$19,Inputs!$C$20,Inputs!$C$21)/12*Scenarios!$G$8</f>
        <v/>
      </c>
      <c r="AU11" s="80">
        <f>CHOOSE(AU$6,Inputs!$C$17,Inputs!$C$18,Inputs!$C$19,Inputs!$C$20,Inputs!$C$21)/12*Scenarios!$G$8</f>
        <v/>
      </c>
      <c r="AV11" s="80">
        <f>CHOOSE(AV$6,Inputs!$C$17,Inputs!$C$18,Inputs!$C$19,Inputs!$C$20,Inputs!$C$21)/12*Scenarios!$G$8</f>
        <v/>
      </c>
      <c r="AW11" s="80">
        <f>CHOOSE(AW$6,Inputs!$C$17,Inputs!$C$18,Inputs!$C$19,Inputs!$C$20,Inputs!$C$21)/12*Scenarios!$G$8</f>
        <v/>
      </c>
      <c r="AX11" s="80">
        <f>CHOOSE(AX$6,Inputs!$C$17,Inputs!$C$18,Inputs!$C$19,Inputs!$C$20,Inputs!$C$21)/12*Scenarios!$G$8</f>
        <v/>
      </c>
      <c r="AY11" s="80">
        <f>CHOOSE(AY$6,Inputs!$C$17,Inputs!$C$18,Inputs!$C$19,Inputs!$C$20,Inputs!$C$21)/12*Scenarios!$G$8</f>
        <v/>
      </c>
      <c r="AZ11" s="80">
        <f>CHOOSE(AZ$6,Inputs!$C$17,Inputs!$C$18,Inputs!$C$19,Inputs!$C$20,Inputs!$C$21)/12*Scenarios!$G$8</f>
        <v/>
      </c>
      <c r="BA11" s="80">
        <f>CHOOSE(BA$6,Inputs!$C$17,Inputs!$C$18,Inputs!$C$19,Inputs!$C$20,Inputs!$C$21)/12*Scenarios!$G$8</f>
        <v/>
      </c>
      <c r="BB11" s="80">
        <f>CHOOSE(BB$6,Inputs!$C$17,Inputs!$C$18,Inputs!$C$19,Inputs!$C$20,Inputs!$C$21)/12*Scenarios!$G$8</f>
        <v/>
      </c>
      <c r="BC11" s="80">
        <f>CHOOSE(BC$6,Inputs!$C$17,Inputs!$C$18,Inputs!$C$19,Inputs!$C$20,Inputs!$C$21)/12*Scenarios!$G$8</f>
        <v/>
      </c>
      <c r="BD11" s="80">
        <f>CHOOSE(BD$6,Inputs!$C$17,Inputs!$C$18,Inputs!$C$19,Inputs!$C$20,Inputs!$C$21)/12*Scenarios!$G$8</f>
        <v/>
      </c>
      <c r="BE11" s="80">
        <f>CHOOSE(BE$6,Inputs!$C$17,Inputs!$C$18,Inputs!$C$19,Inputs!$C$20,Inputs!$C$21)/12*Scenarios!$G$8</f>
        <v/>
      </c>
      <c r="BF11" s="80">
        <f>CHOOSE(BF$6,Inputs!$C$17,Inputs!$C$18,Inputs!$C$19,Inputs!$C$20,Inputs!$C$21)/12*Scenarios!$G$8</f>
        <v/>
      </c>
      <c r="BG11" s="80">
        <f>CHOOSE(BG$6,Inputs!$C$17,Inputs!$C$18,Inputs!$C$19,Inputs!$C$20,Inputs!$C$21)/12*Scenarios!$G$8</f>
        <v/>
      </c>
      <c r="BH11" s="80">
        <f>CHOOSE(BH$6,Inputs!$C$17,Inputs!$C$18,Inputs!$C$19,Inputs!$C$20,Inputs!$C$21)/12*Scenarios!$G$8</f>
        <v/>
      </c>
      <c r="BI11" s="80">
        <f>CHOOSE(BI$6,Inputs!$C$17,Inputs!$C$18,Inputs!$C$19,Inputs!$C$20,Inputs!$C$21)/12*Scenarios!$G$8</f>
        <v/>
      </c>
      <c r="BJ11" s="80">
        <f>CHOOSE(BJ$6,Inputs!$C$17,Inputs!$C$18,Inputs!$C$19,Inputs!$C$20,Inputs!$C$21)/12*Scenarios!$G$8</f>
        <v/>
      </c>
      <c r="BK11" s="80">
        <f>CHOOSE(BK$6,Inputs!$C$17,Inputs!$C$18,Inputs!$C$19,Inputs!$C$20,Inputs!$C$21)/12*Scenarios!$G$8</f>
        <v/>
      </c>
      <c r="BL11" s="80">
        <f>CHOOSE(BL$6,Inputs!$C$17,Inputs!$C$18,Inputs!$C$19,Inputs!$C$20,Inputs!$C$21)/12*Scenarios!$G$8</f>
        <v/>
      </c>
    </row>
    <row r="12"/>
    <row r="13">
      <c r="A13" s="21" t="inlineStr">
        <is>
          <t>FX EFFECTS (monthly, LCY unless stated; actual FX path compared with the opening rate; feeds FX_Exposure)</t>
        </is>
      </c>
      <c r="B13" s="22" t="n"/>
      <c r="C13" s="22" t="n"/>
      <c r="D13" s="22" t="n"/>
      <c r="E13" s="22" t="n"/>
      <c r="F13" s="22" t="n"/>
      <c r="G13" s="22" t="n"/>
      <c r="H13" s="22" t="n"/>
      <c r="I13" s="22" t="n"/>
      <c r="J13" s="22" t="n"/>
      <c r="K13" s="22" t="n"/>
      <c r="L13" s="22" t="n"/>
      <c r="M13" s="22" t="n"/>
      <c r="N13" s="22" t="n"/>
      <c r="O13" s="22" t="n"/>
      <c r="P13" s="22" t="n"/>
      <c r="Q13" s="22" t="n"/>
      <c r="R13" s="22" t="n"/>
      <c r="S13" s="22" t="n"/>
      <c r="T13" s="22" t="n"/>
      <c r="U13" s="22" t="n"/>
      <c r="V13" s="22" t="n"/>
      <c r="W13" s="22" t="n"/>
      <c r="X13" s="22" t="n"/>
      <c r="Y13" s="22" t="n"/>
      <c r="Z13" s="22" t="n"/>
      <c r="AA13" s="22" t="n"/>
      <c r="AB13" s="22" t="n"/>
      <c r="AC13" s="22" t="n"/>
      <c r="AD13" s="22" t="n"/>
      <c r="AE13" s="22" t="n"/>
      <c r="AF13" s="22" t="n"/>
      <c r="AG13" s="22" t="n"/>
      <c r="AH13" s="22" t="n"/>
      <c r="AI13" s="22" t="n"/>
      <c r="AJ13" s="22" t="n"/>
      <c r="AK13" s="22" t="n"/>
      <c r="AL13" s="22" t="n"/>
      <c r="AM13" s="22" t="n"/>
      <c r="AN13" s="22" t="n"/>
      <c r="AO13" s="22" t="n"/>
      <c r="AP13" s="22" t="n"/>
      <c r="AQ13" s="22" t="n"/>
      <c r="AR13" s="22" t="n"/>
      <c r="AS13" s="22" t="n"/>
      <c r="AT13" s="22" t="n"/>
      <c r="AU13" s="22" t="n"/>
      <c r="AV13" s="22" t="n"/>
      <c r="AW13" s="22" t="n"/>
      <c r="AX13" s="22" t="n"/>
      <c r="AY13" s="22" t="n"/>
      <c r="AZ13" s="22" t="n"/>
      <c r="BA13" s="22" t="n"/>
      <c r="BB13" s="22" t="n"/>
      <c r="BC13" s="22" t="n"/>
      <c r="BD13" s="22" t="n"/>
      <c r="BE13" s="22" t="n"/>
      <c r="BF13" s="22" t="n"/>
      <c r="BG13" s="22" t="n"/>
      <c r="BH13" s="22" t="n"/>
      <c r="BI13" s="22" t="n"/>
      <c r="BJ13" s="22" t="n"/>
      <c r="BK13" s="22" t="n"/>
      <c r="BL13" s="22" t="n"/>
    </row>
    <row r="14">
      <c r="A14" s="98" t="inlineStr">
        <is>
          <t>Transaction: extra cost of USD-linked hardware (COGS and warranty)</t>
        </is>
      </c>
      <c r="B14" s="65" t="inlineStr">
        <is>
          <t>LCY</t>
        </is>
      </c>
      <c r="C14" s="105">
        <f>SUM(E14:BL14)</f>
        <v/>
      </c>
      <c r="E14" s="80">
        <f>(Costs!E$8+Costs!E$13)*(1-Inputs!$C$10/Timeline!E$8)</f>
        <v/>
      </c>
      <c r="F14" s="80">
        <f>(Costs!F$8+Costs!F$13)*(1-Inputs!$C$10/Timeline!F$8)</f>
        <v/>
      </c>
      <c r="G14" s="80">
        <f>(Costs!G$8+Costs!G$13)*(1-Inputs!$C$10/Timeline!G$8)</f>
        <v/>
      </c>
      <c r="H14" s="80">
        <f>(Costs!H$8+Costs!H$13)*(1-Inputs!$C$10/Timeline!H$8)</f>
        <v/>
      </c>
      <c r="I14" s="80">
        <f>(Costs!I$8+Costs!I$13)*(1-Inputs!$C$10/Timeline!I$8)</f>
        <v/>
      </c>
      <c r="J14" s="80">
        <f>(Costs!J$8+Costs!J$13)*(1-Inputs!$C$10/Timeline!J$8)</f>
        <v/>
      </c>
      <c r="K14" s="80">
        <f>(Costs!K$8+Costs!K$13)*(1-Inputs!$C$10/Timeline!K$8)</f>
        <v/>
      </c>
      <c r="L14" s="80">
        <f>(Costs!L$8+Costs!L$13)*(1-Inputs!$C$10/Timeline!L$8)</f>
        <v/>
      </c>
      <c r="M14" s="80">
        <f>(Costs!M$8+Costs!M$13)*(1-Inputs!$C$10/Timeline!M$8)</f>
        <v/>
      </c>
      <c r="N14" s="80">
        <f>(Costs!N$8+Costs!N$13)*(1-Inputs!$C$10/Timeline!N$8)</f>
        <v/>
      </c>
      <c r="O14" s="80">
        <f>(Costs!O$8+Costs!O$13)*(1-Inputs!$C$10/Timeline!O$8)</f>
        <v/>
      </c>
      <c r="P14" s="80">
        <f>(Costs!P$8+Costs!P$13)*(1-Inputs!$C$10/Timeline!P$8)</f>
        <v/>
      </c>
      <c r="Q14" s="80">
        <f>(Costs!Q$8+Costs!Q$13)*(1-Inputs!$C$10/Timeline!Q$8)</f>
        <v/>
      </c>
      <c r="R14" s="80">
        <f>(Costs!R$8+Costs!R$13)*(1-Inputs!$C$10/Timeline!R$8)</f>
        <v/>
      </c>
      <c r="S14" s="80">
        <f>(Costs!S$8+Costs!S$13)*(1-Inputs!$C$10/Timeline!S$8)</f>
        <v/>
      </c>
      <c r="T14" s="80">
        <f>(Costs!T$8+Costs!T$13)*(1-Inputs!$C$10/Timeline!T$8)</f>
        <v/>
      </c>
      <c r="U14" s="80">
        <f>(Costs!U$8+Costs!U$13)*(1-Inputs!$C$10/Timeline!U$8)</f>
        <v/>
      </c>
      <c r="V14" s="80">
        <f>(Costs!V$8+Costs!V$13)*(1-Inputs!$C$10/Timeline!V$8)</f>
        <v/>
      </c>
      <c r="W14" s="80">
        <f>(Costs!W$8+Costs!W$13)*(1-Inputs!$C$10/Timeline!W$8)</f>
        <v/>
      </c>
      <c r="X14" s="80">
        <f>(Costs!X$8+Costs!X$13)*(1-Inputs!$C$10/Timeline!X$8)</f>
        <v/>
      </c>
      <c r="Y14" s="80">
        <f>(Costs!Y$8+Costs!Y$13)*(1-Inputs!$C$10/Timeline!Y$8)</f>
        <v/>
      </c>
      <c r="Z14" s="80">
        <f>(Costs!Z$8+Costs!Z$13)*(1-Inputs!$C$10/Timeline!Z$8)</f>
        <v/>
      </c>
      <c r="AA14" s="80">
        <f>(Costs!AA$8+Costs!AA$13)*(1-Inputs!$C$10/Timeline!AA$8)</f>
        <v/>
      </c>
      <c r="AB14" s="80">
        <f>(Costs!AB$8+Costs!AB$13)*(1-Inputs!$C$10/Timeline!AB$8)</f>
        <v/>
      </c>
      <c r="AC14" s="80">
        <f>(Costs!AC$8+Costs!AC$13)*(1-Inputs!$C$10/Timeline!AC$8)</f>
        <v/>
      </c>
      <c r="AD14" s="80">
        <f>(Costs!AD$8+Costs!AD$13)*(1-Inputs!$C$10/Timeline!AD$8)</f>
        <v/>
      </c>
      <c r="AE14" s="80">
        <f>(Costs!AE$8+Costs!AE$13)*(1-Inputs!$C$10/Timeline!AE$8)</f>
        <v/>
      </c>
      <c r="AF14" s="80">
        <f>(Costs!AF$8+Costs!AF$13)*(1-Inputs!$C$10/Timeline!AF$8)</f>
        <v/>
      </c>
      <c r="AG14" s="80">
        <f>(Costs!AG$8+Costs!AG$13)*(1-Inputs!$C$10/Timeline!AG$8)</f>
        <v/>
      </c>
      <c r="AH14" s="80">
        <f>(Costs!AH$8+Costs!AH$13)*(1-Inputs!$C$10/Timeline!AH$8)</f>
        <v/>
      </c>
      <c r="AI14" s="80">
        <f>(Costs!AI$8+Costs!AI$13)*(1-Inputs!$C$10/Timeline!AI$8)</f>
        <v/>
      </c>
      <c r="AJ14" s="80">
        <f>(Costs!AJ$8+Costs!AJ$13)*(1-Inputs!$C$10/Timeline!AJ$8)</f>
        <v/>
      </c>
      <c r="AK14" s="80">
        <f>(Costs!AK$8+Costs!AK$13)*(1-Inputs!$C$10/Timeline!AK$8)</f>
        <v/>
      </c>
      <c r="AL14" s="80">
        <f>(Costs!AL$8+Costs!AL$13)*(1-Inputs!$C$10/Timeline!AL$8)</f>
        <v/>
      </c>
      <c r="AM14" s="80">
        <f>(Costs!AM$8+Costs!AM$13)*(1-Inputs!$C$10/Timeline!AM$8)</f>
        <v/>
      </c>
      <c r="AN14" s="80">
        <f>(Costs!AN$8+Costs!AN$13)*(1-Inputs!$C$10/Timeline!AN$8)</f>
        <v/>
      </c>
      <c r="AO14" s="80">
        <f>(Costs!AO$8+Costs!AO$13)*(1-Inputs!$C$10/Timeline!AO$8)</f>
        <v/>
      </c>
      <c r="AP14" s="80">
        <f>(Costs!AP$8+Costs!AP$13)*(1-Inputs!$C$10/Timeline!AP$8)</f>
        <v/>
      </c>
      <c r="AQ14" s="80">
        <f>(Costs!AQ$8+Costs!AQ$13)*(1-Inputs!$C$10/Timeline!AQ$8)</f>
        <v/>
      </c>
      <c r="AR14" s="80">
        <f>(Costs!AR$8+Costs!AR$13)*(1-Inputs!$C$10/Timeline!AR$8)</f>
        <v/>
      </c>
      <c r="AS14" s="80">
        <f>(Costs!AS$8+Costs!AS$13)*(1-Inputs!$C$10/Timeline!AS$8)</f>
        <v/>
      </c>
      <c r="AT14" s="80">
        <f>(Costs!AT$8+Costs!AT$13)*(1-Inputs!$C$10/Timeline!AT$8)</f>
        <v/>
      </c>
      <c r="AU14" s="80">
        <f>(Costs!AU$8+Costs!AU$13)*(1-Inputs!$C$10/Timeline!AU$8)</f>
        <v/>
      </c>
      <c r="AV14" s="80">
        <f>(Costs!AV$8+Costs!AV$13)*(1-Inputs!$C$10/Timeline!AV$8)</f>
        <v/>
      </c>
      <c r="AW14" s="80">
        <f>(Costs!AW$8+Costs!AW$13)*(1-Inputs!$C$10/Timeline!AW$8)</f>
        <v/>
      </c>
      <c r="AX14" s="80">
        <f>(Costs!AX$8+Costs!AX$13)*(1-Inputs!$C$10/Timeline!AX$8)</f>
        <v/>
      </c>
      <c r="AY14" s="80">
        <f>(Costs!AY$8+Costs!AY$13)*(1-Inputs!$C$10/Timeline!AY$8)</f>
        <v/>
      </c>
      <c r="AZ14" s="80">
        <f>(Costs!AZ$8+Costs!AZ$13)*(1-Inputs!$C$10/Timeline!AZ$8)</f>
        <v/>
      </c>
      <c r="BA14" s="80">
        <f>(Costs!BA$8+Costs!BA$13)*(1-Inputs!$C$10/Timeline!BA$8)</f>
        <v/>
      </c>
      <c r="BB14" s="80">
        <f>(Costs!BB$8+Costs!BB$13)*(1-Inputs!$C$10/Timeline!BB$8)</f>
        <v/>
      </c>
      <c r="BC14" s="80">
        <f>(Costs!BC$8+Costs!BC$13)*(1-Inputs!$C$10/Timeline!BC$8)</f>
        <v/>
      </c>
      <c r="BD14" s="80">
        <f>(Costs!BD$8+Costs!BD$13)*(1-Inputs!$C$10/Timeline!BD$8)</f>
        <v/>
      </c>
      <c r="BE14" s="80">
        <f>(Costs!BE$8+Costs!BE$13)*(1-Inputs!$C$10/Timeline!BE$8)</f>
        <v/>
      </c>
      <c r="BF14" s="80">
        <f>(Costs!BF$8+Costs!BF$13)*(1-Inputs!$C$10/Timeline!BF$8)</f>
        <v/>
      </c>
      <c r="BG14" s="80">
        <f>(Costs!BG$8+Costs!BG$13)*(1-Inputs!$C$10/Timeline!BG$8)</f>
        <v/>
      </c>
      <c r="BH14" s="80">
        <f>(Costs!BH$8+Costs!BH$13)*(1-Inputs!$C$10/Timeline!BH$8)</f>
        <v/>
      </c>
      <c r="BI14" s="80">
        <f>(Costs!BI$8+Costs!BI$13)*(1-Inputs!$C$10/Timeline!BI$8)</f>
        <v/>
      </c>
      <c r="BJ14" s="80">
        <f>(Costs!BJ$8+Costs!BJ$13)*(1-Inputs!$C$10/Timeline!BJ$8)</f>
        <v/>
      </c>
      <c r="BK14" s="80">
        <f>(Costs!BK$8+Costs!BK$13)*(1-Inputs!$C$10/Timeline!BK$8)</f>
        <v/>
      </c>
      <c r="BL14" s="80">
        <f>(Costs!BL$8+Costs!BL$13)*(1-Inputs!$C$10/Timeline!BL$8)</f>
        <v/>
      </c>
    </row>
    <row r="15">
      <c r="A15" s="98" t="inlineStr">
        <is>
          <t>Transaction: extra interest on the USD term loan</t>
        </is>
      </c>
      <c r="B15" s="65" t="inlineStr">
        <is>
          <t>LCY</t>
        </is>
      </c>
      <c r="C15" s="105">
        <f>SUM(E15:BL15)</f>
        <v/>
      </c>
      <c r="E15" s="80">
        <f>Financing!E$16*(1-Inputs!$C$10/Timeline!E$8)</f>
        <v/>
      </c>
      <c r="F15" s="80">
        <f>Financing!F$16*(1-Inputs!$C$10/Timeline!F$8)</f>
        <v/>
      </c>
      <c r="G15" s="80">
        <f>Financing!G$16*(1-Inputs!$C$10/Timeline!G$8)</f>
        <v/>
      </c>
      <c r="H15" s="80">
        <f>Financing!H$16*(1-Inputs!$C$10/Timeline!H$8)</f>
        <v/>
      </c>
      <c r="I15" s="80">
        <f>Financing!I$16*(1-Inputs!$C$10/Timeline!I$8)</f>
        <v/>
      </c>
      <c r="J15" s="80">
        <f>Financing!J$16*(1-Inputs!$C$10/Timeline!J$8)</f>
        <v/>
      </c>
      <c r="K15" s="80">
        <f>Financing!K$16*(1-Inputs!$C$10/Timeline!K$8)</f>
        <v/>
      </c>
      <c r="L15" s="80">
        <f>Financing!L$16*(1-Inputs!$C$10/Timeline!L$8)</f>
        <v/>
      </c>
      <c r="M15" s="80">
        <f>Financing!M$16*(1-Inputs!$C$10/Timeline!M$8)</f>
        <v/>
      </c>
      <c r="N15" s="80">
        <f>Financing!N$16*(1-Inputs!$C$10/Timeline!N$8)</f>
        <v/>
      </c>
      <c r="O15" s="80">
        <f>Financing!O$16*(1-Inputs!$C$10/Timeline!O$8)</f>
        <v/>
      </c>
      <c r="P15" s="80">
        <f>Financing!P$16*(1-Inputs!$C$10/Timeline!P$8)</f>
        <v/>
      </c>
      <c r="Q15" s="80">
        <f>Financing!Q$16*(1-Inputs!$C$10/Timeline!Q$8)</f>
        <v/>
      </c>
      <c r="R15" s="80">
        <f>Financing!R$16*(1-Inputs!$C$10/Timeline!R$8)</f>
        <v/>
      </c>
      <c r="S15" s="80">
        <f>Financing!S$16*(1-Inputs!$C$10/Timeline!S$8)</f>
        <v/>
      </c>
      <c r="T15" s="80">
        <f>Financing!T$16*(1-Inputs!$C$10/Timeline!T$8)</f>
        <v/>
      </c>
      <c r="U15" s="80">
        <f>Financing!U$16*(1-Inputs!$C$10/Timeline!U$8)</f>
        <v/>
      </c>
      <c r="V15" s="80">
        <f>Financing!V$16*(1-Inputs!$C$10/Timeline!V$8)</f>
        <v/>
      </c>
      <c r="W15" s="80">
        <f>Financing!W$16*(1-Inputs!$C$10/Timeline!W$8)</f>
        <v/>
      </c>
      <c r="X15" s="80">
        <f>Financing!X$16*(1-Inputs!$C$10/Timeline!X$8)</f>
        <v/>
      </c>
      <c r="Y15" s="80">
        <f>Financing!Y$16*(1-Inputs!$C$10/Timeline!Y$8)</f>
        <v/>
      </c>
      <c r="Z15" s="80">
        <f>Financing!Z$16*(1-Inputs!$C$10/Timeline!Z$8)</f>
        <v/>
      </c>
      <c r="AA15" s="80">
        <f>Financing!AA$16*(1-Inputs!$C$10/Timeline!AA$8)</f>
        <v/>
      </c>
      <c r="AB15" s="80">
        <f>Financing!AB$16*(1-Inputs!$C$10/Timeline!AB$8)</f>
        <v/>
      </c>
      <c r="AC15" s="80">
        <f>Financing!AC$16*(1-Inputs!$C$10/Timeline!AC$8)</f>
        <v/>
      </c>
      <c r="AD15" s="80">
        <f>Financing!AD$16*(1-Inputs!$C$10/Timeline!AD$8)</f>
        <v/>
      </c>
      <c r="AE15" s="80">
        <f>Financing!AE$16*(1-Inputs!$C$10/Timeline!AE$8)</f>
        <v/>
      </c>
      <c r="AF15" s="80">
        <f>Financing!AF$16*(1-Inputs!$C$10/Timeline!AF$8)</f>
        <v/>
      </c>
      <c r="AG15" s="80">
        <f>Financing!AG$16*(1-Inputs!$C$10/Timeline!AG$8)</f>
        <v/>
      </c>
      <c r="AH15" s="80">
        <f>Financing!AH$16*(1-Inputs!$C$10/Timeline!AH$8)</f>
        <v/>
      </c>
      <c r="AI15" s="80">
        <f>Financing!AI$16*(1-Inputs!$C$10/Timeline!AI$8)</f>
        <v/>
      </c>
      <c r="AJ15" s="80">
        <f>Financing!AJ$16*(1-Inputs!$C$10/Timeline!AJ$8)</f>
        <v/>
      </c>
      <c r="AK15" s="80">
        <f>Financing!AK$16*(1-Inputs!$C$10/Timeline!AK$8)</f>
        <v/>
      </c>
      <c r="AL15" s="80">
        <f>Financing!AL$16*(1-Inputs!$C$10/Timeline!AL$8)</f>
        <v/>
      </c>
      <c r="AM15" s="80">
        <f>Financing!AM$16*(1-Inputs!$C$10/Timeline!AM$8)</f>
        <v/>
      </c>
      <c r="AN15" s="80">
        <f>Financing!AN$16*(1-Inputs!$C$10/Timeline!AN$8)</f>
        <v/>
      </c>
      <c r="AO15" s="80">
        <f>Financing!AO$16*(1-Inputs!$C$10/Timeline!AO$8)</f>
        <v/>
      </c>
      <c r="AP15" s="80">
        <f>Financing!AP$16*(1-Inputs!$C$10/Timeline!AP$8)</f>
        <v/>
      </c>
      <c r="AQ15" s="80">
        <f>Financing!AQ$16*(1-Inputs!$C$10/Timeline!AQ$8)</f>
        <v/>
      </c>
      <c r="AR15" s="80">
        <f>Financing!AR$16*(1-Inputs!$C$10/Timeline!AR$8)</f>
        <v/>
      </c>
      <c r="AS15" s="80">
        <f>Financing!AS$16*(1-Inputs!$C$10/Timeline!AS$8)</f>
        <v/>
      </c>
      <c r="AT15" s="80">
        <f>Financing!AT$16*(1-Inputs!$C$10/Timeline!AT$8)</f>
        <v/>
      </c>
      <c r="AU15" s="80">
        <f>Financing!AU$16*(1-Inputs!$C$10/Timeline!AU$8)</f>
        <v/>
      </c>
      <c r="AV15" s="80">
        <f>Financing!AV$16*(1-Inputs!$C$10/Timeline!AV$8)</f>
        <v/>
      </c>
      <c r="AW15" s="80">
        <f>Financing!AW$16*(1-Inputs!$C$10/Timeline!AW$8)</f>
        <v/>
      </c>
      <c r="AX15" s="80">
        <f>Financing!AX$16*(1-Inputs!$C$10/Timeline!AX$8)</f>
        <v/>
      </c>
      <c r="AY15" s="80">
        <f>Financing!AY$16*(1-Inputs!$C$10/Timeline!AY$8)</f>
        <v/>
      </c>
      <c r="AZ15" s="80">
        <f>Financing!AZ$16*(1-Inputs!$C$10/Timeline!AZ$8)</f>
        <v/>
      </c>
      <c r="BA15" s="80">
        <f>Financing!BA$16*(1-Inputs!$C$10/Timeline!BA$8)</f>
        <v/>
      </c>
      <c r="BB15" s="80">
        <f>Financing!BB$16*(1-Inputs!$C$10/Timeline!BB$8)</f>
        <v/>
      </c>
      <c r="BC15" s="80">
        <f>Financing!BC$16*(1-Inputs!$C$10/Timeline!BC$8)</f>
        <v/>
      </c>
      <c r="BD15" s="80">
        <f>Financing!BD$16*(1-Inputs!$C$10/Timeline!BD$8)</f>
        <v/>
      </c>
      <c r="BE15" s="80">
        <f>Financing!BE$16*(1-Inputs!$C$10/Timeline!BE$8)</f>
        <v/>
      </c>
      <c r="BF15" s="80">
        <f>Financing!BF$16*(1-Inputs!$C$10/Timeline!BF$8)</f>
        <v/>
      </c>
      <c r="BG15" s="80">
        <f>Financing!BG$16*(1-Inputs!$C$10/Timeline!BG$8)</f>
        <v/>
      </c>
      <c r="BH15" s="80">
        <f>Financing!BH$16*(1-Inputs!$C$10/Timeline!BH$8)</f>
        <v/>
      </c>
      <c r="BI15" s="80">
        <f>Financing!BI$16*(1-Inputs!$C$10/Timeline!BI$8)</f>
        <v/>
      </c>
      <c r="BJ15" s="80">
        <f>Financing!BJ$16*(1-Inputs!$C$10/Timeline!BJ$8)</f>
        <v/>
      </c>
      <c r="BK15" s="80">
        <f>Financing!BK$16*(1-Inputs!$C$10/Timeline!BK$8)</f>
        <v/>
      </c>
      <c r="BL15" s="80">
        <f>Financing!BL$16*(1-Inputs!$C$10/Timeline!BL$8)</f>
        <v/>
      </c>
    </row>
    <row r="16">
      <c r="A16" s="98" t="inlineStr">
        <is>
          <t>Transaction: extra LCY to repay USD principal</t>
        </is>
      </c>
      <c r="B16" s="65" t="inlineStr">
        <is>
          <t>LCY</t>
        </is>
      </c>
      <c r="C16" s="105">
        <f>SUM(E16:BL16)</f>
        <v/>
      </c>
      <c r="E16" s="80">
        <f>Financing!E$18-Financing!E$14*Inputs!$C$10</f>
        <v/>
      </c>
      <c r="F16" s="80">
        <f>Financing!F$18-Financing!F$14*Inputs!$C$10</f>
        <v/>
      </c>
      <c r="G16" s="80">
        <f>Financing!G$18-Financing!G$14*Inputs!$C$10</f>
        <v/>
      </c>
      <c r="H16" s="80">
        <f>Financing!H$18-Financing!H$14*Inputs!$C$10</f>
        <v/>
      </c>
      <c r="I16" s="80">
        <f>Financing!I$18-Financing!I$14*Inputs!$C$10</f>
        <v/>
      </c>
      <c r="J16" s="80">
        <f>Financing!J$18-Financing!J$14*Inputs!$C$10</f>
        <v/>
      </c>
      <c r="K16" s="80">
        <f>Financing!K$18-Financing!K$14*Inputs!$C$10</f>
        <v/>
      </c>
      <c r="L16" s="80">
        <f>Financing!L$18-Financing!L$14*Inputs!$C$10</f>
        <v/>
      </c>
      <c r="M16" s="80">
        <f>Financing!M$18-Financing!M$14*Inputs!$C$10</f>
        <v/>
      </c>
      <c r="N16" s="80">
        <f>Financing!N$18-Financing!N$14*Inputs!$C$10</f>
        <v/>
      </c>
      <c r="O16" s="80">
        <f>Financing!O$18-Financing!O$14*Inputs!$C$10</f>
        <v/>
      </c>
      <c r="P16" s="80">
        <f>Financing!P$18-Financing!P$14*Inputs!$C$10</f>
        <v/>
      </c>
      <c r="Q16" s="80">
        <f>Financing!Q$18-Financing!Q$14*Inputs!$C$10</f>
        <v/>
      </c>
      <c r="R16" s="80">
        <f>Financing!R$18-Financing!R$14*Inputs!$C$10</f>
        <v/>
      </c>
      <c r="S16" s="80">
        <f>Financing!S$18-Financing!S$14*Inputs!$C$10</f>
        <v/>
      </c>
      <c r="T16" s="80">
        <f>Financing!T$18-Financing!T$14*Inputs!$C$10</f>
        <v/>
      </c>
      <c r="U16" s="80">
        <f>Financing!U$18-Financing!U$14*Inputs!$C$10</f>
        <v/>
      </c>
      <c r="V16" s="80">
        <f>Financing!V$18-Financing!V$14*Inputs!$C$10</f>
        <v/>
      </c>
      <c r="W16" s="80">
        <f>Financing!W$18-Financing!W$14*Inputs!$C$10</f>
        <v/>
      </c>
      <c r="X16" s="80">
        <f>Financing!X$18-Financing!X$14*Inputs!$C$10</f>
        <v/>
      </c>
      <c r="Y16" s="80">
        <f>Financing!Y$18-Financing!Y$14*Inputs!$C$10</f>
        <v/>
      </c>
      <c r="Z16" s="80">
        <f>Financing!Z$18-Financing!Z$14*Inputs!$C$10</f>
        <v/>
      </c>
      <c r="AA16" s="80">
        <f>Financing!AA$18-Financing!AA$14*Inputs!$C$10</f>
        <v/>
      </c>
      <c r="AB16" s="80">
        <f>Financing!AB$18-Financing!AB$14*Inputs!$C$10</f>
        <v/>
      </c>
      <c r="AC16" s="80">
        <f>Financing!AC$18-Financing!AC$14*Inputs!$C$10</f>
        <v/>
      </c>
      <c r="AD16" s="80">
        <f>Financing!AD$18-Financing!AD$14*Inputs!$C$10</f>
        <v/>
      </c>
      <c r="AE16" s="80">
        <f>Financing!AE$18-Financing!AE$14*Inputs!$C$10</f>
        <v/>
      </c>
      <c r="AF16" s="80">
        <f>Financing!AF$18-Financing!AF$14*Inputs!$C$10</f>
        <v/>
      </c>
      <c r="AG16" s="80">
        <f>Financing!AG$18-Financing!AG$14*Inputs!$C$10</f>
        <v/>
      </c>
      <c r="AH16" s="80">
        <f>Financing!AH$18-Financing!AH$14*Inputs!$C$10</f>
        <v/>
      </c>
      <c r="AI16" s="80">
        <f>Financing!AI$18-Financing!AI$14*Inputs!$C$10</f>
        <v/>
      </c>
      <c r="AJ16" s="80">
        <f>Financing!AJ$18-Financing!AJ$14*Inputs!$C$10</f>
        <v/>
      </c>
      <c r="AK16" s="80">
        <f>Financing!AK$18-Financing!AK$14*Inputs!$C$10</f>
        <v/>
      </c>
      <c r="AL16" s="80">
        <f>Financing!AL$18-Financing!AL$14*Inputs!$C$10</f>
        <v/>
      </c>
      <c r="AM16" s="80">
        <f>Financing!AM$18-Financing!AM$14*Inputs!$C$10</f>
        <v/>
      </c>
      <c r="AN16" s="80">
        <f>Financing!AN$18-Financing!AN$14*Inputs!$C$10</f>
        <v/>
      </c>
      <c r="AO16" s="80">
        <f>Financing!AO$18-Financing!AO$14*Inputs!$C$10</f>
        <v/>
      </c>
      <c r="AP16" s="80">
        <f>Financing!AP$18-Financing!AP$14*Inputs!$C$10</f>
        <v/>
      </c>
      <c r="AQ16" s="80">
        <f>Financing!AQ$18-Financing!AQ$14*Inputs!$C$10</f>
        <v/>
      </c>
      <c r="AR16" s="80">
        <f>Financing!AR$18-Financing!AR$14*Inputs!$C$10</f>
        <v/>
      </c>
      <c r="AS16" s="80">
        <f>Financing!AS$18-Financing!AS$14*Inputs!$C$10</f>
        <v/>
      </c>
      <c r="AT16" s="80">
        <f>Financing!AT$18-Financing!AT$14*Inputs!$C$10</f>
        <v/>
      </c>
      <c r="AU16" s="80">
        <f>Financing!AU$18-Financing!AU$14*Inputs!$C$10</f>
        <v/>
      </c>
      <c r="AV16" s="80">
        <f>Financing!AV$18-Financing!AV$14*Inputs!$C$10</f>
        <v/>
      </c>
      <c r="AW16" s="80">
        <f>Financing!AW$18-Financing!AW$14*Inputs!$C$10</f>
        <v/>
      </c>
      <c r="AX16" s="80">
        <f>Financing!AX$18-Financing!AX$14*Inputs!$C$10</f>
        <v/>
      </c>
      <c r="AY16" s="80">
        <f>Financing!AY$18-Financing!AY$14*Inputs!$C$10</f>
        <v/>
      </c>
      <c r="AZ16" s="80">
        <f>Financing!AZ$18-Financing!AZ$14*Inputs!$C$10</f>
        <v/>
      </c>
      <c r="BA16" s="80">
        <f>Financing!BA$18-Financing!BA$14*Inputs!$C$10</f>
        <v/>
      </c>
      <c r="BB16" s="80">
        <f>Financing!BB$18-Financing!BB$14*Inputs!$C$10</f>
        <v/>
      </c>
      <c r="BC16" s="80">
        <f>Financing!BC$18-Financing!BC$14*Inputs!$C$10</f>
        <v/>
      </c>
      <c r="BD16" s="80">
        <f>Financing!BD$18-Financing!BD$14*Inputs!$C$10</f>
        <v/>
      </c>
      <c r="BE16" s="80">
        <f>Financing!BE$18-Financing!BE$14*Inputs!$C$10</f>
        <v/>
      </c>
      <c r="BF16" s="80">
        <f>Financing!BF$18-Financing!BF$14*Inputs!$C$10</f>
        <v/>
      </c>
      <c r="BG16" s="80">
        <f>Financing!BG$18-Financing!BG$14*Inputs!$C$10</f>
        <v/>
      </c>
      <c r="BH16" s="80">
        <f>Financing!BH$18-Financing!BH$14*Inputs!$C$10</f>
        <v/>
      </c>
      <c r="BI16" s="80">
        <f>Financing!BI$18-Financing!BI$14*Inputs!$C$10</f>
        <v/>
      </c>
      <c r="BJ16" s="80">
        <f>Financing!BJ$18-Financing!BJ$14*Inputs!$C$10</f>
        <v/>
      </c>
      <c r="BK16" s="80">
        <f>Financing!BK$18-Financing!BK$14*Inputs!$C$10</f>
        <v/>
      </c>
      <c r="BL16" s="80">
        <f>Financing!BL$18-Financing!BL$14*Inputs!$C$10</f>
        <v/>
      </c>
    </row>
    <row r="17">
      <c r="A17" s="98" t="inlineStr">
        <is>
          <t>Transaction: extra LCY received on USD-denominated RBF</t>
        </is>
      </c>
      <c r="B17" s="65" t="inlineStr">
        <is>
          <t>LCY</t>
        </is>
      </c>
      <c r="C17" s="105">
        <f>SUM(E17:BL17)</f>
        <v/>
      </c>
      <c r="E17" s="80">
        <f>Ops!E$145*(1-Inputs!$C$10/Timeline!E$8)</f>
        <v/>
      </c>
      <c r="F17" s="80">
        <f>Ops!F$145*(1-Inputs!$C$10/Timeline!F$8)</f>
        <v/>
      </c>
      <c r="G17" s="80">
        <f>Ops!G$145*(1-Inputs!$C$10/Timeline!G$8)</f>
        <v/>
      </c>
      <c r="H17" s="80">
        <f>Ops!H$145*(1-Inputs!$C$10/Timeline!H$8)</f>
        <v/>
      </c>
      <c r="I17" s="80">
        <f>Ops!I$145*(1-Inputs!$C$10/Timeline!I$8)</f>
        <v/>
      </c>
      <c r="J17" s="80">
        <f>Ops!J$145*(1-Inputs!$C$10/Timeline!J$8)</f>
        <v/>
      </c>
      <c r="K17" s="80">
        <f>Ops!K$145*(1-Inputs!$C$10/Timeline!K$8)</f>
        <v/>
      </c>
      <c r="L17" s="80">
        <f>Ops!L$145*(1-Inputs!$C$10/Timeline!L$8)</f>
        <v/>
      </c>
      <c r="M17" s="80">
        <f>Ops!M$145*(1-Inputs!$C$10/Timeline!M$8)</f>
        <v/>
      </c>
      <c r="N17" s="80">
        <f>Ops!N$145*(1-Inputs!$C$10/Timeline!N$8)</f>
        <v/>
      </c>
      <c r="O17" s="80">
        <f>Ops!O$145*(1-Inputs!$C$10/Timeline!O$8)</f>
        <v/>
      </c>
      <c r="P17" s="80">
        <f>Ops!P$145*(1-Inputs!$C$10/Timeline!P$8)</f>
        <v/>
      </c>
      <c r="Q17" s="80">
        <f>Ops!Q$145*(1-Inputs!$C$10/Timeline!Q$8)</f>
        <v/>
      </c>
      <c r="R17" s="80">
        <f>Ops!R$145*(1-Inputs!$C$10/Timeline!R$8)</f>
        <v/>
      </c>
      <c r="S17" s="80">
        <f>Ops!S$145*(1-Inputs!$C$10/Timeline!S$8)</f>
        <v/>
      </c>
      <c r="T17" s="80">
        <f>Ops!T$145*(1-Inputs!$C$10/Timeline!T$8)</f>
        <v/>
      </c>
      <c r="U17" s="80">
        <f>Ops!U$145*(1-Inputs!$C$10/Timeline!U$8)</f>
        <v/>
      </c>
      <c r="V17" s="80">
        <f>Ops!V$145*(1-Inputs!$C$10/Timeline!V$8)</f>
        <v/>
      </c>
      <c r="W17" s="80">
        <f>Ops!W$145*(1-Inputs!$C$10/Timeline!W$8)</f>
        <v/>
      </c>
      <c r="X17" s="80">
        <f>Ops!X$145*(1-Inputs!$C$10/Timeline!X$8)</f>
        <v/>
      </c>
      <c r="Y17" s="80">
        <f>Ops!Y$145*(1-Inputs!$C$10/Timeline!Y$8)</f>
        <v/>
      </c>
      <c r="Z17" s="80">
        <f>Ops!Z$145*(1-Inputs!$C$10/Timeline!Z$8)</f>
        <v/>
      </c>
      <c r="AA17" s="80">
        <f>Ops!AA$145*(1-Inputs!$C$10/Timeline!AA$8)</f>
        <v/>
      </c>
      <c r="AB17" s="80">
        <f>Ops!AB$145*(1-Inputs!$C$10/Timeline!AB$8)</f>
        <v/>
      </c>
      <c r="AC17" s="80">
        <f>Ops!AC$145*(1-Inputs!$C$10/Timeline!AC$8)</f>
        <v/>
      </c>
      <c r="AD17" s="80">
        <f>Ops!AD$145*(1-Inputs!$C$10/Timeline!AD$8)</f>
        <v/>
      </c>
      <c r="AE17" s="80">
        <f>Ops!AE$145*(1-Inputs!$C$10/Timeline!AE$8)</f>
        <v/>
      </c>
      <c r="AF17" s="80">
        <f>Ops!AF$145*(1-Inputs!$C$10/Timeline!AF$8)</f>
        <v/>
      </c>
      <c r="AG17" s="80">
        <f>Ops!AG$145*(1-Inputs!$C$10/Timeline!AG$8)</f>
        <v/>
      </c>
      <c r="AH17" s="80">
        <f>Ops!AH$145*(1-Inputs!$C$10/Timeline!AH$8)</f>
        <v/>
      </c>
      <c r="AI17" s="80">
        <f>Ops!AI$145*(1-Inputs!$C$10/Timeline!AI$8)</f>
        <v/>
      </c>
      <c r="AJ17" s="80">
        <f>Ops!AJ$145*(1-Inputs!$C$10/Timeline!AJ$8)</f>
        <v/>
      </c>
      <c r="AK17" s="80">
        <f>Ops!AK$145*(1-Inputs!$C$10/Timeline!AK$8)</f>
        <v/>
      </c>
      <c r="AL17" s="80">
        <f>Ops!AL$145*(1-Inputs!$C$10/Timeline!AL$8)</f>
        <v/>
      </c>
      <c r="AM17" s="80">
        <f>Ops!AM$145*(1-Inputs!$C$10/Timeline!AM$8)</f>
        <v/>
      </c>
      <c r="AN17" s="80">
        <f>Ops!AN$145*(1-Inputs!$C$10/Timeline!AN$8)</f>
        <v/>
      </c>
      <c r="AO17" s="80">
        <f>Ops!AO$145*(1-Inputs!$C$10/Timeline!AO$8)</f>
        <v/>
      </c>
      <c r="AP17" s="80">
        <f>Ops!AP$145*(1-Inputs!$C$10/Timeline!AP$8)</f>
        <v/>
      </c>
      <c r="AQ17" s="80">
        <f>Ops!AQ$145*(1-Inputs!$C$10/Timeline!AQ$8)</f>
        <v/>
      </c>
      <c r="AR17" s="80">
        <f>Ops!AR$145*(1-Inputs!$C$10/Timeline!AR$8)</f>
        <v/>
      </c>
      <c r="AS17" s="80">
        <f>Ops!AS$145*(1-Inputs!$C$10/Timeline!AS$8)</f>
        <v/>
      </c>
      <c r="AT17" s="80">
        <f>Ops!AT$145*(1-Inputs!$C$10/Timeline!AT$8)</f>
        <v/>
      </c>
      <c r="AU17" s="80">
        <f>Ops!AU$145*(1-Inputs!$C$10/Timeline!AU$8)</f>
        <v/>
      </c>
      <c r="AV17" s="80">
        <f>Ops!AV$145*(1-Inputs!$C$10/Timeline!AV$8)</f>
        <v/>
      </c>
      <c r="AW17" s="80">
        <f>Ops!AW$145*(1-Inputs!$C$10/Timeline!AW$8)</f>
        <v/>
      </c>
      <c r="AX17" s="80">
        <f>Ops!AX$145*(1-Inputs!$C$10/Timeline!AX$8)</f>
        <v/>
      </c>
      <c r="AY17" s="80">
        <f>Ops!AY$145*(1-Inputs!$C$10/Timeline!AY$8)</f>
        <v/>
      </c>
      <c r="AZ17" s="80">
        <f>Ops!AZ$145*(1-Inputs!$C$10/Timeline!AZ$8)</f>
        <v/>
      </c>
      <c r="BA17" s="80">
        <f>Ops!BA$145*(1-Inputs!$C$10/Timeline!BA$8)</f>
        <v/>
      </c>
      <c r="BB17" s="80">
        <f>Ops!BB$145*(1-Inputs!$C$10/Timeline!BB$8)</f>
        <v/>
      </c>
      <c r="BC17" s="80">
        <f>Ops!BC$145*(1-Inputs!$C$10/Timeline!BC$8)</f>
        <v/>
      </c>
      <c r="BD17" s="80">
        <f>Ops!BD$145*(1-Inputs!$C$10/Timeline!BD$8)</f>
        <v/>
      </c>
      <c r="BE17" s="80">
        <f>Ops!BE$145*(1-Inputs!$C$10/Timeline!BE$8)</f>
        <v/>
      </c>
      <c r="BF17" s="80">
        <f>Ops!BF$145*(1-Inputs!$C$10/Timeline!BF$8)</f>
        <v/>
      </c>
      <c r="BG17" s="80">
        <f>Ops!BG$145*(1-Inputs!$C$10/Timeline!BG$8)</f>
        <v/>
      </c>
      <c r="BH17" s="80">
        <f>Ops!BH$145*(1-Inputs!$C$10/Timeline!BH$8)</f>
        <v/>
      </c>
      <c r="BI17" s="80">
        <f>Ops!BI$145*(1-Inputs!$C$10/Timeline!BI$8)</f>
        <v/>
      </c>
      <c r="BJ17" s="80">
        <f>Ops!BJ$145*(1-Inputs!$C$10/Timeline!BJ$8)</f>
        <v/>
      </c>
      <c r="BK17" s="80">
        <f>Ops!BK$145*(1-Inputs!$C$10/Timeline!BK$8)</f>
        <v/>
      </c>
      <c r="BL17" s="80">
        <f>Ops!BL$145*(1-Inputs!$C$10/Timeline!BL$8)</f>
        <v/>
      </c>
    </row>
    <row r="18">
      <c r="A18" s="100" t="inlineStr">
        <is>
          <t>Net transaction effect on costs and RBF, before price pass-through (negative = cost)</t>
        </is>
      </c>
      <c r="B18" s="101" t="inlineStr">
        <is>
          <t>LCY</t>
        </is>
      </c>
      <c r="C18" s="102">
        <f>SUM(E18:BL18)</f>
        <v/>
      </c>
      <c r="D18" s="103" t="n"/>
      <c r="E18" s="104">
        <f>-E14-E15-E16+E17</f>
        <v/>
      </c>
      <c r="F18" s="104">
        <f>-F14-F15-F16+F17</f>
        <v/>
      </c>
      <c r="G18" s="104">
        <f>-G14-G15-G16+G17</f>
        <v/>
      </c>
      <c r="H18" s="104">
        <f>-H14-H15-H16+H17</f>
        <v/>
      </c>
      <c r="I18" s="104">
        <f>-I14-I15-I16+I17</f>
        <v/>
      </c>
      <c r="J18" s="104">
        <f>-J14-J15-J16+J17</f>
        <v/>
      </c>
      <c r="K18" s="104">
        <f>-K14-K15-K16+K17</f>
        <v/>
      </c>
      <c r="L18" s="104">
        <f>-L14-L15-L16+L17</f>
        <v/>
      </c>
      <c r="M18" s="104">
        <f>-M14-M15-M16+M17</f>
        <v/>
      </c>
      <c r="N18" s="104">
        <f>-N14-N15-N16+N17</f>
        <v/>
      </c>
      <c r="O18" s="104">
        <f>-O14-O15-O16+O17</f>
        <v/>
      </c>
      <c r="P18" s="104">
        <f>-P14-P15-P16+P17</f>
        <v/>
      </c>
      <c r="Q18" s="104">
        <f>-Q14-Q15-Q16+Q17</f>
        <v/>
      </c>
      <c r="R18" s="104">
        <f>-R14-R15-R16+R17</f>
        <v/>
      </c>
      <c r="S18" s="104">
        <f>-S14-S15-S16+S17</f>
        <v/>
      </c>
      <c r="T18" s="104">
        <f>-T14-T15-T16+T17</f>
        <v/>
      </c>
      <c r="U18" s="104">
        <f>-U14-U15-U16+U17</f>
        <v/>
      </c>
      <c r="V18" s="104">
        <f>-V14-V15-V16+V17</f>
        <v/>
      </c>
      <c r="W18" s="104">
        <f>-W14-W15-W16+W17</f>
        <v/>
      </c>
      <c r="X18" s="104">
        <f>-X14-X15-X16+X17</f>
        <v/>
      </c>
      <c r="Y18" s="104">
        <f>-Y14-Y15-Y16+Y17</f>
        <v/>
      </c>
      <c r="Z18" s="104">
        <f>-Z14-Z15-Z16+Z17</f>
        <v/>
      </c>
      <c r="AA18" s="104">
        <f>-AA14-AA15-AA16+AA17</f>
        <v/>
      </c>
      <c r="AB18" s="104">
        <f>-AB14-AB15-AB16+AB17</f>
        <v/>
      </c>
      <c r="AC18" s="104">
        <f>-AC14-AC15-AC16+AC17</f>
        <v/>
      </c>
      <c r="AD18" s="104">
        <f>-AD14-AD15-AD16+AD17</f>
        <v/>
      </c>
      <c r="AE18" s="104">
        <f>-AE14-AE15-AE16+AE17</f>
        <v/>
      </c>
      <c r="AF18" s="104">
        <f>-AF14-AF15-AF16+AF17</f>
        <v/>
      </c>
      <c r="AG18" s="104">
        <f>-AG14-AG15-AG16+AG17</f>
        <v/>
      </c>
      <c r="AH18" s="104">
        <f>-AH14-AH15-AH16+AH17</f>
        <v/>
      </c>
      <c r="AI18" s="104">
        <f>-AI14-AI15-AI16+AI17</f>
        <v/>
      </c>
      <c r="AJ18" s="104">
        <f>-AJ14-AJ15-AJ16+AJ17</f>
        <v/>
      </c>
      <c r="AK18" s="104">
        <f>-AK14-AK15-AK16+AK17</f>
        <v/>
      </c>
      <c r="AL18" s="104">
        <f>-AL14-AL15-AL16+AL17</f>
        <v/>
      </c>
      <c r="AM18" s="104">
        <f>-AM14-AM15-AM16+AM17</f>
        <v/>
      </c>
      <c r="AN18" s="104">
        <f>-AN14-AN15-AN16+AN17</f>
        <v/>
      </c>
      <c r="AO18" s="104">
        <f>-AO14-AO15-AO16+AO17</f>
        <v/>
      </c>
      <c r="AP18" s="104">
        <f>-AP14-AP15-AP16+AP17</f>
        <v/>
      </c>
      <c r="AQ18" s="104">
        <f>-AQ14-AQ15-AQ16+AQ17</f>
        <v/>
      </c>
      <c r="AR18" s="104">
        <f>-AR14-AR15-AR16+AR17</f>
        <v/>
      </c>
      <c r="AS18" s="104">
        <f>-AS14-AS15-AS16+AS17</f>
        <v/>
      </c>
      <c r="AT18" s="104">
        <f>-AT14-AT15-AT16+AT17</f>
        <v/>
      </c>
      <c r="AU18" s="104">
        <f>-AU14-AU15-AU16+AU17</f>
        <v/>
      </c>
      <c r="AV18" s="104">
        <f>-AV14-AV15-AV16+AV17</f>
        <v/>
      </c>
      <c r="AW18" s="104">
        <f>-AW14-AW15-AW16+AW17</f>
        <v/>
      </c>
      <c r="AX18" s="104">
        <f>-AX14-AX15-AX16+AX17</f>
        <v/>
      </c>
      <c r="AY18" s="104">
        <f>-AY14-AY15-AY16+AY17</f>
        <v/>
      </c>
      <c r="AZ18" s="104">
        <f>-AZ14-AZ15-AZ16+AZ17</f>
        <v/>
      </c>
      <c r="BA18" s="104">
        <f>-BA14-BA15-BA16+BA17</f>
        <v/>
      </c>
      <c r="BB18" s="104">
        <f>-BB14-BB15-BB16+BB17</f>
        <v/>
      </c>
      <c r="BC18" s="104">
        <f>-BC14-BC15-BC16+BC17</f>
        <v/>
      </c>
      <c r="BD18" s="104">
        <f>-BD14-BD15-BD16+BD17</f>
        <v/>
      </c>
      <c r="BE18" s="104">
        <f>-BE14-BE15-BE16+BE17</f>
        <v/>
      </c>
      <c r="BF18" s="104">
        <f>-BF14-BF15-BF16+BF17</f>
        <v/>
      </c>
      <c r="BG18" s="104">
        <f>-BG14-BG15-BG16+BG17</f>
        <v/>
      </c>
      <c r="BH18" s="104">
        <f>-BH14-BH15-BH16+BH17</f>
        <v/>
      </c>
      <c r="BI18" s="104">
        <f>-BI14-BI15-BI16+BI17</f>
        <v/>
      </c>
      <c r="BJ18" s="104">
        <f>-BJ14-BJ15-BJ16+BJ17</f>
        <v/>
      </c>
      <c r="BK18" s="104">
        <f>-BK14-BK15-BK16+BK17</f>
        <v/>
      </c>
      <c r="BL18" s="104">
        <f>-BL14-BL15-BL16+BL17</f>
        <v/>
      </c>
    </row>
    <row r="19">
      <c r="A19" s="98" t="inlineStr">
        <is>
          <t>Remeasurement: unrealised FX loss on USD debt (FS; non-cash)</t>
        </is>
      </c>
      <c r="B19" s="65" t="inlineStr">
        <is>
          <t>LCY</t>
        </is>
      </c>
      <c r="C19" s="105">
        <f>SUM(E19:BL19)</f>
        <v/>
      </c>
      <c r="E19" s="80">
        <f>Financing!E$20</f>
        <v/>
      </c>
      <c r="F19" s="80">
        <f>Financing!F$20</f>
        <v/>
      </c>
      <c r="G19" s="80">
        <f>Financing!G$20</f>
        <v/>
      </c>
      <c r="H19" s="80">
        <f>Financing!H$20</f>
        <v/>
      </c>
      <c r="I19" s="80">
        <f>Financing!I$20</f>
        <v/>
      </c>
      <c r="J19" s="80">
        <f>Financing!J$20</f>
        <v/>
      </c>
      <c r="K19" s="80">
        <f>Financing!K$20</f>
        <v/>
      </c>
      <c r="L19" s="80">
        <f>Financing!L$20</f>
        <v/>
      </c>
      <c r="M19" s="80">
        <f>Financing!M$20</f>
        <v/>
      </c>
      <c r="N19" s="80">
        <f>Financing!N$20</f>
        <v/>
      </c>
      <c r="O19" s="80">
        <f>Financing!O$20</f>
        <v/>
      </c>
      <c r="P19" s="80">
        <f>Financing!P$20</f>
        <v/>
      </c>
      <c r="Q19" s="80">
        <f>Financing!Q$20</f>
        <v/>
      </c>
      <c r="R19" s="80">
        <f>Financing!R$20</f>
        <v/>
      </c>
      <c r="S19" s="80">
        <f>Financing!S$20</f>
        <v/>
      </c>
      <c r="T19" s="80">
        <f>Financing!T$20</f>
        <v/>
      </c>
      <c r="U19" s="80">
        <f>Financing!U$20</f>
        <v/>
      </c>
      <c r="V19" s="80">
        <f>Financing!V$20</f>
        <v/>
      </c>
      <c r="W19" s="80">
        <f>Financing!W$20</f>
        <v/>
      </c>
      <c r="X19" s="80">
        <f>Financing!X$20</f>
        <v/>
      </c>
      <c r="Y19" s="80">
        <f>Financing!Y$20</f>
        <v/>
      </c>
      <c r="Z19" s="80">
        <f>Financing!Z$20</f>
        <v/>
      </c>
      <c r="AA19" s="80">
        <f>Financing!AA$20</f>
        <v/>
      </c>
      <c r="AB19" s="80">
        <f>Financing!AB$20</f>
        <v/>
      </c>
      <c r="AC19" s="80">
        <f>Financing!AC$20</f>
        <v/>
      </c>
      <c r="AD19" s="80">
        <f>Financing!AD$20</f>
        <v/>
      </c>
      <c r="AE19" s="80">
        <f>Financing!AE$20</f>
        <v/>
      </c>
      <c r="AF19" s="80">
        <f>Financing!AF$20</f>
        <v/>
      </c>
      <c r="AG19" s="80">
        <f>Financing!AG$20</f>
        <v/>
      </c>
      <c r="AH19" s="80">
        <f>Financing!AH$20</f>
        <v/>
      </c>
      <c r="AI19" s="80">
        <f>Financing!AI$20</f>
        <v/>
      </c>
      <c r="AJ19" s="80">
        <f>Financing!AJ$20</f>
        <v/>
      </c>
      <c r="AK19" s="80">
        <f>Financing!AK$20</f>
        <v/>
      </c>
      <c r="AL19" s="80">
        <f>Financing!AL$20</f>
        <v/>
      </c>
      <c r="AM19" s="80">
        <f>Financing!AM$20</f>
        <v/>
      </c>
      <c r="AN19" s="80">
        <f>Financing!AN$20</f>
        <v/>
      </c>
      <c r="AO19" s="80">
        <f>Financing!AO$20</f>
        <v/>
      </c>
      <c r="AP19" s="80">
        <f>Financing!AP$20</f>
        <v/>
      </c>
      <c r="AQ19" s="80">
        <f>Financing!AQ$20</f>
        <v/>
      </c>
      <c r="AR19" s="80">
        <f>Financing!AR$20</f>
        <v/>
      </c>
      <c r="AS19" s="80">
        <f>Financing!AS$20</f>
        <v/>
      </c>
      <c r="AT19" s="80">
        <f>Financing!AT$20</f>
        <v/>
      </c>
      <c r="AU19" s="80">
        <f>Financing!AU$20</f>
        <v/>
      </c>
      <c r="AV19" s="80">
        <f>Financing!AV$20</f>
        <v/>
      </c>
      <c r="AW19" s="80">
        <f>Financing!AW$20</f>
        <v/>
      </c>
      <c r="AX19" s="80">
        <f>Financing!AX$20</f>
        <v/>
      </c>
      <c r="AY19" s="80">
        <f>Financing!AY$20</f>
        <v/>
      </c>
      <c r="AZ19" s="80">
        <f>Financing!AZ$20</f>
        <v/>
      </c>
      <c r="BA19" s="80">
        <f>Financing!BA$20</f>
        <v/>
      </c>
      <c r="BB19" s="80">
        <f>Financing!BB$20</f>
        <v/>
      </c>
      <c r="BC19" s="80">
        <f>Financing!BC$20</f>
        <v/>
      </c>
      <c r="BD19" s="80">
        <f>Financing!BD$20</f>
        <v/>
      </c>
      <c r="BE19" s="80">
        <f>Financing!BE$20</f>
        <v/>
      </c>
      <c r="BF19" s="80">
        <f>Financing!BF$20</f>
        <v/>
      </c>
      <c r="BG19" s="80">
        <f>Financing!BG$20</f>
        <v/>
      </c>
      <c r="BH19" s="80">
        <f>Financing!BH$20</f>
        <v/>
      </c>
      <c r="BI19" s="80">
        <f>Financing!BI$20</f>
        <v/>
      </c>
      <c r="BJ19" s="80">
        <f>Financing!BJ$20</f>
        <v/>
      </c>
      <c r="BK19" s="80">
        <f>Financing!BK$20</f>
        <v/>
      </c>
      <c r="BL19" s="80">
        <f>Financing!BL$20</f>
        <v/>
      </c>
    </row>
    <row r="20">
      <c r="A20" s="98" t="inlineStr">
        <is>
          <t>Translation: revenue in USD at the opening rate</t>
        </is>
      </c>
      <c r="B20" s="65" t="inlineStr">
        <is>
          <t>USD</t>
        </is>
      </c>
      <c r="C20" s="105">
        <f>SUM(E20:BL20)</f>
        <v/>
      </c>
      <c r="E20" s="80">
        <f>FS!E$12/Inputs!$C$10</f>
        <v/>
      </c>
      <c r="F20" s="80">
        <f>FS!F$12/Inputs!$C$10</f>
        <v/>
      </c>
      <c r="G20" s="80">
        <f>FS!G$12/Inputs!$C$10</f>
        <v/>
      </c>
      <c r="H20" s="80">
        <f>FS!H$12/Inputs!$C$10</f>
        <v/>
      </c>
      <c r="I20" s="80">
        <f>FS!I$12/Inputs!$C$10</f>
        <v/>
      </c>
      <c r="J20" s="80">
        <f>FS!J$12/Inputs!$C$10</f>
        <v/>
      </c>
      <c r="K20" s="80">
        <f>FS!K$12/Inputs!$C$10</f>
        <v/>
      </c>
      <c r="L20" s="80">
        <f>FS!L$12/Inputs!$C$10</f>
        <v/>
      </c>
      <c r="M20" s="80">
        <f>FS!M$12/Inputs!$C$10</f>
        <v/>
      </c>
      <c r="N20" s="80">
        <f>FS!N$12/Inputs!$C$10</f>
        <v/>
      </c>
      <c r="O20" s="80">
        <f>FS!O$12/Inputs!$C$10</f>
        <v/>
      </c>
      <c r="P20" s="80">
        <f>FS!P$12/Inputs!$C$10</f>
        <v/>
      </c>
      <c r="Q20" s="80">
        <f>FS!Q$12/Inputs!$C$10</f>
        <v/>
      </c>
      <c r="R20" s="80">
        <f>FS!R$12/Inputs!$C$10</f>
        <v/>
      </c>
      <c r="S20" s="80">
        <f>FS!S$12/Inputs!$C$10</f>
        <v/>
      </c>
      <c r="T20" s="80">
        <f>FS!T$12/Inputs!$C$10</f>
        <v/>
      </c>
      <c r="U20" s="80">
        <f>FS!U$12/Inputs!$C$10</f>
        <v/>
      </c>
      <c r="V20" s="80">
        <f>FS!V$12/Inputs!$C$10</f>
        <v/>
      </c>
      <c r="W20" s="80">
        <f>FS!W$12/Inputs!$C$10</f>
        <v/>
      </c>
      <c r="X20" s="80">
        <f>FS!X$12/Inputs!$C$10</f>
        <v/>
      </c>
      <c r="Y20" s="80">
        <f>FS!Y$12/Inputs!$C$10</f>
        <v/>
      </c>
      <c r="Z20" s="80">
        <f>FS!Z$12/Inputs!$C$10</f>
        <v/>
      </c>
      <c r="AA20" s="80">
        <f>FS!AA$12/Inputs!$C$10</f>
        <v/>
      </c>
      <c r="AB20" s="80">
        <f>FS!AB$12/Inputs!$C$10</f>
        <v/>
      </c>
      <c r="AC20" s="80">
        <f>FS!AC$12/Inputs!$C$10</f>
        <v/>
      </c>
      <c r="AD20" s="80">
        <f>FS!AD$12/Inputs!$C$10</f>
        <v/>
      </c>
      <c r="AE20" s="80">
        <f>FS!AE$12/Inputs!$C$10</f>
        <v/>
      </c>
      <c r="AF20" s="80">
        <f>FS!AF$12/Inputs!$C$10</f>
        <v/>
      </c>
      <c r="AG20" s="80">
        <f>FS!AG$12/Inputs!$C$10</f>
        <v/>
      </c>
      <c r="AH20" s="80">
        <f>FS!AH$12/Inputs!$C$10</f>
        <v/>
      </c>
      <c r="AI20" s="80">
        <f>FS!AI$12/Inputs!$C$10</f>
        <v/>
      </c>
      <c r="AJ20" s="80">
        <f>FS!AJ$12/Inputs!$C$10</f>
        <v/>
      </c>
      <c r="AK20" s="80">
        <f>FS!AK$12/Inputs!$C$10</f>
        <v/>
      </c>
      <c r="AL20" s="80">
        <f>FS!AL$12/Inputs!$C$10</f>
        <v/>
      </c>
      <c r="AM20" s="80">
        <f>FS!AM$12/Inputs!$C$10</f>
        <v/>
      </c>
      <c r="AN20" s="80">
        <f>FS!AN$12/Inputs!$C$10</f>
        <v/>
      </c>
      <c r="AO20" s="80">
        <f>FS!AO$12/Inputs!$C$10</f>
        <v/>
      </c>
      <c r="AP20" s="80">
        <f>FS!AP$12/Inputs!$C$10</f>
        <v/>
      </c>
      <c r="AQ20" s="80">
        <f>FS!AQ$12/Inputs!$C$10</f>
        <v/>
      </c>
      <c r="AR20" s="80">
        <f>FS!AR$12/Inputs!$C$10</f>
        <v/>
      </c>
      <c r="AS20" s="80">
        <f>FS!AS$12/Inputs!$C$10</f>
        <v/>
      </c>
      <c r="AT20" s="80">
        <f>FS!AT$12/Inputs!$C$10</f>
        <v/>
      </c>
      <c r="AU20" s="80">
        <f>FS!AU$12/Inputs!$C$10</f>
        <v/>
      </c>
      <c r="AV20" s="80">
        <f>FS!AV$12/Inputs!$C$10</f>
        <v/>
      </c>
      <c r="AW20" s="80">
        <f>FS!AW$12/Inputs!$C$10</f>
        <v/>
      </c>
      <c r="AX20" s="80">
        <f>FS!AX$12/Inputs!$C$10</f>
        <v/>
      </c>
      <c r="AY20" s="80">
        <f>FS!AY$12/Inputs!$C$10</f>
        <v/>
      </c>
      <c r="AZ20" s="80">
        <f>FS!AZ$12/Inputs!$C$10</f>
        <v/>
      </c>
      <c r="BA20" s="80">
        <f>FS!BA$12/Inputs!$C$10</f>
        <v/>
      </c>
      <c r="BB20" s="80">
        <f>FS!BB$12/Inputs!$C$10</f>
        <v/>
      </c>
      <c r="BC20" s="80">
        <f>FS!BC$12/Inputs!$C$10</f>
        <v/>
      </c>
      <c r="BD20" s="80">
        <f>FS!BD$12/Inputs!$C$10</f>
        <v/>
      </c>
      <c r="BE20" s="80">
        <f>FS!BE$12/Inputs!$C$10</f>
        <v/>
      </c>
      <c r="BF20" s="80">
        <f>FS!BF$12/Inputs!$C$10</f>
        <v/>
      </c>
      <c r="BG20" s="80">
        <f>FS!BG$12/Inputs!$C$10</f>
        <v/>
      </c>
      <c r="BH20" s="80">
        <f>FS!BH$12/Inputs!$C$10</f>
        <v/>
      </c>
      <c r="BI20" s="80">
        <f>FS!BI$12/Inputs!$C$10</f>
        <v/>
      </c>
      <c r="BJ20" s="80">
        <f>FS!BJ$12/Inputs!$C$10</f>
        <v/>
      </c>
      <c r="BK20" s="80">
        <f>FS!BK$12/Inputs!$C$10</f>
        <v/>
      </c>
      <c r="BL20" s="80">
        <f>FS!BL$12/Inputs!$C$10</f>
        <v/>
      </c>
    </row>
    <row r="21">
      <c r="A21" s="98" t="inlineStr">
        <is>
          <t>Translation: revenue in USD at the month's rate</t>
        </is>
      </c>
      <c r="B21" s="65" t="inlineStr">
        <is>
          <t>USD</t>
        </is>
      </c>
      <c r="C21" s="105">
        <f>SUM(E21:BL21)</f>
        <v/>
      </c>
      <c r="E21" s="80">
        <f>FS!E$12/Timeline!E$8</f>
        <v/>
      </c>
      <c r="F21" s="80">
        <f>FS!F$12/Timeline!F$8</f>
        <v/>
      </c>
      <c r="G21" s="80">
        <f>FS!G$12/Timeline!G$8</f>
        <v/>
      </c>
      <c r="H21" s="80">
        <f>FS!H$12/Timeline!H$8</f>
        <v/>
      </c>
      <c r="I21" s="80">
        <f>FS!I$12/Timeline!I$8</f>
        <v/>
      </c>
      <c r="J21" s="80">
        <f>FS!J$12/Timeline!J$8</f>
        <v/>
      </c>
      <c r="K21" s="80">
        <f>FS!K$12/Timeline!K$8</f>
        <v/>
      </c>
      <c r="L21" s="80">
        <f>FS!L$12/Timeline!L$8</f>
        <v/>
      </c>
      <c r="M21" s="80">
        <f>FS!M$12/Timeline!M$8</f>
        <v/>
      </c>
      <c r="N21" s="80">
        <f>FS!N$12/Timeline!N$8</f>
        <v/>
      </c>
      <c r="O21" s="80">
        <f>FS!O$12/Timeline!O$8</f>
        <v/>
      </c>
      <c r="P21" s="80">
        <f>FS!P$12/Timeline!P$8</f>
        <v/>
      </c>
      <c r="Q21" s="80">
        <f>FS!Q$12/Timeline!Q$8</f>
        <v/>
      </c>
      <c r="R21" s="80">
        <f>FS!R$12/Timeline!R$8</f>
        <v/>
      </c>
      <c r="S21" s="80">
        <f>FS!S$12/Timeline!S$8</f>
        <v/>
      </c>
      <c r="T21" s="80">
        <f>FS!T$12/Timeline!T$8</f>
        <v/>
      </c>
      <c r="U21" s="80">
        <f>FS!U$12/Timeline!U$8</f>
        <v/>
      </c>
      <c r="V21" s="80">
        <f>FS!V$12/Timeline!V$8</f>
        <v/>
      </c>
      <c r="W21" s="80">
        <f>FS!W$12/Timeline!W$8</f>
        <v/>
      </c>
      <c r="X21" s="80">
        <f>FS!X$12/Timeline!X$8</f>
        <v/>
      </c>
      <c r="Y21" s="80">
        <f>FS!Y$12/Timeline!Y$8</f>
        <v/>
      </c>
      <c r="Z21" s="80">
        <f>FS!Z$12/Timeline!Z$8</f>
        <v/>
      </c>
      <c r="AA21" s="80">
        <f>FS!AA$12/Timeline!AA$8</f>
        <v/>
      </c>
      <c r="AB21" s="80">
        <f>FS!AB$12/Timeline!AB$8</f>
        <v/>
      </c>
      <c r="AC21" s="80">
        <f>FS!AC$12/Timeline!AC$8</f>
        <v/>
      </c>
      <c r="AD21" s="80">
        <f>FS!AD$12/Timeline!AD$8</f>
        <v/>
      </c>
      <c r="AE21" s="80">
        <f>FS!AE$12/Timeline!AE$8</f>
        <v/>
      </c>
      <c r="AF21" s="80">
        <f>FS!AF$12/Timeline!AF$8</f>
        <v/>
      </c>
      <c r="AG21" s="80">
        <f>FS!AG$12/Timeline!AG$8</f>
        <v/>
      </c>
      <c r="AH21" s="80">
        <f>FS!AH$12/Timeline!AH$8</f>
        <v/>
      </c>
      <c r="AI21" s="80">
        <f>FS!AI$12/Timeline!AI$8</f>
        <v/>
      </c>
      <c r="AJ21" s="80">
        <f>FS!AJ$12/Timeline!AJ$8</f>
        <v/>
      </c>
      <c r="AK21" s="80">
        <f>FS!AK$12/Timeline!AK$8</f>
        <v/>
      </c>
      <c r="AL21" s="80">
        <f>FS!AL$12/Timeline!AL$8</f>
        <v/>
      </c>
      <c r="AM21" s="80">
        <f>FS!AM$12/Timeline!AM$8</f>
        <v/>
      </c>
      <c r="AN21" s="80">
        <f>FS!AN$12/Timeline!AN$8</f>
        <v/>
      </c>
      <c r="AO21" s="80">
        <f>FS!AO$12/Timeline!AO$8</f>
        <v/>
      </c>
      <c r="AP21" s="80">
        <f>FS!AP$12/Timeline!AP$8</f>
        <v/>
      </c>
      <c r="AQ21" s="80">
        <f>FS!AQ$12/Timeline!AQ$8</f>
        <v/>
      </c>
      <c r="AR21" s="80">
        <f>FS!AR$12/Timeline!AR$8</f>
        <v/>
      </c>
      <c r="AS21" s="80">
        <f>FS!AS$12/Timeline!AS$8</f>
        <v/>
      </c>
      <c r="AT21" s="80">
        <f>FS!AT$12/Timeline!AT$8</f>
        <v/>
      </c>
      <c r="AU21" s="80">
        <f>FS!AU$12/Timeline!AU$8</f>
        <v/>
      </c>
      <c r="AV21" s="80">
        <f>FS!AV$12/Timeline!AV$8</f>
        <v/>
      </c>
      <c r="AW21" s="80">
        <f>FS!AW$12/Timeline!AW$8</f>
        <v/>
      </c>
      <c r="AX21" s="80">
        <f>FS!AX$12/Timeline!AX$8</f>
        <v/>
      </c>
      <c r="AY21" s="80">
        <f>FS!AY$12/Timeline!AY$8</f>
        <v/>
      </c>
      <c r="AZ21" s="80">
        <f>FS!AZ$12/Timeline!AZ$8</f>
        <v/>
      </c>
      <c r="BA21" s="80">
        <f>FS!BA$12/Timeline!BA$8</f>
        <v/>
      </c>
      <c r="BB21" s="80">
        <f>FS!BB$12/Timeline!BB$8</f>
        <v/>
      </c>
      <c r="BC21" s="80">
        <f>FS!BC$12/Timeline!BC$8</f>
        <v/>
      </c>
      <c r="BD21" s="80">
        <f>FS!BD$12/Timeline!BD$8</f>
        <v/>
      </c>
      <c r="BE21" s="80">
        <f>FS!BE$12/Timeline!BE$8</f>
        <v/>
      </c>
      <c r="BF21" s="80">
        <f>FS!BF$12/Timeline!BF$8</f>
        <v/>
      </c>
      <c r="BG21" s="80">
        <f>FS!BG$12/Timeline!BG$8</f>
        <v/>
      </c>
      <c r="BH21" s="80">
        <f>FS!BH$12/Timeline!BH$8</f>
        <v/>
      </c>
      <c r="BI21" s="80">
        <f>FS!BI$12/Timeline!BI$8</f>
        <v/>
      </c>
      <c r="BJ21" s="80">
        <f>FS!BJ$12/Timeline!BJ$8</f>
        <v/>
      </c>
      <c r="BK21" s="80">
        <f>FS!BK$12/Timeline!BK$8</f>
        <v/>
      </c>
      <c r="BL21" s="80">
        <f>FS!BL$12/Timeline!BL$8</f>
        <v/>
      </c>
    </row>
    <row r="22">
      <c r="A22" s="98" t="inlineStr">
        <is>
          <t>Translation effect on revenue in USD (negative = lower in USD)</t>
        </is>
      </c>
      <c r="B22" s="65" t="inlineStr">
        <is>
          <t>USD</t>
        </is>
      </c>
      <c r="C22" s="105">
        <f>SUM(E22:BL22)</f>
        <v/>
      </c>
      <c r="E22" s="80">
        <f>E21-E20</f>
        <v/>
      </c>
      <c r="F22" s="80">
        <f>F21-F20</f>
        <v/>
      </c>
      <c r="G22" s="80">
        <f>G21-G20</f>
        <v/>
      </c>
      <c r="H22" s="80">
        <f>H21-H20</f>
        <v/>
      </c>
      <c r="I22" s="80">
        <f>I21-I20</f>
        <v/>
      </c>
      <c r="J22" s="80">
        <f>J21-J20</f>
        <v/>
      </c>
      <c r="K22" s="80">
        <f>K21-K20</f>
        <v/>
      </c>
      <c r="L22" s="80">
        <f>L21-L20</f>
        <v/>
      </c>
      <c r="M22" s="80">
        <f>M21-M20</f>
        <v/>
      </c>
      <c r="N22" s="80">
        <f>N21-N20</f>
        <v/>
      </c>
      <c r="O22" s="80">
        <f>O21-O20</f>
        <v/>
      </c>
      <c r="P22" s="80">
        <f>P21-P20</f>
        <v/>
      </c>
      <c r="Q22" s="80">
        <f>Q21-Q20</f>
        <v/>
      </c>
      <c r="R22" s="80">
        <f>R21-R20</f>
        <v/>
      </c>
      <c r="S22" s="80">
        <f>S21-S20</f>
        <v/>
      </c>
      <c r="T22" s="80">
        <f>T21-T20</f>
        <v/>
      </c>
      <c r="U22" s="80">
        <f>U21-U20</f>
        <v/>
      </c>
      <c r="V22" s="80">
        <f>V21-V20</f>
        <v/>
      </c>
      <c r="W22" s="80">
        <f>W21-W20</f>
        <v/>
      </c>
      <c r="X22" s="80">
        <f>X21-X20</f>
        <v/>
      </c>
      <c r="Y22" s="80">
        <f>Y21-Y20</f>
        <v/>
      </c>
      <c r="Z22" s="80">
        <f>Z21-Z20</f>
        <v/>
      </c>
      <c r="AA22" s="80">
        <f>AA21-AA20</f>
        <v/>
      </c>
      <c r="AB22" s="80">
        <f>AB21-AB20</f>
        <v/>
      </c>
      <c r="AC22" s="80">
        <f>AC21-AC20</f>
        <v/>
      </c>
      <c r="AD22" s="80">
        <f>AD21-AD20</f>
        <v/>
      </c>
      <c r="AE22" s="80">
        <f>AE21-AE20</f>
        <v/>
      </c>
      <c r="AF22" s="80">
        <f>AF21-AF20</f>
        <v/>
      </c>
      <c r="AG22" s="80">
        <f>AG21-AG20</f>
        <v/>
      </c>
      <c r="AH22" s="80">
        <f>AH21-AH20</f>
        <v/>
      </c>
      <c r="AI22" s="80">
        <f>AI21-AI20</f>
        <v/>
      </c>
      <c r="AJ22" s="80">
        <f>AJ21-AJ20</f>
        <v/>
      </c>
      <c r="AK22" s="80">
        <f>AK21-AK20</f>
        <v/>
      </c>
      <c r="AL22" s="80">
        <f>AL21-AL20</f>
        <v/>
      </c>
      <c r="AM22" s="80">
        <f>AM21-AM20</f>
        <v/>
      </c>
      <c r="AN22" s="80">
        <f>AN21-AN20</f>
        <v/>
      </c>
      <c r="AO22" s="80">
        <f>AO21-AO20</f>
        <v/>
      </c>
      <c r="AP22" s="80">
        <f>AP21-AP20</f>
        <v/>
      </c>
      <c r="AQ22" s="80">
        <f>AQ21-AQ20</f>
        <v/>
      </c>
      <c r="AR22" s="80">
        <f>AR21-AR20</f>
        <v/>
      </c>
      <c r="AS22" s="80">
        <f>AS21-AS20</f>
        <v/>
      </c>
      <c r="AT22" s="80">
        <f>AT21-AT20</f>
        <v/>
      </c>
      <c r="AU22" s="80">
        <f>AU21-AU20</f>
        <v/>
      </c>
      <c r="AV22" s="80">
        <f>AV21-AV20</f>
        <v/>
      </c>
      <c r="AW22" s="80">
        <f>AW21-AW20</f>
        <v/>
      </c>
      <c r="AX22" s="80">
        <f>AX21-AX20</f>
        <v/>
      </c>
      <c r="AY22" s="80">
        <f>AY21-AY20</f>
        <v/>
      </c>
      <c r="AZ22" s="80">
        <f>AZ21-AZ20</f>
        <v/>
      </c>
      <c r="BA22" s="80">
        <f>BA21-BA20</f>
        <v/>
      </c>
      <c r="BB22" s="80">
        <f>BB21-BB20</f>
        <v/>
      </c>
      <c r="BC22" s="80">
        <f>BC21-BC20</f>
        <v/>
      </c>
      <c r="BD22" s="80">
        <f>BD21-BD20</f>
        <v/>
      </c>
      <c r="BE22" s="80">
        <f>BE21-BE20</f>
        <v/>
      </c>
      <c r="BF22" s="80">
        <f>BF21-BF20</f>
        <v/>
      </c>
      <c r="BG22" s="80">
        <f>BG21-BG20</f>
        <v/>
      </c>
      <c r="BH22" s="80">
        <f>BH21-BH20</f>
        <v/>
      </c>
      <c r="BI22" s="80">
        <f>BI21-BI20</f>
        <v/>
      </c>
      <c r="BJ22" s="80">
        <f>BJ21-BJ20</f>
        <v/>
      </c>
      <c r="BK22" s="80">
        <f>BK21-BK20</f>
        <v/>
      </c>
      <c r="BL22" s="80">
        <f>BL21-BL20</f>
        <v/>
      </c>
    </row>
    <row r="23">
      <c r="A23" s="98" t="inlineStr">
        <is>
          <t>Translation effect on EBITDA in USD</t>
        </is>
      </c>
      <c r="B23" s="65" t="inlineStr">
        <is>
          <t>USD</t>
        </is>
      </c>
      <c r="C23" s="105">
        <f>SUM(E23:BL23)</f>
        <v/>
      </c>
      <c r="E23" s="80">
        <f>FS!E$19/Timeline!E$8-FS!E$19/Inputs!$C$10</f>
        <v/>
      </c>
      <c r="F23" s="80">
        <f>FS!F$19/Timeline!F$8-FS!F$19/Inputs!$C$10</f>
        <v/>
      </c>
      <c r="G23" s="80">
        <f>FS!G$19/Timeline!G$8-FS!G$19/Inputs!$C$10</f>
        <v/>
      </c>
      <c r="H23" s="80">
        <f>FS!H$19/Timeline!H$8-FS!H$19/Inputs!$C$10</f>
        <v/>
      </c>
      <c r="I23" s="80">
        <f>FS!I$19/Timeline!I$8-FS!I$19/Inputs!$C$10</f>
        <v/>
      </c>
      <c r="J23" s="80">
        <f>FS!J$19/Timeline!J$8-FS!J$19/Inputs!$C$10</f>
        <v/>
      </c>
      <c r="K23" s="80">
        <f>FS!K$19/Timeline!K$8-FS!K$19/Inputs!$C$10</f>
        <v/>
      </c>
      <c r="L23" s="80">
        <f>FS!L$19/Timeline!L$8-FS!L$19/Inputs!$C$10</f>
        <v/>
      </c>
      <c r="M23" s="80">
        <f>FS!M$19/Timeline!M$8-FS!M$19/Inputs!$C$10</f>
        <v/>
      </c>
      <c r="N23" s="80">
        <f>FS!N$19/Timeline!N$8-FS!N$19/Inputs!$C$10</f>
        <v/>
      </c>
      <c r="O23" s="80">
        <f>FS!O$19/Timeline!O$8-FS!O$19/Inputs!$C$10</f>
        <v/>
      </c>
      <c r="P23" s="80">
        <f>FS!P$19/Timeline!P$8-FS!P$19/Inputs!$C$10</f>
        <v/>
      </c>
      <c r="Q23" s="80">
        <f>FS!Q$19/Timeline!Q$8-FS!Q$19/Inputs!$C$10</f>
        <v/>
      </c>
      <c r="R23" s="80">
        <f>FS!R$19/Timeline!R$8-FS!R$19/Inputs!$C$10</f>
        <v/>
      </c>
      <c r="S23" s="80">
        <f>FS!S$19/Timeline!S$8-FS!S$19/Inputs!$C$10</f>
        <v/>
      </c>
      <c r="T23" s="80">
        <f>FS!T$19/Timeline!T$8-FS!T$19/Inputs!$C$10</f>
        <v/>
      </c>
      <c r="U23" s="80">
        <f>FS!U$19/Timeline!U$8-FS!U$19/Inputs!$C$10</f>
        <v/>
      </c>
      <c r="V23" s="80">
        <f>FS!V$19/Timeline!V$8-FS!V$19/Inputs!$C$10</f>
        <v/>
      </c>
      <c r="W23" s="80">
        <f>FS!W$19/Timeline!W$8-FS!W$19/Inputs!$C$10</f>
        <v/>
      </c>
      <c r="X23" s="80">
        <f>FS!X$19/Timeline!X$8-FS!X$19/Inputs!$C$10</f>
        <v/>
      </c>
      <c r="Y23" s="80">
        <f>FS!Y$19/Timeline!Y$8-FS!Y$19/Inputs!$C$10</f>
        <v/>
      </c>
      <c r="Z23" s="80">
        <f>FS!Z$19/Timeline!Z$8-FS!Z$19/Inputs!$C$10</f>
        <v/>
      </c>
      <c r="AA23" s="80">
        <f>FS!AA$19/Timeline!AA$8-FS!AA$19/Inputs!$C$10</f>
        <v/>
      </c>
      <c r="AB23" s="80">
        <f>FS!AB$19/Timeline!AB$8-FS!AB$19/Inputs!$C$10</f>
        <v/>
      </c>
      <c r="AC23" s="80">
        <f>FS!AC$19/Timeline!AC$8-FS!AC$19/Inputs!$C$10</f>
        <v/>
      </c>
      <c r="AD23" s="80">
        <f>FS!AD$19/Timeline!AD$8-FS!AD$19/Inputs!$C$10</f>
        <v/>
      </c>
      <c r="AE23" s="80">
        <f>FS!AE$19/Timeline!AE$8-FS!AE$19/Inputs!$C$10</f>
        <v/>
      </c>
      <c r="AF23" s="80">
        <f>FS!AF$19/Timeline!AF$8-FS!AF$19/Inputs!$C$10</f>
        <v/>
      </c>
      <c r="AG23" s="80">
        <f>FS!AG$19/Timeline!AG$8-FS!AG$19/Inputs!$C$10</f>
        <v/>
      </c>
      <c r="AH23" s="80">
        <f>FS!AH$19/Timeline!AH$8-FS!AH$19/Inputs!$C$10</f>
        <v/>
      </c>
      <c r="AI23" s="80">
        <f>FS!AI$19/Timeline!AI$8-FS!AI$19/Inputs!$C$10</f>
        <v/>
      </c>
      <c r="AJ23" s="80">
        <f>FS!AJ$19/Timeline!AJ$8-FS!AJ$19/Inputs!$C$10</f>
        <v/>
      </c>
      <c r="AK23" s="80">
        <f>FS!AK$19/Timeline!AK$8-FS!AK$19/Inputs!$C$10</f>
        <v/>
      </c>
      <c r="AL23" s="80">
        <f>FS!AL$19/Timeline!AL$8-FS!AL$19/Inputs!$C$10</f>
        <v/>
      </c>
      <c r="AM23" s="80">
        <f>FS!AM$19/Timeline!AM$8-FS!AM$19/Inputs!$C$10</f>
        <v/>
      </c>
      <c r="AN23" s="80">
        <f>FS!AN$19/Timeline!AN$8-FS!AN$19/Inputs!$C$10</f>
        <v/>
      </c>
      <c r="AO23" s="80">
        <f>FS!AO$19/Timeline!AO$8-FS!AO$19/Inputs!$C$10</f>
        <v/>
      </c>
      <c r="AP23" s="80">
        <f>FS!AP$19/Timeline!AP$8-FS!AP$19/Inputs!$C$10</f>
        <v/>
      </c>
      <c r="AQ23" s="80">
        <f>FS!AQ$19/Timeline!AQ$8-FS!AQ$19/Inputs!$C$10</f>
        <v/>
      </c>
      <c r="AR23" s="80">
        <f>FS!AR$19/Timeline!AR$8-FS!AR$19/Inputs!$C$10</f>
        <v/>
      </c>
      <c r="AS23" s="80">
        <f>FS!AS$19/Timeline!AS$8-FS!AS$19/Inputs!$C$10</f>
        <v/>
      </c>
      <c r="AT23" s="80">
        <f>FS!AT$19/Timeline!AT$8-FS!AT$19/Inputs!$C$10</f>
        <v/>
      </c>
      <c r="AU23" s="80">
        <f>FS!AU$19/Timeline!AU$8-FS!AU$19/Inputs!$C$10</f>
        <v/>
      </c>
      <c r="AV23" s="80">
        <f>FS!AV$19/Timeline!AV$8-FS!AV$19/Inputs!$C$10</f>
        <v/>
      </c>
      <c r="AW23" s="80">
        <f>FS!AW$19/Timeline!AW$8-FS!AW$19/Inputs!$C$10</f>
        <v/>
      </c>
      <c r="AX23" s="80">
        <f>FS!AX$19/Timeline!AX$8-FS!AX$19/Inputs!$C$10</f>
        <v/>
      </c>
      <c r="AY23" s="80">
        <f>FS!AY$19/Timeline!AY$8-FS!AY$19/Inputs!$C$10</f>
        <v/>
      </c>
      <c r="AZ23" s="80">
        <f>FS!AZ$19/Timeline!AZ$8-FS!AZ$19/Inputs!$C$10</f>
        <v/>
      </c>
      <c r="BA23" s="80">
        <f>FS!BA$19/Timeline!BA$8-FS!BA$19/Inputs!$C$10</f>
        <v/>
      </c>
      <c r="BB23" s="80">
        <f>FS!BB$19/Timeline!BB$8-FS!BB$19/Inputs!$C$10</f>
        <v/>
      </c>
      <c r="BC23" s="80">
        <f>FS!BC$19/Timeline!BC$8-FS!BC$19/Inputs!$C$10</f>
        <v/>
      </c>
      <c r="BD23" s="80">
        <f>FS!BD$19/Timeline!BD$8-FS!BD$19/Inputs!$C$10</f>
        <v/>
      </c>
      <c r="BE23" s="80">
        <f>FS!BE$19/Timeline!BE$8-FS!BE$19/Inputs!$C$10</f>
        <v/>
      </c>
      <c r="BF23" s="80">
        <f>FS!BF$19/Timeline!BF$8-FS!BF$19/Inputs!$C$10</f>
        <v/>
      </c>
      <c r="BG23" s="80">
        <f>FS!BG$19/Timeline!BG$8-FS!BG$19/Inputs!$C$10</f>
        <v/>
      </c>
      <c r="BH23" s="80">
        <f>FS!BH$19/Timeline!BH$8-FS!BH$19/Inputs!$C$10</f>
        <v/>
      </c>
      <c r="BI23" s="80">
        <f>FS!BI$19/Timeline!BI$8-FS!BI$19/Inputs!$C$10</f>
        <v/>
      </c>
      <c r="BJ23" s="80">
        <f>FS!BJ$19/Timeline!BJ$8-FS!BJ$19/Inputs!$C$10</f>
        <v/>
      </c>
      <c r="BK23" s="80">
        <f>FS!BK$19/Timeline!BK$8-FS!BK$19/Inputs!$C$10</f>
        <v/>
      </c>
      <c r="BL23" s="80">
        <f>FS!BL$19/Timeline!BL$8-FS!BL$19/Inputs!$C$10</f>
        <v/>
      </c>
    </row>
    <row r="24">
      <c r="A24" s="98" t="inlineStr">
        <is>
          <t>Memo: hardware revenue added by price pass-through on new contracts (booked at sale, collected over the tenor)</t>
        </is>
      </c>
      <c r="B24" s="65" t="inlineStr">
        <is>
          <t>LCY</t>
        </is>
      </c>
      <c r="C24" s="105">
        <f>SUM(E24:BL24)</f>
        <v/>
      </c>
      <c r="E24" s="80">
        <f>FS!E$9*(1-(Inputs!$C$10/Timeline!E$8)^Inputs!$C$14)</f>
        <v/>
      </c>
      <c r="F24" s="80">
        <f>FS!F$9*(1-(Inputs!$C$10/Timeline!F$8)^Inputs!$C$14)</f>
        <v/>
      </c>
      <c r="G24" s="80">
        <f>FS!G$9*(1-(Inputs!$C$10/Timeline!G$8)^Inputs!$C$14)</f>
        <v/>
      </c>
      <c r="H24" s="80">
        <f>FS!H$9*(1-(Inputs!$C$10/Timeline!H$8)^Inputs!$C$14)</f>
        <v/>
      </c>
      <c r="I24" s="80">
        <f>FS!I$9*(1-(Inputs!$C$10/Timeline!I$8)^Inputs!$C$14)</f>
        <v/>
      </c>
      <c r="J24" s="80">
        <f>FS!J$9*(1-(Inputs!$C$10/Timeline!J$8)^Inputs!$C$14)</f>
        <v/>
      </c>
      <c r="K24" s="80">
        <f>FS!K$9*(1-(Inputs!$C$10/Timeline!K$8)^Inputs!$C$14)</f>
        <v/>
      </c>
      <c r="L24" s="80">
        <f>FS!L$9*(1-(Inputs!$C$10/Timeline!L$8)^Inputs!$C$14)</f>
        <v/>
      </c>
      <c r="M24" s="80">
        <f>FS!M$9*(1-(Inputs!$C$10/Timeline!M$8)^Inputs!$C$14)</f>
        <v/>
      </c>
      <c r="N24" s="80">
        <f>FS!N$9*(1-(Inputs!$C$10/Timeline!N$8)^Inputs!$C$14)</f>
        <v/>
      </c>
      <c r="O24" s="80">
        <f>FS!O$9*(1-(Inputs!$C$10/Timeline!O$8)^Inputs!$C$14)</f>
        <v/>
      </c>
      <c r="P24" s="80">
        <f>FS!P$9*(1-(Inputs!$C$10/Timeline!P$8)^Inputs!$C$14)</f>
        <v/>
      </c>
      <c r="Q24" s="80">
        <f>FS!Q$9*(1-(Inputs!$C$10/Timeline!Q$8)^Inputs!$C$14)</f>
        <v/>
      </c>
      <c r="R24" s="80">
        <f>FS!R$9*(1-(Inputs!$C$10/Timeline!R$8)^Inputs!$C$14)</f>
        <v/>
      </c>
      <c r="S24" s="80">
        <f>FS!S$9*(1-(Inputs!$C$10/Timeline!S$8)^Inputs!$C$14)</f>
        <v/>
      </c>
      <c r="T24" s="80">
        <f>FS!T$9*(1-(Inputs!$C$10/Timeline!T$8)^Inputs!$C$14)</f>
        <v/>
      </c>
      <c r="U24" s="80">
        <f>FS!U$9*(1-(Inputs!$C$10/Timeline!U$8)^Inputs!$C$14)</f>
        <v/>
      </c>
      <c r="V24" s="80">
        <f>FS!V$9*(1-(Inputs!$C$10/Timeline!V$8)^Inputs!$C$14)</f>
        <v/>
      </c>
      <c r="W24" s="80">
        <f>FS!W$9*(1-(Inputs!$C$10/Timeline!W$8)^Inputs!$C$14)</f>
        <v/>
      </c>
      <c r="X24" s="80">
        <f>FS!X$9*(1-(Inputs!$C$10/Timeline!X$8)^Inputs!$C$14)</f>
        <v/>
      </c>
      <c r="Y24" s="80">
        <f>FS!Y$9*(1-(Inputs!$C$10/Timeline!Y$8)^Inputs!$C$14)</f>
        <v/>
      </c>
      <c r="Z24" s="80">
        <f>FS!Z$9*(1-(Inputs!$C$10/Timeline!Z$8)^Inputs!$C$14)</f>
        <v/>
      </c>
      <c r="AA24" s="80">
        <f>FS!AA$9*(1-(Inputs!$C$10/Timeline!AA$8)^Inputs!$C$14)</f>
        <v/>
      </c>
      <c r="AB24" s="80">
        <f>FS!AB$9*(1-(Inputs!$C$10/Timeline!AB$8)^Inputs!$C$14)</f>
        <v/>
      </c>
      <c r="AC24" s="80">
        <f>FS!AC$9*(1-(Inputs!$C$10/Timeline!AC$8)^Inputs!$C$14)</f>
        <v/>
      </c>
      <c r="AD24" s="80">
        <f>FS!AD$9*(1-(Inputs!$C$10/Timeline!AD$8)^Inputs!$C$14)</f>
        <v/>
      </c>
      <c r="AE24" s="80">
        <f>FS!AE$9*(1-(Inputs!$C$10/Timeline!AE$8)^Inputs!$C$14)</f>
        <v/>
      </c>
      <c r="AF24" s="80">
        <f>FS!AF$9*(1-(Inputs!$C$10/Timeline!AF$8)^Inputs!$C$14)</f>
        <v/>
      </c>
      <c r="AG24" s="80">
        <f>FS!AG$9*(1-(Inputs!$C$10/Timeline!AG$8)^Inputs!$C$14)</f>
        <v/>
      </c>
      <c r="AH24" s="80">
        <f>FS!AH$9*(1-(Inputs!$C$10/Timeline!AH$8)^Inputs!$C$14)</f>
        <v/>
      </c>
      <c r="AI24" s="80">
        <f>FS!AI$9*(1-(Inputs!$C$10/Timeline!AI$8)^Inputs!$C$14)</f>
        <v/>
      </c>
      <c r="AJ24" s="80">
        <f>FS!AJ$9*(1-(Inputs!$C$10/Timeline!AJ$8)^Inputs!$C$14)</f>
        <v/>
      </c>
      <c r="AK24" s="80">
        <f>FS!AK$9*(1-(Inputs!$C$10/Timeline!AK$8)^Inputs!$C$14)</f>
        <v/>
      </c>
      <c r="AL24" s="80">
        <f>FS!AL$9*(1-(Inputs!$C$10/Timeline!AL$8)^Inputs!$C$14)</f>
        <v/>
      </c>
      <c r="AM24" s="80">
        <f>FS!AM$9*(1-(Inputs!$C$10/Timeline!AM$8)^Inputs!$C$14)</f>
        <v/>
      </c>
      <c r="AN24" s="80">
        <f>FS!AN$9*(1-(Inputs!$C$10/Timeline!AN$8)^Inputs!$C$14)</f>
        <v/>
      </c>
      <c r="AO24" s="80">
        <f>FS!AO$9*(1-(Inputs!$C$10/Timeline!AO$8)^Inputs!$C$14)</f>
        <v/>
      </c>
      <c r="AP24" s="80">
        <f>FS!AP$9*(1-(Inputs!$C$10/Timeline!AP$8)^Inputs!$C$14)</f>
        <v/>
      </c>
      <c r="AQ24" s="80">
        <f>FS!AQ$9*(1-(Inputs!$C$10/Timeline!AQ$8)^Inputs!$C$14)</f>
        <v/>
      </c>
      <c r="AR24" s="80">
        <f>FS!AR$9*(1-(Inputs!$C$10/Timeline!AR$8)^Inputs!$C$14)</f>
        <v/>
      </c>
      <c r="AS24" s="80">
        <f>FS!AS$9*(1-(Inputs!$C$10/Timeline!AS$8)^Inputs!$C$14)</f>
        <v/>
      </c>
      <c r="AT24" s="80">
        <f>FS!AT$9*(1-(Inputs!$C$10/Timeline!AT$8)^Inputs!$C$14)</f>
        <v/>
      </c>
      <c r="AU24" s="80">
        <f>FS!AU$9*(1-(Inputs!$C$10/Timeline!AU$8)^Inputs!$C$14)</f>
        <v/>
      </c>
      <c r="AV24" s="80">
        <f>FS!AV$9*(1-(Inputs!$C$10/Timeline!AV$8)^Inputs!$C$14)</f>
        <v/>
      </c>
      <c r="AW24" s="80">
        <f>FS!AW$9*(1-(Inputs!$C$10/Timeline!AW$8)^Inputs!$C$14)</f>
        <v/>
      </c>
      <c r="AX24" s="80">
        <f>FS!AX$9*(1-(Inputs!$C$10/Timeline!AX$8)^Inputs!$C$14)</f>
        <v/>
      </c>
      <c r="AY24" s="80">
        <f>FS!AY$9*(1-(Inputs!$C$10/Timeline!AY$8)^Inputs!$C$14)</f>
        <v/>
      </c>
      <c r="AZ24" s="80">
        <f>FS!AZ$9*(1-(Inputs!$C$10/Timeline!AZ$8)^Inputs!$C$14)</f>
        <v/>
      </c>
      <c r="BA24" s="80">
        <f>FS!BA$9*(1-(Inputs!$C$10/Timeline!BA$8)^Inputs!$C$14)</f>
        <v/>
      </c>
      <c r="BB24" s="80">
        <f>FS!BB$9*(1-(Inputs!$C$10/Timeline!BB$8)^Inputs!$C$14)</f>
        <v/>
      </c>
      <c r="BC24" s="80">
        <f>FS!BC$9*(1-(Inputs!$C$10/Timeline!BC$8)^Inputs!$C$14)</f>
        <v/>
      </c>
      <c r="BD24" s="80">
        <f>FS!BD$9*(1-(Inputs!$C$10/Timeline!BD$8)^Inputs!$C$14)</f>
        <v/>
      </c>
      <c r="BE24" s="80">
        <f>FS!BE$9*(1-(Inputs!$C$10/Timeline!BE$8)^Inputs!$C$14)</f>
        <v/>
      </c>
      <c r="BF24" s="80">
        <f>FS!BF$9*(1-(Inputs!$C$10/Timeline!BF$8)^Inputs!$C$14)</f>
        <v/>
      </c>
      <c r="BG24" s="80">
        <f>FS!BG$9*(1-(Inputs!$C$10/Timeline!BG$8)^Inputs!$C$14)</f>
        <v/>
      </c>
      <c r="BH24" s="80">
        <f>FS!BH$9*(1-(Inputs!$C$10/Timeline!BH$8)^Inputs!$C$14)</f>
        <v/>
      </c>
      <c r="BI24" s="80">
        <f>FS!BI$9*(1-(Inputs!$C$10/Timeline!BI$8)^Inputs!$C$14)</f>
        <v/>
      </c>
      <c r="BJ24" s="80">
        <f>FS!BJ$9*(1-(Inputs!$C$10/Timeline!BJ$8)^Inputs!$C$14)</f>
        <v/>
      </c>
      <c r="BK24" s="80">
        <f>FS!BK$9*(1-(Inputs!$C$10/Timeline!BK$8)^Inputs!$C$14)</f>
        <v/>
      </c>
      <c r="BL24" s="80">
        <f>FS!BL$9*(1-(Inputs!$C$10/Timeline!BL$8)^Inputs!$C$14)</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46.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4" customWidth="1" min="1" max="1"/>
    <col width="120" customWidth="1" min="2" max="2"/>
    <col width="16" customWidth="1" min="3" max="3"/>
  </cols>
  <sheetData>
    <row r="1">
      <c r="A1" s="17" t="inlineStr">
        <is>
          <t>Glossary: PAYGo &amp; SHS terms used in this model</t>
        </is>
      </c>
    </row>
    <row r="2">
      <c r="A2" s="18" t="inlineStr">
        <is>
          <t>Definitions as implemented in the model.</t>
        </is>
      </c>
    </row>
    <row r="3"/>
    <row r="4">
      <c r="A4" s="40" t="inlineStr">
        <is>
          <t>Term</t>
        </is>
      </c>
      <c r="B4" s="40" t="inlineStr">
        <is>
          <t>Definition</t>
        </is>
      </c>
    </row>
    <row r="5" ht="28" customHeight="1">
      <c r="A5" s="19" t="inlineStr">
        <is>
          <t>PAYGo (pay-as-you-go)</t>
        </is>
      </c>
      <c r="B5" s="162" t="inlineStr">
        <is>
          <t>Asset financing in which the customer pays a down payment, then small frequent instalments priced as a daily rate, usually by mobile money. The device can be locked remotely if payments stop.</t>
        </is>
      </c>
    </row>
    <row r="6" ht="28" customHeight="1">
      <c r="A6" s="19" t="inlineStr">
        <is>
          <t>Down payment (deposit)</t>
        </is>
      </c>
      <c r="B6" s="162" t="inlineStr">
        <is>
          <t>Upfront payment at the time of sale. Excluded from the collection rate.</t>
        </is>
      </c>
    </row>
    <row r="7" ht="28" customHeight="1">
      <c r="A7" s="19" t="inlineStr">
        <is>
          <t>Daily rate / instalment</t>
        </is>
      </c>
      <c r="B7" s="162" t="inlineStr">
        <is>
          <t>Price per day of use. Monthly instalment = daily rate x 365 / 12.</t>
        </is>
      </c>
    </row>
    <row r="8" ht="28" customHeight="1">
      <c r="A8" s="19" t="inlineStr">
        <is>
          <t>Tenor</t>
        </is>
      </c>
      <c r="B8" s="162" t="inlineStr">
        <is>
          <t>Number of months over which the PAYGo contract is repaid.</t>
        </is>
      </c>
    </row>
    <row r="9" ht="28" customHeight="1">
      <c r="A9" s="19" t="inlineStr">
        <is>
          <t>Unlock (customer ownership)</t>
        </is>
      </c>
      <c r="B9" s="162" t="inlineStr">
        <is>
          <t>The customer reaches the end of the payment plan and the device is permanently unlocked. The model counts accounts still paying at the end of tenor.</t>
        </is>
      </c>
    </row>
    <row r="10" ht="28" customHeight="1">
      <c r="A10" s="19" t="inlineStr">
        <is>
          <t>Cohort (vintage)</t>
        </is>
      </c>
      <c r="B10" s="162" t="inlineStr">
        <is>
          <t>All units sold in the same month. Cohort analysis follows each vintage's repayment over time.</t>
        </is>
      </c>
    </row>
    <row r="11" ht="28" customHeight="1">
      <c r="A11" s="19" t="inlineStr">
        <is>
          <t>Survival curve</t>
        </is>
      </c>
      <c r="B11" s="162" t="inlineStr">
        <is>
          <t>Share of a cohort's accounts that are still paying at each age; driven by the monthly default hazard.</t>
        </is>
      </c>
    </row>
    <row r="12" ht="28" customHeight="1">
      <c r="A12" s="19" t="inlineStr">
        <is>
          <t>Operational collection rate</t>
        </is>
      </c>
      <c r="B12" s="162" t="inlineStr">
        <is>
          <t>Instalments collected / instalments due in the period, excluding down payments. A cash conversion metric; not a PAYGo PERFORM KPI and never a substitute for the Repayment Rate.</t>
        </is>
      </c>
    </row>
    <row r="13" ht="28" customHeight="1">
      <c r="A13" s="19" t="inlineStr">
        <is>
          <t>Repayment Rate (PAYGo PERFORM 2026)</t>
        </is>
      </c>
      <c r="B13" s="162" t="inlineStr">
        <is>
          <t>Payments applied to due instalments / instalments due (PvP) or / total amount financed (PvFin), cumulative from contract start, on contract-level daily data; also at 90 days and at 2x contract term. Company-reported on PERFORM_2026.</t>
        </is>
      </c>
    </row>
    <row r="14" ht="28" customHeight="1">
      <c r="A14" s="19" t="inlineStr">
        <is>
          <t>Cohort repayment ratio (model)</t>
        </is>
      </c>
      <c r="B14" s="162" t="inlineStr">
        <is>
          <t>Cumulative collections / cumulative instalments due at a monthly checkpoint. Follows the logic of RR PvP but is not a PERFORM calculation.</t>
        </is>
      </c>
    </row>
    <row r="15" ht="28" customHeight="1">
      <c r="A15" s="19" t="inlineStr">
        <is>
          <t>Write-off rate</t>
        </is>
      </c>
      <c r="B15" s="162" t="inlineStr">
        <is>
          <t>Missed instalments written off / instalments due. The model writes off missed instalments as they fall due.</t>
        </is>
      </c>
    </row>
    <row r="16" ht="28" customHeight="1">
      <c r="A16" s="19" t="inlineStr">
        <is>
          <t>Receivables at risk (RaR)</t>
        </is>
      </c>
      <c r="B16" s="162" t="inlineStr">
        <is>
          <t>Carrying amount of receivables of accounts that have stopped paying (curve-based proxy). The 2021 PAYGo PERFORM guide (historical) defines RAR by consecutive days unpaid.</t>
        </is>
      </c>
    </row>
    <row r="17" ht="28" customHeight="1">
      <c r="A17" s="19" t="inlineStr">
        <is>
          <t>Expected credit loss (ECL)</t>
        </is>
      </c>
      <c r="B17" s="162" t="inlineStr">
        <is>
          <t>Lifetime expected loss recognised at origination from the scenario repayment curve (simplified, no staging). This is an analytical modelling treatment and does not constitute a determination of the applicable accounting treatment under IFRS.</t>
        </is>
      </c>
    </row>
    <row r="18" ht="28" customHeight="1">
      <c r="A18" s="19" t="inlineStr">
        <is>
          <t>Recoveries</t>
        </is>
      </c>
      <c r="B18" s="162" t="inlineStr">
        <is>
          <t>Net resale value of repossessed units, recognised as a reduction of credit losses.</t>
        </is>
      </c>
    </row>
    <row r="19" ht="28" customHeight="1">
      <c r="A19" s="19" t="inlineStr">
        <is>
          <t>RBF (results-based financing)</t>
        </is>
      </c>
      <c r="B19" s="162" t="inlineStr">
        <is>
          <t>Subsidy paid per verified unit sold, after a verification lag. Recognised as other income when received (cash basis).</t>
        </is>
      </c>
    </row>
    <row r="20" ht="28" customHeight="1">
      <c r="A20" s="19" t="inlineStr">
        <is>
          <t>Borrowing base</t>
        </is>
      </c>
      <c r="B20" s="162" t="inlineStr">
        <is>
          <t>Maximum facility drawing = sum over tiers of advance rate x eligible receivables (gross receivables less receivables at risk).</t>
        </is>
      </c>
    </row>
    <row r="21" ht="28" customHeight="1">
      <c r="A21" s="19" t="inlineStr">
        <is>
          <t>Advance rate</t>
        </is>
      </c>
      <c r="B21" s="162" t="inlineStr">
        <is>
          <t>Share of eligible receivables a lender is willing to finance.</t>
        </is>
      </c>
    </row>
    <row r="22" ht="28" customHeight="1">
      <c r="A22" s="19" t="inlineStr">
        <is>
          <t>DSCR</t>
        </is>
      </c>
      <c r="B22" s="162" t="inlineStr">
        <is>
          <t>Debt service coverage ratio: (operating cash flow + interest) / (interest + scheduled principal).</t>
        </is>
      </c>
    </row>
    <row r="23" ht="28" customHeight="1">
      <c r="A23" s="19" t="inlineStr">
        <is>
          <t>Funding requirement</t>
        </is>
      </c>
      <c r="B23" s="162" t="inlineStr">
        <is>
          <t>Equity that must be injected to keep cash at the minimum balance (automatic equity top-up).</t>
        </is>
      </c>
    </row>
    <row r="24" ht="28" customHeight="1">
      <c r="A24" s="19" t="inlineStr">
        <is>
          <t>MTF tier</t>
        </is>
      </c>
      <c r="B24" s="162" t="inlineStr">
        <is>
          <t>ESMAP Multi-Tier Framework for household electricity access, Tiers 0-5. Tiers here refer to the capacity attribute only and are indicative; a full assessment also covers duration, reliability, quality, affordability, legality, health &amp; safety.</t>
        </is>
      </c>
    </row>
    <row r="25" ht="28" customHeight="1">
      <c r="A25" s="19" t="inlineStr">
        <is>
          <t>Solar inverter system (Tiers 4-5)</t>
        </is>
      </c>
      <c r="B25" s="162" t="inlineStr">
        <is>
          <t>Larger PV + lithium battery + inverter systems supplying AC appliances; typically sold to urban / peri-urban households and SMEs, often as backup to an unreliable grid.</t>
        </is>
      </c>
    </row>
    <row r="26" ht="28" customHeight="1">
      <c r="A26" s="19" t="inlineStr">
        <is>
          <t>DPD (days past due)</t>
        </is>
      </c>
      <c r="B26" s="162" t="inlineStr">
        <is>
          <t>Days since the account's oldest unpaid instalment. Buckets: current, 1-30, 31-60, 61-90, 91-180, 180+.</t>
        </is>
      </c>
    </row>
    <row r="27" ht="28" customHeight="1">
      <c r="A27" s="19" t="inlineStr">
        <is>
          <t>Stages 1 / 2 / 3</t>
        </is>
      </c>
      <c r="B27" s="162" t="inlineStr">
        <is>
          <t>Indicative IFRS 9-style staging by DPD thresholds (Credit_Assumptions). Used for the diagnostic ECL only.</t>
        </is>
      </c>
    </row>
    <row r="28" ht="28" customHeight="1">
      <c r="A28" s="19" t="inlineStr">
        <is>
          <t>Default EAD</t>
        </is>
      </c>
      <c r="B28" s="162" t="inlineStr">
        <is>
          <t>Exposure at default: receivables of accounts beyond the default definition (default 180 DPD).</t>
        </is>
      </c>
    </row>
    <row r="29" ht="28" customHeight="1">
      <c r="A29" s="19" t="inlineStr">
        <is>
          <t>12-month PD proxy</t>
        </is>
      </c>
      <c r="B29" s="162" t="inlineStr">
        <is>
          <t>Proxy probability of default from the repayment curve (Proxy) or observed loss rate (Actual). NOT an audited IFRS 9 PD.</t>
        </is>
      </c>
    </row>
    <row r="30" ht="28" customHeight="1">
      <c r="A30" s="19" t="inlineStr">
        <is>
          <t>LGD proxy</t>
        </is>
      </c>
      <c r="B30" s="162" t="inlineStr">
        <is>
          <t>Loss given default proxy: 1: net recoveries / exposure.</t>
        </is>
      </c>
    </row>
    <row r="31" ht="28" customHeight="1">
      <c r="A31" s="19" t="inlineStr">
        <is>
          <t>Proxy vs Actual data</t>
        </is>
      </c>
      <c r="B31" s="162" t="inlineStr">
        <is>
          <t>Proxy = model projection from curves. Actual = company data in Credit_Input / Vintage_Input. Never mixed silently.</t>
        </is>
      </c>
    </row>
    <row r="32" ht="28" customHeight="1">
      <c r="A32" s="19" t="inlineStr">
        <is>
          <t>Ownership Rate @2x (PAYGo PERFORM 2026)</t>
        </is>
      </c>
      <c r="B32" s="162" t="inlineStr">
        <is>
          <t>Contracts fully paid by twice the contract term / contracts that have reached 2x. Not modelled from proxies; company-reported on PERFORM_2026 or Vintage_Input.</t>
        </is>
      </c>
    </row>
    <row r="33" ht="28" customHeight="1">
      <c r="A33" s="19" t="inlineStr">
        <is>
          <t>RBF modes</t>
        </is>
      </c>
      <c r="B33" s="162" t="inlineStr">
        <is>
          <t>Sales-based (per unit sold), repayment-linked (scaled by repayment rate at verification), ownership-linked (paid on validated ownership at 2x tenor), hybrid (weighted).</t>
        </is>
      </c>
    </row>
    <row r="34" ht="28" customHeight="1">
      <c r="A34" s="19" t="inlineStr">
        <is>
          <t>Warehouse vs securitisation</t>
        </is>
      </c>
      <c r="B34" s="162" t="inlineStr">
        <is>
          <t>Warehouse: revolving facility against eligible receivables. Securitisation: receivables financed through a term structure (here modelled on balance sheet with its own rate, advance haircut and fee).</t>
        </is>
      </c>
    </row>
    <row r="35" ht="28" customHeight="1">
      <c r="A35" s="19" t="inlineStr">
        <is>
          <t>Evidence grades and status</t>
        </is>
      </c>
      <c r="B35" s="162" t="inlineStr">
        <is>
          <t>Grade of the source: A primary official or audited; B institutional or company disclosure; C reputable secondary; D unverified. Status: what has been verified (Source_Register). Only VERIFIED claims feed Calibration.</t>
        </is>
      </c>
    </row>
    <row r="36" ht="28" customHeight="1">
      <c r="A36" s="19" t="inlineStr">
        <is>
          <t>Investment readiness</t>
        </is>
      </c>
      <c r="B36" s="162" t="inlineStr">
        <is>
          <t>Progress against 23 evidence-based gates and a GO / CONDITIONAL GO / STOP rule driven only by those results. GO means the evidence file is complete for a decision; it is never an investment recommendation or a rating.</t>
        </is>
      </c>
    </row>
    <row r="37" ht="28" customHeight="1">
      <c r="A37" s="19" t="inlineStr">
        <is>
          <t>Provenance labels</t>
        </is>
      </c>
      <c r="B37" s="162" t="inlineStr">
        <is>
          <t>MODEL ASSUMPTION (set by the modeller), COMPANY DATA (supplied by the company), EXTERNAL EVIDENCE (from a VERIFIED source), CALIBRATED ASSUMPTION (re-estimated from company data or verified evidence), UNVERIFIED (source not yet read).</t>
        </is>
      </c>
    </row>
    <row r="38" ht="28" customHeight="1">
      <c r="A38" s="19" t="inlineStr">
        <is>
          <t>Actual, assumption, forecast</t>
        </is>
      </c>
      <c r="B38" s="162" t="inlineStr">
        <is>
          <t>ACTUAL: company history on the input templates, never changed by scenario levers. ASSUMPTION: inputs. FORECAST: everything computed from the inputs under the active scenario.</t>
        </is>
      </c>
    </row>
    <row r="39" ht="28" customHeight="1">
      <c r="A39" s="19" t="inlineStr">
        <is>
          <t>Accounting treatment</t>
        </is>
      </c>
      <c r="B39" s="162" t="inlineStr">
        <is>
          <t>This is an analytical modelling treatment and does not constitute a determination of the applicable accounting treatment under IFRS. Revenue recognition, ECL, staging and tax are simplified (Chapter 8 of the book).</t>
        </is>
      </c>
    </row>
    <row r="40" ht="28" customHeight="1">
      <c r="A40" s="19" t="inlineStr">
        <is>
          <t>RBF claim cycle</t>
        </is>
      </c>
      <c r="B40" s="162" t="inlineStr">
        <is>
          <t>Eligibility, claim, verification, disbursement. The working capital gap is subsidy claimed but not yet received (RBF_Engine).</t>
        </is>
      </c>
    </row>
    <row r="41" ht="28" customHeight="1">
      <c r="A41" s="19" t="inlineStr">
        <is>
          <t>Transaction vs translation (FX)</t>
        </is>
      </c>
      <c r="B41" s="162" t="inlineStr">
        <is>
          <t>Transaction effects change LCY cash (USD hardware, USD debt service, USD RBF). Translation changes how LCY results look in USD. Remeasurement of USD debt is a non-cash entry (FX_Exposure).</t>
        </is>
      </c>
    </row>
    <row r="42" ht="28" customHeight="1">
      <c r="A42" s="19" t="inlineStr">
        <is>
          <t>LTV / CAC</t>
        </is>
      </c>
      <c r="B42" s="162" t="inlineStr">
        <is>
          <t>Lifetime contribution before acquisition cost divided by customer acquisition cost.</t>
        </is>
      </c>
    </row>
    <row r="43" ht="28" customHeight="1">
      <c r="A43" s="19" t="inlineStr">
        <is>
          <t>Unit IRR</t>
        </is>
      </c>
      <c r="B43" s="162" t="inlineStr">
        <is>
          <t>Annualised IRR of one unit's cash flows: down payment, collections, recoveries and RBF less hardware, installation, warranty, acquisition and servicing costs.</t>
        </is>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xl/worksheets/sheet47.xml><?xml version="1.0" encoding="utf-8"?>
<worksheet xmlns="http://schemas.openxmlformats.org/spreadsheetml/2006/main">
  <sheetPr>
    <tabColor rgb="00FF0000"/>
    <outlinePr summaryBelow="1" summaryRight="1"/>
    <pageSetUpPr fitToPage="1"/>
  </sheetPr>
  <dimension ref="A1:C66"/>
  <sheetViews>
    <sheetView showGridLines="0" workbookViewId="0">
      <selection activeCell="A1" sqref="A1"/>
    </sheetView>
  </sheetViews>
  <sheetFormatPr baseColWidth="8" defaultRowHeight="15"/>
  <cols>
    <col width="64" customWidth="1" min="1" max="1"/>
    <col width="12" customWidth="1" min="2" max="2"/>
    <col width="16" customWidth="1" min="3" max="3"/>
  </cols>
  <sheetData>
    <row r="1">
      <c r="A1" s="17" t="inlineStr">
        <is>
          <t>Integrity checks</t>
        </is>
      </c>
    </row>
    <row r="2">
      <c r="A2" s="18" t="inlineStr">
        <is>
          <t>Each check returns 0 when OK. The master check feeds Cover, Investment_Summary and Dashboard.</t>
        </is>
      </c>
    </row>
    <row r="3"/>
    <row r="4">
      <c r="A4" s="40" t="inlineStr">
        <is>
          <t>Check</t>
        </is>
      </c>
      <c r="B4" s="40" t="inlineStr">
        <is>
          <t>Unit</t>
        </is>
      </c>
      <c r="C4" s="40" t="inlineStr">
        <is>
          <t>Result (0 = OK)</t>
        </is>
      </c>
    </row>
    <row r="5">
      <c r="A5" s="34" t="inlineStr">
        <is>
          <t>Balance sheet balances (max abs difference, all months)</t>
        </is>
      </c>
      <c r="B5" s="34" t="inlineStr">
        <is>
          <t>flag</t>
        </is>
      </c>
      <c r="C5" s="80">
        <f>MAX(MAX(FS!$E$48:$BL$48),-MIN(FS!$E$48:$BL$48))</f>
        <v/>
      </c>
    </row>
    <row r="6">
      <c r="A6" s="34" t="inlineStr">
        <is>
          <t>Sales mix sums to 100%</t>
        </is>
      </c>
      <c r="B6" s="34" t="inlineStr">
        <is>
          <t>flag</t>
        </is>
      </c>
      <c r="C6" s="80">
        <f>IF(ABS(SUM(Products!$C$23:$G$23)-1)&gt;0.0001,1,0)</f>
        <v/>
      </c>
    </row>
    <row r="7">
      <c r="A7" s="34" t="inlineStr">
        <is>
          <t>Closing cash never below minimum cash</t>
        </is>
      </c>
      <c r="B7" s="34" t="inlineStr">
        <is>
          <t>flag</t>
        </is>
      </c>
      <c r="C7" s="80">
        <f>IF(MIN(FS!$E$65:$BL$65)&lt;Inputs!$C$46-1,1,0)</f>
        <v/>
      </c>
    </row>
    <row r="8">
      <c r="A8" s="34" t="inlineStr">
        <is>
          <t>Gross receivables never negative</t>
        </is>
      </c>
      <c r="B8" s="34" t="inlineStr">
        <is>
          <t>flag</t>
        </is>
      </c>
      <c r="C8" s="80">
        <f>IF(MIN(FS!$E$34:$BL$34)&lt;-1,1,0)</f>
        <v/>
      </c>
    </row>
    <row r="9">
      <c r="A9" s="34" t="inlineStr">
        <is>
          <t>Loss allowance never positive (contra-asset)</t>
        </is>
      </c>
      <c r="B9" s="34" t="inlineStr">
        <is>
          <t>flag</t>
        </is>
      </c>
      <c r="C9" s="80">
        <f>IF(MAX(FS!$E$35:$BL$35)&gt;1,1,0)</f>
        <v/>
      </c>
    </row>
    <row r="10">
      <c r="A10" s="34" t="inlineStr">
        <is>
          <t>Facility within limit</t>
        </is>
      </c>
      <c r="B10" s="34" t="inlineStr">
        <is>
          <t>flag</t>
        </is>
      </c>
      <c r="C10" s="80">
        <f>IF(MAX(Financing!$E$23:$BL$23)&gt;Inputs!$C$55+1,1,0)</f>
        <v/>
      </c>
    </row>
    <row r="11">
      <c r="A11" s="34" t="inlineStr">
        <is>
          <t>Cash flow reconciles to balance-sheet cash every month (opening cash + net cash flow = closing cash)</t>
        </is>
      </c>
      <c r="B11" s="34" t="inlineStr">
        <is>
          <t>flag</t>
        </is>
      </c>
      <c r="C11" s="80">
        <f>IF(SUMPRODUCT(ABS(FS!$E$65:$BL$65-FS!$D$65:$BK$65-FS!$E$57:$BL$57-FS!$E$58:$BL$58-FS!$E$59:$BL$59-FS!$E$60:$BL$60-FS!$E$61:$BL$61-FS!$E$64:$BL$64))+SUMPRODUCT(ABS(FS!$E$33:$BL$33-FS!$E$65:$BL$65))&gt;1,1,0)</f>
        <v/>
      </c>
    </row>
    <row r="12">
      <c r="A12" s="34" t="inlineStr">
        <is>
          <t>Tenors are whole numbers from 1 to 60 months (curve horizon)</t>
        </is>
      </c>
      <c r="B12" s="34" t="inlineStr">
        <is>
          <t>flag</t>
        </is>
      </c>
      <c r="C12" s="80">
        <f>IFERROR(IF(AND(ISNUMBER(Products!$C$16),Products!$C$16=INT(Products!$C$16),Products!$C$16&gt;=1,Products!$C$16&lt;=60),0,1),1)+IFERROR(IF(AND(ISNUMBER(Products!$D$16),Products!$D$16=INT(Products!$D$16),Products!$D$16&gt;=1,Products!$D$16&lt;=60),0,1),1)+IFERROR(IF(AND(ISNUMBER(Products!$E$16),Products!$E$16=INT(Products!$E$16),Products!$E$16&gt;=1,Products!$E$16&lt;=60),0,1),1)+IFERROR(IF(AND(ISNUMBER(Products!$F$16),Products!$F$16=INT(Products!$F$16),Products!$F$16&gt;=1,Products!$F$16&lt;=60),0,1),1)+IFERROR(IF(AND(ISNUMBER(Products!$G$16),Products!$G$16=INT(Products!$G$16),Products!$G$16&gt;=1,Products!$G$16&lt;=60),0,1),1)</f>
        <v/>
      </c>
    </row>
    <row r="13">
      <c r="A13" s="34" t="inlineStr">
        <is>
          <t>Down payment not above cash price</t>
        </is>
      </c>
      <c r="B13" s="34" t="inlineStr">
        <is>
          <t>flag</t>
        </is>
      </c>
      <c r="C13" s="80">
        <f>IF(Products!$C$14&gt;Products!$C$13,1,0)+IF(Products!$D$14&gt;Products!$D$13,1,0)+IF(Products!$E$14&gt;Products!$E$13,1,0)+IF(Products!$F$14&gt;Products!$F$13,1,0)+IF(Products!$G$14&gt;Products!$G$13,1,0)</f>
        <v/>
      </c>
    </row>
    <row r="14">
      <c r="A14" s="34" t="inlineStr">
        <is>
          <t>Scenario selector valid (whole number 1 to 3)</t>
        </is>
      </c>
      <c r="B14" s="34" t="inlineStr">
        <is>
          <t>flag</t>
        </is>
      </c>
      <c r="C14" s="80">
        <f>IFERROR(IF(AND(ISNUMBER(Inputs!$C$5),Inputs!$C$5=INT(Inputs!$C$5),Inputs!$C$5&gt;=1,Inputs!$C$5&lt;=3),0,1),1)</f>
        <v/>
      </c>
    </row>
    <row r="15">
      <c r="A15" s="34" t="inlineStr">
        <is>
          <t>Investor ticket within initial equity</t>
        </is>
      </c>
      <c r="B15" s="34" t="inlineStr">
        <is>
          <t>flag</t>
        </is>
      </c>
      <c r="C15" s="80">
        <f>IF(Inputs!$C$81*Inputs!$C$10&gt;Inputs!$C$49+1,1,0)</f>
        <v/>
      </c>
    </row>
    <row r="16">
      <c r="A16" s="34" t="inlineStr">
        <is>
          <t>Terminal growth below discount rate</t>
        </is>
      </c>
      <c r="B16" s="34" t="inlineStr">
        <is>
          <t>flag</t>
        </is>
      </c>
      <c r="C16" s="80">
        <f>IF(Inputs!$C$80&gt;=Inputs!$C$79,1,0)</f>
        <v/>
      </c>
    </row>
    <row r="17">
      <c r="A17" s="34" t="inlineStr">
        <is>
          <t>Credit data mode valid (whole number 1 to 2)</t>
        </is>
      </c>
      <c r="B17" s="34" t="inlineStr">
        <is>
          <t>flag</t>
        </is>
      </c>
      <c r="C17" s="80">
        <f>IFERROR(IF(AND(ISNUMBER(Credit_Assumptions!$C$5),Credit_Assumptions!$C$5=INT(Credit_Assumptions!$C$5),Credit_Assumptions!$C$5&gt;=1,Credit_Assumptions!$C$5&lt;=2),0,1),1)</f>
        <v/>
      </c>
    </row>
    <row r="18">
      <c r="A18" s="34" t="inlineStr">
        <is>
          <t>Proxy DPD buckets reconcile to gross receivables (all tiers, all months)</t>
        </is>
      </c>
      <c r="B18" s="34" t="inlineStr">
        <is>
          <t>flag</t>
        </is>
      </c>
      <c r="C18" s="80">
        <f>IF(SUMPRODUCT(ABS(Credit_Engine!$E$35:$BL$35))+SUMPRODUCT(ABS(Credit_Engine!$E$91:$BL$91))+SUMPRODUCT(ABS(Credit_Engine!$E$147:$BL$147))+SUMPRODUCT(ABS(Credit_Engine!$E$203:$BL$203))+SUMPRODUCT(ABS(Credit_Engine!$E$259:$BL$259))&gt;0,1,0)</f>
        <v/>
      </c>
    </row>
    <row r="19">
      <c r="A19" s="34" t="inlineStr">
        <is>
          <t>Credit_Input data valid: DPD buckets reconcile to gross receivables (Actual mode); no negative balance, unit or flow; one period end per consecutive calendar month, the same in every tier; collections at most twice instalments due</t>
        </is>
      </c>
      <c r="B19" s="34" t="inlineStr">
        <is>
          <t>flag</t>
        </is>
      </c>
      <c r="C19" s="80">
        <f>IF(Credit_Assumptions!$C$5=2,IF(SUMPRODUCT(ABS(Credit_Engine!$E$62:$BL$62))+SUMPRODUCT(ABS(Credit_Engine!$E$118:$BL$118))+SUMPRODUCT(ABS(Credit_Engine!$E$174:$BL$174))+SUMPRODUCT(ABS(Credit_Engine!$E$230:$BL$230))+SUMPRODUCT(ABS(Credit_Engine!$E$286:$BL$286))&gt;0,1,0),0)+IF(COUNTIF(Credit_Input!$C$8:$C$67,"&lt;0")+COUNTIF(Credit_Input!$D$8:$D$67,"&lt;0")+COUNTIF(Credit_Input!$E$8:$E$67,"&lt;0")+COUNTIF(Credit_Input!$F$8:$F$67,"&lt;0")+COUNTIF(Credit_Input!$G$8:$G$67,"&lt;0")+COUNTIF(Credit_Input!$H$8:$H$67,"&lt;0")+COUNTIF(Credit_Input!$I$8:$I$67,"&lt;0")+COUNTIF(Credit_Input!$J$8:$J$67,"&lt;0")+COUNTIF(Credit_Input!$K$8:$K$67,"&lt;0")+COUNTIF(Credit_Input!$L$8:$L$67,"&lt;0")+COUNTIF(Credit_Input!$M$8:$M$67,"&lt;0")+COUNTIF(Credit_Input!$N$8:$N$67,"&lt;0")+COUNTIF(Credit_Input!$O$8:$O$67,"&lt;0")+COUNTIF(Credit_Input!$P$8:$P$67,"&lt;0")+COUNTIF(Credit_Input!$Q$8:$Q$67,"&lt;0")+COUNTIF(Credit_Input!$R$8:$R$67,"&lt;0")+COUNTIF(Credit_Input!$S$8:$S$67,"&lt;0")+COUNTIF(Credit_Input!$C$72:$C$131,"&lt;0")+COUNTIF(Credit_Input!$D$72:$D$131,"&lt;0")+COUNTIF(Credit_Input!$E$72:$E$131,"&lt;0")+COUNTIF(Credit_Input!$F$72:$F$131,"&lt;0")+COUNTIF(Credit_Input!$G$72:$G$131,"&lt;0")+COUNTIF(Credit_Input!$H$72:$H$131,"&lt;0")+COUNTIF(Credit_Input!$I$72:$I$131,"&lt;0")+COUNTIF(Credit_Input!$J$72:$J$131,"&lt;0")+COUNTIF(Credit_Input!$K$72:$K$131,"&lt;0")+COUNTIF(Credit_Input!$L$72:$L$131,"&lt;0")+COUNTIF(Credit_Input!$M$72:$M$131,"&lt;0")+COUNTIF(Credit_Input!$N$72:$N$131,"&lt;0")+COUNTIF(Credit_Input!$O$72:$O$131,"&lt;0")+COUNTIF(Credit_Input!$P$72:$P$131,"&lt;0")+COUNTIF(Credit_Input!$Q$72:$Q$131,"&lt;0")+COUNTIF(Credit_Input!$R$72:$R$131,"&lt;0")+COUNTIF(Credit_Input!$S$72:$S$131,"&lt;0")+COUNTIF(Credit_Input!$C$136:$C$195,"&lt;0")+COUNTIF(Credit_Input!$D$136:$D$195,"&lt;0")+COUNTIF(Credit_Input!$E$136:$E$195,"&lt;0")+COUNTIF(Credit_Input!$F$136:$F$195,"&lt;0")+COUNTIF(Credit_Input!$G$136:$G$195,"&lt;0")+COUNTIF(Credit_Input!$H$136:$H$195,"&lt;0")+COUNTIF(Credit_Input!$I$136:$I$195,"&lt;0")+COUNTIF(Credit_Input!$J$136:$J$195,"&lt;0")+COUNTIF(Credit_Input!$K$136:$K$195,"&lt;0")+COUNTIF(Credit_Input!$L$136:$L$195,"&lt;0")+COUNTIF(Credit_Input!$M$136:$M$195,"&lt;0")+COUNTIF(Credit_Input!$N$136:$N$195,"&lt;0")+COUNTIF(Credit_Input!$O$136:$O$195,"&lt;0")+COUNTIF(Credit_Input!$P$136:$P$195,"&lt;0")+COUNTIF(Credit_Input!$Q$136:$Q$195,"&lt;0")+COUNTIF(Credit_Input!$R$136:$R$195,"&lt;0")+COUNTIF(Credit_Input!$S$136:$S$195,"&lt;0")+COUNTIF(Credit_Input!$C$200:$C$259,"&lt;0")+COUNTIF(Credit_Input!$D$200:$D$259,"&lt;0")+COUNTIF(Credit_Input!$E$200:$E$259,"&lt;0")+COUNTIF(Credit_Input!$F$200:$F$259,"&lt;0")+COUNTIF(Credit_Input!$G$200:$G$259,"&lt;0")+COUNTIF(Credit_Input!$H$200:$H$259,"&lt;0")+COUNTIF(Credit_Input!$I$200:$I$259,"&lt;0")+COUNTIF(Credit_Input!$J$200:$J$259,"&lt;0")+COUNTIF(Credit_Input!$K$200:$K$259,"&lt;0")+COUNTIF(Credit_Input!$L$200:$L$259,"&lt;0")+COUNTIF(Credit_Input!$M$200:$M$259,"&lt;0")+COUNTIF(Credit_Input!$N$200:$N$259,"&lt;0")+COUNTIF(Credit_Input!$O$200:$O$259,"&lt;0")+COUNTIF(Credit_Input!$P$200:$P$259,"&lt;0")+COUNTIF(Credit_Input!$Q$200:$Q$259,"&lt;0")+COUNTIF(Credit_Input!$R$200:$R$259,"&lt;0")+COUNTIF(Credit_Input!$S$200:$S$259,"&lt;0")+COUNTIF(Credit_Input!$C$264:$C$323,"&lt;0")+COUNTIF(Credit_Input!$D$264:$D$323,"&lt;0")+COUNTIF(Credit_Input!$E$264:$E$323,"&lt;0")+COUNTIF(Credit_Input!$F$264:$F$323,"&lt;0")+COUNTIF(Credit_Input!$G$264:$G$323,"&lt;0")+COUNTIF(Credit_Input!$H$264:$H$323,"&lt;0")+COUNTIF(Credit_Input!$I$264:$I$323,"&lt;0")+COUNTIF(Credit_Input!$J$264:$J$323,"&lt;0")+COUNTIF(Credit_Input!$K$264:$K$323,"&lt;0")+COUNTIF(Credit_Input!$L$264:$L$323,"&lt;0")+COUNTIF(Credit_Input!$M$264:$M$323,"&lt;0")+COUNTIF(Credit_Input!$N$264:$N$323,"&lt;0")+COUNTIF(Credit_Input!$O$264:$O$323,"&lt;0")+COUNTIF(Credit_Input!$P$264:$P$323,"&lt;0")+COUNTIF(Credit_Input!$Q$264:$Q$323,"&lt;0")+COUNTIF(Credit_Input!$R$264:$R$323,"&lt;0")+COUNTIF(Credit_Input!$S$264:$S$323,"&lt;0")&gt;0,1,0)+IF(SUMPRODUCT(ISNUMBER(Credit_Input!$Q$8:$Q$67)*ISNUMBER(Credit_Input!$R$8:$R$67)*(Credit_Input!$Q$8:$Q$67&gt;2*Credit_Input!$R$8:$R$67+0.5))+SUMPRODUCT(ISNUMBER(Credit_Input!$Q$72:$Q$131)*ISNUMBER(Credit_Input!$R$72:$R$131)*(Credit_Input!$Q$72:$Q$131&gt;2*Credit_Input!$R$72:$R$131+0.5))+SUMPRODUCT(ISNUMBER(Credit_Input!$Q$136:$Q$195)*ISNUMBER(Credit_Input!$R$136:$R$195)*(Credit_Input!$Q$136:$Q$195&gt;2*Credit_Input!$R$136:$R$195+0.5))+SUMPRODUCT(ISNUMBER(Credit_Input!$Q$200:$Q$259)*ISNUMBER(Credit_Input!$R$200:$R$259)*(Credit_Input!$Q$200:$Q$259&gt;2*Credit_Input!$R$200:$R$259+0.5))+SUMPRODUCT(ISNUMBER(Credit_Input!$Q$264:$Q$323)*ISNUMBER(Credit_Input!$R$264:$R$323)*(Credit_Input!$Q$264:$Q$323&gt;2*Credit_Input!$R$264:$R$323+0.5))&gt;0,1,0)+IF(IFERROR(SUMPRODUCT(ISNUMBER(Credit_Input!$B$9:$B$67)*ISNUMBER(Credit_Input!$B$8:$B$66)*((YEAR(Credit_Input!$B$9:$B$67)*12+MONTH(Credit_Input!$B$9:$B$67))-(YEAR(Credit_Input!$B$8:$B$66)*12+MONTH(Credit_Input!$B$8:$B$66))&lt;&gt;1)),1)+IFERROR(SUMPRODUCT(ISNUMBER(Credit_Input!$B$73:$B$131)*ISNUMBER(Credit_Input!$B$72:$B$130)*((YEAR(Credit_Input!$B$73:$B$131)*12+MONTH(Credit_Input!$B$73:$B$131))-(YEAR(Credit_Input!$B$72:$B$130)*12+MONTH(Credit_Input!$B$72:$B$130))&lt;&gt;1))+SUMPRODUCT(ISNUMBER(Credit_Input!$B$72:$B$131)*ISNUMBER(Credit_Input!$B$8:$B$67)*(Credit_Input!$B$72:$B$131&lt;&gt;Credit_Input!$B$8:$B$67)),1)+IFERROR(SUMPRODUCT(ISNUMBER(Credit_Input!$B$137:$B$195)*ISNUMBER(Credit_Input!$B$136:$B$194)*((YEAR(Credit_Input!$B$137:$B$195)*12+MONTH(Credit_Input!$B$137:$B$195))-(YEAR(Credit_Input!$B$136:$B$194)*12+MONTH(Credit_Input!$B$136:$B$194))&lt;&gt;1))+SUMPRODUCT(ISNUMBER(Credit_Input!$B$136:$B$195)*ISNUMBER(Credit_Input!$B$8:$B$67)*(Credit_Input!$B$136:$B$195&lt;&gt;Credit_Input!$B$8:$B$67)),1)+IFERROR(SUMPRODUCT(ISNUMBER(Credit_Input!$B$201:$B$259)*ISNUMBER(Credit_Input!$B$200:$B$258)*((YEAR(Credit_Input!$B$201:$B$259)*12+MONTH(Credit_Input!$B$201:$B$259))-(YEAR(Credit_Input!$B$200:$B$258)*12+MONTH(Credit_Input!$B$200:$B$258))&lt;&gt;1))+SUMPRODUCT(ISNUMBER(Credit_Input!$B$200:$B$259)*ISNUMBER(Credit_Input!$B$8:$B$67)*(Credit_Input!$B$200:$B$259&lt;&gt;Credit_Input!$B$8:$B$67)),1)+IFERROR(SUMPRODUCT(ISNUMBER(Credit_Input!$B$265:$B$323)*ISNUMBER(Credit_Input!$B$264:$B$322)*((YEAR(Credit_Input!$B$265:$B$323)*12+MONTH(Credit_Input!$B$265:$B$323))-(YEAR(Credit_Input!$B$264:$B$322)*12+MONTH(Credit_Input!$B$264:$B$322))&lt;&gt;1))+SUMPRODUCT(ISNUMBER(Credit_Input!$B$264:$B$323)*ISNUMBER(Credit_Input!$B$8:$B$67)*(Credit_Input!$B$264:$B$323&lt;&gt;Credit_Input!$B$8:$B$67)),1)&gt;0,1,0)</f>
        <v/>
      </c>
    </row>
    <row r="20">
      <c r="A20" s="34" t="inlineStr">
        <is>
          <t>Indicative ECL non-negative</t>
        </is>
      </c>
      <c r="B20" s="34" t="inlineStr">
        <is>
          <t>flag</t>
        </is>
      </c>
      <c r="C20" s="80">
        <f>IF(MIN(MIN(Credit_Engine!$E$59:$BL$59),MIN(Credit_Engine!$E$32:$BL$32),MIN(Credit_Engine!$E$115:$BL$115),MIN(Credit_Engine!$E$88:$BL$88),MIN(Credit_Engine!$E$171:$BL$171),MIN(Credit_Engine!$E$144:$BL$144),MIN(Credit_Engine!$E$227:$BL$227),MIN(Credit_Engine!$E$200:$BL$200),MIN(Credit_Engine!$E$283:$BL$283),MIN(Credit_Engine!$E$256:$BL$256))&lt;-1,1,0)</f>
        <v/>
      </c>
    </row>
    <row r="21">
      <c r="A21" s="34" t="inlineStr">
        <is>
          <t>Facility drawn within borrowing base and limit</t>
        </is>
      </c>
      <c r="B21" s="34" t="inlineStr">
        <is>
          <t>flag</t>
        </is>
      </c>
      <c r="C21" s="80">
        <f>IF(OR(SUMPRODUCT(--(Financing!$E$23:$BL$23&gt;Financing!$E$22:$BL$22+1))&gt;0,MAX(Financing!$E$23:$BL$23)&gt;Inputs!$C$55+1),1,0)</f>
        <v/>
      </c>
    </row>
    <row r="22">
      <c r="A22" s="34" t="inlineStr">
        <is>
          <t>Proxy shares of receivables at risk sum to 100%</t>
        </is>
      </c>
      <c r="B22" s="34" t="inlineStr">
        <is>
          <t>flag</t>
        </is>
      </c>
      <c r="C22" s="80">
        <f>IF(ABS(Credit_Assumptions!$C$21+Credit_Assumptions!$C$22+Credit_Assumptions!$C$23+Credit_Assumptions!$C$24-1)&gt;0.0001,1,0)</f>
        <v/>
      </c>
    </row>
    <row r="23">
      <c r="A23" s="34" t="inlineStr">
        <is>
          <t>Hybrid RBF weights sum to 100%</t>
        </is>
      </c>
      <c r="B23" s="34" t="inlineStr">
        <is>
          <t>flag</t>
        </is>
      </c>
      <c r="C23" s="80">
        <f>IF(ABS(Inputs!$C$36+Inputs!$C$37+Inputs!$C$38-1)&gt;0.0001,1,0)</f>
        <v/>
      </c>
    </row>
    <row r="24">
      <c r="A24" s="34" t="inlineStr">
        <is>
          <t>RBF mode valid (whole number 1 to 4)</t>
        </is>
      </c>
      <c r="B24" s="34" t="inlineStr">
        <is>
          <t>flag</t>
        </is>
      </c>
      <c r="C24" s="80">
        <f>IFERROR(IF(AND(ISNUMBER(Inputs!$C$34),Inputs!$C$34=INT(Inputs!$C$34),Inputs!$C$34&gt;=1,Inputs!$C$34&lt;=4),0,1),1)</f>
        <v/>
      </c>
    </row>
    <row r="25">
      <c r="A25" s="34" t="inlineStr">
        <is>
          <t>Stage thresholds ordered (Stage 2 &lt; Stage 3 &lt;= default)</t>
        </is>
      </c>
      <c r="B25" s="34" t="inlineStr">
        <is>
          <t>flag</t>
        </is>
      </c>
      <c r="C25" s="80">
        <f>IF(OR(Credit_Assumptions!$C$9&gt;=Credit_Assumptions!$C$10,Credit_Assumptions!$C$10&gt;Credit_Assumptions!$C$8),1,0)</f>
        <v/>
      </c>
    </row>
    <row r="26">
      <c r="A26" s="34" t="inlineStr">
        <is>
          <t>Structural and range inputs valid: selectors and switches; opening FX above zero; depreciation life, lags, loan drawdown, grace and amortisation months within the horizon; rates, shares, hazards, collection and advance rates from 0 to 1; amounts, prices and incomes not negative (detail below the readiness flags)</t>
        </is>
      </c>
      <c r="B26" s="34" t="inlineStr">
        <is>
          <t>flag</t>
        </is>
      </c>
      <c r="C26" s="80">
        <f>IF(SUM(C58:C66)&gt;0,1,0)</f>
        <v/>
      </c>
    </row>
    <row r="27">
      <c r="A27" s="34" t="inlineStr">
        <is>
          <t>PERFORM horizon = 2 x tenor for every tier</t>
        </is>
      </c>
      <c r="B27" s="34" t="inlineStr">
        <is>
          <t>flag</t>
        </is>
      </c>
      <c r="C27" s="80">
        <f>IF(Products!$C$45&lt;&gt;2*Products!$C$16,1,0)+IF(Products!$D$45&lt;&gt;2*Products!$D$16,1,0)+IF(Products!$E$45&lt;&gt;2*Products!$E$16,1,0)+IF(Products!$F$45&lt;&gt;2*Products!$F$16,1,0)+IF(Products!$G$45&lt;&gt;2*Products!$G$16,1,0)</f>
        <v/>
      </c>
    </row>
    <row r="28">
      <c r="A28" s="34" t="inlineStr">
        <is>
          <t>Vintage cohort modes valid (1 or 2)</t>
        </is>
      </c>
      <c r="B28" s="34" t="inlineStr">
        <is>
          <t>flag</t>
        </is>
      </c>
      <c r="C28" s="80">
        <f>(ROWS(Vintage_Input!$B$9:$B$68)-COUNTIF(Vintage_Input!$B$9:$B$68,1)-COUNTIF(Vintage_Input!$B$9:$B$68,2))+(ROWS(Vintage_Input!$B$74:$B$133)-COUNTIF(Vintage_Input!$B$74:$B$133,1)-COUNTIF(Vintage_Input!$B$74:$B$133,2))+(ROWS(Vintage_Input!$B$139:$B$198)-COUNTIF(Vintage_Input!$B$139:$B$198,1)-COUNTIF(Vintage_Input!$B$139:$B$198,2))+(ROWS(Vintage_Input!$B$204:$B$263)-COUNTIF(Vintage_Input!$B$204:$B$263,1)-COUNTIF(Vintage_Input!$B$204:$B$263,2))+(ROWS(Vintage_Input!$B$269:$B$328)-COUNTIF(Vintage_Input!$B$269:$B$328,1)-COUNTIF(Vintage_Input!$B$269:$B$328,2))</f>
        <v/>
      </c>
    </row>
    <row r="29">
      <c r="A29" s="34" t="inlineStr">
        <is>
          <t>Receivables roll forward every month (opening plus originations and financing income, less collections and write-offs, equals closing; Ops = FS)</t>
        </is>
      </c>
      <c r="B29" s="34" t="inlineStr">
        <is>
          <t>flag</t>
        </is>
      </c>
      <c r="C29" s="80">
        <f>IF(SUMPRODUCT(ABS(Ops!$E$149:$BL$149-Ops!$D$149:$BK$149-Ops!$E$138:$BL$138-Ops!$E$142:$BL$142+Ops!$E$140:$BL$140+Ops!$E$141:$BL$141))+SUMPRODUCT(ABS(FS!$E$34:$BL$34-Ops!$E$149:$BL$149))&gt;1,1,0)</f>
        <v/>
      </c>
    </row>
    <row r="30">
      <c r="A30" s="34" t="inlineStr">
        <is>
          <t>Loss allowance roll forward (opening, less ECL charged, plus amounts written off, equals closing)</t>
        </is>
      </c>
      <c r="B30" s="34" t="inlineStr">
        <is>
          <t>flag</t>
        </is>
      </c>
      <c r="C30" s="80">
        <f>IF(SUMPRODUCT(ABS(FS!$E$35:$BL$35-FS!$D$35:$BK$35+Ops!$E$143:$BL$143-Ops!$E$141:$BL$141))&gt;1,1,0)</f>
        <v/>
      </c>
    </row>
    <row r="31">
      <c r="A31" s="34" t="inlineStr">
        <is>
          <t>USD term loan roll forward in USD and in LCY (translation at month-end FX; FS = Financing)</t>
        </is>
      </c>
      <c r="B31" s="34" t="inlineStr">
        <is>
          <t>flag</t>
        </is>
      </c>
      <c r="C31" s="80">
        <f>IF(SUMPRODUCT(ABS(Financing!$E$15:$BL$15-Financing!$D$15:$BK$15-Financing!$E$13:$BL$13+Financing!$E$14:$BL$14))+SUMPRODUCT(ABS(Financing!$E$19:$BL$19-Financing!$D$19:$BK$19-Financing!$E$17:$BL$17+Financing!$E$18:$BL$18-Financing!$E$20:$BL$20))+SUMPRODUCT(ABS(FS!$E$41:$BL$41-Financing!$E$19:$BL$19))&gt;1,1,0)</f>
        <v/>
      </c>
    </row>
    <row r="32">
      <c r="A32" s="34" t="inlineStr">
        <is>
          <t>Receivables facility roll forward (opening + net drawdown = closing; FS = Financing)</t>
        </is>
      </c>
      <c r="B32" s="34" t="inlineStr">
        <is>
          <t>flag</t>
        </is>
      </c>
      <c r="C32" s="80">
        <f>IF(SUMPRODUCT(ABS(Financing!$E$23:$BL$23-Financing!$D$23:$BK$23-Financing!$E$24:$BL$24))+SUMPRODUCT(ABS(FS!$E$42:$BL$42-Financing!$E$23:$BL$23))+SUMPRODUCT(ABS(FS!$E$60:$BL$60-Financing!$E$24:$BL$24))&gt;1,1,0)</f>
        <v/>
      </c>
    </row>
    <row r="33">
      <c r="A33" s="34" t="inlineStr">
        <is>
          <t>Equity roll forward (opening + net income + equity injected = closing; no dividends)</t>
        </is>
      </c>
      <c r="B33" s="34" t="inlineStr">
        <is>
          <t>flag</t>
        </is>
      </c>
      <c r="C33" s="80">
        <f>IF(SUMPRODUCT(ABS(FS!$E$46:$BL$46-FS!$D$46:$BK$46-FS!$E$30:$BL$30-FS!$E$61:$BL$61-FS!$E$64:$BL$64))+SUMPRODUCT(ABS(Financing!$E$11:$BL$11-Financing!$D$11:$BK$11-Financing!$E$9:$BL$9-Financing!$E$10:$BL$10))&gt;1,1,0)</f>
        <v/>
      </c>
    </row>
    <row r="34">
      <c r="A34" s="34" t="inlineStr">
        <is>
          <t>Cohort totals equal portfolio totals (cohort sizes = units sold; tier rows sum to totals for collections, instalments due, receivables)</t>
        </is>
      </c>
      <c r="B34" s="34" t="inlineStr">
        <is>
          <t>flag</t>
        </is>
      </c>
      <c r="C34" s="80">
        <f>IF(ABS(SUM(Cohort_T1!$C$10:$C$69)-SUM(Ops!$E$10:$BL$10))+ABS(SUM(Cohort_T1!$C$73:$C$132)-SUM(Ops!$E$9:$BL$9))+ABS(SUM(Cohort_T2!$C$10:$C$69)-SUM(Ops!$E$35:$BL$35))+ABS(SUM(Cohort_T2!$C$73:$C$132)-SUM(Ops!$E$34:$BL$34))+ABS(SUM(Cohort_T3!$C$10:$C$69)-SUM(Ops!$E$60:$BL$60))+ABS(SUM(Cohort_T3!$C$73:$C$132)-SUM(Ops!$E$59:$BL$59))+ABS(SUM(Cohort_T4!$C$10:$C$69)-SUM(Ops!$E$85:$BL$85))+ABS(SUM(Cohort_T4!$C$73:$C$132)-SUM(Ops!$E$84:$BL$84))+ABS(SUM(Cohort_T5!$C$10:$C$69)-SUM(Ops!$E$110:$BL$110))+ABS(SUM(Cohort_T5!$C$73:$C$132)-SUM(Ops!$E$109:$BL$109))+SUMPRODUCT(ABS(Ops!$E$140:$BL$140-(Ops!$E$15:$BL$15+Ops!$E$40:$BL$40+Ops!$E$65:$BL$65+Ops!$E$90:$BL$90+Ops!$E$115:$BL$115)))+SUMPRODUCT(ABS(Ops!$E$139:$BL$139-(Ops!$E$14:$BL$14+Ops!$E$39:$BL$39+Ops!$E$64:$BL$64+Ops!$E$89:$BL$89+Ops!$E$114:$BL$114)))+SUMPRODUCT(ABS(Ops!$E$149:$BL$149-(Ops!$E$24:$BL$24+Ops!$E$49:$BL$49+Ops!$E$74:$BL$74+Ops!$E$99:$BL$99+Ops!$E$124:$BL$124)))&gt;1,1,0)</f>
        <v/>
      </c>
    </row>
    <row r="35">
      <c r="A35" s="34" t="inlineStr">
        <is>
          <t>Vintage engine carries cohort units from Vintage_Input (all tiers)</t>
        </is>
      </c>
      <c r="B35" s="34" t="inlineStr">
        <is>
          <t>flag</t>
        </is>
      </c>
      <c r="C35" s="80">
        <f>IF(ABS(SUM(Vintage_Engine!$C$61:$C$120)-SUM(Vintage_Input!$C$9:$C$68))+ABS(SUM(Vintage_Engine!$C$125:$C$184)-SUM(Vintage_Input!$C$74:$C$133))+ABS(SUM(Vintage_Engine!$C$189:$C$248)-SUM(Vintage_Input!$C$139:$C$198))+ABS(SUM(Vintage_Engine!$C$253:$C$312)-SUM(Vintage_Input!$C$204:$C$263))+ABS(SUM(Vintage_Engine!$C$317:$C$376)-SUM(Vintage_Input!$C$269:$C$328))&gt;0.5,1,0)</f>
        <v/>
      </c>
    </row>
    <row r="36">
      <c r="A36" s="34" t="inlineStr">
        <is>
          <t>Vintage_Input: cumulative collections never fall and leave no gap between checkpoints; units not negative</t>
        </is>
      </c>
      <c r="B36" s="34" t="inlineStr">
        <is>
          <t>flag</t>
        </is>
      </c>
      <c r="C36" s="80">
        <f>IF(SUM(Vintage_Input!$BJ$9:$BJ$68)+SUM(Vintage_Input!$BJ$74:$BJ$133)+SUM(Vintage_Input!$BJ$139:$BJ$198)+SUM(Vintage_Input!$BJ$204:$BJ$263)+SUM(Vintage_Input!$BJ$269:$BJ$328)&gt;0,1,0)</f>
        <v/>
      </c>
    </row>
    <row r="37">
      <c r="A37" s="34" t="inlineStr">
        <is>
          <t>Vintage_Input: cumulative instalments due never fall and leave no gap between checkpoints</t>
        </is>
      </c>
      <c r="B37" s="34" t="inlineStr">
        <is>
          <t>flag</t>
        </is>
      </c>
      <c r="C37" s="80">
        <f>IF(SUM(Vintage_Input!$BK$9:$BK$68)+SUM(Vintage_Input!$BK$74:$BK$133)+SUM(Vintage_Input!$BK$139:$BK$198)+SUM(Vintage_Input!$BK$204:$BK$263)+SUM(Vintage_Input!$BK$269:$BK$328)&gt;0,1,0)</f>
        <v/>
      </c>
    </row>
    <row r="38">
      <c r="A38" s="34" t="inlineStr">
        <is>
          <t>RBF: statements equal the engine's selected design, RBF non-negative, cumulative disbursements never above cumulative claims (RBF is never part of customer collections, which come from the cohorts only)</t>
        </is>
      </c>
      <c r="B38" s="34" t="inlineStr">
        <is>
          <t>flag</t>
        </is>
      </c>
      <c r="C38" s="80">
        <f>IF(ABS(SUM(FS!$E$15:$BL$15)-SUM(RBF_Engine!$E$58:$BL$58))+ABS(SUM(Ops!$E$145:$BL$145)-SUM(RBF_Engine!$E$58:$BL$58))&gt;1,1,0)+IF(MIN(RBF_Engine!$E$58:$BL$58)&lt;-1,1,0)+IF(MIN(RBF_Engine!$E$67:$BL$67)&lt;-0.01,1,0)</f>
        <v/>
      </c>
    </row>
    <row r="39">
      <c r="A39" s="34" t="inlineStr">
        <is>
          <t>Valuation reconciles to the statements (EBITDA, tax, capex, Year 5 working capital)</t>
        </is>
      </c>
      <c r="B39" s="34" t="inlineStr">
        <is>
          <t>flag</t>
        </is>
      </c>
      <c r="C39" s="80">
        <f>IF(ABS(SUM(Valuation!$E$9:$I$9)-SUM(FS!$E$19:$BL$19))+ABS(SUM(Valuation!$E$10:$I$10)-SUM(FS!$E$29:$BL$29))+ABS(SUM(Valuation!$E$11:$I$11)+SUM(Costs!$E$26:$BL$26))+ABS(Valuation!$I$12-(FS!$BL$36+FS!$BL$37-FS!$BL$40))&gt;1,1,0)</f>
        <v/>
      </c>
    </row>
    <row r="40">
      <c r="A40" s="34" t="inlineStr">
        <is>
          <t>Scenario levers in use equal the selected scenario column (no overwritten lever)</t>
        </is>
      </c>
      <c r="B40" s="34" t="inlineStr">
        <is>
          <t>flag</t>
        </is>
      </c>
      <c r="C40" s="80">
        <f>IF(SUMPRODUCT(ABS(Scenarios!$G$6:$G$10-CHOOSE(MAX(1,MIN(3,INT(N(Inputs!$C$5)))),Scenarios!$C$6:$C$10,Scenarios!$D$6:$D$10,Scenarios!$E$6:$E$10)))&gt;0.000001,1,0)</f>
        <v/>
      </c>
    </row>
    <row r="41">
      <c r="A41" s="34" t="inlineStr">
        <is>
          <t>PERFORM_2026 inputs: no negative values, numerators within denominators (RR PvP, PvFin, at 90 days, at 2x; ownership), contracts at 2x within contracts</t>
        </is>
      </c>
      <c r="B41" s="34" t="inlineStr">
        <is>
          <t>flag</t>
        </is>
      </c>
      <c r="C41" s="80">
        <f>IF(COUNTIF(PERFORM_2026!$C$43:$C$102,"&lt;0")+COUNTIF(PERFORM_2026!$D$43:$D$102,"&lt;0")+COUNTIF(PERFORM_2026!$E$43:$E$102,"&lt;0")+COUNTIF(PERFORM_2026!$F$43:$F$102,"&lt;0")+COUNTIF(PERFORM_2026!$G$43:$G$102,"&lt;0")+COUNTIF(PERFORM_2026!$H$43:$H$102,"&lt;0")+COUNTIF(PERFORM_2026!$I$43:$I$102,"&lt;0")+COUNTIF(PERFORM_2026!$J$43:$J$102,"&lt;0")+COUNTIF(PERFORM_2026!$K$43:$K$102,"&lt;0")+COUNTIF(PERFORM_2026!$L$43:$L$102,"&lt;0")+COUNTIF(PERFORM_2026!$M$43:$M$102,"&lt;0")+COUNTIF(PERFORM_2026!$C$108:$C$167,"&lt;0")+COUNTIF(PERFORM_2026!$D$108:$D$167,"&lt;0")+COUNTIF(PERFORM_2026!$E$108:$E$167,"&lt;0")+COUNTIF(PERFORM_2026!$F$108:$F$167,"&lt;0")+COUNTIF(PERFORM_2026!$G$108:$G$167,"&lt;0")+COUNTIF(PERFORM_2026!$H$108:$H$167,"&lt;0")+COUNTIF(PERFORM_2026!$I$108:$I$167,"&lt;0")+COUNTIF(PERFORM_2026!$J$108:$J$167,"&lt;0")+COUNTIF(PERFORM_2026!$K$108:$K$167,"&lt;0")+COUNTIF(PERFORM_2026!$L$108:$L$167,"&lt;0")+COUNTIF(PERFORM_2026!$M$108:$M$167,"&lt;0")+COUNTIF(PERFORM_2026!$C$173:$C$232,"&lt;0")+COUNTIF(PERFORM_2026!$D$173:$D$232,"&lt;0")+COUNTIF(PERFORM_2026!$E$173:$E$232,"&lt;0")+COUNTIF(PERFORM_2026!$F$173:$F$232,"&lt;0")+COUNTIF(PERFORM_2026!$G$173:$G$232,"&lt;0")+COUNTIF(PERFORM_2026!$H$173:$H$232,"&lt;0")+COUNTIF(PERFORM_2026!$I$173:$I$232,"&lt;0")+COUNTIF(PERFORM_2026!$J$173:$J$232,"&lt;0")+COUNTIF(PERFORM_2026!$K$173:$K$232,"&lt;0")+COUNTIF(PERFORM_2026!$L$173:$L$232,"&lt;0")+COUNTIF(PERFORM_2026!$M$173:$M$232,"&lt;0")+COUNTIF(PERFORM_2026!$C$238:$C$297,"&lt;0")+COUNTIF(PERFORM_2026!$D$238:$D$297,"&lt;0")+COUNTIF(PERFORM_2026!$E$238:$E$297,"&lt;0")+COUNTIF(PERFORM_2026!$F$238:$F$297,"&lt;0")+COUNTIF(PERFORM_2026!$G$238:$G$297,"&lt;0")+COUNTIF(PERFORM_2026!$H$238:$H$297,"&lt;0")+COUNTIF(PERFORM_2026!$I$238:$I$297,"&lt;0")+COUNTIF(PERFORM_2026!$J$238:$J$297,"&lt;0")+COUNTIF(PERFORM_2026!$K$238:$K$297,"&lt;0")+COUNTIF(PERFORM_2026!$L$238:$L$297,"&lt;0")+COUNTIF(PERFORM_2026!$M$238:$M$297,"&lt;0")+COUNTIF(PERFORM_2026!$C$303:$C$362,"&lt;0")+COUNTIF(PERFORM_2026!$D$303:$D$362,"&lt;0")+COUNTIF(PERFORM_2026!$E$303:$E$362,"&lt;0")+COUNTIF(PERFORM_2026!$F$303:$F$362,"&lt;0")+COUNTIF(PERFORM_2026!$G$303:$G$362,"&lt;0")+COUNTIF(PERFORM_2026!$H$303:$H$362,"&lt;0")+COUNTIF(PERFORM_2026!$I$303:$I$362,"&lt;0")+COUNTIF(PERFORM_2026!$J$303:$J$362,"&lt;0")+COUNTIF(PERFORM_2026!$K$303:$K$362,"&lt;0")+COUNTIF(PERFORM_2026!$L$303:$L$362,"&lt;0")+COUNTIF(PERFORM_2026!$M$303:$M$362,"&lt;0")+SUMPRODUCT(ISNUMBER(PERFORM_2026!$D$43:$D$102)*(PERFORM_2026!$D$43:$D$102&gt;PERFORM_2026!$E$43:$E$102+0.5))+SUMPRODUCT(ISNUMBER(PERFORM_2026!$F$43:$F$102)*(PERFORM_2026!$F$43:$F$102&gt;PERFORM_2026!$G$43:$G$102+0.5))+SUMPRODUCT(ISNUMBER(PERFORM_2026!$H$43:$H$102)*(PERFORM_2026!$H$43:$H$102&gt;PERFORM_2026!$I$43:$I$102+0.5))+SUMPRODUCT(ISNUMBER(PERFORM_2026!$J$43:$J$102)*(PERFORM_2026!$J$43:$J$102&gt;PERFORM_2026!$K$43:$K$102+0.5))+SUMPRODUCT(ISNUMBER(PERFORM_2026!$L$43:$L$102)*(PERFORM_2026!$L$43:$L$102&gt;PERFORM_2026!$M$43:$M$102+0.5))+SUMPRODUCT(ISNUMBER(PERFORM_2026!$M$43:$M$102)*(PERFORM_2026!$M$43:$M$102&gt;PERFORM_2026!$C$43:$C$102+0.5))+SUMPRODUCT(ISNUMBER(PERFORM_2026!$D$108:$D$167)*(PERFORM_2026!$D$108:$D$167&gt;PERFORM_2026!$E$108:$E$167+0.5))+SUMPRODUCT(ISNUMBER(PERFORM_2026!$F$108:$F$167)*(PERFORM_2026!$F$108:$F$167&gt;PERFORM_2026!$G$108:$G$167+0.5))+SUMPRODUCT(ISNUMBER(PERFORM_2026!$H$108:$H$167)*(PERFORM_2026!$H$108:$H$167&gt;PERFORM_2026!$I$108:$I$167+0.5))+SUMPRODUCT(ISNUMBER(PERFORM_2026!$J$108:$J$167)*(PERFORM_2026!$J$108:$J$167&gt;PERFORM_2026!$K$108:$K$167+0.5))+SUMPRODUCT(ISNUMBER(PERFORM_2026!$L$108:$L$167)*(PERFORM_2026!$L$108:$L$167&gt;PERFORM_2026!$M$108:$M$167+0.5))+SUMPRODUCT(ISNUMBER(PERFORM_2026!$M$108:$M$167)*(PERFORM_2026!$M$108:$M$167&gt;PERFORM_2026!$C$108:$C$167+0.5))+SUMPRODUCT(ISNUMBER(PERFORM_2026!$D$173:$D$232)*(PERFORM_2026!$D$173:$D$232&gt;PERFORM_2026!$E$173:$E$232+0.5))+SUMPRODUCT(ISNUMBER(PERFORM_2026!$F$173:$F$232)*(PERFORM_2026!$F$173:$F$232&gt;PERFORM_2026!$G$173:$G$232+0.5))+SUMPRODUCT(ISNUMBER(PERFORM_2026!$H$173:$H$232)*(PERFORM_2026!$H$173:$H$232&gt;PERFORM_2026!$I$173:$I$232+0.5))+SUMPRODUCT(ISNUMBER(PERFORM_2026!$J$173:$J$232)*(PERFORM_2026!$J$173:$J$232&gt;PERFORM_2026!$K$173:$K$232+0.5))+SUMPRODUCT(ISNUMBER(PERFORM_2026!$L$173:$L$232)*(PERFORM_2026!$L$173:$L$232&gt;PERFORM_2026!$M$173:$M$232+0.5))+SUMPRODUCT(ISNUMBER(PERFORM_2026!$M$173:$M$232)*(PERFORM_2026!$M$173:$M$232&gt;PERFORM_2026!$C$173:$C$232+0.5))+SUMPRODUCT(ISNUMBER(PERFORM_2026!$D$238:$D$297)*(PERFORM_2026!$D$238:$D$297&gt;PERFORM_2026!$E$238:$E$297+0.5))+SUMPRODUCT(ISNUMBER(PERFORM_2026!$F$238:$F$297)*(PERFORM_2026!$F$238:$F$297&gt;PERFORM_2026!$G$238:$G$297+0.5))+SUMPRODUCT(ISNUMBER(PERFORM_2026!$H$238:$H$297)*(PERFORM_2026!$H$238:$H$297&gt;PERFORM_2026!$I$238:$I$297+0.5))+SUMPRODUCT(ISNUMBER(PERFORM_2026!$J$238:$J$297)*(PERFORM_2026!$J$238:$J$297&gt;PERFORM_2026!$K$238:$K$297+0.5))+SUMPRODUCT(ISNUMBER(PERFORM_2026!$L$238:$L$297)*(PERFORM_2026!$L$238:$L$297&gt;PERFORM_2026!$M$238:$M$297+0.5))+SUMPRODUCT(ISNUMBER(PERFORM_2026!$M$238:$M$297)*(PERFORM_2026!$M$238:$M$297&gt;PERFORM_2026!$C$238:$C$297+0.5))+SUMPRODUCT(ISNUMBER(PERFORM_2026!$D$303:$D$362)*(PERFORM_2026!$D$303:$D$362&gt;PERFORM_2026!$E$303:$E$362+0.5))+SUMPRODUCT(ISNUMBER(PERFORM_2026!$F$303:$F$362)*(PERFORM_2026!$F$303:$F$362&gt;PERFORM_2026!$G$303:$G$362+0.5))+SUMPRODUCT(ISNUMBER(PERFORM_2026!$H$303:$H$362)*(PERFORM_2026!$H$303:$H$362&gt;PERFORM_2026!$I$303:$I$362+0.5))+SUMPRODUCT(ISNUMBER(PERFORM_2026!$J$303:$J$362)*(PERFORM_2026!$J$303:$J$362&gt;PERFORM_2026!$K$303:$K$362+0.5))+SUMPRODUCT(ISNUMBER(PERFORM_2026!$L$303:$L$362)*(PERFORM_2026!$L$303:$L$362&gt;PERFORM_2026!$M$303:$M$362+0.5))+SUMPRODUCT(ISNUMBER(PERFORM_2026!$M$303:$M$362)*(PERFORM_2026!$M$303:$M$362&gt;PERFORM_2026!$C$303:$C$362+0.5))&gt;0,1,0)</f>
        <v/>
      </c>
    </row>
    <row r="42">
      <c r="A42" s="34" t="inlineStr">
        <is>
          <t>No impossible negative balances (inventory, fixed assets, payables, active accounts, units, debt, cumulative equity)</t>
        </is>
      </c>
      <c r="B42" s="34" t="inlineStr">
        <is>
          <t>flag</t>
        </is>
      </c>
      <c r="C42" s="80">
        <f>IF(MIN(MIN(Costs!$E$22:$BL$22),MIN(Costs!$E$28:$BL$28),MIN(Costs!$E$24:$BL$24),MIN(Ops!$E$146:$BL$146),MIN(Ops!$E$134:$BL$134),MIN(Financing!$E$15:$BL$15),MIN(Financing!$E$23:$BL$23),MIN(Financing!$E$11:$BL$11))&lt;-1,1,0)</f>
        <v/>
      </c>
    </row>
    <row r="43"/>
    <row r="44">
      <c r="A44" s="19" t="inlineStr">
        <is>
          <t>MASTER CHECK</t>
        </is>
      </c>
      <c r="C44" s="64">
        <f>IF(SUMPRODUCT(--ISERROR(C5:C42))&gt;0,"ERROR",IF(SUM(C5:C42)=0,"OK","ERROR"))</f>
        <v/>
      </c>
    </row>
    <row r="45"/>
    <row r="46">
      <c r="A46" s="109" t="inlineStr">
        <is>
          <t>READINESS FLAGS (informational: not part of the master check)</t>
        </is>
      </c>
    </row>
    <row r="47">
      <c r="A47" s="40" t="inlineStr">
        <is>
          <t>Flag</t>
        </is>
      </c>
      <c r="B47" s="40" t="inlineStr">
        <is>
          <t>Unit</t>
        </is>
      </c>
      <c r="C47" s="40" t="inlineStr">
        <is>
          <t>Value (1 = attention)</t>
        </is>
      </c>
    </row>
    <row r="48">
      <c r="A48" s="34" t="inlineStr">
        <is>
          <t>Consumer affordability assumptions not yet reviewed</t>
        </is>
      </c>
      <c r="B48" s="34" t="inlineStr">
        <is>
          <t>flag</t>
        </is>
      </c>
      <c r="C48" s="23">
        <f>IF(Consumer_Risk!$C$5=1,0,1)</f>
        <v/>
      </c>
    </row>
    <row r="49">
      <c r="A49" s="34" t="inlineStr">
        <is>
          <t>Tiers above the affordability threshold</t>
        </is>
      </c>
      <c r="B49" s="34" t="inlineStr">
        <is>
          <t>flag</t>
        </is>
      </c>
      <c r="C49" s="23">
        <f>Consumer_Risk!$C$13+Consumer_Risk!$D$13+Consumer_Risk!$E$13+Consumer_Risk!$F$13+Consumer_Risk!$G$13</f>
        <v/>
      </c>
    </row>
    <row r="50">
      <c r="A50" s="34" t="inlineStr">
        <is>
          <t>Actual credit data horizon not supplied (Actual mode)</t>
        </is>
      </c>
      <c r="B50" s="34" t="inlineStr">
        <is>
          <t>flag</t>
        </is>
      </c>
      <c r="C50" s="23">
        <f>IF(AND(Credit_Assumptions!$C$5=2,COUNT(Credit_Input!$D$8:$D$67)+COUNT(Credit_Input!$D$72:$D$131)+COUNT(Credit_Input!$D$136:$D$195)+COUNT(Credit_Input!$D$200:$D$259)+COUNT(Credit_Input!$D$264:$D$323)=0),1,0)</f>
        <v/>
      </c>
    </row>
    <row r="51">
      <c r="A51" s="34" t="inlineStr">
        <is>
          <t>Ownership evidence switch set without ownership data</t>
        </is>
      </c>
      <c r="B51" s="34" t="inlineStr">
        <is>
          <t>flag</t>
        </is>
      </c>
      <c r="C51" s="23">
        <f>Vintage_Dashboard!$Q$7</f>
        <v/>
      </c>
    </row>
    <row r="52">
      <c r="A52" s="34" t="inlineStr">
        <is>
          <t>Credit and vintage analysis rely on proxy data only</t>
        </is>
      </c>
      <c r="B52" s="34" t="inlineStr">
        <is>
          <t>flag</t>
        </is>
      </c>
      <c r="C52" s="23">
        <f>IF(AND(Credit_Assumptions!$C$5=1,Vintage_Dashboard!$C$4=0),1,0)</f>
        <v/>
      </c>
    </row>
    <row r="53">
      <c r="A53" s="34" t="inlineStr">
        <is>
          <t>PERFORM evidence marked Validated on Consumer_Risk without PERFORM_2026 results (tiers)</t>
        </is>
      </c>
      <c r="B53" s="34" t="inlineStr">
        <is>
          <t>flag</t>
        </is>
      </c>
      <c r="C53" s="23">
        <f>IF(AND(Consumer_Risk!$C$14="Validated",PERFORM_2026!$C$13=0),1,0)+IF(AND(Consumer_Risk!$D$14="Validated",PERFORM_2026!$D$13=0),1,0)+IF(AND(Consumer_Risk!$E$14="Validated",PERFORM_2026!$E$13=0),1,0)+IF(AND(Consumer_Risk!$F$14="Validated",PERFORM_2026!$F$13=0),1,0)+IF(AND(Consumer_Risk!$G$14="Validated",PERFORM_2026!$G$13=0),1,0)</f>
        <v/>
      </c>
    </row>
    <row r="54">
      <c r="A54" s="34" t="inlineStr">
        <is>
          <t>PERFORM_2026 cohorts with fewer than 100 contracts</t>
        </is>
      </c>
      <c r="B54" s="34" t="inlineStr">
        <is>
          <t>flag</t>
        </is>
      </c>
      <c r="C54" s="23">
        <f>PERFORM_2026!$H$15</f>
        <v/>
      </c>
    </row>
    <row r="55"/>
    <row r="56">
      <c r="A56" s="109" t="inlineStr">
        <is>
          <t>DETAIL OF CHECK ROW 26: structural and range input tests (count of inputs out of range)</t>
        </is>
      </c>
    </row>
    <row r="57">
      <c r="A57" s="40" t="inlineStr">
        <is>
          <t>Test group</t>
        </is>
      </c>
      <c r="B57" s="40" t="inlineStr">
        <is>
          <t>Unit</t>
        </is>
      </c>
      <c r="C57" s="40" t="inlineStr">
        <is>
          <t>Inputs out of range</t>
        </is>
      </c>
    </row>
    <row r="58">
      <c r="A58" s="34" t="inlineStr">
        <is>
          <t>Selectors and switches; DSCR basis</t>
        </is>
      </c>
      <c r="B58" s="34" t="inlineStr">
        <is>
          <t>count</t>
        </is>
      </c>
      <c r="C58" s="23">
        <f>IFERROR(IF(AND(ISNUMBER(Inputs!$C$60),Inputs!$C$60=INT(Inputs!$C$60),Inputs!$C$60&gt;=1,Inputs!$C$60&lt;=2),0,1),1)+IFERROR(IF(AND(ISNUMBER(Inputs!$C$83),Inputs!$C$83=INT(Inputs!$C$83),Inputs!$C$83&gt;=1,Inputs!$C$83&lt;=2),0,1),1)+IFERROR(IF(AND(ISNUMBER(Inputs!$C$32),Inputs!$C$32=INT(Inputs!$C$32),Inputs!$C$32&gt;=0,Inputs!$C$32&lt;=1),0,1),1)+IFERROR(IF(AND(ISNUMBER(Inputs!$C$39),Inputs!$C$39=INT(Inputs!$C$39),Inputs!$C$39&gt;=0,Inputs!$C$39&lt;=1),0,1),1)+IFERROR(IF(AND(ISNUMBER(Consumer_Risk!$C$5),Consumer_Risk!$C$5=INT(Consumer_Risk!$C$5),Consumer_Risk!$C$5&gt;=0,Consumer_Risk!$C$5&lt;=1),0,1),1)+IFERROR(IF(AND(ISNUMBER(Inputs!$C$88),Inputs!$C$88=INT(Inputs!$C$88),Inputs!$C$88&gt;=0,Inputs!$C$88&lt;=2),0,1),1)</f>
        <v/>
      </c>
    </row>
    <row r="59">
      <c r="A59" s="34" t="inlineStr">
        <is>
          <t>Opening FX above zero; depreciation life and lags</t>
        </is>
      </c>
      <c r="B59" s="34" t="inlineStr">
        <is>
          <t>count</t>
        </is>
      </c>
      <c r="C59" s="23">
        <f>IFERROR(IF(Inputs!$C$10&gt;0,0,1),1)+IFERROR(IF(AND(ISNUMBER(Inputs!$C$45),Inputs!$C$45=INT(Inputs!$C$45),Inputs!$C$45&gt;=1,Inputs!$C$45&lt;=600),0,1),1)+IFERROR(IF(AND(ISNUMBER(Inputs!$C$33),Inputs!$C$33=INT(Inputs!$C$33),Inputs!$C$33&gt;=0,Inputs!$C$33&lt;=60),0,1),1)+IFERROR(IF(AND(ISNUMBER(Inputs!$C$31),Inputs!$C$31=INT(Inputs!$C$31),Inputs!$C$31&gt;=0,Inputs!$C$31&lt;=60),0,1),1)</f>
        <v/>
      </c>
    </row>
    <row r="60">
      <c r="A60" s="34" t="inlineStr">
        <is>
          <t>Loan drawdown, grace and amortisation months; facility start</t>
        </is>
      </c>
      <c r="B60" s="34" t="inlineStr">
        <is>
          <t>count</t>
        </is>
      </c>
      <c r="C60" s="23">
        <f>IFERROR(IF(AND(ISNUMBER(Inputs!$C$51),Inputs!$C$51=INT(Inputs!$C$51),Inputs!$C$51&gt;=1,Inputs!$C$51&lt;=60),0,1),1)+IFERROR(IF(AND(ISNUMBER(Inputs!$C$53),Inputs!$C$53=INT(Inputs!$C$53),Inputs!$C$53&gt;=0,Inputs!$C$53&lt;=60),0,1),1)+IFERROR(IF(AND(ISNUMBER(Inputs!$C$54),Inputs!$C$54=INT(Inputs!$C$54),Inputs!$C$54&gt;=1,Inputs!$C$54&lt;=60),0,1),1)+IFERROR(IF(AND(ISNUMBER(Inputs!$C$57),Inputs!$C$57=INT(Inputs!$C$57),Inputs!$C$57&gt;=1,Inputs!$C$57&lt;=60),0,1),1)</f>
        <v/>
      </c>
    </row>
    <row r="61">
      <c r="A61" s="34" t="inlineStr">
        <is>
          <t>Rates, fees and macro inputs in range</t>
        </is>
      </c>
      <c r="B61" s="34" t="inlineStr">
        <is>
          <t>count</t>
        </is>
      </c>
      <c r="C61" s="23">
        <f>IFERROR(IF(AND(ISNUMBER(Inputs!$C$12),Inputs!$C$12&gt;=0,Inputs!$C$12&lt;=1),0,1),1)+IFERROR(IF(AND(ISNUMBER(Inputs!$C$52),Inputs!$C$52&gt;=0,Inputs!$C$52&lt;=1),0,1),1)+IFERROR(IF(AND(ISNUMBER(Inputs!$C$56),Inputs!$C$56&gt;=0,Inputs!$C$56&lt;=1),0,1),1)+IFERROR(IF(AND(ISNUMBER(Inputs!$C$61),Inputs!$C$61&gt;=0,Inputs!$C$61&lt;=1),0,1),1)+IFERROR(IF(AND(ISNUMBER(Inputs!$C$63),Inputs!$C$63&gt;=0,Inputs!$C$63&lt;=1),0,1),1)+IFERROR(IF(AND(ISNUMBER(Inputs!$C$62),Inputs!$C$62&gt;=0,Inputs!$C$62&lt;=1.5),0,1),1)+IFERROR(IF(AND(ISNUMBER(Inputs!$C$24),Inputs!$C$24&gt;=0,Inputs!$C$24&lt;=1),0,1),1)+IFERROR(IF(AND(ISNUMBER(Inputs!$C$28),Inputs!$C$28&gt;=0,Inputs!$C$28&lt;=5),0,1),1)+IFERROR(IF(AND(ISNUMBER(Inputs!$C$79),Inputs!$C$79&gt;=0,Inputs!$C$79&lt;=1),0,1),1)+IFERROR(IF(AND(ISNUMBER(Inputs!$C$14),Inputs!$C$14&gt;=0,Inputs!$C$14&lt;=1),0,1),1)+IFERROR(IF(AND(ISNUMBER(Inputs!$C$11),Inputs!$C$11&gt;=-0.5,Inputs!$C$11&lt;=5),0,1),1)+IFERROR(IF(AND(ISNUMBER(Inputs!$C$13),Inputs!$C$13&gt;=-0.5,Inputs!$C$13&lt;=5),0,1),1)</f>
        <v/>
      </c>
    </row>
    <row r="62">
      <c r="A62" s="34" t="inlineStr">
        <is>
          <t>Amounts, multiples and thresholds not negative</t>
        </is>
      </c>
      <c r="B62" s="34" t="inlineStr">
        <is>
          <t>count</t>
        </is>
      </c>
      <c r="C62" s="23">
        <f>IFERROR(IF(AND(ISNUMBER(Inputs!$C$42),Inputs!$C$42&gt;=0,Inputs!$C$42&lt;=24),0,1),1)+IFERROR(IF(AND(ISNUMBER(Inputs!$C$43),Inputs!$C$43&gt;=0,Inputs!$C$43&lt;=365),0,1),1)+IFERROR(IF(AND(ISNUMBER(Inputs!$C$46),Inputs!$C$46&gt;=0),0,1),1)+IFERROR(IF(AND(ISNUMBER(Inputs!$C$49),Inputs!$C$49&gt;=0),0,1),1)+IFERROR(IF(AND(ISNUMBER(Inputs!$C$50),Inputs!$C$50&gt;=0),0,1),1)+IFERROR(IF(AND(ISNUMBER(Inputs!$C$55),Inputs!$C$55&gt;=0),0,1),1)+IFERROR(IF(AND(ISNUMBER(Inputs!$C$81),Inputs!$C$81&gt;=0),0,1),1)+IFERROR(IF(Inputs!$C$82&gt;0,0,1),1)+IFERROR(IF(AND(ISNUMBER(Inputs!$C$84),Inputs!$C$84&gt;=0),0,1),1)+IFERROR(IF(AND(ISNUMBER(Inputs!$C$85),Inputs!$C$85&gt;=0),0,1),1)+IFERROR(IF(AND(ISNUMBER(Inputs!$C$73),Inputs!$C$73&gt;=0),0,1),1)+IFERROR(IF(Consumer_Risk!$C$4&gt;0,0,1),1)</f>
        <v/>
      </c>
    </row>
    <row r="63">
      <c r="A63" s="34" t="inlineStr">
        <is>
          <t>Credit assumptions: shares and rates from 0 to 1</t>
        </is>
      </c>
      <c r="B63" s="34" t="inlineStr">
        <is>
          <t>count</t>
        </is>
      </c>
      <c r="C63" s="23">
        <f>IFERROR(IF(AND(ISNUMBER(Credit_Assumptions!$C$20),Credit_Assumptions!$C$20&gt;=0,Credit_Assumptions!$C$20&lt;=1),0,1),1)+IFERROR(IF(AND(ISNUMBER(Credit_Assumptions!$C$15),Credit_Assumptions!$C$15&gt;=0,Credit_Assumptions!$C$15&lt;=1),0,1),1)+IFERROR(IF(AND(ISNUMBER(Credit_Assumptions!$C$16),Credit_Assumptions!$C$16&gt;=0,Credit_Assumptions!$C$16&lt;=1),0,1),1)+IFERROR(IF(AND(ISNUMBER(Credit_Assumptions!$C$21),Credit_Assumptions!$C$21&gt;=0,Credit_Assumptions!$C$21&lt;=1),0,1),1)+IFERROR(IF(AND(ISNUMBER(Credit_Assumptions!$C$22),Credit_Assumptions!$C$22&gt;=0,Credit_Assumptions!$C$22&lt;=1),0,1),1)+IFERROR(IF(AND(ISNUMBER(Credit_Assumptions!$C$23),Credit_Assumptions!$C$23&gt;=0,Credit_Assumptions!$C$23&lt;=1),0,1),1)+IFERROR(IF(AND(ISNUMBER(Credit_Assumptions!$C$24),Credit_Assumptions!$C$24&gt;=0,Credit_Assumptions!$C$24&lt;=1),0,1),1)</f>
        <v/>
      </c>
    </row>
    <row r="64">
      <c r="A64" s="34" t="inlineStr">
        <is>
          <t>Products: mix, hazard, collection, repossession, resale, advance and warranty rates from 0 to 1</t>
        </is>
      </c>
      <c r="B64" s="34" t="inlineStr">
        <is>
          <t>count</t>
        </is>
      </c>
      <c r="C64" s="23">
        <f>IFERROR(IF(AND(ISNUMBER(Products!$C$23),Products!$C$23&gt;=0,Products!$C$23&lt;=1),0,1),1)+IFERROR(IF(AND(ISNUMBER(Products!$C$25),Products!$C$25&gt;=0,Products!$C$25&lt;=1),0,1),1)+IFERROR(IF(AND(ISNUMBER(Products!$C$26),Products!$C$26&gt;=0,Products!$C$26&lt;=1),0,1),1)+IFERROR(IF(AND(ISNUMBER(Products!$C$27),Products!$C$27&gt;=0,Products!$C$27&lt;=1),0,1),1)+IFERROR(IF(AND(ISNUMBER(Products!$C$28),Products!$C$28&gt;=0,Products!$C$28&lt;=1),0,1),1)+IFERROR(IF(AND(ISNUMBER(Products!$C$31),Products!$C$31&gt;=0,Products!$C$31&lt;=1),0,1),1)+IFERROR(IF(AND(ISNUMBER(Products!$C$22),Products!$C$22&gt;=0,Products!$C$22&lt;=1),0,1),1)+IFERROR(IF(AND(ISNUMBER(Products!$D$23),Products!$D$23&gt;=0,Products!$D$23&lt;=1),0,1),1)+IFERROR(IF(AND(ISNUMBER(Products!$D$25),Products!$D$25&gt;=0,Products!$D$25&lt;=1),0,1),1)+IFERROR(IF(AND(ISNUMBER(Products!$D$26),Products!$D$26&gt;=0,Products!$D$26&lt;=1),0,1),1)+IFERROR(IF(AND(ISNUMBER(Products!$D$27),Products!$D$27&gt;=0,Products!$D$27&lt;=1),0,1),1)+IFERROR(IF(AND(ISNUMBER(Products!$D$28),Products!$D$28&gt;=0,Products!$D$28&lt;=1),0,1),1)+IFERROR(IF(AND(ISNUMBER(Products!$D$31),Products!$D$31&gt;=0,Products!$D$31&lt;=1),0,1),1)+IFERROR(IF(AND(ISNUMBER(Products!$D$22),Products!$D$22&gt;=0,Products!$D$22&lt;=1),0,1),1)+IFERROR(IF(AND(ISNUMBER(Products!$E$23),Products!$E$23&gt;=0,Products!$E$23&lt;=1),0,1),1)+IFERROR(IF(AND(ISNUMBER(Products!$E$25),Products!$E$25&gt;=0,Products!$E$25&lt;=1),0,1),1)+IFERROR(IF(AND(ISNUMBER(Products!$E$26),Products!$E$26&gt;=0,Products!$E$26&lt;=1),0,1),1)+IFERROR(IF(AND(ISNUMBER(Products!$E$27),Products!$E$27&gt;=0,Products!$E$27&lt;=1),0,1),1)+IFERROR(IF(AND(ISNUMBER(Products!$E$28),Products!$E$28&gt;=0,Products!$E$28&lt;=1),0,1),1)+IFERROR(IF(AND(ISNUMBER(Products!$E$31),Products!$E$31&gt;=0,Products!$E$31&lt;=1),0,1),1)+IFERROR(IF(AND(ISNUMBER(Products!$E$22),Products!$E$22&gt;=0,Products!$E$22&lt;=1),0,1),1)+IFERROR(IF(AND(ISNUMBER(Products!$F$23),Products!$F$23&gt;=0,Products!$F$23&lt;=1),0,1),1)+IFERROR(IF(AND(ISNUMBER(Products!$F$25),Products!$F$25&gt;=0,Products!$F$25&lt;=1),0,1),1)+IFERROR(IF(AND(ISNUMBER(Products!$F$26),Products!$F$26&gt;=0,Products!$F$26&lt;=1),0,1),1)+IFERROR(IF(AND(ISNUMBER(Products!$F$27),Products!$F$27&gt;=0,Products!$F$27&lt;=1),0,1),1)+IFERROR(IF(AND(ISNUMBER(Products!$F$28),Products!$F$28&gt;=0,Products!$F$28&lt;=1),0,1),1)+IFERROR(IF(AND(ISNUMBER(Products!$F$31),Products!$F$31&gt;=0,Products!$F$31&lt;=1),0,1),1)+IFERROR(IF(AND(ISNUMBER(Products!$F$22),Products!$F$22&gt;=0,Products!$F$22&lt;=1),0,1),1)+IFERROR(IF(AND(ISNUMBER(Products!$G$23),Products!$G$23&gt;=0,Products!$G$23&lt;=1),0,1),1)+IFERROR(IF(AND(ISNUMBER(Products!$G$25),Products!$G$25&gt;=0,Products!$G$25&lt;=1),0,1),1)+IFERROR(IF(AND(ISNUMBER(Products!$G$26),Products!$G$26&gt;=0,Products!$G$26&lt;=1),0,1),1)+IFERROR(IF(AND(ISNUMBER(Products!$G$27),Products!$G$27&gt;=0,Products!$G$27&lt;=1),0,1),1)+IFERROR(IF(AND(ISNUMBER(Products!$G$28),Products!$G$28&gt;=0,Products!$G$28&lt;=1),0,1),1)+IFERROR(IF(AND(ISNUMBER(Products!$G$31),Products!$G$31&gt;=0,Products!$G$31&lt;=1),0,1),1)+IFERROR(IF(AND(ISNUMBER(Products!$G$22),Products!$G$22&gt;=0,Products!$G$22&lt;=1),0,1),1)</f>
        <v/>
      </c>
    </row>
    <row r="65">
      <c r="A65" s="34" t="inlineStr">
        <is>
          <t>Products: prices, deposits, daily rates and costs not negative</t>
        </is>
      </c>
      <c r="B65" s="34" t="inlineStr">
        <is>
          <t>count</t>
        </is>
      </c>
      <c r="C65" s="23">
        <f>IFERROR(IF(AND(ISNUMBER(Products!$C$13),Products!$C$13&gt;=0),0,1),1)+IFERROR(IF(AND(ISNUMBER(Products!$C$14),Products!$C$14&gt;=0),0,1),1)+IFERROR(IF(AND(ISNUMBER(Products!$C$15),Products!$C$15&gt;=0),0,1),1)+IFERROR(IF(AND(ISNUMBER(Products!$C$18),Products!$C$18&gt;=0),0,1),1)+IFERROR(IF(AND(ISNUMBER(Products!$C$19),Products!$C$19&gt;=0),0,1),1)+IFERROR(IF(AND(ISNUMBER(Products!$C$20),Products!$C$20&gt;=0),0,1),1)+IFERROR(IF(AND(ISNUMBER(Products!$C$21),Products!$C$21&gt;=0),0,1),1)+IFERROR(IF(AND(ISNUMBER(Products!$C$30),Products!$C$30&gt;=0),0,1),1)+IFERROR(IF(AND(ISNUMBER(Products!$D$13),Products!$D$13&gt;=0),0,1),1)+IFERROR(IF(AND(ISNUMBER(Products!$D$14),Products!$D$14&gt;=0),0,1),1)+IFERROR(IF(AND(ISNUMBER(Products!$D$15),Products!$D$15&gt;=0),0,1),1)+IFERROR(IF(AND(ISNUMBER(Products!$D$18),Products!$D$18&gt;=0),0,1),1)+IFERROR(IF(AND(ISNUMBER(Products!$D$19),Products!$D$19&gt;=0),0,1),1)+IFERROR(IF(AND(ISNUMBER(Products!$D$20),Products!$D$20&gt;=0),0,1),1)+IFERROR(IF(AND(ISNUMBER(Products!$D$21),Products!$D$21&gt;=0),0,1),1)+IFERROR(IF(AND(ISNUMBER(Products!$D$30),Products!$D$30&gt;=0),0,1),1)+IFERROR(IF(AND(ISNUMBER(Products!$E$13),Products!$E$13&gt;=0),0,1),1)+IFERROR(IF(AND(ISNUMBER(Products!$E$14),Products!$E$14&gt;=0),0,1),1)+IFERROR(IF(AND(ISNUMBER(Products!$E$15),Products!$E$15&gt;=0),0,1),1)+IFERROR(IF(AND(ISNUMBER(Products!$E$18),Products!$E$18&gt;=0),0,1),1)+IFERROR(IF(AND(ISNUMBER(Products!$E$19),Products!$E$19&gt;=0),0,1),1)+IFERROR(IF(AND(ISNUMBER(Products!$E$20),Products!$E$20&gt;=0),0,1),1)+IFERROR(IF(AND(ISNUMBER(Products!$E$21),Products!$E$21&gt;=0),0,1),1)+IFERROR(IF(AND(ISNUMBER(Products!$E$30),Products!$E$30&gt;=0),0,1),1)+IFERROR(IF(AND(ISNUMBER(Products!$F$13),Products!$F$13&gt;=0),0,1),1)+IFERROR(IF(AND(ISNUMBER(Products!$F$14),Products!$F$14&gt;=0),0,1),1)+IFERROR(IF(AND(ISNUMBER(Products!$F$15),Products!$F$15&gt;=0),0,1),1)+IFERROR(IF(AND(ISNUMBER(Products!$F$18),Products!$F$18&gt;=0),0,1),1)+IFERROR(IF(AND(ISNUMBER(Products!$F$19),Products!$F$19&gt;=0),0,1),1)+IFERROR(IF(AND(ISNUMBER(Products!$F$20),Products!$F$20&gt;=0),0,1),1)+IFERROR(IF(AND(ISNUMBER(Products!$F$21),Products!$F$21&gt;=0),0,1),1)+IFERROR(IF(AND(ISNUMBER(Products!$F$30),Products!$F$30&gt;=0),0,1),1)+IFERROR(IF(AND(ISNUMBER(Products!$G$13),Products!$G$13&gt;=0),0,1),1)+IFERROR(IF(AND(ISNUMBER(Products!$G$14),Products!$G$14&gt;=0),0,1),1)+IFERROR(IF(AND(ISNUMBER(Products!$G$15),Products!$G$15&gt;=0),0,1),1)+IFERROR(IF(AND(ISNUMBER(Products!$G$18),Products!$G$18&gt;=0),0,1),1)+IFERROR(IF(AND(ISNUMBER(Products!$G$19),Products!$G$19&gt;=0),0,1),1)+IFERROR(IF(AND(ISNUMBER(Products!$G$20),Products!$G$20&gt;=0),0,1),1)+IFERROR(IF(AND(ISNUMBER(Products!$G$21),Products!$G$21&gt;=0),0,1),1)+IFERROR(IF(AND(ISNUMBER(Products!$G$30),Products!$G$30&gt;=0),0,1),1)</f>
        <v/>
      </c>
    </row>
    <row r="66">
      <c r="A66" s="34" t="inlineStr">
        <is>
          <t>Household incomes above zero (Consumer_Risk)</t>
        </is>
      </c>
      <c r="B66" s="34" t="inlineStr">
        <is>
          <t>count</t>
        </is>
      </c>
      <c r="C66" s="23">
        <f>IFERROR(IF(Consumer_Risk!$C$8&gt;0,0,1),1)+IFERROR(IF(Consumer_Risk!$D$8&gt;0,0,1),1)+IFERROR(IF(Consumer_Risk!$E$8&gt;0,0,1),1)+IFERROR(IF(Consumer_Risk!$F$8&gt;0,0,1),1)+IFERROR(IF(Consumer_Risk!$G$8&gt;0,0,1),1)</f>
        <v/>
      </c>
    </row>
  </sheetData>
  <pageMargins left="0.75" right="0.75" top="1" bottom="1" header="0.5" footer="0.5"/>
  <pageSetup orientation="landscape" fitToHeight="0" fitToWidth="1"/>
  <headerFooter>
    <oddHeader/>
    <oddFooter>&amp;L&amp;"Arial"&amp;8 Africa Energy Finance | MODEL 2 PAYGo v0.8-dev&amp;C&amp;"Arial"&amp;8 &amp;A&amp;R&amp;"Arial"&amp;8 Page &amp;P of &amp;N</oddFooter>
    <evenHeader/>
    <evenFooter/>
    <firstHeader/>
    <firstFooter/>
  </headerFooter>
</worksheet>
</file>

<file path=docProps/app.xml><?xml version="1.0" encoding="utf-8"?>
<Properties xmlns="http://schemas.openxmlformats.org/officeDocument/2006/extended-properties">
  <Application>Africa Energy Finance</Application>
  <AppVersion>3.1</AppVersion>
</Properties>
</file>

<file path=docProps/core.xml><?xml version="1.0" encoding="utf-8"?>
<cp:coreProperties xmlns:cp="http://schemas.openxmlformats.org/package/2006/metadata/core-properties">
  <dc:creator xmlns:dc="http://purl.org/dc/elements/1.1/">Emmanuel Boujieka Kamga</dc:creator>
  <dc:title xmlns:dc="http://purl.org/dc/elements/1.1/">AEF Model 2: PAYGo Company Financial &amp; Investment Model</dc:title>
  <dc:subject xmlns:dc="http://purl.org/dc/elements/1.1/">Africa Energy Finance, Business &amp; Financial Models, Book 2 (PAYGo Solar Finance)</dc:subject>
  <dcterms:created xmlns:dcterms="http://purl.org/dc/terms/" xmlns:xsi="http://www.w3.org/2001/XMLSchema-instance" xsi:type="dcterms:W3CDTF">2026-10-03T17:48:23Z</dcterms:created>
  <dcterms:modified xmlns:dcterms="http://purl.org/dc/terms/" xmlns:xsi="http://www.w3.org/2001/XMLSchema-instance" xsi:type="dcterms:W3CDTF">2026-10-03T17:48:31Z</dcterms:modified>
  <cp:lastModifiedBy>Emmanuel Boujieka Kamga</cp:lastModifiedBy>
</cp:coreProperties>
</file>